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090" tabRatio="948" activeTab="21"/>
  </bookViews>
  <sheets>
    <sheet name="原始分" sheetId="1" r:id="rId1"/>
    <sheet name="统计表1" sheetId="2" r:id="rId2"/>
    <sheet name="原排 " sheetId="35" r:id="rId3"/>
    <sheet name="物原排" sheetId="4" r:id="rId4"/>
    <sheet name="史原排" sheetId="21" r:id="rId5"/>
    <sheet name="分数段1" sheetId="3" r:id="rId6"/>
    <sheet name="赋分" sheetId="19" r:id="rId7"/>
    <sheet name="统计表2" sheetId="20" r:id="rId8"/>
    <sheet name="赋排" sheetId="36" r:id="rId9"/>
    <sheet name="物赋排 " sheetId="22" r:id="rId10"/>
    <sheet name="史赋排 " sheetId="23" r:id="rId11"/>
    <sheet name="分数段2" sheetId="25" r:id="rId12"/>
    <sheet name="四线" sheetId="39" r:id="rId13"/>
    <sheet name="切线" sheetId="40" r:id="rId14"/>
    <sheet name="Sheet2" sheetId="42" r:id="rId15"/>
    <sheet name="Sheet1" sheetId="41" r:id="rId16"/>
    <sheet name="对比1" sheetId="31" r:id="rId17"/>
    <sheet name="对比2" sheetId="32" r:id="rId18"/>
    <sheet name="赋排 (2)" sheetId="38" r:id="rId19"/>
    <sheet name="高考指标" sheetId="37" r:id="rId20"/>
    <sheet name="测试" sheetId="43" r:id="rId21"/>
    <sheet name="TestSheet" sheetId="44" r:id="rId22"/>
  </sheets>
  <externalReferences>
    <externalReference r:id="rId23"/>
  </externalReferences>
  <definedNames>
    <definedName name="_xlnm.Print_Area" localSheetId="8">赋排!$A$1:$AE$665</definedName>
    <definedName name="_xlnm.Print_Area" localSheetId="18">'赋排 (2)'!$A$1:$AB$675</definedName>
    <definedName name="_xlnm.Print_Area" localSheetId="10">'史赋排 '!$A$1:$AA$208</definedName>
    <definedName name="_xlnm.Print_Area" localSheetId="4">史原排!$A$1:$AA$208</definedName>
    <definedName name="_xlnm.Print_Area" localSheetId="9">'物赋排 '!$A$1:$AA$665</definedName>
    <definedName name="_xlnm.Print_Area" localSheetId="3">物原排!$A$1:$AA$665</definedName>
    <definedName name="_xlnm.Print_Area" localSheetId="2">'原排 '!$A$1:$AE$665</definedName>
    <definedName name="_xlnm.Print_Titles" localSheetId="8">赋排!$2:$2</definedName>
    <definedName name="_xlnm.Print_Titles" localSheetId="18">'赋排 (2)'!$2:$2</definedName>
    <definedName name="_xlnm.Print_Titles" localSheetId="10">'史赋排 '!$2:$2</definedName>
    <definedName name="_xlnm.Print_Titles" localSheetId="4">史原排!$2:$2</definedName>
    <definedName name="_xlnm.Print_Titles" localSheetId="9">'物赋排 '!$2:$2</definedName>
    <definedName name="_xlnm.Print_Titles" localSheetId="3">物原排!$2:$2</definedName>
    <definedName name="_xlnm.Print_Titles" localSheetId="2">'原排 '!$2:$2</definedName>
    <definedName name="班级">'[1]全年段(原始分)'!$C$4:$C$950</definedName>
    <definedName name="地Y22">[1]赋分规则!$K$13</definedName>
    <definedName name="地Y31">[1]赋分规则!$J$14</definedName>
    <definedName name="地Y32">[1]赋分规则!$K$14</definedName>
    <definedName name="地理">'[1]全年段(原始分)'!$AE$4:$AE$950</definedName>
    <definedName name="赋分班级">'[1]全年段(赋分)'!$C$4:$C$950</definedName>
    <definedName name="赋分总分">'[1]全年段(赋分)'!$E$4:$E$950</definedName>
    <definedName name="化学">'[1]全年段(原始分)'!$S$4:$S$950</definedName>
    <definedName name="类别">'[1]全年段(赋分)'!$AH$4:$AH$950</definedName>
    <definedName name="历史">'[1]全年段(原始分)'!$AB$4:$AB$950</definedName>
    <definedName name="生物">'[1]全年段(原始分)'!$V$4:$V$950</definedName>
    <definedName name="数学">'[1]全年段(原始分)'!$J$4:$J$950</definedName>
    <definedName name="物理">'[1]全年段(原始分)'!$P$4:$P$950</definedName>
    <definedName name="英语">'[1]全年段(原始分)'!$M$4:$M$950</definedName>
    <definedName name="语文">'[1]全年段(原始分)'!$G$4:$G$950</definedName>
    <definedName name="政治">'[1]全年段(原始分)'!$Y$4:$Y$950</definedName>
    <definedName name="总分">'[1]全年段(原始分)'!$D$4:$D$950</definedName>
  </definedNames>
  <calcPr calcId="144525"/>
</workbook>
</file>

<file path=xl/sharedStrings.xml><?xml version="1.0" encoding="utf-8"?>
<sst xmlns="http://schemas.openxmlformats.org/spreadsheetml/2006/main">
  <si>
    <t>序号</t>
  </si>
  <si>
    <t>班级</t>
  </si>
  <si>
    <t>座号</t>
  </si>
  <si>
    <t>班座</t>
  </si>
  <si>
    <t>姓名</t>
  </si>
  <si>
    <t>语文</t>
  </si>
  <si>
    <t>数学</t>
  </si>
  <si>
    <t>英语</t>
  </si>
  <si>
    <t>物理</t>
  </si>
  <si>
    <t>历史</t>
  </si>
  <si>
    <t>化学</t>
  </si>
  <si>
    <t>地理</t>
  </si>
  <si>
    <t>政治</t>
  </si>
  <si>
    <t>生物</t>
  </si>
  <si>
    <t>语数英</t>
  </si>
  <si>
    <t>总分</t>
  </si>
  <si>
    <t>0101</t>
  </si>
  <si>
    <t>李芳滢</t>
  </si>
  <si>
    <t>0102</t>
  </si>
  <si>
    <t>杨雅淇</t>
  </si>
  <si>
    <t>0104</t>
  </si>
  <si>
    <t>林伊彬</t>
  </si>
  <si>
    <t>0105</t>
  </si>
  <si>
    <t>林子恒</t>
  </si>
  <si>
    <t>0106</t>
  </si>
  <si>
    <t>邹永斌</t>
  </si>
  <si>
    <t>0107</t>
  </si>
  <si>
    <t>林敏君</t>
  </si>
  <si>
    <t>0108</t>
  </si>
  <si>
    <t>李奕昕</t>
  </si>
  <si>
    <t>0109</t>
  </si>
  <si>
    <t>郭巾凡</t>
  </si>
  <si>
    <t>0110</t>
  </si>
  <si>
    <t>姚薛晟</t>
  </si>
  <si>
    <t>0111</t>
  </si>
  <si>
    <t>戴鸿宇</t>
  </si>
  <si>
    <t>0112</t>
  </si>
  <si>
    <t>陈凌伟</t>
  </si>
  <si>
    <t>0113</t>
  </si>
  <si>
    <t>卢雨晴</t>
  </si>
  <si>
    <t>0114</t>
  </si>
  <si>
    <t>林意敏</t>
  </si>
  <si>
    <t>0115</t>
  </si>
  <si>
    <t>卓智敏</t>
  </si>
  <si>
    <t>0117</t>
  </si>
  <si>
    <t>谢鹭航</t>
  </si>
  <si>
    <t>0118</t>
  </si>
  <si>
    <t>张毅涵</t>
  </si>
  <si>
    <t>0119</t>
  </si>
  <si>
    <t>李想</t>
  </si>
  <si>
    <t>0120</t>
  </si>
  <si>
    <t>周超辉</t>
  </si>
  <si>
    <t>0121</t>
  </si>
  <si>
    <t>黄明霞</t>
  </si>
  <si>
    <t>0122</t>
  </si>
  <si>
    <t>邹军毅</t>
  </si>
  <si>
    <t>0123</t>
  </si>
  <si>
    <t>吴双</t>
  </si>
  <si>
    <t>0124</t>
  </si>
  <si>
    <t>邹大宇</t>
  </si>
  <si>
    <t>0125</t>
  </si>
  <si>
    <t>陈思民</t>
  </si>
  <si>
    <t>0126</t>
  </si>
  <si>
    <t>吴玮航</t>
  </si>
  <si>
    <t>0127</t>
  </si>
  <si>
    <t>陈玲玲</t>
  </si>
  <si>
    <t>0128</t>
  </si>
  <si>
    <t>李倩如</t>
  </si>
  <si>
    <t>0129</t>
  </si>
  <si>
    <t>林钒</t>
  </si>
  <si>
    <t>0130</t>
  </si>
  <si>
    <t>沈腾飞</t>
  </si>
  <si>
    <t>0131</t>
  </si>
  <si>
    <t>陈昕怡</t>
  </si>
  <si>
    <t>0132</t>
  </si>
  <si>
    <t>林泽楷</t>
  </si>
  <si>
    <t>0133</t>
  </si>
  <si>
    <t>谢雨珊</t>
  </si>
  <si>
    <t>0134</t>
  </si>
  <si>
    <t>黄怡晨</t>
  </si>
  <si>
    <t>0135</t>
  </si>
  <si>
    <t>周秦云</t>
  </si>
  <si>
    <t>0136</t>
  </si>
  <si>
    <t>胡晓倩</t>
  </si>
  <si>
    <t>0137</t>
  </si>
  <si>
    <t>黄琳琳</t>
  </si>
  <si>
    <t>0138</t>
  </si>
  <si>
    <t>肖雪</t>
  </si>
  <si>
    <t>0139</t>
  </si>
  <si>
    <t>林益航</t>
  </si>
  <si>
    <t>0140</t>
  </si>
  <si>
    <t>周立清</t>
  </si>
  <si>
    <t>0141</t>
  </si>
  <si>
    <t>李杰明</t>
  </si>
  <si>
    <t>0142</t>
  </si>
  <si>
    <t>郑雨欣</t>
  </si>
  <si>
    <t>0143</t>
  </si>
  <si>
    <t>戴静静</t>
  </si>
  <si>
    <t>0144</t>
  </si>
  <si>
    <t>曹昊</t>
  </si>
  <si>
    <t>0145</t>
  </si>
  <si>
    <t>黄泽宇</t>
  </si>
  <si>
    <t>0146</t>
  </si>
  <si>
    <t>曾韩卿</t>
  </si>
  <si>
    <t>0147</t>
  </si>
  <si>
    <t>蔡银冰</t>
  </si>
  <si>
    <t>0148</t>
  </si>
  <si>
    <t>林津</t>
  </si>
  <si>
    <t>0149</t>
  </si>
  <si>
    <t>雷翔</t>
  </si>
  <si>
    <t>0150</t>
  </si>
  <si>
    <t>刘鑫</t>
  </si>
  <si>
    <t>0151</t>
  </si>
  <si>
    <t>邱婧娴</t>
  </si>
  <si>
    <t>0152</t>
  </si>
  <si>
    <t>祁琅</t>
  </si>
  <si>
    <t>0153</t>
  </si>
  <si>
    <t>陈雅韵</t>
  </si>
  <si>
    <t>0154</t>
  </si>
  <si>
    <t>朱龙威</t>
  </si>
  <si>
    <t>0155</t>
  </si>
  <si>
    <t>陈佳怡</t>
  </si>
  <si>
    <t>0156</t>
  </si>
  <si>
    <t>邱宇辉</t>
  </si>
  <si>
    <t>0157</t>
  </si>
  <si>
    <t>郑婉琦</t>
  </si>
  <si>
    <t>0158</t>
  </si>
  <si>
    <t>朱子墨</t>
  </si>
  <si>
    <t>0159</t>
  </si>
  <si>
    <t>陈星</t>
  </si>
  <si>
    <t>0160</t>
  </si>
  <si>
    <t>卓祎锦</t>
  </si>
  <si>
    <t>0161</t>
  </si>
  <si>
    <t>林嘉梁</t>
  </si>
  <si>
    <t>0162</t>
  </si>
  <si>
    <t>周朝伟</t>
  </si>
  <si>
    <t>0163</t>
  </si>
  <si>
    <t>郑乐典</t>
  </si>
  <si>
    <t>0164</t>
  </si>
  <si>
    <t>陈静萱</t>
  </si>
  <si>
    <t>0165</t>
  </si>
  <si>
    <t>陈岐力</t>
  </si>
  <si>
    <t>0201</t>
  </si>
  <si>
    <t>张凌薇</t>
  </si>
  <si>
    <t>0202</t>
  </si>
  <si>
    <t>梁振宁</t>
  </si>
  <si>
    <t>0203</t>
  </si>
  <si>
    <t>严世爱</t>
  </si>
  <si>
    <t>0204</t>
  </si>
  <si>
    <t>郑怡娟</t>
  </si>
  <si>
    <t>0205</t>
  </si>
  <si>
    <t>郑诗涵</t>
  </si>
  <si>
    <t>0206</t>
  </si>
  <si>
    <t>柯珊珊</t>
  </si>
  <si>
    <t>0207</t>
  </si>
  <si>
    <t>陈鸿轩</t>
  </si>
  <si>
    <t>0208</t>
  </si>
  <si>
    <t>程佳倩</t>
  </si>
  <si>
    <t>0209</t>
  </si>
  <si>
    <t>李韵麒</t>
  </si>
  <si>
    <t>0210</t>
  </si>
  <si>
    <t>林涵婷</t>
  </si>
  <si>
    <t>0211</t>
  </si>
  <si>
    <t>0212</t>
  </si>
  <si>
    <t>林至仪</t>
  </si>
  <si>
    <t>0213</t>
  </si>
  <si>
    <t>林伟杰</t>
  </si>
  <si>
    <t>0214</t>
  </si>
  <si>
    <t>朱宇晨</t>
  </si>
  <si>
    <t>0215</t>
  </si>
  <si>
    <t>苏心菲</t>
  </si>
  <si>
    <t>0216</t>
  </si>
  <si>
    <t>陈益婷</t>
  </si>
  <si>
    <t>0217</t>
  </si>
  <si>
    <t>许超敏</t>
  </si>
  <si>
    <t>0218</t>
  </si>
  <si>
    <t>陈一荣</t>
  </si>
  <si>
    <t>0219</t>
  </si>
  <si>
    <t>赵博睿</t>
  </si>
  <si>
    <t>0220</t>
  </si>
  <si>
    <t>杨凡萱</t>
  </si>
  <si>
    <t>0221</t>
  </si>
  <si>
    <t>林亿源</t>
  </si>
  <si>
    <t>0222</t>
  </si>
  <si>
    <t>陈怡娜</t>
  </si>
  <si>
    <t>0223</t>
  </si>
  <si>
    <t>程琳玲</t>
  </si>
  <si>
    <t>0224</t>
  </si>
  <si>
    <t>詹佳豪</t>
  </si>
  <si>
    <t>0225</t>
  </si>
  <si>
    <t>黄晶</t>
  </si>
  <si>
    <t>0226</t>
  </si>
  <si>
    <t>唐静怡</t>
  </si>
  <si>
    <t>0227</t>
  </si>
  <si>
    <t>邹静雨</t>
  </si>
  <si>
    <t>0228</t>
  </si>
  <si>
    <t>陈晓东</t>
  </si>
  <si>
    <t>0229</t>
  </si>
  <si>
    <t>陈愉平</t>
  </si>
  <si>
    <t>0230</t>
  </si>
  <si>
    <t>郑颖</t>
  </si>
  <si>
    <t>0231</t>
  </si>
  <si>
    <t>黄曦蓉</t>
  </si>
  <si>
    <t>0232</t>
  </si>
  <si>
    <t>万智</t>
  </si>
  <si>
    <t>0233</t>
  </si>
  <si>
    <t>吴咏琪</t>
  </si>
  <si>
    <t>0234</t>
  </si>
  <si>
    <t>李融</t>
  </si>
  <si>
    <t>0235</t>
  </si>
  <si>
    <t>陈一星</t>
  </si>
  <si>
    <t>0236</t>
  </si>
  <si>
    <t>吴燕妹</t>
  </si>
  <si>
    <t>0237</t>
  </si>
  <si>
    <t>吴恩祺</t>
  </si>
  <si>
    <t>0238</t>
  </si>
  <si>
    <t>陈鑫玲</t>
  </si>
  <si>
    <t>0239</t>
  </si>
  <si>
    <t>郑丽丽</t>
  </si>
  <si>
    <t>0240</t>
  </si>
  <si>
    <t>吴梦雪</t>
  </si>
  <si>
    <t>0241</t>
  </si>
  <si>
    <t>蔡冰冰</t>
  </si>
  <si>
    <t>0243</t>
  </si>
  <si>
    <t>郑盈盈</t>
  </si>
  <si>
    <t>0244</t>
  </si>
  <si>
    <t>黄悦悦</t>
  </si>
  <si>
    <t>0246</t>
  </si>
  <si>
    <t>吴刘晴</t>
  </si>
  <si>
    <t>0247</t>
  </si>
  <si>
    <t>郭可焓</t>
  </si>
  <si>
    <t>0248</t>
  </si>
  <si>
    <t>翁嘉涛</t>
  </si>
  <si>
    <t>0249</t>
  </si>
  <si>
    <t>林锋</t>
  </si>
  <si>
    <t>0250</t>
  </si>
  <si>
    <t>陈宏萍</t>
  </si>
  <si>
    <t>0301</t>
  </si>
  <si>
    <t>宋雨晨</t>
  </si>
  <si>
    <t>0302</t>
  </si>
  <si>
    <t>陈立强</t>
  </si>
  <si>
    <t>0303</t>
  </si>
  <si>
    <t>翁祥</t>
  </si>
  <si>
    <t>0304</t>
  </si>
  <si>
    <t>施伊炫</t>
  </si>
  <si>
    <t>0305</t>
  </si>
  <si>
    <t>杨城</t>
  </si>
  <si>
    <t>0306</t>
  </si>
  <si>
    <t>陈珍芳</t>
  </si>
  <si>
    <t>0307</t>
  </si>
  <si>
    <t>林芊晨</t>
  </si>
  <si>
    <t>0308</t>
  </si>
  <si>
    <t>李浩弘</t>
  </si>
  <si>
    <t>0309</t>
  </si>
  <si>
    <t>陈芊蓓</t>
  </si>
  <si>
    <t>0310</t>
  </si>
  <si>
    <t>陈俊鸿</t>
  </si>
  <si>
    <t>0311</t>
  </si>
  <si>
    <t>钱正武</t>
  </si>
  <si>
    <t>0312</t>
  </si>
  <si>
    <t>郑颖超</t>
  </si>
  <si>
    <t>0313</t>
  </si>
  <si>
    <t>吴叶子</t>
  </si>
  <si>
    <t>0314</t>
  </si>
  <si>
    <t>邹羽航</t>
  </si>
  <si>
    <t>0315</t>
  </si>
  <si>
    <t>陈霖</t>
  </si>
  <si>
    <t>0316</t>
  </si>
  <si>
    <t>李呈赫</t>
  </si>
  <si>
    <t>0317</t>
  </si>
  <si>
    <t>林鑫</t>
  </si>
  <si>
    <t>0318</t>
  </si>
  <si>
    <t>陈之星</t>
  </si>
  <si>
    <t>0319</t>
  </si>
  <si>
    <t>周宇</t>
  </si>
  <si>
    <t>0320</t>
  </si>
  <si>
    <t>李金杰</t>
  </si>
  <si>
    <t>0321</t>
  </si>
  <si>
    <t>陈思瀚</t>
  </si>
  <si>
    <t>0322</t>
  </si>
  <si>
    <t>张镇宇</t>
  </si>
  <si>
    <t>0323</t>
  </si>
  <si>
    <t>任子杰</t>
  </si>
  <si>
    <t>0324</t>
  </si>
  <si>
    <t>黄联极</t>
  </si>
  <si>
    <t>0325</t>
  </si>
  <si>
    <t>何芳娇</t>
  </si>
  <si>
    <t>0326</t>
  </si>
  <si>
    <t>黄志杰</t>
  </si>
  <si>
    <t>0327</t>
  </si>
  <si>
    <t>林泽信</t>
  </si>
  <si>
    <t>0328</t>
  </si>
  <si>
    <t>詹志杰</t>
  </si>
  <si>
    <t>0329</t>
  </si>
  <si>
    <t>黄旭东</t>
  </si>
  <si>
    <t>0330</t>
  </si>
  <si>
    <t>林佳怡</t>
  </si>
  <si>
    <t>0331</t>
  </si>
  <si>
    <t>朱海煌</t>
  </si>
  <si>
    <t>0332</t>
  </si>
  <si>
    <t>翁嘉华</t>
  </si>
  <si>
    <t>0333</t>
  </si>
  <si>
    <t>郑宇杰</t>
  </si>
  <si>
    <t>0334</t>
  </si>
  <si>
    <t>郑鑫</t>
  </si>
  <si>
    <t>0335</t>
  </si>
  <si>
    <t>蔡禹政</t>
  </si>
  <si>
    <t>0336</t>
  </si>
  <si>
    <t>林跃翔</t>
  </si>
  <si>
    <t>0337</t>
  </si>
  <si>
    <t>郑少雕</t>
  </si>
  <si>
    <t>0338</t>
  </si>
  <si>
    <t>黎子阳</t>
  </si>
  <si>
    <t>0339</t>
  </si>
  <si>
    <t>李雅静</t>
  </si>
  <si>
    <t>0340</t>
  </si>
  <si>
    <t>周锦望</t>
  </si>
  <si>
    <t>0341</t>
  </si>
  <si>
    <t>陈非</t>
  </si>
  <si>
    <t>0342</t>
  </si>
  <si>
    <t>陈楠</t>
  </si>
  <si>
    <t>0343</t>
  </si>
  <si>
    <t>陈泽辉</t>
  </si>
  <si>
    <t>0344</t>
  </si>
  <si>
    <t>林佳莹</t>
  </si>
  <si>
    <t>0345</t>
  </si>
  <si>
    <t>王修武</t>
  </si>
  <si>
    <t>0346</t>
  </si>
  <si>
    <t>许海锋</t>
  </si>
  <si>
    <t>0347</t>
  </si>
  <si>
    <t>叶辉</t>
  </si>
  <si>
    <t>0348</t>
  </si>
  <si>
    <t>蔡志海</t>
  </si>
  <si>
    <t>0349</t>
  </si>
  <si>
    <t>唐晓娜</t>
  </si>
  <si>
    <t>0402</t>
  </si>
  <si>
    <t>郭俊华</t>
  </si>
  <si>
    <t>0403</t>
  </si>
  <si>
    <t>李威</t>
  </si>
  <si>
    <t>0404</t>
  </si>
  <si>
    <t>赖迪晨</t>
  </si>
  <si>
    <t>0405</t>
  </si>
  <si>
    <t>魏宇明</t>
  </si>
  <si>
    <t>0406</t>
  </si>
  <si>
    <t>郑博钧</t>
  </si>
  <si>
    <t>0407</t>
  </si>
  <si>
    <t>王瀚祥</t>
  </si>
  <si>
    <t>0408</t>
  </si>
  <si>
    <t>林嘉裕</t>
  </si>
  <si>
    <t>0409</t>
  </si>
  <si>
    <t>陈鸿华</t>
  </si>
  <si>
    <t>0410</t>
  </si>
  <si>
    <t>郑杰</t>
  </si>
  <si>
    <t>0411</t>
  </si>
  <si>
    <t>何睿</t>
  </si>
  <si>
    <t>0412</t>
  </si>
  <si>
    <t>许一鸣</t>
  </si>
  <si>
    <t>0413</t>
  </si>
  <si>
    <t>傅泓铭</t>
  </si>
  <si>
    <t>0414</t>
  </si>
  <si>
    <t>翁家辉</t>
  </si>
  <si>
    <t>0415</t>
  </si>
  <si>
    <t>柯皓天</t>
  </si>
  <si>
    <t>0416</t>
  </si>
  <si>
    <t>赖俊涛</t>
  </si>
  <si>
    <t>0417</t>
  </si>
  <si>
    <t>黄嘉斌</t>
  </si>
  <si>
    <t>0418</t>
  </si>
  <si>
    <t>林逸杰</t>
  </si>
  <si>
    <t>0419</t>
  </si>
  <si>
    <t>严佳羽</t>
  </si>
  <si>
    <t>0420</t>
  </si>
  <si>
    <t>陈威</t>
  </si>
  <si>
    <t>0421</t>
  </si>
  <si>
    <t>林思颖</t>
  </si>
  <si>
    <t>0422</t>
  </si>
  <si>
    <t>唐腾威</t>
  </si>
  <si>
    <t>0423</t>
  </si>
  <si>
    <t>黄屹滨</t>
  </si>
  <si>
    <t>0424</t>
  </si>
  <si>
    <t>陆景浩</t>
  </si>
  <si>
    <t>0425</t>
  </si>
  <si>
    <t>柯智勇</t>
  </si>
  <si>
    <t>0426</t>
  </si>
  <si>
    <t>陈思洁</t>
  </si>
  <si>
    <t>0427</t>
  </si>
  <si>
    <t>林鑫瑶</t>
  </si>
  <si>
    <t>0429</t>
  </si>
  <si>
    <t>林眺</t>
  </si>
  <si>
    <t>0430</t>
  </si>
  <si>
    <t>李沐宏</t>
  </si>
  <si>
    <t>0431</t>
  </si>
  <si>
    <t>陈伟凡</t>
  </si>
  <si>
    <t>0432</t>
  </si>
  <si>
    <t>林伟涛</t>
  </si>
  <si>
    <t>0433</t>
  </si>
  <si>
    <t>林子豪</t>
  </si>
  <si>
    <t>0434</t>
  </si>
  <si>
    <t>杜帅</t>
  </si>
  <si>
    <t>0435</t>
  </si>
  <si>
    <t>陈颖缘</t>
  </si>
  <si>
    <t>0437</t>
  </si>
  <si>
    <t>张丙戍</t>
  </si>
  <si>
    <t>0438</t>
  </si>
  <si>
    <t>蔡镇远</t>
  </si>
  <si>
    <t>0439</t>
  </si>
  <si>
    <t>陈嘉琳</t>
  </si>
  <si>
    <t>0440</t>
  </si>
  <si>
    <t>程毅</t>
  </si>
  <si>
    <t>0441</t>
  </si>
  <si>
    <t>林军豪</t>
  </si>
  <si>
    <t>0442</t>
  </si>
  <si>
    <t>林智豪</t>
  </si>
  <si>
    <t>0443</t>
  </si>
  <si>
    <t>林荔青</t>
  </si>
  <si>
    <t>0444</t>
  </si>
  <si>
    <t>陈泓</t>
  </si>
  <si>
    <t>0445</t>
  </si>
  <si>
    <t>朱雅婷</t>
  </si>
  <si>
    <t>0446</t>
  </si>
  <si>
    <t>蔡子豪</t>
  </si>
  <si>
    <t>0447</t>
  </si>
  <si>
    <t>郑心瑜</t>
  </si>
  <si>
    <t>0501</t>
  </si>
  <si>
    <t>林士杰</t>
  </si>
  <si>
    <t>0502</t>
  </si>
  <si>
    <t>李嘉乐</t>
  </si>
  <si>
    <t>0504</t>
  </si>
  <si>
    <t>陈静茹</t>
  </si>
  <si>
    <t>0505</t>
  </si>
  <si>
    <t>叶婉芯</t>
  </si>
  <si>
    <t>0506</t>
  </si>
  <si>
    <t>俞绍堂</t>
  </si>
  <si>
    <t>0507</t>
  </si>
  <si>
    <t>吴葳鸿</t>
  </si>
  <si>
    <t>0508</t>
  </si>
  <si>
    <t>林志伟</t>
  </si>
  <si>
    <t>0509</t>
  </si>
  <si>
    <t>龚晶晶</t>
  </si>
  <si>
    <t>0510</t>
  </si>
  <si>
    <t>詹伟杰</t>
  </si>
  <si>
    <t>0511</t>
  </si>
  <si>
    <t>林逸凡</t>
  </si>
  <si>
    <t>0512</t>
  </si>
  <si>
    <t>林俊海</t>
  </si>
  <si>
    <t>0513</t>
  </si>
  <si>
    <t>阮莉琴</t>
  </si>
  <si>
    <t>0514</t>
  </si>
  <si>
    <t>范伟涵</t>
  </si>
  <si>
    <t>0515</t>
  </si>
  <si>
    <t>黄云飞</t>
  </si>
  <si>
    <t>0516</t>
  </si>
  <si>
    <t>李晨</t>
  </si>
  <si>
    <t>0517</t>
  </si>
  <si>
    <t>翁明英</t>
  </si>
  <si>
    <t>0518</t>
  </si>
  <si>
    <t>翁雨娟</t>
  </si>
  <si>
    <t>0519</t>
  </si>
  <si>
    <t>郭建彪</t>
  </si>
  <si>
    <t>0520</t>
  </si>
  <si>
    <t>严佳双</t>
  </si>
  <si>
    <t>0521</t>
  </si>
  <si>
    <t>王毅</t>
  </si>
  <si>
    <t>0522</t>
  </si>
  <si>
    <t>吴伟俊</t>
  </si>
  <si>
    <t>0523</t>
  </si>
  <si>
    <t>张鹏</t>
  </si>
  <si>
    <t>0524</t>
  </si>
  <si>
    <t>韩宜臻</t>
  </si>
  <si>
    <t>0525</t>
  </si>
  <si>
    <t>林宇烨</t>
  </si>
  <si>
    <t>0526</t>
  </si>
  <si>
    <t>邱筱姗</t>
  </si>
  <si>
    <t>0527</t>
  </si>
  <si>
    <t>郑凌翔</t>
  </si>
  <si>
    <t>0528</t>
  </si>
  <si>
    <t>林屿恒</t>
  </si>
  <si>
    <t>0529</t>
  </si>
  <si>
    <t>潘佳博</t>
  </si>
  <si>
    <t>0530</t>
  </si>
  <si>
    <t>陈嘉勇</t>
  </si>
  <si>
    <t>0531</t>
  </si>
  <si>
    <t>王伟敏</t>
  </si>
  <si>
    <t>0532</t>
  </si>
  <si>
    <t>蔡浩庭</t>
  </si>
  <si>
    <t>0533</t>
  </si>
  <si>
    <t>朱俊杰</t>
  </si>
  <si>
    <t>0534</t>
  </si>
  <si>
    <t>林超越</t>
  </si>
  <si>
    <t>0535</t>
  </si>
  <si>
    <t>邹少辉</t>
  </si>
  <si>
    <t>0536</t>
  </si>
  <si>
    <t>施辉明</t>
  </si>
  <si>
    <t>0537</t>
  </si>
  <si>
    <t>翁敏嘉</t>
  </si>
  <si>
    <t>0538</t>
  </si>
  <si>
    <t>杨远川</t>
  </si>
  <si>
    <t>0539</t>
  </si>
  <si>
    <t>宋国韬</t>
  </si>
  <si>
    <t>0540</t>
  </si>
  <si>
    <t>刘嘉钦</t>
  </si>
  <si>
    <t>0541</t>
  </si>
  <si>
    <t>李明</t>
  </si>
  <si>
    <t>0542</t>
  </si>
  <si>
    <t>0543</t>
  </si>
  <si>
    <t>吴城府</t>
  </si>
  <si>
    <t>0544</t>
  </si>
  <si>
    <t>苏敏敏</t>
  </si>
  <si>
    <t>0545</t>
  </si>
  <si>
    <t>0547</t>
  </si>
  <si>
    <t>陈俊豪</t>
  </si>
  <si>
    <t>0548</t>
  </si>
  <si>
    <t>黄家晓</t>
  </si>
  <si>
    <t>0549</t>
  </si>
  <si>
    <t>佘启航</t>
  </si>
  <si>
    <t>0603</t>
  </si>
  <si>
    <t>陈伟哲</t>
  </si>
  <si>
    <t>0604</t>
  </si>
  <si>
    <t>林伟兰</t>
  </si>
  <si>
    <t>0605</t>
  </si>
  <si>
    <t>刘褀隆</t>
  </si>
  <si>
    <t>0606</t>
  </si>
  <si>
    <t>庞丹</t>
  </si>
  <si>
    <t>0607</t>
  </si>
  <si>
    <t>蔡曼妮</t>
  </si>
  <si>
    <t>0608</t>
  </si>
  <si>
    <t>林家豪</t>
  </si>
  <si>
    <t>0609</t>
  </si>
  <si>
    <t>朱逸萍</t>
  </si>
  <si>
    <t>0610</t>
  </si>
  <si>
    <t>陈璐</t>
  </si>
  <si>
    <t>0612</t>
  </si>
  <si>
    <t>王瑾芮</t>
  </si>
  <si>
    <t>0613</t>
  </si>
  <si>
    <t>陈鑫萍</t>
  </si>
  <si>
    <t>0614</t>
  </si>
  <si>
    <t>徐宇泽</t>
  </si>
  <si>
    <t>0615</t>
  </si>
  <si>
    <t>谢权鑫</t>
  </si>
  <si>
    <t>0616</t>
  </si>
  <si>
    <t>朱佳晓</t>
  </si>
  <si>
    <t>0617</t>
  </si>
  <si>
    <t>徐海军</t>
  </si>
  <si>
    <t>0618</t>
  </si>
  <si>
    <t>胡玲越</t>
  </si>
  <si>
    <t>0619</t>
  </si>
  <si>
    <t>黄玪</t>
  </si>
  <si>
    <t>0620</t>
  </si>
  <si>
    <t>林沛洁</t>
  </si>
  <si>
    <t>0621</t>
  </si>
  <si>
    <t>池艺璇</t>
  </si>
  <si>
    <t>0622</t>
  </si>
  <si>
    <t>陈奕汉</t>
  </si>
  <si>
    <t>0623</t>
  </si>
  <si>
    <t>杨夕妤</t>
  </si>
  <si>
    <t>0624</t>
  </si>
  <si>
    <t>方杭</t>
  </si>
  <si>
    <t>0625</t>
  </si>
  <si>
    <t>何梓薰</t>
  </si>
  <si>
    <t>0626</t>
  </si>
  <si>
    <t>林钲翔</t>
  </si>
  <si>
    <t>0627</t>
  </si>
  <si>
    <t>黄天惠</t>
  </si>
  <si>
    <t>0628</t>
  </si>
  <si>
    <t>陈佳琳</t>
  </si>
  <si>
    <t>0629</t>
  </si>
  <si>
    <t>陈婧</t>
  </si>
  <si>
    <t>0630</t>
  </si>
  <si>
    <t>杨孟娟</t>
  </si>
  <si>
    <t>0631</t>
  </si>
  <si>
    <t>欧丽凡</t>
  </si>
  <si>
    <t>0632</t>
  </si>
  <si>
    <t>陈志星</t>
  </si>
  <si>
    <t>0633</t>
  </si>
  <si>
    <t>张永敏</t>
  </si>
  <si>
    <t>0634</t>
  </si>
  <si>
    <t>邹益婷</t>
  </si>
  <si>
    <t>0635</t>
  </si>
  <si>
    <t>方静</t>
  </si>
  <si>
    <t>0636</t>
  </si>
  <si>
    <t>周芸婷</t>
  </si>
  <si>
    <t>0637</t>
  </si>
  <si>
    <t>李怡海</t>
  </si>
  <si>
    <t>0638</t>
  </si>
  <si>
    <t>张智勇</t>
  </si>
  <si>
    <t>0639</t>
  </si>
  <si>
    <t>彭雅婷</t>
  </si>
  <si>
    <t>0640</t>
  </si>
  <si>
    <t>陈丽华</t>
  </si>
  <si>
    <t>0641</t>
  </si>
  <si>
    <t>陈希铠</t>
  </si>
  <si>
    <t>0642</t>
  </si>
  <si>
    <t>郭嘉琪</t>
  </si>
  <si>
    <t>0701</t>
  </si>
  <si>
    <t>陈奕</t>
  </si>
  <si>
    <t>0702</t>
  </si>
  <si>
    <t>曾泽鑫</t>
  </si>
  <si>
    <t>0703</t>
  </si>
  <si>
    <t>林丽霞</t>
  </si>
  <si>
    <t>0704</t>
  </si>
  <si>
    <t>张依琳</t>
  </si>
  <si>
    <t>0705</t>
  </si>
  <si>
    <t>郭建志</t>
  </si>
  <si>
    <t>0706</t>
  </si>
  <si>
    <t>邹羽晨</t>
  </si>
  <si>
    <t>0707</t>
  </si>
  <si>
    <t>赵丽琴</t>
  </si>
  <si>
    <t>0709</t>
  </si>
  <si>
    <t>徐静怡</t>
  </si>
  <si>
    <t>0710</t>
  </si>
  <si>
    <t>谢宜凝</t>
  </si>
  <si>
    <t>0711</t>
  </si>
  <si>
    <t>黄妍妍</t>
  </si>
  <si>
    <t>0712</t>
  </si>
  <si>
    <t>林嘉兴</t>
  </si>
  <si>
    <t>0713</t>
  </si>
  <si>
    <t>宋婷婷</t>
  </si>
  <si>
    <t>0714</t>
  </si>
  <si>
    <t>张豪</t>
  </si>
  <si>
    <t>0715</t>
  </si>
  <si>
    <t>沈欣怡</t>
  </si>
  <si>
    <t>0716</t>
  </si>
  <si>
    <t>林夏仪</t>
  </si>
  <si>
    <t>0717</t>
  </si>
  <si>
    <t>徐宸昊</t>
  </si>
  <si>
    <t>0718</t>
  </si>
  <si>
    <t>朱朝峰</t>
  </si>
  <si>
    <t>0719</t>
  </si>
  <si>
    <t>谢嘉琦</t>
  </si>
  <si>
    <t>0720</t>
  </si>
  <si>
    <t>林俊杰</t>
  </si>
  <si>
    <t>0721</t>
  </si>
  <si>
    <t>郑嘉晨</t>
  </si>
  <si>
    <t>0722</t>
  </si>
  <si>
    <t>黄慧宁</t>
  </si>
  <si>
    <t>0723</t>
  </si>
  <si>
    <t>黄婧婧</t>
  </si>
  <si>
    <t>0724</t>
  </si>
  <si>
    <t>陈政洁</t>
  </si>
  <si>
    <t>0725</t>
  </si>
  <si>
    <t>林志铮</t>
  </si>
  <si>
    <t>0728</t>
  </si>
  <si>
    <t>薛钰华</t>
  </si>
  <si>
    <t>0729</t>
  </si>
  <si>
    <t>赵敏学</t>
  </si>
  <si>
    <t>0730</t>
  </si>
  <si>
    <t>林志宏</t>
  </si>
  <si>
    <t>0731</t>
  </si>
  <si>
    <t>叶宇航</t>
  </si>
  <si>
    <t>0732</t>
  </si>
  <si>
    <t>钟禾英</t>
  </si>
  <si>
    <t>0733</t>
  </si>
  <si>
    <t>黄玲艳</t>
  </si>
  <si>
    <t>0734</t>
  </si>
  <si>
    <t>康紫桐</t>
  </si>
  <si>
    <t>0735</t>
  </si>
  <si>
    <t>郑妍</t>
  </si>
  <si>
    <t>0736</t>
  </si>
  <si>
    <t>林俊豪</t>
  </si>
  <si>
    <t>0737</t>
  </si>
  <si>
    <t>方俊晨</t>
  </si>
  <si>
    <t>0738</t>
  </si>
  <si>
    <t>郑佳滢</t>
  </si>
  <si>
    <t>0739</t>
  </si>
  <si>
    <t>林书冶</t>
  </si>
  <si>
    <t>0740</t>
  </si>
  <si>
    <t>陈雅晴</t>
  </si>
  <si>
    <t>0741</t>
  </si>
  <si>
    <t>吴棋锋</t>
  </si>
  <si>
    <t>0801</t>
  </si>
  <si>
    <t>许咏昶</t>
  </si>
  <si>
    <t>0802</t>
  </si>
  <si>
    <t>吴晓霏</t>
  </si>
  <si>
    <t>0803</t>
  </si>
  <si>
    <t>朱梓华</t>
  </si>
  <si>
    <t>0804</t>
  </si>
  <si>
    <t>傅子玲</t>
  </si>
  <si>
    <t>0805</t>
  </si>
  <si>
    <t>邹铭阳</t>
  </si>
  <si>
    <t>0806</t>
  </si>
  <si>
    <t>陈景滨</t>
  </si>
  <si>
    <t>0807</t>
  </si>
  <si>
    <t>卓振泽</t>
  </si>
  <si>
    <t>0808</t>
  </si>
  <si>
    <t>陈雨翔</t>
  </si>
  <si>
    <t>0809</t>
  </si>
  <si>
    <t>张盈</t>
  </si>
  <si>
    <t>0810</t>
  </si>
  <si>
    <t>戴梦豪</t>
  </si>
  <si>
    <t>0811</t>
  </si>
  <si>
    <t>林炜宸</t>
  </si>
  <si>
    <t>0812</t>
  </si>
  <si>
    <t>何金颖</t>
  </si>
  <si>
    <t>0813</t>
  </si>
  <si>
    <t>俞佳慧</t>
  </si>
  <si>
    <t>0814</t>
  </si>
  <si>
    <t>阮重霖</t>
  </si>
  <si>
    <t>0815</t>
  </si>
  <si>
    <t>蒋亿多</t>
  </si>
  <si>
    <t>0816</t>
  </si>
  <si>
    <t>李鸿羽</t>
  </si>
  <si>
    <t>0817</t>
  </si>
  <si>
    <t>苏含韵</t>
  </si>
  <si>
    <t>0818</t>
  </si>
  <si>
    <t>汪洋</t>
  </si>
  <si>
    <t>0819</t>
  </si>
  <si>
    <t>陈依星</t>
  </si>
  <si>
    <t>0820</t>
  </si>
  <si>
    <t>潘炜杰</t>
  </si>
  <si>
    <t>0821</t>
  </si>
  <si>
    <t>林家兴</t>
  </si>
  <si>
    <t>0822</t>
  </si>
  <si>
    <t>陈可心</t>
  </si>
  <si>
    <t>0823</t>
  </si>
  <si>
    <t>卓玥</t>
  </si>
  <si>
    <t>0825</t>
  </si>
  <si>
    <t>陈诗怡</t>
  </si>
  <si>
    <t>0826</t>
  </si>
  <si>
    <t>朱春雨</t>
  </si>
  <si>
    <t>0827</t>
  </si>
  <si>
    <t>杨依婷</t>
  </si>
  <si>
    <t>0828</t>
  </si>
  <si>
    <t>陈绮微</t>
  </si>
  <si>
    <t>0829</t>
  </si>
  <si>
    <t>林怡然</t>
  </si>
  <si>
    <t>0831</t>
  </si>
  <si>
    <t>阮云鹤</t>
  </si>
  <si>
    <t>0832</t>
  </si>
  <si>
    <t>0833</t>
  </si>
  <si>
    <t>方怡</t>
  </si>
  <si>
    <t>0834</t>
  </si>
  <si>
    <t>林玮琪</t>
  </si>
  <si>
    <t>0835</t>
  </si>
  <si>
    <t>邹阳豪</t>
  </si>
  <si>
    <t>0836</t>
  </si>
  <si>
    <t>刘晓艺</t>
  </si>
  <si>
    <t>0837</t>
  </si>
  <si>
    <t>唐诗淇</t>
  </si>
  <si>
    <t>0838</t>
  </si>
  <si>
    <t>郑呈竑</t>
  </si>
  <si>
    <t>0839</t>
  </si>
  <si>
    <t>张家霖</t>
  </si>
  <si>
    <t>0840</t>
  </si>
  <si>
    <t>陈彬</t>
  </si>
  <si>
    <t>0841</t>
  </si>
  <si>
    <t>郑梦铃</t>
  </si>
  <si>
    <t>0842</t>
  </si>
  <si>
    <t>陈祎烨</t>
  </si>
  <si>
    <t>0843</t>
  </si>
  <si>
    <t>陈轩</t>
  </si>
  <si>
    <t>0844</t>
  </si>
  <si>
    <t>陈子娇</t>
  </si>
  <si>
    <t>0845</t>
  </si>
  <si>
    <t>陈家卫</t>
  </si>
  <si>
    <t>0846</t>
  </si>
  <si>
    <t>陈韵</t>
  </si>
  <si>
    <t>0847</t>
  </si>
  <si>
    <t>翁明正</t>
  </si>
  <si>
    <t>0848</t>
  </si>
  <si>
    <t>黄智隆</t>
  </si>
  <si>
    <t>0849</t>
  </si>
  <si>
    <t>李智宏</t>
  </si>
  <si>
    <t>0850</t>
  </si>
  <si>
    <t>李伟洪</t>
  </si>
  <si>
    <t>0851</t>
  </si>
  <si>
    <t>游佳凝</t>
  </si>
  <si>
    <t>0852</t>
  </si>
  <si>
    <t>郭峻宏</t>
  </si>
  <si>
    <t>0853</t>
  </si>
  <si>
    <t>吴偲蕊</t>
  </si>
  <si>
    <t>0854</t>
  </si>
  <si>
    <t>林一凡</t>
  </si>
  <si>
    <t>0855</t>
  </si>
  <si>
    <t>谢汉铭</t>
  </si>
  <si>
    <t>0858</t>
  </si>
  <si>
    <t>翁晓宇</t>
  </si>
  <si>
    <t>0859</t>
  </si>
  <si>
    <t>陈毅轩</t>
  </si>
  <si>
    <t>0860</t>
  </si>
  <si>
    <t>潘承圻</t>
  </si>
  <si>
    <t>0861</t>
  </si>
  <si>
    <t>陈瀚铭</t>
  </si>
  <si>
    <t>0901</t>
  </si>
  <si>
    <t>翁爱丽</t>
  </si>
  <si>
    <t>0902</t>
  </si>
  <si>
    <t>陈家丽</t>
  </si>
  <si>
    <t>0903</t>
  </si>
  <si>
    <t>李佳颖</t>
  </si>
  <si>
    <t>0904</t>
  </si>
  <si>
    <t>郑楠</t>
  </si>
  <si>
    <t>0905</t>
  </si>
  <si>
    <t>陈海斌</t>
  </si>
  <si>
    <t>0906</t>
  </si>
  <si>
    <t>吴建山</t>
  </si>
  <si>
    <t>0907</t>
  </si>
  <si>
    <t>陈朴希</t>
  </si>
  <si>
    <t>0908</t>
  </si>
  <si>
    <t>李谌炅</t>
  </si>
  <si>
    <t>0909</t>
  </si>
  <si>
    <t>蔡宇楠</t>
  </si>
  <si>
    <t>0910</t>
  </si>
  <si>
    <t>陈纪华</t>
  </si>
  <si>
    <t>0911</t>
  </si>
  <si>
    <t>郑雄聪</t>
  </si>
  <si>
    <t>0912</t>
  </si>
  <si>
    <t>张雅琴</t>
  </si>
  <si>
    <t>0913</t>
  </si>
  <si>
    <t>郑怡晴</t>
  </si>
  <si>
    <t>0914</t>
  </si>
  <si>
    <t>谢克杰</t>
  </si>
  <si>
    <t>0915</t>
  </si>
  <si>
    <t>黄家宝</t>
  </si>
  <si>
    <t>0916</t>
  </si>
  <si>
    <t>林翔锴</t>
  </si>
  <si>
    <t>0917</t>
  </si>
  <si>
    <t>吴清霖</t>
  </si>
  <si>
    <t>0918</t>
  </si>
  <si>
    <t>宋志君</t>
  </si>
  <si>
    <t>0919</t>
  </si>
  <si>
    <t>程思扬</t>
  </si>
  <si>
    <t>0920</t>
  </si>
  <si>
    <t>张学兵</t>
  </si>
  <si>
    <t>0921</t>
  </si>
  <si>
    <t>吴佳宝</t>
  </si>
  <si>
    <t>0922</t>
  </si>
  <si>
    <t>黄锦枫</t>
  </si>
  <si>
    <t>0923</t>
  </si>
  <si>
    <t>林宇涵</t>
  </si>
  <si>
    <t>0924</t>
  </si>
  <si>
    <t>郑圣润</t>
  </si>
  <si>
    <t>0926</t>
  </si>
  <si>
    <t>林晨阳</t>
  </si>
  <si>
    <t>0927</t>
  </si>
  <si>
    <t>郭俊良</t>
  </si>
  <si>
    <t>0928</t>
  </si>
  <si>
    <t>郑铭昊</t>
  </si>
  <si>
    <t>0929</t>
  </si>
  <si>
    <t>蔡岳</t>
  </si>
  <si>
    <t>0930</t>
  </si>
  <si>
    <t>李涛</t>
  </si>
  <si>
    <t>0931</t>
  </si>
  <si>
    <t>张沐佳</t>
  </si>
  <si>
    <t>0932</t>
  </si>
  <si>
    <t>吴凌枫</t>
  </si>
  <si>
    <t>0933</t>
  </si>
  <si>
    <t>饶玲烨</t>
  </si>
  <si>
    <t>0934</t>
  </si>
  <si>
    <t>陈宇翔</t>
  </si>
  <si>
    <t>0935</t>
  </si>
  <si>
    <t>朱林强</t>
  </si>
  <si>
    <t>0936</t>
  </si>
  <si>
    <t>陈瀚宇</t>
  </si>
  <si>
    <t>0937</t>
  </si>
  <si>
    <t>彭智勇</t>
  </si>
  <si>
    <t>0938</t>
  </si>
  <si>
    <t>谢振宇</t>
  </si>
  <si>
    <t>0939</t>
  </si>
  <si>
    <t>柳健宇</t>
  </si>
  <si>
    <t>0940</t>
  </si>
  <si>
    <t>戴志健</t>
  </si>
  <si>
    <t>0941</t>
  </si>
  <si>
    <t>黄强</t>
  </si>
  <si>
    <t>0942</t>
  </si>
  <si>
    <t>陈伟益</t>
  </si>
  <si>
    <t>0943</t>
  </si>
  <si>
    <t>陈睿</t>
  </si>
  <si>
    <t>0944</t>
  </si>
  <si>
    <t>陈灵旭</t>
  </si>
  <si>
    <t>0945</t>
  </si>
  <si>
    <t>郑陈毅</t>
  </si>
  <si>
    <t>0946</t>
  </si>
  <si>
    <t>张梓帆</t>
  </si>
  <si>
    <t>0947</t>
  </si>
  <si>
    <t>蔡晴</t>
  </si>
  <si>
    <t>0948</t>
  </si>
  <si>
    <t>林欣怡</t>
  </si>
  <si>
    <t>0949</t>
  </si>
  <si>
    <t>范智勇</t>
  </si>
  <si>
    <t>0950</t>
  </si>
  <si>
    <t>林靖贤</t>
  </si>
  <si>
    <t>0951</t>
  </si>
  <si>
    <t>吴泽昊</t>
  </si>
  <si>
    <t>0952</t>
  </si>
  <si>
    <t>朱煜汐</t>
  </si>
  <si>
    <t>0953</t>
  </si>
  <si>
    <t>翁朝辉</t>
  </si>
  <si>
    <t>0954</t>
  </si>
  <si>
    <t>杨嘉宇</t>
  </si>
  <si>
    <t>0955</t>
  </si>
  <si>
    <t>郑子琳</t>
  </si>
  <si>
    <t>1001</t>
  </si>
  <si>
    <t>蔡天豪</t>
  </si>
  <si>
    <t>1002</t>
  </si>
  <si>
    <t>林靖凯</t>
  </si>
  <si>
    <t>1003</t>
  </si>
  <si>
    <t>朱熠霏</t>
  </si>
  <si>
    <t>1004</t>
  </si>
  <si>
    <t>陈明权</t>
  </si>
  <si>
    <t>1005</t>
  </si>
  <si>
    <t>孙伊琪</t>
  </si>
  <si>
    <t>1006</t>
  </si>
  <si>
    <t>林荣翔</t>
  </si>
  <si>
    <t>1007</t>
  </si>
  <si>
    <t>赖紫英</t>
  </si>
  <si>
    <t>1008</t>
  </si>
  <si>
    <t>黄嘉祥</t>
  </si>
  <si>
    <t>1009</t>
  </si>
  <si>
    <t>郑铠明</t>
  </si>
  <si>
    <t>1010</t>
  </si>
  <si>
    <t>陈鸿伟</t>
  </si>
  <si>
    <t>1011</t>
  </si>
  <si>
    <t>杨佳灵</t>
  </si>
  <si>
    <t>1012</t>
  </si>
  <si>
    <t>张宇晨</t>
  </si>
  <si>
    <t>1013</t>
  </si>
  <si>
    <t>岳阳</t>
  </si>
  <si>
    <t>1014</t>
  </si>
  <si>
    <t>李瀚</t>
  </si>
  <si>
    <t>1015</t>
  </si>
  <si>
    <t>郭群杰</t>
  </si>
  <si>
    <t>1016</t>
  </si>
  <si>
    <t>郑翔宇</t>
  </si>
  <si>
    <t>1017</t>
  </si>
  <si>
    <t>廖埔呈</t>
  </si>
  <si>
    <t>1018</t>
  </si>
  <si>
    <t>朱梅芬</t>
  </si>
  <si>
    <t>1019</t>
  </si>
  <si>
    <t>陈力捷</t>
  </si>
  <si>
    <t>1020</t>
  </si>
  <si>
    <t>林晓芳</t>
  </si>
  <si>
    <t>1021</t>
  </si>
  <si>
    <t>林奇斌</t>
  </si>
  <si>
    <t>1022</t>
  </si>
  <si>
    <t>方旸</t>
  </si>
  <si>
    <t>1023</t>
  </si>
  <si>
    <t>徐潇鸣</t>
  </si>
  <si>
    <t>1024</t>
  </si>
  <si>
    <t>陈雯静</t>
  </si>
  <si>
    <t>1025</t>
  </si>
  <si>
    <t>郑霏凡</t>
  </si>
  <si>
    <t>1026</t>
  </si>
  <si>
    <t>许丽敏</t>
  </si>
  <si>
    <t>1027</t>
  </si>
  <si>
    <t>叶飞霆</t>
  </si>
  <si>
    <t>1028</t>
  </si>
  <si>
    <t>林欣然</t>
  </si>
  <si>
    <t>1029</t>
  </si>
  <si>
    <t>林艳冰</t>
  </si>
  <si>
    <t>1030</t>
  </si>
  <si>
    <t>詹靖佳</t>
  </si>
  <si>
    <t>1031</t>
  </si>
  <si>
    <t>许右贤</t>
  </si>
  <si>
    <t>1032</t>
  </si>
  <si>
    <t>谢正鸿</t>
  </si>
  <si>
    <t>1033</t>
  </si>
  <si>
    <t>刘黎宏</t>
  </si>
  <si>
    <t>1034</t>
  </si>
  <si>
    <t>吴其乐</t>
  </si>
  <si>
    <t>1035</t>
  </si>
  <si>
    <t>许韵勤</t>
  </si>
  <si>
    <t>1036</t>
  </si>
  <si>
    <t>林泽原</t>
  </si>
  <si>
    <t>1037</t>
  </si>
  <si>
    <t>郑楠楠</t>
  </si>
  <si>
    <t>1038</t>
  </si>
  <si>
    <t>杨雨霏</t>
  </si>
  <si>
    <t>1039</t>
  </si>
  <si>
    <t>谢嘉豪</t>
  </si>
  <si>
    <t>1040</t>
  </si>
  <si>
    <t>连钧右</t>
  </si>
  <si>
    <t>1041</t>
  </si>
  <si>
    <t>陈敏泽</t>
  </si>
  <si>
    <t>1042</t>
  </si>
  <si>
    <t>周子豪</t>
  </si>
  <si>
    <t>1043</t>
  </si>
  <si>
    <t>郑诚俊</t>
  </si>
  <si>
    <t>1044</t>
  </si>
  <si>
    <t>林忆婷</t>
  </si>
  <si>
    <t>1045</t>
  </si>
  <si>
    <t>邹凯</t>
  </si>
  <si>
    <t>1046</t>
  </si>
  <si>
    <t>张昊</t>
  </si>
  <si>
    <t>1047</t>
  </si>
  <si>
    <t>林怡佳</t>
  </si>
  <si>
    <t>1048</t>
  </si>
  <si>
    <t>翁王斌</t>
  </si>
  <si>
    <t>1049</t>
  </si>
  <si>
    <t>邹黎明</t>
  </si>
  <si>
    <t>1050</t>
  </si>
  <si>
    <t>林隆廷</t>
  </si>
  <si>
    <t>1051</t>
  </si>
  <si>
    <t>黄子昂</t>
  </si>
  <si>
    <t>1052</t>
  </si>
  <si>
    <t>林毅龙</t>
  </si>
  <si>
    <t>1053</t>
  </si>
  <si>
    <t>朱晖迪</t>
  </si>
  <si>
    <t>1054</t>
  </si>
  <si>
    <t>徐杰</t>
  </si>
  <si>
    <t>1055</t>
  </si>
  <si>
    <t>顾宇芬</t>
  </si>
  <si>
    <t>1056</t>
  </si>
  <si>
    <t>郑威剑</t>
  </si>
  <si>
    <t>1057</t>
  </si>
  <si>
    <t>傅宇轩</t>
  </si>
  <si>
    <t>1101</t>
  </si>
  <si>
    <t>郑腾岳</t>
  </si>
  <si>
    <t>1102</t>
  </si>
  <si>
    <t>林辉越</t>
  </si>
  <si>
    <t>1103</t>
  </si>
  <si>
    <t>曾浩景</t>
  </si>
  <si>
    <t>1104</t>
  </si>
  <si>
    <t>俞林婷</t>
  </si>
  <si>
    <t>1105</t>
  </si>
  <si>
    <t>王一</t>
  </si>
  <si>
    <t>1106</t>
  </si>
  <si>
    <t>林郑宇</t>
  </si>
  <si>
    <t>1107</t>
  </si>
  <si>
    <t>林晓璐</t>
  </si>
  <si>
    <t>1108</t>
  </si>
  <si>
    <t>许鸿铭</t>
  </si>
  <si>
    <t>1109</t>
  </si>
  <si>
    <t>李仁瑞</t>
  </si>
  <si>
    <t>1110</t>
  </si>
  <si>
    <t>许宸志</t>
  </si>
  <si>
    <t>1111</t>
  </si>
  <si>
    <t>郭平</t>
  </si>
  <si>
    <t>1112</t>
  </si>
  <si>
    <t>周万洪</t>
  </si>
  <si>
    <t>1113</t>
  </si>
  <si>
    <t>陈静怡</t>
  </si>
  <si>
    <t>1114</t>
  </si>
  <si>
    <t>唐嘉侨</t>
  </si>
  <si>
    <t>1115</t>
  </si>
  <si>
    <t>李嘉辉</t>
  </si>
  <si>
    <t>1116</t>
  </si>
  <si>
    <t>覃周闽佳</t>
  </si>
  <si>
    <t>1117</t>
  </si>
  <si>
    <t>游牧颖</t>
  </si>
  <si>
    <t>1118</t>
  </si>
  <si>
    <t>谢沈</t>
  </si>
  <si>
    <t>1119</t>
  </si>
  <si>
    <t>郑宇航</t>
  </si>
  <si>
    <t>1120</t>
  </si>
  <si>
    <t>王建辉</t>
  </si>
  <si>
    <t>1121</t>
  </si>
  <si>
    <t>陈晶晶</t>
  </si>
  <si>
    <t>1122</t>
  </si>
  <si>
    <t>郑辰屹</t>
  </si>
  <si>
    <t>1124</t>
  </si>
  <si>
    <t>范智伟</t>
  </si>
  <si>
    <t>1125</t>
  </si>
  <si>
    <t>陈铭杰</t>
  </si>
  <si>
    <t>1126</t>
  </si>
  <si>
    <t>黄金伟</t>
  </si>
  <si>
    <t>1127</t>
  </si>
  <si>
    <t>朱芽晨</t>
  </si>
  <si>
    <t>1128</t>
  </si>
  <si>
    <t>张健</t>
  </si>
  <si>
    <t>1129</t>
  </si>
  <si>
    <t>苏琪涵</t>
  </si>
  <si>
    <t>1130</t>
  </si>
  <si>
    <t>林晨</t>
  </si>
  <si>
    <t>1131</t>
  </si>
  <si>
    <t>1132</t>
  </si>
  <si>
    <t>林云志</t>
  </si>
  <si>
    <t>1133</t>
  </si>
  <si>
    <t>陈领馨</t>
  </si>
  <si>
    <t>1134</t>
  </si>
  <si>
    <t>朱志扬</t>
  </si>
  <si>
    <t>1136</t>
  </si>
  <si>
    <t>陈泽楠</t>
  </si>
  <si>
    <t>1137</t>
  </si>
  <si>
    <t>林烨雷</t>
  </si>
  <si>
    <t>1138</t>
  </si>
  <si>
    <t>何志涛</t>
  </si>
  <si>
    <t>1139</t>
  </si>
  <si>
    <t>王怡丹</t>
  </si>
  <si>
    <t>1140</t>
  </si>
  <si>
    <t>陈庚</t>
  </si>
  <si>
    <t>1141</t>
  </si>
  <si>
    <t>林嘉欣</t>
  </si>
  <si>
    <t>1142</t>
  </si>
  <si>
    <t>苏周恺</t>
  </si>
  <si>
    <t>1143</t>
  </si>
  <si>
    <t>刘伟涵</t>
  </si>
  <si>
    <t>1144</t>
  </si>
  <si>
    <t>1145</t>
  </si>
  <si>
    <t>陈嘉豪</t>
  </si>
  <si>
    <t>1146</t>
  </si>
  <si>
    <t>张思晨</t>
  </si>
  <si>
    <t>1147</t>
  </si>
  <si>
    <t>黄佳进</t>
  </si>
  <si>
    <t>1148</t>
  </si>
  <si>
    <t>戴凡越</t>
  </si>
  <si>
    <t>1149</t>
  </si>
  <si>
    <t>孙艳玲</t>
  </si>
  <si>
    <t>1150</t>
  </si>
  <si>
    <t>姚翔</t>
  </si>
  <si>
    <t>1151</t>
  </si>
  <si>
    <t>胡沛栋</t>
  </si>
  <si>
    <t>1152</t>
  </si>
  <si>
    <t>徐浩铭</t>
  </si>
  <si>
    <t>1153</t>
  </si>
  <si>
    <t>陈宜晴</t>
  </si>
  <si>
    <t>1154</t>
  </si>
  <si>
    <t>于城虹</t>
  </si>
  <si>
    <t>1155</t>
  </si>
  <si>
    <t>林振宇</t>
  </si>
  <si>
    <t>1156</t>
  </si>
  <si>
    <t>蔡立昌</t>
  </si>
  <si>
    <t>1157</t>
  </si>
  <si>
    <t>朱逸雪</t>
  </si>
  <si>
    <t>1158</t>
  </si>
  <si>
    <t>温顶辉</t>
  </si>
  <si>
    <t>1159</t>
  </si>
  <si>
    <t>林雅静</t>
  </si>
  <si>
    <t>1201</t>
  </si>
  <si>
    <t>胡宇航</t>
  </si>
  <si>
    <t>1202</t>
  </si>
  <si>
    <t>陈俊宇</t>
  </si>
  <si>
    <t>1203</t>
  </si>
  <si>
    <t>张权</t>
  </si>
  <si>
    <t>1204</t>
  </si>
  <si>
    <t>叶孟哲</t>
  </si>
  <si>
    <t>1205</t>
  </si>
  <si>
    <t>何仰</t>
  </si>
  <si>
    <t>1206</t>
  </si>
  <si>
    <t>陈伟涛</t>
  </si>
  <si>
    <t>1207</t>
  </si>
  <si>
    <t>刘星宇</t>
  </si>
  <si>
    <t>1208</t>
  </si>
  <si>
    <t>宋信瀚</t>
  </si>
  <si>
    <t>1209</t>
  </si>
  <si>
    <t>徐潇婷</t>
  </si>
  <si>
    <t>1210</t>
  </si>
  <si>
    <t>林成豪</t>
  </si>
  <si>
    <t>1211</t>
  </si>
  <si>
    <t>陈基德</t>
  </si>
  <si>
    <t>1212</t>
  </si>
  <si>
    <t>许美玲</t>
  </si>
  <si>
    <t>1213</t>
  </si>
  <si>
    <t>徐仁泽</t>
  </si>
  <si>
    <t>1214</t>
  </si>
  <si>
    <t>蔡依婷</t>
  </si>
  <si>
    <t>1215</t>
  </si>
  <si>
    <t>张婷</t>
  </si>
  <si>
    <t>1216</t>
  </si>
  <si>
    <t>卓嘉彬</t>
  </si>
  <si>
    <t>1217</t>
  </si>
  <si>
    <t>张雯芳</t>
  </si>
  <si>
    <t>1218</t>
  </si>
  <si>
    <t>朱兰梅</t>
  </si>
  <si>
    <t>1219</t>
  </si>
  <si>
    <t>林帅</t>
  </si>
  <si>
    <t>1220</t>
  </si>
  <si>
    <t>严浩玮</t>
  </si>
  <si>
    <t>1221</t>
  </si>
  <si>
    <t>郑技政</t>
  </si>
  <si>
    <t>1222</t>
  </si>
  <si>
    <t>黄中天</t>
  </si>
  <si>
    <t>1223</t>
  </si>
  <si>
    <t>黄婧怡</t>
  </si>
  <si>
    <t>1225</t>
  </si>
  <si>
    <t>陈于凡</t>
  </si>
  <si>
    <t>1226</t>
  </si>
  <si>
    <t>蔡一豪</t>
  </si>
  <si>
    <t>1227</t>
  </si>
  <si>
    <t>陈智鹏</t>
  </si>
  <si>
    <t>1228</t>
  </si>
  <si>
    <t>陈毅聪</t>
  </si>
  <si>
    <t>1229</t>
  </si>
  <si>
    <t>余明哲</t>
  </si>
  <si>
    <t>1230</t>
  </si>
  <si>
    <t>林世煌</t>
  </si>
  <si>
    <t>1231</t>
  </si>
  <si>
    <t>曾庆胤</t>
  </si>
  <si>
    <t>1233</t>
  </si>
  <si>
    <t>江一飞</t>
  </si>
  <si>
    <t>1234</t>
  </si>
  <si>
    <t>柯俊祥</t>
  </si>
  <si>
    <t>1235</t>
  </si>
  <si>
    <t>林政</t>
  </si>
  <si>
    <t>1237</t>
  </si>
  <si>
    <t>黄明炜</t>
  </si>
  <si>
    <t>1238</t>
  </si>
  <si>
    <t>郑梓烨</t>
  </si>
  <si>
    <t>1239</t>
  </si>
  <si>
    <t>林启盛</t>
  </si>
  <si>
    <t>1240</t>
  </si>
  <si>
    <t>傅悦馨</t>
  </si>
  <si>
    <t>1241</t>
  </si>
  <si>
    <t>蒋汤爱</t>
  </si>
  <si>
    <t>1242</t>
  </si>
  <si>
    <t>黄扬宇</t>
  </si>
  <si>
    <t>1243</t>
  </si>
  <si>
    <t>邹海华</t>
  </si>
  <si>
    <t>1244</t>
  </si>
  <si>
    <t>邹薇薇</t>
  </si>
  <si>
    <t>1245</t>
  </si>
  <si>
    <t>黄宇杰</t>
  </si>
  <si>
    <t>1246</t>
  </si>
  <si>
    <t>陈佳薇</t>
  </si>
  <si>
    <t>1247</t>
  </si>
  <si>
    <t>陈镇杰</t>
  </si>
  <si>
    <t>1248</t>
  </si>
  <si>
    <t>陈易锋</t>
  </si>
  <si>
    <t>1249</t>
  </si>
  <si>
    <t>谢瑞丽</t>
  </si>
  <si>
    <t>1250</t>
  </si>
  <si>
    <t>李逸翔</t>
  </si>
  <si>
    <t>1251</t>
  </si>
  <si>
    <t>苏悦</t>
  </si>
  <si>
    <t>1252</t>
  </si>
  <si>
    <t>林伯洁</t>
  </si>
  <si>
    <t>1253</t>
  </si>
  <si>
    <t>林翔</t>
  </si>
  <si>
    <t>1254</t>
  </si>
  <si>
    <t>陈世杰</t>
  </si>
  <si>
    <t>1255</t>
  </si>
  <si>
    <t>苏镇涛</t>
  </si>
  <si>
    <t>1256</t>
  </si>
  <si>
    <t>徐安娜</t>
  </si>
  <si>
    <t>1257</t>
  </si>
  <si>
    <t>翁瑞洪</t>
  </si>
  <si>
    <t>1258</t>
  </si>
  <si>
    <t>卓子菲</t>
  </si>
  <si>
    <t>1259</t>
  </si>
  <si>
    <t>郑家乐</t>
  </si>
  <si>
    <t>1301</t>
  </si>
  <si>
    <t>谢灵</t>
  </si>
  <si>
    <t>1302</t>
  </si>
  <si>
    <t>郭超群</t>
  </si>
  <si>
    <t>1303</t>
  </si>
  <si>
    <t>周彬辉</t>
  </si>
  <si>
    <t>1304</t>
  </si>
  <si>
    <t>林一铭</t>
  </si>
  <si>
    <t>1305</t>
  </si>
  <si>
    <t>林碧楠</t>
  </si>
  <si>
    <t>1306</t>
  </si>
  <si>
    <t>陈政涛</t>
  </si>
  <si>
    <t>1307</t>
  </si>
  <si>
    <t>陈星辰</t>
  </si>
  <si>
    <t>1308</t>
  </si>
  <si>
    <t>彭世英</t>
  </si>
  <si>
    <t>1309</t>
  </si>
  <si>
    <t>邹雪楠</t>
  </si>
  <si>
    <t>1310</t>
  </si>
  <si>
    <t>邹展扬</t>
  </si>
  <si>
    <t>1312</t>
  </si>
  <si>
    <t>张镕坡</t>
  </si>
  <si>
    <t>1313</t>
  </si>
  <si>
    <t>陈伊盈</t>
  </si>
  <si>
    <t>1315</t>
  </si>
  <si>
    <t>刘荣清</t>
  </si>
  <si>
    <t>1316</t>
  </si>
  <si>
    <t>邱姿琳</t>
  </si>
  <si>
    <t>1317</t>
  </si>
  <si>
    <t>卢云涛</t>
  </si>
  <si>
    <t>1318</t>
  </si>
  <si>
    <t>苏雅薇</t>
  </si>
  <si>
    <t>1319</t>
  </si>
  <si>
    <t>吴珊菲</t>
  </si>
  <si>
    <t>1320</t>
  </si>
  <si>
    <t>俞焱星</t>
  </si>
  <si>
    <t>1321</t>
  </si>
  <si>
    <t>林沛东</t>
  </si>
  <si>
    <t>1322</t>
  </si>
  <si>
    <t>陈艳琪</t>
  </si>
  <si>
    <t>1323</t>
  </si>
  <si>
    <t>叶燚燚</t>
  </si>
  <si>
    <t>1324</t>
  </si>
  <si>
    <t>郑怡欣</t>
  </si>
  <si>
    <t>1325</t>
  </si>
  <si>
    <t>陈晓炜</t>
  </si>
  <si>
    <t>1326</t>
  </si>
  <si>
    <t>黄俊灏</t>
  </si>
  <si>
    <t>1327</t>
  </si>
  <si>
    <t>黄惠如</t>
  </si>
  <si>
    <t>1328</t>
  </si>
  <si>
    <t>吴宏林</t>
  </si>
  <si>
    <t>1329</t>
  </si>
  <si>
    <t>方建辉</t>
  </si>
  <si>
    <t>1330</t>
  </si>
  <si>
    <t>唐宇婷</t>
  </si>
  <si>
    <t>1331</t>
  </si>
  <si>
    <t>1332</t>
  </si>
  <si>
    <t>邹凯乐</t>
  </si>
  <si>
    <t>1333</t>
  </si>
  <si>
    <t>陈虹颖</t>
  </si>
  <si>
    <t>1334</t>
  </si>
  <si>
    <t>杨景富</t>
  </si>
  <si>
    <t>1335</t>
  </si>
  <si>
    <t>戴众倾</t>
  </si>
  <si>
    <t>1336</t>
  </si>
  <si>
    <t>蔡熔霖</t>
  </si>
  <si>
    <t>1337</t>
  </si>
  <si>
    <t>陈咏煜</t>
  </si>
  <si>
    <t>1338</t>
  </si>
  <si>
    <t>唐晓剑</t>
  </si>
  <si>
    <t>1340</t>
  </si>
  <si>
    <t>林文卓</t>
  </si>
  <si>
    <t>1341</t>
  </si>
  <si>
    <t>李勇杰</t>
  </si>
  <si>
    <t>1342</t>
  </si>
  <si>
    <t>黄禹旺</t>
  </si>
  <si>
    <t>1343</t>
  </si>
  <si>
    <t>陈甜欣</t>
  </si>
  <si>
    <t>1344</t>
  </si>
  <si>
    <t>林依蕾</t>
  </si>
  <si>
    <t>1345</t>
  </si>
  <si>
    <t>林志勇</t>
  </si>
  <si>
    <t>1346</t>
  </si>
  <si>
    <t>吴剑铭</t>
  </si>
  <si>
    <t>1347</t>
  </si>
  <si>
    <t>陈珂雨</t>
  </si>
  <si>
    <t>1348</t>
  </si>
  <si>
    <t>黄韶涵</t>
  </si>
  <si>
    <t>1349</t>
  </si>
  <si>
    <t>许世宇</t>
  </si>
  <si>
    <t>1350</t>
  </si>
  <si>
    <t>俞洪越</t>
  </si>
  <si>
    <t>1351</t>
  </si>
  <si>
    <t>黄可</t>
  </si>
  <si>
    <t>1352</t>
  </si>
  <si>
    <t>王滔</t>
  </si>
  <si>
    <t>1353</t>
  </si>
  <si>
    <t>1354</t>
  </si>
  <si>
    <t>凌寒</t>
  </si>
  <si>
    <t>1355</t>
  </si>
  <si>
    <t>张福</t>
  </si>
  <si>
    <t>1356</t>
  </si>
  <si>
    <t>吴晓东</t>
  </si>
  <si>
    <t>1358</t>
  </si>
  <si>
    <t>吴昊</t>
  </si>
  <si>
    <t>1401</t>
  </si>
  <si>
    <t>余佳音</t>
  </si>
  <si>
    <t>1402</t>
  </si>
  <si>
    <t>徐甜欣</t>
  </si>
  <si>
    <t>1403</t>
  </si>
  <si>
    <t>陈雅静</t>
  </si>
  <si>
    <t>1404</t>
  </si>
  <si>
    <t>张菁菁</t>
  </si>
  <si>
    <t>1406</t>
  </si>
  <si>
    <t>杨蕴琦</t>
  </si>
  <si>
    <t>1408</t>
  </si>
  <si>
    <t>杨薇</t>
  </si>
  <si>
    <t>1409</t>
  </si>
  <si>
    <t>陈琳涵</t>
  </si>
  <si>
    <t>1411</t>
  </si>
  <si>
    <t>高思燕</t>
  </si>
  <si>
    <t>1412</t>
  </si>
  <si>
    <t>张俊贤</t>
  </si>
  <si>
    <t>1413</t>
  </si>
  <si>
    <t>黄靖敏</t>
  </si>
  <si>
    <t>1414</t>
  </si>
  <si>
    <t>郑伊雪</t>
  </si>
  <si>
    <t>1415</t>
  </si>
  <si>
    <t>翁怡萍</t>
  </si>
  <si>
    <t>1416</t>
  </si>
  <si>
    <t>黄艺涵</t>
  </si>
  <si>
    <t>1418</t>
  </si>
  <si>
    <t>张巧妍</t>
  </si>
  <si>
    <t>1419</t>
  </si>
  <si>
    <t>陈婷</t>
  </si>
  <si>
    <t>1420</t>
  </si>
  <si>
    <t>范奇冰</t>
  </si>
  <si>
    <t>1421</t>
  </si>
  <si>
    <t>何慧蕊</t>
  </si>
  <si>
    <t>1422</t>
  </si>
  <si>
    <t>詹涵琳</t>
  </si>
  <si>
    <t>1423</t>
  </si>
  <si>
    <t>欧雨馨</t>
  </si>
  <si>
    <t>1424</t>
  </si>
  <si>
    <t>许旭奕</t>
  </si>
  <si>
    <t>1425</t>
  </si>
  <si>
    <t>黄雪佳</t>
  </si>
  <si>
    <t>1426</t>
  </si>
  <si>
    <t>吴佳平</t>
  </si>
  <si>
    <t>1427</t>
  </si>
  <si>
    <t>黄志翔</t>
  </si>
  <si>
    <t>1428</t>
  </si>
  <si>
    <t>张梅珠</t>
  </si>
  <si>
    <t>1429</t>
  </si>
  <si>
    <t>陈毅杰</t>
  </si>
  <si>
    <t>1430</t>
  </si>
  <si>
    <t>卓桑</t>
  </si>
  <si>
    <t>1431</t>
  </si>
  <si>
    <t>陈逸萍</t>
  </si>
  <si>
    <t>1433</t>
  </si>
  <si>
    <t>陈星羽</t>
  </si>
  <si>
    <t>1434</t>
  </si>
  <si>
    <t>1435</t>
  </si>
  <si>
    <t>翁尚涛</t>
  </si>
  <si>
    <t>1436</t>
  </si>
  <si>
    <t>黄梦雪</t>
  </si>
  <si>
    <t>1437</t>
  </si>
  <si>
    <t>翁家琴</t>
  </si>
  <si>
    <t>1438</t>
  </si>
  <si>
    <t>1439</t>
  </si>
  <si>
    <t>张静怡</t>
  </si>
  <si>
    <t>1440</t>
  </si>
  <si>
    <t>陈凌涵</t>
  </si>
  <si>
    <t>1441</t>
  </si>
  <si>
    <t>曾佳欣</t>
  </si>
  <si>
    <t>1442</t>
  </si>
  <si>
    <t>谢明玉</t>
  </si>
  <si>
    <t>1443</t>
  </si>
  <si>
    <t>陈佳欣</t>
  </si>
  <si>
    <t>1444</t>
  </si>
  <si>
    <t>许莉雯</t>
  </si>
  <si>
    <t>1445</t>
  </si>
  <si>
    <t>翁圣榕</t>
  </si>
  <si>
    <t>1501</t>
  </si>
  <si>
    <t>朱嘉婧</t>
  </si>
  <si>
    <t>1502</t>
  </si>
  <si>
    <t>孙怿橙</t>
  </si>
  <si>
    <t>1503</t>
  </si>
  <si>
    <t>林奕</t>
  </si>
  <si>
    <t>1505</t>
  </si>
  <si>
    <t>1506</t>
  </si>
  <si>
    <t>王虹</t>
  </si>
  <si>
    <t>1507</t>
  </si>
  <si>
    <t>徐家慧</t>
  </si>
  <si>
    <t>1508</t>
  </si>
  <si>
    <t>陈丹燕</t>
  </si>
  <si>
    <t>1509</t>
  </si>
  <si>
    <t>林语欣</t>
  </si>
  <si>
    <t>1511</t>
  </si>
  <si>
    <t>张滨</t>
  </si>
  <si>
    <t>1512</t>
  </si>
  <si>
    <t>曾晓敏</t>
  </si>
  <si>
    <t>1513</t>
  </si>
  <si>
    <t>高煊煊</t>
  </si>
  <si>
    <t>1514</t>
  </si>
  <si>
    <t>李欣怡</t>
  </si>
  <si>
    <t>1515</t>
  </si>
  <si>
    <t>林振宝</t>
  </si>
  <si>
    <t>1516</t>
  </si>
  <si>
    <t>陆佳怡</t>
  </si>
  <si>
    <t>1517</t>
  </si>
  <si>
    <t>何琳涵</t>
  </si>
  <si>
    <t>1518</t>
  </si>
  <si>
    <t>陈清容</t>
  </si>
  <si>
    <t>1519</t>
  </si>
  <si>
    <t>张晶晶</t>
  </si>
  <si>
    <t>1520</t>
  </si>
  <si>
    <t>周贝贝</t>
  </si>
  <si>
    <t>1521</t>
  </si>
  <si>
    <t>苏钰茹</t>
  </si>
  <si>
    <t>1522</t>
  </si>
  <si>
    <t>张嘉琳</t>
  </si>
  <si>
    <t>1523</t>
  </si>
  <si>
    <t>林霏</t>
  </si>
  <si>
    <t>1524</t>
  </si>
  <si>
    <t>柯伟涵</t>
  </si>
  <si>
    <t>1525</t>
  </si>
  <si>
    <t>1526</t>
  </si>
  <si>
    <t>王蕾</t>
  </si>
  <si>
    <t>1528</t>
  </si>
  <si>
    <t>李卫娇</t>
  </si>
  <si>
    <t>1529</t>
  </si>
  <si>
    <t>许熙雯</t>
  </si>
  <si>
    <t>1530</t>
  </si>
  <si>
    <t>翁世英</t>
  </si>
  <si>
    <t>1531</t>
  </si>
  <si>
    <t>陈依琳</t>
  </si>
  <si>
    <t>1532</t>
  </si>
  <si>
    <t>黄成涵</t>
  </si>
  <si>
    <t>1533</t>
  </si>
  <si>
    <t>曾王渝</t>
  </si>
  <si>
    <t>1534</t>
  </si>
  <si>
    <t>陈礼姿</t>
  </si>
  <si>
    <t>1535</t>
  </si>
  <si>
    <t>徐晶</t>
  </si>
  <si>
    <t>1536</t>
  </si>
  <si>
    <t>郑乐怡</t>
  </si>
  <si>
    <t>1537</t>
  </si>
  <si>
    <t>林青青</t>
  </si>
  <si>
    <t>1538</t>
  </si>
  <si>
    <t>王怡钦</t>
  </si>
  <si>
    <t>1539</t>
  </si>
  <si>
    <t>吴郑瑜</t>
  </si>
  <si>
    <t>1540</t>
  </si>
  <si>
    <t>肖子墨</t>
  </si>
  <si>
    <t>1541</t>
  </si>
  <si>
    <t>李婷婷</t>
  </si>
  <si>
    <t>1542</t>
  </si>
  <si>
    <t>张晓玮</t>
  </si>
  <si>
    <t>1543</t>
  </si>
  <si>
    <t>黄蕾</t>
  </si>
  <si>
    <t>1544</t>
  </si>
  <si>
    <t>蔡欣彤</t>
  </si>
  <si>
    <t>1545</t>
  </si>
  <si>
    <t>林紫涵</t>
  </si>
  <si>
    <t>1601</t>
  </si>
  <si>
    <t>魏奇胜</t>
  </si>
  <si>
    <t>1602</t>
  </si>
  <si>
    <t>余航嘉</t>
  </si>
  <si>
    <t>1603</t>
  </si>
  <si>
    <t>1604</t>
  </si>
  <si>
    <t>黄宇轩</t>
  </si>
  <si>
    <t>1605</t>
  </si>
  <si>
    <t>陈欣</t>
  </si>
  <si>
    <t>1606</t>
  </si>
  <si>
    <t>1607</t>
  </si>
  <si>
    <t>郑泽圆</t>
  </si>
  <si>
    <t>1608</t>
  </si>
  <si>
    <t>陈已英</t>
  </si>
  <si>
    <t>1609</t>
  </si>
  <si>
    <t>邹倩仪</t>
  </si>
  <si>
    <t>1610</t>
  </si>
  <si>
    <t>黄燕琳</t>
  </si>
  <si>
    <t>1611</t>
  </si>
  <si>
    <t>1612</t>
  </si>
  <si>
    <t>苏心怡</t>
  </si>
  <si>
    <t>1613</t>
  </si>
  <si>
    <t>黄世娟</t>
  </si>
  <si>
    <t>1614</t>
  </si>
  <si>
    <t>黄滢</t>
  </si>
  <si>
    <t>1615</t>
  </si>
  <si>
    <t>张宇晴</t>
  </si>
  <si>
    <t>1616</t>
  </si>
  <si>
    <t>吴凌娇</t>
  </si>
  <si>
    <t>1617</t>
  </si>
  <si>
    <t>徐艺菲</t>
  </si>
  <si>
    <t>1618</t>
  </si>
  <si>
    <t>林羽双</t>
  </si>
  <si>
    <t>1619</t>
  </si>
  <si>
    <t>戴雪杭</t>
  </si>
  <si>
    <t>1620</t>
  </si>
  <si>
    <t>王书凝</t>
  </si>
  <si>
    <t>1621</t>
  </si>
  <si>
    <t>程薇宁</t>
  </si>
  <si>
    <t>1622</t>
  </si>
  <si>
    <t>林婉晴</t>
  </si>
  <si>
    <t>1623</t>
  </si>
  <si>
    <t>郑艳玲</t>
  </si>
  <si>
    <t>1625</t>
  </si>
  <si>
    <t>1626</t>
  </si>
  <si>
    <t>刘家鸿</t>
  </si>
  <si>
    <t>1627</t>
  </si>
  <si>
    <t>陈静嫒</t>
  </si>
  <si>
    <t>1628</t>
  </si>
  <si>
    <t>许若欣</t>
  </si>
  <si>
    <t>1629</t>
  </si>
  <si>
    <t>陈鹭</t>
  </si>
  <si>
    <t>1631</t>
  </si>
  <si>
    <t>蔡余骁</t>
  </si>
  <si>
    <t>1632</t>
  </si>
  <si>
    <t>郑毓盈</t>
  </si>
  <si>
    <t>1633</t>
  </si>
  <si>
    <t>林康</t>
  </si>
  <si>
    <t>1634</t>
  </si>
  <si>
    <t>陈依萍</t>
  </si>
  <si>
    <t>1635</t>
  </si>
  <si>
    <t>徐悦</t>
  </si>
  <si>
    <t>1636</t>
  </si>
  <si>
    <t>洪越</t>
  </si>
  <si>
    <t>1637</t>
  </si>
  <si>
    <t>杨茜</t>
  </si>
  <si>
    <t>1638</t>
  </si>
  <si>
    <t>卢慧琳</t>
  </si>
  <si>
    <t>1639</t>
  </si>
  <si>
    <t>陈喆洋</t>
  </si>
  <si>
    <t>1640</t>
  </si>
  <si>
    <t>陈怡楠</t>
  </si>
  <si>
    <t>1701</t>
  </si>
  <si>
    <t>魏静</t>
  </si>
  <si>
    <t>1702</t>
  </si>
  <si>
    <t>林晓颖</t>
  </si>
  <si>
    <t>1703</t>
  </si>
  <si>
    <t>林歆恬</t>
  </si>
  <si>
    <t>1706</t>
  </si>
  <si>
    <t>曾亦如</t>
  </si>
  <si>
    <t>1707</t>
  </si>
  <si>
    <t>张迎</t>
  </si>
  <si>
    <t>1710</t>
  </si>
  <si>
    <t>蔡朝阳</t>
  </si>
  <si>
    <t>1711</t>
  </si>
  <si>
    <t>李佳</t>
  </si>
  <si>
    <t>1712</t>
  </si>
  <si>
    <t>何彦希</t>
  </si>
  <si>
    <t>1713</t>
  </si>
  <si>
    <t>阮明捷</t>
  </si>
  <si>
    <t>1714</t>
  </si>
  <si>
    <t>唐怡然</t>
  </si>
  <si>
    <t>1715</t>
  </si>
  <si>
    <t>郭建涛</t>
  </si>
  <si>
    <t>1717</t>
  </si>
  <si>
    <t>张嘉玲</t>
  </si>
  <si>
    <t>1719</t>
  </si>
  <si>
    <t>林思琦</t>
  </si>
  <si>
    <t>1720</t>
  </si>
  <si>
    <t>许丽娜</t>
  </si>
  <si>
    <t>1721</t>
  </si>
  <si>
    <t>陈斯</t>
  </si>
  <si>
    <t>1722</t>
  </si>
  <si>
    <t>吴慧娟</t>
  </si>
  <si>
    <t>1723</t>
  </si>
  <si>
    <t>吴楚琴</t>
  </si>
  <si>
    <t>1724</t>
  </si>
  <si>
    <t>郑晨婷</t>
  </si>
  <si>
    <t>1725</t>
  </si>
  <si>
    <t>李欣如</t>
  </si>
  <si>
    <t>1726</t>
  </si>
  <si>
    <t>黄兆枫</t>
  </si>
  <si>
    <t>1727</t>
  </si>
  <si>
    <t>黄乐瑶</t>
  </si>
  <si>
    <t>1728</t>
  </si>
  <si>
    <t>陈冉冉</t>
  </si>
  <si>
    <t>1729</t>
  </si>
  <si>
    <t>陈雨欣</t>
  </si>
  <si>
    <t>1730</t>
  </si>
  <si>
    <t>吴智诚</t>
  </si>
  <si>
    <t>1731</t>
  </si>
  <si>
    <t>张婷婷</t>
  </si>
  <si>
    <t>1733</t>
  </si>
  <si>
    <t>葛婧文</t>
  </si>
  <si>
    <t>1735</t>
  </si>
  <si>
    <t>蒋佳怡</t>
  </si>
  <si>
    <t>1736</t>
  </si>
  <si>
    <t>陈柳絮</t>
  </si>
  <si>
    <t>1737</t>
  </si>
  <si>
    <t>李楠</t>
  </si>
  <si>
    <t>1738</t>
  </si>
  <si>
    <t>徐碧杭</t>
  </si>
  <si>
    <t>1739</t>
  </si>
  <si>
    <t>黄雯静</t>
  </si>
  <si>
    <t>1740</t>
  </si>
  <si>
    <t>林静</t>
  </si>
  <si>
    <t>1741</t>
  </si>
  <si>
    <t>郑诣初</t>
  </si>
  <si>
    <t>1744</t>
  </si>
  <si>
    <t>姚珺楠</t>
  </si>
  <si>
    <t>1745</t>
  </si>
  <si>
    <t>许晴</t>
  </si>
  <si>
    <t>1746</t>
  </si>
  <si>
    <t>许诺</t>
  </si>
  <si>
    <t>1747</t>
  </si>
  <si>
    <t>张毅馨</t>
  </si>
  <si>
    <t>1748</t>
  </si>
  <si>
    <t>欧伟涵</t>
  </si>
  <si>
    <t>1749</t>
  </si>
  <si>
    <t>卓羽萱</t>
  </si>
  <si>
    <t>1752</t>
  </si>
  <si>
    <t>郭沛璇</t>
  </si>
  <si>
    <t>1753</t>
  </si>
  <si>
    <t>周紫荷</t>
  </si>
  <si>
    <t>1754</t>
  </si>
  <si>
    <t>黄书麟</t>
  </si>
  <si>
    <t>1755</t>
  </si>
  <si>
    <t>朱云萍</t>
  </si>
  <si>
    <t>1802</t>
  </si>
  <si>
    <t>林智</t>
  </si>
  <si>
    <t>1804</t>
  </si>
  <si>
    <t>林泽凯</t>
  </si>
  <si>
    <t>1805</t>
  </si>
  <si>
    <t>洪柔欣</t>
  </si>
  <si>
    <t>1807</t>
  </si>
  <si>
    <t>朱秋萍</t>
  </si>
  <si>
    <t>1808</t>
  </si>
  <si>
    <t>方海天</t>
  </si>
  <si>
    <t>1810</t>
  </si>
  <si>
    <t>杨瑞丹</t>
  </si>
  <si>
    <t>1811</t>
  </si>
  <si>
    <t>李梦琪</t>
  </si>
  <si>
    <t>1812</t>
  </si>
  <si>
    <t>林雨冰</t>
  </si>
  <si>
    <t>1813</t>
  </si>
  <si>
    <t>刘思妍</t>
  </si>
  <si>
    <t>1814</t>
  </si>
  <si>
    <t>潘晗玥</t>
  </si>
  <si>
    <t>1817</t>
  </si>
  <si>
    <t>康娇娇</t>
  </si>
  <si>
    <t>1818</t>
  </si>
  <si>
    <t>肖佳禛</t>
  </si>
  <si>
    <t>1819</t>
  </si>
  <si>
    <t>薛言泓</t>
  </si>
  <si>
    <t>1820</t>
  </si>
  <si>
    <t>傅亿恬</t>
  </si>
  <si>
    <t>1821</t>
  </si>
  <si>
    <t>李婉婧</t>
  </si>
  <si>
    <t>1822</t>
  </si>
  <si>
    <t>翁思婷</t>
  </si>
  <si>
    <t>1823</t>
  </si>
  <si>
    <t>吴佳玲</t>
  </si>
  <si>
    <t>1824</t>
  </si>
  <si>
    <t>郑晨</t>
  </si>
  <si>
    <t>1825</t>
  </si>
  <si>
    <t>翁正凯</t>
  </si>
  <si>
    <t>1826</t>
  </si>
  <si>
    <t>蔡瑜孜</t>
  </si>
  <si>
    <t>1827</t>
  </si>
  <si>
    <t>郑磊</t>
  </si>
  <si>
    <t>1828</t>
  </si>
  <si>
    <t>陈萍</t>
  </si>
  <si>
    <t>1829</t>
  </si>
  <si>
    <t>俞佳雯</t>
  </si>
  <si>
    <t>1830</t>
  </si>
  <si>
    <t>陈荻</t>
  </si>
  <si>
    <t>1831</t>
  </si>
  <si>
    <t>陈逸铃</t>
  </si>
  <si>
    <t>1832</t>
  </si>
  <si>
    <t>黄雪芳</t>
  </si>
  <si>
    <t>1834</t>
  </si>
  <si>
    <t>朱镇楠</t>
  </si>
  <si>
    <t>1837</t>
  </si>
  <si>
    <t>张心悦</t>
  </si>
  <si>
    <t>1838</t>
  </si>
  <si>
    <t>陈丹玉</t>
  </si>
  <si>
    <t>1839</t>
  </si>
  <si>
    <t>舒艳</t>
  </si>
  <si>
    <t>1840</t>
  </si>
  <si>
    <t>王杰</t>
  </si>
  <si>
    <t>1841</t>
  </si>
  <si>
    <t>周晶晶</t>
  </si>
  <si>
    <t>1842</t>
  </si>
  <si>
    <t>刘安娜</t>
  </si>
  <si>
    <t>1843</t>
  </si>
  <si>
    <t>许婷</t>
  </si>
  <si>
    <t>1844</t>
  </si>
  <si>
    <t>陈玫蓉</t>
  </si>
  <si>
    <t>1845</t>
  </si>
  <si>
    <t>吴珊</t>
  </si>
  <si>
    <t>1847</t>
  </si>
  <si>
    <t>李海玥</t>
  </si>
  <si>
    <t>1848</t>
  </si>
  <si>
    <t>叶语晨</t>
  </si>
  <si>
    <t>1851</t>
  </si>
  <si>
    <t>李曼青</t>
  </si>
  <si>
    <t>1852</t>
  </si>
  <si>
    <t>林蓥欣</t>
  </si>
  <si>
    <t>1853</t>
  </si>
  <si>
    <t>庞悦灵</t>
  </si>
  <si>
    <t>1854</t>
  </si>
  <si>
    <t>郑海东</t>
  </si>
  <si>
    <t>1855</t>
  </si>
  <si>
    <t>王婉晴</t>
  </si>
  <si>
    <t>高三下市三检成绩统计表（原始分）</t>
  </si>
  <si>
    <t>组合</t>
  </si>
  <si>
    <t>物化政</t>
  </si>
  <si>
    <t>物生政</t>
  </si>
  <si>
    <t>物化地</t>
  </si>
  <si>
    <t>物生地</t>
  </si>
  <si>
    <t>物化生</t>
  </si>
  <si>
    <t>史生政</t>
  </si>
  <si>
    <t>史政地/生</t>
  </si>
  <si>
    <t>史政地</t>
  </si>
  <si>
    <t>应考人数</t>
  </si>
  <si>
    <t>实考人数</t>
  </si>
  <si>
    <t>年级    平均分</t>
  </si>
  <si>
    <t>科目</t>
  </si>
  <si>
    <t>物总分</t>
  </si>
  <si>
    <t>史总分</t>
  </si>
  <si>
    <t>最高分</t>
  </si>
  <si>
    <t>最低分</t>
  </si>
  <si>
    <t>平均分</t>
  </si>
  <si>
    <t>极差</t>
  </si>
  <si>
    <t>名次</t>
  </si>
  <si>
    <t>均分差</t>
  </si>
  <si>
    <t>班主任</t>
  </si>
  <si>
    <t>林志臻</t>
  </si>
  <si>
    <t>林仙花</t>
  </si>
  <si>
    <t>潘劲森</t>
  </si>
  <si>
    <t>林浈</t>
  </si>
  <si>
    <t>吴素萍</t>
  </si>
  <si>
    <t>方秋月</t>
  </si>
  <si>
    <t>史步华</t>
  </si>
  <si>
    <t>罗智强</t>
  </si>
  <si>
    <t>林志鹏</t>
  </si>
  <si>
    <t>陈丽玲</t>
  </si>
  <si>
    <t>黄梅洪</t>
  </si>
  <si>
    <t>郭彩涯</t>
  </si>
  <si>
    <t>吴逸萍</t>
  </si>
  <si>
    <t>李培榕</t>
  </si>
  <si>
    <t>林凌萍</t>
  </si>
  <si>
    <t>严丽香</t>
  </si>
  <si>
    <t>许建仙</t>
  </si>
  <si>
    <t>陈超</t>
  </si>
  <si>
    <t>及格率</t>
  </si>
  <si>
    <t>优良率</t>
  </si>
  <si>
    <t>课任老师</t>
  </si>
  <si>
    <t>郑秋莺</t>
  </si>
  <si>
    <t>林赛琴</t>
  </si>
  <si>
    <t>张欢欢</t>
  </si>
  <si>
    <t>林萍</t>
  </si>
  <si>
    <t>方庆花</t>
  </si>
  <si>
    <t>陈俊芳</t>
  </si>
  <si>
    <t>张韵泽</t>
  </si>
  <si>
    <t>李林海</t>
  </si>
  <si>
    <t>林青燕</t>
  </si>
  <si>
    <t>涂凤庆</t>
  </si>
  <si>
    <t>林永忠</t>
  </si>
  <si>
    <t>林伟</t>
  </si>
  <si>
    <t>胡丽梅</t>
  </si>
  <si>
    <t>吴春山</t>
  </si>
  <si>
    <t>陈瑜英</t>
  </si>
  <si>
    <t>徐琳怡</t>
  </si>
  <si>
    <t>郭丽霞</t>
  </si>
  <si>
    <t>林爱珍</t>
  </si>
  <si>
    <t>陈益平</t>
  </si>
  <si>
    <t>吴丽卿</t>
  </si>
  <si>
    <t>朱玉堂</t>
  </si>
  <si>
    <t>陈丽仙</t>
  </si>
  <si>
    <t>林晓靖</t>
  </si>
  <si>
    <t>陈丽花</t>
  </si>
  <si>
    <t>物理    历史</t>
  </si>
  <si>
    <t>陈君英</t>
  </si>
  <si>
    <t>张远东</t>
  </si>
  <si>
    <t>蔡庆美</t>
  </si>
  <si>
    <t>余赛红</t>
  </si>
  <si>
    <t>欧琳</t>
  </si>
  <si>
    <t>史丽红</t>
  </si>
  <si>
    <t>陈悦菡</t>
  </si>
  <si>
    <t>蔡怡斌</t>
  </si>
  <si>
    <t>蒋慧娟</t>
  </si>
  <si>
    <t>曾国树</t>
  </si>
  <si>
    <t>陈丽涵</t>
  </si>
  <si>
    <t>黄丽双</t>
  </si>
  <si>
    <t>江世育</t>
  </si>
  <si>
    <t>翁春雨</t>
  </si>
  <si>
    <t>李完晶</t>
  </si>
  <si>
    <t>陈丹</t>
  </si>
  <si>
    <t>林碧</t>
  </si>
  <si>
    <t>陈新国</t>
  </si>
  <si>
    <t>黄雪梅</t>
  </si>
  <si>
    <t>郑炜燕</t>
  </si>
  <si>
    <t>陈正洪</t>
  </si>
  <si>
    <t>黄燕娟</t>
  </si>
  <si>
    <t>陈丽双</t>
  </si>
  <si>
    <t>李丽清</t>
  </si>
  <si>
    <t>蔡丽双</t>
  </si>
  <si>
    <t>蔡英娟</t>
  </si>
  <si>
    <t>高三下市三检（原始分）成绩排名</t>
  </si>
  <si>
    <t>市三检</t>
  </si>
  <si>
    <t>物前100 史前50</t>
  </si>
  <si>
    <t>物600后史200后</t>
  </si>
  <si>
    <t>名1</t>
  </si>
  <si>
    <t>名2</t>
  </si>
  <si>
    <t>名3</t>
  </si>
  <si>
    <t>名4</t>
  </si>
  <si>
    <t>名5</t>
  </si>
  <si>
    <t>名6</t>
  </si>
  <si>
    <t>名7</t>
  </si>
  <si>
    <t>名8</t>
  </si>
  <si>
    <t>名9</t>
  </si>
  <si>
    <t>名10</t>
  </si>
  <si>
    <t>名11</t>
  </si>
  <si>
    <t>人数</t>
  </si>
  <si>
    <t>合计</t>
  </si>
  <si>
    <t>高三下市三检物理组合（原始分）成绩排名</t>
  </si>
  <si>
    <t>高三下市三检历史组合（原始分）成绩排名</t>
  </si>
  <si>
    <t>高三下市三检（原始分）成绩总分分数段</t>
  </si>
  <si>
    <t>650以上</t>
  </si>
  <si>
    <t>640-649</t>
  </si>
  <si>
    <t>620-639</t>
  </si>
  <si>
    <t>600-619</t>
  </si>
  <si>
    <t>580-599</t>
  </si>
  <si>
    <t>560-579</t>
  </si>
  <si>
    <t>540-559</t>
  </si>
  <si>
    <t>520-539</t>
  </si>
  <si>
    <t>500-519</t>
  </si>
  <si>
    <t>480-499</t>
  </si>
  <si>
    <t>460-479</t>
  </si>
  <si>
    <t>440-459</t>
  </si>
  <si>
    <t>420-439</t>
  </si>
  <si>
    <t>400-419</t>
  </si>
  <si>
    <t>400以下</t>
  </si>
  <si>
    <t>小计</t>
  </si>
  <si>
    <t>高三下市三检（原始分）成绩排名分数段</t>
  </si>
  <si>
    <t xml:space="preserve">  名次     班级  </t>
  </si>
  <si>
    <t>1-20</t>
  </si>
  <si>
    <t>21-50</t>
  </si>
  <si>
    <t>51-100</t>
  </si>
  <si>
    <t>101-150</t>
  </si>
  <si>
    <t>151-200</t>
  </si>
  <si>
    <t>201-250</t>
  </si>
  <si>
    <t>251-300</t>
  </si>
  <si>
    <t>301-350</t>
  </si>
  <si>
    <t>351-400</t>
  </si>
  <si>
    <t>401-500</t>
  </si>
  <si>
    <t>501-600</t>
  </si>
  <si>
    <t>601-700</t>
  </si>
  <si>
    <t>累计</t>
  </si>
  <si>
    <t>高三下市三检成绩统计表（赋分）</t>
  </si>
  <si>
    <t>年级   平均分</t>
  </si>
  <si>
    <t>物理/历史</t>
  </si>
  <si>
    <t>高三下市三检（赋分）成绩排名</t>
  </si>
  <si>
    <t>物前100史前50</t>
  </si>
  <si>
    <t>高三下市三检物理组合（赋分）成绩排名</t>
  </si>
  <si>
    <t>高三下市三检历史组合（赋分）成绩排名</t>
  </si>
  <si>
    <t>高三下市三检（赋分）成绩总分分数段</t>
  </si>
  <si>
    <t>高三下市三检（赋分）成绩排名分数段</t>
  </si>
  <si>
    <t>物史</t>
  </si>
  <si>
    <t>阿琼</t>
  </si>
  <si>
    <t>前70</t>
  </si>
  <si>
    <t>前30</t>
  </si>
  <si>
    <t>前500</t>
  </si>
  <si>
    <t>前100</t>
  </si>
  <si>
    <t>前1300</t>
  </si>
  <si>
    <t>前200</t>
  </si>
  <si>
    <t>本一</t>
  </si>
  <si>
    <t>前4000</t>
  </si>
  <si>
    <t>前700</t>
  </si>
  <si>
    <t>本科</t>
  </si>
  <si>
    <t>前9000</t>
  </si>
  <si>
    <t>前1500</t>
  </si>
  <si>
    <t>前15</t>
  </si>
  <si>
    <t>前50</t>
  </si>
  <si>
    <t>前350</t>
  </si>
  <si>
    <t>前750</t>
  </si>
  <si>
    <t>前60</t>
  </si>
  <si>
    <t>史化生</t>
  </si>
  <si>
    <t>前400</t>
  </si>
  <si>
    <t>前1050</t>
  </si>
  <si>
    <t>前3250</t>
  </si>
  <si>
    <t>前7300</t>
  </si>
  <si>
    <t>前900</t>
  </si>
  <si>
    <t>前2800</t>
  </si>
  <si>
    <t>前6300</t>
  </si>
  <si>
    <t>比率</t>
  </si>
  <si>
    <t>前25</t>
  </si>
  <si>
    <t>前150</t>
  </si>
  <si>
    <t>前450</t>
  </si>
  <si>
    <t>前3000</t>
  </si>
  <si>
    <t>前80</t>
  </si>
  <si>
    <t>前650</t>
  </si>
  <si>
    <t>物理组合切线</t>
  </si>
  <si>
    <t>五线</t>
  </si>
  <si>
    <t>市排名</t>
  </si>
  <si>
    <t>校排名</t>
  </si>
  <si>
    <t>最低名次</t>
  </si>
  <si>
    <r>
      <rPr>
        <sz val="11"/>
        <color theme="1"/>
        <rFont val="宋体"/>
        <charset val="134"/>
        <scheme val="minor"/>
      </rPr>
      <t>市名次区间：化学[28，11733];地理[5,5219];</t>
    </r>
    <r>
      <rPr>
        <sz val="11"/>
        <color rgb="FFFF0000"/>
        <rFont val="宋体"/>
        <charset val="134"/>
        <scheme val="minor"/>
      </rPr>
      <t>政治[52,4243]</t>
    </r>
    <r>
      <rPr>
        <sz val="11"/>
        <color theme="1"/>
        <rFont val="宋体"/>
        <charset val="134"/>
        <scheme val="minor"/>
      </rPr>
      <t>;生物[4,12234]</t>
    </r>
  </si>
  <si>
    <t>历史组合切线</t>
  </si>
  <si>
    <r>
      <rPr>
        <sz val="11"/>
        <color theme="1"/>
        <rFont val="宋体"/>
        <charset val="134"/>
        <scheme val="minor"/>
      </rPr>
      <t>市名次区间：地理[3,234</t>
    </r>
    <r>
      <rPr>
        <sz val="11"/>
        <rFont val="宋体"/>
        <charset val="134"/>
        <scheme val="minor"/>
      </rPr>
      <t>7];政治[3,2350];生</t>
    </r>
    <r>
      <rPr>
        <sz val="11"/>
        <color theme="1"/>
        <rFont val="宋体"/>
        <charset val="134"/>
        <scheme val="minor"/>
      </rPr>
      <t>物[3,792]</t>
    </r>
  </si>
  <si>
    <t>四中高三上市质检切线情况</t>
  </si>
  <si>
    <t>段位</t>
  </si>
  <si>
    <t>切线</t>
  </si>
  <si>
    <t>上线人数</t>
  </si>
  <si>
    <t>一段</t>
  </si>
  <si>
    <t>双一流</t>
  </si>
  <si>
    <t>二段</t>
  </si>
  <si>
    <t>特殊线</t>
  </si>
  <si>
    <t>三段</t>
  </si>
  <si>
    <t>本科线</t>
  </si>
  <si>
    <t>1700+</t>
  </si>
  <si>
    <t>单科前10名（物理组合）</t>
  </si>
  <si>
    <t>分数</t>
  </si>
  <si>
    <t>原始分</t>
  </si>
  <si>
    <t>赋分</t>
  </si>
  <si>
    <t>单科前10名（历史组合）</t>
  </si>
  <si>
    <t>2024届高三市一检（1.24-26）分数段及各率统计</t>
  </si>
  <si>
    <t>语文成绩统计表</t>
  </si>
  <si>
    <r>
      <rPr>
        <sz val="10"/>
        <rFont val="宋体"/>
        <charset val="134"/>
      </rPr>
      <t>班级</t>
    </r>
  </si>
  <si>
    <r>
      <rPr>
        <sz val="10"/>
        <rFont val="宋体"/>
        <charset val="134"/>
      </rPr>
      <t>总人数</t>
    </r>
  </si>
  <si>
    <r>
      <rPr>
        <sz val="10"/>
        <rFont val="宋体"/>
        <charset val="134"/>
      </rPr>
      <t>任课教师</t>
    </r>
  </si>
  <si>
    <t>吴静静</t>
  </si>
  <si>
    <t>郭丽芹</t>
  </si>
  <si>
    <t>王瑜</t>
  </si>
  <si>
    <t>陈花</t>
  </si>
  <si>
    <t>关兰芳</t>
  </si>
  <si>
    <t>柯赛花</t>
  </si>
  <si>
    <t>林建清</t>
  </si>
  <si>
    <t>翁清祥</t>
  </si>
  <si>
    <t>许亚丽</t>
  </si>
  <si>
    <r>
      <rPr>
        <sz val="10"/>
        <rFont val="宋体"/>
        <charset val="134"/>
      </rPr>
      <t>与考人数</t>
    </r>
  </si>
  <si>
    <r>
      <rPr>
        <sz val="11"/>
        <rFont val="宋体"/>
        <charset val="134"/>
      </rPr>
      <t>合计</t>
    </r>
  </si>
  <si>
    <r>
      <rPr>
        <sz val="11"/>
        <rFont val="宋体"/>
        <charset val="134"/>
      </rPr>
      <t>累计</t>
    </r>
  </si>
  <si>
    <r>
      <rPr>
        <sz val="10"/>
        <rFont val="Times New Roman"/>
        <charset val="134"/>
      </rPr>
      <t>135</t>
    </r>
    <r>
      <rPr>
        <sz val="10"/>
        <rFont val="宋体"/>
        <charset val="134"/>
      </rPr>
      <t>以上</t>
    </r>
  </si>
  <si>
    <t>120-134</t>
  </si>
  <si>
    <t>105-119</t>
  </si>
  <si>
    <t>90-104</t>
  </si>
  <si>
    <t>75-89</t>
  </si>
  <si>
    <r>
      <rPr>
        <sz val="10"/>
        <rFont val="Times New Roman"/>
        <charset val="134"/>
      </rPr>
      <t>75</t>
    </r>
    <r>
      <rPr>
        <sz val="10"/>
        <rFont val="宋体"/>
        <charset val="134"/>
      </rPr>
      <t>以下</t>
    </r>
  </si>
  <si>
    <t>优秀率</t>
  </si>
  <si>
    <t>前15%</t>
  </si>
  <si>
    <t>平均</t>
  </si>
  <si>
    <r>
      <rPr>
        <sz val="10"/>
        <rFont val="宋体"/>
        <charset val="134"/>
      </rPr>
      <t>平均分</t>
    </r>
  </si>
  <si>
    <r>
      <rPr>
        <sz val="10"/>
        <rFont val="宋体"/>
        <charset val="134"/>
      </rPr>
      <t>名次</t>
    </r>
  </si>
  <si>
    <r>
      <rPr>
        <b/>
        <sz val="11"/>
        <rFont val="宋体"/>
        <charset val="134"/>
      </rPr>
      <t>英语成绩统计表</t>
    </r>
  </si>
  <si>
    <t>胡梅娴</t>
  </si>
  <si>
    <t>林雅晶</t>
  </si>
  <si>
    <t>陈素云</t>
  </si>
  <si>
    <t>陈敬花</t>
  </si>
  <si>
    <t>林金荣</t>
  </si>
  <si>
    <t>陈国忠</t>
  </si>
  <si>
    <t>李滨</t>
  </si>
  <si>
    <t>吴寒帆</t>
  </si>
  <si>
    <t>姚荔蓉</t>
  </si>
  <si>
    <t>陈岩梅</t>
  </si>
  <si>
    <t>吴霏霞</t>
  </si>
  <si>
    <r>
      <rPr>
        <sz val="10"/>
        <rFont val="宋体"/>
        <charset val="134"/>
      </rPr>
      <t>最高</t>
    </r>
  </si>
  <si>
    <r>
      <rPr>
        <sz val="10"/>
        <rFont val="宋体"/>
        <charset val="134"/>
      </rPr>
      <t>最低</t>
    </r>
  </si>
  <si>
    <r>
      <rPr>
        <sz val="8"/>
        <rFont val="宋体"/>
        <charset val="134"/>
      </rPr>
      <t>前15</t>
    </r>
    <r>
      <rPr>
        <sz val="8"/>
        <rFont val="Times New Roman"/>
        <charset val="134"/>
      </rPr>
      <t>%</t>
    </r>
  </si>
  <si>
    <t>数学成绩统计表</t>
  </si>
  <si>
    <t>翁永彪</t>
  </si>
  <si>
    <t>蒋智群</t>
  </si>
  <si>
    <t>吴永兴</t>
  </si>
  <si>
    <t>陈世洪</t>
  </si>
  <si>
    <t>翁建新</t>
  </si>
  <si>
    <t>庄小红</t>
  </si>
  <si>
    <t>肖宗福</t>
  </si>
  <si>
    <t>陈文灶</t>
  </si>
  <si>
    <t>林金阳</t>
  </si>
  <si>
    <t>陈美兰</t>
  </si>
  <si>
    <t>许沐英</t>
  </si>
  <si>
    <t>黄雄林</t>
  </si>
  <si>
    <r>
      <rPr>
        <sz val="10"/>
        <rFont val="宋体"/>
        <charset val="134"/>
      </rPr>
      <t>及格率</t>
    </r>
  </si>
  <si>
    <t>物理成绩统计表</t>
  </si>
  <si>
    <t>总人数</t>
  </si>
  <si>
    <t>宋锡海</t>
  </si>
  <si>
    <t>舒铃</t>
  </si>
  <si>
    <t>刘玉树</t>
  </si>
  <si>
    <t>陈军霞</t>
  </si>
  <si>
    <t>林旭</t>
  </si>
  <si>
    <t>李萍杰</t>
  </si>
  <si>
    <r>
      <rPr>
        <sz val="10"/>
        <rFont val="Times New Roman"/>
        <charset val="134"/>
      </rPr>
      <t>90</t>
    </r>
    <r>
      <rPr>
        <sz val="10"/>
        <rFont val="宋体"/>
        <charset val="134"/>
      </rPr>
      <t>以上</t>
    </r>
  </si>
  <si>
    <t>80-89</t>
  </si>
  <si>
    <t>70-79</t>
  </si>
  <si>
    <t>60-69</t>
  </si>
  <si>
    <t>50-59</t>
  </si>
  <si>
    <r>
      <rPr>
        <sz val="10"/>
        <rFont val="Times New Roman"/>
        <charset val="134"/>
      </rPr>
      <t>50</t>
    </r>
    <r>
      <rPr>
        <sz val="10"/>
        <rFont val="宋体"/>
        <charset val="134"/>
      </rPr>
      <t>以下</t>
    </r>
  </si>
  <si>
    <t>化学成绩统计表</t>
  </si>
  <si>
    <t>历史成绩统计表</t>
  </si>
  <si>
    <t>陈明</t>
  </si>
  <si>
    <t>林凤英</t>
  </si>
  <si>
    <t>吴丽娟</t>
  </si>
  <si>
    <t>唐金开</t>
  </si>
  <si>
    <t>黄如莺</t>
  </si>
  <si>
    <t>谢紫德</t>
  </si>
  <si>
    <t>宋骆燕</t>
  </si>
  <si>
    <t>生物成绩统计表</t>
  </si>
  <si>
    <t>政治成绩统计表</t>
  </si>
  <si>
    <t>朱丽钦</t>
  </si>
  <si>
    <t>王东义</t>
  </si>
  <si>
    <t>姚梁</t>
  </si>
  <si>
    <t>丛雅</t>
  </si>
  <si>
    <t>郑秋玉</t>
  </si>
  <si>
    <t>余雪琴</t>
  </si>
  <si>
    <t>陈瑞雄</t>
  </si>
  <si>
    <t>地理成绩统计表</t>
  </si>
  <si>
    <t>翁明聪</t>
  </si>
  <si>
    <t>林燕云</t>
  </si>
  <si>
    <t>林敏</t>
  </si>
  <si>
    <t>叶荔琼</t>
  </si>
  <si>
    <t>罗凌霞</t>
  </si>
  <si>
    <t>年级成绩汇总统计表（化学、生物、政治、地理按赋分计入）</t>
  </si>
  <si>
    <r>
      <rPr>
        <sz val="10"/>
        <rFont val="宋体"/>
        <charset val="134"/>
      </rPr>
      <t>班主任</t>
    </r>
  </si>
  <si>
    <r>
      <rPr>
        <sz val="10"/>
        <rFont val="Times New Roman"/>
        <charset val="134"/>
      </rPr>
      <t>640</t>
    </r>
    <r>
      <rPr>
        <sz val="10"/>
        <rFont val="宋体"/>
        <charset val="134"/>
      </rPr>
      <t>以上</t>
    </r>
  </si>
  <si>
    <t>600-629</t>
  </si>
  <si>
    <t>420-519</t>
  </si>
  <si>
    <r>
      <rPr>
        <sz val="10"/>
        <rFont val="Times New Roman"/>
        <charset val="134"/>
      </rPr>
      <t>420</t>
    </r>
    <r>
      <rPr>
        <sz val="10"/>
        <rFont val="宋体"/>
        <charset val="134"/>
      </rPr>
      <t>以下</t>
    </r>
  </si>
  <si>
    <t>总平均</t>
  </si>
  <si>
    <t>高三下市三检考成绩与分班成绩对比（原始分）</t>
  </si>
  <si>
    <t>总均分</t>
  </si>
  <si>
    <t>分班名次</t>
  </si>
  <si>
    <t>进步情况</t>
  </si>
  <si>
    <t>高三下市三检成绩与分班成绩对比（赋分）</t>
  </si>
  <si>
    <t>前460/140</t>
  </si>
  <si>
    <t>分班</t>
  </si>
  <si>
    <t>期末市质检</t>
  </si>
  <si>
    <t>高三下市三检贡献值</t>
  </si>
  <si>
    <t>前420/140</t>
  </si>
  <si>
    <t>市二检</t>
  </si>
  <si>
    <t>高三下市二检贡献值</t>
  </si>
  <si>
    <t>前380/120</t>
  </si>
  <si>
    <t>485分/520分</t>
  </si>
  <si>
    <t>数学成绩</t>
  </si>
  <si>
    <t>英语名次</t>
  </si>
  <si>
    <t>0 - 90</t>
  </si>
  <si>
    <t>0 - 20</t>
  </si>
  <si>
    <t>20 - 50</t>
  </si>
  <si>
    <t>50 - 70</t>
  </si>
  <si>
    <t>90 - 120</t>
  </si>
  <si>
    <t>120 - 150</t>
  </si>
</sst>
</file>

<file path=xl/styles.xml><?xml version="1.0" encoding="utf-8"?>
<styleSheet xmlns="http://schemas.openxmlformats.org/spreadsheetml/2006/main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"/>
    <numFmt numFmtId="177" formatCode="0_ "/>
    <numFmt numFmtId="178" formatCode="0_);[Red]\(0\)"/>
    <numFmt numFmtId="179" formatCode="0.00_ "/>
    <numFmt numFmtId="180" formatCode="0.0%"/>
  </numFmts>
  <fonts count="56"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6"/>
      <name val="宋体"/>
      <charset val="134"/>
      <scheme val="minor"/>
    </font>
    <font>
      <sz val="14"/>
      <name val="宋体"/>
      <charset val="134"/>
      <scheme val="minor"/>
    </font>
    <font>
      <b/>
      <sz val="16"/>
      <name val="宋体"/>
      <charset val="134"/>
      <scheme val="minor"/>
    </font>
    <font>
      <b/>
      <sz val="16"/>
      <color theme="1"/>
      <name val="宋体"/>
      <charset val="134"/>
      <scheme val="minor"/>
    </font>
    <font>
      <sz val="11"/>
      <name val="宋体"/>
      <charset val="134"/>
      <scheme val="minor"/>
    </font>
    <font>
      <sz val="12"/>
      <name val="宋体"/>
      <charset val="134"/>
      <scheme val="minor"/>
    </font>
    <font>
      <sz val="12"/>
      <name val="宋体"/>
      <charset val="134"/>
    </font>
    <font>
      <sz val="10"/>
      <name val="宋体"/>
      <charset val="134"/>
    </font>
    <font>
      <sz val="11"/>
      <color indexed="8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</font>
    <font>
      <sz val="9"/>
      <name val="宋体"/>
      <charset val="134"/>
      <scheme val="minor"/>
    </font>
    <font>
      <sz val="10"/>
      <name val="宋体"/>
      <charset val="134"/>
      <scheme val="minor"/>
    </font>
    <font>
      <b/>
      <sz val="16"/>
      <name val="黑体"/>
      <charset val="134"/>
    </font>
    <font>
      <b/>
      <sz val="11"/>
      <name val="宋体"/>
      <charset val="134"/>
    </font>
    <font>
      <sz val="10"/>
      <name val="Times New Roman"/>
      <charset val="134"/>
    </font>
    <font>
      <sz val="11"/>
      <name val="Times New Roman"/>
      <charset val="134"/>
    </font>
    <font>
      <sz val="9"/>
      <name val="宋体"/>
      <charset val="134"/>
    </font>
    <font>
      <sz val="9"/>
      <name val="Times New Roman"/>
      <charset val="134"/>
    </font>
    <font>
      <b/>
      <sz val="11"/>
      <name val="Times New Roman"/>
      <charset val="134"/>
    </font>
    <font>
      <sz val="8"/>
      <name val="Times New Roman"/>
      <charset val="134"/>
    </font>
    <font>
      <b/>
      <sz val="12"/>
      <name val="宋体"/>
      <charset val="134"/>
    </font>
    <font>
      <sz val="10"/>
      <color rgb="FF000000"/>
      <name val="Arial"/>
      <charset val="134"/>
    </font>
    <font>
      <sz val="10"/>
      <color indexed="8"/>
      <name val="Arial"/>
      <charset val="134"/>
    </font>
    <font>
      <b/>
      <sz val="12"/>
      <color rgb="FFFF0000"/>
      <name val="宋体"/>
      <charset val="134"/>
    </font>
    <font>
      <sz val="11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仿宋_GB2312"/>
      <charset val="134"/>
    </font>
    <font>
      <sz val="10"/>
      <color theme="1"/>
      <name val="宋体"/>
      <charset val="134"/>
      <scheme val="minor"/>
    </font>
    <font>
      <sz val="10"/>
      <color theme="1"/>
      <name val="宋体"/>
      <charset val="134"/>
    </font>
    <font>
      <sz val="10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indexed="8"/>
      <name val="宋体"/>
      <charset val="134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name val="Arial"/>
      <charset val="134"/>
    </font>
    <font>
      <sz val="8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799951170384838"/>
        <bgColor theme="7" tint="0.799951170384838"/>
      </patternFill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5" fillId="10" borderId="2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0" fillId="14" borderId="22" applyNumberFormat="0" applyFont="0" applyAlignment="0" applyProtection="0">
      <alignment vertical="center"/>
    </xf>
    <xf numFmtId="0" fontId="37" fillId="15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>
      <alignment vertical="center"/>
    </xf>
    <xf numFmtId="0" fontId="45" fillId="0" borderId="23" applyNumberFormat="0" applyFill="0" applyAlignment="0" applyProtection="0">
      <alignment vertical="center"/>
    </xf>
    <xf numFmtId="0" fontId="46" fillId="0" borderId="23" applyNumberFormat="0" applyFill="0" applyAlignment="0" applyProtection="0">
      <alignment vertical="center"/>
    </xf>
    <xf numFmtId="0" fontId="37" fillId="16" borderId="0" applyNumberFormat="0" applyBorder="0" applyAlignment="0" applyProtection="0">
      <alignment vertical="center"/>
    </xf>
    <xf numFmtId="0" fontId="40" fillId="0" borderId="24" applyNumberFormat="0" applyFill="0" applyAlignment="0" applyProtection="0">
      <alignment vertical="center"/>
    </xf>
    <xf numFmtId="0" fontId="37" fillId="17" borderId="0" applyNumberFormat="0" applyBorder="0" applyAlignment="0" applyProtection="0">
      <alignment vertical="center"/>
    </xf>
    <xf numFmtId="0" fontId="47" fillId="18" borderId="25" applyNumberFormat="0" applyAlignment="0" applyProtection="0">
      <alignment vertical="center"/>
    </xf>
    <xf numFmtId="0" fontId="48" fillId="18" borderId="21" applyNumberFormat="0" applyAlignment="0" applyProtection="0">
      <alignment vertical="center"/>
    </xf>
    <xf numFmtId="0" fontId="49" fillId="19" borderId="26" applyNumberFormat="0" applyAlignment="0" applyProtection="0">
      <alignment vertical="center"/>
    </xf>
    <xf numFmtId="0" fontId="34" fillId="8" borderId="0" applyNumberFormat="0" applyBorder="0" applyAlignment="0" applyProtection="0">
      <alignment vertical="center"/>
    </xf>
    <xf numFmtId="0" fontId="37" fillId="20" borderId="0" applyNumberFormat="0" applyBorder="0" applyAlignment="0" applyProtection="0">
      <alignment vertical="center"/>
    </xf>
    <xf numFmtId="0" fontId="50" fillId="0" borderId="27" applyNumberFormat="0" applyFill="0" applyAlignment="0" applyProtection="0">
      <alignment vertical="center"/>
    </xf>
    <xf numFmtId="0" fontId="51" fillId="0" borderId="28" applyNumberFormat="0" applyFill="0" applyAlignment="0" applyProtection="0">
      <alignment vertical="center"/>
    </xf>
    <xf numFmtId="0" fontId="52" fillId="21" borderId="0" applyNumberFormat="0" applyBorder="0" applyAlignment="0" applyProtection="0">
      <alignment vertical="center"/>
    </xf>
    <xf numFmtId="0" fontId="53" fillId="2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37" fillId="23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4" fillId="26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4" fillId="2" borderId="0" applyNumberFormat="0" applyBorder="0" applyAlignment="0" applyProtection="0">
      <alignment vertical="center"/>
    </xf>
    <xf numFmtId="0" fontId="34" fillId="30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  <xf numFmtId="0" fontId="37" fillId="33" borderId="0" applyNumberFormat="0" applyBorder="0" applyAlignment="0" applyProtection="0">
      <alignment vertical="center"/>
    </xf>
    <xf numFmtId="0" fontId="37" fillId="34" borderId="0" applyNumberFormat="0" applyBorder="0" applyAlignment="0" applyProtection="0">
      <alignment vertical="center"/>
    </xf>
    <xf numFmtId="0" fontId="44" fillId="0" borderId="0">
      <alignment vertical="center"/>
    </xf>
    <xf numFmtId="0" fontId="34" fillId="35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44" fillId="0" borderId="0">
      <alignment vertical="center"/>
    </xf>
    <xf numFmtId="0" fontId="44" fillId="0" borderId="0">
      <alignment vertical="center"/>
    </xf>
    <xf numFmtId="0" fontId="54" fillId="0" borderId="0"/>
  </cellStyleXfs>
  <cellXfs count="18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177" fontId="5" fillId="0" borderId="1" xfId="0" applyNumberFormat="1" applyFont="1" applyBorder="1" applyAlignment="1">
      <alignment horizontal="center" vertical="center"/>
    </xf>
    <xf numFmtId="49" fontId="8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177" fontId="0" fillId="0" borderId="1" xfId="0" applyNumberFormat="1" applyBorder="1">
      <alignment vertical="center"/>
    </xf>
    <xf numFmtId="178" fontId="8" fillId="0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 wrapText="1"/>
    </xf>
    <xf numFmtId="179" fontId="6" fillId="0" borderId="1" xfId="0" applyNumberFormat="1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179" fontId="0" fillId="0" borderId="1" xfId="0" applyNumberFormat="1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179" fontId="0" fillId="0" borderId="1" xfId="0" applyNumberFormat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6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horizont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5" fillId="0" borderId="7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80" fontId="17" fillId="0" borderId="1" xfId="11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180" fontId="20" fillId="0" borderId="1" xfId="11" applyNumberFormat="1" applyFont="1" applyBorder="1" applyAlignment="1">
      <alignment horizontal="center" vertical="center"/>
    </xf>
    <xf numFmtId="176" fontId="18" fillId="0" borderId="1" xfId="0" applyNumberFormat="1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7" fillId="0" borderId="8" xfId="0" applyFont="1" applyBorder="1" applyAlignment="1">
      <alignment vertical="center"/>
    </xf>
    <xf numFmtId="0" fontId="17" fillId="0" borderId="1" xfId="0" applyFont="1" applyBorder="1" applyAlignment="1">
      <alignment vertical="center"/>
    </xf>
    <xf numFmtId="0" fontId="14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0" fontId="17" fillId="0" borderId="9" xfId="0" applyFont="1" applyBorder="1" applyAlignment="1">
      <alignment vertical="center"/>
    </xf>
    <xf numFmtId="0" fontId="18" fillId="0" borderId="10" xfId="0" applyFont="1" applyBorder="1" applyAlignment="1">
      <alignment vertical="center"/>
    </xf>
    <xf numFmtId="0" fontId="18" fillId="0" borderId="11" xfId="0" applyFont="1" applyBorder="1" applyAlignment="1">
      <alignment vertical="center"/>
    </xf>
    <xf numFmtId="0" fontId="18" fillId="0" borderId="8" xfId="0" applyFont="1" applyBorder="1" applyAlignment="1">
      <alignment vertical="center"/>
    </xf>
    <xf numFmtId="0" fontId="22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3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180" fontId="17" fillId="0" borderId="2" xfId="11" applyNumberFormat="1" applyFont="1" applyBorder="1" applyAlignment="1">
      <alignment horizontal="center" vertical="center"/>
    </xf>
    <xf numFmtId="176" fontId="18" fillId="0" borderId="2" xfId="0" applyNumberFormat="1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176" fontId="18" fillId="0" borderId="3" xfId="0" applyNumberFormat="1" applyFont="1" applyBorder="1" applyAlignment="1">
      <alignment horizontal="center" vertical="center"/>
    </xf>
    <xf numFmtId="176" fontId="18" fillId="0" borderId="0" xfId="0" applyNumberFormat="1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80" fontId="17" fillId="0" borderId="3" xfId="11" applyNumberFormat="1" applyFont="1" applyBorder="1" applyAlignment="1">
      <alignment horizontal="center" vertical="center"/>
    </xf>
    <xf numFmtId="180" fontId="17" fillId="0" borderId="14" xfId="11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176" fontId="18" fillId="0" borderId="14" xfId="0" applyNumberFormat="1" applyFont="1" applyBorder="1" applyAlignment="1">
      <alignment horizontal="center" vertical="center"/>
    </xf>
    <xf numFmtId="176" fontId="18" fillId="0" borderId="15" xfId="0" applyNumberFormat="1" applyFont="1" applyBorder="1" applyAlignment="1">
      <alignment horizontal="center" vertical="center"/>
    </xf>
    <xf numFmtId="0" fontId="18" fillId="0" borderId="16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19" fillId="0" borderId="3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18" fillId="0" borderId="0" xfId="0" applyFont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/>
    </xf>
    <xf numFmtId="176" fontId="17" fillId="0" borderId="1" xfId="0" applyNumberFormat="1" applyFont="1" applyFill="1" applyBorder="1" applyAlignment="1">
      <alignment horizontal="center" vertical="center"/>
    </xf>
    <xf numFmtId="0" fontId="18" fillId="0" borderId="13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/>
    </xf>
    <xf numFmtId="176" fontId="18" fillId="0" borderId="13" xfId="0" applyNumberFormat="1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176" fontId="18" fillId="0" borderId="1" xfId="0" applyNumberFormat="1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177" fontId="0" fillId="0" borderId="1" xfId="0" applyNumberFormat="1" applyFill="1" applyBorder="1" applyAlignment="1">
      <alignment horizontal="center" vertical="center"/>
    </xf>
    <xf numFmtId="177" fontId="0" fillId="0" borderId="0" xfId="0" applyNumberFormat="1" applyFill="1" applyBorder="1" applyAlignment="1">
      <alignment horizontal="center" vertical="center"/>
    </xf>
    <xf numFmtId="0" fontId="24" fillId="0" borderId="18" xfId="0" applyFont="1" applyFill="1" applyBorder="1" applyAlignment="1">
      <alignment horizontal="center" vertical="center"/>
    </xf>
    <xf numFmtId="0" fontId="25" fillId="0" borderId="18" xfId="0" applyFont="1" applyFill="1" applyBorder="1" applyAlignment="1">
      <alignment horizontal="center" vertical="center"/>
    </xf>
    <xf numFmtId="0" fontId="9" fillId="4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177" fontId="10" fillId="0" borderId="0" xfId="0" applyNumberFormat="1" applyFont="1" applyFill="1" applyBorder="1" applyAlignment="1">
      <alignment horizontal="center" vertical="center"/>
    </xf>
    <xf numFmtId="0" fontId="26" fillId="4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vertical="center"/>
    </xf>
    <xf numFmtId="0" fontId="0" fillId="0" borderId="0" xfId="0" applyFill="1">
      <alignment vertical="center"/>
    </xf>
    <xf numFmtId="0" fontId="0" fillId="0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27" fillId="0" borderId="1" xfId="0" applyFont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6" borderId="0" xfId="0" applyFill="1">
      <alignment vertical="center"/>
    </xf>
    <xf numFmtId="0" fontId="28" fillId="0" borderId="1" xfId="0" applyFont="1" applyFill="1" applyBorder="1" applyAlignment="1">
      <alignment horizontal="center" vertical="center"/>
    </xf>
    <xf numFmtId="0" fontId="29" fillId="0" borderId="1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9" fillId="0" borderId="19" xfId="0" applyFont="1" applyFill="1" applyBorder="1" applyAlignment="1">
      <alignment horizontal="center" vertical="center" wrapText="1"/>
    </xf>
    <xf numFmtId="49" fontId="30" fillId="0" borderId="1" xfId="0" applyNumberFormat="1" applyFont="1" applyFill="1" applyBorder="1" applyAlignment="1">
      <alignment horizontal="center" vertical="center" wrapText="1"/>
    </xf>
    <xf numFmtId="178" fontId="30" fillId="0" borderId="1" xfId="0" applyNumberFormat="1" applyFont="1" applyFill="1" applyBorder="1" applyAlignment="1">
      <alignment horizontal="center" vertical="center" wrapText="1"/>
    </xf>
    <xf numFmtId="0" fontId="30" fillId="0" borderId="1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5" fillId="0" borderId="0" xfId="0" applyFont="1" applyAlignment="1">
      <alignment vertical="center"/>
    </xf>
    <xf numFmtId="49" fontId="0" fillId="0" borderId="0" xfId="0" applyNumberFormat="1" applyBorder="1" applyAlignment="1">
      <alignment horizontal="center" vertical="center"/>
    </xf>
    <xf numFmtId="177" fontId="0" fillId="0" borderId="0" xfId="0" applyNumberForma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77" fontId="5" fillId="0" borderId="0" xfId="0" applyNumberFormat="1" applyFont="1" applyBorder="1" applyAlignment="1">
      <alignment horizontal="center" vertical="center"/>
    </xf>
    <xf numFmtId="0" fontId="0" fillId="0" borderId="0" xfId="0" applyBorder="1">
      <alignment vertical="center"/>
    </xf>
    <xf numFmtId="177" fontId="0" fillId="0" borderId="0" xfId="0" applyNumberFormat="1" applyBorder="1">
      <alignment vertical="center"/>
    </xf>
    <xf numFmtId="178" fontId="8" fillId="0" borderId="0" xfId="0" applyNumberFormat="1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10" fontId="0" fillId="0" borderId="1" xfId="0" applyNumberFormat="1" applyFill="1" applyBorder="1" applyAlignment="1">
      <alignment horizontal="center" vertical="center"/>
    </xf>
    <xf numFmtId="179" fontId="6" fillId="0" borderId="1" xfId="0" applyNumberFormat="1" applyFont="1" applyFill="1" applyBorder="1" applyAlignment="1">
      <alignment vertical="center"/>
    </xf>
    <xf numFmtId="0" fontId="31" fillId="0" borderId="1" xfId="0" applyFont="1" applyBorder="1" applyAlignment="1">
      <alignment horizontal="center" vertical="center"/>
    </xf>
    <xf numFmtId="49" fontId="31" fillId="0" borderId="1" xfId="0" applyNumberFormat="1" applyFont="1" applyFill="1" applyBorder="1" applyAlignment="1">
      <alignment horizontal="center" vertical="center"/>
    </xf>
    <xf numFmtId="0" fontId="31" fillId="0" borderId="1" xfId="0" applyFont="1" applyFill="1" applyBorder="1" applyAlignment="1">
      <alignment horizontal="center" vertical="center"/>
    </xf>
    <xf numFmtId="0" fontId="32" fillId="0" borderId="1" xfId="0" applyFont="1" applyBorder="1" applyAlignment="1">
      <alignment horizontal="center" vertical="center"/>
    </xf>
    <xf numFmtId="177" fontId="31" fillId="0" borderId="1" xfId="0" applyNumberFormat="1" applyFont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177" fontId="9" fillId="0" borderId="1" xfId="0" applyNumberFormat="1" applyFont="1" applyFill="1" applyBorder="1" applyAlignment="1">
      <alignment horizontal="center" vertical="center"/>
    </xf>
    <xf numFmtId="177" fontId="14" fillId="0" borderId="1" xfId="53" applyNumberFormat="1" applyFont="1" applyFill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49" fontId="33" fillId="0" borderId="1" xfId="0" applyNumberFormat="1" applyFont="1" applyFill="1" applyBorder="1" applyAlignment="1">
      <alignment horizontal="center" vertical="center"/>
    </xf>
    <xf numFmtId="0" fontId="33" fillId="0" borderId="1" xfId="0" applyFont="1" applyFill="1" applyBorder="1" applyAlignment="1">
      <alignment horizontal="center" vertical="center"/>
    </xf>
    <xf numFmtId="177" fontId="31" fillId="0" borderId="1" xfId="0" applyNumberFormat="1" applyFont="1" applyBorder="1" applyAlignment="1">
      <alignment vertical="center"/>
    </xf>
    <xf numFmtId="177" fontId="14" fillId="0" borderId="1" xfId="0" applyNumberFormat="1" applyFont="1" applyFill="1" applyBorder="1" applyAlignment="1">
      <alignment vertical="center"/>
    </xf>
    <xf numFmtId="177" fontId="10" fillId="0" borderId="1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31" fillId="0" borderId="0" xfId="0" applyFont="1" applyBorder="1" applyAlignment="1">
      <alignment horizontal="center" vertical="center"/>
    </xf>
    <xf numFmtId="177" fontId="31" fillId="0" borderId="1" xfId="0" applyNumberFormat="1" applyFont="1" applyFill="1" applyBorder="1" applyAlignment="1">
      <alignment horizontal="center" vertical="center"/>
    </xf>
  </cellXfs>
  <cellStyles count="54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常规 8" xfId="19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常规 10" xfId="48"/>
    <cellStyle name="40% - 强调文字颜色 6" xfId="49" builtinId="51"/>
    <cellStyle name="60% - 强调文字颜色 6" xfId="50" builtinId="52"/>
    <cellStyle name="常规 2" xfId="51"/>
    <cellStyle name="常规 3" xfId="52"/>
    <cellStyle name="常规_Sheet1" xfId="53"/>
  </cellStyles>
  <dxfs count="6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b val="0"/>
        <i val="0"/>
        <color indexed="22"/>
      </font>
    </dxf>
    <dxf>
      <font>
        <color theme="0"/>
      </font>
    </dxf>
    <dxf>
      <font>
        <color rgb="FFFF0000"/>
      </font>
    </dxf>
    <dxf>
      <font>
        <color rgb="FF00B05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6" Type="http://schemas.openxmlformats.org/officeDocument/2006/relationships/sharedStrings" Target="sharedStrings.xml"/><Relationship Id="rId25" Type="http://schemas.openxmlformats.org/officeDocument/2006/relationships/styles" Target="styles.xml"/><Relationship Id="rId24" Type="http://schemas.openxmlformats.org/officeDocument/2006/relationships/theme" Target="theme/theme1.xml"/><Relationship Id="rId23" Type="http://schemas.openxmlformats.org/officeDocument/2006/relationships/externalLink" Target="externalLinks/externalLink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gradeAnalys\tables\3%202021&#32423;\3&#32771;&#35797;&#65288;&#21608;&#32451;%20&#26376;&#32771;%20&#26399;&#20013;&#32771;%20&#26399;&#26411;&#32771;%20&#32852;&#32771;%20&#32479;&#32771;&#65289;\2024.1.24-26&#39640;&#19977;&#19978;&#24066;&#19968;&#26816;\2023&#23626;\3_2023&#23626;&#39640;&#19977;&#31532;&#19968;&#27425;&#24066;&#36136;&#26816;&#65288;&#32852;&#32771;&#65289;&#65288;2023.2.6&#65289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四线"/>
      <sheetName val="分数段及各率"/>
      <sheetName val="赋分分类排行版"/>
      <sheetName val="物理前100名"/>
      <sheetName val="历史前50名"/>
      <sheetName val="全年段(赋分)"/>
      <sheetName val="全年段(原始分)"/>
      <sheetName val="赋分规则"/>
      <sheetName val="临时表格"/>
    </sheetNames>
    <sheetDataSet>
      <sheetData sheetId="0"/>
      <sheetData sheetId="1"/>
      <sheetData sheetId="2"/>
      <sheetData sheetId="3"/>
      <sheetData sheetId="4"/>
      <sheetData sheetId="5">
        <row r="4">
          <cell r="C4">
            <v>1</v>
          </cell>
        </row>
        <row r="4">
          <cell r="E4">
            <v>525.5</v>
          </cell>
        </row>
        <row r="4">
          <cell r="AH4" t="str">
            <v>物理</v>
          </cell>
        </row>
        <row r="5">
          <cell r="C5">
            <v>1</v>
          </cell>
        </row>
        <row r="5">
          <cell r="E5">
            <v>522.5</v>
          </cell>
        </row>
        <row r="5">
          <cell r="AH5" t="str">
            <v>物理</v>
          </cell>
        </row>
        <row r="6">
          <cell r="C6">
            <v>1</v>
          </cell>
        </row>
        <row r="6">
          <cell r="E6">
            <v>519.5</v>
          </cell>
        </row>
        <row r="6">
          <cell r="AH6" t="str">
            <v>物理</v>
          </cell>
        </row>
        <row r="7">
          <cell r="C7">
            <v>1</v>
          </cell>
        </row>
        <row r="7">
          <cell r="E7">
            <v>549</v>
          </cell>
        </row>
        <row r="7">
          <cell r="AH7" t="str">
            <v>物理</v>
          </cell>
        </row>
        <row r="8">
          <cell r="C8">
            <v>1</v>
          </cell>
        </row>
        <row r="8">
          <cell r="E8">
            <v>503</v>
          </cell>
        </row>
        <row r="8">
          <cell r="AH8" t="str">
            <v>物理</v>
          </cell>
        </row>
        <row r="9">
          <cell r="C9">
            <v>1</v>
          </cell>
        </row>
        <row r="9">
          <cell r="E9">
            <v>533.25</v>
          </cell>
        </row>
        <row r="9">
          <cell r="AH9" t="str">
            <v>物理</v>
          </cell>
        </row>
        <row r="10">
          <cell r="C10">
            <v>1</v>
          </cell>
        </row>
        <row r="10">
          <cell r="E10">
            <v>479</v>
          </cell>
        </row>
        <row r="10">
          <cell r="AH10" t="str">
            <v>物理</v>
          </cell>
        </row>
        <row r="11">
          <cell r="C11">
            <v>1</v>
          </cell>
        </row>
        <row r="11">
          <cell r="E11">
            <v>418.5</v>
          </cell>
        </row>
        <row r="11">
          <cell r="AH11" t="str">
            <v>物理</v>
          </cell>
        </row>
        <row r="12">
          <cell r="C12">
            <v>1</v>
          </cell>
        </row>
        <row r="12">
          <cell r="E12">
            <v>505.75</v>
          </cell>
        </row>
        <row r="12">
          <cell r="AH12" t="str">
            <v>物理</v>
          </cell>
        </row>
        <row r="13">
          <cell r="C13">
            <v>1</v>
          </cell>
        </row>
        <row r="13">
          <cell r="E13">
            <v>510.5</v>
          </cell>
        </row>
        <row r="13">
          <cell r="AH13" t="str">
            <v>物理</v>
          </cell>
        </row>
        <row r="14">
          <cell r="C14">
            <v>1</v>
          </cell>
        </row>
        <row r="14">
          <cell r="E14">
            <v>528.5</v>
          </cell>
        </row>
        <row r="14">
          <cell r="AH14" t="str">
            <v>物理</v>
          </cell>
        </row>
        <row r="15">
          <cell r="C15">
            <v>1</v>
          </cell>
        </row>
        <row r="15">
          <cell r="E15">
            <v>529.5</v>
          </cell>
        </row>
        <row r="15">
          <cell r="AH15" t="str">
            <v>物理</v>
          </cell>
        </row>
        <row r="16">
          <cell r="C16">
            <v>1</v>
          </cell>
        </row>
        <row r="16">
          <cell r="E16">
            <v>557.75</v>
          </cell>
        </row>
        <row r="16">
          <cell r="AH16" t="str">
            <v>物理</v>
          </cell>
        </row>
        <row r="17">
          <cell r="C17">
            <v>1</v>
          </cell>
        </row>
        <row r="17">
          <cell r="E17">
            <v>467</v>
          </cell>
        </row>
        <row r="17">
          <cell r="AH17" t="str">
            <v>物理</v>
          </cell>
        </row>
        <row r="18">
          <cell r="C18">
            <v>1</v>
          </cell>
        </row>
        <row r="18">
          <cell r="E18">
            <v>437</v>
          </cell>
        </row>
        <row r="18">
          <cell r="AH18" t="str">
            <v>物理</v>
          </cell>
        </row>
        <row r="19">
          <cell r="C19">
            <v>1</v>
          </cell>
        </row>
        <row r="19">
          <cell r="E19">
            <v>511.25</v>
          </cell>
        </row>
        <row r="19">
          <cell r="AH19" t="str">
            <v>物理</v>
          </cell>
        </row>
        <row r="20">
          <cell r="C20">
            <v>1</v>
          </cell>
        </row>
        <row r="20">
          <cell r="E20">
            <v>476.75</v>
          </cell>
        </row>
        <row r="20">
          <cell r="AH20" t="str">
            <v>物理</v>
          </cell>
        </row>
        <row r="21">
          <cell r="C21">
            <v>1</v>
          </cell>
        </row>
        <row r="21">
          <cell r="E21">
            <v>519</v>
          </cell>
        </row>
        <row r="21">
          <cell r="AH21" t="str">
            <v>物理</v>
          </cell>
        </row>
        <row r="22">
          <cell r="C22">
            <v>1</v>
          </cell>
        </row>
        <row r="22">
          <cell r="E22">
            <v>488</v>
          </cell>
        </row>
        <row r="22">
          <cell r="AH22" t="str">
            <v>物理</v>
          </cell>
        </row>
        <row r="23">
          <cell r="C23">
            <v>1</v>
          </cell>
        </row>
        <row r="23">
          <cell r="E23">
            <v>418</v>
          </cell>
        </row>
        <row r="23">
          <cell r="AH23" t="str">
            <v>物理</v>
          </cell>
        </row>
        <row r="24">
          <cell r="C24">
            <v>1</v>
          </cell>
        </row>
        <row r="24">
          <cell r="E24">
            <v>483.25</v>
          </cell>
        </row>
        <row r="24">
          <cell r="AH24" t="str">
            <v>物理</v>
          </cell>
        </row>
        <row r="25">
          <cell r="C25">
            <v>1</v>
          </cell>
        </row>
        <row r="25">
          <cell r="E25">
            <v>510</v>
          </cell>
        </row>
        <row r="25">
          <cell r="AH25" t="str">
            <v>物理</v>
          </cell>
        </row>
        <row r="26">
          <cell r="C26">
            <v>1</v>
          </cell>
        </row>
        <row r="26">
          <cell r="E26">
            <v>406</v>
          </cell>
        </row>
        <row r="26">
          <cell r="AH26" t="str">
            <v>物理</v>
          </cell>
        </row>
        <row r="27">
          <cell r="C27">
            <v>1</v>
          </cell>
        </row>
        <row r="27">
          <cell r="E27">
            <v>539.5</v>
          </cell>
        </row>
        <row r="27">
          <cell r="AH27" t="str">
            <v>物理</v>
          </cell>
        </row>
        <row r="28">
          <cell r="C28">
            <v>1</v>
          </cell>
        </row>
        <row r="28">
          <cell r="E28">
            <v>524</v>
          </cell>
        </row>
        <row r="28">
          <cell r="AH28" t="str">
            <v>物理</v>
          </cell>
        </row>
        <row r="29">
          <cell r="C29">
            <v>1</v>
          </cell>
        </row>
        <row r="29">
          <cell r="E29">
            <v>468</v>
          </cell>
        </row>
        <row r="29">
          <cell r="AH29" t="str">
            <v>物理</v>
          </cell>
        </row>
        <row r="30">
          <cell r="C30">
            <v>1</v>
          </cell>
        </row>
        <row r="30">
          <cell r="E30">
            <v>357.5</v>
          </cell>
        </row>
        <row r="30">
          <cell r="AH30" t="str">
            <v>物理</v>
          </cell>
        </row>
        <row r="31">
          <cell r="C31">
            <v>1</v>
          </cell>
        </row>
        <row r="31">
          <cell r="E31">
            <v>500</v>
          </cell>
        </row>
        <row r="31">
          <cell r="AH31" t="str">
            <v>物理</v>
          </cell>
        </row>
        <row r="32">
          <cell r="C32">
            <v>1</v>
          </cell>
        </row>
        <row r="32">
          <cell r="E32">
            <v>453</v>
          </cell>
        </row>
        <row r="32">
          <cell r="AH32" t="str">
            <v>物理</v>
          </cell>
        </row>
        <row r="33">
          <cell r="C33">
            <v>1</v>
          </cell>
        </row>
        <row r="33">
          <cell r="E33">
            <v>478</v>
          </cell>
        </row>
        <row r="33">
          <cell r="AH33" t="str">
            <v>物理</v>
          </cell>
        </row>
        <row r="34">
          <cell r="C34">
            <v>1</v>
          </cell>
        </row>
        <row r="34">
          <cell r="E34">
            <v>455</v>
          </cell>
        </row>
        <row r="34">
          <cell r="AH34" t="str">
            <v>物理</v>
          </cell>
        </row>
        <row r="35">
          <cell r="C35">
            <v>1</v>
          </cell>
        </row>
        <row r="35">
          <cell r="E35">
            <v>511.5</v>
          </cell>
        </row>
        <row r="35">
          <cell r="AH35" t="str">
            <v>物理</v>
          </cell>
        </row>
        <row r="36">
          <cell r="C36">
            <v>1</v>
          </cell>
        </row>
        <row r="36">
          <cell r="E36">
            <v>465.5</v>
          </cell>
        </row>
        <row r="36">
          <cell r="AH36" t="str">
            <v>物理</v>
          </cell>
        </row>
        <row r="37">
          <cell r="C37">
            <v>1</v>
          </cell>
        </row>
        <row r="37">
          <cell r="E37">
            <v>494.5</v>
          </cell>
        </row>
        <row r="37">
          <cell r="AH37" t="str">
            <v>物理</v>
          </cell>
        </row>
        <row r="38">
          <cell r="C38">
            <v>1</v>
          </cell>
        </row>
        <row r="38">
          <cell r="E38">
            <v>433</v>
          </cell>
        </row>
        <row r="38">
          <cell r="AH38" t="str">
            <v>物理</v>
          </cell>
        </row>
        <row r="39">
          <cell r="C39">
            <v>1</v>
          </cell>
        </row>
        <row r="39">
          <cell r="E39">
            <v>494</v>
          </cell>
        </row>
        <row r="39">
          <cell r="AH39" t="str">
            <v>物理</v>
          </cell>
        </row>
        <row r="40">
          <cell r="C40">
            <v>1</v>
          </cell>
        </row>
        <row r="40">
          <cell r="E40">
            <v>451.5</v>
          </cell>
        </row>
        <row r="40">
          <cell r="AH40" t="str">
            <v>物理</v>
          </cell>
        </row>
        <row r="41">
          <cell r="C41">
            <v>1</v>
          </cell>
        </row>
        <row r="41">
          <cell r="E41">
            <v>430</v>
          </cell>
        </row>
        <row r="41">
          <cell r="AH41" t="str">
            <v>物理</v>
          </cell>
        </row>
        <row r="42">
          <cell r="C42">
            <v>1</v>
          </cell>
        </row>
        <row r="42">
          <cell r="E42">
            <v>458</v>
          </cell>
        </row>
        <row r="42">
          <cell r="AH42" t="str">
            <v>物理</v>
          </cell>
        </row>
        <row r="43">
          <cell r="C43">
            <v>1</v>
          </cell>
        </row>
        <row r="43">
          <cell r="E43">
            <v>511.5</v>
          </cell>
        </row>
        <row r="43">
          <cell r="AH43" t="str">
            <v>物理</v>
          </cell>
        </row>
        <row r="44">
          <cell r="C44">
            <v>1</v>
          </cell>
        </row>
        <row r="44">
          <cell r="E44">
            <v>498.5</v>
          </cell>
        </row>
        <row r="44">
          <cell r="AH44" t="str">
            <v>物理</v>
          </cell>
        </row>
        <row r="45">
          <cell r="C45">
            <v>1</v>
          </cell>
        </row>
        <row r="45">
          <cell r="E45">
            <v>507</v>
          </cell>
        </row>
        <row r="45">
          <cell r="AH45" t="str">
            <v>物理</v>
          </cell>
        </row>
        <row r="46">
          <cell r="C46">
            <v>1</v>
          </cell>
        </row>
        <row r="46">
          <cell r="E46">
            <v>420.75</v>
          </cell>
        </row>
        <row r="46">
          <cell r="AH46" t="str">
            <v>物理</v>
          </cell>
        </row>
        <row r="47">
          <cell r="C47">
            <v>1</v>
          </cell>
        </row>
        <row r="47">
          <cell r="E47">
            <v>461</v>
          </cell>
        </row>
        <row r="47">
          <cell r="AH47" t="str">
            <v>物理</v>
          </cell>
        </row>
        <row r="48">
          <cell r="C48">
            <v>1</v>
          </cell>
        </row>
        <row r="48">
          <cell r="E48">
            <v>362</v>
          </cell>
        </row>
        <row r="48">
          <cell r="AH48" t="str">
            <v>物理</v>
          </cell>
        </row>
        <row r="49">
          <cell r="C49">
            <v>1</v>
          </cell>
        </row>
        <row r="49">
          <cell r="E49">
            <v>423</v>
          </cell>
        </row>
        <row r="49">
          <cell r="AH49" t="str">
            <v>物理</v>
          </cell>
        </row>
        <row r="50">
          <cell r="C50">
            <v>1</v>
          </cell>
        </row>
        <row r="50">
          <cell r="E50">
            <v>414.5</v>
          </cell>
        </row>
        <row r="50">
          <cell r="AH50" t="str">
            <v>物理</v>
          </cell>
        </row>
        <row r="51">
          <cell r="C51">
            <v>1</v>
          </cell>
        </row>
        <row r="51">
          <cell r="E51">
            <v>465.5</v>
          </cell>
        </row>
        <row r="51">
          <cell r="AH51" t="str">
            <v>物理</v>
          </cell>
        </row>
        <row r="52">
          <cell r="C52">
            <v>1</v>
          </cell>
        </row>
        <row r="52">
          <cell r="E52">
            <v>412</v>
          </cell>
        </row>
        <row r="52">
          <cell r="AH52" t="str">
            <v>物理</v>
          </cell>
        </row>
        <row r="53">
          <cell r="C53">
            <v>1</v>
          </cell>
        </row>
        <row r="53">
          <cell r="E53">
            <v>379</v>
          </cell>
        </row>
        <row r="53">
          <cell r="AH53" t="str">
            <v>物理</v>
          </cell>
        </row>
        <row r="54">
          <cell r="C54">
            <v>1</v>
          </cell>
        </row>
        <row r="54">
          <cell r="E54">
            <v>407</v>
          </cell>
        </row>
        <row r="54">
          <cell r="AH54" t="str">
            <v>物理</v>
          </cell>
        </row>
        <row r="55">
          <cell r="C55">
            <v>1</v>
          </cell>
        </row>
        <row r="55">
          <cell r="E55">
            <v>370.5</v>
          </cell>
        </row>
        <row r="55">
          <cell r="AH55" t="str">
            <v>物理</v>
          </cell>
        </row>
        <row r="56">
          <cell r="C56">
            <v>1</v>
          </cell>
        </row>
        <row r="56">
          <cell r="E56">
            <v>543</v>
          </cell>
        </row>
        <row r="56">
          <cell r="AH56" t="str">
            <v>物理</v>
          </cell>
        </row>
        <row r="57">
          <cell r="C57">
            <v>1</v>
          </cell>
        </row>
        <row r="57">
          <cell r="E57">
            <v>478</v>
          </cell>
        </row>
        <row r="57">
          <cell r="AH57" t="str">
            <v>物理</v>
          </cell>
        </row>
        <row r="58">
          <cell r="C58">
            <v>2</v>
          </cell>
        </row>
        <row r="58">
          <cell r="E58">
            <v>500.75</v>
          </cell>
        </row>
        <row r="58">
          <cell r="AH58" t="str">
            <v>物理</v>
          </cell>
        </row>
        <row r="59">
          <cell r="C59">
            <v>2</v>
          </cell>
        </row>
        <row r="59">
          <cell r="E59">
            <v>546</v>
          </cell>
        </row>
        <row r="59">
          <cell r="AH59" t="str">
            <v>物理</v>
          </cell>
        </row>
        <row r="60">
          <cell r="C60">
            <v>2</v>
          </cell>
        </row>
        <row r="60">
          <cell r="E60">
            <v>560.5</v>
          </cell>
        </row>
        <row r="60">
          <cell r="AH60" t="str">
            <v>物理</v>
          </cell>
        </row>
        <row r="61">
          <cell r="C61">
            <v>2</v>
          </cell>
        </row>
        <row r="61">
          <cell r="E61">
            <v>460.25</v>
          </cell>
        </row>
        <row r="61">
          <cell r="AH61" t="str">
            <v>物理</v>
          </cell>
        </row>
        <row r="62">
          <cell r="C62">
            <v>2</v>
          </cell>
        </row>
        <row r="62">
          <cell r="E62">
            <v>546.75</v>
          </cell>
        </row>
        <row r="62">
          <cell r="AH62" t="str">
            <v>物理</v>
          </cell>
        </row>
        <row r="63">
          <cell r="C63">
            <v>2</v>
          </cell>
        </row>
        <row r="63">
          <cell r="E63">
            <v>534.5</v>
          </cell>
        </row>
        <row r="63">
          <cell r="AH63" t="str">
            <v>物理</v>
          </cell>
        </row>
        <row r="64">
          <cell r="C64">
            <v>2</v>
          </cell>
        </row>
        <row r="64">
          <cell r="E64">
            <v>540</v>
          </cell>
        </row>
        <row r="64">
          <cell r="AH64" t="str">
            <v>物理</v>
          </cell>
        </row>
        <row r="65">
          <cell r="C65">
            <v>2</v>
          </cell>
        </row>
        <row r="65">
          <cell r="E65">
            <v>525</v>
          </cell>
        </row>
        <row r="65">
          <cell r="AH65" t="str">
            <v>物理</v>
          </cell>
        </row>
        <row r="66">
          <cell r="C66">
            <v>2</v>
          </cell>
        </row>
        <row r="66">
          <cell r="E66">
            <v>470</v>
          </cell>
        </row>
        <row r="66">
          <cell r="AH66" t="str">
            <v>物理</v>
          </cell>
        </row>
        <row r="67">
          <cell r="C67">
            <v>2</v>
          </cell>
        </row>
        <row r="67">
          <cell r="E67">
            <v>491</v>
          </cell>
        </row>
        <row r="67">
          <cell r="AH67" t="str">
            <v>物理</v>
          </cell>
        </row>
        <row r="68">
          <cell r="C68">
            <v>2</v>
          </cell>
        </row>
        <row r="68">
          <cell r="E68">
            <v>517</v>
          </cell>
        </row>
        <row r="68">
          <cell r="AH68" t="str">
            <v>物理</v>
          </cell>
        </row>
        <row r="69">
          <cell r="C69">
            <v>2</v>
          </cell>
        </row>
        <row r="69">
          <cell r="E69">
            <v>519</v>
          </cell>
        </row>
        <row r="69">
          <cell r="AH69" t="str">
            <v>物理</v>
          </cell>
        </row>
        <row r="70">
          <cell r="C70">
            <v>2</v>
          </cell>
        </row>
        <row r="70">
          <cell r="E70">
            <v>558</v>
          </cell>
        </row>
        <row r="70">
          <cell r="AH70" t="str">
            <v>物理</v>
          </cell>
        </row>
        <row r="71">
          <cell r="C71">
            <v>2</v>
          </cell>
        </row>
        <row r="71">
          <cell r="E71">
            <v>479.75</v>
          </cell>
        </row>
        <row r="71">
          <cell r="AH71" t="str">
            <v>物理</v>
          </cell>
        </row>
        <row r="72">
          <cell r="C72">
            <v>2</v>
          </cell>
        </row>
        <row r="72">
          <cell r="E72">
            <v>479</v>
          </cell>
        </row>
        <row r="72">
          <cell r="AH72" t="str">
            <v>物理</v>
          </cell>
        </row>
        <row r="73">
          <cell r="C73">
            <v>2</v>
          </cell>
        </row>
        <row r="73">
          <cell r="E73">
            <v>480.5</v>
          </cell>
        </row>
        <row r="73">
          <cell r="AH73" t="str">
            <v>物理</v>
          </cell>
        </row>
        <row r="74">
          <cell r="C74">
            <v>2</v>
          </cell>
        </row>
        <row r="74">
          <cell r="E74">
            <v>457.5</v>
          </cell>
        </row>
        <row r="74">
          <cell r="AH74" t="str">
            <v>物理</v>
          </cell>
        </row>
        <row r="75">
          <cell r="C75">
            <v>2</v>
          </cell>
        </row>
        <row r="75">
          <cell r="E75">
            <v>504</v>
          </cell>
        </row>
        <row r="75">
          <cell r="AH75" t="str">
            <v>物理</v>
          </cell>
        </row>
        <row r="76">
          <cell r="C76">
            <v>2</v>
          </cell>
        </row>
        <row r="76">
          <cell r="E76">
            <v>454</v>
          </cell>
        </row>
        <row r="76">
          <cell r="AH76" t="str">
            <v>物理</v>
          </cell>
        </row>
        <row r="77">
          <cell r="C77">
            <v>2</v>
          </cell>
        </row>
        <row r="77">
          <cell r="E77">
            <v>535.5</v>
          </cell>
        </row>
        <row r="77">
          <cell r="AH77" t="str">
            <v>物理</v>
          </cell>
        </row>
        <row r="78">
          <cell r="C78">
            <v>2</v>
          </cell>
        </row>
        <row r="78">
          <cell r="E78">
            <v>481.5</v>
          </cell>
        </row>
        <row r="78">
          <cell r="AH78" t="str">
            <v>物理</v>
          </cell>
        </row>
        <row r="79">
          <cell r="C79">
            <v>2</v>
          </cell>
        </row>
        <row r="79">
          <cell r="E79">
            <v>488.25</v>
          </cell>
        </row>
        <row r="79">
          <cell r="AH79" t="str">
            <v>物理</v>
          </cell>
        </row>
        <row r="80">
          <cell r="C80">
            <v>2</v>
          </cell>
        </row>
        <row r="80">
          <cell r="E80">
            <v>533.5</v>
          </cell>
        </row>
        <row r="80">
          <cell r="AH80" t="str">
            <v>物理</v>
          </cell>
        </row>
        <row r="81">
          <cell r="C81">
            <v>2</v>
          </cell>
        </row>
        <row r="81">
          <cell r="E81">
            <v>448</v>
          </cell>
        </row>
        <row r="81">
          <cell r="AH81" t="str">
            <v>物理</v>
          </cell>
        </row>
        <row r="82">
          <cell r="C82">
            <v>2</v>
          </cell>
        </row>
        <row r="82">
          <cell r="E82">
            <v>483</v>
          </cell>
        </row>
        <row r="82">
          <cell r="AH82" t="str">
            <v>物理</v>
          </cell>
        </row>
        <row r="83">
          <cell r="C83">
            <v>2</v>
          </cell>
        </row>
        <row r="83">
          <cell r="E83">
            <v>465.75</v>
          </cell>
        </row>
        <row r="83">
          <cell r="AH83" t="str">
            <v>物理</v>
          </cell>
        </row>
        <row r="84">
          <cell r="C84">
            <v>2</v>
          </cell>
        </row>
        <row r="84">
          <cell r="E84">
            <v>487.5</v>
          </cell>
        </row>
        <row r="84">
          <cell r="AH84" t="str">
            <v>物理</v>
          </cell>
        </row>
        <row r="85">
          <cell r="C85">
            <v>2</v>
          </cell>
        </row>
        <row r="85">
          <cell r="E85">
            <v>456</v>
          </cell>
        </row>
        <row r="85">
          <cell r="AH85" t="str">
            <v>物理</v>
          </cell>
        </row>
        <row r="86">
          <cell r="C86">
            <v>2</v>
          </cell>
        </row>
        <row r="86">
          <cell r="E86">
            <v>477.5</v>
          </cell>
        </row>
        <row r="86">
          <cell r="AH86" t="str">
            <v>物理</v>
          </cell>
        </row>
        <row r="87">
          <cell r="C87">
            <v>2</v>
          </cell>
        </row>
        <row r="87">
          <cell r="E87">
            <v>427</v>
          </cell>
        </row>
        <row r="87">
          <cell r="AH87" t="str">
            <v>物理</v>
          </cell>
        </row>
        <row r="88">
          <cell r="C88">
            <v>2</v>
          </cell>
        </row>
        <row r="88">
          <cell r="E88">
            <v>437</v>
          </cell>
        </row>
        <row r="88">
          <cell r="AH88" t="str">
            <v>物理</v>
          </cell>
        </row>
        <row r="89">
          <cell r="C89">
            <v>2</v>
          </cell>
        </row>
        <row r="89">
          <cell r="E89">
            <v>491</v>
          </cell>
        </row>
        <row r="89">
          <cell r="AH89" t="str">
            <v>物理</v>
          </cell>
        </row>
        <row r="90">
          <cell r="C90">
            <v>2</v>
          </cell>
        </row>
        <row r="90">
          <cell r="E90">
            <v>466</v>
          </cell>
        </row>
        <row r="90">
          <cell r="AH90" t="str">
            <v>物理</v>
          </cell>
        </row>
        <row r="91">
          <cell r="C91">
            <v>2</v>
          </cell>
        </row>
        <row r="91">
          <cell r="E91">
            <v>482.5</v>
          </cell>
        </row>
        <row r="91">
          <cell r="AH91" t="str">
            <v>物理</v>
          </cell>
        </row>
        <row r="92">
          <cell r="C92">
            <v>2</v>
          </cell>
        </row>
        <row r="92">
          <cell r="E92">
            <v>431</v>
          </cell>
        </row>
        <row r="92">
          <cell r="AH92" t="str">
            <v>物理</v>
          </cell>
        </row>
        <row r="93">
          <cell r="C93">
            <v>2</v>
          </cell>
        </row>
        <row r="93">
          <cell r="E93">
            <v>429</v>
          </cell>
        </row>
        <row r="93">
          <cell r="AH93" t="str">
            <v>物理</v>
          </cell>
        </row>
        <row r="94">
          <cell r="C94">
            <v>2</v>
          </cell>
        </row>
        <row r="94">
          <cell r="E94">
            <v>455</v>
          </cell>
        </row>
        <row r="94">
          <cell r="AH94" t="str">
            <v>物理</v>
          </cell>
        </row>
        <row r="95">
          <cell r="C95">
            <v>2</v>
          </cell>
        </row>
        <row r="95">
          <cell r="E95">
            <v>328</v>
          </cell>
        </row>
        <row r="95">
          <cell r="AH95" t="str">
            <v>物理</v>
          </cell>
        </row>
        <row r="96">
          <cell r="C96">
            <v>2</v>
          </cell>
        </row>
        <row r="96">
          <cell r="E96">
            <v>449.5</v>
          </cell>
        </row>
        <row r="96">
          <cell r="AH96" t="str">
            <v>物理</v>
          </cell>
        </row>
        <row r="97">
          <cell r="C97">
            <v>2</v>
          </cell>
        </row>
        <row r="97">
          <cell r="E97">
            <v>454</v>
          </cell>
        </row>
        <row r="97">
          <cell r="AH97" t="str">
            <v>物理</v>
          </cell>
        </row>
        <row r="98">
          <cell r="C98">
            <v>2</v>
          </cell>
        </row>
        <row r="98">
          <cell r="E98">
            <v>420.5</v>
          </cell>
        </row>
        <row r="98">
          <cell r="AH98" t="str">
            <v>物理</v>
          </cell>
        </row>
        <row r="99">
          <cell r="C99">
            <v>2</v>
          </cell>
        </row>
        <row r="99">
          <cell r="E99">
            <v>413</v>
          </cell>
        </row>
        <row r="99">
          <cell r="AH99" t="str">
            <v>物理</v>
          </cell>
        </row>
        <row r="100">
          <cell r="C100">
            <v>2</v>
          </cell>
        </row>
        <row r="100">
          <cell r="E100">
            <v>440</v>
          </cell>
        </row>
        <row r="100">
          <cell r="AH100" t="str">
            <v>物理</v>
          </cell>
        </row>
        <row r="101">
          <cell r="C101">
            <v>2</v>
          </cell>
        </row>
        <row r="101">
          <cell r="E101">
            <v>433.5</v>
          </cell>
        </row>
        <row r="101">
          <cell r="AH101" t="str">
            <v>物理</v>
          </cell>
        </row>
        <row r="102">
          <cell r="C102">
            <v>2</v>
          </cell>
        </row>
        <row r="102">
          <cell r="E102">
            <v>435</v>
          </cell>
        </row>
        <row r="102">
          <cell r="AH102" t="str">
            <v>物理</v>
          </cell>
        </row>
        <row r="103">
          <cell r="C103">
            <v>2</v>
          </cell>
        </row>
        <row r="103">
          <cell r="E103">
            <v>458</v>
          </cell>
        </row>
        <row r="103">
          <cell r="AH103" t="str">
            <v>物理</v>
          </cell>
        </row>
        <row r="104">
          <cell r="C104">
            <v>2</v>
          </cell>
        </row>
        <row r="104">
          <cell r="E104">
            <v>461.5</v>
          </cell>
        </row>
        <row r="104">
          <cell r="AH104" t="str">
            <v>物理</v>
          </cell>
        </row>
        <row r="105">
          <cell r="C105">
            <v>2</v>
          </cell>
        </row>
        <row r="105">
          <cell r="E105">
            <v>440.5</v>
          </cell>
        </row>
        <row r="105">
          <cell r="AH105" t="str">
            <v>物理</v>
          </cell>
        </row>
        <row r="106">
          <cell r="C106">
            <v>2</v>
          </cell>
        </row>
        <row r="106">
          <cell r="E106">
            <v>457.5</v>
          </cell>
        </row>
        <row r="106">
          <cell r="AH106" t="str">
            <v>物理</v>
          </cell>
        </row>
        <row r="107">
          <cell r="C107">
            <v>2</v>
          </cell>
        </row>
        <row r="107">
          <cell r="E107">
            <v>457.75</v>
          </cell>
        </row>
        <row r="107">
          <cell r="AH107" t="str">
            <v>物理</v>
          </cell>
        </row>
        <row r="108">
          <cell r="C108">
            <v>2</v>
          </cell>
        </row>
        <row r="108">
          <cell r="E108">
            <v>441.5</v>
          </cell>
        </row>
        <row r="108">
          <cell r="AH108" t="str">
            <v>物理</v>
          </cell>
        </row>
        <row r="109">
          <cell r="C109">
            <v>2</v>
          </cell>
        </row>
        <row r="109">
          <cell r="E109">
            <v>397</v>
          </cell>
        </row>
        <row r="109">
          <cell r="AH109" t="str">
            <v>物理</v>
          </cell>
        </row>
        <row r="110">
          <cell r="C110">
            <v>2</v>
          </cell>
        </row>
        <row r="110">
          <cell r="E110">
            <v>361</v>
          </cell>
        </row>
        <row r="110">
          <cell r="AH110" t="str">
            <v>物理</v>
          </cell>
        </row>
        <row r="111">
          <cell r="C111">
            <v>2</v>
          </cell>
        </row>
        <row r="111">
          <cell r="E111">
            <v>313.5</v>
          </cell>
        </row>
        <row r="111">
          <cell r="AH111" t="str">
            <v>物理</v>
          </cell>
        </row>
        <row r="112">
          <cell r="C112">
            <v>3</v>
          </cell>
        </row>
        <row r="112">
          <cell r="E112">
            <v>545.5</v>
          </cell>
        </row>
        <row r="112">
          <cell r="AH112" t="str">
            <v>物理</v>
          </cell>
        </row>
        <row r="113">
          <cell r="C113">
            <v>3</v>
          </cell>
        </row>
        <row r="113">
          <cell r="E113">
            <v>540.5</v>
          </cell>
        </row>
        <row r="113">
          <cell r="AH113" t="str">
            <v>物理</v>
          </cell>
        </row>
        <row r="114">
          <cell r="C114">
            <v>3</v>
          </cell>
        </row>
        <row r="114">
          <cell r="E114">
            <v>520</v>
          </cell>
        </row>
        <row r="114">
          <cell r="AH114" t="str">
            <v>物理</v>
          </cell>
        </row>
        <row r="115">
          <cell r="C115">
            <v>3</v>
          </cell>
        </row>
        <row r="115">
          <cell r="E115">
            <v>546.5</v>
          </cell>
        </row>
        <row r="115">
          <cell r="AH115" t="str">
            <v>物理</v>
          </cell>
        </row>
        <row r="116">
          <cell r="C116">
            <v>3</v>
          </cell>
        </row>
        <row r="116">
          <cell r="E116">
            <v>550</v>
          </cell>
        </row>
        <row r="116">
          <cell r="AH116" t="str">
            <v>物理</v>
          </cell>
        </row>
        <row r="117">
          <cell r="C117">
            <v>3</v>
          </cell>
        </row>
        <row r="117">
          <cell r="E117">
            <v>520.5</v>
          </cell>
        </row>
        <row r="117">
          <cell r="AH117" t="str">
            <v>物理</v>
          </cell>
        </row>
        <row r="118">
          <cell r="C118">
            <v>3</v>
          </cell>
        </row>
        <row r="118">
          <cell r="E118">
            <v>538</v>
          </cell>
        </row>
        <row r="118">
          <cell r="AH118" t="str">
            <v>物理</v>
          </cell>
        </row>
        <row r="119">
          <cell r="C119">
            <v>3</v>
          </cell>
        </row>
        <row r="119">
          <cell r="E119">
            <v>561.75</v>
          </cell>
        </row>
        <row r="119">
          <cell r="AH119" t="str">
            <v>物理</v>
          </cell>
        </row>
        <row r="120">
          <cell r="C120">
            <v>3</v>
          </cell>
        </row>
        <row r="120">
          <cell r="E120">
            <v>532</v>
          </cell>
        </row>
        <row r="120">
          <cell r="AH120" t="str">
            <v>物理</v>
          </cell>
        </row>
        <row r="121">
          <cell r="C121">
            <v>3</v>
          </cell>
        </row>
        <row r="121">
          <cell r="E121">
            <v>504.5</v>
          </cell>
        </row>
        <row r="121">
          <cell r="AH121" t="str">
            <v>物理</v>
          </cell>
        </row>
        <row r="122">
          <cell r="C122">
            <v>3</v>
          </cell>
        </row>
        <row r="122">
          <cell r="E122">
            <v>481</v>
          </cell>
        </row>
        <row r="122">
          <cell r="AH122" t="str">
            <v>物理</v>
          </cell>
        </row>
        <row r="123">
          <cell r="C123">
            <v>3</v>
          </cell>
        </row>
        <row r="123">
          <cell r="E123">
            <v>504.75</v>
          </cell>
        </row>
        <row r="123">
          <cell r="AH123" t="str">
            <v>物理</v>
          </cell>
        </row>
        <row r="124">
          <cell r="C124">
            <v>3</v>
          </cell>
        </row>
        <row r="124">
          <cell r="E124">
            <v>526.5</v>
          </cell>
        </row>
        <row r="124">
          <cell r="AH124" t="str">
            <v>物理</v>
          </cell>
        </row>
        <row r="125">
          <cell r="C125">
            <v>3</v>
          </cell>
        </row>
        <row r="125">
          <cell r="E125">
            <v>539.5</v>
          </cell>
        </row>
        <row r="125">
          <cell r="AH125" t="str">
            <v>物理</v>
          </cell>
        </row>
        <row r="126">
          <cell r="C126">
            <v>3</v>
          </cell>
        </row>
        <row r="126">
          <cell r="E126">
            <v>521.5</v>
          </cell>
        </row>
        <row r="126">
          <cell r="AH126" t="str">
            <v>物理</v>
          </cell>
        </row>
        <row r="127">
          <cell r="C127">
            <v>3</v>
          </cell>
        </row>
        <row r="127">
          <cell r="E127">
            <v>533</v>
          </cell>
        </row>
        <row r="127">
          <cell r="AH127" t="str">
            <v>物理</v>
          </cell>
        </row>
        <row r="128">
          <cell r="C128">
            <v>3</v>
          </cell>
        </row>
        <row r="128">
          <cell r="E128">
            <v>476.5</v>
          </cell>
        </row>
        <row r="128">
          <cell r="AH128" t="str">
            <v>物理</v>
          </cell>
        </row>
        <row r="129">
          <cell r="C129">
            <v>3</v>
          </cell>
        </row>
        <row r="129">
          <cell r="E129">
            <v>534</v>
          </cell>
        </row>
        <row r="129">
          <cell r="AH129" t="str">
            <v>物理</v>
          </cell>
        </row>
        <row r="130">
          <cell r="C130">
            <v>3</v>
          </cell>
        </row>
        <row r="130">
          <cell r="E130">
            <v>482</v>
          </cell>
        </row>
        <row r="130">
          <cell r="AH130" t="str">
            <v>物理</v>
          </cell>
        </row>
        <row r="131">
          <cell r="C131">
            <v>3</v>
          </cell>
        </row>
        <row r="131">
          <cell r="E131">
            <v>445</v>
          </cell>
        </row>
        <row r="131">
          <cell r="AH131" t="str">
            <v>物理</v>
          </cell>
        </row>
        <row r="132">
          <cell r="C132">
            <v>3</v>
          </cell>
        </row>
        <row r="132">
          <cell r="E132">
            <v>551.75</v>
          </cell>
        </row>
        <row r="132">
          <cell r="AH132" t="str">
            <v>物理</v>
          </cell>
        </row>
        <row r="133">
          <cell r="C133">
            <v>3</v>
          </cell>
        </row>
        <row r="133">
          <cell r="E133">
            <v>448.5</v>
          </cell>
        </row>
        <row r="133">
          <cell r="AH133" t="str">
            <v>物理</v>
          </cell>
        </row>
        <row r="134">
          <cell r="C134">
            <v>3</v>
          </cell>
        </row>
        <row r="134">
          <cell r="E134">
            <v>515</v>
          </cell>
        </row>
        <row r="134">
          <cell r="AH134" t="str">
            <v>物理</v>
          </cell>
        </row>
        <row r="135">
          <cell r="C135">
            <v>3</v>
          </cell>
        </row>
        <row r="135">
          <cell r="E135">
            <v>466.5</v>
          </cell>
        </row>
        <row r="135">
          <cell r="AH135" t="str">
            <v>物理</v>
          </cell>
        </row>
        <row r="136">
          <cell r="C136">
            <v>3</v>
          </cell>
        </row>
        <row r="136">
          <cell r="E136">
            <v>544</v>
          </cell>
        </row>
        <row r="136">
          <cell r="AH136" t="str">
            <v>物理</v>
          </cell>
        </row>
        <row r="137">
          <cell r="C137">
            <v>3</v>
          </cell>
        </row>
        <row r="137">
          <cell r="E137">
            <v>517.5</v>
          </cell>
        </row>
        <row r="137">
          <cell r="AH137" t="str">
            <v>物理</v>
          </cell>
        </row>
        <row r="138">
          <cell r="C138">
            <v>3</v>
          </cell>
        </row>
        <row r="138">
          <cell r="E138">
            <v>406</v>
          </cell>
        </row>
        <row r="138">
          <cell r="AH138" t="str">
            <v>物理</v>
          </cell>
        </row>
        <row r="139">
          <cell r="C139">
            <v>3</v>
          </cell>
        </row>
        <row r="139">
          <cell r="E139">
            <v>432</v>
          </cell>
        </row>
        <row r="139">
          <cell r="AH139" t="str">
            <v>物理</v>
          </cell>
        </row>
        <row r="140">
          <cell r="C140">
            <v>3</v>
          </cell>
        </row>
        <row r="140">
          <cell r="E140">
            <v>463</v>
          </cell>
        </row>
        <row r="140">
          <cell r="AH140" t="str">
            <v>物理</v>
          </cell>
        </row>
        <row r="141">
          <cell r="C141">
            <v>3</v>
          </cell>
        </row>
        <row r="141">
          <cell r="E141">
            <v>512</v>
          </cell>
        </row>
        <row r="141">
          <cell r="AH141" t="str">
            <v>物理</v>
          </cell>
        </row>
        <row r="142">
          <cell r="C142">
            <v>3</v>
          </cell>
        </row>
        <row r="142">
          <cell r="E142">
            <v>426.5</v>
          </cell>
        </row>
        <row r="142">
          <cell r="AH142" t="str">
            <v>物理</v>
          </cell>
        </row>
        <row r="143">
          <cell r="C143">
            <v>3</v>
          </cell>
        </row>
        <row r="143">
          <cell r="E143">
            <v>442.5</v>
          </cell>
        </row>
        <row r="143">
          <cell r="AH143" t="str">
            <v>物理</v>
          </cell>
        </row>
        <row r="144">
          <cell r="C144">
            <v>3</v>
          </cell>
        </row>
        <row r="144">
          <cell r="E144">
            <v>468.5</v>
          </cell>
        </row>
        <row r="144">
          <cell r="AH144" t="str">
            <v>物理</v>
          </cell>
        </row>
        <row r="145">
          <cell r="C145">
            <v>3</v>
          </cell>
        </row>
        <row r="145">
          <cell r="E145">
            <v>466.5</v>
          </cell>
        </row>
        <row r="145">
          <cell r="AH145" t="str">
            <v>物理</v>
          </cell>
        </row>
        <row r="146">
          <cell r="C146">
            <v>3</v>
          </cell>
        </row>
        <row r="146">
          <cell r="E146">
            <v>463</v>
          </cell>
        </row>
        <row r="146">
          <cell r="AH146" t="str">
            <v>物理</v>
          </cell>
        </row>
        <row r="147">
          <cell r="C147">
            <v>3</v>
          </cell>
        </row>
        <row r="147">
          <cell r="E147">
            <v>483.5</v>
          </cell>
        </row>
        <row r="147">
          <cell r="AH147" t="str">
            <v>物理</v>
          </cell>
        </row>
        <row r="148">
          <cell r="C148">
            <v>3</v>
          </cell>
        </row>
        <row r="148">
          <cell r="E148">
            <v>413</v>
          </cell>
        </row>
        <row r="148">
          <cell r="AH148" t="str">
            <v>物理</v>
          </cell>
        </row>
        <row r="149">
          <cell r="C149">
            <v>3</v>
          </cell>
        </row>
        <row r="149">
          <cell r="E149">
            <v>483</v>
          </cell>
        </row>
        <row r="149">
          <cell r="AH149" t="str">
            <v>物理</v>
          </cell>
        </row>
        <row r="150">
          <cell r="C150">
            <v>3</v>
          </cell>
        </row>
        <row r="150">
          <cell r="E150">
            <v>483</v>
          </cell>
        </row>
        <row r="150">
          <cell r="AH150" t="str">
            <v>物理</v>
          </cell>
        </row>
        <row r="151">
          <cell r="C151">
            <v>3</v>
          </cell>
        </row>
        <row r="151">
          <cell r="E151">
            <v>476</v>
          </cell>
        </row>
        <row r="151">
          <cell r="AH151" t="str">
            <v>物理</v>
          </cell>
        </row>
        <row r="152">
          <cell r="C152">
            <v>3</v>
          </cell>
        </row>
        <row r="152">
          <cell r="E152">
            <v>425</v>
          </cell>
        </row>
        <row r="152">
          <cell r="AH152" t="str">
            <v>物理</v>
          </cell>
        </row>
        <row r="153">
          <cell r="C153">
            <v>3</v>
          </cell>
        </row>
        <row r="153">
          <cell r="E153">
            <v>513</v>
          </cell>
        </row>
        <row r="153">
          <cell r="AH153" t="str">
            <v>物理</v>
          </cell>
        </row>
        <row r="154">
          <cell r="C154">
            <v>3</v>
          </cell>
        </row>
        <row r="154">
          <cell r="E154">
            <v>478</v>
          </cell>
        </row>
        <row r="154">
          <cell r="AH154" t="str">
            <v>物理</v>
          </cell>
        </row>
        <row r="155">
          <cell r="C155">
            <v>3</v>
          </cell>
        </row>
        <row r="155">
          <cell r="E155">
            <v>398</v>
          </cell>
        </row>
        <row r="155">
          <cell r="AH155" t="str">
            <v>物理</v>
          </cell>
        </row>
        <row r="156">
          <cell r="C156">
            <v>3</v>
          </cell>
        </row>
        <row r="156">
          <cell r="E156">
            <v>491.25</v>
          </cell>
        </row>
        <row r="156">
          <cell r="AH156" t="str">
            <v>物理</v>
          </cell>
        </row>
        <row r="157">
          <cell r="C157">
            <v>3</v>
          </cell>
        </row>
        <row r="157">
          <cell r="E157">
            <v>464.5</v>
          </cell>
        </row>
        <row r="157">
          <cell r="AH157" t="str">
            <v>物理</v>
          </cell>
        </row>
        <row r="158">
          <cell r="C158">
            <v>3</v>
          </cell>
        </row>
        <row r="158">
          <cell r="E158">
            <v>444.5</v>
          </cell>
        </row>
        <row r="158">
          <cell r="AH158" t="str">
            <v>物理</v>
          </cell>
        </row>
        <row r="159">
          <cell r="C159">
            <v>3</v>
          </cell>
        </row>
        <row r="159">
          <cell r="E159">
            <v>398</v>
          </cell>
        </row>
        <row r="159">
          <cell r="AH159" t="str">
            <v>物理</v>
          </cell>
        </row>
        <row r="160">
          <cell r="C160">
            <v>3</v>
          </cell>
        </row>
        <row r="160">
          <cell r="E160">
            <v>417</v>
          </cell>
        </row>
        <row r="160">
          <cell r="AH160" t="str">
            <v>物理</v>
          </cell>
        </row>
        <row r="161">
          <cell r="C161">
            <v>3</v>
          </cell>
        </row>
        <row r="161">
          <cell r="E161">
            <v>452</v>
          </cell>
        </row>
        <row r="161">
          <cell r="AH161" t="str">
            <v>物理</v>
          </cell>
        </row>
        <row r="162">
          <cell r="C162">
            <v>3</v>
          </cell>
        </row>
        <row r="162">
          <cell r="E162">
            <v>440.5</v>
          </cell>
        </row>
        <row r="162">
          <cell r="AH162" t="str">
            <v>物理</v>
          </cell>
        </row>
        <row r="163">
          <cell r="C163">
            <v>4</v>
          </cell>
        </row>
        <row r="163">
          <cell r="E163">
            <v>539</v>
          </cell>
        </row>
        <row r="163">
          <cell r="AH163" t="str">
            <v>物理</v>
          </cell>
        </row>
        <row r="164">
          <cell r="C164">
            <v>4</v>
          </cell>
        </row>
        <row r="164">
          <cell r="E164">
            <v>498.5</v>
          </cell>
        </row>
        <row r="164">
          <cell r="AH164" t="str">
            <v>物理</v>
          </cell>
        </row>
        <row r="165">
          <cell r="C165">
            <v>4</v>
          </cell>
        </row>
        <row r="165">
          <cell r="E165">
            <v>523</v>
          </cell>
        </row>
        <row r="165">
          <cell r="AH165" t="str">
            <v>物理</v>
          </cell>
        </row>
        <row r="166">
          <cell r="C166">
            <v>4</v>
          </cell>
        </row>
        <row r="166">
          <cell r="E166">
            <v>568</v>
          </cell>
        </row>
        <row r="166">
          <cell r="AH166" t="str">
            <v>物理</v>
          </cell>
        </row>
        <row r="167">
          <cell r="C167">
            <v>4</v>
          </cell>
        </row>
        <row r="167">
          <cell r="E167">
            <v>549.5</v>
          </cell>
        </row>
        <row r="167">
          <cell r="AH167" t="str">
            <v>物理</v>
          </cell>
        </row>
        <row r="168">
          <cell r="C168">
            <v>4</v>
          </cell>
        </row>
        <row r="168">
          <cell r="E168">
            <v>551.5</v>
          </cell>
        </row>
        <row r="168">
          <cell r="AH168" t="str">
            <v>物理</v>
          </cell>
        </row>
        <row r="169">
          <cell r="C169">
            <v>4</v>
          </cell>
        </row>
        <row r="169">
          <cell r="E169">
            <v>578</v>
          </cell>
        </row>
        <row r="169">
          <cell r="AH169" t="str">
            <v>物理</v>
          </cell>
        </row>
        <row r="170">
          <cell r="C170">
            <v>4</v>
          </cell>
        </row>
        <row r="170">
          <cell r="E170">
            <v>540.75</v>
          </cell>
        </row>
        <row r="170">
          <cell r="AH170" t="str">
            <v>物理</v>
          </cell>
        </row>
        <row r="171">
          <cell r="C171">
            <v>4</v>
          </cell>
        </row>
        <row r="171">
          <cell r="E171">
            <v>486</v>
          </cell>
        </row>
        <row r="171">
          <cell r="AH171" t="str">
            <v>物理</v>
          </cell>
        </row>
        <row r="172">
          <cell r="C172">
            <v>4</v>
          </cell>
        </row>
        <row r="172">
          <cell r="E172">
            <v>547.5</v>
          </cell>
        </row>
        <row r="172">
          <cell r="AH172" t="str">
            <v>物理</v>
          </cell>
        </row>
        <row r="173">
          <cell r="C173">
            <v>4</v>
          </cell>
        </row>
        <row r="173">
          <cell r="E173">
            <v>556.5</v>
          </cell>
        </row>
        <row r="173">
          <cell r="AH173" t="str">
            <v>物理</v>
          </cell>
        </row>
        <row r="174">
          <cell r="C174">
            <v>4</v>
          </cell>
        </row>
        <row r="174">
          <cell r="E174">
            <v>471.5</v>
          </cell>
        </row>
        <row r="174">
          <cell r="AH174" t="str">
            <v>物理</v>
          </cell>
        </row>
        <row r="175">
          <cell r="C175">
            <v>4</v>
          </cell>
        </row>
        <row r="175">
          <cell r="E175">
            <v>510</v>
          </cell>
        </row>
        <row r="175">
          <cell r="AH175" t="str">
            <v>物理</v>
          </cell>
        </row>
        <row r="176">
          <cell r="C176">
            <v>4</v>
          </cell>
        </row>
        <row r="176">
          <cell r="E176">
            <v>496</v>
          </cell>
        </row>
        <row r="176">
          <cell r="AH176" t="str">
            <v>物理</v>
          </cell>
        </row>
        <row r="177">
          <cell r="C177">
            <v>4</v>
          </cell>
        </row>
        <row r="177">
          <cell r="E177">
            <v>506.75</v>
          </cell>
        </row>
        <row r="177">
          <cell r="AH177" t="str">
            <v>物理</v>
          </cell>
        </row>
        <row r="178">
          <cell r="C178">
            <v>4</v>
          </cell>
        </row>
        <row r="178">
          <cell r="E178">
            <v>530.25</v>
          </cell>
        </row>
        <row r="178">
          <cell r="AH178" t="str">
            <v>物理</v>
          </cell>
        </row>
        <row r="179">
          <cell r="C179">
            <v>4</v>
          </cell>
        </row>
        <row r="179">
          <cell r="E179">
            <v>557.5</v>
          </cell>
        </row>
        <row r="179">
          <cell r="AH179" t="str">
            <v>物理</v>
          </cell>
        </row>
        <row r="180">
          <cell r="C180">
            <v>4</v>
          </cell>
        </row>
        <row r="180">
          <cell r="E180">
            <v>548.5</v>
          </cell>
        </row>
        <row r="180">
          <cell r="AH180" t="str">
            <v>物理</v>
          </cell>
        </row>
        <row r="181">
          <cell r="C181">
            <v>4</v>
          </cell>
        </row>
        <row r="181">
          <cell r="E181">
            <v>481.5</v>
          </cell>
        </row>
        <row r="181">
          <cell r="AH181" t="str">
            <v>物理</v>
          </cell>
        </row>
        <row r="182">
          <cell r="C182">
            <v>4</v>
          </cell>
        </row>
        <row r="182">
          <cell r="E182">
            <v>512.5</v>
          </cell>
        </row>
        <row r="182">
          <cell r="AH182" t="str">
            <v>物理</v>
          </cell>
        </row>
        <row r="183">
          <cell r="C183">
            <v>4</v>
          </cell>
        </row>
        <row r="183">
          <cell r="E183">
            <v>476</v>
          </cell>
        </row>
        <row r="183">
          <cell r="AH183" t="str">
            <v>物理</v>
          </cell>
        </row>
        <row r="184">
          <cell r="C184">
            <v>4</v>
          </cell>
        </row>
        <row r="184">
          <cell r="E184">
            <v>540.25</v>
          </cell>
        </row>
        <row r="184">
          <cell r="AH184" t="str">
            <v>物理</v>
          </cell>
        </row>
        <row r="185">
          <cell r="C185">
            <v>4</v>
          </cell>
        </row>
        <row r="185">
          <cell r="E185">
            <v>503.25</v>
          </cell>
        </row>
        <row r="185">
          <cell r="AH185" t="str">
            <v>物理</v>
          </cell>
        </row>
        <row r="186">
          <cell r="C186">
            <v>4</v>
          </cell>
        </row>
        <row r="186">
          <cell r="E186">
            <v>570.25</v>
          </cell>
        </row>
        <row r="186">
          <cell r="AH186" t="str">
            <v>物理</v>
          </cell>
        </row>
        <row r="187">
          <cell r="C187">
            <v>4</v>
          </cell>
        </row>
        <row r="187">
          <cell r="E187">
            <v>535</v>
          </cell>
        </row>
        <row r="187">
          <cell r="AH187" t="str">
            <v>物理</v>
          </cell>
        </row>
        <row r="188">
          <cell r="C188">
            <v>4</v>
          </cell>
        </row>
        <row r="188">
          <cell r="E188">
            <v>462.5</v>
          </cell>
        </row>
        <row r="188">
          <cell r="AH188" t="str">
            <v>物理</v>
          </cell>
        </row>
        <row r="189">
          <cell r="C189">
            <v>4</v>
          </cell>
        </row>
        <row r="189">
          <cell r="E189">
            <v>482</v>
          </cell>
        </row>
        <row r="189">
          <cell r="AH189" t="str">
            <v>物理</v>
          </cell>
        </row>
        <row r="190">
          <cell r="C190">
            <v>4</v>
          </cell>
        </row>
        <row r="190">
          <cell r="E190">
            <v>502.5</v>
          </cell>
        </row>
        <row r="190">
          <cell r="AH190" t="str">
            <v>物理</v>
          </cell>
        </row>
        <row r="191">
          <cell r="C191">
            <v>4</v>
          </cell>
        </row>
        <row r="191">
          <cell r="E191">
            <v>483.25</v>
          </cell>
        </row>
        <row r="191">
          <cell r="AH191" t="str">
            <v>物理</v>
          </cell>
        </row>
        <row r="192">
          <cell r="C192">
            <v>4</v>
          </cell>
        </row>
        <row r="192">
          <cell r="E192">
            <v>529.5</v>
          </cell>
        </row>
        <row r="192">
          <cell r="AH192" t="str">
            <v>物理</v>
          </cell>
        </row>
        <row r="193">
          <cell r="C193">
            <v>4</v>
          </cell>
        </row>
        <row r="193">
          <cell r="E193">
            <v>482.5</v>
          </cell>
        </row>
        <row r="193">
          <cell r="AH193" t="str">
            <v>物理</v>
          </cell>
        </row>
        <row r="194">
          <cell r="C194">
            <v>4</v>
          </cell>
        </row>
        <row r="194">
          <cell r="E194">
            <v>456</v>
          </cell>
        </row>
        <row r="194">
          <cell r="AH194" t="str">
            <v>物理</v>
          </cell>
        </row>
        <row r="195">
          <cell r="C195">
            <v>4</v>
          </cell>
        </row>
        <row r="195">
          <cell r="E195">
            <v>413.5</v>
          </cell>
        </row>
        <row r="195">
          <cell r="AH195" t="str">
            <v>物理</v>
          </cell>
        </row>
        <row r="196">
          <cell r="C196">
            <v>4</v>
          </cell>
        </row>
        <row r="196">
          <cell r="E196">
            <v>529.5</v>
          </cell>
        </row>
        <row r="196">
          <cell r="AH196" t="str">
            <v>物理</v>
          </cell>
        </row>
        <row r="197">
          <cell r="C197">
            <v>4</v>
          </cell>
        </row>
        <row r="197">
          <cell r="E197">
            <v>441</v>
          </cell>
        </row>
        <row r="197">
          <cell r="AH197" t="str">
            <v>物理</v>
          </cell>
        </row>
        <row r="198">
          <cell r="C198">
            <v>4</v>
          </cell>
        </row>
        <row r="198">
          <cell r="E198">
            <v>468.5</v>
          </cell>
        </row>
        <row r="198">
          <cell r="AH198" t="str">
            <v>物理</v>
          </cell>
        </row>
        <row r="199">
          <cell r="C199">
            <v>4</v>
          </cell>
        </row>
        <row r="199">
          <cell r="E199">
            <v>502.5</v>
          </cell>
        </row>
        <row r="199">
          <cell r="AH199" t="str">
            <v>物理</v>
          </cell>
        </row>
        <row r="200">
          <cell r="C200">
            <v>4</v>
          </cell>
        </row>
        <row r="200">
          <cell r="E200">
            <v>363</v>
          </cell>
        </row>
        <row r="200">
          <cell r="AH200" t="str">
            <v>物理</v>
          </cell>
        </row>
        <row r="201">
          <cell r="C201">
            <v>4</v>
          </cell>
        </row>
        <row r="201">
          <cell r="E201">
            <v>468.5</v>
          </cell>
        </row>
        <row r="201">
          <cell r="AH201" t="str">
            <v>物理</v>
          </cell>
        </row>
        <row r="202">
          <cell r="C202">
            <v>4</v>
          </cell>
        </row>
        <row r="202">
          <cell r="E202">
            <v>472.5</v>
          </cell>
        </row>
        <row r="202">
          <cell r="AH202" t="str">
            <v>物理</v>
          </cell>
        </row>
        <row r="203">
          <cell r="C203">
            <v>4</v>
          </cell>
        </row>
        <row r="203">
          <cell r="E203">
            <v>436.25</v>
          </cell>
        </row>
        <row r="203">
          <cell r="AH203" t="str">
            <v>物理</v>
          </cell>
        </row>
        <row r="204">
          <cell r="C204">
            <v>4</v>
          </cell>
        </row>
        <row r="204">
          <cell r="E204">
            <v>495</v>
          </cell>
        </row>
        <row r="204">
          <cell r="AH204" t="str">
            <v>物理</v>
          </cell>
        </row>
        <row r="205">
          <cell r="C205">
            <v>4</v>
          </cell>
        </row>
        <row r="205">
          <cell r="E205">
            <v>415</v>
          </cell>
        </row>
        <row r="205">
          <cell r="AH205" t="str">
            <v>物理</v>
          </cell>
        </row>
        <row r="206">
          <cell r="C206">
            <v>4</v>
          </cell>
        </row>
        <row r="206">
          <cell r="E206">
            <v>470.5</v>
          </cell>
        </row>
        <row r="206">
          <cell r="AH206" t="str">
            <v>物理</v>
          </cell>
        </row>
        <row r="207">
          <cell r="C207">
            <v>4</v>
          </cell>
        </row>
        <row r="207">
          <cell r="E207">
            <v>501.5</v>
          </cell>
        </row>
        <row r="207">
          <cell r="AH207" t="str">
            <v>物理</v>
          </cell>
        </row>
        <row r="208">
          <cell r="C208">
            <v>4</v>
          </cell>
        </row>
        <row r="208">
          <cell r="E208">
            <v>543.5</v>
          </cell>
        </row>
        <row r="208">
          <cell r="AH208" t="str">
            <v>物理</v>
          </cell>
        </row>
        <row r="209">
          <cell r="C209">
            <v>4</v>
          </cell>
        </row>
        <row r="209">
          <cell r="E209">
            <v>394</v>
          </cell>
        </row>
        <row r="209">
          <cell r="AH209" t="str">
            <v>物理</v>
          </cell>
        </row>
        <row r="210">
          <cell r="C210">
            <v>4</v>
          </cell>
        </row>
        <row r="210">
          <cell r="E210">
            <v>413</v>
          </cell>
        </row>
        <row r="210">
          <cell r="AH210" t="str">
            <v>物理</v>
          </cell>
        </row>
        <row r="211">
          <cell r="C211">
            <v>4</v>
          </cell>
        </row>
        <row r="211">
          <cell r="E211">
            <v>459.5</v>
          </cell>
        </row>
        <row r="211">
          <cell r="AH211" t="str">
            <v>物理</v>
          </cell>
        </row>
        <row r="212">
          <cell r="C212">
            <v>4</v>
          </cell>
        </row>
        <row r="212">
          <cell r="E212">
            <v>443.5</v>
          </cell>
        </row>
        <row r="212">
          <cell r="AH212" t="str">
            <v>物理</v>
          </cell>
        </row>
        <row r="213">
          <cell r="C213">
            <v>4</v>
          </cell>
        </row>
        <row r="213">
          <cell r="E213">
            <v>475</v>
          </cell>
        </row>
        <row r="213">
          <cell r="AH213" t="str">
            <v>物理</v>
          </cell>
        </row>
        <row r="214">
          <cell r="C214">
            <v>4</v>
          </cell>
        </row>
        <row r="214">
          <cell r="E214">
            <v>445.5</v>
          </cell>
        </row>
        <row r="214">
          <cell r="AH214" t="str">
            <v>物理</v>
          </cell>
        </row>
        <row r="215">
          <cell r="C215">
            <v>4</v>
          </cell>
        </row>
        <row r="215">
          <cell r="E215">
            <v>467.5</v>
          </cell>
        </row>
        <row r="215">
          <cell r="AH215" t="str">
            <v>物理</v>
          </cell>
        </row>
        <row r="216">
          <cell r="C216">
            <v>4</v>
          </cell>
        </row>
        <row r="216">
          <cell r="E216">
            <v>503</v>
          </cell>
        </row>
        <row r="216">
          <cell r="AH216" t="str">
            <v>物理</v>
          </cell>
        </row>
        <row r="217">
          <cell r="C217">
            <v>5</v>
          </cell>
        </row>
        <row r="217">
          <cell r="E217">
            <v>527.5</v>
          </cell>
        </row>
        <row r="217">
          <cell r="AH217" t="str">
            <v>物理</v>
          </cell>
        </row>
        <row r="218">
          <cell r="C218">
            <v>5</v>
          </cell>
        </row>
        <row r="218">
          <cell r="E218">
            <v>553.5</v>
          </cell>
        </row>
        <row r="218">
          <cell r="AH218" t="str">
            <v>物理</v>
          </cell>
        </row>
        <row r="219">
          <cell r="C219">
            <v>5</v>
          </cell>
        </row>
        <row r="219">
          <cell r="E219">
            <v>511</v>
          </cell>
        </row>
        <row r="219">
          <cell r="AH219" t="str">
            <v>物理</v>
          </cell>
        </row>
        <row r="220">
          <cell r="C220">
            <v>5</v>
          </cell>
        </row>
        <row r="220">
          <cell r="E220">
            <v>516.75</v>
          </cell>
        </row>
        <row r="220">
          <cell r="AH220" t="str">
            <v>物理</v>
          </cell>
        </row>
        <row r="221">
          <cell r="C221">
            <v>5</v>
          </cell>
        </row>
        <row r="221">
          <cell r="E221">
            <v>496.5</v>
          </cell>
        </row>
        <row r="221">
          <cell r="AH221" t="str">
            <v>物理</v>
          </cell>
        </row>
        <row r="222">
          <cell r="C222">
            <v>5</v>
          </cell>
        </row>
        <row r="222">
          <cell r="E222">
            <v>499</v>
          </cell>
        </row>
        <row r="222">
          <cell r="AH222" t="str">
            <v>物理</v>
          </cell>
        </row>
        <row r="223">
          <cell r="C223">
            <v>5</v>
          </cell>
        </row>
        <row r="223">
          <cell r="E223">
            <v>529</v>
          </cell>
        </row>
        <row r="223">
          <cell r="AH223" t="str">
            <v>物理</v>
          </cell>
        </row>
        <row r="224">
          <cell r="C224">
            <v>5</v>
          </cell>
        </row>
        <row r="224">
          <cell r="E224">
            <v>461.5</v>
          </cell>
        </row>
        <row r="224">
          <cell r="AH224" t="str">
            <v>物理</v>
          </cell>
        </row>
        <row r="225">
          <cell r="C225">
            <v>5</v>
          </cell>
        </row>
        <row r="225">
          <cell r="E225">
            <v>490.5</v>
          </cell>
        </row>
        <row r="225">
          <cell r="AH225" t="str">
            <v>物理</v>
          </cell>
        </row>
        <row r="226">
          <cell r="C226">
            <v>5</v>
          </cell>
        </row>
        <row r="226">
          <cell r="E226">
            <v>517</v>
          </cell>
        </row>
        <row r="226">
          <cell r="AH226" t="str">
            <v>物理</v>
          </cell>
        </row>
        <row r="227">
          <cell r="C227">
            <v>5</v>
          </cell>
        </row>
        <row r="227">
          <cell r="E227">
            <v>500.25</v>
          </cell>
        </row>
        <row r="227">
          <cell r="AH227" t="str">
            <v>物理</v>
          </cell>
        </row>
        <row r="228">
          <cell r="C228">
            <v>5</v>
          </cell>
        </row>
        <row r="228">
          <cell r="E228">
            <v>497</v>
          </cell>
        </row>
        <row r="228">
          <cell r="AH228" t="str">
            <v>物理</v>
          </cell>
        </row>
        <row r="229">
          <cell r="E229">
            <v>107</v>
          </cell>
        </row>
        <row r="229">
          <cell r="AH229" t="str">
            <v>物理</v>
          </cell>
        </row>
        <row r="230">
          <cell r="C230">
            <v>5</v>
          </cell>
        </row>
        <row r="230">
          <cell r="E230">
            <v>507</v>
          </cell>
        </row>
        <row r="230">
          <cell r="AH230" t="str">
            <v>物理</v>
          </cell>
        </row>
        <row r="231">
          <cell r="C231">
            <v>5</v>
          </cell>
        </row>
        <row r="231">
          <cell r="E231">
            <v>502</v>
          </cell>
        </row>
        <row r="231">
          <cell r="AH231" t="str">
            <v>物理</v>
          </cell>
        </row>
        <row r="232">
          <cell r="C232">
            <v>5</v>
          </cell>
        </row>
        <row r="232">
          <cell r="E232">
            <v>532</v>
          </cell>
        </row>
        <row r="232">
          <cell r="AH232" t="str">
            <v>物理</v>
          </cell>
        </row>
        <row r="233">
          <cell r="C233">
            <v>5</v>
          </cell>
        </row>
        <row r="233">
          <cell r="E233">
            <v>441.5</v>
          </cell>
        </row>
        <row r="233">
          <cell r="AH233" t="str">
            <v>物理</v>
          </cell>
        </row>
        <row r="234">
          <cell r="C234">
            <v>5</v>
          </cell>
        </row>
        <row r="234">
          <cell r="E234">
            <v>554.5</v>
          </cell>
        </row>
        <row r="234">
          <cell r="AH234" t="str">
            <v>物理</v>
          </cell>
        </row>
        <row r="235">
          <cell r="C235">
            <v>5</v>
          </cell>
        </row>
        <row r="235">
          <cell r="E235">
            <v>525</v>
          </cell>
        </row>
        <row r="235">
          <cell r="AH235" t="str">
            <v>物理</v>
          </cell>
        </row>
        <row r="236">
          <cell r="C236">
            <v>5</v>
          </cell>
        </row>
        <row r="236">
          <cell r="E236">
            <v>539.75</v>
          </cell>
        </row>
        <row r="236">
          <cell r="AH236" t="str">
            <v>物理</v>
          </cell>
        </row>
        <row r="237">
          <cell r="C237">
            <v>5</v>
          </cell>
        </row>
        <row r="237">
          <cell r="E237">
            <v>528</v>
          </cell>
        </row>
        <row r="237">
          <cell r="AH237" t="str">
            <v>物理</v>
          </cell>
        </row>
        <row r="238">
          <cell r="C238">
            <v>5</v>
          </cell>
        </row>
        <row r="238">
          <cell r="E238">
            <v>502</v>
          </cell>
        </row>
        <row r="238">
          <cell r="AH238" t="str">
            <v>物理</v>
          </cell>
        </row>
        <row r="239">
          <cell r="C239">
            <v>5</v>
          </cell>
        </row>
        <row r="239">
          <cell r="E239">
            <v>476.5</v>
          </cell>
        </row>
        <row r="239">
          <cell r="AH239" t="str">
            <v>物理</v>
          </cell>
        </row>
        <row r="240">
          <cell r="C240">
            <v>5</v>
          </cell>
        </row>
        <row r="240">
          <cell r="E240">
            <v>500</v>
          </cell>
        </row>
        <row r="240">
          <cell r="AH240" t="str">
            <v>物理</v>
          </cell>
        </row>
        <row r="241">
          <cell r="C241">
            <v>5</v>
          </cell>
        </row>
        <row r="241">
          <cell r="E241">
            <v>545</v>
          </cell>
        </row>
        <row r="241">
          <cell r="AH241" t="str">
            <v>物理</v>
          </cell>
        </row>
        <row r="242">
          <cell r="C242">
            <v>5</v>
          </cell>
        </row>
        <row r="242">
          <cell r="E242">
            <v>508</v>
          </cell>
        </row>
        <row r="242">
          <cell r="AH242" t="str">
            <v>物理</v>
          </cell>
        </row>
        <row r="243">
          <cell r="C243">
            <v>5</v>
          </cell>
        </row>
        <row r="243">
          <cell r="E243">
            <v>476.5</v>
          </cell>
        </row>
        <row r="243">
          <cell r="AH243" t="str">
            <v>物理</v>
          </cell>
        </row>
        <row r="244">
          <cell r="C244">
            <v>5</v>
          </cell>
        </row>
        <row r="244">
          <cell r="E244">
            <v>463</v>
          </cell>
        </row>
        <row r="244">
          <cell r="AH244" t="str">
            <v>物理</v>
          </cell>
        </row>
        <row r="245">
          <cell r="C245">
            <v>5</v>
          </cell>
        </row>
        <row r="245">
          <cell r="E245">
            <v>531.5</v>
          </cell>
        </row>
        <row r="245">
          <cell r="AH245" t="str">
            <v>物理</v>
          </cell>
        </row>
        <row r="246">
          <cell r="C246">
            <v>5</v>
          </cell>
        </row>
        <row r="246">
          <cell r="E246">
            <v>519.5</v>
          </cell>
        </row>
        <row r="246">
          <cell r="AH246" t="str">
            <v>物理</v>
          </cell>
        </row>
        <row r="247">
          <cell r="C247">
            <v>5</v>
          </cell>
        </row>
        <row r="247">
          <cell r="E247">
            <v>492.5</v>
          </cell>
        </row>
        <row r="247">
          <cell r="AH247" t="str">
            <v>物理</v>
          </cell>
        </row>
        <row r="248">
          <cell r="C248">
            <v>5</v>
          </cell>
        </row>
        <row r="248">
          <cell r="E248">
            <v>419.5</v>
          </cell>
        </row>
        <row r="248">
          <cell r="AH248" t="str">
            <v>物理</v>
          </cell>
        </row>
        <row r="249">
          <cell r="C249">
            <v>5</v>
          </cell>
        </row>
        <row r="249">
          <cell r="E249">
            <v>451</v>
          </cell>
        </row>
        <row r="249">
          <cell r="AH249" t="str">
            <v>物理</v>
          </cell>
        </row>
        <row r="250">
          <cell r="C250">
            <v>5</v>
          </cell>
        </row>
        <row r="250">
          <cell r="E250">
            <v>466.5</v>
          </cell>
        </row>
        <row r="250">
          <cell r="AH250" t="str">
            <v>物理</v>
          </cell>
        </row>
        <row r="251">
          <cell r="C251">
            <v>5</v>
          </cell>
        </row>
        <row r="251">
          <cell r="E251">
            <v>459</v>
          </cell>
        </row>
        <row r="251">
          <cell r="AH251" t="str">
            <v>物理</v>
          </cell>
        </row>
        <row r="252">
          <cell r="C252">
            <v>5</v>
          </cell>
        </row>
        <row r="252">
          <cell r="E252">
            <v>457.25</v>
          </cell>
        </row>
        <row r="252">
          <cell r="AH252" t="str">
            <v>物理</v>
          </cell>
        </row>
        <row r="253">
          <cell r="C253">
            <v>5</v>
          </cell>
        </row>
        <row r="253">
          <cell r="E253">
            <v>458.25</v>
          </cell>
        </row>
        <row r="253">
          <cell r="AH253" t="str">
            <v>物理</v>
          </cell>
        </row>
        <row r="254">
          <cell r="C254">
            <v>5</v>
          </cell>
        </row>
        <row r="254">
          <cell r="E254">
            <v>448</v>
          </cell>
        </row>
        <row r="254">
          <cell r="AH254" t="str">
            <v>物理</v>
          </cell>
        </row>
        <row r="255">
          <cell r="C255">
            <v>5</v>
          </cell>
        </row>
        <row r="255">
          <cell r="E255">
            <v>443.5</v>
          </cell>
        </row>
        <row r="255">
          <cell r="AH255" t="str">
            <v>物理</v>
          </cell>
        </row>
        <row r="256">
          <cell r="C256">
            <v>5</v>
          </cell>
        </row>
        <row r="256">
          <cell r="E256">
            <v>486</v>
          </cell>
        </row>
        <row r="256">
          <cell r="AH256" t="str">
            <v>物理</v>
          </cell>
        </row>
        <row r="257">
          <cell r="C257">
            <v>5</v>
          </cell>
        </row>
        <row r="257">
          <cell r="E257">
            <v>449.5</v>
          </cell>
        </row>
        <row r="257">
          <cell r="AH257" t="str">
            <v>物理</v>
          </cell>
        </row>
        <row r="258">
          <cell r="C258">
            <v>5</v>
          </cell>
        </row>
        <row r="258">
          <cell r="E258">
            <v>469.25</v>
          </cell>
        </row>
        <row r="258">
          <cell r="AH258" t="str">
            <v>物理</v>
          </cell>
        </row>
        <row r="259">
          <cell r="C259">
            <v>5</v>
          </cell>
        </row>
        <row r="259">
          <cell r="E259">
            <v>468</v>
          </cell>
        </row>
        <row r="259">
          <cell r="AH259" t="str">
            <v>物理</v>
          </cell>
        </row>
        <row r="260">
          <cell r="C260">
            <v>5</v>
          </cell>
        </row>
        <row r="260">
          <cell r="E260">
            <v>419.25</v>
          </cell>
        </row>
        <row r="260">
          <cell r="AH260" t="str">
            <v>物理</v>
          </cell>
        </row>
        <row r="261">
          <cell r="C261">
            <v>5</v>
          </cell>
        </row>
        <row r="261">
          <cell r="E261">
            <v>462</v>
          </cell>
        </row>
        <row r="261">
          <cell r="AH261" t="str">
            <v>物理</v>
          </cell>
        </row>
        <row r="262">
          <cell r="C262">
            <v>5</v>
          </cell>
        </row>
        <row r="262">
          <cell r="E262">
            <v>487</v>
          </cell>
        </row>
        <row r="262">
          <cell r="AH262" t="str">
            <v>物理</v>
          </cell>
        </row>
        <row r="263">
          <cell r="C263">
            <v>5</v>
          </cell>
        </row>
        <row r="263">
          <cell r="E263">
            <v>415.5</v>
          </cell>
        </row>
        <row r="263">
          <cell r="AH263" t="str">
            <v>物理</v>
          </cell>
        </row>
        <row r="264">
          <cell r="C264">
            <v>5</v>
          </cell>
        </row>
        <row r="264">
          <cell r="E264">
            <v>417.5</v>
          </cell>
        </row>
        <row r="264">
          <cell r="AH264" t="str">
            <v>物理</v>
          </cell>
        </row>
        <row r="265">
          <cell r="C265">
            <v>5</v>
          </cell>
        </row>
        <row r="265">
          <cell r="E265">
            <v>472.25</v>
          </cell>
        </row>
        <row r="265">
          <cell r="AH265" t="str">
            <v>物理</v>
          </cell>
        </row>
        <row r="266">
          <cell r="C266">
            <v>5</v>
          </cell>
        </row>
        <row r="266">
          <cell r="E266">
            <v>475.5</v>
          </cell>
        </row>
        <row r="266">
          <cell r="AH266" t="str">
            <v>历史</v>
          </cell>
        </row>
        <row r="267">
          <cell r="C267">
            <v>5</v>
          </cell>
        </row>
        <row r="267">
          <cell r="E267">
            <v>391.5</v>
          </cell>
        </row>
        <row r="267">
          <cell r="AH267" t="str">
            <v>物理</v>
          </cell>
        </row>
        <row r="268">
          <cell r="C268">
            <v>5</v>
          </cell>
        </row>
        <row r="268">
          <cell r="E268">
            <v>425.5</v>
          </cell>
        </row>
        <row r="268">
          <cell r="AH268" t="str">
            <v>物理</v>
          </cell>
        </row>
        <row r="269">
          <cell r="C269">
            <v>5</v>
          </cell>
        </row>
        <row r="269">
          <cell r="E269">
            <v>588.75</v>
          </cell>
        </row>
        <row r="270">
          <cell r="C270">
            <v>6</v>
          </cell>
        </row>
        <row r="270">
          <cell r="E270">
            <v>607.5</v>
          </cell>
        </row>
        <row r="270">
          <cell r="AH270" t="str">
            <v>物理</v>
          </cell>
        </row>
        <row r="271">
          <cell r="C271">
            <v>6</v>
          </cell>
        </row>
        <row r="271">
          <cell r="E271">
            <v>591</v>
          </cell>
        </row>
        <row r="271">
          <cell r="AH271" t="str">
            <v>物理</v>
          </cell>
        </row>
        <row r="272">
          <cell r="C272">
            <v>6</v>
          </cell>
        </row>
        <row r="272">
          <cell r="E272">
            <v>562.5</v>
          </cell>
        </row>
        <row r="272">
          <cell r="AH272" t="str">
            <v>物理</v>
          </cell>
        </row>
        <row r="273">
          <cell r="C273">
            <v>6</v>
          </cell>
        </row>
        <row r="273">
          <cell r="E273">
            <v>566</v>
          </cell>
        </row>
        <row r="273">
          <cell r="AH273" t="str">
            <v>物理</v>
          </cell>
        </row>
        <row r="274">
          <cell r="C274">
            <v>6</v>
          </cell>
        </row>
        <row r="274">
          <cell r="E274">
            <v>602.75</v>
          </cell>
        </row>
        <row r="274">
          <cell r="AH274" t="str">
            <v>物理</v>
          </cell>
        </row>
        <row r="275">
          <cell r="C275">
            <v>6</v>
          </cell>
        </row>
        <row r="275">
          <cell r="E275">
            <v>610.5</v>
          </cell>
        </row>
        <row r="275">
          <cell r="AH275" t="str">
            <v>物理</v>
          </cell>
        </row>
        <row r="276">
          <cell r="C276">
            <v>6</v>
          </cell>
        </row>
        <row r="276">
          <cell r="E276">
            <v>572.5</v>
          </cell>
        </row>
        <row r="276">
          <cell r="AH276" t="str">
            <v>物理</v>
          </cell>
        </row>
        <row r="277">
          <cell r="C277">
            <v>6</v>
          </cell>
        </row>
        <row r="277">
          <cell r="E277">
            <v>575.5</v>
          </cell>
        </row>
        <row r="277">
          <cell r="AH277" t="str">
            <v>物理</v>
          </cell>
        </row>
        <row r="278">
          <cell r="C278">
            <v>6</v>
          </cell>
        </row>
        <row r="278">
          <cell r="E278">
            <v>553</v>
          </cell>
        </row>
        <row r="278">
          <cell r="AH278" t="str">
            <v>物理</v>
          </cell>
        </row>
        <row r="279">
          <cell r="C279">
            <v>6</v>
          </cell>
        </row>
        <row r="279">
          <cell r="E279">
            <v>578</v>
          </cell>
        </row>
        <row r="279">
          <cell r="AH279" t="str">
            <v>物理</v>
          </cell>
        </row>
        <row r="280">
          <cell r="C280">
            <v>6</v>
          </cell>
        </row>
        <row r="280">
          <cell r="E280">
            <v>573.5</v>
          </cell>
        </row>
        <row r="280">
          <cell r="AH280" t="str">
            <v>物理</v>
          </cell>
        </row>
        <row r="281">
          <cell r="C281">
            <v>6</v>
          </cell>
        </row>
        <row r="281">
          <cell r="E281">
            <v>624</v>
          </cell>
        </row>
        <row r="281">
          <cell r="AH281" t="str">
            <v>物理</v>
          </cell>
        </row>
        <row r="282">
          <cell r="C282">
            <v>6</v>
          </cell>
        </row>
        <row r="282">
          <cell r="E282">
            <v>559.25</v>
          </cell>
        </row>
        <row r="282">
          <cell r="AH282" t="str">
            <v>物理</v>
          </cell>
        </row>
        <row r="283">
          <cell r="C283">
            <v>6</v>
          </cell>
        </row>
        <row r="283">
          <cell r="E283">
            <v>587.5</v>
          </cell>
        </row>
        <row r="283">
          <cell r="AH283" t="str">
            <v>物理</v>
          </cell>
        </row>
        <row r="284">
          <cell r="C284">
            <v>6</v>
          </cell>
        </row>
        <row r="284">
          <cell r="E284">
            <v>606</v>
          </cell>
        </row>
        <row r="284">
          <cell r="AH284" t="str">
            <v>物理</v>
          </cell>
        </row>
        <row r="285">
          <cell r="C285">
            <v>6</v>
          </cell>
        </row>
        <row r="285">
          <cell r="E285">
            <v>572</v>
          </cell>
        </row>
        <row r="285">
          <cell r="AH285" t="str">
            <v>物理</v>
          </cell>
        </row>
        <row r="286">
          <cell r="C286">
            <v>6</v>
          </cell>
        </row>
        <row r="286">
          <cell r="E286">
            <v>552.5</v>
          </cell>
        </row>
        <row r="286">
          <cell r="AH286" t="str">
            <v>物理</v>
          </cell>
        </row>
        <row r="287">
          <cell r="C287">
            <v>6</v>
          </cell>
        </row>
        <row r="287">
          <cell r="E287">
            <v>578</v>
          </cell>
        </row>
        <row r="287">
          <cell r="AH287" t="str">
            <v>物理</v>
          </cell>
        </row>
        <row r="288">
          <cell r="C288">
            <v>6</v>
          </cell>
        </row>
        <row r="288">
          <cell r="E288">
            <v>587.25</v>
          </cell>
        </row>
        <row r="288">
          <cell r="AH288" t="str">
            <v>物理</v>
          </cell>
        </row>
        <row r="289">
          <cell r="C289">
            <v>6</v>
          </cell>
        </row>
        <row r="289">
          <cell r="E289">
            <v>584.5</v>
          </cell>
        </row>
        <row r="289">
          <cell r="AH289" t="str">
            <v>物理</v>
          </cell>
        </row>
        <row r="290">
          <cell r="C290">
            <v>6</v>
          </cell>
        </row>
        <row r="290">
          <cell r="E290">
            <v>601.5</v>
          </cell>
        </row>
        <row r="290">
          <cell r="AH290" t="str">
            <v>物理</v>
          </cell>
        </row>
        <row r="291">
          <cell r="C291">
            <v>6</v>
          </cell>
        </row>
        <row r="291">
          <cell r="E291">
            <v>565</v>
          </cell>
        </row>
        <row r="291">
          <cell r="AH291" t="str">
            <v>物理</v>
          </cell>
        </row>
        <row r="292">
          <cell r="C292">
            <v>6</v>
          </cell>
        </row>
        <row r="292">
          <cell r="E292">
            <v>559.75</v>
          </cell>
        </row>
        <row r="292">
          <cell r="AH292" t="str">
            <v>物理</v>
          </cell>
        </row>
        <row r="293">
          <cell r="C293">
            <v>6</v>
          </cell>
        </row>
        <row r="293">
          <cell r="E293">
            <v>583.5</v>
          </cell>
        </row>
        <row r="293">
          <cell r="AH293" t="str">
            <v>物理</v>
          </cell>
        </row>
        <row r="294">
          <cell r="C294">
            <v>6</v>
          </cell>
        </row>
        <row r="294">
          <cell r="E294">
            <v>606</v>
          </cell>
        </row>
        <row r="294">
          <cell r="AH294" t="str">
            <v>物理</v>
          </cell>
        </row>
        <row r="295">
          <cell r="C295">
            <v>6</v>
          </cell>
        </row>
        <row r="295">
          <cell r="E295">
            <v>561</v>
          </cell>
        </row>
        <row r="295">
          <cell r="AH295" t="str">
            <v>物理</v>
          </cell>
        </row>
        <row r="296">
          <cell r="C296">
            <v>6</v>
          </cell>
        </row>
        <row r="296">
          <cell r="E296">
            <v>563.25</v>
          </cell>
        </row>
        <row r="296">
          <cell r="AH296" t="str">
            <v>物理</v>
          </cell>
        </row>
        <row r="297">
          <cell r="C297">
            <v>6</v>
          </cell>
        </row>
        <row r="297">
          <cell r="E297">
            <v>599.5</v>
          </cell>
        </row>
        <row r="297">
          <cell r="AH297" t="str">
            <v>物理</v>
          </cell>
        </row>
        <row r="298">
          <cell r="C298">
            <v>6</v>
          </cell>
        </row>
        <row r="298">
          <cell r="E298">
            <v>568</v>
          </cell>
        </row>
        <row r="298">
          <cell r="AH298" t="str">
            <v>物理</v>
          </cell>
        </row>
        <row r="299">
          <cell r="C299">
            <v>6</v>
          </cell>
        </row>
        <row r="299">
          <cell r="E299">
            <v>590</v>
          </cell>
        </row>
        <row r="299">
          <cell r="AH299" t="str">
            <v>物理</v>
          </cell>
        </row>
        <row r="300">
          <cell r="C300">
            <v>6</v>
          </cell>
        </row>
        <row r="300">
          <cell r="E300">
            <v>576</v>
          </cell>
        </row>
        <row r="300">
          <cell r="AH300" t="str">
            <v>物理</v>
          </cell>
        </row>
        <row r="301">
          <cell r="C301">
            <v>6</v>
          </cell>
        </row>
        <row r="301">
          <cell r="E301">
            <v>546.5</v>
          </cell>
        </row>
        <row r="301">
          <cell r="AH301" t="str">
            <v>物理</v>
          </cell>
        </row>
        <row r="302">
          <cell r="C302">
            <v>6</v>
          </cell>
        </row>
        <row r="302">
          <cell r="E302">
            <v>595</v>
          </cell>
        </row>
        <row r="302">
          <cell r="AH302" t="str">
            <v>物理</v>
          </cell>
        </row>
        <row r="303">
          <cell r="C303">
            <v>6</v>
          </cell>
        </row>
        <row r="303">
          <cell r="E303">
            <v>563.5</v>
          </cell>
        </row>
        <row r="303">
          <cell r="AH303" t="str">
            <v>物理</v>
          </cell>
        </row>
        <row r="304">
          <cell r="C304">
            <v>6</v>
          </cell>
        </row>
        <row r="304">
          <cell r="E304">
            <v>578</v>
          </cell>
        </row>
        <row r="304">
          <cell r="AH304" t="str">
            <v>物理</v>
          </cell>
        </row>
        <row r="305">
          <cell r="C305">
            <v>6</v>
          </cell>
        </row>
        <row r="305">
          <cell r="E305">
            <v>569.5</v>
          </cell>
        </row>
        <row r="305">
          <cell r="AH305" t="str">
            <v>物理</v>
          </cell>
        </row>
        <row r="306">
          <cell r="C306">
            <v>6</v>
          </cell>
        </row>
        <row r="306">
          <cell r="E306">
            <v>598.75</v>
          </cell>
        </row>
        <row r="306">
          <cell r="AH306" t="str">
            <v>物理</v>
          </cell>
        </row>
        <row r="307">
          <cell r="C307">
            <v>6</v>
          </cell>
        </row>
        <row r="307">
          <cell r="E307">
            <v>561</v>
          </cell>
        </row>
        <row r="307">
          <cell r="AH307" t="str">
            <v>物理</v>
          </cell>
        </row>
        <row r="308">
          <cell r="C308">
            <v>6</v>
          </cell>
        </row>
        <row r="308">
          <cell r="E308">
            <v>585</v>
          </cell>
        </row>
        <row r="308">
          <cell r="AH308" t="str">
            <v>物理</v>
          </cell>
        </row>
        <row r="309">
          <cell r="C309">
            <v>6</v>
          </cell>
        </row>
        <row r="309">
          <cell r="E309">
            <v>595.25</v>
          </cell>
        </row>
        <row r="309">
          <cell r="AH309" t="str">
            <v>物理</v>
          </cell>
        </row>
        <row r="310">
          <cell r="C310">
            <v>6</v>
          </cell>
        </row>
        <row r="310">
          <cell r="E310">
            <v>578</v>
          </cell>
        </row>
        <row r="310">
          <cell r="AH310" t="str">
            <v>物理</v>
          </cell>
        </row>
        <row r="311">
          <cell r="C311">
            <v>6</v>
          </cell>
        </row>
        <row r="311">
          <cell r="E311">
            <v>559.5</v>
          </cell>
        </row>
        <row r="311">
          <cell r="AH311" t="str">
            <v>物理</v>
          </cell>
        </row>
        <row r="312">
          <cell r="C312">
            <v>6</v>
          </cell>
        </row>
        <row r="312">
          <cell r="E312">
            <v>610.5</v>
          </cell>
        </row>
        <row r="312">
          <cell r="AH312" t="str">
            <v>物理</v>
          </cell>
        </row>
        <row r="313">
          <cell r="C313">
            <v>6</v>
          </cell>
        </row>
        <row r="313">
          <cell r="E313">
            <v>604.5</v>
          </cell>
        </row>
        <row r="313">
          <cell r="AH313" t="str">
            <v>物理</v>
          </cell>
        </row>
        <row r="314">
          <cell r="C314">
            <v>6</v>
          </cell>
        </row>
        <row r="314">
          <cell r="E314">
            <v>561</v>
          </cell>
        </row>
        <row r="314">
          <cell r="AH314" t="str">
            <v>物理</v>
          </cell>
        </row>
        <row r="315">
          <cell r="C315">
            <v>6</v>
          </cell>
        </row>
        <row r="315">
          <cell r="E315">
            <v>578</v>
          </cell>
        </row>
        <row r="315">
          <cell r="AH315" t="str">
            <v>物理</v>
          </cell>
        </row>
        <row r="316">
          <cell r="C316">
            <v>6</v>
          </cell>
        </row>
        <row r="316">
          <cell r="E316">
            <v>577.5</v>
          </cell>
        </row>
        <row r="316">
          <cell r="AH316" t="str">
            <v>物理</v>
          </cell>
        </row>
        <row r="317">
          <cell r="C317">
            <v>6</v>
          </cell>
        </row>
        <row r="317">
          <cell r="E317">
            <v>589</v>
          </cell>
        </row>
        <row r="317">
          <cell r="AH317" t="str">
            <v>物理</v>
          </cell>
        </row>
        <row r="318">
          <cell r="C318">
            <v>6</v>
          </cell>
        </row>
        <row r="318">
          <cell r="E318">
            <v>571.5</v>
          </cell>
        </row>
        <row r="318">
          <cell r="AH318" t="str">
            <v>物理</v>
          </cell>
        </row>
        <row r="319">
          <cell r="C319">
            <v>6</v>
          </cell>
        </row>
        <row r="319">
          <cell r="E319">
            <v>511.25</v>
          </cell>
        </row>
        <row r="319">
          <cell r="AH319" t="str">
            <v>物理</v>
          </cell>
        </row>
        <row r="320">
          <cell r="C320">
            <v>6</v>
          </cell>
        </row>
        <row r="320">
          <cell r="E320">
            <v>489.5</v>
          </cell>
        </row>
        <row r="320">
          <cell r="AH320" t="str">
            <v>物理</v>
          </cell>
        </row>
        <row r="321">
          <cell r="C321">
            <v>6</v>
          </cell>
        </row>
        <row r="321">
          <cell r="E321">
            <v>638</v>
          </cell>
        </row>
        <row r="321">
          <cell r="AH321" t="str">
            <v>物理</v>
          </cell>
        </row>
        <row r="322">
          <cell r="C322">
            <v>7</v>
          </cell>
        </row>
        <row r="322">
          <cell r="E322">
            <v>577.5</v>
          </cell>
        </row>
        <row r="322">
          <cell r="AH322" t="str">
            <v>物理</v>
          </cell>
        </row>
        <row r="323">
          <cell r="C323">
            <v>7</v>
          </cell>
        </row>
        <row r="323">
          <cell r="E323">
            <v>585</v>
          </cell>
        </row>
        <row r="323">
          <cell r="AH323" t="str">
            <v>物理</v>
          </cell>
        </row>
        <row r="324">
          <cell r="C324">
            <v>7</v>
          </cell>
        </row>
        <row r="324">
          <cell r="E324">
            <v>549</v>
          </cell>
        </row>
        <row r="324">
          <cell r="AH324" t="str">
            <v>物理</v>
          </cell>
        </row>
        <row r="325">
          <cell r="C325">
            <v>7</v>
          </cell>
        </row>
        <row r="325">
          <cell r="E325">
            <v>545.5</v>
          </cell>
        </row>
        <row r="325">
          <cell r="AH325" t="str">
            <v>物理</v>
          </cell>
        </row>
        <row r="326">
          <cell r="C326">
            <v>7</v>
          </cell>
        </row>
        <row r="326">
          <cell r="E326">
            <v>540.5</v>
          </cell>
        </row>
        <row r="326">
          <cell r="AH326" t="str">
            <v>物理</v>
          </cell>
        </row>
        <row r="327">
          <cell r="C327">
            <v>7</v>
          </cell>
        </row>
        <row r="327">
          <cell r="E327">
            <v>581.5</v>
          </cell>
        </row>
        <row r="327">
          <cell r="AH327" t="str">
            <v>物理</v>
          </cell>
        </row>
        <row r="328">
          <cell r="C328">
            <v>7</v>
          </cell>
        </row>
        <row r="328">
          <cell r="E328">
            <v>522.5</v>
          </cell>
        </row>
        <row r="328">
          <cell r="AH328" t="str">
            <v>物理</v>
          </cell>
        </row>
        <row r="329">
          <cell r="C329">
            <v>7</v>
          </cell>
        </row>
        <row r="329">
          <cell r="E329">
            <v>537</v>
          </cell>
        </row>
        <row r="329">
          <cell r="AH329" t="str">
            <v>物理</v>
          </cell>
        </row>
        <row r="330">
          <cell r="C330">
            <v>7</v>
          </cell>
        </row>
        <row r="330">
          <cell r="E330">
            <v>535.25</v>
          </cell>
        </row>
        <row r="330">
          <cell r="AH330" t="str">
            <v>物理</v>
          </cell>
        </row>
        <row r="331">
          <cell r="C331">
            <v>7</v>
          </cell>
        </row>
        <row r="331">
          <cell r="E331">
            <v>557.75</v>
          </cell>
        </row>
        <row r="331">
          <cell r="AH331" t="str">
            <v>物理</v>
          </cell>
        </row>
        <row r="332">
          <cell r="C332">
            <v>7</v>
          </cell>
        </row>
        <row r="332">
          <cell r="E332">
            <v>548.5</v>
          </cell>
        </row>
        <row r="332">
          <cell r="AH332" t="str">
            <v>物理</v>
          </cell>
        </row>
        <row r="333">
          <cell r="AH333" t="str">
            <v>物理</v>
          </cell>
        </row>
        <row r="334">
          <cell r="C334">
            <v>7</v>
          </cell>
        </row>
        <row r="334">
          <cell r="E334">
            <v>540.75</v>
          </cell>
        </row>
        <row r="334">
          <cell r="AH334" t="str">
            <v>物理</v>
          </cell>
        </row>
        <row r="335">
          <cell r="C335">
            <v>7</v>
          </cell>
        </row>
        <row r="335">
          <cell r="E335">
            <v>543.5</v>
          </cell>
        </row>
        <row r="335">
          <cell r="AH335" t="str">
            <v>物理</v>
          </cell>
        </row>
        <row r="336">
          <cell r="C336">
            <v>7</v>
          </cell>
        </row>
        <row r="336">
          <cell r="E336">
            <v>506.5</v>
          </cell>
        </row>
        <row r="336">
          <cell r="AH336" t="str">
            <v>物理</v>
          </cell>
        </row>
        <row r="337">
          <cell r="C337">
            <v>7</v>
          </cell>
        </row>
        <row r="337">
          <cell r="E337">
            <v>569.5</v>
          </cell>
        </row>
        <row r="337">
          <cell r="AH337" t="str">
            <v>物理</v>
          </cell>
        </row>
        <row r="338">
          <cell r="C338">
            <v>7</v>
          </cell>
        </row>
        <row r="338">
          <cell r="E338">
            <v>536.25</v>
          </cell>
        </row>
        <row r="338">
          <cell r="AH338" t="str">
            <v>物理</v>
          </cell>
        </row>
        <row r="339">
          <cell r="C339">
            <v>7</v>
          </cell>
        </row>
        <row r="339">
          <cell r="E339">
            <v>597</v>
          </cell>
        </row>
        <row r="339">
          <cell r="AH339" t="str">
            <v>物理</v>
          </cell>
        </row>
        <row r="340">
          <cell r="C340">
            <v>7</v>
          </cell>
        </row>
        <row r="340">
          <cell r="E340">
            <v>511.5</v>
          </cell>
        </row>
        <row r="340">
          <cell r="AH340" t="str">
            <v>物理</v>
          </cell>
        </row>
        <row r="341">
          <cell r="C341">
            <v>7</v>
          </cell>
        </row>
        <row r="341">
          <cell r="E341">
            <v>524</v>
          </cell>
        </row>
        <row r="341">
          <cell r="AH341" t="str">
            <v>物理</v>
          </cell>
        </row>
        <row r="342">
          <cell r="C342">
            <v>7</v>
          </cell>
        </row>
        <row r="342">
          <cell r="E342">
            <v>574.5</v>
          </cell>
        </row>
        <row r="342">
          <cell r="AH342" t="str">
            <v>物理</v>
          </cell>
        </row>
        <row r="343">
          <cell r="C343">
            <v>7</v>
          </cell>
        </row>
        <row r="343">
          <cell r="E343">
            <v>564.5</v>
          </cell>
        </row>
        <row r="343">
          <cell r="AH343" t="str">
            <v>物理</v>
          </cell>
        </row>
        <row r="344">
          <cell r="C344">
            <v>7</v>
          </cell>
        </row>
        <row r="344">
          <cell r="E344">
            <v>546</v>
          </cell>
        </row>
        <row r="344">
          <cell r="AH344" t="str">
            <v>物理</v>
          </cell>
        </row>
        <row r="345">
          <cell r="C345">
            <v>7</v>
          </cell>
        </row>
        <row r="345">
          <cell r="E345">
            <v>494</v>
          </cell>
        </row>
        <row r="345">
          <cell r="AH345" t="str">
            <v>物理</v>
          </cell>
        </row>
        <row r="346">
          <cell r="C346">
            <v>7</v>
          </cell>
        </row>
        <row r="346">
          <cell r="E346">
            <v>542</v>
          </cell>
        </row>
        <row r="346">
          <cell r="AH346" t="str">
            <v>物理</v>
          </cell>
        </row>
        <row r="347">
          <cell r="C347">
            <v>7</v>
          </cell>
        </row>
        <row r="347">
          <cell r="E347">
            <v>560</v>
          </cell>
        </row>
        <row r="347">
          <cell r="AH347" t="str">
            <v>物理</v>
          </cell>
        </row>
        <row r="348">
          <cell r="C348">
            <v>7</v>
          </cell>
        </row>
        <row r="348">
          <cell r="E348">
            <v>565.5</v>
          </cell>
        </row>
        <row r="348">
          <cell r="AH348" t="str">
            <v>物理</v>
          </cell>
        </row>
        <row r="349">
          <cell r="C349">
            <v>7</v>
          </cell>
        </row>
        <row r="349">
          <cell r="E349">
            <v>548.5</v>
          </cell>
        </row>
        <row r="349">
          <cell r="AH349" t="str">
            <v>物理</v>
          </cell>
        </row>
        <row r="350">
          <cell r="C350">
            <v>7</v>
          </cell>
        </row>
        <row r="350">
          <cell r="E350">
            <v>528</v>
          </cell>
        </row>
        <row r="350">
          <cell r="AH350" t="str">
            <v>物理</v>
          </cell>
        </row>
        <row r="351">
          <cell r="C351">
            <v>7</v>
          </cell>
        </row>
        <row r="351">
          <cell r="E351">
            <v>474</v>
          </cell>
        </row>
        <row r="351">
          <cell r="AH351" t="str">
            <v>物理</v>
          </cell>
        </row>
        <row r="352">
          <cell r="C352">
            <v>7</v>
          </cell>
        </row>
        <row r="352">
          <cell r="E352">
            <v>511.5</v>
          </cell>
        </row>
        <row r="352">
          <cell r="AH352" t="str">
            <v>物理</v>
          </cell>
        </row>
        <row r="353">
          <cell r="C353">
            <v>7</v>
          </cell>
        </row>
        <row r="353">
          <cell r="E353">
            <v>534.5</v>
          </cell>
        </row>
        <row r="353">
          <cell r="AH353" t="str">
            <v>物理</v>
          </cell>
        </row>
        <row r="354">
          <cell r="C354">
            <v>7</v>
          </cell>
        </row>
        <row r="354">
          <cell r="E354">
            <v>555.25</v>
          </cell>
        </row>
        <row r="354">
          <cell r="AH354" t="str">
            <v>物理</v>
          </cell>
        </row>
        <row r="355">
          <cell r="C355">
            <v>7</v>
          </cell>
        </row>
        <row r="355">
          <cell r="E355">
            <v>397.5</v>
          </cell>
        </row>
        <row r="355">
          <cell r="AH355" t="str">
            <v>物理</v>
          </cell>
        </row>
        <row r="356">
          <cell r="C356">
            <v>7</v>
          </cell>
        </row>
        <row r="356">
          <cell r="E356">
            <v>496.25</v>
          </cell>
        </row>
        <row r="356">
          <cell r="AH356" t="str">
            <v>物理</v>
          </cell>
        </row>
        <row r="357">
          <cell r="C357">
            <v>7</v>
          </cell>
        </row>
        <row r="357">
          <cell r="E357">
            <v>506.5</v>
          </cell>
        </row>
        <row r="357">
          <cell r="AH357" t="str">
            <v>物理</v>
          </cell>
        </row>
        <row r="358">
          <cell r="C358">
            <v>7</v>
          </cell>
        </row>
        <row r="358">
          <cell r="E358">
            <v>480</v>
          </cell>
        </row>
        <row r="358">
          <cell r="AH358" t="str">
            <v>物理</v>
          </cell>
        </row>
        <row r="359">
          <cell r="C359">
            <v>7</v>
          </cell>
        </row>
        <row r="359">
          <cell r="E359">
            <v>412</v>
          </cell>
        </row>
        <row r="359">
          <cell r="AH359" t="str">
            <v>物理</v>
          </cell>
        </row>
        <row r="360">
          <cell r="C360">
            <v>7</v>
          </cell>
        </row>
        <row r="360">
          <cell r="E360">
            <v>563</v>
          </cell>
        </row>
        <row r="360">
          <cell r="AH360" t="str">
            <v>物理</v>
          </cell>
        </row>
        <row r="361">
          <cell r="C361">
            <v>7</v>
          </cell>
        </row>
        <row r="361">
          <cell r="E361">
            <v>592.5</v>
          </cell>
        </row>
        <row r="361">
          <cell r="AH361" t="str">
            <v>物理</v>
          </cell>
        </row>
        <row r="362">
          <cell r="C362">
            <v>7</v>
          </cell>
        </row>
        <row r="362">
          <cell r="E362">
            <v>559.75</v>
          </cell>
        </row>
        <row r="362">
          <cell r="AH362" t="str">
            <v>物理</v>
          </cell>
        </row>
        <row r="363">
          <cell r="C363">
            <v>7</v>
          </cell>
        </row>
        <row r="363">
          <cell r="E363">
            <v>545.5</v>
          </cell>
        </row>
        <row r="363">
          <cell r="AH363" t="str">
            <v>物理</v>
          </cell>
        </row>
        <row r="364">
          <cell r="C364">
            <v>7</v>
          </cell>
        </row>
        <row r="364">
          <cell r="E364">
            <v>559.5</v>
          </cell>
        </row>
        <row r="364">
          <cell r="AH364" t="str">
            <v>物理</v>
          </cell>
        </row>
        <row r="365">
          <cell r="C365">
            <v>7</v>
          </cell>
        </row>
        <row r="365">
          <cell r="E365">
            <v>556</v>
          </cell>
        </row>
        <row r="365">
          <cell r="AH365" t="str">
            <v>物理</v>
          </cell>
        </row>
        <row r="366">
          <cell r="C366">
            <v>7</v>
          </cell>
        </row>
        <row r="366">
          <cell r="E366">
            <v>575</v>
          </cell>
        </row>
        <row r="366">
          <cell r="AH366" t="str">
            <v>物理</v>
          </cell>
        </row>
        <row r="367">
          <cell r="C367">
            <v>8</v>
          </cell>
        </row>
        <row r="367">
          <cell r="E367">
            <v>519</v>
          </cell>
        </row>
        <row r="367">
          <cell r="AH367" t="str">
            <v>物理</v>
          </cell>
        </row>
        <row r="368">
          <cell r="C368">
            <v>8</v>
          </cell>
        </row>
        <row r="368">
          <cell r="E368">
            <v>533</v>
          </cell>
        </row>
        <row r="368">
          <cell r="AH368" t="str">
            <v>物理</v>
          </cell>
        </row>
        <row r="369">
          <cell r="C369">
            <v>8</v>
          </cell>
        </row>
        <row r="369">
          <cell r="E369">
            <v>509.5</v>
          </cell>
        </row>
        <row r="369">
          <cell r="AH369" t="str">
            <v>物理</v>
          </cell>
        </row>
        <row r="370">
          <cell r="C370">
            <v>8</v>
          </cell>
        </row>
        <row r="370">
          <cell r="E370">
            <v>544.75</v>
          </cell>
        </row>
        <row r="370">
          <cell r="AH370" t="str">
            <v>物理</v>
          </cell>
        </row>
        <row r="371">
          <cell r="C371">
            <v>8</v>
          </cell>
        </row>
        <row r="371">
          <cell r="E371">
            <v>508.25</v>
          </cell>
        </row>
        <row r="371">
          <cell r="AH371" t="str">
            <v>物理</v>
          </cell>
        </row>
        <row r="372">
          <cell r="C372">
            <v>8</v>
          </cell>
        </row>
        <row r="372">
          <cell r="E372">
            <v>509</v>
          </cell>
        </row>
        <row r="372">
          <cell r="AH372" t="str">
            <v>物理</v>
          </cell>
        </row>
        <row r="373">
          <cell r="C373">
            <v>8</v>
          </cell>
        </row>
        <row r="373">
          <cell r="E373">
            <v>508</v>
          </cell>
        </row>
        <row r="373">
          <cell r="AH373" t="str">
            <v>物理</v>
          </cell>
        </row>
        <row r="374">
          <cell r="C374">
            <v>8</v>
          </cell>
        </row>
        <row r="374">
          <cell r="E374">
            <v>500.5</v>
          </cell>
        </row>
        <row r="374">
          <cell r="AH374" t="str">
            <v>物理</v>
          </cell>
        </row>
        <row r="375">
          <cell r="C375">
            <v>8</v>
          </cell>
        </row>
        <row r="375">
          <cell r="E375">
            <v>485.25</v>
          </cell>
        </row>
        <row r="375">
          <cell r="AH375" t="str">
            <v>物理</v>
          </cell>
        </row>
        <row r="376">
          <cell r="C376">
            <v>8</v>
          </cell>
        </row>
        <row r="376">
          <cell r="E376">
            <v>510</v>
          </cell>
        </row>
        <row r="376">
          <cell r="AH376" t="str">
            <v>物理</v>
          </cell>
        </row>
        <row r="377">
          <cell r="C377">
            <v>8</v>
          </cell>
        </row>
        <row r="377">
          <cell r="E377">
            <v>452.5</v>
          </cell>
        </row>
        <row r="377">
          <cell r="AH377" t="str">
            <v>物理</v>
          </cell>
        </row>
        <row r="378">
          <cell r="C378">
            <v>8</v>
          </cell>
        </row>
        <row r="378">
          <cell r="E378">
            <v>525</v>
          </cell>
        </row>
        <row r="378">
          <cell r="AH378" t="str">
            <v>物理</v>
          </cell>
        </row>
        <row r="379">
          <cell r="C379">
            <v>8</v>
          </cell>
        </row>
        <row r="379">
          <cell r="E379">
            <v>508.5</v>
          </cell>
        </row>
        <row r="379">
          <cell r="AH379" t="str">
            <v>物理</v>
          </cell>
        </row>
        <row r="380">
          <cell r="C380">
            <v>8</v>
          </cell>
        </row>
        <row r="380">
          <cell r="E380">
            <v>457</v>
          </cell>
        </row>
        <row r="380">
          <cell r="AH380" t="str">
            <v>物理</v>
          </cell>
        </row>
        <row r="381">
          <cell r="C381">
            <v>8</v>
          </cell>
        </row>
        <row r="381">
          <cell r="E381">
            <v>494</v>
          </cell>
        </row>
        <row r="381">
          <cell r="AH381" t="str">
            <v>物理</v>
          </cell>
        </row>
        <row r="382">
          <cell r="C382">
            <v>8</v>
          </cell>
        </row>
        <row r="382">
          <cell r="E382">
            <v>521.75</v>
          </cell>
        </row>
        <row r="382">
          <cell r="AH382" t="str">
            <v>物理</v>
          </cell>
        </row>
        <row r="383">
          <cell r="C383">
            <v>8</v>
          </cell>
        </row>
        <row r="383">
          <cell r="E383">
            <v>479.5</v>
          </cell>
        </row>
        <row r="383">
          <cell r="AH383" t="str">
            <v>物理</v>
          </cell>
        </row>
        <row r="384">
          <cell r="C384">
            <v>8</v>
          </cell>
        </row>
        <row r="384">
          <cell r="E384">
            <v>524</v>
          </cell>
        </row>
        <row r="384">
          <cell r="AH384" t="str">
            <v>物理</v>
          </cell>
        </row>
        <row r="385">
          <cell r="C385">
            <v>8</v>
          </cell>
        </row>
        <row r="385">
          <cell r="E385">
            <v>486</v>
          </cell>
        </row>
        <row r="385">
          <cell r="AH385" t="str">
            <v>物理</v>
          </cell>
        </row>
        <row r="386">
          <cell r="C386">
            <v>8</v>
          </cell>
        </row>
        <row r="386">
          <cell r="E386">
            <v>514.5</v>
          </cell>
        </row>
        <row r="386">
          <cell r="AH386" t="str">
            <v>物理</v>
          </cell>
        </row>
        <row r="387">
          <cell r="C387">
            <v>8</v>
          </cell>
        </row>
        <row r="387">
          <cell r="E387">
            <v>511.5</v>
          </cell>
        </row>
        <row r="387">
          <cell r="AH387" t="str">
            <v>物理</v>
          </cell>
        </row>
        <row r="388">
          <cell r="C388">
            <v>8</v>
          </cell>
        </row>
        <row r="388">
          <cell r="E388">
            <v>526.75</v>
          </cell>
        </row>
        <row r="388">
          <cell r="AH388" t="str">
            <v>物理</v>
          </cell>
        </row>
        <row r="389">
          <cell r="C389">
            <v>8</v>
          </cell>
        </row>
        <row r="389">
          <cell r="E389">
            <v>499</v>
          </cell>
        </row>
        <row r="389">
          <cell r="AH389" t="str">
            <v>物理</v>
          </cell>
        </row>
        <row r="390">
          <cell r="C390">
            <v>8</v>
          </cell>
        </row>
        <row r="390">
          <cell r="E390">
            <v>476.5</v>
          </cell>
        </row>
        <row r="390">
          <cell r="AH390" t="str">
            <v>物理</v>
          </cell>
        </row>
        <row r="391">
          <cell r="C391">
            <v>8</v>
          </cell>
        </row>
        <row r="391">
          <cell r="E391">
            <v>519</v>
          </cell>
        </row>
        <row r="391">
          <cell r="AH391" t="str">
            <v>物理</v>
          </cell>
        </row>
        <row r="392">
          <cell r="C392">
            <v>8</v>
          </cell>
        </row>
        <row r="392">
          <cell r="E392">
            <v>431</v>
          </cell>
        </row>
        <row r="392">
          <cell r="AH392" t="str">
            <v>物理</v>
          </cell>
        </row>
        <row r="393">
          <cell r="C393">
            <v>8</v>
          </cell>
        </row>
        <row r="393">
          <cell r="E393">
            <v>475</v>
          </cell>
        </row>
        <row r="393">
          <cell r="AH393" t="str">
            <v>物理</v>
          </cell>
        </row>
        <row r="394">
          <cell r="C394">
            <v>8</v>
          </cell>
        </row>
        <row r="394">
          <cell r="E394">
            <v>553.5</v>
          </cell>
        </row>
        <row r="394">
          <cell r="AH394" t="str">
            <v>物理</v>
          </cell>
        </row>
        <row r="395">
          <cell r="C395">
            <v>8</v>
          </cell>
        </row>
        <row r="395">
          <cell r="E395">
            <v>483.75</v>
          </cell>
        </row>
        <row r="395">
          <cell r="AH395" t="str">
            <v>物理</v>
          </cell>
        </row>
        <row r="396">
          <cell r="C396">
            <v>8</v>
          </cell>
        </row>
        <row r="396">
          <cell r="E396">
            <v>438</v>
          </cell>
        </row>
        <row r="396">
          <cell r="AH396" t="str">
            <v>物理</v>
          </cell>
        </row>
        <row r="397">
          <cell r="C397">
            <v>8</v>
          </cell>
        </row>
        <row r="397">
          <cell r="E397">
            <v>445</v>
          </cell>
        </row>
        <row r="397">
          <cell r="AH397" t="str">
            <v>物理</v>
          </cell>
        </row>
        <row r="398">
          <cell r="C398">
            <v>8</v>
          </cell>
        </row>
        <row r="398">
          <cell r="E398">
            <v>502.5</v>
          </cell>
        </row>
        <row r="398">
          <cell r="AH398" t="str">
            <v>物理</v>
          </cell>
        </row>
        <row r="399">
          <cell r="C399">
            <v>8</v>
          </cell>
        </row>
        <row r="399">
          <cell r="E399">
            <v>448</v>
          </cell>
        </row>
        <row r="399">
          <cell r="AH399" t="str">
            <v>物理</v>
          </cell>
        </row>
        <row r="400">
          <cell r="C400">
            <v>8</v>
          </cell>
        </row>
        <row r="400">
          <cell r="E400">
            <v>524.5</v>
          </cell>
        </row>
        <row r="400">
          <cell r="AH400" t="str">
            <v>物理</v>
          </cell>
        </row>
        <row r="401">
          <cell r="C401">
            <v>8</v>
          </cell>
        </row>
        <row r="401">
          <cell r="E401">
            <v>492.25</v>
          </cell>
        </row>
        <row r="401">
          <cell r="AH401" t="str">
            <v>物理</v>
          </cell>
        </row>
        <row r="402">
          <cell r="C402">
            <v>8</v>
          </cell>
        </row>
        <row r="402">
          <cell r="E402">
            <v>438.25</v>
          </cell>
        </row>
        <row r="402">
          <cell r="AH402" t="str">
            <v>物理</v>
          </cell>
        </row>
        <row r="403">
          <cell r="C403">
            <v>8</v>
          </cell>
        </row>
        <row r="403">
          <cell r="E403">
            <v>476</v>
          </cell>
        </row>
        <row r="403">
          <cell r="AH403" t="str">
            <v>物理</v>
          </cell>
        </row>
        <row r="404">
          <cell r="C404">
            <v>8</v>
          </cell>
        </row>
        <row r="404">
          <cell r="E404">
            <v>444.25</v>
          </cell>
        </row>
        <row r="404">
          <cell r="AH404" t="str">
            <v>物理</v>
          </cell>
        </row>
        <row r="405">
          <cell r="C405">
            <v>8</v>
          </cell>
        </row>
        <row r="405">
          <cell r="E405">
            <v>426</v>
          </cell>
        </row>
        <row r="405">
          <cell r="AH405" t="str">
            <v>物理</v>
          </cell>
        </row>
        <row r="406">
          <cell r="C406">
            <v>8</v>
          </cell>
        </row>
        <row r="406">
          <cell r="E406">
            <v>420</v>
          </cell>
        </row>
        <row r="406">
          <cell r="AH406" t="str">
            <v>物理</v>
          </cell>
        </row>
        <row r="407">
          <cell r="C407">
            <v>8</v>
          </cell>
        </row>
        <row r="407">
          <cell r="E407">
            <v>477.5</v>
          </cell>
        </row>
        <row r="407">
          <cell r="AH407" t="str">
            <v>物理</v>
          </cell>
        </row>
        <row r="408">
          <cell r="C408">
            <v>8</v>
          </cell>
        </row>
        <row r="408">
          <cell r="E408">
            <v>460</v>
          </cell>
        </row>
        <row r="408">
          <cell r="AH408" t="str">
            <v>物理</v>
          </cell>
        </row>
        <row r="409">
          <cell r="C409">
            <v>8</v>
          </cell>
        </row>
        <row r="409">
          <cell r="E409">
            <v>443.5</v>
          </cell>
        </row>
        <row r="409">
          <cell r="AH409" t="str">
            <v>物理</v>
          </cell>
        </row>
        <row r="410">
          <cell r="C410">
            <v>8</v>
          </cell>
        </row>
        <row r="410">
          <cell r="E410">
            <v>465.5</v>
          </cell>
        </row>
        <row r="410">
          <cell r="AH410" t="str">
            <v>物理</v>
          </cell>
        </row>
        <row r="411">
          <cell r="C411">
            <v>8</v>
          </cell>
        </row>
        <row r="411">
          <cell r="E411">
            <v>326</v>
          </cell>
        </row>
        <row r="411">
          <cell r="AH411" t="str">
            <v>物理</v>
          </cell>
        </row>
        <row r="412">
          <cell r="C412">
            <v>8</v>
          </cell>
        </row>
        <row r="412">
          <cell r="E412">
            <v>469</v>
          </cell>
        </row>
        <row r="412">
          <cell r="AH412" t="str">
            <v>物理</v>
          </cell>
        </row>
        <row r="413">
          <cell r="C413">
            <v>8</v>
          </cell>
        </row>
        <row r="413">
          <cell r="E413">
            <v>444.5</v>
          </cell>
        </row>
        <row r="413">
          <cell r="AH413" t="str">
            <v>物理</v>
          </cell>
        </row>
        <row r="414">
          <cell r="C414">
            <v>8</v>
          </cell>
        </row>
        <row r="414">
          <cell r="E414">
            <v>426</v>
          </cell>
        </row>
        <row r="414">
          <cell r="AH414" t="str">
            <v>物理</v>
          </cell>
        </row>
        <row r="415">
          <cell r="C415">
            <v>8</v>
          </cell>
        </row>
        <row r="415">
          <cell r="E415">
            <v>462</v>
          </cell>
        </row>
        <row r="415">
          <cell r="AH415" t="str">
            <v>物理</v>
          </cell>
        </row>
        <row r="416">
          <cell r="C416">
            <v>9</v>
          </cell>
        </row>
        <row r="416">
          <cell r="E416">
            <v>488.5</v>
          </cell>
        </row>
        <row r="416">
          <cell r="AH416" t="str">
            <v>物理</v>
          </cell>
        </row>
        <row r="417">
          <cell r="C417">
            <v>9</v>
          </cell>
        </row>
        <row r="417">
          <cell r="E417">
            <v>476</v>
          </cell>
        </row>
        <row r="417">
          <cell r="AH417" t="str">
            <v>物理</v>
          </cell>
        </row>
        <row r="418">
          <cell r="C418">
            <v>9</v>
          </cell>
        </row>
        <row r="418">
          <cell r="E418">
            <v>496</v>
          </cell>
        </row>
        <row r="418">
          <cell r="AH418" t="str">
            <v>物理</v>
          </cell>
        </row>
        <row r="419">
          <cell r="C419">
            <v>9</v>
          </cell>
        </row>
        <row r="419">
          <cell r="E419">
            <v>576</v>
          </cell>
        </row>
        <row r="419">
          <cell r="AH419" t="str">
            <v>物理</v>
          </cell>
        </row>
        <row r="420">
          <cell r="C420">
            <v>9</v>
          </cell>
        </row>
        <row r="420">
          <cell r="E420">
            <v>543.5</v>
          </cell>
        </row>
        <row r="420">
          <cell r="AH420" t="str">
            <v>物理</v>
          </cell>
        </row>
        <row r="421">
          <cell r="C421">
            <v>9</v>
          </cell>
        </row>
        <row r="421">
          <cell r="E421">
            <v>497.5</v>
          </cell>
        </row>
        <row r="421">
          <cell r="AH421" t="str">
            <v>物理</v>
          </cell>
        </row>
        <row r="422">
          <cell r="C422">
            <v>9</v>
          </cell>
        </row>
        <row r="422">
          <cell r="E422">
            <v>536.75</v>
          </cell>
        </row>
        <row r="422">
          <cell r="AH422" t="str">
            <v>物理</v>
          </cell>
        </row>
        <row r="423">
          <cell r="C423">
            <v>9</v>
          </cell>
        </row>
        <row r="423">
          <cell r="E423">
            <v>467</v>
          </cell>
        </row>
        <row r="423">
          <cell r="AH423" t="str">
            <v>物理</v>
          </cell>
        </row>
        <row r="424">
          <cell r="C424">
            <v>9</v>
          </cell>
        </row>
        <row r="424">
          <cell r="E424">
            <v>490.5</v>
          </cell>
        </row>
        <row r="424">
          <cell r="AH424" t="str">
            <v>物理</v>
          </cell>
        </row>
        <row r="425">
          <cell r="C425">
            <v>9</v>
          </cell>
        </row>
        <row r="425">
          <cell r="E425">
            <v>503</v>
          </cell>
        </row>
        <row r="425">
          <cell r="AH425" t="str">
            <v>物理</v>
          </cell>
        </row>
        <row r="426">
          <cell r="C426">
            <v>9</v>
          </cell>
        </row>
        <row r="426">
          <cell r="E426">
            <v>483.25</v>
          </cell>
        </row>
        <row r="426">
          <cell r="AH426" t="str">
            <v>物理</v>
          </cell>
        </row>
        <row r="427">
          <cell r="C427">
            <v>9</v>
          </cell>
        </row>
        <row r="427">
          <cell r="E427">
            <v>520.25</v>
          </cell>
        </row>
        <row r="427">
          <cell r="AH427" t="str">
            <v>物理</v>
          </cell>
        </row>
        <row r="428">
          <cell r="C428">
            <v>9</v>
          </cell>
        </row>
        <row r="428">
          <cell r="E428">
            <v>517.25</v>
          </cell>
        </row>
        <row r="428">
          <cell r="AH428" t="str">
            <v>物理</v>
          </cell>
        </row>
        <row r="429">
          <cell r="C429">
            <v>9</v>
          </cell>
        </row>
        <row r="429">
          <cell r="E429">
            <v>499.5</v>
          </cell>
        </row>
        <row r="429">
          <cell r="AH429" t="str">
            <v>物理</v>
          </cell>
        </row>
        <row r="430">
          <cell r="C430">
            <v>9</v>
          </cell>
        </row>
        <row r="430">
          <cell r="E430">
            <v>474.25</v>
          </cell>
        </row>
        <row r="430">
          <cell r="AH430" t="str">
            <v>物理</v>
          </cell>
        </row>
        <row r="431">
          <cell r="C431">
            <v>9</v>
          </cell>
        </row>
        <row r="431">
          <cell r="E431">
            <v>493.5</v>
          </cell>
        </row>
        <row r="431">
          <cell r="AH431" t="str">
            <v>物理</v>
          </cell>
        </row>
        <row r="432">
          <cell r="C432">
            <v>9</v>
          </cell>
        </row>
        <row r="432">
          <cell r="E432">
            <v>484</v>
          </cell>
        </row>
        <row r="432">
          <cell r="AH432" t="str">
            <v>物理</v>
          </cell>
        </row>
        <row r="433">
          <cell r="C433">
            <v>9</v>
          </cell>
        </row>
        <row r="433">
          <cell r="E433">
            <v>582.5</v>
          </cell>
        </row>
        <row r="433">
          <cell r="AH433" t="str">
            <v>物理</v>
          </cell>
        </row>
        <row r="434">
          <cell r="C434">
            <v>9</v>
          </cell>
        </row>
        <row r="434">
          <cell r="E434">
            <v>400.5</v>
          </cell>
        </row>
        <row r="434">
          <cell r="AH434" t="str">
            <v>物理</v>
          </cell>
        </row>
        <row r="435">
          <cell r="C435">
            <v>9</v>
          </cell>
        </row>
        <row r="435">
          <cell r="E435">
            <v>453</v>
          </cell>
        </row>
        <row r="435">
          <cell r="AH435" t="str">
            <v>物理</v>
          </cell>
        </row>
        <row r="436">
          <cell r="C436">
            <v>9</v>
          </cell>
        </row>
        <row r="436">
          <cell r="E436">
            <v>480.5</v>
          </cell>
        </row>
        <row r="436">
          <cell r="AH436" t="str">
            <v>物理</v>
          </cell>
        </row>
        <row r="437">
          <cell r="C437">
            <v>9</v>
          </cell>
        </row>
        <row r="437">
          <cell r="E437">
            <v>469</v>
          </cell>
        </row>
        <row r="437">
          <cell r="AH437" t="str">
            <v>物理</v>
          </cell>
        </row>
        <row r="438">
          <cell r="C438">
            <v>9</v>
          </cell>
        </row>
        <row r="438">
          <cell r="E438">
            <v>504.5</v>
          </cell>
        </row>
        <row r="438">
          <cell r="AH438" t="str">
            <v>物理</v>
          </cell>
        </row>
        <row r="439">
          <cell r="C439">
            <v>9</v>
          </cell>
        </row>
        <row r="439">
          <cell r="E439">
            <v>528.5</v>
          </cell>
        </row>
        <row r="439">
          <cell r="AH439" t="str">
            <v>物理</v>
          </cell>
        </row>
        <row r="440">
          <cell r="C440">
            <v>9</v>
          </cell>
        </row>
        <row r="440">
          <cell r="E440">
            <v>510.5</v>
          </cell>
        </row>
        <row r="440">
          <cell r="AH440" t="str">
            <v>物理</v>
          </cell>
        </row>
        <row r="441">
          <cell r="C441">
            <v>9</v>
          </cell>
        </row>
        <row r="441">
          <cell r="E441">
            <v>504</v>
          </cell>
        </row>
        <row r="441">
          <cell r="AH441" t="str">
            <v>物理</v>
          </cell>
        </row>
        <row r="442">
          <cell r="C442">
            <v>9</v>
          </cell>
        </row>
        <row r="442">
          <cell r="E442">
            <v>484.5</v>
          </cell>
        </row>
        <row r="442">
          <cell r="AH442" t="str">
            <v>物理</v>
          </cell>
        </row>
        <row r="443">
          <cell r="C443">
            <v>9</v>
          </cell>
        </row>
        <row r="443">
          <cell r="E443">
            <v>516.5</v>
          </cell>
        </row>
        <row r="443">
          <cell r="AH443" t="str">
            <v>物理</v>
          </cell>
        </row>
        <row r="444">
          <cell r="C444">
            <v>9</v>
          </cell>
        </row>
        <row r="444">
          <cell r="E444">
            <v>422</v>
          </cell>
        </row>
        <row r="444">
          <cell r="AH444" t="str">
            <v>物理</v>
          </cell>
        </row>
        <row r="445">
          <cell r="C445">
            <v>9</v>
          </cell>
        </row>
        <row r="445">
          <cell r="E445">
            <v>448</v>
          </cell>
        </row>
        <row r="445">
          <cell r="AH445" t="str">
            <v>物理</v>
          </cell>
        </row>
        <row r="446">
          <cell r="C446">
            <v>9</v>
          </cell>
        </row>
        <row r="446">
          <cell r="E446">
            <v>460.75</v>
          </cell>
        </row>
        <row r="446">
          <cell r="AH446" t="str">
            <v>物理</v>
          </cell>
        </row>
        <row r="447">
          <cell r="C447">
            <v>9</v>
          </cell>
        </row>
        <row r="447">
          <cell r="E447">
            <v>418.5</v>
          </cell>
        </row>
        <row r="447">
          <cell r="AH447" t="str">
            <v>物理</v>
          </cell>
        </row>
        <row r="448">
          <cell r="C448">
            <v>9</v>
          </cell>
        </row>
        <row r="448">
          <cell r="E448">
            <v>488</v>
          </cell>
        </row>
        <row r="448">
          <cell r="AH448" t="str">
            <v>物理</v>
          </cell>
        </row>
        <row r="449">
          <cell r="C449">
            <v>9</v>
          </cell>
        </row>
        <row r="449">
          <cell r="E449">
            <v>422.5</v>
          </cell>
        </row>
        <row r="449">
          <cell r="AH449" t="str">
            <v>物理</v>
          </cell>
        </row>
        <row r="450">
          <cell r="C450">
            <v>9</v>
          </cell>
        </row>
        <row r="450">
          <cell r="E450">
            <v>419</v>
          </cell>
        </row>
        <row r="450">
          <cell r="AH450" t="str">
            <v>物理</v>
          </cell>
        </row>
        <row r="451">
          <cell r="AH451" t="str">
            <v>物理</v>
          </cell>
        </row>
        <row r="452">
          <cell r="C452">
            <v>9</v>
          </cell>
        </row>
        <row r="452">
          <cell r="E452">
            <v>466.5</v>
          </cell>
        </row>
        <row r="452">
          <cell r="AH452" t="str">
            <v>物理</v>
          </cell>
        </row>
        <row r="453">
          <cell r="C453">
            <v>9</v>
          </cell>
        </row>
        <row r="453">
          <cell r="E453">
            <v>420</v>
          </cell>
        </row>
        <row r="453">
          <cell r="AH453" t="str">
            <v>物理</v>
          </cell>
        </row>
        <row r="454">
          <cell r="C454">
            <v>9</v>
          </cell>
        </row>
        <row r="454">
          <cell r="E454">
            <v>513</v>
          </cell>
        </row>
        <row r="454">
          <cell r="AH454" t="str">
            <v>物理</v>
          </cell>
        </row>
        <row r="455">
          <cell r="C455">
            <v>9</v>
          </cell>
        </row>
        <row r="455">
          <cell r="E455">
            <v>442.5</v>
          </cell>
        </row>
        <row r="455">
          <cell r="AH455" t="str">
            <v>物理</v>
          </cell>
        </row>
        <row r="456">
          <cell r="C456">
            <v>9</v>
          </cell>
        </row>
        <row r="456">
          <cell r="E456">
            <v>455</v>
          </cell>
        </row>
        <row r="456">
          <cell r="AH456" t="str">
            <v>物理</v>
          </cell>
        </row>
        <row r="457">
          <cell r="C457">
            <v>9</v>
          </cell>
        </row>
        <row r="457">
          <cell r="E457">
            <v>433</v>
          </cell>
        </row>
        <row r="457">
          <cell r="AH457" t="str">
            <v>物理</v>
          </cell>
        </row>
        <row r="458">
          <cell r="C458">
            <v>9</v>
          </cell>
        </row>
        <row r="458">
          <cell r="E458">
            <v>447</v>
          </cell>
        </row>
        <row r="458">
          <cell r="AH458" t="str">
            <v>物理</v>
          </cell>
        </row>
        <row r="459">
          <cell r="C459">
            <v>9</v>
          </cell>
        </row>
        <row r="459">
          <cell r="E459">
            <v>435</v>
          </cell>
        </row>
        <row r="459">
          <cell r="AH459" t="str">
            <v>物理</v>
          </cell>
        </row>
        <row r="460">
          <cell r="C460">
            <v>9</v>
          </cell>
        </row>
        <row r="460">
          <cell r="E460">
            <v>453.25</v>
          </cell>
        </row>
        <row r="460">
          <cell r="AH460" t="str">
            <v>物理</v>
          </cell>
        </row>
        <row r="461">
          <cell r="C461">
            <v>9</v>
          </cell>
        </row>
        <row r="461">
          <cell r="E461">
            <v>490</v>
          </cell>
        </row>
        <row r="461">
          <cell r="AH461" t="str">
            <v>物理</v>
          </cell>
        </row>
        <row r="462">
          <cell r="C462">
            <v>9</v>
          </cell>
        </row>
        <row r="462">
          <cell r="E462">
            <v>414.5</v>
          </cell>
        </row>
        <row r="462">
          <cell r="AH462" t="str">
            <v>物理</v>
          </cell>
        </row>
        <row r="463">
          <cell r="AH463" t="str">
            <v>物理</v>
          </cell>
        </row>
        <row r="464">
          <cell r="C464">
            <v>9</v>
          </cell>
        </row>
        <row r="464">
          <cell r="E464">
            <v>391</v>
          </cell>
        </row>
        <row r="464">
          <cell r="AH464" t="str">
            <v>物理</v>
          </cell>
        </row>
        <row r="465">
          <cell r="C465">
            <v>9</v>
          </cell>
        </row>
        <row r="465">
          <cell r="E465">
            <v>452</v>
          </cell>
        </row>
        <row r="465">
          <cell r="AH465" t="str">
            <v>物理</v>
          </cell>
        </row>
        <row r="466">
          <cell r="C466">
            <v>9</v>
          </cell>
        </row>
        <row r="466">
          <cell r="E466">
            <v>488</v>
          </cell>
        </row>
        <row r="466">
          <cell r="AH466" t="str">
            <v>物理</v>
          </cell>
        </row>
        <row r="467">
          <cell r="C467">
            <v>9</v>
          </cell>
        </row>
        <row r="467">
          <cell r="E467">
            <v>578.75</v>
          </cell>
        </row>
        <row r="467">
          <cell r="AH467" t="str">
            <v>物理</v>
          </cell>
        </row>
        <row r="468">
          <cell r="C468">
            <v>10</v>
          </cell>
        </row>
        <row r="468">
          <cell r="E468">
            <v>516</v>
          </cell>
        </row>
        <row r="468">
          <cell r="AH468" t="str">
            <v>物理</v>
          </cell>
        </row>
        <row r="469">
          <cell r="C469">
            <v>10</v>
          </cell>
        </row>
        <row r="469">
          <cell r="E469">
            <v>463.75</v>
          </cell>
        </row>
        <row r="469">
          <cell r="AH469" t="str">
            <v>物理</v>
          </cell>
        </row>
        <row r="470">
          <cell r="C470">
            <v>10</v>
          </cell>
        </row>
        <row r="470">
          <cell r="E470">
            <v>509.5</v>
          </cell>
        </row>
        <row r="470">
          <cell r="AH470" t="str">
            <v>物理</v>
          </cell>
        </row>
        <row r="471">
          <cell r="C471">
            <v>10</v>
          </cell>
        </row>
        <row r="471">
          <cell r="E471">
            <v>526.5</v>
          </cell>
        </row>
        <row r="471">
          <cell r="AH471" t="str">
            <v>物理</v>
          </cell>
        </row>
        <row r="472">
          <cell r="C472">
            <v>10</v>
          </cell>
        </row>
        <row r="472">
          <cell r="E472">
            <v>439</v>
          </cell>
        </row>
        <row r="472">
          <cell r="AH472" t="str">
            <v>物理</v>
          </cell>
        </row>
        <row r="473">
          <cell r="C473">
            <v>10</v>
          </cell>
        </row>
        <row r="473">
          <cell r="E473">
            <v>481</v>
          </cell>
        </row>
        <row r="473">
          <cell r="AH473" t="str">
            <v>物理</v>
          </cell>
        </row>
        <row r="474">
          <cell r="C474">
            <v>10</v>
          </cell>
        </row>
        <row r="474">
          <cell r="E474">
            <v>504.5</v>
          </cell>
        </row>
        <row r="474">
          <cell r="AH474" t="str">
            <v>物理</v>
          </cell>
        </row>
        <row r="475">
          <cell r="C475">
            <v>10</v>
          </cell>
        </row>
        <row r="475">
          <cell r="E475">
            <v>469</v>
          </cell>
        </row>
        <row r="475">
          <cell r="AH475" t="str">
            <v>物理</v>
          </cell>
        </row>
        <row r="476">
          <cell r="C476">
            <v>10</v>
          </cell>
        </row>
        <row r="476">
          <cell r="E476">
            <v>480</v>
          </cell>
        </row>
        <row r="476">
          <cell r="AH476" t="str">
            <v>物理</v>
          </cell>
        </row>
        <row r="477">
          <cell r="C477">
            <v>10</v>
          </cell>
        </row>
        <row r="477">
          <cell r="E477">
            <v>470.5</v>
          </cell>
        </row>
        <row r="477">
          <cell r="AH477" t="str">
            <v>物理</v>
          </cell>
        </row>
        <row r="478">
          <cell r="C478">
            <v>10</v>
          </cell>
        </row>
        <row r="478">
          <cell r="E478">
            <v>526.5</v>
          </cell>
        </row>
        <row r="478">
          <cell r="AH478" t="str">
            <v>物理</v>
          </cell>
        </row>
        <row r="479">
          <cell r="C479">
            <v>10</v>
          </cell>
        </row>
        <row r="479">
          <cell r="E479">
            <v>492.5</v>
          </cell>
        </row>
        <row r="479">
          <cell r="AH479" t="str">
            <v>物理</v>
          </cell>
        </row>
        <row r="480">
          <cell r="C480">
            <v>10</v>
          </cell>
        </row>
        <row r="480">
          <cell r="E480">
            <v>404.5</v>
          </cell>
        </row>
        <row r="480">
          <cell r="AH480" t="str">
            <v>物理</v>
          </cell>
        </row>
        <row r="481">
          <cell r="C481">
            <v>10</v>
          </cell>
        </row>
        <row r="481">
          <cell r="E481">
            <v>469.5</v>
          </cell>
        </row>
        <row r="481">
          <cell r="AH481" t="str">
            <v>物理</v>
          </cell>
        </row>
        <row r="482">
          <cell r="C482">
            <v>10</v>
          </cell>
        </row>
        <row r="482">
          <cell r="E482">
            <v>467</v>
          </cell>
        </row>
        <row r="482">
          <cell r="AH482" t="str">
            <v>物理</v>
          </cell>
        </row>
        <row r="483">
          <cell r="C483">
            <v>10</v>
          </cell>
        </row>
        <row r="483">
          <cell r="E483">
            <v>459.5</v>
          </cell>
        </row>
        <row r="483">
          <cell r="AH483" t="str">
            <v>物理</v>
          </cell>
        </row>
        <row r="484">
          <cell r="C484">
            <v>10</v>
          </cell>
        </row>
        <row r="484">
          <cell r="E484">
            <v>476</v>
          </cell>
        </row>
        <row r="484">
          <cell r="AH484" t="str">
            <v>物理</v>
          </cell>
        </row>
        <row r="485">
          <cell r="C485">
            <v>10</v>
          </cell>
        </row>
        <row r="485">
          <cell r="E485">
            <v>469.25</v>
          </cell>
        </row>
        <row r="485">
          <cell r="AH485" t="str">
            <v>物理</v>
          </cell>
        </row>
        <row r="486">
          <cell r="C486">
            <v>10</v>
          </cell>
        </row>
        <row r="486">
          <cell r="E486">
            <v>429.5</v>
          </cell>
        </row>
        <row r="486">
          <cell r="AH486" t="str">
            <v>物理</v>
          </cell>
        </row>
        <row r="487">
          <cell r="C487">
            <v>10</v>
          </cell>
        </row>
        <row r="487">
          <cell r="E487">
            <v>346</v>
          </cell>
        </row>
        <row r="487">
          <cell r="AH487" t="str">
            <v>物理</v>
          </cell>
        </row>
        <row r="488">
          <cell r="C488">
            <v>10</v>
          </cell>
        </row>
        <row r="488">
          <cell r="E488">
            <v>443.5</v>
          </cell>
        </row>
        <row r="488">
          <cell r="AH488" t="str">
            <v>物理</v>
          </cell>
        </row>
        <row r="489">
          <cell r="C489">
            <v>10</v>
          </cell>
        </row>
        <row r="489">
          <cell r="E489">
            <v>408.5</v>
          </cell>
        </row>
        <row r="489">
          <cell r="AH489" t="str">
            <v>物理</v>
          </cell>
        </row>
        <row r="490">
          <cell r="C490">
            <v>10</v>
          </cell>
        </row>
        <row r="490">
          <cell r="E490">
            <v>452</v>
          </cell>
        </row>
        <row r="490">
          <cell r="AH490" t="str">
            <v>物理</v>
          </cell>
        </row>
        <row r="491">
          <cell r="C491">
            <v>10</v>
          </cell>
        </row>
        <row r="491">
          <cell r="E491">
            <v>405.5</v>
          </cell>
        </row>
        <row r="491">
          <cell r="AH491" t="str">
            <v>物理</v>
          </cell>
        </row>
        <row r="492">
          <cell r="C492">
            <v>10</v>
          </cell>
        </row>
        <row r="492">
          <cell r="E492">
            <v>485.5</v>
          </cell>
        </row>
        <row r="492">
          <cell r="AH492" t="str">
            <v>物理</v>
          </cell>
        </row>
        <row r="493">
          <cell r="C493">
            <v>10</v>
          </cell>
        </row>
        <row r="493">
          <cell r="E493">
            <v>410.75</v>
          </cell>
        </row>
        <row r="493">
          <cell r="AH493" t="str">
            <v>物理</v>
          </cell>
        </row>
        <row r="494">
          <cell r="C494">
            <v>10</v>
          </cell>
        </row>
        <row r="494">
          <cell r="E494">
            <v>392</v>
          </cell>
        </row>
        <row r="494">
          <cell r="AH494" t="str">
            <v>物理</v>
          </cell>
        </row>
        <row r="495">
          <cell r="C495">
            <v>10</v>
          </cell>
        </row>
        <row r="495">
          <cell r="E495">
            <v>428</v>
          </cell>
        </row>
        <row r="495">
          <cell r="AH495" t="str">
            <v>物理</v>
          </cell>
        </row>
        <row r="496">
          <cell r="C496">
            <v>10</v>
          </cell>
        </row>
        <row r="496">
          <cell r="E496">
            <v>448</v>
          </cell>
        </row>
        <row r="496">
          <cell r="AH496" t="str">
            <v>物理</v>
          </cell>
        </row>
        <row r="497">
          <cell r="C497">
            <v>10</v>
          </cell>
        </row>
        <row r="497">
          <cell r="E497">
            <v>407</v>
          </cell>
        </row>
        <row r="497">
          <cell r="AH497" t="str">
            <v>物理</v>
          </cell>
        </row>
        <row r="498">
          <cell r="C498">
            <v>10</v>
          </cell>
        </row>
        <row r="498">
          <cell r="E498">
            <v>378</v>
          </cell>
        </row>
        <row r="498">
          <cell r="AH498" t="str">
            <v>物理</v>
          </cell>
        </row>
        <row r="499">
          <cell r="C499">
            <v>10</v>
          </cell>
        </row>
        <row r="499">
          <cell r="E499">
            <v>445.25</v>
          </cell>
        </row>
        <row r="499">
          <cell r="AH499" t="str">
            <v>物理</v>
          </cell>
        </row>
        <row r="500">
          <cell r="C500">
            <v>10</v>
          </cell>
        </row>
        <row r="500">
          <cell r="E500">
            <v>426</v>
          </cell>
        </row>
        <row r="500">
          <cell r="AH500" t="str">
            <v>物理</v>
          </cell>
        </row>
        <row r="501">
          <cell r="C501">
            <v>10</v>
          </cell>
        </row>
        <row r="501">
          <cell r="E501">
            <v>540</v>
          </cell>
        </row>
        <row r="501">
          <cell r="AH501" t="str">
            <v>物理</v>
          </cell>
        </row>
        <row r="502">
          <cell r="C502">
            <v>10</v>
          </cell>
        </row>
        <row r="502">
          <cell r="E502">
            <v>480</v>
          </cell>
        </row>
        <row r="502">
          <cell r="AH502" t="str">
            <v>物理</v>
          </cell>
        </row>
        <row r="503">
          <cell r="C503">
            <v>11</v>
          </cell>
        </row>
        <row r="503">
          <cell r="E503">
            <v>542.5</v>
          </cell>
        </row>
        <row r="503">
          <cell r="AH503" t="str">
            <v>物理</v>
          </cell>
        </row>
        <row r="504">
          <cell r="C504">
            <v>11</v>
          </cell>
        </row>
        <row r="504">
          <cell r="E504">
            <v>509.5</v>
          </cell>
        </row>
        <row r="504">
          <cell r="AH504" t="str">
            <v>物理</v>
          </cell>
        </row>
        <row r="505">
          <cell r="C505">
            <v>11</v>
          </cell>
        </row>
        <row r="505">
          <cell r="E505">
            <v>498</v>
          </cell>
        </row>
        <row r="505">
          <cell r="AH505" t="str">
            <v>物理</v>
          </cell>
        </row>
        <row r="506">
          <cell r="C506">
            <v>11</v>
          </cell>
        </row>
        <row r="506">
          <cell r="E506">
            <v>585.5</v>
          </cell>
        </row>
        <row r="506">
          <cell r="AH506" t="str">
            <v>物理</v>
          </cell>
        </row>
        <row r="507">
          <cell r="C507">
            <v>11</v>
          </cell>
        </row>
        <row r="507">
          <cell r="E507">
            <v>548.5</v>
          </cell>
        </row>
        <row r="507">
          <cell r="AH507" t="str">
            <v>物理</v>
          </cell>
        </row>
        <row r="508">
          <cell r="C508">
            <v>11</v>
          </cell>
        </row>
        <row r="508">
          <cell r="E508">
            <v>545.5</v>
          </cell>
        </row>
        <row r="508">
          <cell r="AH508" t="str">
            <v>物理</v>
          </cell>
        </row>
        <row r="509">
          <cell r="C509">
            <v>11</v>
          </cell>
        </row>
        <row r="509">
          <cell r="E509">
            <v>478</v>
          </cell>
        </row>
        <row r="509">
          <cell r="AH509" t="str">
            <v>物理</v>
          </cell>
        </row>
        <row r="510">
          <cell r="C510">
            <v>11</v>
          </cell>
        </row>
        <row r="510">
          <cell r="E510">
            <v>517.5</v>
          </cell>
        </row>
        <row r="510">
          <cell r="AH510" t="str">
            <v>物理</v>
          </cell>
        </row>
        <row r="511">
          <cell r="C511">
            <v>11</v>
          </cell>
        </row>
        <row r="511">
          <cell r="E511">
            <v>521</v>
          </cell>
        </row>
        <row r="511">
          <cell r="AH511" t="str">
            <v>物理</v>
          </cell>
        </row>
        <row r="512">
          <cell r="C512">
            <v>11</v>
          </cell>
        </row>
        <row r="512">
          <cell r="E512">
            <v>471</v>
          </cell>
        </row>
        <row r="512">
          <cell r="AH512" t="str">
            <v>物理</v>
          </cell>
        </row>
        <row r="513">
          <cell r="C513">
            <v>11</v>
          </cell>
        </row>
        <row r="513">
          <cell r="E513">
            <v>495</v>
          </cell>
        </row>
        <row r="513">
          <cell r="AH513" t="str">
            <v>物理</v>
          </cell>
        </row>
        <row r="514">
          <cell r="C514">
            <v>11</v>
          </cell>
        </row>
        <row r="514">
          <cell r="E514">
            <v>459</v>
          </cell>
        </row>
        <row r="514">
          <cell r="AH514" t="str">
            <v>物理</v>
          </cell>
        </row>
        <row r="515">
          <cell r="C515">
            <v>11</v>
          </cell>
        </row>
        <row r="515">
          <cell r="E515">
            <v>485.5</v>
          </cell>
        </row>
        <row r="515">
          <cell r="AH515" t="str">
            <v>物理</v>
          </cell>
        </row>
        <row r="516">
          <cell r="C516">
            <v>11</v>
          </cell>
        </row>
        <row r="516">
          <cell r="E516">
            <v>491.5</v>
          </cell>
        </row>
        <row r="516">
          <cell r="AH516" t="str">
            <v>物理</v>
          </cell>
        </row>
        <row r="517">
          <cell r="C517">
            <v>11</v>
          </cell>
        </row>
        <row r="517">
          <cell r="E517">
            <v>481.25</v>
          </cell>
        </row>
        <row r="517">
          <cell r="AH517" t="str">
            <v>物理</v>
          </cell>
        </row>
        <row r="518">
          <cell r="C518">
            <v>11</v>
          </cell>
        </row>
        <row r="518">
          <cell r="E518">
            <v>494.75</v>
          </cell>
        </row>
        <row r="518">
          <cell r="AH518" t="str">
            <v>物理</v>
          </cell>
        </row>
        <row r="519">
          <cell r="C519">
            <v>11</v>
          </cell>
        </row>
        <row r="519">
          <cell r="E519">
            <v>517</v>
          </cell>
        </row>
        <row r="519">
          <cell r="AH519" t="str">
            <v>物理</v>
          </cell>
        </row>
        <row r="520">
          <cell r="C520">
            <v>11</v>
          </cell>
        </row>
        <row r="520">
          <cell r="E520">
            <v>448</v>
          </cell>
        </row>
        <row r="520">
          <cell r="AH520" t="str">
            <v>物理</v>
          </cell>
        </row>
        <row r="521">
          <cell r="C521">
            <v>11</v>
          </cell>
        </row>
        <row r="521">
          <cell r="E521">
            <v>502</v>
          </cell>
        </row>
        <row r="521">
          <cell r="AH521" t="str">
            <v>物理</v>
          </cell>
        </row>
        <row r="522">
          <cell r="C522">
            <v>11</v>
          </cell>
        </row>
        <row r="522">
          <cell r="E522">
            <v>560</v>
          </cell>
        </row>
        <row r="522">
          <cell r="AH522" t="str">
            <v>物理</v>
          </cell>
        </row>
        <row r="523">
          <cell r="C523">
            <v>11</v>
          </cell>
        </row>
        <row r="523">
          <cell r="E523">
            <v>444</v>
          </cell>
        </row>
        <row r="523">
          <cell r="AH523" t="str">
            <v>物理</v>
          </cell>
        </row>
        <row r="524">
          <cell r="C524">
            <v>11</v>
          </cell>
        </row>
        <row r="524">
          <cell r="E524">
            <v>429</v>
          </cell>
        </row>
        <row r="524">
          <cell r="AH524" t="str">
            <v>物理</v>
          </cell>
        </row>
        <row r="525">
          <cell r="C525">
            <v>11</v>
          </cell>
        </row>
        <row r="525">
          <cell r="E525">
            <v>488</v>
          </cell>
        </row>
        <row r="525">
          <cell r="AH525" t="str">
            <v>物理</v>
          </cell>
        </row>
        <row r="526">
          <cell r="C526">
            <v>11</v>
          </cell>
        </row>
        <row r="526">
          <cell r="E526">
            <v>468</v>
          </cell>
        </row>
        <row r="526">
          <cell r="AH526" t="str">
            <v>物理</v>
          </cell>
        </row>
        <row r="527">
          <cell r="C527">
            <v>11</v>
          </cell>
        </row>
        <row r="527">
          <cell r="E527">
            <v>559.5</v>
          </cell>
        </row>
        <row r="527">
          <cell r="AH527" t="str">
            <v>物理</v>
          </cell>
        </row>
        <row r="528">
          <cell r="C528">
            <v>11</v>
          </cell>
        </row>
        <row r="528">
          <cell r="E528">
            <v>446.5</v>
          </cell>
        </row>
        <row r="528">
          <cell r="AH528" t="str">
            <v>物理</v>
          </cell>
        </row>
        <row r="529">
          <cell r="C529">
            <v>11</v>
          </cell>
        </row>
        <row r="529">
          <cell r="E529">
            <v>487.5</v>
          </cell>
        </row>
        <row r="529">
          <cell r="AH529" t="str">
            <v>物理</v>
          </cell>
        </row>
        <row r="530">
          <cell r="C530">
            <v>11</v>
          </cell>
        </row>
        <row r="530">
          <cell r="E530">
            <v>464</v>
          </cell>
        </row>
        <row r="530">
          <cell r="AH530" t="str">
            <v>物理</v>
          </cell>
        </row>
        <row r="531">
          <cell r="C531">
            <v>11</v>
          </cell>
        </row>
        <row r="531">
          <cell r="E531">
            <v>453.5</v>
          </cell>
        </row>
        <row r="531">
          <cell r="AH531" t="str">
            <v>物理</v>
          </cell>
        </row>
        <row r="532">
          <cell r="C532">
            <v>11</v>
          </cell>
        </row>
        <row r="532">
          <cell r="E532">
            <v>526.5</v>
          </cell>
        </row>
        <row r="532">
          <cell r="AH532" t="str">
            <v>物理</v>
          </cell>
        </row>
        <row r="533">
          <cell r="C533">
            <v>11</v>
          </cell>
        </row>
        <row r="533">
          <cell r="E533">
            <v>430</v>
          </cell>
        </row>
        <row r="533">
          <cell r="AH533" t="str">
            <v>物理</v>
          </cell>
        </row>
        <row r="534">
          <cell r="C534">
            <v>11</v>
          </cell>
        </row>
        <row r="534">
          <cell r="E534">
            <v>486.25</v>
          </cell>
        </row>
        <row r="534">
          <cell r="AH534" t="str">
            <v>物理</v>
          </cell>
        </row>
        <row r="535">
          <cell r="C535">
            <v>11</v>
          </cell>
        </row>
        <row r="535">
          <cell r="E535">
            <v>440.5</v>
          </cell>
        </row>
        <row r="535">
          <cell r="AH535" t="str">
            <v>物理</v>
          </cell>
        </row>
        <row r="536">
          <cell r="C536">
            <v>11</v>
          </cell>
        </row>
        <row r="536">
          <cell r="E536">
            <v>497.5</v>
          </cell>
        </row>
        <row r="536">
          <cell r="AH536" t="str">
            <v>物理</v>
          </cell>
        </row>
        <row r="537">
          <cell r="C537">
            <v>11</v>
          </cell>
        </row>
        <row r="537">
          <cell r="E537">
            <v>498</v>
          </cell>
        </row>
        <row r="537">
          <cell r="AH537" t="str">
            <v>物理</v>
          </cell>
        </row>
        <row r="538">
          <cell r="C538">
            <v>11</v>
          </cell>
        </row>
        <row r="538">
          <cell r="E538">
            <v>460</v>
          </cell>
        </row>
        <row r="538">
          <cell r="AH538" t="str">
            <v>物理</v>
          </cell>
        </row>
        <row r="539">
          <cell r="C539">
            <v>11</v>
          </cell>
        </row>
        <row r="539">
          <cell r="E539">
            <v>420.5</v>
          </cell>
        </row>
        <row r="539">
          <cell r="AH539" t="str">
            <v>物理</v>
          </cell>
        </row>
        <row r="540">
          <cell r="C540">
            <v>11</v>
          </cell>
        </row>
        <row r="540">
          <cell r="E540">
            <v>455.25</v>
          </cell>
        </row>
        <row r="540">
          <cell r="AH540" t="str">
            <v>物理</v>
          </cell>
        </row>
        <row r="541">
          <cell r="C541">
            <v>11</v>
          </cell>
        </row>
        <row r="541">
          <cell r="E541">
            <v>396.25</v>
          </cell>
        </row>
        <row r="541">
          <cell r="AH541" t="str">
            <v>物理</v>
          </cell>
        </row>
        <row r="542">
          <cell r="C542">
            <v>11</v>
          </cell>
        </row>
        <row r="542">
          <cell r="E542">
            <v>537</v>
          </cell>
        </row>
        <row r="542">
          <cell r="AH542" t="str">
            <v>物理</v>
          </cell>
        </row>
        <row r="543">
          <cell r="C543">
            <v>11</v>
          </cell>
        </row>
        <row r="543">
          <cell r="E543">
            <v>472</v>
          </cell>
        </row>
        <row r="543">
          <cell r="AH543" t="str">
            <v>物理</v>
          </cell>
        </row>
        <row r="544">
          <cell r="C544">
            <v>11</v>
          </cell>
        </row>
        <row r="544">
          <cell r="E544">
            <v>425.25</v>
          </cell>
        </row>
        <row r="544">
          <cell r="AH544" t="str">
            <v>物理</v>
          </cell>
        </row>
        <row r="545">
          <cell r="C545">
            <v>11</v>
          </cell>
        </row>
        <row r="545">
          <cell r="E545">
            <v>469.5</v>
          </cell>
        </row>
        <row r="545">
          <cell r="AH545" t="str">
            <v>物理</v>
          </cell>
        </row>
        <row r="546">
          <cell r="C546">
            <v>11</v>
          </cell>
        </row>
        <row r="546">
          <cell r="E546">
            <v>445.5</v>
          </cell>
        </row>
        <row r="546">
          <cell r="AH546" t="str">
            <v>物理</v>
          </cell>
        </row>
        <row r="547">
          <cell r="C547">
            <v>11</v>
          </cell>
        </row>
        <row r="547">
          <cell r="E547">
            <v>432</v>
          </cell>
        </row>
        <row r="547">
          <cell r="AH547" t="str">
            <v>物理</v>
          </cell>
        </row>
        <row r="548">
          <cell r="C548">
            <v>11</v>
          </cell>
        </row>
        <row r="548">
          <cell r="E548">
            <v>463.75</v>
          </cell>
        </row>
        <row r="548">
          <cell r="AH548" t="str">
            <v>物理</v>
          </cell>
        </row>
        <row r="549">
          <cell r="C549">
            <v>11</v>
          </cell>
        </row>
        <row r="549">
          <cell r="E549">
            <v>421.5</v>
          </cell>
        </row>
        <row r="549">
          <cell r="AH549" t="str">
            <v>物理</v>
          </cell>
        </row>
        <row r="550">
          <cell r="C550">
            <v>12</v>
          </cell>
        </row>
        <row r="550">
          <cell r="E550">
            <v>567.5</v>
          </cell>
        </row>
        <row r="550">
          <cell r="AH550" t="str">
            <v>物理</v>
          </cell>
        </row>
        <row r="551">
          <cell r="C551">
            <v>12</v>
          </cell>
        </row>
        <row r="551">
          <cell r="E551">
            <v>451</v>
          </cell>
        </row>
        <row r="551">
          <cell r="AH551" t="str">
            <v>物理</v>
          </cell>
        </row>
        <row r="552">
          <cell r="C552">
            <v>12</v>
          </cell>
        </row>
        <row r="552">
          <cell r="E552">
            <v>535.5</v>
          </cell>
        </row>
        <row r="552">
          <cell r="AH552" t="str">
            <v>物理</v>
          </cell>
        </row>
        <row r="553">
          <cell r="C553">
            <v>12</v>
          </cell>
        </row>
        <row r="553">
          <cell r="E553">
            <v>538</v>
          </cell>
        </row>
        <row r="553">
          <cell r="AH553" t="str">
            <v>物理</v>
          </cell>
        </row>
        <row r="554">
          <cell r="C554">
            <v>12</v>
          </cell>
        </row>
        <row r="554">
          <cell r="E554">
            <v>504</v>
          </cell>
        </row>
        <row r="554">
          <cell r="AH554" t="str">
            <v>物理</v>
          </cell>
        </row>
        <row r="555">
          <cell r="C555">
            <v>12</v>
          </cell>
        </row>
        <row r="555">
          <cell r="E555">
            <v>560.5</v>
          </cell>
        </row>
        <row r="555">
          <cell r="AH555" t="str">
            <v>物理</v>
          </cell>
        </row>
        <row r="556">
          <cell r="C556">
            <v>12</v>
          </cell>
        </row>
        <row r="556">
          <cell r="E556">
            <v>489</v>
          </cell>
        </row>
        <row r="556">
          <cell r="AH556" t="str">
            <v>物理</v>
          </cell>
        </row>
        <row r="557">
          <cell r="C557">
            <v>12</v>
          </cell>
        </row>
        <row r="557">
          <cell r="E557">
            <v>482</v>
          </cell>
        </row>
        <row r="557">
          <cell r="AH557" t="str">
            <v>物理</v>
          </cell>
        </row>
        <row r="558">
          <cell r="C558">
            <v>12</v>
          </cell>
        </row>
        <row r="558">
          <cell r="E558">
            <v>517.5</v>
          </cell>
        </row>
        <row r="558">
          <cell r="AH558" t="str">
            <v>物理</v>
          </cell>
        </row>
        <row r="559">
          <cell r="C559">
            <v>12</v>
          </cell>
        </row>
        <row r="559">
          <cell r="E559">
            <v>529</v>
          </cell>
        </row>
        <row r="559">
          <cell r="AH559" t="str">
            <v>物理</v>
          </cell>
        </row>
        <row r="560">
          <cell r="C560">
            <v>12</v>
          </cell>
        </row>
        <row r="560">
          <cell r="E560">
            <v>366</v>
          </cell>
        </row>
        <row r="560">
          <cell r="AH560" t="str">
            <v>物理</v>
          </cell>
        </row>
        <row r="561">
          <cell r="C561">
            <v>12</v>
          </cell>
        </row>
        <row r="561">
          <cell r="E561">
            <v>516.75</v>
          </cell>
        </row>
        <row r="561">
          <cell r="AH561" t="str">
            <v>物理</v>
          </cell>
        </row>
        <row r="562">
          <cell r="C562">
            <v>12</v>
          </cell>
        </row>
        <row r="562">
          <cell r="E562">
            <v>501</v>
          </cell>
        </row>
        <row r="562">
          <cell r="AH562" t="str">
            <v>物理</v>
          </cell>
        </row>
        <row r="563">
          <cell r="C563">
            <v>12</v>
          </cell>
        </row>
        <row r="563">
          <cell r="E563">
            <v>474.75</v>
          </cell>
        </row>
        <row r="563">
          <cell r="AH563" t="str">
            <v>物理</v>
          </cell>
        </row>
        <row r="564">
          <cell r="C564">
            <v>12</v>
          </cell>
        </row>
        <row r="564">
          <cell r="E564">
            <v>502.5</v>
          </cell>
        </row>
        <row r="564">
          <cell r="AH564" t="str">
            <v>物理</v>
          </cell>
        </row>
        <row r="565">
          <cell r="C565">
            <v>12</v>
          </cell>
        </row>
        <row r="565">
          <cell r="E565">
            <v>494.25</v>
          </cell>
        </row>
        <row r="565">
          <cell r="AH565" t="str">
            <v>物理</v>
          </cell>
        </row>
        <row r="566">
          <cell r="C566">
            <v>12</v>
          </cell>
        </row>
        <row r="566">
          <cell r="E566">
            <v>480</v>
          </cell>
        </row>
        <row r="566">
          <cell r="AH566" t="str">
            <v>物理</v>
          </cell>
        </row>
        <row r="567">
          <cell r="C567">
            <v>12</v>
          </cell>
        </row>
        <row r="567">
          <cell r="E567">
            <v>508</v>
          </cell>
        </row>
        <row r="567">
          <cell r="AH567" t="str">
            <v>物理</v>
          </cell>
        </row>
        <row r="568">
          <cell r="C568">
            <v>12</v>
          </cell>
        </row>
        <row r="568">
          <cell r="E568">
            <v>531.75</v>
          </cell>
        </row>
        <row r="568">
          <cell r="AH568" t="str">
            <v>物理</v>
          </cell>
        </row>
        <row r="569">
          <cell r="C569">
            <v>12</v>
          </cell>
        </row>
        <row r="569">
          <cell r="E569">
            <v>444.5</v>
          </cell>
        </row>
        <row r="569">
          <cell r="AH569" t="str">
            <v>物理</v>
          </cell>
        </row>
        <row r="570">
          <cell r="C570">
            <v>12</v>
          </cell>
        </row>
        <row r="570">
          <cell r="E570">
            <v>490.25</v>
          </cell>
        </row>
        <row r="570">
          <cell r="AH570" t="str">
            <v>物理</v>
          </cell>
        </row>
        <row r="571">
          <cell r="C571">
            <v>12</v>
          </cell>
        </row>
        <row r="571">
          <cell r="E571">
            <v>437.75</v>
          </cell>
        </row>
        <row r="571">
          <cell r="AH571" t="str">
            <v>物理</v>
          </cell>
        </row>
        <row r="572">
          <cell r="C572">
            <v>12</v>
          </cell>
        </row>
        <row r="572">
          <cell r="E572">
            <v>455</v>
          </cell>
        </row>
        <row r="572">
          <cell r="AH572" t="str">
            <v>物理</v>
          </cell>
        </row>
        <row r="573">
          <cell r="C573">
            <v>12</v>
          </cell>
        </row>
        <row r="573">
          <cell r="E573">
            <v>541.5</v>
          </cell>
        </row>
        <row r="573">
          <cell r="AH573" t="str">
            <v>物理</v>
          </cell>
        </row>
        <row r="574">
          <cell r="C574">
            <v>12</v>
          </cell>
        </row>
        <row r="574">
          <cell r="E574">
            <v>471</v>
          </cell>
        </row>
        <row r="574">
          <cell r="AH574" t="str">
            <v>物理</v>
          </cell>
        </row>
        <row r="575">
          <cell r="C575">
            <v>12</v>
          </cell>
        </row>
        <row r="575">
          <cell r="E575">
            <v>494.75</v>
          </cell>
        </row>
        <row r="575">
          <cell r="AH575" t="str">
            <v>物理</v>
          </cell>
        </row>
        <row r="576">
          <cell r="C576">
            <v>12</v>
          </cell>
        </row>
        <row r="576">
          <cell r="E576">
            <v>472.5</v>
          </cell>
        </row>
        <row r="576">
          <cell r="AH576" t="str">
            <v>物理</v>
          </cell>
        </row>
        <row r="577">
          <cell r="C577">
            <v>12</v>
          </cell>
        </row>
        <row r="577">
          <cell r="E577">
            <v>491.5</v>
          </cell>
        </row>
        <row r="577">
          <cell r="AH577" t="str">
            <v>物理</v>
          </cell>
        </row>
        <row r="578">
          <cell r="C578">
            <v>12</v>
          </cell>
        </row>
        <row r="578">
          <cell r="E578">
            <v>467.5</v>
          </cell>
        </row>
        <row r="578">
          <cell r="AH578" t="str">
            <v>物理</v>
          </cell>
        </row>
        <row r="579">
          <cell r="C579">
            <v>12</v>
          </cell>
        </row>
        <row r="579">
          <cell r="E579">
            <v>398</v>
          </cell>
        </row>
        <row r="579">
          <cell r="AH579" t="str">
            <v>物理</v>
          </cell>
        </row>
        <row r="580">
          <cell r="C580">
            <v>12</v>
          </cell>
        </row>
        <row r="580">
          <cell r="E580">
            <v>505.25</v>
          </cell>
        </row>
        <row r="580">
          <cell r="AH580" t="str">
            <v>物理</v>
          </cell>
        </row>
        <row r="581">
          <cell r="C581">
            <v>12</v>
          </cell>
        </row>
        <row r="581">
          <cell r="E581">
            <v>511.75</v>
          </cell>
        </row>
        <row r="581">
          <cell r="AH581" t="str">
            <v>物理</v>
          </cell>
        </row>
        <row r="582">
          <cell r="C582">
            <v>12</v>
          </cell>
        </row>
        <row r="582">
          <cell r="E582">
            <v>453.75</v>
          </cell>
        </row>
        <row r="582">
          <cell r="AH582" t="str">
            <v>物理</v>
          </cell>
        </row>
        <row r="583">
          <cell r="C583">
            <v>12</v>
          </cell>
        </row>
        <row r="583">
          <cell r="E583">
            <v>503</v>
          </cell>
        </row>
        <row r="583">
          <cell r="AH583" t="str">
            <v>物理</v>
          </cell>
        </row>
        <row r="584">
          <cell r="C584">
            <v>12</v>
          </cell>
        </row>
        <row r="584">
          <cell r="E584">
            <v>487</v>
          </cell>
        </row>
        <row r="584">
          <cell r="AH584" t="str">
            <v>物理</v>
          </cell>
        </row>
        <row r="585">
          <cell r="C585">
            <v>12</v>
          </cell>
        </row>
        <row r="585">
          <cell r="E585">
            <v>467.5</v>
          </cell>
        </row>
        <row r="585">
          <cell r="AH585" t="str">
            <v>物理</v>
          </cell>
        </row>
        <row r="586">
          <cell r="C586">
            <v>12</v>
          </cell>
        </row>
        <row r="586">
          <cell r="E586">
            <v>495</v>
          </cell>
        </row>
        <row r="586">
          <cell r="AH586" t="str">
            <v>物理</v>
          </cell>
        </row>
        <row r="587">
          <cell r="C587">
            <v>12</v>
          </cell>
        </row>
        <row r="587">
          <cell r="E587">
            <v>501.5</v>
          </cell>
        </row>
        <row r="587">
          <cell r="AH587" t="str">
            <v>物理</v>
          </cell>
        </row>
        <row r="588">
          <cell r="C588">
            <v>12</v>
          </cell>
        </row>
        <row r="588">
          <cell r="E588">
            <v>464</v>
          </cell>
        </row>
        <row r="588">
          <cell r="AH588" t="str">
            <v>物理</v>
          </cell>
        </row>
        <row r="589">
          <cell r="C589">
            <v>12</v>
          </cell>
        </row>
        <row r="589">
          <cell r="E589">
            <v>326</v>
          </cell>
        </row>
        <row r="589">
          <cell r="AH589" t="str">
            <v>物理</v>
          </cell>
        </row>
        <row r="590">
          <cell r="C590">
            <v>12</v>
          </cell>
        </row>
        <row r="590">
          <cell r="E590">
            <v>478</v>
          </cell>
        </row>
        <row r="590">
          <cell r="AH590" t="str">
            <v>物理</v>
          </cell>
        </row>
        <row r="591">
          <cell r="C591">
            <v>12</v>
          </cell>
        </row>
        <row r="591">
          <cell r="E591">
            <v>451.25</v>
          </cell>
        </row>
        <row r="591">
          <cell r="AH591" t="str">
            <v>物理</v>
          </cell>
        </row>
        <row r="592">
          <cell r="C592">
            <v>12</v>
          </cell>
        </row>
        <row r="592">
          <cell r="E592">
            <v>457.75</v>
          </cell>
        </row>
        <row r="592">
          <cell r="AH592" t="str">
            <v>物理</v>
          </cell>
        </row>
        <row r="593">
          <cell r="C593">
            <v>12</v>
          </cell>
        </row>
        <row r="593">
          <cell r="E593">
            <v>503.5</v>
          </cell>
        </row>
        <row r="593">
          <cell r="AH593" t="str">
            <v>物理</v>
          </cell>
        </row>
        <row r="594">
          <cell r="C594">
            <v>12</v>
          </cell>
        </row>
        <row r="594">
          <cell r="E594">
            <v>481.5</v>
          </cell>
        </row>
        <row r="594">
          <cell r="AH594" t="str">
            <v>物理</v>
          </cell>
        </row>
        <row r="595">
          <cell r="C595">
            <v>12</v>
          </cell>
        </row>
        <row r="595">
          <cell r="E595">
            <v>377.5</v>
          </cell>
        </row>
        <row r="595">
          <cell r="AH595" t="str">
            <v>物理</v>
          </cell>
        </row>
        <row r="596">
          <cell r="C596">
            <v>12</v>
          </cell>
        </row>
        <row r="596">
          <cell r="E596">
            <v>492</v>
          </cell>
        </row>
        <row r="596">
          <cell r="AH596" t="str">
            <v>物理</v>
          </cell>
        </row>
        <row r="597">
          <cell r="C597">
            <v>13</v>
          </cell>
        </row>
        <row r="597">
          <cell r="E597">
            <v>542.5</v>
          </cell>
        </row>
        <row r="597">
          <cell r="AH597" t="str">
            <v>物理</v>
          </cell>
        </row>
        <row r="598">
          <cell r="C598">
            <v>13</v>
          </cell>
        </row>
        <row r="598">
          <cell r="E598">
            <v>536.5</v>
          </cell>
        </row>
        <row r="598">
          <cell r="AH598" t="str">
            <v>物理</v>
          </cell>
        </row>
        <row r="599">
          <cell r="C599">
            <v>13</v>
          </cell>
        </row>
        <row r="599">
          <cell r="E599">
            <v>549.5</v>
          </cell>
        </row>
        <row r="599">
          <cell r="AH599" t="str">
            <v>物理</v>
          </cell>
        </row>
        <row r="600">
          <cell r="C600">
            <v>13</v>
          </cell>
        </row>
        <row r="600">
          <cell r="E600">
            <v>509.25</v>
          </cell>
        </row>
        <row r="600">
          <cell r="AH600" t="str">
            <v>物理</v>
          </cell>
        </row>
        <row r="601">
          <cell r="C601">
            <v>13</v>
          </cell>
        </row>
        <row r="601">
          <cell r="E601">
            <v>506</v>
          </cell>
        </row>
        <row r="601">
          <cell r="AH601" t="str">
            <v>物理</v>
          </cell>
        </row>
        <row r="602">
          <cell r="C602">
            <v>13</v>
          </cell>
        </row>
        <row r="602">
          <cell r="E602">
            <v>480.5</v>
          </cell>
        </row>
        <row r="602">
          <cell r="AH602" t="str">
            <v>物理</v>
          </cell>
        </row>
        <row r="603">
          <cell r="C603">
            <v>13</v>
          </cell>
        </row>
        <row r="603">
          <cell r="E603">
            <v>492.75</v>
          </cell>
        </row>
        <row r="603">
          <cell r="AH603" t="str">
            <v>物理</v>
          </cell>
        </row>
        <row r="604">
          <cell r="C604">
            <v>13</v>
          </cell>
        </row>
        <row r="604">
          <cell r="E604">
            <v>497</v>
          </cell>
        </row>
        <row r="604">
          <cell r="AH604" t="str">
            <v>物理</v>
          </cell>
        </row>
        <row r="605">
          <cell r="C605">
            <v>13</v>
          </cell>
        </row>
        <row r="605">
          <cell r="E605">
            <v>489</v>
          </cell>
        </row>
        <row r="605">
          <cell r="AH605" t="str">
            <v>物理</v>
          </cell>
        </row>
        <row r="606">
          <cell r="C606">
            <v>13</v>
          </cell>
        </row>
        <row r="606">
          <cell r="E606">
            <v>473.5</v>
          </cell>
        </row>
        <row r="606">
          <cell r="AH606" t="str">
            <v>物理</v>
          </cell>
        </row>
        <row r="607">
          <cell r="C607">
            <v>13</v>
          </cell>
        </row>
        <row r="607">
          <cell r="E607">
            <v>525</v>
          </cell>
        </row>
        <row r="607">
          <cell r="AH607" t="str">
            <v>物理</v>
          </cell>
        </row>
        <row r="608">
          <cell r="C608">
            <v>13</v>
          </cell>
        </row>
        <row r="608">
          <cell r="E608">
            <v>478.5</v>
          </cell>
        </row>
        <row r="608">
          <cell r="AH608" t="str">
            <v>物理</v>
          </cell>
        </row>
        <row r="609">
          <cell r="C609">
            <v>13</v>
          </cell>
        </row>
        <row r="609">
          <cell r="E609">
            <v>435.5</v>
          </cell>
        </row>
        <row r="609">
          <cell r="AH609" t="str">
            <v>物理</v>
          </cell>
        </row>
        <row r="610">
          <cell r="C610">
            <v>13</v>
          </cell>
        </row>
        <row r="610">
          <cell r="E610">
            <v>495.75</v>
          </cell>
        </row>
        <row r="610">
          <cell r="AH610" t="str">
            <v>物理</v>
          </cell>
        </row>
        <row r="611">
          <cell r="C611">
            <v>13</v>
          </cell>
        </row>
        <row r="611">
          <cell r="E611">
            <v>517.5</v>
          </cell>
        </row>
        <row r="611">
          <cell r="AH611" t="str">
            <v>物理</v>
          </cell>
        </row>
        <row r="612">
          <cell r="C612">
            <v>13</v>
          </cell>
        </row>
        <row r="612">
          <cell r="E612">
            <v>490</v>
          </cell>
        </row>
        <row r="612">
          <cell r="AH612" t="str">
            <v>物理</v>
          </cell>
        </row>
        <row r="613">
          <cell r="C613">
            <v>13</v>
          </cell>
        </row>
        <row r="613">
          <cell r="E613">
            <v>551.5</v>
          </cell>
        </row>
        <row r="613">
          <cell r="AH613" t="str">
            <v>物理</v>
          </cell>
        </row>
        <row r="614">
          <cell r="C614">
            <v>13</v>
          </cell>
        </row>
        <row r="614">
          <cell r="E614">
            <v>430</v>
          </cell>
        </row>
        <row r="614">
          <cell r="AH614" t="str">
            <v>物理</v>
          </cell>
        </row>
        <row r="615">
          <cell r="C615">
            <v>13</v>
          </cell>
        </row>
        <row r="615">
          <cell r="E615">
            <v>556</v>
          </cell>
        </row>
        <row r="615">
          <cell r="AH615" t="str">
            <v>物理</v>
          </cell>
        </row>
        <row r="616">
          <cell r="C616">
            <v>13</v>
          </cell>
        </row>
        <row r="616">
          <cell r="E616">
            <v>430</v>
          </cell>
        </row>
        <row r="616">
          <cell r="AH616" t="str">
            <v>物理</v>
          </cell>
        </row>
        <row r="617">
          <cell r="C617">
            <v>13</v>
          </cell>
        </row>
        <row r="617">
          <cell r="E617">
            <v>486</v>
          </cell>
        </row>
        <row r="617">
          <cell r="AH617" t="str">
            <v>物理</v>
          </cell>
        </row>
        <row r="618">
          <cell r="C618">
            <v>13</v>
          </cell>
        </row>
        <row r="618">
          <cell r="E618">
            <v>549</v>
          </cell>
        </row>
        <row r="618">
          <cell r="AH618" t="str">
            <v>物理</v>
          </cell>
        </row>
        <row r="619">
          <cell r="C619">
            <v>13</v>
          </cell>
        </row>
        <row r="619">
          <cell r="E619">
            <v>482.5</v>
          </cell>
        </row>
        <row r="619">
          <cell r="AH619" t="str">
            <v>物理</v>
          </cell>
        </row>
        <row r="620">
          <cell r="C620">
            <v>13</v>
          </cell>
        </row>
        <row r="620">
          <cell r="E620">
            <v>495.5</v>
          </cell>
        </row>
        <row r="620">
          <cell r="AH620" t="str">
            <v>物理</v>
          </cell>
        </row>
        <row r="621">
          <cell r="C621">
            <v>13</v>
          </cell>
        </row>
        <row r="621">
          <cell r="E621">
            <v>458.5</v>
          </cell>
        </row>
        <row r="621">
          <cell r="AH621" t="str">
            <v>物理</v>
          </cell>
        </row>
        <row r="622">
          <cell r="C622">
            <v>13</v>
          </cell>
        </row>
        <row r="622">
          <cell r="E622">
            <v>477.5</v>
          </cell>
        </row>
        <row r="622">
          <cell r="AH622" t="str">
            <v>物理</v>
          </cell>
        </row>
        <row r="623">
          <cell r="C623">
            <v>13</v>
          </cell>
        </row>
        <row r="623">
          <cell r="E623">
            <v>452.5</v>
          </cell>
        </row>
        <row r="623">
          <cell r="AH623" t="str">
            <v>物理</v>
          </cell>
        </row>
        <row r="624">
          <cell r="C624">
            <v>13</v>
          </cell>
        </row>
        <row r="624">
          <cell r="E624">
            <v>410.5</v>
          </cell>
        </row>
        <row r="624">
          <cell r="AH624" t="str">
            <v>物理</v>
          </cell>
        </row>
        <row r="625">
          <cell r="C625">
            <v>13</v>
          </cell>
        </row>
        <row r="625">
          <cell r="E625">
            <v>484.5</v>
          </cell>
        </row>
        <row r="625">
          <cell r="AH625" t="str">
            <v>物理</v>
          </cell>
        </row>
        <row r="626">
          <cell r="C626">
            <v>13</v>
          </cell>
        </row>
        <row r="626">
          <cell r="E626">
            <v>493.5</v>
          </cell>
        </row>
        <row r="626">
          <cell r="AH626" t="str">
            <v>物理</v>
          </cell>
        </row>
        <row r="627">
          <cell r="C627">
            <v>13</v>
          </cell>
        </row>
        <row r="627">
          <cell r="E627">
            <v>404.75</v>
          </cell>
        </row>
        <row r="627">
          <cell r="AH627" t="str">
            <v>物理</v>
          </cell>
        </row>
        <row r="628">
          <cell r="C628">
            <v>13</v>
          </cell>
        </row>
        <row r="628">
          <cell r="E628">
            <v>470.75</v>
          </cell>
        </row>
        <row r="628">
          <cell r="AH628" t="str">
            <v>物理</v>
          </cell>
        </row>
        <row r="629">
          <cell r="C629">
            <v>13</v>
          </cell>
        </row>
        <row r="629">
          <cell r="E629">
            <v>429</v>
          </cell>
        </row>
        <row r="629">
          <cell r="AH629" t="str">
            <v>物理</v>
          </cell>
        </row>
        <row r="630">
          <cell r="C630">
            <v>13</v>
          </cell>
        </row>
        <row r="630">
          <cell r="E630">
            <v>480.5</v>
          </cell>
        </row>
        <row r="630">
          <cell r="AH630" t="str">
            <v>物理</v>
          </cell>
        </row>
        <row r="631">
          <cell r="C631">
            <v>13</v>
          </cell>
        </row>
        <row r="631">
          <cell r="E631">
            <v>495</v>
          </cell>
        </row>
        <row r="631">
          <cell r="AH631" t="str">
            <v>物理</v>
          </cell>
        </row>
        <row r="632">
          <cell r="C632">
            <v>13</v>
          </cell>
        </row>
        <row r="632">
          <cell r="E632">
            <v>483</v>
          </cell>
        </row>
        <row r="632">
          <cell r="AH632" t="str">
            <v>物理</v>
          </cell>
        </row>
        <row r="633">
          <cell r="C633">
            <v>13</v>
          </cell>
        </row>
        <row r="633">
          <cell r="E633">
            <v>447.5</v>
          </cell>
        </row>
        <row r="633">
          <cell r="AH633" t="str">
            <v>物理</v>
          </cell>
        </row>
        <row r="634">
          <cell r="C634">
            <v>13</v>
          </cell>
        </row>
        <row r="634">
          <cell r="E634">
            <v>438</v>
          </cell>
        </row>
        <row r="634">
          <cell r="AH634" t="str">
            <v>物理</v>
          </cell>
        </row>
        <row r="635">
          <cell r="C635">
            <v>13</v>
          </cell>
        </row>
        <row r="635">
          <cell r="E635">
            <v>510</v>
          </cell>
        </row>
        <row r="635">
          <cell r="AH635" t="str">
            <v>物理</v>
          </cell>
        </row>
        <row r="636">
          <cell r="C636">
            <v>13</v>
          </cell>
        </row>
        <row r="636">
          <cell r="E636">
            <v>439</v>
          </cell>
        </row>
        <row r="636">
          <cell r="AH636" t="str">
            <v>物理</v>
          </cell>
        </row>
        <row r="637">
          <cell r="C637">
            <v>13</v>
          </cell>
        </row>
        <row r="637">
          <cell r="E637">
            <v>403.5</v>
          </cell>
        </row>
        <row r="637">
          <cell r="AH637" t="str">
            <v>物理</v>
          </cell>
        </row>
        <row r="638">
          <cell r="C638">
            <v>13</v>
          </cell>
        </row>
        <row r="638">
          <cell r="E638">
            <v>497.5</v>
          </cell>
        </row>
        <row r="638">
          <cell r="AH638" t="str">
            <v>物理</v>
          </cell>
        </row>
        <row r="639">
          <cell r="C639">
            <v>13</v>
          </cell>
        </row>
        <row r="639">
          <cell r="E639">
            <v>544.5</v>
          </cell>
        </row>
        <row r="639">
          <cell r="AH639" t="str">
            <v>物理</v>
          </cell>
        </row>
        <row r="640">
          <cell r="C640">
            <v>13</v>
          </cell>
        </row>
        <row r="640">
          <cell r="E640">
            <v>378.75</v>
          </cell>
        </row>
        <row r="640">
          <cell r="AH640" t="str">
            <v>物理</v>
          </cell>
        </row>
        <row r="641">
          <cell r="C641">
            <v>13</v>
          </cell>
        </row>
        <row r="641">
          <cell r="E641">
            <v>482</v>
          </cell>
        </row>
        <row r="641">
          <cell r="AH641" t="str">
            <v>物理</v>
          </cell>
        </row>
        <row r="642">
          <cell r="C642">
            <v>14</v>
          </cell>
        </row>
        <row r="642">
          <cell r="E642">
            <v>547.5</v>
          </cell>
        </row>
        <row r="642">
          <cell r="AH642" t="str">
            <v>历史</v>
          </cell>
        </row>
        <row r="643">
          <cell r="C643">
            <v>14</v>
          </cell>
        </row>
        <row r="643">
          <cell r="E643">
            <v>543.5</v>
          </cell>
        </row>
        <row r="643">
          <cell r="AH643" t="str">
            <v>历史</v>
          </cell>
        </row>
        <row r="644">
          <cell r="C644">
            <v>14</v>
          </cell>
        </row>
        <row r="644">
          <cell r="E644">
            <v>502.5</v>
          </cell>
        </row>
        <row r="644">
          <cell r="AH644" t="str">
            <v>历史</v>
          </cell>
        </row>
        <row r="645">
          <cell r="C645">
            <v>14</v>
          </cell>
        </row>
        <row r="645">
          <cell r="E645">
            <v>536.5</v>
          </cell>
        </row>
        <row r="645">
          <cell r="AH645" t="str">
            <v>历史</v>
          </cell>
        </row>
        <row r="646">
          <cell r="C646">
            <v>14</v>
          </cell>
        </row>
        <row r="646">
          <cell r="E646">
            <v>524</v>
          </cell>
        </row>
        <row r="646">
          <cell r="AH646" t="str">
            <v>历史</v>
          </cell>
        </row>
        <row r="647">
          <cell r="C647">
            <v>14</v>
          </cell>
        </row>
        <row r="647">
          <cell r="E647">
            <v>506</v>
          </cell>
        </row>
        <row r="647">
          <cell r="AH647" t="str">
            <v>历史</v>
          </cell>
        </row>
        <row r="648">
          <cell r="C648">
            <v>14</v>
          </cell>
        </row>
        <row r="648">
          <cell r="E648">
            <v>523.5</v>
          </cell>
        </row>
        <row r="648">
          <cell r="AH648" t="str">
            <v>历史</v>
          </cell>
        </row>
        <row r="649">
          <cell r="C649">
            <v>14</v>
          </cell>
        </row>
        <row r="649">
          <cell r="E649">
            <v>514.5</v>
          </cell>
        </row>
        <row r="649">
          <cell r="AH649" t="str">
            <v>历史</v>
          </cell>
        </row>
        <row r="650">
          <cell r="C650">
            <v>14</v>
          </cell>
        </row>
        <row r="650">
          <cell r="E650">
            <v>510</v>
          </cell>
        </row>
        <row r="650">
          <cell r="AH650" t="str">
            <v>历史</v>
          </cell>
        </row>
        <row r="651">
          <cell r="C651">
            <v>14</v>
          </cell>
        </row>
        <row r="651">
          <cell r="E651">
            <v>533</v>
          </cell>
        </row>
        <row r="651">
          <cell r="AH651" t="str">
            <v>历史</v>
          </cell>
        </row>
        <row r="652">
          <cell r="C652">
            <v>14</v>
          </cell>
        </row>
        <row r="652">
          <cell r="E652">
            <v>477.75</v>
          </cell>
        </row>
        <row r="652">
          <cell r="AH652" t="str">
            <v>历史</v>
          </cell>
        </row>
        <row r="653">
          <cell r="C653">
            <v>14</v>
          </cell>
        </row>
        <row r="653">
          <cell r="E653">
            <v>469.25</v>
          </cell>
        </row>
        <row r="653">
          <cell r="AH653" t="str">
            <v>历史</v>
          </cell>
        </row>
        <row r="654">
          <cell r="C654">
            <v>14</v>
          </cell>
        </row>
        <row r="654">
          <cell r="E654">
            <v>478</v>
          </cell>
        </row>
        <row r="654">
          <cell r="AH654" t="str">
            <v>历史</v>
          </cell>
        </row>
        <row r="655">
          <cell r="C655">
            <v>14</v>
          </cell>
        </row>
        <row r="655">
          <cell r="E655">
            <v>481.5</v>
          </cell>
        </row>
        <row r="655">
          <cell r="AH655" t="str">
            <v>历史</v>
          </cell>
        </row>
        <row r="656">
          <cell r="C656">
            <v>14</v>
          </cell>
        </row>
        <row r="656">
          <cell r="E656">
            <v>478.5</v>
          </cell>
        </row>
        <row r="656">
          <cell r="AH656" t="str">
            <v>历史</v>
          </cell>
        </row>
        <row r="657">
          <cell r="C657">
            <v>14</v>
          </cell>
        </row>
        <row r="657">
          <cell r="E657">
            <v>454</v>
          </cell>
        </row>
        <row r="657">
          <cell r="AH657" t="str">
            <v>历史</v>
          </cell>
        </row>
        <row r="658">
          <cell r="C658">
            <v>14</v>
          </cell>
        </row>
        <row r="658">
          <cell r="E658">
            <v>480.5</v>
          </cell>
        </row>
        <row r="658">
          <cell r="AH658" t="str">
            <v>历史</v>
          </cell>
        </row>
        <row r="659">
          <cell r="C659">
            <v>14</v>
          </cell>
        </row>
        <row r="659">
          <cell r="E659">
            <v>492</v>
          </cell>
        </row>
        <row r="659">
          <cell r="AH659" t="str">
            <v>历史</v>
          </cell>
        </row>
        <row r="660">
          <cell r="C660">
            <v>14</v>
          </cell>
        </row>
        <row r="660">
          <cell r="E660">
            <v>465.5</v>
          </cell>
        </row>
        <row r="660">
          <cell r="AH660" t="str">
            <v>历史</v>
          </cell>
        </row>
        <row r="661">
          <cell r="C661">
            <v>14</v>
          </cell>
        </row>
        <row r="661">
          <cell r="E661">
            <v>453.5</v>
          </cell>
        </row>
        <row r="661">
          <cell r="AH661" t="str">
            <v>历史</v>
          </cell>
        </row>
        <row r="662">
          <cell r="C662">
            <v>14</v>
          </cell>
        </row>
        <row r="662">
          <cell r="E662">
            <v>466.5</v>
          </cell>
        </row>
        <row r="662">
          <cell r="AH662" t="str">
            <v>历史</v>
          </cell>
        </row>
        <row r="663">
          <cell r="C663">
            <v>14</v>
          </cell>
        </row>
        <row r="663">
          <cell r="E663">
            <v>436.5</v>
          </cell>
        </row>
        <row r="663">
          <cell r="AH663" t="str">
            <v>历史</v>
          </cell>
        </row>
        <row r="664">
          <cell r="C664">
            <v>14</v>
          </cell>
        </row>
        <row r="664">
          <cell r="E664">
            <v>495.5</v>
          </cell>
        </row>
        <row r="664">
          <cell r="AH664" t="str">
            <v>历史</v>
          </cell>
        </row>
        <row r="665">
          <cell r="C665">
            <v>14</v>
          </cell>
        </row>
        <row r="665">
          <cell r="E665">
            <v>447.5</v>
          </cell>
        </row>
        <row r="665">
          <cell r="AH665" t="str">
            <v>历史</v>
          </cell>
        </row>
        <row r="666">
          <cell r="C666">
            <v>14</v>
          </cell>
        </row>
        <row r="666">
          <cell r="E666">
            <v>514.5</v>
          </cell>
        </row>
        <row r="666">
          <cell r="AH666" t="str">
            <v>历史</v>
          </cell>
        </row>
        <row r="667">
          <cell r="C667">
            <v>14</v>
          </cell>
        </row>
        <row r="667">
          <cell r="E667">
            <v>465</v>
          </cell>
        </row>
        <row r="667">
          <cell r="AH667" t="str">
            <v>历史</v>
          </cell>
        </row>
        <row r="668">
          <cell r="C668">
            <v>14</v>
          </cell>
        </row>
        <row r="668">
          <cell r="E668">
            <v>436.5</v>
          </cell>
        </row>
        <row r="668">
          <cell r="AH668" t="str">
            <v>历史</v>
          </cell>
        </row>
        <row r="669">
          <cell r="C669">
            <v>14</v>
          </cell>
        </row>
        <row r="669">
          <cell r="E669">
            <v>456.5</v>
          </cell>
        </row>
        <row r="669">
          <cell r="AH669" t="str">
            <v>历史</v>
          </cell>
        </row>
        <row r="670">
          <cell r="C670">
            <v>14</v>
          </cell>
        </row>
        <row r="670">
          <cell r="E670">
            <v>464.5</v>
          </cell>
        </row>
        <row r="670">
          <cell r="AH670" t="str">
            <v>历史</v>
          </cell>
        </row>
        <row r="671">
          <cell r="C671">
            <v>14</v>
          </cell>
        </row>
        <row r="671">
          <cell r="E671">
            <v>464.75</v>
          </cell>
        </row>
        <row r="671">
          <cell r="AH671" t="str">
            <v>历史</v>
          </cell>
        </row>
        <row r="672">
          <cell r="C672">
            <v>14</v>
          </cell>
        </row>
        <row r="672">
          <cell r="E672">
            <v>468</v>
          </cell>
        </row>
        <row r="672">
          <cell r="AH672" t="str">
            <v>历史</v>
          </cell>
        </row>
        <row r="673">
          <cell r="C673">
            <v>14</v>
          </cell>
        </row>
        <row r="673">
          <cell r="E673">
            <v>467.5</v>
          </cell>
        </row>
        <row r="673">
          <cell r="AH673" t="str">
            <v>历史</v>
          </cell>
        </row>
        <row r="674">
          <cell r="C674">
            <v>14</v>
          </cell>
        </row>
        <row r="674">
          <cell r="E674">
            <v>485.25</v>
          </cell>
        </row>
        <row r="674">
          <cell r="AH674" t="str">
            <v>历史</v>
          </cell>
        </row>
        <row r="675">
          <cell r="C675">
            <v>14</v>
          </cell>
        </row>
        <row r="675">
          <cell r="E675">
            <v>454.5</v>
          </cell>
        </row>
        <row r="675">
          <cell r="AH675" t="str">
            <v>历史</v>
          </cell>
        </row>
        <row r="676">
          <cell r="C676">
            <v>14</v>
          </cell>
        </row>
        <row r="676">
          <cell r="E676">
            <v>456</v>
          </cell>
        </row>
        <row r="676">
          <cell r="AH676" t="str">
            <v>历史</v>
          </cell>
        </row>
        <row r="677">
          <cell r="AH677" t="str">
            <v>历史</v>
          </cell>
        </row>
        <row r="678">
          <cell r="C678">
            <v>14</v>
          </cell>
        </row>
        <row r="678">
          <cell r="E678">
            <v>434.5</v>
          </cell>
        </row>
        <row r="678">
          <cell r="AH678" t="str">
            <v>历史</v>
          </cell>
        </row>
        <row r="679">
          <cell r="C679">
            <v>14</v>
          </cell>
        </row>
        <row r="679">
          <cell r="E679">
            <v>430.75</v>
          </cell>
        </row>
        <row r="679">
          <cell r="AH679" t="str">
            <v>历史</v>
          </cell>
        </row>
        <row r="680">
          <cell r="C680">
            <v>14</v>
          </cell>
        </row>
        <row r="680">
          <cell r="E680">
            <v>396</v>
          </cell>
        </row>
        <row r="680">
          <cell r="AH680" t="str">
            <v>历史</v>
          </cell>
        </row>
        <row r="681">
          <cell r="C681">
            <v>14</v>
          </cell>
        </row>
        <row r="681">
          <cell r="E681">
            <v>395.25</v>
          </cell>
        </row>
        <row r="681">
          <cell r="AH681" t="str">
            <v>历史</v>
          </cell>
        </row>
        <row r="682">
          <cell r="AH682" t="str">
            <v>历史</v>
          </cell>
        </row>
        <row r="683">
          <cell r="C683">
            <v>14</v>
          </cell>
        </row>
        <row r="683">
          <cell r="E683">
            <v>148</v>
          </cell>
        </row>
        <row r="683">
          <cell r="AH683" t="str">
            <v>历史</v>
          </cell>
        </row>
        <row r="684">
          <cell r="AH684" t="str">
            <v>历史</v>
          </cell>
        </row>
        <row r="685">
          <cell r="C685">
            <v>14</v>
          </cell>
        </row>
        <row r="685">
          <cell r="E685">
            <v>468</v>
          </cell>
        </row>
        <row r="685">
          <cell r="AH685" t="str">
            <v>历史</v>
          </cell>
        </row>
        <row r="686">
          <cell r="C686">
            <v>14</v>
          </cell>
        </row>
        <row r="686">
          <cell r="E686">
            <v>441.25</v>
          </cell>
        </row>
        <row r="686">
          <cell r="AH686" t="str">
            <v>历史</v>
          </cell>
        </row>
        <row r="687">
          <cell r="AH687" t="str">
            <v>历史</v>
          </cell>
        </row>
        <row r="688">
          <cell r="C688">
            <v>15</v>
          </cell>
        </row>
        <row r="688">
          <cell r="E688">
            <v>526.5</v>
          </cell>
        </row>
        <row r="688">
          <cell r="AH688" t="str">
            <v>历史</v>
          </cell>
        </row>
        <row r="689">
          <cell r="C689">
            <v>15</v>
          </cell>
        </row>
        <row r="689">
          <cell r="E689">
            <v>496.75</v>
          </cell>
        </row>
        <row r="689">
          <cell r="AH689" t="str">
            <v>历史</v>
          </cell>
        </row>
        <row r="690">
          <cell r="C690">
            <v>15</v>
          </cell>
        </row>
        <row r="690">
          <cell r="E690">
            <v>531</v>
          </cell>
        </row>
        <row r="690">
          <cell r="AH690" t="str">
            <v>历史</v>
          </cell>
        </row>
        <row r="691">
          <cell r="C691">
            <v>15</v>
          </cell>
        </row>
        <row r="691">
          <cell r="E691">
            <v>515</v>
          </cell>
        </row>
        <row r="691">
          <cell r="AH691" t="str">
            <v>历史</v>
          </cell>
        </row>
        <row r="692">
          <cell r="C692">
            <v>15</v>
          </cell>
        </row>
        <row r="692">
          <cell r="E692">
            <v>508.5</v>
          </cell>
        </row>
        <row r="692">
          <cell r="AH692" t="str">
            <v>历史</v>
          </cell>
        </row>
        <row r="693">
          <cell r="C693">
            <v>15</v>
          </cell>
        </row>
        <row r="693">
          <cell r="E693">
            <v>533</v>
          </cell>
        </row>
        <row r="693">
          <cell r="AH693" t="str">
            <v>历史</v>
          </cell>
        </row>
        <row r="694">
          <cell r="C694">
            <v>15</v>
          </cell>
        </row>
        <row r="694">
          <cell r="E694">
            <v>490</v>
          </cell>
        </row>
        <row r="694">
          <cell r="AH694" t="str">
            <v>历史</v>
          </cell>
        </row>
        <row r="695">
          <cell r="C695">
            <v>15</v>
          </cell>
        </row>
        <row r="695">
          <cell r="E695">
            <v>508</v>
          </cell>
        </row>
        <row r="695">
          <cell r="AH695" t="str">
            <v>历史</v>
          </cell>
        </row>
        <row r="696">
          <cell r="C696">
            <v>15</v>
          </cell>
        </row>
        <row r="696">
          <cell r="E696">
            <v>502.5</v>
          </cell>
        </row>
        <row r="696">
          <cell r="AH696" t="str">
            <v>历史</v>
          </cell>
        </row>
        <row r="697">
          <cell r="C697">
            <v>15</v>
          </cell>
        </row>
        <row r="697">
          <cell r="E697">
            <v>476.5</v>
          </cell>
        </row>
        <row r="697">
          <cell r="AH697" t="str">
            <v>历史</v>
          </cell>
        </row>
        <row r="698">
          <cell r="C698">
            <v>15</v>
          </cell>
        </row>
        <row r="698">
          <cell r="E698">
            <v>428</v>
          </cell>
        </row>
        <row r="698">
          <cell r="AH698" t="str">
            <v>历史</v>
          </cell>
        </row>
        <row r="699">
          <cell r="C699">
            <v>15</v>
          </cell>
        </row>
        <row r="699">
          <cell r="E699">
            <v>500.75</v>
          </cell>
        </row>
        <row r="699">
          <cell r="AH699" t="str">
            <v>历史</v>
          </cell>
        </row>
        <row r="700">
          <cell r="C700">
            <v>15</v>
          </cell>
        </row>
        <row r="700">
          <cell r="E700">
            <v>516</v>
          </cell>
        </row>
        <row r="700">
          <cell r="AH700" t="str">
            <v>历史</v>
          </cell>
        </row>
        <row r="701">
          <cell r="C701">
            <v>15</v>
          </cell>
        </row>
        <row r="701">
          <cell r="E701">
            <v>475.25</v>
          </cell>
        </row>
        <row r="701">
          <cell r="AH701" t="str">
            <v>历史</v>
          </cell>
        </row>
        <row r="702">
          <cell r="C702">
            <v>15</v>
          </cell>
        </row>
        <row r="702">
          <cell r="E702">
            <v>489</v>
          </cell>
        </row>
        <row r="702">
          <cell r="AH702" t="str">
            <v>历史</v>
          </cell>
        </row>
        <row r="703">
          <cell r="C703">
            <v>15</v>
          </cell>
        </row>
        <row r="703">
          <cell r="E703">
            <v>464.5</v>
          </cell>
        </row>
        <row r="703">
          <cell r="AH703" t="str">
            <v>历史</v>
          </cell>
        </row>
        <row r="704">
          <cell r="C704">
            <v>15</v>
          </cell>
        </row>
        <row r="704">
          <cell r="E704">
            <v>453.75</v>
          </cell>
        </row>
        <row r="704">
          <cell r="AH704" t="str">
            <v>历史</v>
          </cell>
        </row>
        <row r="705">
          <cell r="C705">
            <v>15</v>
          </cell>
        </row>
        <row r="705">
          <cell r="E705">
            <v>446.5</v>
          </cell>
        </row>
        <row r="705">
          <cell r="AH705" t="str">
            <v>历史</v>
          </cell>
        </row>
        <row r="706">
          <cell r="C706">
            <v>15</v>
          </cell>
        </row>
        <row r="706">
          <cell r="E706">
            <v>417</v>
          </cell>
        </row>
        <row r="706">
          <cell r="AH706" t="str">
            <v>历史</v>
          </cell>
        </row>
        <row r="707">
          <cell r="C707">
            <v>15</v>
          </cell>
        </row>
        <row r="707">
          <cell r="E707">
            <v>471</v>
          </cell>
        </row>
        <row r="707">
          <cell r="AH707" t="str">
            <v>历史</v>
          </cell>
        </row>
        <row r="708">
          <cell r="C708">
            <v>15</v>
          </cell>
        </row>
        <row r="708">
          <cell r="E708">
            <v>458.5</v>
          </cell>
        </row>
        <row r="708">
          <cell r="AH708" t="str">
            <v>历史</v>
          </cell>
        </row>
        <row r="709">
          <cell r="C709">
            <v>15</v>
          </cell>
        </row>
        <row r="709">
          <cell r="E709">
            <v>443.5</v>
          </cell>
        </row>
        <row r="709">
          <cell r="AH709" t="str">
            <v>历史</v>
          </cell>
        </row>
        <row r="710">
          <cell r="C710">
            <v>15</v>
          </cell>
        </row>
        <row r="710">
          <cell r="E710">
            <v>471.25</v>
          </cell>
        </row>
        <row r="710">
          <cell r="AH710" t="str">
            <v>历史</v>
          </cell>
        </row>
        <row r="711">
          <cell r="C711">
            <v>15</v>
          </cell>
        </row>
        <row r="711">
          <cell r="E711">
            <v>424.5</v>
          </cell>
        </row>
        <row r="711">
          <cell r="AH711" t="str">
            <v>历史</v>
          </cell>
        </row>
        <row r="712">
          <cell r="C712">
            <v>15</v>
          </cell>
        </row>
        <row r="712">
          <cell r="E712">
            <v>456</v>
          </cell>
        </row>
        <row r="712">
          <cell r="AH712" t="str">
            <v>历史</v>
          </cell>
        </row>
        <row r="713">
          <cell r="C713">
            <v>15</v>
          </cell>
        </row>
        <row r="713">
          <cell r="E713">
            <v>369.25</v>
          </cell>
        </row>
        <row r="713">
          <cell r="AH713" t="str">
            <v>历史</v>
          </cell>
        </row>
        <row r="714">
          <cell r="C714">
            <v>15</v>
          </cell>
        </row>
        <row r="714">
          <cell r="E714">
            <v>389.25</v>
          </cell>
        </row>
        <row r="714">
          <cell r="AH714" t="str">
            <v>历史</v>
          </cell>
        </row>
        <row r="715">
          <cell r="C715">
            <v>15</v>
          </cell>
        </row>
        <row r="715">
          <cell r="E715">
            <v>452.5</v>
          </cell>
        </row>
        <row r="715">
          <cell r="AH715" t="str">
            <v>历史</v>
          </cell>
        </row>
        <row r="716">
          <cell r="C716">
            <v>15</v>
          </cell>
        </row>
        <row r="716">
          <cell r="E716">
            <v>473.5</v>
          </cell>
        </row>
        <row r="716">
          <cell r="AH716" t="str">
            <v>历史</v>
          </cell>
        </row>
        <row r="717">
          <cell r="C717">
            <v>15</v>
          </cell>
        </row>
        <row r="717">
          <cell r="E717">
            <v>432.5</v>
          </cell>
        </row>
        <row r="717">
          <cell r="AH717" t="str">
            <v>历史</v>
          </cell>
        </row>
        <row r="718">
          <cell r="C718">
            <v>15</v>
          </cell>
        </row>
        <row r="718">
          <cell r="E718">
            <v>370</v>
          </cell>
        </row>
        <row r="718">
          <cell r="AH718" t="str">
            <v>历史</v>
          </cell>
        </row>
        <row r="719">
          <cell r="C719">
            <v>15</v>
          </cell>
        </row>
        <row r="719">
          <cell r="E719">
            <v>541.25</v>
          </cell>
        </row>
        <row r="719">
          <cell r="AH719" t="str">
            <v>历史</v>
          </cell>
        </row>
        <row r="720">
          <cell r="C720">
            <v>15</v>
          </cell>
        </row>
        <row r="720">
          <cell r="E720">
            <v>501</v>
          </cell>
        </row>
        <row r="720">
          <cell r="AH720" t="str">
            <v>历史</v>
          </cell>
        </row>
        <row r="721">
          <cell r="C721">
            <v>15</v>
          </cell>
        </row>
        <row r="721">
          <cell r="E721">
            <v>454</v>
          </cell>
        </row>
        <row r="721">
          <cell r="AH721" t="str">
            <v>历史</v>
          </cell>
        </row>
        <row r="722">
          <cell r="C722">
            <v>16</v>
          </cell>
        </row>
        <row r="722">
          <cell r="E722">
            <v>516.5</v>
          </cell>
        </row>
        <row r="722">
          <cell r="AH722" t="str">
            <v>历史</v>
          </cell>
        </row>
        <row r="723">
          <cell r="C723">
            <v>16</v>
          </cell>
        </row>
        <row r="723">
          <cell r="E723">
            <v>486.5</v>
          </cell>
        </row>
        <row r="723">
          <cell r="AH723" t="str">
            <v>历史</v>
          </cell>
        </row>
        <row r="724">
          <cell r="C724">
            <v>16</v>
          </cell>
        </row>
        <row r="724">
          <cell r="E724">
            <v>498.25</v>
          </cell>
        </row>
        <row r="724">
          <cell r="AH724" t="str">
            <v>历史</v>
          </cell>
        </row>
        <row r="725">
          <cell r="C725">
            <v>16</v>
          </cell>
        </row>
        <row r="725">
          <cell r="E725">
            <v>492.75</v>
          </cell>
        </row>
        <row r="725">
          <cell r="AH725" t="str">
            <v>历史</v>
          </cell>
        </row>
        <row r="726">
          <cell r="C726">
            <v>16</v>
          </cell>
        </row>
        <row r="726">
          <cell r="E726">
            <v>550</v>
          </cell>
        </row>
        <row r="726">
          <cell r="AH726" t="str">
            <v>历史</v>
          </cell>
        </row>
        <row r="727">
          <cell r="C727">
            <v>16</v>
          </cell>
        </row>
        <row r="727">
          <cell r="E727">
            <v>484.5</v>
          </cell>
        </row>
        <row r="727">
          <cell r="AH727" t="str">
            <v>历史</v>
          </cell>
        </row>
        <row r="728">
          <cell r="C728">
            <v>16</v>
          </cell>
        </row>
        <row r="728">
          <cell r="E728">
            <v>551.5</v>
          </cell>
        </row>
        <row r="728">
          <cell r="AH728" t="str">
            <v>历史</v>
          </cell>
        </row>
        <row r="729">
          <cell r="C729">
            <v>16</v>
          </cell>
        </row>
        <row r="729">
          <cell r="E729">
            <v>513.5</v>
          </cell>
        </row>
        <row r="729">
          <cell r="AH729" t="str">
            <v>历史</v>
          </cell>
        </row>
        <row r="730">
          <cell r="C730">
            <v>16</v>
          </cell>
        </row>
        <row r="730">
          <cell r="E730">
            <v>485.5</v>
          </cell>
        </row>
        <row r="730">
          <cell r="AH730" t="str">
            <v>历史</v>
          </cell>
        </row>
        <row r="731">
          <cell r="C731">
            <v>16</v>
          </cell>
        </row>
        <row r="731">
          <cell r="E731">
            <v>489.5</v>
          </cell>
        </row>
        <row r="731">
          <cell r="AH731" t="str">
            <v>历史</v>
          </cell>
        </row>
        <row r="732">
          <cell r="C732">
            <v>16</v>
          </cell>
        </row>
        <row r="732">
          <cell r="E732">
            <v>514.5</v>
          </cell>
        </row>
        <row r="732">
          <cell r="AH732" t="str">
            <v>历史</v>
          </cell>
        </row>
        <row r="733">
          <cell r="C733">
            <v>16</v>
          </cell>
        </row>
        <row r="733">
          <cell r="E733">
            <v>509.5</v>
          </cell>
        </row>
        <row r="733">
          <cell r="AH733" t="str">
            <v>历史</v>
          </cell>
        </row>
        <row r="734">
          <cell r="C734">
            <v>16</v>
          </cell>
        </row>
        <row r="734">
          <cell r="E734">
            <v>513</v>
          </cell>
        </row>
        <row r="734">
          <cell r="AH734" t="str">
            <v>历史</v>
          </cell>
        </row>
        <row r="735">
          <cell r="C735">
            <v>16</v>
          </cell>
        </row>
        <row r="735">
          <cell r="E735">
            <v>469.75</v>
          </cell>
        </row>
        <row r="735">
          <cell r="AH735" t="str">
            <v>历史</v>
          </cell>
        </row>
        <row r="736">
          <cell r="C736">
            <v>16</v>
          </cell>
        </row>
        <row r="736">
          <cell r="E736">
            <v>514</v>
          </cell>
        </row>
        <row r="736">
          <cell r="AH736" t="str">
            <v>历史</v>
          </cell>
        </row>
        <row r="737">
          <cell r="C737">
            <v>16</v>
          </cell>
        </row>
        <row r="737">
          <cell r="E737">
            <v>540.5</v>
          </cell>
        </row>
        <row r="737">
          <cell r="AH737" t="str">
            <v>历史</v>
          </cell>
        </row>
        <row r="738">
          <cell r="C738">
            <v>16</v>
          </cell>
        </row>
        <row r="738">
          <cell r="E738">
            <v>475.5</v>
          </cell>
        </row>
        <row r="738">
          <cell r="AH738" t="str">
            <v>历史</v>
          </cell>
        </row>
        <row r="739">
          <cell r="C739">
            <v>16</v>
          </cell>
        </row>
        <row r="739">
          <cell r="E739">
            <v>494.5</v>
          </cell>
        </row>
        <row r="739">
          <cell r="AH739" t="str">
            <v>历史</v>
          </cell>
        </row>
        <row r="740">
          <cell r="C740">
            <v>16</v>
          </cell>
        </row>
        <row r="740">
          <cell r="E740">
            <v>484</v>
          </cell>
        </row>
        <row r="740">
          <cell r="AH740" t="str">
            <v>历史</v>
          </cell>
        </row>
        <row r="741">
          <cell r="C741">
            <v>16</v>
          </cell>
        </row>
        <row r="741">
          <cell r="E741">
            <v>441.5</v>
          </cell>
        </row>
        <row r="741">
          <cell r="AH741" t="str">
            <v>历史</v>
          </cell>
        </row>
        <row r="742">
          <cell r="C742">
            <v>16</v>
          </cell>
        </row>
        <row r="742">
          <cell r="E742">
            <v>461.5</v>
          </cell>
        </row>
        <row r="742">
          <cell r="AH742" t="str">
            <v>历史</v>
          </cell>
        </row>
        <row r="743">
          <cell r="C743">
            <v>16</v>
          </cell>
        </row>
        <row r="743">
          <cell r="E743">
            <v>454</v>
          </cell>
        </row>
        <row r="743">
          <cell r="AH743" t="str">
            <v>历史</v>
          </cell>
        </row>
        <row r="744">
          <cell r="C744">
            <v>16</v>
          </cell>
        </row>
        <row r="744">
          <cell r="E744">
            <v>468</v>
          </cell>
        </row>
        <row r="744">
          <cell r="AH744" t="str">
            <v>历史</v>
          </cell>
        </row>
        <row r="745">
          <cell r="C745">
            <v>16</v>
          </cell>
        </row>
        <row r="745">
          <cell r="E745">
            <v>401</v>
          </cell>
        </row>
        <row r="745">
          <cell r="AH745" t="str">
            <v>历史</v>
          </cell>
        </row>
        <row r="746">
          <cell r="C746">
            <v>16</v>
          </cell>
        </row>
        <row r="746">
          <cell r="E746">
            <v>464</v>
          </cell>
        </row>
        <row r="746">
          <cell r="AH746" t="str">
            <v>历史</v>
          </cell>
        </row>
        <row r="747">
          <cell r="C747">
            <v>16</v>
          </cell>
        </row>
        <row r="747">
          <cell r="E747">
            <v>536</v>
          </cell>
        </row>
        <row r="747">
          <cell r="AH747" t="str">
            <v>历史</v>
          </cell>
        </row>
        <row r="748">
          <cell r="C748">
            <v>16</v>
          </cell>
        </row>
        <row r="748">
          <cell r="E748">
            <v>480.75</v>
          </cell>
        </row>
        <row r="748">
          <cell r="AH748" t="str">
            <v>历史</v>
          </cell>
        </row>
        <row r="749">
          <cell r="C749">
            <v>16</v>
          </cell>
        </row>
        <row r="749">
          <cell r="E749">
            <v>477</v>
          </cell>
        </row>
        <row r="749">
          <cell r="AH749" t="str">
            <v>历史</v>
          </cell>
        </row>
        <row r="750">
          <cell r="C750">
            <v>16</v>
          </cell>
        </row>
        <row r="750">
          <cell r="E750">
            <v>497.75</v>
          </cell>
        </row>
        <row r="750">
          <cell r="AH750" t="str">
            <v>历史</v>
          </cell>
        </row>
        <row r="751">
          <cell r="C751">
            <v>16</v>
          </cell>
        </row>
        <row r="751">
          <cell r="E751">
            <v>475</v>
          </cell>
        </row>
        <row r="751">
          <cell r="AH751" t="str">
            <v>历史</v>
          </cell>
        </row>
        <row r="752">
          <cell r="C752">
            <v>16</v>
          </cell>
        </row>
        <row r="752">
          <cell r="E752">
            <v>484</v>
          </cell>
        </row>
        <row r="752">
          <cell r="AH752" t="str">
            <v>历史</v>
          </cell>
        </row>
        <row r="753">
          <cell r="C753">
            <v>16</v>
          </cell>
        </row>
        <row r="753">
          <cell r="E753">
            <v>496.5</v>
          </cell>
        </row>
        <row r="753">
          <cell r="AH753" t="str">
            <v>历史</v>
          </cell>
        </row>
        <row r="754">
          <cell r="C754">
            <v>16</v>
          </cell>
        </row>
        <row r="754">
          <cell r="E754">
            <v>420.25</v>
          </cell>
        </row>
        <row r="754">
          <cell r="AH754" t="str">
            <v>历史</v>
          </cell>
        </row>
        <row r="755">
          <cell r="C755">
            <v>16</v>
          </cell>
        </row>
        <row r="755">
          <cell r="E755">
            <v>490</v>
          </cell>
        </row>
        <row r="755">
          <cell r="AH755" t="str">
            <v>历史</v>
          </cell>
        </row>
        <row r="756">
          <cell r="C756">
            <v>16</v>
          </cell>
        </row>
        <row r="756">
          <cell r="E756">
            <v>426</v>
          </cell>
        </row>
        <row r="756">
          <cell r="AH756" t="str">
            <v>历史</v>
          </cell>
        </row>
        <row r="757">
          <cell r="C757">
            <v>16</v>
          </cell>
        </row>
        <row r="757">
          <cell r="E757">
            <v>474</v>
          </cell>
        </row>
        <row r="757">
          <cell r="AH757" t="str">
            <v>历史</v>
          </cell>
        </row>
        <row r="758">
          <cell r="C758">
            <v>16</v>
          </cell>
        </row>
        <row r="758">
          <cell r="E758">
            <v>447</v>
          </cell>
        </row>
        <row r="758">
          <cell r="AH758" t="str">
            <v>历史</v>
          </cell>
        </row>
        <row r="759">
          <cell r="C759">
            <v>16</v>
          </cell>
        </row>
        <row r="759">
          <cell r="E759">
            <v>437</v>
          </cell>
        </row>
        <row r="759">
          <cell r="AH759" t="str">
            <v>历史</v>
          </cell>
        </row>
        <row r="760">
          <cell r="C760">
            <v>16</v>
          </cell>
        </row>
        <row r="760">
          <cell r="E760">
            <v>458</v>
          </cell>
        </row>
        <row r="760">
          <cell r="AH760" t="str">
            <v>历史</v>
          </cell>
        </row>
        <row r="761">
          <cell r="C761">
            <v>16</v>
          </cell>
        </row>
        <row r="761">
          <cell r="E761">
            <v>463</v>
          </cell>
        </row>
        <row r="761">
          <cell r="AH761" t="str">
            <v>历史</v>
          </cell>
        </row>
        <row r="762">
          <cell r="C762">
            <v>16</v>
          </cell>
        </row>
        <row r="762">
          <cell r="E762">
            <v>465</v>
          </cell>
        </row>
        <row r="762">
          <cell r="AH762" t="str">
            <v>历史</v>
          </cell>
        </row>
        <row r="763">
          <cell r="C763">
            <v>16</v>
          </cell>
        </row>
        <row r="763">
          <cell r="E763">
            <v>440.5</v>
          </cell>
        </row>
        <row r="763">
          <cell r="AH763" t="str">
            <v>历史</v>
          </cell>
        </row>
        <row r="764">
          <cell r="C764">
            <v>16</v>
          </cell>
        </row>
        <row r="764">
          <cell r="E764">
            <v>445.75</v>
          </cell>
        </row>
        <row r="764">
          <cell r="AH764" t="str">
            <v>历史</v>
          </cell>
        </row>
        <row r="765">
          <cell r="C765">
            <v>16</v>
          </cell>
        </row>
        <row r="765">
          <cell r="E765">
            <v>421.5</v>
          </cell>
        </row>
        <row r="765">
          <cell r="AH765" t="str">
            <v>历史</v>
          </cell>
        </row>
        <row r="766">
          <cell r="C766">
            <v>16</v>
          </cell>
        </row>
        <row r="766">
          <cell r="E766">
            <v>479.25</v>
          </cell>
        </row>
        <row r="766">
          <cell r="AH766" t="str">
            <v>历史</v>
          </cell>
        </row>
        <row r="767">
          <cell r="AH767" t="str">
            <v>历史</v>
          </cell>
        </row>
        <row r="768">
          <cell r="C768">
            <v>16</v>
          </cell>
        </row>
        <row r="768">
          <cell r="E768">
            <v>484.5</v>
          </cell>
        </row>
        <row r="768">
          <cell r="AH768" t="str">
            <v>历史</v>
          </cell>
        </row>
        <row r="769">
          <cell r="C769">
            <v>17</v>
          </cell>
        </row>
        <row r="769">
          <cell r="E769">
            <v>490.75</v>
          </cell>
        </row>
        <row r="769">
          <cell r="AH769" t="str">
            <v>历史</v>
          </cell>
        </row>
        <row r="770">
          <cell r="C770">
            <v>17</v>
          </cell>
        </row>
        <row r="770">
          <cell r="E770">
            <v>481.5</v>
          </cell>
        </row>
        <row r="770">
          <cell r="AH770" t="str">
            <v>历史</v>
          </cell>
        </row>
        <row r="771">
          <cell r="C771">
            <v>17</v>
          </cell>
        </row>
        <row r="771">
          <cell r="E771">
            <v>475.75</v>
          </cell>
        </row>
        <row r="771">
          <cell r="AH771" t="str">
            <v>历史</v>
          </cell>
        </row>
        <row r="772">
          <cell r="C772">
            <v>17</v>
          </cell>
        </row>
        <row r="772">
          <cell r="E772">
            <v>491</v>
          </cell>
        </row>
        <row r="772">
          <cell r="AH772" t="str">
            <v>历史</v>
          </cell>
        </row>
        <row r="773">
          <cell r="C773">
            <v>17</v>
          </cell>
        </row>
        <row r="773">
          <cell r="E773">
            <v>508.5</v>
          </cell>
        </row>
        <row r="773">
          <cell r="AH773" t="str">
            <v>历史</v>
          </cell>
        </row>
        <row r="774">
          <cell r="C774">
            <v>17</v>
          </cell>
        </row>
        <row r="774">
          <cell r="E774">
            <v>550.5</v>
          </cell>
        </row>
        <row r="774">
          <cell r="AH774" t="str">
            <v>历史</v>
          </cell>
        </row>
        <row r="775">
          <cell r="C775">
            <v>17</v>
          </cell>
        </row>
        <row r="775">
          <cell r="E775">
            <v>488.25</v>
          </cell>
        </row>
        <row r="775">
          <cell r="AH775" t="str">
            <v>历史</v>
          </cell>
        </row>
        <row r="776">
          <cell r="C776">
            <v>17</v>
          </cell>
        </row>
        <row r="776">
          <cell r="E776">
            <v>482.5</v>
          </cell>
        </row>
        <row r="776">
          <cell r="AH776" t="str">
            <v>历史</v>
          </cell>
        </row>
        <row r="777">
          <cell r="C777">
            <v>17</v>
          </cell>
        </row>
        <row r="777">
          <cell r="E777">
            <v>471</v>
          </cell>
        </row>
        <row r="777">
          <cell r="AH777" t="str">
            <v>历史</v>
          </cell>
        </row>
        <row r="778">
          <cell r="C778">
            <v>17</v>
          </cell>
        </row>
        <row r="778">
          <cell r="E778">
            <v>493.75</v>
          </cell>
        </row>
        <row r="778">
          <cell r="AH778" t="str">
            <v>历史</v>
          </cell>
        </row>
        <row r="779">
          <cell r="C779">
            <v>17</v>
          </cell>
        </row>
        <row r="779">
          <cell r="E779">
            <v>477.5</v>
          </cell>
        </row>
        <row r="779">
          <cell r="AH779" t="str">
            <v>历史</v>
          </cell>
        </row>
        <row r="780">
          <cell r="C780">
            <v>17</v>
          </cell>
        </row>
        <row r="780">
          <cell r="E780">
            <v>494.5</v>
          </cell>
        </row>
        <row r="780">
          <cell r="AH780" t="str">
            <v>历史</v>
          </cell>
        </row>
        <row r="781">
          <cell r="C781">
            <v>17</v>
          </cell>
        </row>
        <row r="781">
          <cell r="E781">
            <v>549</v>
          </cell>
        </row>
        <row r="781">
          <cell r="AH781" t="str">
            <v>历史</v>
          </cell>
        </row>
        <row r="782">
          <cell r="C782">
            <v>17</v>
          </cell>
        </row>
        <row r="782">
          <cell r="E782">
            <v>433.75</v>
          </cell>
        </row>
        <row r="782">
          <cell r="AH782" t="str">
            <v>历史</v>
          </cell>
        </row>
        <row r="783">
          <cell r="C783">
            <v>17</v>
          </cell>
        </row>
        <row r="783">
          <cell r="E783">
            <v>502.5</v>
          </cell>
        </row>
        <row r="783">
          <cell r="AH783" t="str">
            <v>历史</v>
          </cell>
        </row>
        <row r="784">
          <cell r="C784">
            <v>17</v>
          </cell>
        </row>
        <row r="784">
          <cell r="E784">
            <v>487</v>
          </cell>
        </row>
        <row r="784">
          <cell r="AH784" t="str">
            <v>历史</v>
          </cell>
        </row>
        <row r="785">
          <cell r="C785">
            <v>17</v>
          </cell>
        </row>
        <row r="785">
          <cell r="E785">
            <v>456.5</v>
          </cell>
        </row>
        <row r="785">
          <cell r="AH785" t="str">
            <v>历史</v>
          </cell>
        </row>
        <row r="786">
          <cell r="C786">
            <v>17</v>
          </cell>
        </row>
        <row r="786">
          <cell r="E786">
            <v>446.5</v>
          </cell>
        </row>
        <row r="786">
          <cell r="AH786" t="str">
            <v>历史</v>
          </cell>
        </row>
        <row r="787">
          <cell r="C787">
            <v>17</v>
          </cell>
        </row>
        <row r="787">
          <cell r="E787">
            <v>482</v>
          </cell>
        </row>
        <row r="787">
          <cell r="AH787" t="str">
            <v>历史</v>
          </cell>
        </row>
        <row r="788">
          <cell r="C788">
            <v>17</v>
          </cell>
        </row>
        <row r="788">
          <cell r="E788">
            <v>432</v>
          </cell>
        </row>
        <row r="788">
          <cell r="AH788" t="str">
            <v>历史</v>
          </cell>
        </row>
        <row r="789">
          <cell r="C789">
            <v>17</v>
          </cell>
        </row>
        <row r="789">
          <cell r="E789">
            <v>455.5</v>
          </cell>
        </row>
        <row r="789">
          <cell r="AH789" t="str">
            <v>历史</v>
          </cell>
        </row>
        <row r="790">
          <cell r="C790">
            <v>17</v>
          </cell>
        </row>
        <row r="790">
          <cell r="E790">
            <v>509.5</v>
          </cell>
        </row>
        <row r="790">
          <cell r="AH790" t="str">
            <v>历史</v>
          </cell>
        </row>
        <row r="791">
          <cell r="C791">
            <v>17</v>
          </cell>
        </row>
        <row r="791">
          <cell r="E791">
            <v>453.5</v>
          </cell>
        </row>
        <row r="791">
          <cell r="AH791" t="str">
            <v>历史</v>
          </cell>
        </row>
        <row r="792">
          <cell r="AH792" t="str">
            <v>历史</v>
          </cell>
        </row>
        <row r="793">
          <cell r="C793">
            <v>17</v>
          </cell>
        </row>
        <row r="793">
          <cell r="E793">
            <v>496.5</v>
          </cell>
        </row>
        <row r="793">
          <cell r="AH793" t="str">
            <v>历史</v>
          </cell>
        </row>
        <row r="794">
          <cell r="C794">
            <v>17</v>
          </cell>
        </row>
        <row r="794">
          <cell r="E794">
            <v>445.5</v>
          </cell>
        </row>
        <row r="794">
          <cell r="AH794" t="str">
            <v>历史</v>
          </cell>
        </row>
        <row r="795">
          <cell r="C795">
            <v>17</v>
          </cell>
        </row>
        <row r="795">
          <cell r="E795">
            <v>483</v>
          </cell>
        </row>
        <row r="795">
          <cell r="AH795" t="str">
            <v>历史</v>
          </cell>
        </row>
        <row r="796">
          <cell r="C796">
            <v>17</v>
          </cell>
        </row>
        <row r="796">
          <cell r="E796">
            <v>458</v>
          </cell>
        </row>
        <row r="796">
          <cell r="AH796" t="str">
            <v>历史</v>
          </cell>
        </row>
        <row r="797">
          <cell r="C797">
            <v>17</v>
          </cell>
        </row>
        <row r="797">
          <cell r="E797">
            <v>447.5</v>
          </cell>
        </row>
        <row r="797">
          <cell r="AH797" t="str">
            <v>历史</v>
          </cell>
        </row>
        <row r="798">
          <cell r="C798">
            <v>17</v>
          </cell>
        </row>
        <row r="798">
          <cell r="E798">
            <v>453.25</v>
          </cell>
        </row>
        <row r="798">
          <cell r="AH798" t="str">
            <v>历史</v>
          </cell>
        </row>
        <row r="799">
          <cell r="C799">
            <v>17</v>
          </cell>
        </row>
        <row r="799">
          <cell r="E799">
            <v>500.5</v>
          </cell>
        </row>
        <row r="799">
          <cell r="AH799" t="str">
            <v>历史</v>
          </cell>
        </row>
        <row r="800">
          <cell r="C800">
            <v>17</v>
          </cell>
        </row>
        <row r="800">
          <cell r="E800">
            <v>450.5</v>
          </cell>
        </row>
        <row r="800">
          <cell r="AH800" t="str">
            <v>历史</v>
          </cell>
        </row>
        <row r="801">
          <cell r="C801">
            <v>17</v>
          </cell>
        </row>
        <row r="801">
          <cell r="E801">
            <v>517.5</v>
          </cell>
        </row>
        <row r="801">
          <cell r="AH801" t="str">
            <v>历史</v>
          </cell>
        </row>
        <row r="802">
          <cell r="C802">
            <v>17</v>
          </cell>
        </row>
        <row r="802">
          <cell r="E802">
            <v>471.5</v>
          </cell>
        </row>
        <row r="802">
          <cell r="AH802" t="str">
            <v>历史</v>
          </cell>
        </row>
        <row r="803">
          <cell r="C803">
            <v>17</v>
          </cell>
        </row>
        <row r="803">
          <cell r="E803">
            <v>461.5</v>
          </cell>
        </row>
        <row r="803">
          <cell r="AH803" t="str">
            <v>历史</v>
          </cell>
        </row>
        <row r="804">
          <cell r="C804">
            <v>17</v>
          </cell>
        </row>
        <row r="804">
          <cell r="E804">
            <v>465.5</v>
          </cell>
        </row>
        <row r="804">
          <cell r="AH804" t="str">
            <v>历史</v>
          </cell>
        </row>
        <row r="805">
          <cell r="C805">
            <v>17</v>
          </cell>
        </row>
        <row r="805">
          <cell r="E805">
            <v>482</v>
          </cell>
        </row>
        <row r="805">
          <cell r="AH805" t="str">
            <v>历史</v>
          </cell>
        </row>
        <row r="806">
          <cell r="C806">
            <v>17</v>
          </cell>
        </row>
        <row r="806">
          <cell r="E806">
            <v>471.5</v>
          </cell>
        </row>
        <row r="806">
          <cell r="AH806" t="str">
            <v>历史</v>
          </cell>
        </row>
        <row r="807">
          <cell r="C807">
            <v>17</v>
          </cell>
        </row>
        <row r="807">
          <cell r="E807">
            <v>459</v>
          </cell>
        </row>
        <row r="807">
          <cell r="AH807" t="str">
            <v>历史</v>
          </cell>
        </row>
        <row r="808">
          <cell r="C808">
            <v>17</v>
          </cell>
        </row>
        <row r="808">
          <cell r="E808">
            <v>431</v>
          </cell>
        </row>
        <row r="808">
          <cell r="AH808" t="str">
            <v>历史</v>
          </cell>
        </row>
        <row r="809">
          <cell r="C809">
            <v>17</v>
          </cell>
        </row>
        <row r="809">
          <cell r="E809">
            <v>464.25</v>
          </cell>
        </row>
        <row r="809">
          <cell r="AH809" t="str">
            <v>历史</v>
          </cell>
        </row>
        <row r="810">
          <cell r="C810">
            <v>17</v>
          </cell>
        </row>
        <row r="810">
          <cell r="E810">
            <v>428</v>
          </cell>
        </row>
        <row r="810">
          <cell r="AH810" t="str">
            <v>历史</v>
          </cell>
        </row>
        <row r="811">
          <cell r="C811">
            <v>17</v>
          </cell>
        </row>
        <row r="811">
          <cell r="E811">
            <v>442</v>
          </cell>
        </row>
        <row r="811">
          <cell r="AH811" t="str">
            <v>历史</v>
          </cell>
        </row>
        <row r="812">
          <cell r="C812">
            <v>17</v>
          </cell>
        </row>
        <row r="812">
          <cell r="E812">
            <v>408</v>
          </cell>
        </row>
        <row r="812">
          <cell r="AH812" t="str">
            <v>历史</v>
          </cell>
        </row>
        <row r="813">
          <cell r="C813">
            <v>17</v>
          </cell>
        </row>
        <row r="813">
          <cell r="E813">
            <v>443.5</v>
          </cell>
        </row>
        <row r="813">
          <cell r="AH813" t="str">
            <v>历史</v>
          </cell>
        </row>
        <row r="814">
          <cell r="C814">
            <v>17</v>
          </cell>
        </row>
        <row r="814">
          <cell r="E814">
            <v>410.5</v>
          </cell>
        </row>
        <row r="814">
          <cell r="AH814" t="str">
            <v>历史</v>
          </cell>
        </row>
        <row r="815">
          <cell r="C815">
            <v>17</v>
          </cell>
        </row>
        <row r="815">
          <cell r="E815">
            <v>493.5</v>
          </cell>
        </row>
        <row r="815">
          <cell r="AH815" t="str">
            <v>历史</v>
          </cell>
        </row>
        <row r="816">
          <cell r="C816">
            <v>17</v>
          </cell>
        </row>
        <row r="816">
          <cell r="E816">
            <v>429.25</v>
          </cell>
        </row>
        <row r="816">
          <cell r="AH816" t="str">
            <v>历史</v>
          </cell>
        </row>
        <row r="817">
          <cell r="E817">
            <v>94</v>
          </cell>
        </row>
        <row r="817">
          <cell r="AH817" t="str">
            <v>历史</v>
          </cell>
        </row>
        <row r="818">
          <cell r="C818">
            <v>18</v>
          </cell>
        </row>
        <row r="818">
          <cell r="E818">
            <v>571.5</v>
          </cell>
        </row>
        <row r="818">
          <cell r="AH818" t="str">
            <v>历史</v>
          </cell>
        </row>
        <row r="819">
          <cell r="C819">
            <v>18</v>
          </cell>
        </row>
        <row r="819">
          <cell r="E819">
            <v>575.25</v>
          </cell>
        </row>
        <row r="819">
          <cell r="AH819" t="str">
            <v>历史</v>
          </cell>
        </row>
        <row r="820">
          <cell r="C820">
            <v>18</v>
          </cell>
        </row>
        <row r="820">
          <cell r="E820">
            <v>547.5</v>
          </cell>
        </row>
        <row r="820">
          <cell r="AH820" t="str">
            <v>历史</v>
          </cell>
        </row>
        <row r="821">
          <cell r="C821">
            <v>18</v>
          </cell>
        </row>
        <row r="821">
          <cell r="E821">
            <v>520.75</v>
          </cell>
        </row>
        <row r="821">
          <cell r="AH821" t="str">
            <v>历史</v>
          </cell>
        </row>
        <row r="822">
          <cell r="C822">
            <v>18</v>
          </cell>
        </row>
        <row r="822">
          <cell r="E822">
            <v>572</v>
          </cell>
        </row>
        <row r="822">
          <cell r="AH822" t="str">
            <v>历史</v>
          </cell>
        </row>
        <row r="823">
          <cell r="C823">
            <v>18</v>
          </cell>
        </row>
        <row r="823">
          <cell r="E823">
            <v>562.5</v>
          </cell>
        </row>
        <row r="823">
          <cell r="AH823" t="str">
            <v>历史</v>
          </cell>
        </row>
        <row r="824">
          <cell r="C824">
            <v>18</v>
          </cell>
        </row>
        <row r="824">
          <cell r="E824">
            <v>588.5</v>
          </cell>
        </row>
        <row r="824">
          <cell r="AH824" t="str">
            <v>历史</v>
          </cell>
        </row>
        <row r="825">
          <cell r="C825">
            <v>18</v>
          </cell>
        </row>
        <row r="825">
          <cell r="E825">
            <v>549.25</v>
          </cell>
        </row>
        <row r="825">
          <cell r="AH825" t="str">
            <v>历史</v>
          </cell>
        </row>
        <row r="826">
          <cell r="C826">
            <v>18</v>
          </cell>
        </row>
        <row r="826">
          <cell r="E826">
            <v>540.75</v>
          </cell>
        </row>
        <row r="826">
          <cell r="AH826" t="str">
            <v>历史</v>
          </cell>
        </row>
        <row r="827">
          <cell r="C827">
            <v>18</v>
          </cell>
        </row>
        <row r="827">
          <cell r="E827">
            <v>529</v>
          </cell>
        </row>
        <row r="827">
          <cell r="AH827" t="str">
            <v>历史</v>
          </cell>
        </row>
        <row r="828">
          <cell r="C828">
            <v>18</v>
          </cell>
        </row>
        <row r="828">
          <cell r="E828">
            <v>555</v>
          </cell>
        </row>
        <row r="828">
          <cell r="AH828" t="str">
            <v>历史</v>
          </cell>
        </row>
        <row r="829">
          <cell r="C829">
            <v>18</v>
          </cell>
        </row>
        <row r="829">
          <cell r="E829">
            <v>553.5</v>
          </cell>
        </row>
        <row r="829">
          <cell r="AH829" t="str">
            <v>历史</v>
          </cell>
        </row>
        <row r="830">
          <cell r="C830">
            <v>18</v>
          </cell>
        </row>
        <row r="830">
          <cell r="E830">
            <v>560</v>
          </cell>
        </row>
        <row r="830">
          <cell r="AH830" t="str">
            <v>历史</v>
          </cell>
        </row>
        <row r="831">
          <cell r="C831">
            <v>18</v>
          </cell>
        </row>
        <row r="831">
          <cell r="E831">
            <v>556.5</v>
          </cell>
        </row>
        <row r="831">
          <cell r="AH831" t="str">
            <v>历史</v>
          </cell>
        </row>
        <row r="832">
          <cell r="C832">
            <v>18</v>
          </cell>
        </row>
        <row r="832">
          <cell r="E832">
            <v>559</v>
          </cell>
        </row>
        <row r="832">
          <cell r="AH832" t="str">
            <v>历史</v>
          </cell>
        </row>
        <row r="833">
          <cell r="C833">
            <v>18</v>
          </cell>
        </row>
        <row r="833">
          <cell r="E833">
            <v>559.5</v>
          </cell>
        </row>
        <row r="833">
          <cell r="AH833" t="str">
            <v>历史</v>
          </cell>
        </row>
        <row r="834">
          <cell r="C834">
            <v>18</v>
          </cell>
        </row>
        <row r="834">
          <cell r="E834">
            <v>552.5</v>
          </cell>
        </row>
        <row r="834">
          <cell r="AH834" t="str">
            <v>历史</v>
          </cell>
        </row>
        <row r="835">
          <cell r="C835">
            <v>18</v>
          </cell>
        </row>
        <row r="835">
          <cell r="E835">
            <v>507</v>
          </cell>
        </row>
        <row r="835">
          <cell r="AH835" t="str">
            <v>历史</v>
          </cell>
        </row>
        <row r="836">
          <cell r="C836">
            <v>18</v>
          </cell>
        </row>
        <row r="836">
          <cell r="E836">
            <v>532.5</v>
          </cell>
        </row>
        <row r="836">
          <cell r="AH836" t="str">
            <v>历史</v>
          </cell>
        </row>
        <row r="837">
          <cell r="C837">
            <v>18</v>
          </cell>
        </row>
        <row r="837">
          <cell r="E837">
            <v>515</v>
          </cell>
        </row>
        <row r="837">
          <cell r="AH837" t="str">
            <v>历史</v>
          </cell>
        </row>
        <row r="838">
          <cell r="C838">
            <v>18</v>
          </cell>
        </row>
        <row r="838">
          <cell r="E838">
            <v>515.75</v>
          </cell>
        </row>
        <row r="838">
          <cell r="AH838" t="str">
            <v>历史</v>
          </cell>
        </row>
        <row r="839">
          <cell r="C839">
            <v>18</v>
          </cell>
        </row>
        <row r="839">
          <cell r="E839">
            <v>578</v>
          </cell>
        </row>
        <row r="839">
          <cell r="AH839" t="str">
            <v>历史</v>
          </cell>
        </row>
        <row r="840">
          <cell r="C840">
            <v>18</v>
          </cell>
        </row>
        <row r="840">
          <cell r="E840">
            <v>540.5</v>
          </cell>
        </row>
        <row r="840">
          <cell r="AH840" t="str">
            <v>历史</v>
          </cell>
        </row>
        <row r="841">
          <cell r="C841">
            <v>18</v>
          </cell>
        </row>
        <row r="841">
          <cell r="E841">
            <v>523.5</v>
          </cell>
        </row>
        <row r="841">
          <cell r="AH841" t="str">
            <v>历史</v>
          </cell>
        </row>
        <row r="842">
          <cell r="C842">
            <v>18</v>
          </cell>
        </row>
        <row r="842">
          <cell r="E842">
            <v>526.5</v>
          </cell>
        </row>
        <row r="842">
          <cell r="AH842" t="str">
            <v>历史</v>
          </cell>
        </row>
        <row r="843">
          <cell r="C843">
            <v>18</v>
          </cell>
        </row>
        <row r="843">
          <cell r="E843">
            <v>486.5</v>
          </cell>
        </row>
        <row r="843">
          <cell r="AH843" t="str">
            <v>历史</v>
          </cell>
        </row>
        <row r="844">
          <cell r="C844">
            <v>18</v>
          </cell>
        </row>
        <row r="844">
          <cell r="E844">
            <v>544.5</v>
          </cell>
        </row>
        <row r="844">
          <cell r="AH844" t="str">
            <v>历史</v>
          </cell>
        </row>
        <row r="845">
          <cell r="C845">
            <v>18</v>
          </cell>
        </row>
        <row r="845">
          <cell r="E845">
            <v>561.5</v>
          </cell>
        </row>
        <row r="845">
          <cell r="AH845" t="str">
            <v>历史</v>
          </cell>
        </row>
        <row r="846">
          <cell r="C846">
            <v>18</v>
          </cell>
        </row>
        <row r="846">
          <cell r="E846">
            <v>487.5</v>
          </cell>
        </row>
        <row r="846">
          <cell r="AH846" t="str">
            <v>历史</v>
          </cell>
        </row>
        <row r="847">
          <cell r="C847">
            <v>18</v>
          </cell>
        </row>
        <row r="847">
          <cell r="E847">
            <v>507.25</v>
          </cell>
        </row>
        <row r="847">
          <cell r="AH847" t="str">
            <v>历史</v>
          </cell>
        </row>
        <row r="848">
          <cell r="C848">
            <v>18</v>
          </cell>
        </row>
        <row r="848">
          <cell r="E848">
            <v>527</v>
          </cell>
        </row>
        <row r="848">
          <cell r="AH848" t="str">
            <v>历史</v>
          </cell>
        </row>
        <row r="849">
          <cell r="C849">
            <v>18</v>
          </cell>
        </row>
        <row r="849">
          <cell r="E849">
            <v>533</v>
          </cell>
        </row>
        <row r="849">
          <cell r="AH849" t="str">
            <v>历史</v>
          </cell>
        </row>
        <row r="850">
          <cell r="C850">
            <v>18</v>
          </cell>
        </row>
        <row r="850">
          <cell r="E850">
            <v>514</v>
          </cell>
        </row>
        <row r="850">
          <cell r="AH850" t="str">
            <v>历史</v>
          </cell>
        </row>
        <row r="851">
          <cell r="C851">
            <v>18</v>
          </cell>
        </row>
        <row r="851">
          <cell r="E851">
            <v>536.5</v>
          </cell>
        </row>
        <row r="851">
          <cell r="AH851" t="str">
            <v>历史</v>
          </cell>
        </row>
        <row r="852">
          <cell r="C852">
            <v>18</v>
          </cell>
        </row>
        <row r="852">
          <cell r="E852">
            <v>540.5</v>
          </cell>
        </row>
        <row r="852">
          <cell r="AH852" t="str">
            <v>历史</v>
          </cell>
        </row>
        <row r="853">
          <cell r="C853">
            <v>18</v>
          </cell>
        </row>
        <row r="853">
          <cell r="E853">
            <v>510</v>
          </cell>
        </row>
        <row r="853">
          <cell r="AH853" t="str">
            <v>历史</v>
          </cell>
        </row>
        <row r="854">
          <cell r="C854">
            <v>18</v>
          </cell>
        </row>
        <row r="854">
          <cell r="E854">
            <v>484</v>
          </cell>
        </row>
        <row r="854">
          <cell r="AH854" t="str">
            <v>历史</v>
          </cell>
        </row>
        <row r="855">
          <cell r="C855">
            <v>18</v>
          </cell>
        </row>
        <row r="855">
          <cell r="E855">
            <v>532.5</v>
          </cell>
        </row>
        <row r="855">
          <cell r="AH855" t="str">
            <v>历史</v>
          </cell>
        </row>
        <row r="856">
          <cell r="C856">
            <v>18</v>
          </cell>
        </row>
        <row r="856">
          <cell r="E856">
            <v>547.5</v>
          </cell>
        </row>
        <row r="856">
          <cell r="AH856" t="str">
            <v>历史</v>
          </cell>
        </row>
        <row r="857">
          <cell r="C857">
            <v>18</v>
          </cell>
        </row>
        <row r="857">
          <cell r="E857">
            <v>519</v>
          </cell>
        </row>
        <row r="857">
          <cell r="AH857" t="str">
            <v>历史</v>
          </cell>
        </row>
        <row r="858">
          <cell r="C858">
            <v>18</v>
          </cell>
        </row>
        <row r="858">
          <cell r="E858">
            <v>492</v>
          </cell>
        </row>
        <row r="858">
          <cell r="AH858" t="str">
            <v>历史</v>
          </cell>
        </row>
        <row r="859">
          <cell r="C859">
            <v>18</v>
          </cell>
        </row>
        <row r="859">
          <cell r="E859">
            <v>521</v>
          </cell>
        </row>
        <row r="859">
          <cell r="AH859" t="str">
            <v>历史</v>
          </cell>
        </row>
        <row r="860">
          <cell r="C860">
            <v>18</v>
          </cell>
        </row>
        <row r="860">
          <cell r="E860">
            <v>514.5</v>
          </cell>
        </row>
        <row r="860">
          <cell r="AH860" t="str">
            <v>历史</v>
          </cell>
        </row>
        <row r="861">
          <cell r="C861">
            <v>18</v>
          </cell>
        </row>
        <row r="861">
          <cell r="E861">
            <v>504.5</v>
          </cell>
        </row>
        <row r="861">
          <cell r="AH861" t="str">
            <v>历史</v>
          </cell>
        </row>
        <row r="862">
          <cell r="C862">
            <v>18</v>
          </cell>
        </row>
        <row r="862">
          <cell r="E862">
            <v>554</v>
          </cell>
        </row>
        <row r="862">
          <cell r="AH862" t="str">
            <v>历史</v>
          </cell>
        </row>
        <row r="863">
          <cell r="C863">
            <v>18</v>
          </cell>
        </row>
        <row r="863">
          <cell r="E863">
            <v>496</v>
          </cell>
        </row>
        <row r="863">
          <cell r="AH863" t="str">
            <v>历史</v>
          </cell>
        </row>
        <row r="864">
          <cell r="C864">
            <v>18</v>
          </cell>
        </row>
        <row r="864">
          <cell r="E864">
            <v>486</v>
          </cell>
        </row>
        <row r="864">
          <cell r="AH864" t="str">
            <v>历史</v>
          </cell>
        </row>
        <row r="865">
          <cell r="C865">
            <v>18</v>
          </cell>
        </row>
        <row r="865">
          <cell r="E865">
            <v>473.25</v>
          </cell>
        </row>
        <row r="866">
          <cell r="C866">
            <v>18</v>
          </cell>
        </row>
        <row r="866">
          <cell r="E866">
            <v>481</v>
          </cell>
        </row>
        <row r="866">
          <cell r="AH866" t="str">
            <v>历史</v>
          </cell>
        </row>
      </sheetData>
      <sheetData sheetId="6">
        <row r="4">
          <cell r="C4">
            <v>1</v>
          </cell>
          <cell r="D4">
            <v>471.5</v>
          </cell>
        </row>
        <row r="4">
          <cell r="G4">
            <v>103</v>
          </cell>
        </row>
        <row r="4">
          <cell r="J4">
            <v>101.5</v>
          </cell>
        </row>
        <row r="4">
          <cell r="M4">
            <v>93.5</v>
          </cell>
        </row>
        <row r="4">
          <cell r="P4">
            <v>73.5</v>
          </cell>
        </row>
        <row r="4">
          <cell r="S4">
            <v>50</v>
          </cell>
        </row>
        <row r="4">
          <cell r="V4">
            <v>50</v>
          </cell>
        </row>
        <row r="5">
          <cell r="C5">
            <v>1</v>
          </cell>
          <cell r="D5">
            <v>469</v>
          </cell>
        </row>
        <row r="5">
          <cell r="G5">
            <v>103</v>
          </cell>
        </row>
        <row r="5">
          <cell r="J5">
            <v>99.5</v>
          </cell>
        </row>
        <row r="5">
          <cell r="M5">
            <v>103</v>
          </cell>
        </row>
        <row r="5">
          <cell r="P5">
            <v>61</v>
          </cell>
        </row>
        <row r="5">
          <cell r="S5">
            <v>47.5</v>
          </cell>
        </row>
        <row r="5">
          <cell r="V5">
            <v>55</v>
          </cell>
        </row>
        <row r="6">
          <cell r="C6">
            <v>1</v>
          </cell>
          <cell r="D6">
            <v>471</v>
          </cell>
        </row>
        <row r="6">
          <cell r="G6">
            <v>110.5</v>
          </cell>
        </row>
        <row r="6">
          <cell r="J6">
            <v>70.5</v>
          </cell>
        </row>
        <row r="6">
          <cell r="M6">
            <v>122.5</v>
          </cell>
        </row>
        <row r="6">
          <cell r="P6">
            <v>55</v>
          </cell>
        </row>
        <row r="6">
          <cell r="S6">
            <v>42</v>
          </cell>
        </row>
        <row r="6">
          <cell r="V6">
            <v>70.5</v>
          </cell>
        </row>
        <row r="7">
          <cell r="C7">
            <v>1</v>
          </cell>
          <cell r="D7">
            <v>498.5</v>
          </cell>
        </row>
        <row r="7">
          <cell r="G7">
            <v>106</v>
          </cell>
        </row>
        <row r="7">
          <cell r="J7">
            <v>97.5</v>
          </cell>
        </row>
        <row r="7">
          <cell r="M7">
            <v>103</v>
          </cell>
        </row>
        <row r="7">
          <cell r="P7">
            <v>72.5</v>
          </cell>
        </row>
        <row r="7">
          <cell r="S7">
            <v>58</v>
          </cell>
        </row>
        <row r="7">
          <cell r="V7">
            <v>61.5</v>
          </cell>
        </row>
        <row r="8">
          <cell r="C8">
            <v>1</v>
          </cell>
          <cell r="D8">
            <v>452.5</v>
          </cell>
        </row>
        <row r="8">
          <cell r="G8">
            <v>91</v>
          </cell>
        </row>
        <row r="8">
          <cell r="J8">
            <v>89.5</v>
          </cell>
        </row>
        <row r="8">
          <cell r="M8">
            <v>71.5</v>
          </cell>
        </row>
        <row r="8">
          <cell r="P8">
            <v>82</v>
          </cell>
        </row>
        <row r="8">
          <cell r="S8">
            <v>61.5</v>
          </cell>
        </row>
        <row r="8">
          <cell r="V8">
            <v>57</v>
          </cell>
        </row>
        <row r="9">
          <cell r="C9">
            <v>1</v>
          </cell>
          <cell r="D9">
            <v>479.75</v>
          </cell>
        </row>
        <row r="9">
          <cell r="G9">
            <v>103.75</v>
          </cell>
        </row>
        <row r="9">
          <cell r="J9">
            <v>95.5</v>
          </cell>
        </row>
        <row r="9">
          <cell r="M9">
            <v>109</v>
          </cell>
        </row>
        <row r="9">
          <cell r="P9">
            <v>68</v>
          </cell>
        </row>
        <row r="9">
          <cell r="S9">
            <v>50.5</v>
          </cell>
        </row>
        <row r="9">
          <cell r="V9">
            <v>53</v>
          </cell>
        </row>
        <row r="10">
          <cell r="C10">
            <v>1</v>
          </cell>
          <cell r="D10">
            <v>425.5</v>
          </cell>
        </row>
        <row r="10">
          <cell r="G10">
            <v>96.5</v>
          </cell>
        </row>
        <row r="10">
          <cell r="J10">
            <v>86.5</v>
          </cell>
        </row>
        <row r="10">
          <cell r="M10">
            <v>84.5</v>
          </cell>
        </row>
        <row r="10">
          <cell r="P10">
            <v>55.5</v>
          </cell>
        </row>
        <row r="10">
          <cell r="S10">
            <v>41</v>
          </cell>
        </row>
        <row r="10">
          <cell r="V10">
            <v>61.5</v>
          </cell>
        </row>
        <row r="11">
          <cell r="C11">
            <v>1</v>
          </cell>
          <cell r="D11">
            <v>390</v>
          </cell>
        </row>
        <row r="11">
          <cell r="G11">
            <v>102.5</v>
          </cell>
        </row>
        <row r="11">
          <cell r="J11">
            <v>80</v>
          </cell>
        </row>
        <row r="11">
          <cell r="M11">
            <v>100</v>
          </cell>
        </row>
        <row r="11">
          <cell r="P11">
            <v>59</v>
          </cell>
        </row>
        <row r="11">
          <cell r="S11">
            <v>48.5</v>
          </cell>
        </row>
        <row r="12">
          <cell r="C12">
            <v>1</v>
          </cell>
          <cell r="D12">
            <v>452.25</v>
          </cell>
        </row>
        <row r="12">
          <cell r="G12">
            <v>102.25</v>
          </cell>
        </row>
        <row r="12">
          <cell r="J12">
            <v>84</v>
          </cell>
        </row>
        <row r="12">
          <cell r="M12">
            <v>98.5</v>
          </cell>
        </row>
        <row r="12">
          <cell r="P12">
            <v>63</v>
          </cell>
        </row>
        <row r="12">
          <cell r="S12">
            <v>42</v>
          </cell>
        </row>
        <row r="12">
          <cell r="V12">
            <v>62.5</v>
          </cell>
        </row>
        <row r="13">
          <cell r="C13">
            <v>1</v>
          </cell>
          <cell r="D13">
            <v>466.75</v>
          </cell>
        </row>
        <row r="13">
          <cell r="G13">
            <v>97</v>
          </cell>
        </row>
        <row r="13">
          <cell r="J13">
            <v>81</v>
          </cell>
        </row>
        <row r="13">
          <cell r="M13">
            <v>92.5</v>
          </cell>
        </row>
        <row r="13">
          <cell r="P13">
            <v>63</v>
          </cell>
        </row>
        <row r="13">
          <cell r="S13">
            <v>62.25</v>
          </cell>
        </row>
        <row r="13">
          <cell r="V13">
            <v>71</v>
          </cell>
        </row>
        <row r="14">
          <cell r="C14">
            <v>1</v>
          </cell>
          <cell r="D14">
            <v>475</v>
          </cell>
        </row>
        <row r="14">
          <cell r="G14">
            <v>102</v>
          </cell>
        </row>
        <row r="14">
          <cell r="J14">
            <v>92.5</v>
          </cell>
        </row>
        <row r="14">
          <cell r="M14">
            <v>100</v>
          </cell>
        </row>
        <row r="14">
          <cell r="P14">
            <v>76</v>
          </cell>
        </row>
        <row r="14">
          <cell r="S14">
            <v>46.5</v>
          </cell>
        </row>
        <row r="14">
          <cell r="V14">
            <v>58</v>
          </cell>
        </row>
        <row r="15">
          <cell r="C15">
            <v>1</v>
          </cell>
          <cell r="D15">
            <v>476.5</v>
          </cell>
        </row>
        <row r="15">
          <cell r="G15">
            <v>101</v>
          </cell>
        </row>
        <row r="15">
          <cell r="J15">
            <v>78.5</v>
          </cell>
        </row>
        <row r="15">
          <cell r="M15">
            <v>112.5</v>
          </cell>
        </row>
        <row r="15">
          <cell r="P15">
            <v>77.5</v>
          </cell>
        </row>
        <row r="15">
          <cell r="S15">
            <v>53.5</v>
          </cell>
        </row>
        <row r="15">
          <cell r="V15">
            <v>53.5</v>
          </cell>
        </row>
        <row r="16">
          <cell r="C16">
            <v>1</v>
          </cell>
          <cell r="D16">
            <v>505.75</v>
          </cell>
        </row>
        <row r="16">
          <cell r="G16">
            <v>112.5</v>
          </cell>
        </row>
        <row r="16">
          <cell r="J16">
            <v>90.5</v>
          </cell>
        </row>
        <row r="16">
          <cell r="M16">
            <v>123.25</v>
          </cell>
        </row>
        <row r="16">
          <cell r="P16">
            <v>69.5</v>
          </cell>
        </row>
        <row r="16">
          <cell r="S16">
            <v>51.5</v>
          </cell>
        </row>
        <row r="16">
          <cell r="V16">
            <v>58.5</v>
          </cell>
        </row>
        <row r="17">
          <cell r="C17">
            <v>1</v>
          </cell>
          <cell r="D17">
            <v>413</v>
          </cell>
        </row>
        <row r="17">
          <cell r="G17">
            <v>99.5</v>
          </cell>
        </row>
        <row r="17">
          <cell r="J17">
            <v>68</v>
          </cell>
        </row>
        <row r="17">
          <cell r="M17">
            <v>84</v>
          </cell>
        </row>
        <row r="17">
          <cell r="P17">
            <v>66.5</v>
          </cell>
        </row>
        <row r="17">
          <cell r="S17">
            <v>53.5</v>
          </cell>
        </row>
        <row r="17">
          <cell r="V17">
            <v>41.5</v>
          </cell>
        </row>
        <row r="18">
          <cell r="C18">
            <v>1</v>
          </cell>
          <cell r="D18">
            <v>383.5</v>
          </cell>
        </row>
        <row r="18">
          <cell r="G18">
            <v>102</v>
          </cell>
        </row>
        <row r="18">
          <cell r="J18">
            <v>55</v>
          </cell>
        </row>
        <row r="18">
          <cell r="M18">
            <v>89.5</v>
          </cell>
        </row>
        <row r="18">
          <cell r="P18">
            <v>46.5</v>
          </cell>
        </row>
        <row r="18">
          <cell r="S18">
            <v>34.5</v>
          </cell>
        </row>
        <row r="18">
          <cell r="V18">
            <v>56</v>
          </cell>
        </row>
        <row r="19">
          <cell r="C19">
            <v>1</v>
          </cell>
          <cell r="D19">
            <v>461.75</v>
          </cell>
        </row>
        <row r="19">
          <cell r="G19">
            <v>105.75</v>
          </cell>
        </row>
        <row r="19">
          <cell r="J19">
            <v>93</v>
          </cell>
        </row>
        <row r="19">
          <cell r="M19">
            <v>91</v>
          </cell>
        </row>
        <row r="19">
          <cell r="P19">
            <v>56.5</v>
          </cell>
        </row>
        <row r="19">
          <cell r="S19">
            <v>49</v>
          </cell>
        </row>
        <row r="19">
          <cell r="V19">
            <v>66.5</v>
          </cell>
        </row>
        <row r="20">
          <cell r="C20">
            <v>1</v>
          </cell>
          <cell r="D20">
            <v>429.75</v>
          </cell>
        </row>
        <row r="20">
          <cell r="G20">
            <v>91.25</v>
          </cell>
        </row>
        <row r="20">
          <cell r="J20">
            <v>67</v>
          </cell>
        </row>
        <row r="20">
          <cell r="M20">
            <v>79.5</v>
          </cell>
        </row>
        <row r="20">
          <cell r="P20">
            <v>66</v>
          </cell>
        </row>
        <row r="20">
          <cell r="S20">
            <v>58</v>
          </cell>
        </row>
        <row r="20">
          <cell r="V20">
            <v>68</v>
          </cell>
        </row>
        <row r="21">
          <cell r="C21">
            <v>1</v>
          </cell>
          <cell r="D21">
            <v>466.25</v>
          </cell>
        </row>
        <row r="21">
          <cell r="G21">
            <v>108.5</v>
          </cell>
        </row>
        <row r="21">
          <cell r="J21">
            <v>66</v>
          </cell>
        </row>
        <row r="21">
          <cell r="M21">
            <v>128</v>
          </cell>
        </row>
        <row r="21">
          <cell r="P21">
            <v>55.5</v>
          </cell>
        </row>
        <row r="21">
          <cell r="S21">
            <v>53.25</v>
          </cell>
        </row>
        <row r="21">
          <cell r="V21">
            <v>55</v>
          </cell>
        </row>
        <row r="22">
          <cell r="C22">
            <v>1</v>
          </cell>
          <cell r="D22">
            <v>441.5</v>
          </cell>
        </row>
        <row r="22">
          <cell r="G22">
            <v>94.5</v>
          </cell>
        </row>
        <row r="22">
          <cell r="J22">
            <v>53</v>
          </cell>
        </row>
        <row r="22">
          <cell r="M22">
            <v>90.5</v>
          </cell>
        </row>
        <row r="22">
          <cell r="P22">
            <v>76</v>
          </cell>
        </row>
        <row r="22">
          <cell r="S22">
            <v>58</v>
          </cell>
        </row>
        <row r="22">
          <cell r="V22">
            <v>69.5</v>
          </cell>
        </row>
        <row r="23">
          <cell r="C23">
            <v>1</v>
          </cell>
          <cell r="D23">
            <v>365.5</v>
          </cell>
        </row>
        <row r="23">
          <cell r="G23">
            <v>92</v>
          </cell>
        </row>
        <row r="23">
          <cell r="J23">
            <v>36</v>
          </cell>
        </row>
        <row r="23">
          <cell r="M23">
            <v>75</v>
          </cell>
        </row>
        <row r="23">
          <cell r="P23">
            <v>56</v>
          </cell>
        </row>
        <row r="23">
          <cell r="S23">
            <v>49.5</v>
          </cell>
        </row>
        <row r="23">
          <cell r="V23">
            <v>57</v>
          </cell>
        </row>
        <row r="24">
          <cell r="C24">
            <v>1</v>
          </cell>
          <cell r="D24">
            <v>428</v>
          </cell>
        </row>
        <row r="24">
          <cell r="G24">
            <v>108.75</v>
          </cell>
        </row>
        <row r="24">
          <cell r="J24">
            <v>54</v>
          </cell>
        </row>
        <row r="24">
          <cell r="M24">
            <v>111</v>
          </cell>
        </row>
        <row r="24">
          <cell r="P24">
            <v>62.5</v>
          </cell>
        </row>
        <row r="24">
          <cell r="S24">
            <v>43.75</v>
          </cell>
        </row>
        <row r="24">
          <cell r="V24">
            <v>48</v>
          </cell>
        </row>
        <row r="25">
          <cell r="C25">
            <v>1</v>
          </cell>
          <cell r="D25">
            <v>456</v>
          </cell>
        </row>
        <row r="25">
          <cell r="G25">
            <v>86.5</v>
          </cell>
        </row>
        <row r="25">
          <cell r="J25">
            <v>82.5</v>
          </cell>
        </row>
        <row r="25">
          <cell r="M25">
            <v>102</v>
          </cell>
        </row>
        <row r="25">
          <cell r="P25">
            <v>80</v>
          </cell>
        </row>
        <row r="25">
          <cell r="S25">
            <v>43.5</v>
          </cell>
        </row>
        <row r="25">
          <cell r="V25">
            <v>61.5</v>
          </cell>
        </row>
        <row r="26">
          <cell r="C26">
            <v>1</v>
          </cell>
          <cell r="D26">
            <v>350.5</v>
          </cell>
        </row>
        <row r="26">
          <cell r="G26">
            <v>104.5</v>
          </cell>
        </row>
        <row r="26">
          <cell r="J26">
            <v>58</v>
          </cell>
        </row>
        <row r="26">
          <cell r="M26">
            <v>72</v>
          </cell>
        </row>
        <row r="26">
          <cell r="P26">
            <v>38.5</v>
          </cell>
        </row>
        <row r="26">
          <cell r="S26">
            <v>41.5</v>
          </cell>
        </row>
        <row r="26">
          <cell r="V26">
            <v>36</v>
          </cell>
        </row>
        <row r="27">
          <cell r="C27">
            <v>1</v>
          </cell>
          <cell r="D27">
            <v>489.5</v>
          </cell>
        </row>
        <row r="27">
          <cell r="G27">
            <v>103</v>
          </cell>
        </row>
        <row r="27">
          <cell r="J27">
            <v>83</v>
          </cell>
        </row>
        <row r="27">
          <cell r="M27">
            <v>113</v>
          </cell>
        </row>
        <row r="27">
          <cell r="P27">
            <v>71.5</v>
          </cell>
        </row>
        <row r="27">
          <cell r="S27">
            <v>55.5</v>
          </cell>
        </row>
        <row r="27">
          <cell r="V27">
            <v>63.5</v>
          </cell>
        </row>
        <row r="28">
          <cell r="C28">
            <v>1</v>
          </cell>
          <cell r="D28">
            <v>470</v>
          </cell>
        </row>
        <row r="28">
          <cell r="G28">
            <v>103.5</v>
          </cell>
        </row>
        <row r="28">
          <cell r="J28">
            <v>87</v>
          </cell>
        </row>
        <row r="28">
          <cell r="M28">
            <v>108.5</v>
          </cell>
        </row>
        <row r="28">
          <cell r="P28">
            <v>68</v>
          </cell>
        </row>
        <row r="28">
          <cell r="S28">
            <v>45</v>
          </cell>
        </row>
        <row r="28">
          <cell r="V28">
            <v>58</v>
          </cell>
        </row>
        <row r="29">
          <cell r="C29">
            <v>1</v>
          </cell>
          <cell r="D29">
            <v>413.5</v>
          </cell>
        </row>
        <row r="29">
          <cell r="G29">
            <v>95</v>
          </cell>
        </row>
        <row r="29">
          <cell r="J29">
            <v>103</v>
          </cell>
        </row>
        <row r="29">
          <cell r="M29">
            <v>58</v>
          </cell>
        </row>
        <row r="29">
          <cell r="P29">
            <v>61</v>
          </cell>
        </row>
        <row r="29">
          <cell r="S29">
            <v>40</v>
          </cell>
        </row>
        <row r="29">
          <cell r="V29">
            <v>56.5</v>
          </cell>
        </row>
        <row r="30">
          <cell r="C30">
            <v>1</v>
          </cell>
          <cell r="D30">
            <v>302.5</v>
          </cell>
        </row>
        <row r="30">
          <cell r="G30">
            <v>88</v>
          </cell>
        </row>
        <row r="30">
          <cell r="J30">
            <v>47</v>
          </cell>
        </row>
        <row r="30">
          <cell r="M30">
            <v>76</v>
          </cell>
        </row>
        <row r="30">
          <cell r="P30">
            <v>19.5</v>
          </cell>
        </row>
        <row r="30">
          <cell r="S30">
            <v>32</v>
          </cell>
        </row>
        <row r="30">
          <cell r="V30">
            <v>40</v>
          </cell>
        </row>
        <row r="31">
          <cell r="C31">
            <v>1</v>
          </cell>
          <cell r="D31">
            <v>444.5</v>
          </cell>
        </row>
        <row r="31">
          <cell r="G31">
            <v>104</v>
          </cell>
        </row>
        <row r="31">
          <cell r="J31">
            <v>76</v>
          </cell>
        </row>
        <row r="31">
          <cell r="M31">
            <v>124.5</v>
          </cell>
        </row>
        <row r="31">
          <cell r="P31">
            <v>53.5</v>
          </cell>
        </row>
        <row r="31">
          <cell r="S31">
            <v>39</v>
          </cell>
        </row>
        <row r="31">
          <cell r="V31">
            <v>47.5</v>
          </cell>
        </row>
        <row r="32">
          <cell r="C32">
            <v>1</v>
          </cell>
          <cell r="D32">
            <v>398</v>
          </cell>
        </row>
        <row r="32">
          <cell r="G32">
            <v>102.5</v>
          </cell>
        </row>
        <row r="32">
          <cell r="J32">
            <v>57.5</v>
          </cell>
        </row>
        <row r="32">
          <cell r="M32">
            <v>113</v>
          </cell>
        </row>
        <row r="32">
          <cell r="P32">
            <v>48</v>
          </cell>
        </row>
        <row r="32">
          <cell r="S32">
            <v>37</v>
          </cell>
        </row>
        <row r="32">
          <cell r="V32">
            <v>40</v>
          </cell>
        </row>
        <row r="33">
          <cell r="C33">
            <v>1</v>
          </cell>
          <cell r="D33">
            <v>426</v>
          </cell>
        </row>
        <row r="33">
          <cell r="G33">
            <v>99</v>
          </cell>
        </row>
        <row r="33">
          <cell r="J33">
            <v>63.5</v>
          </cell>
        </row>
        <row r="33">
          <cell r="M33">
            <v>95</v>
          </cell>
        </row>
        <row r="33">
          <cell r="P33">
            <v>55.5</v>
          </cell>
        </row>
        <row r="33">
          <cell r="S33">
            <v>54</v>
          </cell>
        </row>
        <row r="33">
          <cell r="V33">
            <v>59</v>
          </cell>
        </row>
        <row r="34">
          <cell r="C34">
            <v>1</v>
          </cell>
          <cell r="D34">
            <v>400.25</v>
          </cell>
        </row>
        <row r="34">
          <cell r="G34">
            <v>102.5</v>
          </cell>
        </row>
        <row r="34">
          <cell r="J34">
            <v>77.5</v>
          </cell>
        </row>
        <row r="34">
          <cell r="M34">
            <v>79.5</v>
          </cell>
        </row>
        <row r="34">
          <cell r="P34">
            <v>64.5</v>
          </cell>
        </row>
        <row r="34">
          <cell r="S34">
            <v>34.25</v>
          </cell>
        </row>
        <row r="34">
          <cell r="V34">
            <v>42</v>
          </cell>
        </row>
        <row r="35">
          <cell r="C35">
            <v>1</v>
          </cell>
          <cell r="D35">
            <v>457.25</v>
          </cell>
        </row>
        <row r="35">
          <cell r="G35">
            <v>103</v>
          </cell>
        </row>
        <row r="35">
          <cell r="J35">
            <v>99</v>
          </cell>
        </row>
        <row r="35">
          <cell r="M35">
            <v>107.5</v>
          </cell>
        </row>
        <row r="35">
          <cell r="P35">
            <v>66</v>
          </cell>
        </row>
        <row r="35">
          <cell r="S35">
            <v>45.25</v>
          </cell>
        </row>
        <row r="35">
          <cell r="V35">
            <v>36.5</v>
          </cell>
        </row>
        <row r="36">
          <cell r="C36">
            <v>1</v>
          </cell>
          <cell r="D36">
            <v>411</v>
          </cell>
        </row>
        <row r="36">
          <cell r="G36">
            <v>97.5</v>
          </cell>
        </row>
        <row r="36">
          <cell r="J36">
            <v>78</v>
          </cell>
        </row>
        <row r="36">
          <cell r="M36">
            <v>90</v>
          </cell>
        </row>
        <row r="36">
          <cell r="P36">
            <v>55</v>
          </cell>
        </row>
        <row r="36">
          <cell r="S36">
            <v>39</v>
          </cell>
        </row>
        <row r="36">
          <cell r="V36">
            <v>51.5</v>
          </cell>
        </row>
        <row r="37">
          <cell r="C37">
            <v>1</v>
          </cell>
          <cell r="D37">
            <v>440.5</v>
          </cell>
        </row>
        <row r="37">
          <cell r="G37">
            <v>94.5</v>
          </cell>
        </row>
        <row r="37">
          <cell r="J37">
            <v>85</v>
          </cell>
        </row>
        <row r="37">
          <cell r="M37">
            <v>97.5</v>
          </cell>
        </row>
        <row r="37">
          <cell r="P37">
            <v>65.5</v>
          </cell>
        </row>
        <row r="37">
          <cell r="S37">
            <v>47</v>
          </cell>
        </row>
        <row r="37">
          <cell r="V37">
            <v>51</v>
          </cell>
        </row>
        <row r="38">
          <cell r="C38">
            <v>1</v>
          </cell>
          <cell r="D38">
            <v>377.5</v>
          </cell>
        </row>
        <row r="38">
          <cell r="G38">
            <v>97</v>
          </cell>
        </row>
        <row r="38">
          <cell r="J38">
            <v>62.5</v>
          </cell>
        </row>
        <row r="38">
          <cell r="M38">
            <v>97</v>
          </cell>
        </row>
        <row r="38">
          <cell r="P38">
            <v>39.5</v>
          </cell>
        </row>
        <row r="38">
          <cell r="S38">
            <v>31</v>
          </cell>
        </row>
        <row r="38">
          <cell r="V38">
            <v>50.5</v>
          </cell>
        </row>
        <row r="39">
          <cell r="C39">
            <v>1</v>
          </cell>
          <cell r="D39">
            <v>439</v>
          </cell>
        </row>
        <row r="39">
          <cell r="G39">
            <v>109.5</v>
          </cell>
        </row>
        <row r="39">
          <cell r="J39">
            <v>65.5</v>
          </cell>
        </row>
        <row r="39">
          <cell r="M39">
            <v>109</v>
          </cell>
        </row>
        <row r="39">
          <cell r="P39">
            <v>67</v>
          </cell>
        </row>
        <row r="39">
          <cell r="S39">
            <v>40.5</v>
          </cell>
        </row>
        <row r="39">
          <cell r="V39">
            <v>47.5</v>
          </cell>
        </row>
        <row r="40">
          <cell r="C40">
            <v>1</v>
          </cell>
          <cell r="D40">
            <v>396.5</v>
          </cell>
        </row>
        <row r="40">
          <cell r="G40">
            <v>95</v>
          </cell>
        </row>
        <row r="40">
          <cell r="J40">
            <v>69.5</v>
          </cell>
        </row>
        <row r="40">
          <cell r="M40">
            <v>84.5</v>
          </cell>
        </row>
        <row r="40">
          <cell r="P40">
            <v>59.5</v>
          </cell>
        </row>
        <row r="40">
          <cell r="S40">
            <v>46</v>
          </cell>
        </row>
        <row r="40">
          <cell r="V40">
            <v>42</v>
          </cell>
        </row>
        <row r="41">
          <cell r="C41">
            <v>1</v>
          </cell>
          <cell r="D41">
            <v>374.5</v>
          </cell>
        </row>
        <row r="41">
          <cell r="G41">
            <v>91.5</v>
          </cell>
        </row>
        <row r="41">
          <cell r="J41">
            <v>59</v>
          </cell>
        </row>
        <row r="41">
          <cell r="M41">
            <v>98.5</v>
          </cell>
        </row>
        <row r="41">
          <cell r="P41">
            <v>40</v>
          </cell>
        </row>
        <row r="41">
          <cell r="S41">
            <v>39.5</v>
          </cell>
        </row>
        <row r="41">
          <cell r="V41">
            <v>46</v>
          </cell>
        </row>
        <row r="42">
          <cell r="C42">
            <v>1</v>
          </cell>
          <cell r="D42">
            <v>403</v>
          </cell>
        </row>
        <row r="42">
          <cell r="G42">
            <v>96.5</v>
          </cell>
        </row>
        <row r="42">
          <cell r="J42">
            <v>69.5</v>
          </cell>
        </row>
        <row r="42">
          <cell r="M42">
            <v>97</v>
          </cell>
        </row>
        <row r="42">
          <cell r="P42">
            <v>56</v>
          </cell>
        </row>
        <row r="42">
          <cell r="S42">
            <v>41</v>
          </cell>
        </row>
        <row r="42">
          <cell r="V42">
            <v>43</v>
          </cell>
        </row>
        <row r="43">
          <cell r="C43">
            <v>1</v>
          </cell>
          <cell r="D43">
            <v>461.5</v>
          </cell>
        </row>
        <row r="43">
          <cell r="G43">
            <v>91</v>
          </cell>
        </row>
        <row r="43">
          <cell r="J43">
            <v>82</v>
          </cell>
        </row>
        <row r="43">
          <cell r="M43">
            <v>105.5</v>
          </cell>
        </row>
        <row r="43">
          <cell r="P43">
            <v>68</v>
          </cell>
        </row>
        <row r="43">
          <cell r="S43">
            <v>62.5</v>
          </cell>
        </row>
        <row r="43">
          <cell r="V43">
            <v>52.5</v>
          </cell>
        </row>
        <row r="44">
          <cell r="C44">
            <v>1</v>
          </cell>
          <cell r="D44">
            <v>444.5</v>
          </cell>
        </row>
        <row r="44">
          <cell r="G44">
            <v>104</v>
          </cell>
        </row>
        <row r="44">
          <cell r="J44">
            <v>67</v>
          </cell>
        </row>
        <row r="44">
          <cell r="M44">
            <v>113.5</v>
          </cell>
        </row>
        <row r="44">
          <cell r="P44">
            <v>61</v>
          </cell>
        </row>
        <row r="44">
          <cell r="S44">
            <v>48</v>
          </cell>
        </row>
        <row r="44">
          <cell r="V44">
            <v>51</v>
          </cell>
        </row>
        <row r="45">
          <cell r="C45">
            <v>1</v>
          </cell>
          <cell r="D45">
            <v>454</v>
          </cell>
        </row>
        <row r="45">
          <cell r="G45">
            <v>92</v>
          </cell>
        </row>
        <row r="45">
          <cell r="J45">
            <v>78</v>
          </cell>
        </row>
        <row r="45">
          <cell r="M45">
            <v>96</v>
          </cell>
        </row>
        <row r="45">
          <cell r="P45">
            <v>74</v>
          </cell>
        </row>
        <row r="45">
          <cell r="S45">
            <v>53.5</v>
          </cell>
        </row>
        <row r="45">
          <cell r="V45">
            <v>60.5</v>
          </cell>
        </row>
        <row r="46">
          <cell r="C46">
            <v>1</v>
          </cell>
          <cell r="D46">
            <v>365.25</v>
          </cell>
        </row>
        <row r="46">
          <cell r="G46">
            <v>91.75</v>
          </cell>
        </row>
        <row r="46">
          <cell r="J46">
            <v>73</v>
          </cell>
        </row>
        <row r="46">
          <cell r="M46">
            <v>72</v>
          </cell>
        </row>
        <row r="46">
          <cell r="P46">
            <v>38</v>
          </cell>
        </row>
        <row r="46">
          <cell r="S46">
            <v>43</v>
          </cell>
        </row>
        <row r="46">
          <cell r="V46">
            <v>47.5</v>
          </cell>
        </row>
        <row r="47">
          <cell r="C47">
            <v>1</v>
          </cell>
          <cell r="D47">
            <v>404.25</v>
          </cell>
        </row>
        <row r="47">
          <cell r="G47">
            <v>94.5</v>
          </cell>
        </row>
        <row r="47">
          <cell r="J47">
            <v>88</v>
          </cell>
        </row>
        <row r="47">
          <cell r="M47">
            <v>85.5</v>
          </cell>
        </row>
        <row r="47">
          <cell r="P47">
            <v>48</v>
          </cell>
        </row>
        <row r="47">
          <cell r="S47">
            <v>42.25</v>
          </cell>
        </row>
        <row r="47">
          <cell r="V47">
            <v>46</v>
          </cell>
        </row>
        <row r="48">
          <cell r="C48">
            <v>1</v>
          </cell>
          <cell r="D48">
            <v>335.5</v>
          </cell>
        </row>
        <row r="48">
          <cell r="G48">
            <v>94</v>
          </cell>
        </row>
        <row r="48">
          <cell r="J48">
            <v>75.5</v>
          </cell>
        </row>
        <row r="48">
          <cell r="M48">
            <v>65.5</v>
          </cell>
        </row>
        <row r="48">
          <cell r="P48">
            <v>50</v>
          </cell>
        </row>
        <row r="48">
          <cell r="V48">
            <v>50.5</v>
          </cell>
        </row>
        <row r="49">
          <cell r="C49">
            <v>1</v>
          </cell>
          <cell r="D49">
            <v>368.5</v>
          </cell>
        </row>
        <row r="49">
          <cell r="G49">
            <v>104</v>
          </cell>
        </row>
        <row r="49">
          <cell r="J49">
            <v>67</v>
          </cell>
        </row>
        <row r="49">
          <cell r="M49">
            <v>98</v>
          </cell>
        </row>
        <row r="49">
          <cell r="P49">
            <v>27</v>
          </cell>
        </row>
        <row r="49">
          <cell r="S49">
            <v>25</v>
          </cell>
        </row>
        <row r="49">
          <cell r="V49">
            <v>47.5</v>
          </cell>
        </row>
        <row r="50">
          <cell r="C50">
            <v>1</v>
          </cell>
          <cell r="D50">
            <v>359</v>
          </cell>
        </row>
        <row r="50">
          <cell r="G50">
            <v>108</v>
          </cell>
        </row>
        <row r="50">
          <cell r="J50">
            <v>54</v>
          </cell>
        </row>
        <row r="50">
          <cell r="M50">
            <v>83</v>
          </cell>
        </row>
        <row r="50">
          <cell r="P50">
            <v>34.5</v>
          </cell>
        </row>
        <row r="50">
          <cell r="S50">
            <v>34</v>
          </cell>
        </row>
        <row r="50">
          <cell r="V50">
            <v>45.5</v>
          </cell>
        </row>
        <row r="51">
          <cell r="C51">
            <v>1</v>
          </cell>
          <cell r="D51">
            <v>411</v>
          </cell>
        </row>
        <row r="51">
          <cell r="G51">
            <v>89</v>
          </cell>
        </row>
        <row r="51">
          <cell r="J51">
            <v>69.5</v>
          </cell>
        </row>
        <row r="51">
          <cell r="M51">
            <v>93</v>
          </cell>
        </row>
        <row r="51">
          <cell r="P51">
            <v>70</v>
          </cell>
        </row>
        <row r="51">
          <cell r="S51">
            <v>38.5</v>
          </cell>
        </row>
        <row r="51">
          <cell r="V51">
            <v>51</v>
          </cell>
        </row>
        <row r="52">
          <cell r="C52">
            <v>1</v>
          </cell>
          <cell r="D52">
            <v>358</v>
          </cell>
        </row>
        <row r="52">
          <cell r="G52">
            <v>83.5</v>
          </cell>
        </row>
        <row r="52">
          <cell r="J52">
            <v>63</v>
          </cell>
        </row>
        <row r="52">
          <cell r="M52">
            <v>67.5</v>
          </cell>
        </row>
        <row r="52">
          <cell r="P52">
            <v>50</v>
          </cell>
        </row>
        <row r="52">
          <cell r="S52">
            <v>36</v>
          </cell>
        </row>
        <row r="52">
          <cell r="V52">
            <v>58</v>
          </cell>
        </row>
        <row r="53">
          <cell r="C53">
            <v>1</v>
          </cell>
          <cell r="D53">
            <v>323.5</v>
          </cell>
        </row>
        <row r="53">
          <cell r="G53">
            <v>82</v>
          </cell>
        </row>
        <row r="53">
          <cell r="J53">
            <v>50.5</v>
          </cell>
        </row>
        <row r="53">
          <cell r="M53">
            <v>90.5</v>
          </cell>
        </row>
        <row r="53">
          <cell r="P53">
            <v>34</v>
          </cell>
        </row>
        <row r="53">
          <cell r="S53">
            <v>28</v>
          </cell>
        </row>
        <row r="53">
          <cell r="V53">
            <v>38.5</v>
          </cell>
        </row>
        <row r="54">
          <cell r="C54">
            <v>1</v>
          </cell>
          <cell r="D54">
            <v>351.5</v>
          </cell>
        </row>
        <row r="54">
          <cell r="G54">
            <v>94</v>
          </cell>
        </row>
        <row r="54">
          <cell r="J54">
            <v>52.5</v>
          </cell>
        </row>
        <row r="54">
          <cell r="M54">
            <v>88.5</v>
          </cell>
        </row>
        <row r="54">
          <cell r="P54">
            <v>38</v>
          </cell>
        </row>
        <row r="54">
          <cell r="S54">
            <v>34.5</v>
          </cell>
        </row>
        <row r="54">
          <cell r="V54">
            <v>44</v>
          </cell>
        </row>
        <row r="55">
          <cell r="C55">
            <v>1</v>
          </cell>
          <cell r="D55">
            <v>319.5</v>
          </cell>
        </row>
        <row r="55">
          <cell r="G55">
            <v>88.5</v>
          </cell>
        </row>
        <row r="55">
          <cell r="J55">
            <v>41</v>
          </cell>
        </row>
        <row r="55">
          <cell r="M55">
            <v>100.5</v>
          </cell>
        </row>
        <row r="55">
          <cell r="P55">
            <v>43.5</v>
          </cell>
        </row>
        <row r="55">
          <cell r="S55">
            <v>19</v>
          </cell>
        </row>
        <row r="55">
          <cell r="V55">
            <v>27</v>
          </cell>
        </row>
        <row r="56">
          <cell r="C56">
            <v>1</v>
          </cell>
          <cell r="D56">
            <v>491</v>
          </cell>
        </row>
        <row r="56">
          <cell r="G56">
            <v>104.5</v>
          </cell>
        </row>
        <row r="56">
          <cell r="J56">
            <v>87.5</v>
          </cell>
        </row>
        <row r="56">
          <cell r="M56">
            <v>100</v>
          </cell>
        </row>
        <row r="56">
          <cell r="P56">
            <v>84</v>
          </cell>
        </row>
        <row r="56">
          <cell r="S56">
            <v>61</v>
          </cell>
        </row>
        <row r="56">
          <cell r="V56">
            <v>54</v>
          </cell>
        </row>
        <row r="57">
          <cell r="C57">
            <v>1</v>
          </cell>
          <cell r="D57">
            <v>426</v>
          </cell>
        </row>
        <row r="57">
          <cell r="G57">
            <v>91.5</v>
          </cell>
        </row>
        <row r="57">
          <cell r="J57">
            <v>68.5</v>
          </cell>
        </row>
        <row r="57">
          <cell r="M57">
            <v>85.5</v>
          </cell>
        </row>
        <row r="57">
          <cell r="P57">
            <v>65.5</v>
          </cell>
        </row>
        <row r="57">
          <cell r="S57">
            <v>58.5</v>
          </cell>
        </row>
        <row r="57">
          <cell r="V57">
            <v>56.5</v>
          </cell>
        </row>
        <row r="58">
          <cell r="C58">
            <v>2</v>
          </cell>
          <cell r="D58">
            <v>449.75</v>
          </cell>
        </row>
        <row r="58">
          <cell r="G58">
            <v>98.25</v>
          </cell>
        </row>
        <row r="58">
          <cell r="J58">
            <v>68.5</v>
          </cell>
        </row>
        <row r="58">
          <cell r="M58">
            <v>90</v>
          </cell>
        </row>
        <row r="58">
          <cell r="P58">
            <v>79</v>
          </cell>
        </row>
        <row r="58">
          <cell r="S58">
            <v>61.5</v>
          </cell>
        </row>
        <row r="58">
          <cell r="V58">
            <v>52.5</v>
          </cell>
        </row>
        <row r="59">
          <cell r="C59">
            <v>2</v>
          </cell>
          <cell r="D59">
            <v>495.5</v>
          </cell>
        </row>
        <row r="59">
          <cell r="G59">
            <v>111</v>
          </cell>
        </row>
        <row r="59">
          <cell r="J59">
            <v>81.5</v>
          </cell>
        </row>
        <row r="59">
          <cell r="M59">
            <v>110</v>
          </cell>
        </row>
        <row r="59">
          <cell r="P59">
            <v>70.5</v>
          </cell>
        </row>
        <row r="59">
          <cell r="S59">
            <v>60</v>
          </cell>
        </row>
        <row r="59">
          <cell r="V59">
            <v>62.5</v>
          </cell>
        </row>
        <row r="60">
          <cell r="C60">
            <v>2</v>
          </cell>
          <cell r="D60">
            <v>507</v>
          </cell>
        </row>
        <row r="60">
          <cell r="G60">
            <v>93.5</v>
          </cell>
        </row>
        <row r="60">
          <cell r="J60">
            <v>119</v>
          </cell>
        </row>
        <row r="60">
          <cell r="M60">
            <v>93.5</v>
          </cell>
        </row>
        <row r="60">
          <cell r="P60">
            <v>91.5</v>
          </cell>
        </row>
        <row r="60">
          <cell r="S60">
            <v>48.5</v>
          </cell>
        </row>
        <row r="60">
          <cell r="V60">
            <v>61</v>
          </cell>
        </row>
        <row r="61">
          <cell r="C61">
            <v>2</v>
          </cell>
          <cell r="D61">
            <v>405</v>
          </cell>
        </row>
        <row r="61">
          <cell r="G61">
            <v>96.25</v>
          </cell>
        </row>
        <row r="61">
          <cell r="J61">
            <v>64.5</v>
          </cell>
        </row>
        <row r="61">
          <cell r="M61">
            <v>107.5</v>
          </cell>
        </row>
        <row r="61">
          <cell r="P61">
            <v>59</v>
          </cell>
        </row>
        <row r="61">
          <cell r="S61">
            <v>35.75</v>
          </cell>
        </row>
        <row r="61">
          <cell r="V61">
            <v>42</v>
          </cell>
        </row>
        <row r="62">
          <cell r="C62">
            <v>2</v>
          </cell>
          <cell r="D62">
            <v>507</v>
          </cell>
        </row>
        <row r="62">
          <cell r="G62">
            <v>97.75</v>
          </cell>
        </row>
        <row r="62">
          <cell r="J62">
            <v>96.5</v>
          </cell>
        </row>
        <row r="62">
          <cell r="M62">
            <v>86.5</v>
          </cell>
        </row>
        <row r="62">
          <cell r="P62">
            <v>85</v>
          </cell>
        </row>
        <row r="62">
          <cell r="S62">
            <v>65.75</v>
          </cell>
        </row>
        <row r="62">
          <cell r="V62">
            <v>75.5</v>
          </cell>
        </row>
        <row r="63">
          <cell r="C63">
            <v>2</v>
          </cell>
          <cell r="D63">
            <v>482.5</v>
          </cell>
        </row>
        <row r="63">
          <cell r="G63">
            <v>107.5</v>
          </cell>
        </row>
        <row r="63">
          <cell r="J63">
            <v>80.5</v>
          </cell>
        </row>
        <row r="63">
          <cell r="M63">
            <v>117</v>
          </cell>
        </row>
        <row r="63">
          <cell r="P63">
            <v>64.5</v>
          </cell>
        </row>
        <row r="63">
          <cell r="S63">
            <v>60</v>
          </cell>
        </row>
        <row r="63">
          <cell r="V63">
            <v>53</v>
          </cell>
        </row>
        <row r="64">
          <cell r="C64">
            <v>2</v>
          </cell>
          <cell r="D64">
            <v>488</v>
          </cell>
        </row>
        <row r="64">
          <cell r="G64">
            <v>106.5</v>
          </cell>
        </row>
        <row r="64">
          <cell r="J64">
            <v>103</v>
          </cell>
        </row>
        <row r="64">
          <cell r="M64">
            <v>97.5</v>
          </cell>
        </row>
        <row r="64">
          <cell r="P64">
            <v>69</v>
          </cell>
        </row>
        <row r="64">
          <cell r="S64">
            <v>56</v>
          </cell>
        </row>
        <row r="64">
          <cell r="V64">
            <v>56</v>
          </cell>
        </row>
        <row r="65">
          <cell r="C65">
            <v>2</v>
          </cell>
          <cell r="D65">
            <v>471</v>
          </cell>
        </row>
        <row r="65">
          <cell r="G65">
            <v>106.5</v>
          </cell>
        </row>
        <row r="65">
          <cell r="J65">
            <v>97</v>
          </cell>
        </row>
        <row r="65">
          <cell r="M65">
            <v>80.5</v>
          </cell>
        </row>
        <row r="65">
          <cell r="P65">
            <v>85</v>
          </cell>
        </row>
        <row r="65">
          <cell r="S65">
            <v>45</v>
          </cell>
        </row>
        <row r="65">
          <cell r="V65">
            <v>57</v>
          </cell>
        </row>
        <row r="66">
          <cell r="C66">
            <v>2</v>
          </cell>
          <cell r="D66">
            <v>414.5</v>
          </cell>
        </row>
        <row r="66">
          <cell r="G66">
            <v>107</v>
          </cell>
        </row>
        <row r="66">
          <cell r="J66">
            <v>71</v>
          </cell>
        </row>
        <row r="66">
          <cell r="M66">
            <v>96</v>
          </cell>
        </row>
        <row r="66">
          <cell r="P66">
            <v>54</v>
          </cell>
        </row>
        <row r="66">
          <cell r="S66">
            <v>43</v>
          </cell>
        </row>
        <row r="66">
          <cell r="V66">
            <v>43.5</v>
          </cell>
        </row>
        <row r="67">
          <cell r="C67">
            <v>2</v>
          </cell>
          <cell r="D67">
            <v>437.25</v>
          </cell>
        </row>
        <row r="67">
          <cell r="G67">
            <v>101.5</v>
          </cell>
        </row>
        <row r="67">
          <cell r="J67">
            <v>69.5</v>
          </cell>
        </row>
        <row r="67">
          <cell r="M67">
            <v>96.5</v>
          </cell>
        </row>
        <row r="67">
          <cell r="P67">
            <v>63.5</v>
          </cell>
        </row>
        <row r="67">
          <cell r="S67">
            <v>47.25</v>
          </cell>
        </row>
        <row r="67">
          <cell r="V67">
            <v>59</v>
          </cell>
        </row>
        <row r="68">
          <cell r="C68">
            <v>2</v>
          </cell>
          <cell r="D68">
            <v>464</v>
          </cell>
        </row>
        <row r="68">
          <cell r="G68">
            <v>93.5</v>
          </cell>
        </row>
        <row r="68">
          <cell r="J68">
            <v>86</v>
          </cell>
        </row>
        <row r="68">
          <cell r="M68">
            <v>112.5</v>
          </cell>
        </row>
        <row r="68">
          <cell r="P68">
            <v>69</v>
          </cell>
        </row>
        <row r="68">
          <cell r="S68">
            <v>53</v>
          </cell>
        </row>
        <row r="68">
          <cell r="V68">
            <v>50</v>
          </cell>
        </row>
        <row r="69">
          <cell r="C69">
            <v>2</v>
          </cell>
          <cell r="D69">
            <v>471.25</v>
          </cell>
        </row>
        <row r="69">
          <cell r="G69">
            <v>102</v>
          </cell>
        </row>
        <row r="69">
          <cell r="J69">
            <v>71</v>
          </cell>
        </row>
        <row r="69">
          <cell r="M69">
            <v>94</v>
          </cell>
        </row>
        <row r="69">
          <cell r="P69">
            <v>77</v>
          </cell>
        </row>
        <row r="69">
          <cell r="S69">
            <v>59.25</v>
          </cell>
        </row>
        <row r="69">
          <cell r="V69">
            <v>68</v>
          </cell>
        </row>
        <row r="70">
          <cell r="C70">
            <v>2</v>
          </cell>
          <cell r="D70">
            <v>505.5</v>
          </cell>
        </row>
        <row r="70">
          <cell r="G70">
            <v>103.5</v>
          </cell>
        </row>
        <row r="70">
          <cell r="J70">
            <v>93.5</v>
          </cell>
        </row>
        <row r="70">
          <cell r="M70">
            <v>105</v>
          </cell>
        </row>
        <row r="70">
          <cell r="P70">
            <v>89</v>
          </cell>
        </row>
        <row r="70">
          <cell r="S70">
            <v>57</v>
          </cell>
        </row>
        <row r="70">
          <cell r="V70">
            <v>57.5</v>
          </cell>
        </row>
        <row r="71">
          <cell r="C71">
            <v>2</v>
          </cell>
          <cell r="D71">
            <v>424.75</v>
          </cell>
        </row>
        <row r="71">
          <cell r="G71">
            <v>103.25</v>
          </cell>
        </row>
        <row r="71">
          <cell r="J71">
            <v>90</v>
          </cell>
        </row>
        <row r="71">
          <cell r="M71">
            <v>90</v>
          </cell>
        </row>
        <row r="71">
          <cell r="P71">
            <v>57.5</v>
          </cell>
        </row>
        <row r="71">
          <cell r="S71">
            <v>33.5</v>
          </cell>
        </row>
        <row r="71">
          <cell r="V71">
            <v>50.5</v>
          </cell>
        </row>
        <row r="72">
          <cell r="C72">
            <v>2</v>
          </cell>
          <cell r="D72">
            <v>426.5</v>
          </cell>
        </row>
        <row r="72">
          <cell r="G72">
            <v>84</v>
          </cell>
        </row>
        <row r="72">
          <cell r="J72">
            <v>62</v>
          </cell>
        </row>
        <row r="72">
          <cell r="M72">
            <v>106.5</v>
          </cell>
        </row>
        <row r="72">
          <cell r="P72">
            <v>64.5</v>
          </cell>
        </row>
        <row r="72">
          <cell r="S72">
            <v>54</v>
          </cell>
        </row>
        <row r="72">
          <cell r="V72">
            <v>55.5</v>
          </cell>
        </row>
        <row r="73">
          <cell r="C73">
            <v>2</v>
          </cell>
          <cell r="D73">
            <v>425.5</v>
          </cell>
        </row>
        <row r="73">
          <cell r="G73">
            <v>106.5</v>
          </cell>
        </row>
        <row r="73">
          <cell r="J73">
            <v>80</v>
          </cell>
        </row>
        <row r="73">
          <cell r="M73">
            <v>96.5</v>
          </cell>
        </row>
        <row r="73">
          <cell r="P73">
            <v>57.5</v>
          </cell>
        </row>
        <row r="73">
          <cell r="S73">
            <v>43</v>
          </cell>
        </row>
        <row r="73">
          <cell r="V73">
            <v>42</v>
          </cell>
        </row>
        <row r="74">
          <cell r="C74">
            <v>2</v>
          </cell>
          <cell r="D74">
            <v>402</v>
          </cell>
        </row>
        <row r="74">
          <cell r="G74">
            <v>105</v>
          </cell>
        </row>
        <row r="74">
          <cell r="J74">
            <v>74.5</v>
          </cell>
        </row>
        <row r="74">
          <cell r="M74">
            <v>84</v>
          </cell>
        </row>
        <row r="74">
          <cell r="P74">
            <v>46</v>
          </cell>
        </row>
        <row r="74">
          <cell r="S74">
            <v>46</v>
          </cell>
        </row>
        <row r="74">
          <cell r="V74">
            <v>46.5</v>
          </cell>
        </row>
        <row r="75">
          <cell r="C75">
            <v>2</v>
          </cell>
          <cell r="D75">
            <v>447.75</v>
          </cell>
        </row>
        <row r="75">
          <cell r="G75">
            <v>110</v>
          </cell>
        </row>
        <row r="75">
          <cell r="J75">
            <v>81.5</v>
          </cell>
        </row>
        <row r="75">
          <cell r="M75">
            <v>100.5</v>
          </cell>
        </row>
        <row r="75">
          <cell r="P75">
            <v>64</v>
          </cell>
        </row>
        <row r="75">
          <cell r="S75">
            <v>44.75</v>
          </cell>
        </row>
        <row r="75">
          <cell r="V75">
            <v>47</v>
          </cell>
        </row>
        <row r="76">
          <cell r="C76">
            <v>2</v>
          </cell>
          <cell r="D76">
            <v>399</v>
          </cell>
        </row>
        <row r="76">
          <cell r="G76">
            <v>100.5</v>
          </cell>
        </row>
        <row r="76">
          <cell r="J76">
            <v>68</v>
          </cell>
        </row>
        <row r="76">
          <cell r="M76">
            <v>87.5</v>
          </cell>
        </row>
        <row r="76">
          <cell r="P76">
            <v>48</v>
          </cell>
        </row>
        <row r="76">
          <cell r="S76">
            <v>45</v>
          </cell>
        </row>
        <row r="76">
          <cell r="V76">
            <v>50</v>
          </cell>
        </row>
        <row r="77">
          <cell r="C77">
            <v>2</v>
          </cell>
          <cell r="D77">
            <v>482.5</v>
          </cell>
        </row>
        <row r="77">
          <cell r="G77">
            <v>105</v>
          </cell>
        </row>
        <row r="77">
          <cell r="J77">
            <v>97.5</v>
          </cell>
        </row>
        <row r="77">
          <cell r="M77">
            <v>84</v>
          </cell>
        </row>
        <row r="77">
          <cell r="P77">
            <v>85</v>
          </cell>
        </row>
        <row r="77">
          <cell r="S77">
            <v>51</v>
          </cell>
        </row>
        <row r="77">
          <cell r="V77">
            <v>60</v>
          </cell>
        </row>
        <row r="78">
          <cell r="C78">
            <v>2</v>
          </cell>
          <cell r="D78">
            <v>425.75</v>
          </cell>
        </row>
        <row r="78">
          <cell r="G78">
            <v>99.5</v>
          </cell>
        </row>
        <row r="78">
          <cell r="J78">
            <v>73.5</v>
          </cell>
        </row>
        <row r="78">
          <cell r="M78">
            <v>109.5</v>
          </cell>
        </row>
        <row r="78">
          <cell r="P78">
            <v>57</v>
          </cell>
        </row>
        <row r="78">
          <cell r="S78">
            <v>40.75</v>
          </cell>
        </row>
        <row r="78">
          <cell r="V78">
            <v>45.5</v>
          </cell>
        </row>
        <row r="79">
          <cell r="C79">
            <v>2</v>
          </cell>
          <cell r="D79">
            <v>435.25</v>
          </cell>
        </row>
        <row r="79">
          <cell r="G79">
            <v>105.25</v>
          </cell>
        </row>
        <row r="79">
          <cell r="J79">
            <v>84.5</v>
          </cell>
        </row>
        <row r="79">
          <cell r="M79">
            <v>92.5</v>
          </cell>
        </row>
        <row r="79">
          <cell r="P79">
            <v>53</v>
          </cell>
        </row>
        <row r="79">
          <cell r="S79">
            <v>56.5</v>
          </cell>
        </row>
        <row r="79">
          <cell r="V79">
            <v>43.5</v>
          </cell>
        </row>
        <row r="80">
          <cell r="C80">
            <v>2</v>
          </cell>
          <cell r="D80">
            <v>480</v>
          </cell>
        </row>
        <row r="80">
          <cell r="G80">
            <v>105.5</v>
          </cell>
        </row>
        <row r="80">
          <cell r="J80">
            <v>80.5</v>
          </cell>
        </row>
        <row r="80">
          <cell r="M80">
            <v>113.5</v>
          </cell>
        </row>
        <row r="80">
          <cell r="P80">
            <v>73</v>
          </cell>
        </row>
        <row r="80">
          <cell r="S80">
            <v>53.5</v>
          </cell>
        </row>
        <row r="80">
          <cell r="V80">
            <v>54</v>
          </cell>
        </row>
        <row r="81">
          <cell r="C81">
            <v>2</v>
          </cell>
          <cell r="D81">
            <v>393</v>
          </cell>
        </row>
        <row r="81">
          <cell r="G81">
            <v>104.5</v>
          </cell>
        </row>
        <row r="81">
          <cell r="J81">
            <v>60.5</v>
          </cell>
        </row>
        <row r="81">
          <cell r="M81">
            <v>85</v>
          </cell>
        </row>
        <row r="81">
          <cell r="P81">
            <v>63</v>
          </cell>
        </row>
        <row r="81">
          <cell r="S81">
            <v>29.5</v>
          </cell>
        </row>
        <row r="81">
          <cell r="V81">
            <v>50.5</v>
          </cell>
        </row>
        <row r="82">
          <cell r="C82">
            <v>2</v>
          </cell>
          <cell r="D82">
            <v>430</v>
          </cell>
        </row>
        <row r="82">
          <cell r="G82">
            <v>101</v>
          </cell>
        </row>
        <row r="82">
          <cell r="J82">
            <v>83.5</v>
          </cell>
        </row>
        <row r="82">
          <cell r="M82">
            <v>87.5</v>
          </cell>
        </row>
        <row r="82">
          <cell r="P82">
            <v>56</v>
          </cell>
        </row>
        <row r="82">
          <cell r="S82">
            <v>54</v>
          </cell>
        </row>
        <row r="82">
          <cell r="V82">
            <v>48</v>
          </cell>
        </row>
        <row r="83">
          <cell r="C83">
            <v>2</v>
          </cell>
          <cell r="D83">
            <v>411.25</v>
          </cell>
        </row>
        <row r="83">
          <cell r="G83">
            <v>104.75</v>
          </cell>
        </row>
        <row r="83">
          <cell r="J83">
            <v>82</v>
          </cell>
        </row>
        <row r="83">
          <cell r="M83">
            <v>106</v>
          </cell>
        </row>
        <row r="83">
          <cell r="P83">
            <v>47</v>
          </cell>
        </row>
        <row r="83">
          <cell r="S83">
            <v>39</v>
          </cell>
        </row>
        <row r="83">
          <cell r="V83">
            <v>32.5</v>
          </cell>
        </row>
        <row r="84">
          <cell r="C84">
            <v>2</v>
          </cell>
          <cell r="D84">
            <v>432</v>
          </cell>
        </row>
        <row r="84">
          <cell r="G84">
            <v>108.5</v>
          </cell>
        </row>
        <row r="84">
          <cell r="J84">
            <v>79.5</v>
          </cell>
        </row>
        <row r="84">
          <cell r="M84">
            <v>94.5</v>
          </cell>
        </row>
        <row r="84">
          <cell r="P84">
            <v>65</v>
          </cell>
        </row>
        <row r="84">
          <cell r="S84">
            <v>42.5</v>
          </cell>
        </row>
        <row r="84">
          <cell r="V84">
            <v>42</v>
          </cell>
        </row>
        <row r="85">
          <cell r="C85">
            <v>2</v>
          </cell>
          <cell r="D85">
            <v>401.5</v>
          </cell>
        </row>
        <row r="85">
          <cell r="G85">
            <v>99.5</v>
          </cell>
        </row>
        <row r="85">
          <cell r="J85">
            <v>65</v>
          </cell>
        </row>
        <row r="85">
          <cell r="M85">
            <v>90</v>
          </cell>
        </row>
        <row r="85">
          <cell r="P85">
            <v>48.5</v>
          </cell>
        </row>
        <row r="85">
          <cell r="S85">
            <v>42</v>
          </cell>
        </row>
        <row r="85">
          <cell r="V85">
            <v>56.5</v>
          </cell>
        </row>
        <row r="86">
          <cell r="C86">
            <v>2</v>
          </cell>
          <cell r="D86">
            <v>423.5</v>
          </cell>
        </row>
        <row r="86">
          <cell r="G86">
            <v>86</v>
          </cell>
        </row>
        <row r="86">
          <cell r="J86">
            <v>76</v>
          </cell>
        </row>
        <row r="86">
          <cell r="M86">
            <v>119</v>
          </cell>
        </row>
        <row r="86">
          <cell r="P86">
            <v>56.5</v>
          </cell>
        </row>
        <row r="86">
          <cell r="S86">
            <v>33.5</v>
          </cell>
        </row>
        <row r="86">
          <cell r="V86">
            <v>52.5</v>
          </cell>
        </row>
        <row r="87">
          <cell r="C87">
            <v>2</v>
          </cell>
          <cell r="D87">
            <v>372.5</v>
          </cell>
        </row>
        <row r="87">
          <cell r="G87">
            <v>105.5</v>
          </cell>
        </row>
        <row r="87">
          <cell r="J87">
            <v>55</v>
          </cell>
        </row>
        <row r="87">
          <cell r="M87">
            <v>99</v>
          </cell>
        </row>
        <row r="87">
          <cell r="P87">
            <v>42.5</v>
          </cell>
        </row>
        <row r="87">
          <cell r="S87">
            <v>34.5</v>
          </cell>
        </row>
        <row r="87">
          <cell r="V87">
            <v>36</v>
          </cell>
        </row>
        <row r="88">
          <cell r="C88">
            <v>2</v>
          </cell>
          <cell r="D88">
            <v>382</v>
          </cell>
        </row>
        <row r="88">
          <cell r="G88">
            <v>107.5</v>
          </cell>
        </row>
        <row r="88">
          <cell r="J88">
            <v>53.5</v>
          </cell>
        </row>
        <row r="88">
          <cell r="M88">
            <v>105</v>
          </cell>
        </row>
        <row r="88">
          <cell r="P88">
            <v>42</v>
          </cell>
        </row>
        <row r="88">
          <cell r="S88">
            <v>35</v>
          </cell>
        </row>
        <row r="88">
          <cell r="V88">
            <v>39</v>
          </cell>
        </row>
        <row r="89">
          <cell r="C89">
            <v>2</v>
          </cell>
          <cell r="D89">
            <v>434.5</v>
          </cell>
        </row>
        <row r="89">
          <cell r="G89">
            <v>95</v>
          </cell>
        </row>
        <row r="89">
          <cell r="J89">
            <v>89</v>
          </cell>
        </row>
        <row r="89">
          <cell r="M89">
            <v>105.5</v>
          </cell>
        </row>
        <row r="89">
          <cell r="P89">
            <v>57.5</v>
          </cell>
        </row>
        <row r="89">
          <cell r="S89">
            <v>42.5</v>
          </cell>
        </row>
        <row r="89">
          <cell r="V89">
            <v>45</v>
          </cell>
        </row>
        <row r="90">
          <cell r="C90">
            <v>2</v>
          </cell>
          <cell r="D90">
            <v>411.5</v>
          </cell>
        </row>
        <row r="90">
          <cell r="G90">
            <v>101</v>
          </cell>
        </row>
        <row r="90">
          <cell r="J90">
            <v>68.5</v>
          </cell>
        </row>
        <row r="90">
          <cell r="M90">
            <v>99</v>
          </cell>
        </row>
        <row r="90">
          <cell r="P90">
            <v>50.5</v>
          </cell>
        </row>
        <row r="90">
          <cell r="S90">
            <v>51</v>
          </cell>
        </row>
        <row r="90">
          <cell r="V90">
            <v>41.5</v>
          </cell>
        </row>
        <row r="91">
          <cell r="C91">
            <v>2</v>
          </cell>
          <cell r="D91">
            <v>428.5</v>
          </cell>
        </row>
        <row r="91">
          <cell r="G91">
            <v>106</v>
          </cell>
        </row>
        <row r="91">
          <cell r="J91">
            <v>76</v>
          </cell>
        </row>
        <row r="91">
          <cell r="M91">
            <v>98</v>
          </cell>
        </row>
        <row r="91">
          <cell r="P91">
            <v>55.5</v>
          </cell>
        </row>
        <row r="91">
          <cell r="S91">
            <v>38</v>
          </cell>
        </row>
        <row r="91">
          <cell r="V91">
            <v>55</v>
          </cell>
        </row>
        <row r="92">
          <cell r="C92">
            <v>2</v>
          </cell>
          <cell r="D92">
            <v>375.5</v>
          </cell>
        </row>
        <row r="92">
          <cell r="G92">
            <v>97.5</v>
          </cell>
        </row>
        <row r="92">
          <cell r="J92">
            <v>73.5</v>
          </cell>
        </row>
        <row r="92">
          <cell r="M92">
            <v>71.5</v>
          </cell>
        </row>
        <row r="92">
          <cell r="P92">
            <v>51.5</v>
          </cell>
        </row>
        <row r="92">
          <cell r="S92">
            <v>41</v>
          </cell>
        </row>
        <row r="92">
          <cell r="V92">
            <v>40.5</v>
          </cell>
        </row>
        <row r="93">
          <cell r="C93">
            <v>2</v>
          </cell>
          <cell r="D93">
            <v>373.5</v>
          </cell>
        </row>
        <row r="93">
          <cell r="G93">
            <v>88</v>
          </cell>
        </row>
        <row r="93">
          <cell r="J93">
            <v>72</v>
          </cell>
        </row>
        <row r="93">
          <cell r="M93">
            <v>93</v>
          </cell>
        </row>
        <row r="93">
          <cell r="P93">
            <v>50</v>
          </cell>
        </row>
        <row r="93">
          <cell r="S93">
            <v>29</v>
          </cell>
        </row>
        <row r="93">
          <cell r="V93">
            <v>41.5</v>
          </cell>
        </row>
        <row r="94">
          <cell r="C94">
            <v>2</v>
          </cell>
          <cell r="D94">
            <v>401.5</v>
          </cell>
        </row>
        <row r="94">
          <cell r="G94">
            <v>100</v>
          </cell>
        </row>
        <row r="94">
          <cell r="J94">
            <v>70</v>
          </cell>
        </row>
        <row r="94">
          <cell r="M94">
            <v>77.5</v>
          </cell>
        </row>
        <row r="94">
          <cell r="P94">
            <v>73.5</v>
          </cell>
        </row>
        <row r="94">
          <cell r="S94">
            <v>48</v>
          </cell>
        </row>
        <row r="94">
          <cell r="V94">
            <v>32.5</v>
          </cell>
        </row>
        <row r="95">
          <cell r="C95">
            <v>2</v>
          </cell>
          <cell r="D95">
            <v>302</v>
          </cell>
        </row>
        <row r="95">
          <cell r="G95">
            <v>95</v>
          </cell>
        </row>
        <row r="95">
          <cell r="J95">
            <v>41</v>
          </cell>
        </row>
        <row r="95">
          <cell r="M95">
            <v>89.5</v>
          </cell>
        </row>
        <row r="95">
          <cell r="P95">
            <v>39.5</v>
          </cell>
        </row>
        <row r="95">
          <cell r="V95">
            <v>37</v>
          </cell>
        </row>
        <row r="96">
          <cell r="C96">
            <v>2</v>
          </cell>
          <cell r="D96">
            <v>394</v>
          </cell>
        </row>
        <row r="96">
          <cell r="G96">
            <v>109</v>
          </cell>
        </row>
        <row r="96">
          <cell r="J96">
            <v>64</v>
          </cell>
        </row>
        <row r="96">
          <cell r="M96">
            <v>87.5</v>
          </cell>
        </row>
        <row r="96">
          <cell r="P96">
            <v>56</v>
          </cell>
        </row>
        <row r="96">
          <cell r="S96">
            <v>32</v>
          </cell>
        </row>
        <row r="96">
          <cell r="V96">
            <v>45.5</v>
          </cell>
        </row>
        <row r="97">
          <cell r="C97">
            <v>2</v>
          </cell>
          <cell r="D97">
            <v>400</v>
          </cell>
        </row>
        <row r="97">
          <cell r="G97">
            <v>97.5</v>
          </cell>
        </row>
        <row r="97">
          <cell r="J97">
            <v>81.5</v>
          </cell>
        </row>
        <row r="97">
          <cell r="M97">
            <v>82</v>
          </cell>
        </row>
        <row r="97">
          <cell r="P97">
            <v>55</v>
          </cell>
        </row>
        <row r="97">
          <cell r="S97">
            <v>48</v>
          </cell>
        </row>
        <row r="97">
          <cell r="V97">
            <v>36</v>
          </cell>
        </row>
        <row r="98">
          <cell r="C98">
            <v>2</v>
          </cell>
          <cell r="D98">
            <v>366.25</v>
          </cell>
        </row>
        <row r="98">
          <cell r="G98">
            <v>91.5</v>
          </cell>
        </row>
        <row r="98">
          <cell r="J98">
            <v>63</v>
          </cell>
        </row>
        <row r="98">
          <cell r="M98">
            <v>94.5</v>
          </cell>
        </row>
        <row r="98">
          <cell r="P98">
            <v>50.5</v>
          </cell>
        </row>
        <row r="98">
          <cell r="S98">
            <v>31.25</v>
          </cell>
        </row>
        <row r="98">
          <cell r="V98">
            <v>35.5</v>
          </cell>
        </row>
        <row r="99">
          <cell r="C99">
            <v>2</v>
          </cell>
          <cell r="D99">
            <v>357.75</v>
          </cell>
        </row>
        <row r="99">
          <cell r="G99">
            <v>98</v>
          </cell>
        </row>
        <row r="99">
          <cell r="J99">
            <v>53</v>
          </cell>
        </row>
        <row r="99">
          <cell r="M99">
            <v>104</v>
          </cell>
        </row>
        <row r="99">
          <cell r="P99">
            <v>31</v>
          </cell>
        </row>
        <row r="99">
          <cell r="S99">
            <v>33.25</v>
          </cell>
        </row>
        <row r="99">
          <cell r="V99">
            <v>38.5</v>
          </cell>
        </row>
        <row r="100">
          <cell r="C100">
            <v>2</v>
          </cell>
          <cell r="D100">
            <v>384.5</v>
          </cell>
        </row>
        <row r="100">
          <cell r="G100">
            <v>100</v>
          </cell>
        </row>
        <row r="100">
          <cell r="J100">
            <v>63.5</v>
          </cell>
        </row>
        <row r="100">
          <cell r="M100">
            <v>75</v>
          </cell>
        </row>
        <row r="100">
          <cell r="P100">
            <v>67.5</v>
          </cell>
        </row>
        <row r="100">
          <cell r="S100">
            <v>37</v>
          </cell>
        </row>
        <row r="100">
          <cell r="V100">
            <v>41.5</v>
          </cell>
        </row>
        <row r="101">
          <cell r="C101">
            <v>2</v>
          </cell>
          <cell r="D101">
            <v>378.5</v>
          </cell>
        </row>
        <row r="101">
          <cell r="G101">
            <v>104</v>
          </cell>
        </row>
        <row r="101">
          <cell r="J101">
            <v>54.5</v>
          </cell>
        </row>
        <row r="101">
          <cell r="M101">
            <v>89.5</v>
          </cell>
        </row>
        <row r="101">
          <cell r="P101">
            <v>49.5</v>
          </cell>
        </row>
        <row r="101">
          <cell r="S101">
            <v>34.5</v>
          </cell>
        </row>
        <row r="101">
          <cell r="V101">
            <v>46.5</v>
          </cell>
        </row>
        <row r="102">
          <cell r="C102">
            <v>2</v>
          </cell>
          <cell r="D102">
            <v>380</v>
          </cell>
        </row>
        <row r="102">
          <cell r="G102">
            <v>88.5</v>
          </cell>
        </row>
        <row r="102">
          <cell r="J102">
            <v>63</v>
          </cell>
        </row>
        <row r="102">
          <cell r="M102">
            <v>95.5</v>
          </cell>
        </row>
        <row r="102">
          <cell r="P102">
            <v>46</v>
          </cell>
        </row>
        <row r="102">
          <cell r="S102">
            <v>39</v>
          </cell>
        </row>
        <row r="102">
          <cell r="V102">
            <v>48</v>
          </cell>
        </row>
        <row r="103">
          <cell r="C103">
            <v>2</v>
          </cell>
          <cell r="D103">
            <v>403.5</v>
          </cell>
        </row>
        <row r="103">
          <cell r="G103">
            <v>101.5</v>
          </cell>
        </row>
        <row r="103">
          <cell r="J103">
            <v>69.5</v>
          </cell>
        </row>
        <row r="103">
          <cell r="M103">
            <v>100.5</v>
          </cell>
        </row>
        <row r="103">
          <cell r="P103">
            <v>53.5</v>
          </cell>
        </row>
        <row r="103">
          <cell r="S103">
            <v>36.5</v>
          </cell>
        </row>
        <row r="103">
          <cell r="V103">
            <v>42</v>
          </cell>
        </row>
        <row r="104">
          <cell r="C104">
            <v>2</v>
          </cell>
          <cell r="D104">
            <v>406.5</v>
          </cell>
        </row>
        <row r="104">
          <cell r="G104">
            <v>107.5</v>
          </cell>
        </row>
        <row r="104">
          <cell r="J104">
            <v>56.5</v>
          </cell>
        </row>
        <row r="104">
          <cell r="M104">
            <v>107.5</v>
          </cell>
        </row>
        <row r="104">
          <cell r="P104">
            <v>52</v>
          </cell>
        </row>
        <row r="104">
          <cell r="S104">
            <v>44</v>
          </cell>
        </row>
        <row r="104">
          <cell r="V104">
            <v>39</v>
          </cell>
        </row>
        <row r="105">
          <cell r="C105">
            <v>2</v>
          </cell>
          <cell r="D105">
            <v>386</v>
          </cell>
        </row>
        <row r="105">
          <cell r="G105">
            <v>111.5</v>
          </cell>
        </row>
        <row r="105">
          <cell r="J105">
            <v>55.5</v>
          </cell>
        </row>
        <row r="105">
          <cell r="M105">
            <v>101.5</v>
          </cell>
        </row>
        <row r="105">
          <cell r="P105">
            <v>50</v>
          </cell>
        </row>
        <row r="105">
          <cell r="S105">
            <v>33</v>
          </cell>
        </row>
        <row r="105">
          <cell r="V105">
            <v>34.5</v>
          </cell>
        </row>
        <row r="106">
          <cell r="C106">
            <v>2</v>
          </cell>
          <cell r="D106">
            <v>404.75</v>
          </cell>
        </row>
        <row r="106">
          <cell r="G106">
            <v>76.75</v>
          </cell>
        </row>
        <row r="106">
          <cell r="J106">
            <v>72.5</v>
          </cell>
        </row>
        <row r="106">
          <cell r="M106">
            <v>84.75</v>
          </cell>
        </row>
        <row r="106">
          <cell r="P106">
            <v>66.5</v>
          </cell>
        </row>
        <row r="106">
          <cell r="S106">
            <v>60.25</v>
          </cell>
        </row>
        <row r="106">
          <cell r="V106">
            <v>44</v>
          </cell>
        </row>
        <row r="107">
          <cell r="C107">
            <v>2</v>
          </cell>
          <cell r="D107">
            <v>402.25</v>
          </cell>
        </row>
        <row r="107">
          <cell r="G107">
            <v>95.75</v>
          </cell>
        </row>
        <row r="107">
          <cell r="J107">
            <v>75</v>
          </cell>
        </row>
        <row r="107">
          <cell r="M107">
            <v>91</v>
          </cell>
        </row>
        <row r="107">
          <cell r="P107">
            <v>49</v>
          </cell>
        </row>
        <row r="107">
          <cell r="S107">
            <v>46.5</v>
          </cell>
        </row>
        <row r="107">
          <cell r="V107">
            <v>45</v>
          </cell>
        </row>
        <row r="108">
          <cell r="C108">
            <v>2</v>
          </cell>
          <cell r="D108">
            <v>386</v>
          </cell>
        </row>
        <row r="108">
          <cell r="G108">
            <v>98</v>
          </cell>
        </row>
        <row r="108">
          <cell r="J108">
            <v>56.5</v>
          </cell>
        </row>
        <row r="108">
          <cell r="M108">
            <v>82</v>
          </cell>
        </row>
        <row r="108">
          <cell r="P108">
            <v>65</v>
          </cell>
        </row>
        <row r="108">
          <cell r="S108">
            <v>41.5</v>
          </cell>
        </row>
        <row r="108">
          <cell r="V108">
            <v>43</v>
          </cell>
        </row>
        <row r="109">
          <cell r="C109">
            <v>2</v>
          </cell>
          <cell r="D109">
            <v>341</v>
          </cell>
        </row>
        <row r="109">
          <cell r="G109">
            <v>95</v>
          </cell>
        </row>
        <row r="109">
          <cell r="J109">
            <v>40.5</v>
          </cell>
        </row>
        <row r="109">
          <cell r="M109">
            <v>96.5</v>
          </cell>
        </row>
        <row r="109">
          <cell r="P109">
            <v>24</v>
          </cell>
        </row>
        <row r="109">
          <cell r="S109">
            <v>42.5</v>
          </cell>
        </row>
        <row r="109">
          <cell r="V109">
            <v>42.5</v>
          </cell>
        </row>
        <row r="110">
          <cell r="C110">
            <v>2</v>
          </cell>
          <cell r="D110">
            <v>306.5</v>
          </cell>
        </row>
        <row r="110">
          <cell r="G110">
            <v>98</v>
          </cell>
        </row>
        <row r="110">
          <cell r="J110">
            <v>43.5</v>
          </cell>
        </row>
        <row r="110">
          <cell r="M110">
            <v>76.5</v>
          </cell>
        </row>
        <row r="110">
          <cell r="P110">
            <v>15</v>
          </cell>
        </row>
        <row r="110">
          <cell r="S110">
            <v>36.5</v>
          </cell>
        </row>
        <row r="110">
          <cell r="V110">
            <v>37</v>
          </cell>
        </row>
        <row r="111">
          <cell r="C111">
            <v>2</v>
          </cell>
          <cell r="D111">
            <v>261</v>
          </cell>
        </row>
        <row r="111">
          <cell r="G111">
            <v>90.5</v>
          </cell>
        </row>
        <row r="111">
          <cell r="J111">
            <v>39</v>
          </cell>
        </row>
        <row r="111">
          <cell r="M111">
            <v>63.5</v>
          </cell>
        </row>
        <row r="111">
          <cell r="P111">
            <v>14.5</v>
          </cell>
        </row>
        <row r="111">
          <cell r="S111">
            <v>27</v>
          </cell>
        </row>
        <row r="111">
          <cell r="V111">
            <v>26.5</v>
          </cell>
        </row>
        <row r="112">
          <cell r="C112">
            <v>3</v>
          </cell>
          <cell r="D112">
            <v>493.5</v>
          </cell>
        </row>
        <row r="112">
          <cell r="G112">
            <v>93.5</v>
          </cell>
        </row>
        <row r="112">
          <cell r="J112">
            <v>103</v>
          </cell>
        </row>
        <row r="112">
          <cell r="M112">
            <v>100.5</v>
          </cell>
        </row>
        <row r="112">
          <cell r="P112">
            <v>86.5</v>
          </cell>
        </row>
        <row r="112">
          <cell r="S112">
            <v>61.5</v>
          </cell>
        </row>
        <row r="112">
          <cell r="V112">
            <v>48.5</v>
          </cell>
        </row>
        <row r="113">
          <cell r="C113">
            <v>3</v>
          </cell>
          <cell r="D113">
            <v>487.5</v>
          </cell>
        </row>
        <row r="113">
          <cell r="G113">
            <v>112.5</v>
          </cell>
        </row>
        <row r="113">
          <cell r="J113">
            <v>65</v>
          </cell>
        </row>
        <row r="113">
          <cell r="M113">
            <v>119</v>
          </cell>
        </row>
        <row r="113">
          <cell r="P113">
            <v>85</v>
          </cell>
        </row>
        <row r="113">
          <cell r="S113">
            <v>53</v>
          </cell>
        </row>
        <row r="113">
          <cell r="V113">
            <v>53</v>
          </cell>
        </row>
        <row r="114">
          <cell r="C114">
            <v>3</v>
          </cell>
          <cell r="D114">
            <v>468.25</v>
          </cell>
        </row>
        <row r="114">
          <cell r="G114">
            <v>101.5</v>
          </cell>
        </row>
        <row r="114">
          <cell r="J114">
            <v>76.5</v>
          </cell>
        </row>
        <row r="114">
          <cell r="M114">
            <v>98</v>
          </cell>
        </row>
        <row r="114">
          <cell r="P114">
            <v>82</v>
          </cell>
        </row>
        <row r="114">
          <cell r="S114">
            <v>45.75</v>
          </cell>
        </row>
        <row r="114">
          <cell r="V114">
            <v>64.5</v>
          </cell>
        </row>
        <row r="115">
          <cell r="C115">
            <v>3</v>
          </cell>
          <cell r="D115">
            <v>497</v>
          </cell>
        </row>
        <row r="115">
          <cell r="G115">
            <v>110</v>
          </cell>
        </row>
        <row r="115">
          <cell r="J115">
            <v>86</v>
          </cell>
        </row>
        <row r="115">
          <cell r="M115">
            <v>112</v>
          </cell>
        </row>
        <row r="115">
          <cell r="P115">
            <v>73.5</v>
          </cell>
        </row>
        <row r="115">
          <cell r="S115">
            <v>49</v>
          </cell>
        </row>
        <row r="115">
          <cell r="V115">
            <v>66.5</v>
          </cell>
        </row>
        <row r="116">
          <cell r="C116">
            <v>3</v>
          </cell>
          <cell r="D116">
            <v>498.5</v>
          </cell>
        </row>
        <row r="116">
          <cell r="G116">
            <v>96.5</v>
          </cell>
        </row>
        <row r="116">
          <cell r="J116">
            <v>91</v>
          </cell>
        </row>
        <row r="116">
          <cell r="M116">
            <v>125.5</v>
          </cell>
        </row>
        <row r="116">
          <cell r="P116">
            <v>71</v>
          </cell>
        </row>
        <row r="116">
          <cell r="S116">
            <v>51</v>
          </cell>
        </row>
        <row r="116">
          <cell r="V116">
            <v>63.5</v>
          </cell>
        </row>
        <row r="117">
          <cell r="C117">
            <v>3</v>
          </cell>
          <cell r="D117">
            <v>470.25</v>
          </cell>
        </row>
        <row r="117">
          <cell r="G117">
            <v>94.5</v>
          </cell>
        </row>
        <row r="117">
          <cell r="J117">
            <v>77</v>
          </cell>
        </row>
        <row r="117">
          <cell r="M117">
            <v>95</v>
          </cell>
        </row>
        <row r="117">
          <cell r="P117">
            <v>83</v>
          </cell>
        </row>
        <row r="117">
          <cell r="S117">
            <v>57.25</v>
          </cell>
        </row>
        <row r="117">
          <cell r="V117">
            <v>63.5</v>
          </cell>
        </row>
        <row r="118">
          <cell r="C118">
            <v>3</v>
          </cell>
          <cell r="D118">
            <v>488.5</v>
          </cell>
        </row>
        <row r="118">
          <cell r="G118">
            <v>94</v>
          </cell>
        </row>
        <row r="118">
          <cell r="J118">
            <v>84.5</v>
          </cell>
        </row>
        <row r="118">
          <cell r="M118">
            <v>115.5</v>
          </cell>
        </row>
        <row r="118">
          <cell r="P118">
            <v>72</v>
          </cell>
        </row>
        <row r="118">
          <cell r="S118">
            <v>57</v>
          </cell>
        </row>
        <row r="118">
          <cell r="V118">
            <v>65.5</v>
          </cell>
        </row>
        <row r="119">
          <cell r="C119">
            <v>3</v>
          </cell>
          <cell r="D119">
            <v>512.75</v>
          </cell>
        </row>
        <row r="119">
          <cell r="G119">
            <v>92.75</v>
          </cell>
        </row>
        <row r="119">
          <cell r="J119">
            <v>103</v>
          </cell>
        </row>
        <row r="119">
          <cell r="M119">
            <v>119.5</v>
          </cell>
        </row>
        <row r="119">
          <cell r="P119">
            <v>71.5</v>
          </cell>
        </row>
        <row r="119">
          <cell r="S119">
            <v>63.5</v>
          </cell>
        </row>
        <row r="119">
          <cell r="V119">
            <v>62.5</v>
          </cell>
        </row>
        <row r="120">
          <cell r="C120">
            <v>3</v>
          </cell>
          <cell r="D120">
            <v>479</v>
          </cell>
        </row>
        <row r="120">
          <cell r="G120">
            <v>108</v>
          </cell>
        </row>
        <row r="120">
          <cell r="J120">
            <v>77.5</v>
          </cell>
        </row>
        <row r="120">
          <cell r="M120">
            <v>123</v>
          </cell>
        </row>
        <row r="120">
          <cell r="P120">
            <v>65.5</v>
          </cell>
        </row>
        <row r="120">
          <cell r="S120">
            <v>45.5</v>
          </cell>
        </row>
        <row r="120">
          <cell r="V120">
            <v>59.5</v>
          </cell>
        </row>
        <row r="121">
          <cell r="C121">
            <v>3</v>
          </cell>
          <cell r="D121">
            <v>451.5</v>
          </cell>
        </row>
        <row r="121">
          <cell r="G121">
            <v>106</v>
          </cell>
        </row>
        <row r="121">
          <cell r="J121">
            <v>50</v>
          </cell>
        </row>
        <row r="121">
          <cell r="M121">
            <v>122.5</v>
          </cell>
        </row>
        <row r="121">
          <cell r="P121">
            <v>66</v>
          </cell>
        </row>
        <row r="121">
          <cell r="S121">
            <v>58.5</v>
          </cell>
        </row>
        <row r="121">
          <cell r="V121">
            <v>48.5</v>
          </cell>
        </row>
        <row r="122">
          <cell r="C122">
            <v>3</v>
          </cell>
          <cell r="D122">
            <v>427</v>
          </cell>
        </row>
        <row r="122">
          <cell r="G122">
            <v>98.5</v>
          </cell>
        </row>
        <row r="122">
          <cell r="J122">
            <v>35</v>
          </cell>
        </row>
        <row r="122">
          <cell r="M122">
            <v>119</v>
          </cell>
        </row>
        <row r="122">
          <cell r="P122">
            <v>68.5</v>
          </cell>
        </row>
        <row r="122">
          <cell r="S122">
            <v>52</v>
          </cell>
        </row>
        <row r="122">
          <cell r="V122">
            <v>54</v>
          </cell>
        </row>
        <row r="123">
          <cell r="C123">
            <v>3</v>
          </cell>
          <cell r="D123">
            <v>449</v>
          </cell>
        </row>
        <row r="123">
          <cell r="G123">
            <v>102</v>
          </cell>
        </row>
        <row r="123">
          <cell r="J123">
            <v>62.5</v>
          </cell>
        </row>
        <row r="123">
          <cell r="M123">
            <v>126</v>
          </cell>
        </row>
        <row r="123">
          <cell r="P123">
            <v>64.25</v>
          </cell>
        </row>
        <row r="123">
          <cell r="S123">
            <v>47.25</v>
          </cell>
        </row>
        <row r="123">
          <cell r="V123">
            <v>47</v>
          </cell>
        </row>
        <row r="124">
          <cell r="C124">
            <v>3</v>
          </cell>
          <cell r="D124">
            <v>473.5</v>
          </cell>
        </row>
        <row r="124">
          <cell r="G124">
            <v>100.5</v>
          </cell>
        </row>
        <row r="124">
          <cell r="J124">
            <v>77</v>
          </cell>
        </row>
        <row r="124">
          <cell r="M124">
            <v>116.5</v>
          </cell>
        </row>
        <row r="124">
          <cell r="P124">
            <v>73.5</v>
          </cell>
        </row>
        <row r="124">
          <cell r="S124">
            <v>54.5</v>
          </cell>
        </row>
        <row r="124">
          <cell r="V124">
            <v>51.5</v>
          </cell>
        </row>
        <row r="125">
          <cell r="C125">
            <v>3</v>
          </cell>
          <cell r="D125">
            <v>487.75</v>
          </cell>
        </row>
        <row r="125">
          <cell r="G125">
            <v>105.5</v>
          </cell>
        </row>
        <row r="125">
          <cell r="J125">
            <v>103</v>
          </cell>
        </row>
        <row r="125">
          <cell r="M125">
            <v>93.5</v>
          </cell>
        </row>
        <row r="125">
          <cell r="P125">
            <v>73.5</v>
          </cell>
        </row>
        <row r="125">
          <cell r="S125">
            <v>59.75</v>
          </cell>
        </row>
        <row r="125">
          <cell r="V125">
            <v>52.5</v>
          </cell>
        </row>
        <row r="126">
          <cell r="C126">
            <v>3</v>
          </cell>
          <cell r="D126">
            <v>472.25</v>
          </cell>
        </row>
        <row r="126">
          <cell r="G126">
            <v>86.5</v>
          </cell>
        </row>
        <row r="126">
          <cell r="J126">
            <v>81</v>
          </cell>
        </row>
        <row r="126">
          <cell r="M126">
            <v>100</v>
          </cell>
        </row>
        <row r="126">
          <cell r="P126">
            <v>85</v>
          </cell>
        </row>
        <row r="126">
          <cell r="S126">
            <v>52.75</v>
          </cell>
        </row>
        <row r="126">
          <cell r="V126">
            <v>67</v>
          </cell>
        </row>
        <row r="127">
          <cell r="C127">
            <v>3</v>
          </cell>
          <cell r="D127">
            <v>482</v>
          </cell>
        </row>
        <row r="127">
          <cell r="G127">
            <v>100</v>
          </cell>
        </row>
        <row r="127">
          <cell r="J127">
            <v>71</v>
          </cell>
        </row>
        <row r="127">
          <cell r="M127">
            <v>114</v>
          </cell>
        </row>
        <row r="127">
          <cell r="P127">
            <v>80</v>
          </cell>
        </row>
        <row r="127">
          <cell r="S127">
            <v>60</v>
          </cell>
        </row>
        <row r="127">
          <cell r="V127">
            <v>57</v>
          </cell>
        </row>
        <row r="128">
          <cell r="C128">
            <v>3</v>
          </cell>
          <cell r="D128">
            <v>421.5</v>
          </cell>
        </row>
        <row r="128">
          <cell r="G128">
            <v>96</v>
          </cell>
        </row>
        <row r="128">
          <cell r="J128">
            <v>58</v>
          </cell>
        </row>
        <row r="128">
          <cell r="M128">
            <v>97.5</v>
          </cell>
        </row>
        <row r="128">
          <cell r="P128">
            <v>75</v>
          </cell>
        </row>
        <row r="128">
          <cell r="S128">
            <v>47.5</v>
          </cell>
        </row>
        <row r="128">
          <cell r="V128">
            <v>47.5</v>
          </cell>
        </row>
        <row r="129">
          <cell r="C129">
            <v>3</v>
          </cell>
          <cell r="D129">
            <v>482.5</v>
          </cell>
        </row>
        <row r="129">
          <cell r="G129">
            <v>95.5</v>
          </cell>
        </row>
        <row r="129">
          <cell r="J129">
            <v>80.5</v>
          </cell>
        </row>
        <row r="129">
          <cell r="M129">
            <v>117.5</v>
          </cell>
        </row>
        <row r="129">
          <cell r="P129">
            <v>75.5</v>
          </cell>
        </row>
        <row r="129">
          <cell r="S129">
            <v>56.5</v>
          </cell>
        </row>
        <row r="129">
          <cell r="V129">
            <v>57</v>
          </cell>
        </row>
        <row r="130">
          <cell r="C130">
            <v>3</v>
          </cell>
          <cell r="D130">
            <v>426</v>
          </cell>
        </row>
        <row r="130">
          <cell r="G130">
            <v>101</v>
          </cell>
        </row>
        <row r="130">
          <cell r="J130">
            <v>68.5</v>
          </cell>
        </row>
        <row r="130">
          <cell r="M130">
            <v>103.5</v>
          </cell>
        </row>
        <row r="130">
          <cell r="P130">
            <v>63</v>
          </cell>
        </row>
        <row r="130">
          <cell r="S130">
            <v>43.5</v>
          </cell>
        </row>
        <row r="130">
          <cell r="V130">
            <v>46.5</v>
          </cell>
        </row>
        <row r="131">
          <cell r="C131">
            <v>3</v>
          </cell>
          <cell r="D131">
            <v>389.5</v>
          </cell>
        </row>
        <row r="131">
          <cell r="G131">
            <v>94</v>
          </cell>
        </row>
        <row r="131">
          <cell r="J131">
            <v>58</v>
          </cell>
        </row>
        <row r="131">
          <cell r="M131">
            <v>111</v>
          </cell>
        </row>
        <row r="131">
          <cell r="P131">
            <v>51</v>
          </cell>
        </row>
        <row r="131">
          <cell r="S131">
            <v>36</v>
          </cell>
        </row>
        <row r="131">
          <cell r="V131">
            <v>39.5</v>
          </cell>
        </row>
        <row r="132">
          <cell r="C132">
            <v>3</v>
          </cell>
          <cell r="D132">
            <v>499.5</v>
          </cell>
        </row>
        <row r="132">
          <cell r="G132">
            <v>103.75</v>
          </cell>
        </row>
        <row r="132">
          <cell r="J132">
            <v>89.5</v>
          </cell>
        </row>
        <row r="132">
          <cell r="M132">
            <v>110</v>
          </cell>
        </row>
        <row r="132">
          <cell r="P132">
            <v>85.5</v>
          </cell>
        </row>
        <row r="132">
          <cell r="S132">
            <v>54.75</v>
          </cell>
        </row>
        <row r="132">
          <cell r="V132">
            <v>56</v>
          </cell>
        </row>
        <row r="133">
          <cell r="C133">
            <v>3</v>
          </cell>
          <cell r="D133">
            <v>393.5</v>
          </cell>
        </row>
        <row r="133">
          <cell r="G133">
            <v>93</v>
          </cell>
        </row>
        <row r="133">
          <cell r="J133">
            <v>55.5</v>
          </cell>
        </row>
        <row r="133">
          <cell r="M133">
            <v>113.5</v>
          </cell>
        </row>
        <row r="133">
          <cell r="P133">
            <v>48.5</v>
          </cell>
        </row>
        <row r="133">
          <cell r="S133">
            <v>35</v>
          </cell>
        </row>
        <row r="133">
          <cell r="V133">
            <v>48</v>
          </cell>
        </row>
        <row r="134">
          <cell r="C134">
            <v>3</v>
          </cell>
          <cell r="D134">
            <v>462.5</v>
          </cell>
        </row>
        <row r="134">
          <cell r="G134">
            <v>107.5</v>
          </cell>
        </row>
        <row r="134">
          <cell r="J134">
            <v>75</v>
          </cell>
        </row>
        <row r="134">
          <cell r="M134">
            <v>100</v>
          </cell>
        </row>
        <row r="134">
          <cell r="P134">
            <v>70.5</v>
          </cell>
        </row>
        <row r="134">
          <cell r="S134">
            <v>55.5</v>
          </cell>
        </row>
        <row r="134">
          <cell r="V134">
            <v>54</v>
          </cell>
        </row>
        <row r="135">
          <cell r="C135">
            <v>3</v>
          </cell>
          <cell r="D135">
            <v>411</v>
          </cell>
        </row>
        <row r="135">
          <cell r="G135">
            <v>103.5</v>
          </cell>
        </row>
        <row r="135">
          <cell r="J135">
            <v>54.5</v>
          </cell>
        </row>
        <row r="135">
          <cell r="M135">
            <v>104.5</v>
          </cell>
        </row>
        <row r="135">
          <cell r="P135">
            <v>58</v>
          </cell>
        </row>
        <row r="135">
          <cell r="S135">
            <v>42</v>
          </cell>
        </row>
        <row r="135">
          <cell r="V135">
            <v>48.5</v>
          </cell>
        </row>
        <row r="136">
          <cell r="C136">
            <v>3</v>
          </cell>
          <cell r="D136">
            <v>493</v>
          </cell>
        </row>
        <row r="136">
          <cell r="G136">
            <v>105</v>
          </cell>
        </row>
        <row r="136">
          <cell r="J136">
            <v>96.5</v>
          </cell>
        </row>
        <row r="136">
          <cell r="M136">
            <v>103.5</v>
          </cell>
        </row>
        <row r="136">
          <cell r="P136">
            <v>69</v>
          </cell>
        </row>
        <row r="136">
          <cell r="S136">
            <v>56</v>
          </cell>
        </row>
        <row r="136">
          <cell r="V136">
            <v>63</v>
          </cell>
        </row>
        <row r="137">
          <cell r="C137">
            <v>3</v>
          </cell>
          <cell r="D137">
            <v>464</v>
          </cell>
        </row>
        <row r="137">
          <cell r="G137">
            <v>94.5</v>
          </cell>
        </row>
        <row r="137">
          <cell r="J137">
            <v>80</v>
          </cell>
        </row>
        <row r="137">
          <cell r="M137">
            <v>109.5</v>
          </cell>
        </row>
        <row r="137">
          <cell r="P137">
            <v>79.5</v>
          </cell>
        </row>
        <row r="137">
          <cell r="S137">
            <v>50.5</v>
          </cell>
        </row>
        <row r="137">
          <cell r="V137">
            <v>50</v>
          </cell>
        </row>
        <row r="138">
          <cell r="C138">
            <v>3</v>
          </cell>
          <cell r="D138">
            <v>379</v>
          </cell>
        </row>
        <row r="138">
          <cell r="G138">
            <v>95.5</v>
          </cell>
        </row>
        <row r="138">
          <cell r="J138">
            <v>69.5</v>
          </cell>
        </row>
        <row r="138">
          <cell r="M138">
            <v>105.5</v>
          </cell>
        </row>
        <row r="138">
          <cell r="P138">
            <v>61.5</v>
          </cell>
        </row>
        <row r="138">
          <cell r="V138">
            <v>47</v>
          </cell>
        </row>
        <row r="139">
          <cell r="C139">
            <v>3</v>
          </cell>
          <cell r="D139">
            <v>377</v>
          </cell>
        </row>
        <row r="139">
          <cell r="G139">
            <v>88</v>
          </cell>
        </row>
        <row r="139">
          <cell r="J139">
            <v>65.5</v>
          </cell>
        </row>
        <row r="139">
          <cell r="M139">
            <v>87</v>
          </cell>
        </row>
        <row r="139">
          <cell r="P139">
            <v>54.5</v>
          </cell>
        </row>
        <row r="139">
          <cell r="S139">
            <v>38.5</v>
          </cell>
        </row>
        <row r="139">
          <cell r="V139">
            <v>43.5</v>
          </cell>
        </row>
        <row r="140">
          <cell r="C140">
            <v>3</v>
          </cell>
          <cell r="D140">
            <v>407</v>
          </cell>
        </row>
        <row r="140">
          <cell r="G140">
            <v>102.5</v>
          </cell>
        </row>
        <row r="140">
          <cell r="J140">
            <v>52.5</v>
          </cell>
        </row>
        <row r="140">
          <cell r="M140">
            <v>107.5</v>
          </cell>
        </row>
        <row r="140">
          <cell r="P140">
            <v>55.5</v>
          </cell>
        </row>
        <row r="140">
          <cell r="S140">
            <v>43</v>
          </cell>
        </row>
        <row r="140">
          <cell r="V140">
            <v>46</v>
          </cell>
        </row>
        <row r="141">
          <cell r="C141">
            <v>3</v>
          </cell>
          <cell r="D141">
            <v>460</v>
          </cell>
        </row>
        <row r="141">
          <cell r="G141">
            <v>108.5</v>
          </cell>
        </row>
        <row r="141">
          <cell r="J141">
            <v>67.5</v>
          </cell>
        </row>
        <row r="141">
          <cell r="M141">
            <v>114.5</v>
          </cell>
        </row>
        <row r="141">
          <cell r="P141">
            <v>61.5</v>
          </cell>
        </row>
        <row r="141">
          <cell r="S141">
            <v>55.5</v>
          </cell>
        </row>
        <row r="141">
          <cell r="V141">
            <v>52.5</v>
          </cell>
        </row>
        <row r="142">
          <cell r="C142">
            <v>3</v>
          </cell>
          <cell r="D142">
            <v>370.75</v>
          </cell>
        </row>
        <row r="142">
          <cell r="G142">
            <v>99</v>
          </cell>
        </row>
        <row r="142">
          <cell r="J142">
            <v>51.5</v>
          </cell>
        </row>
        <row r="142">
          <cell r="M142">
            <v>91.5</v>
          </cell>
        </row>
        <row r="142">
          <cell r="P142">
            <v>48.5</v>
          </cell>
        </row>
        <row r="142">
          <cell r="S142">
            <v>36.25</v>
          </cell>
        </row>
        <row r="142">
          <cell r="V142">
            <v>44</v>
          </cell>
        </row>
        <row r="143">
          <cell r="C143">
            <v>3</v>
          </cell>
          <cell r="D143">
            <v>388.5</v>
          </cell>
        </row>
        <row r="143">
          <cell r="G143">
            <v>102</v>
          </cell>
        </row>
        <row r="143">
          <cell r="J143">
            <v>54</v>
          </cell>
        </row>
        <row r="143">
          <cell r="M143">
            <v>100.5</v>
          </cell>
        </row>
        <row r="143">
          <cell r="P143">
            <v>45</v>
          </cell>
        </row>
        <row r="143">
          <cell r="S143">
            <v>35.5</v>
          </cell>
        </row>
        <row r="143">
          <cell r="V143">
            <v>51.5</v>
          </cell>
        </row>
        <row r="144">
          <cell r="C144">
            <v>3</v>
          </cell>
          <cell r="D144">
            <v>412.5</v>
          </cell>
        </row>
        <row r="144">
          <cell r="G144">
            <v>97.5</v>
          </cell>
        </row>
        <row r="144">
          <cell r="J144">
            <v>56.5</v>
          </cell>
        </row>
        <row r="144">
          <cell r="M144">
            <v>108</v>
          </cell>
        </row>
        <row r="144">
          <cell r="P144">
            <v>69.5</v>
          </cell>
        </row>
        <row r="144">
          <cell r="S144">
            <v>34</v>
          </cell>
        </row>
        <row r="144">
          <cell r="V144">
            <v>47</v>
          </cell>
        </row>
        <row r="145">
          <cell r="C145">
            <v>3</v>
          </cell>
          <cell r="D145">
            <v>411.5</v>
          </cell>
        </row>
        <row r="145">
          <cell r="G145">
            <v>101</v>
          </cell>
        </row>
        <row r="145">
          <cell r="J145">
            <v>79.5</v>
          </cell>
        </row>
        <row r="145">
          <cell r="M145">
            <v>105</v>
          </cell>
        </row>
        <row r="145">
          <cell r="P145">
            <v>55</v>
          </cell>
        </row>
        <row r="145">
          <cell r="S145">
            <v>27.5</v>
          </cell>
        </row>
        <row r="145">
          <cell r="V145">
            <v>43.5</v>
          </cell>
        </row>
        <row r="146">
          <cell r="C146">
            <v>3</v>
          </cell>
          <cell r="D146">
            <v>408.75</v>
          </cell>
        </row>
        <row r="146">
          <cell r="G146">
            <v>106</v>
          </cell>
        </row>
        <row r="146">
          <cell r="J146">
            <v>45</v>
          </cell>
        </row>
        <row r="146">
          <cell r="M146">
            <v>108</v>
          </cell>
        </row>
        <row r="146">
          <cell r="P146">
            <v>51</v>
          </cell>
        </row>
        <row r="146">
          <cell r="S146">
            <v>43.25</v>
          </cell>
        </row>
        <row r="146">
          <cell r="V146">
            <v>55.5</v>
          </cell>
        </row>
        <row r="147">
          <cell r="C147">
            <v>3</v>
          </cell>
          <cell r="D147">
            <v>429.5</v>
          </cell>
        </row>
        <row r="147">
          <cell r="G147">
            <v>90</v>
          </cell>
        </row>
        <row r="147">
          <cell r="J147">
            <v>78.5</v>
          </cell>
        </row>
        <row r="147">
          <cell r="M147">
            <v>95</v>
          </cell>
        </row>
        <row r="147">
          <cell r="P147">
            <v>75</v>
          </cell>
        </row>
        <row r="147">
          <cell r="S147">
            <v>51.5</v>
          </cell>
        </row>
        <row r="147">
          <cell r="V147">
            <v>39.5</v>
          </cell>
        </row>
        <row r="148">
          <cell r="C148">
            <v>3</v>
          </cell>
          <cell r="D148">
            <v>358</v>
          </cell>
        </row>
        <row r="148">
          <cell r="G148">
            <v>104</v>
          </cell>
        </row>
        <row r="148">
          <cell r="J148">
            <v>36.5</v>
          </cell>
        </row>
        <row r="148">
          <cell r="M148">
            <v>96</v>
          </cell>
        </row>
        <row r="148">
          <cell r="P148">
            <v>46.5</v>
          </cell>
        </row>
        <row r="148">
          <cell r="S148">
            <v>34.5</v>
          </cell>
        </row>
        <row r="148">
          <cell r="V148">
            <v>40.5</v>
          </cell>
        </row>
        <row r="149">
          <cell r="C149">
            <v>3</v>
          </cell>
          <cell r="D149">
            <v>429</v>
          </cell>
        </row>
        <row r="149">
          <cell r="G149">
            <v>95.5</v>
          </cell>
        </row>
        <row r="149">
          <cell r="J149">
            <v>77.5</v>
          </cell>
        </row>
        <row r="149">
          <cell r="M149">
            <v>95.5</v>
          </cell>
        </row>
        <row r="149">
          <cell r="P149">
            <v>68.5</v>
          </cell>
        </row>
        <row r="149">
          <cell r="S149">
            <v>50.5</v>
          </cell>
        </row>
        <row r="149">
          <cell r="V149">
            <v>41.5</v>
          </cell>
        </row>
        <row r="150">
          <cell r="C150">
            <v>3</v>
          </cell>
          <cell r="D150">
            <v>429.5</v>
          </cell>
        </row>
        <row r="150">
          <cell r="G150">
            <v>104.5</v>
          </cell>
        </row>
        <row r="150">
          <cell r="J150">
            <v>56.5</v>
          </cell>
        </row>
        <row r="150">
          <cell r="M150">
            <v>117.5</v>
          </cell>
        </row>
        <row r="150">
          <cell r="P150">
            <v>47.5</v>
          </cell>
        </row>
        <row r="150">
          <cell r="S150">
            <v>44.5</v>
          </cell>
        </row>
        <row r="150">
          <cell r="V150">
            <v>59</v>
          </cell>
        </row>
        <row r="151">
          <cell r="C151">
            <v>3</v>
          </cell>
          <cell r="D151">
            <v>420.5</v>
          </cell>
        </row>
        <row r="151">
          <cell r="G151">
            <v>107.5</v>
          </cell>
        </row>
        <row r="151">
          <cell r="J151">
            <v>73</v>
          </cell>
        </row>
        <row r="151">
          <cell r="M151">
            <v>96</v>
          </cell>
        </row>
        <row r="151">
          <cell r="P151">
            <v>64.5</v>
          </cell>
        </row>
        <row r="151">
          <cell r="S151">
            <v>39</v>
          </cell>
        </row>
        <row r="151">
          <cell r="V151">
            <v>40.5</v>
          </cell>
        </row>
        <row r="152">
          <cell r="C152">
            <v>3</v>
          </cell>
          <cell r="D152">
            <v>371</v>
          </cell>
        </row>
        <row r="152">
          <cell r="G152">
            <v>95.5</v>
          </cell>
        </row>
        <row r="152">
          <cell r="J152">
            <v>64</v>
          </cell>
        </row>
        <row r="152">
          <cell r="M152">
            <v>96</v>
          </cell>
        </row>
        <row r="152">
          <cell r="P152">
            <v>51.5</v>
          </cell>
        </row>
        <row r="152">
          <cell r="S152">
            <v>34</v>
          </cell>
        </row>
        <row r="152">
          <cell r="V152">
            <v>30</v>
          </cell>
        </row>
        <row r="153">
          <cell r="C153">
            <v>3</v>
          </cell>
          <cell r="D153">
            <v>458.75</v>
          </cell>
        </row>
        <row r="153">
          <cell r="G153">
            <v>114</v>
          </cell>
        </row>
        <row r="153">
          <cell r="J153">
            <v>69.5</v>
          </cell>
        </row>
        <row r="153">
          <cell r="M153">
            <v>113</v>
          </cell>
        </row>
        <row r="153">
          <cell r="P153">
            <v>63.5</v>
          </cell>
        </row>
        <row r="153">
          <cell r="S153">
            <v>42.75</v>
          </cell>
        </row>
        <row r="153">
          <cell r="V153">
            <v>56</v>
          </cell>
        </row>
        <row r="154">
          <cell r="C154">
            <v>3</v>
          </cell>
          <cell r="D154">
            <v>426.5</v>
          </cell>
        </row>
        <row r="154">
          <cell r="G154">
            <v>94</v>
          </cell>
        </row>
        <row r="154">
          <cell r="J154">
            <v>64</v>
          </cell>
        </row>
        <row r="154">
          <cell r="M154">
            <v>103</v>
          </cell>
        </row>
        <row r="154">
          <cell r="P154">
            <v>58</v>
          </cell>
        </row>
        <row r="154">
          <cell r="S154">
            <v>62</v>
          </cell>
        </row>
        <row r="154">
          <cell r="V154">
            <v>45.5</v>
          </cell>
        </row>
        <row r="155">
          <cell r="C155">
            <v>3</v>
          </cell>
          <cell r="D155">
            <v>343</v>
          </cell>
        </row>
        <row r="155">
          <cell r="G155">
            <v>89.5</v>
          </cell>
        </row>
        <row r="155">
          <cell r="J155">
            <v>46.5</v>
          </cell>
        </row>
        <row r="155">
          <cell r="M155">
            <v>91</v>
          </cell>
        </row>
        <row r="155">
          <cell r="P155">
            <v>39</v>
          </cell>
        </row>
        <row r="155">
          <cell r="S155">
            <v>37.5</v>
          </cell>
        </row>
        <row r="155">
          <cell r="V155">
            <v>39.5</v>
          </cell>
        </row>
        <row r="156">
          <cell r="C156">
            <v>3</v>
          </cell>
          <cell r="D156">
            <v>436.75</v>
          </cell>
        </row>
        <row r="156">
          <cell r="G156">
            <v>95.25</v>
          </cell>
        </row>
        <row r="156">
          <cell r="J156">
            <v>93</v>
          </cell>
        </row>
        <row r="156">
          <cell r="M156">
            <v>97</v>
          </cell>
        </row>
        <row r="156">
          <cell r="P156">
            <v>57</v>
          </cell>
        </row>
        <row r="156">
          <cell r="S156">
            <v>43</v>
          </cell>
        </row>
        <row r="156">
          <cell r="V156">
            <v>51.5</v>
          </cell>
        </row>
        <row r="157">
          <cell r="C157">
            <v>3</v>
          </cell>
          <cell r="D157">
            <v>409.75</v>
          </cell>
        </row>
        <row r="157">
          <cell r="G157">
            <v>109.5</v>
          </cell>
        </row>
        <row r="157">
          <cell r="J157">
            <v>74</v>
          </cell>
        </row>
        <row r="157">
          <cell r="M157">
            <v>77.5</v>
          </cell>
        </row>
        <row r="157">
          <cell r="P157">
            <v>49.5</v>
          </cell>
        </row>
        <row r="157">
          <cell r="S157">
            <v>45.25</v>
          </cell>
        </row>
        <row r="157">
          <cell r="V157">
            <v>54</v>
          </cell>
        </row>
        <row r="158">
          <cell r="C158">
            <v>3</v>
          </cell>
          <cell r="D158">
            <v>388.5</v>
          </cell>
        </row>
        <row r="158">
          <cell r="G158">
            <v>91</v>
          </cell>
        </row>
        <row r="158">
          <cell r="J158">
            <v>59</v>
          </cell>
        </row>
        <row r="158">
          <cell r="M158">
            <v>103</v>
          </cell>
        </row>
        <row r="158">
          <cell r="P158">
            <v>53.5</v>
          </cell>
        </row>
        <row r="158">
          <cell r="S158">
            <v>43.5</v>
          </cell>
        </row>
        <row r="158">
          <cell r="V158">
            <v>38.5</v>
          </cell>
        </row>
        <row r="159">
          <cell r="C159">
            <v>3</v>
          </cell>
          <cell r="D159">
            <v>342.5</v>
          </cell>
        </row>
        <row r="159">
          <cell r="G159">
            <v>93.5</v>
          </cell>
        </row>
        <row r="159">
          <cell r="J159">
            <v>30.5</v>
          </cell>
        </row>
        <row r="159">
          <cell r="M159">
            <v>81.5</v>
          </cell>
        </row>
        <row r="159">
          <cell r="P159">
            <v>54.5</v>
          </cell>
        </row>
        <row r="159">
          <cell r="S159">
            <v>36</v>
          </cell>
        </row>
        <row r="159">
          <cell r="V159">
            <v>46.5</v>
          </cell>
        </row>
        <row r="160">
          <cell r="C160">
            <v>3</v>
          </cell>
          <cell r="D160">
            <v>362.5</v>
          </cell>
        </row>
        <row r="160">
          <cell r="G160">
            <v>101.5</v>
          </cell>
        </row>
        <row r="160">
          <cell r="J160">
            <v>56</v>
          </cell>
        </row>
        <row r="160">
          <cell r="M160">
            <v>97</v>
          </cell>
        </row>
        <row r="160">
          <cell r="P160">
            <v>37.5</v>
          </cell>
        </row>
        <row r="160">
          <cell r="S160">
            <v>33.5</v>
          </cell>
        </row>
        <row r="160">
          <cell r="V160">
            <v>37</v>
          </cell>
        </row>
        <row r="161">
          <cell r="C161">
            <v>3</v>
          </cell>
          <cell r="D161">
            <v>398</v>
          </cell>
        </row>
        <row r="161">
          <cell r="G161">
            <v>97</v>
          </cell>
        </row>
        <row r="161">
          <cell r="J161">
            <v>50.5</v>
          </cell>
        </row>
        <row r="161">
          <cell r="M161">
            <v>97.5</v>
          </cell>
        </row>
        <row r="161">
          <cell r="P161">
            <v>50</v>
          </cell>
        </row>
        <row r="161">
          <cell r="S161">
            <v>45.5</v>
          </cell>
        </row>
        <row r="161">
          <cell r="V161">
            <v>57.5</v>
          </cell>
        </row>
        <row r="162">
          <cell r="C162">
            <v>3</v>
          </cell>
          <cell r="D162">
            <v>384.5</v>
          </cell>
        </row>
        <row r="162">
          <cell r="G162">
            <v>91.5</v>
          </cell>
        </row>
        <row r="162">
          <cell r="J162">
            <v>48</v>
          </cell>
        </row>
        <row r="162">
          <cell r="M162">
            <v>98</v>
          </cell>
        </row>
        <row r="162">
          <cell r="P162">
            <v>54</v>
          </cell>
        </row>
        <row r="162">
          <cell r="S162">
            <v>46</v>
          </cell>
        </row>
        <row r="162">
          <cell r="V162">
            <v>47</v>
          </cell>
        </row>
        <row r="163">
          <cell r="C163">
            <v>4</v>
          </cell>
          <cell r="D163">
            <v>486</v>
          </cell>
        </row>
        <row r="163">
          <cell r="G163">
            <v>102</v>
          </cell>
        </row>
        <row r="163">
          <cell r="J163">
            <v>84</v>
          </cell>
        </row>
        <row r="163">
          <cell r="M163">
            <v>125</v>
          </cell>
        </row>
        <row r="163">
          <cell r="P163">
            <v>67</v>
          </cell>
        </row>
        <row r="163">
          <cell r="S163">
            <v>51.5</v>
          </cell>
        </row>
        <row r="163">
          <cell r="V163">
            <v>56.5</v>
          </cell>
        </row>
        <row r="164">
          <cell r="C164">
            <v>4</v>
          </cell>
          <cell r="D164">
            <v>444.25</v>
          </cell>
        </row>
        <row r="164">
          <cell r="G164">
            <v>105.5</v>
          </cell>
        </row>
        <row r="164">
          <cell r="J164">
            <v>67.5</v>
          </cell>
        </row>
        <row r="164">
          <cell r="M164">
            <v>114</v>
          </cell>
        </row>
        <row r="164">
          <cell r="P164">
            <v>62.5</v>
          </cell>
        </row>
        <row r="164">
          <cell r="S164">
            <v>43.25</v>
          </cell>
        </row>
        <row r="164">
          <cell r="V164">
            <v>51.5</v>
          </cell>
        </row>
        <row r="165">
          <cell r="C165">
            <v>4</v>
          </cell>
          <cell r="D165">
            <v>472</v>
          </cell>
        </row>
        <row r="165">
          <cell r="G165">
            <v>106.5</v>
          </cell>
        </row>
        <row r="165">
          <cell r="J165">
            <v>81</v>
          </cell>
        </row>
        <row r="165">
          <cell r="M165">
            <v>111</v>
          </cell>
        </row>
        <row r="165">
          <cell r="P165">
            <v>56.5</v>
          </cell>
        </row>
        <row r="165">
          <cell r="S165">
            <v>53.5</v>
          </cell>
        </row>
        <row r="165">
          <cell r="V165">
            <v>63.5</v>
          </cell>
        </row>
        <row r="166">
          <cell r="C166">
            <v>4</v>
          </cell>
          <cell r="D166">
            <v>516.75</v>
          </cell>
        </row>
        <row r="166">
          <cell r="G166">
            <v>107</v>
          </cell>
        </row>
        <row r="166">
          <cell r="J166">
            <v>106.5</v>
          </cell>
        </row>
        <row r="166">
          <cell r="M166">
            <v>115.5</v>
          </cell>
        </row>
        <row r="166">
          <cell r="P166">
            <v>68</v>
          </cell>
        </row>
        <row r="166">
          <cell r="S166">
            <v>58.25</v>
          </cell>
        </row>
        <row r="166">
          <cell r="V166">
            <v>61.5</v>
          </cell>
        </row>
        <row r="167">
          <cell r="C167">
            <v>4</v>
          </cell>
          <cell r="D167">
            <v>498.75</v>
          </cell>
        </row>
        <row r="167">
          <cell r="G167">
            <v>105.5</v>
          </cell>
        </row>
        <row r="167">
          <cell r="J167">
            <v>75.5</v>
          </cell>
        </row>
        <row r="167">
          <cell r="M167">
            <v>130</v>
          </cell>
        </row>
        <row r="167">
          <cell r="P167">
            <v>71.5</v>
          </cell>
        </row>
        <row r="167">
          <cell r="S167">
            <v>57.75</v>
          </cell>
        </row>
        <row r="167">
          <cell r="V167">
            <v>58.5</v>
          </cell>
        </row>
        <row r="168">
          <cell r="C168">
            <v>4</v>
          </cell>
          <cell r="D168">
            <v>501</v>
          </cell>
        </row>
        <row r="168">
          <cell r="G168">
            <v>99</v>
          </cell>
        </row>
        <row r="168">
          <cell r="J168">
            <v>97.5</v>
          </cell>
        </row>
        <row r="168">
          <cell r="M168">
            <v>125.5</v>
          </cell>
        </row>
        <row r="168">
          <cell r="P168">
            <v>59.5</v>
          </cell>
        </row>
        <row r="168">
          <cell r="S168">
            <v>60</v>
          </cell>
        </row>
        <row r="168">
          <cell r="V168">
            <v>59.5</v>
          </cell>
        </row>
        <row r="169">
          <cell r="C169">
            <v>4</v>
          </cell>
          <cell r="D169">
            <v>533.5</v>
          </cell>
        </row>
        <row r="169">
          <cell r="G169">
            <v>106.5</v>
          </cell>
        </row>
        <row r="169">
          <cell r="J169">
            <v>115</v>
          </cell>
        </row>
        <row r="169">
          <cell r="M169">
            <v>96</v>
          </cell>
        </row>
        <row r="169">
          <cell r="P169">
            <v>84.5</v>
          </cell>
        </row>
        <row r="169">
          <cell r="S169">
            <v>67.5</v>
          </cell>
        </row>
        <row r="169">
          <cell r="V169">
            <v>64</v>
          </cell>
        </row>
        <row r="170">
          <cell r="C170">
            <v>4</v>
          </cell>
          <cell r="D170">
            <v>488.75</v>
          </cell>
        </row>
        <row r="170">
          <cell r="G170">
            <v>99</v>
          </cell>
        </row>
        <row r="170">
          <cell r="J170">
            <v>101.5</v>
          </cell>
        </row>
        <row r="170">
          <cell r="M170">
            <v>105.75</v>
          </cell>
        </row>
        <row r="170">
          <cell r="P170">
            <v>70.5</v>
          </cell>
        </row>
        <row r="170">
          <cell r="S170">
            <v>52.5</v>
          </cell>
        </row>
        <row r="170">
          <cell r="V170">
            <v>59.5</v>
          </cell>
        </row>
        <row r="171">
          <cell r="C171">
            <v>4</v>
          </cell>
          <cell r="D171">
            <v>432</v>
          </cell>
        </row>
        <row r="171">
          <cell r="G171">
            <v>86.5</v>
          </cell>
        </row>
        <row r="171">
          <cell r="J171">
            <v>77.5</v>
          </cell>
        </row>
        <row r="171">
          <cell r="M171">
            <v>99</v>
          </cell>
        </row>
        <row r="171">
          <cell r="P171">
            <v>67</v>
          </cell>
        </row>
        <row r="171">
          <cell r="S171">
            <v>52.5</v>
          </cell>
        </row>
        <row r="171">
          <cell r="V171">
            <v>49.5</v>
          </cell>
        </row>
        <row r="172">
          <cell r="C172">
            <v>4</v>
          </cell>
          <cell r="D172">
            <v>495.5</v>
          </cell>
        </row>
        <row r="172">
          <cell r="G172">
            <v>106.5</v>
          </cell>
        </row>
        <row r="172">
          <cell r="J172">
            <v>79</v>
          </cell>
        </row>
        <row r="172">
          <cell r="M172">
            <v>126</v>
          </cell>
        </row>
        <row r="172">
          <cell r="P172">
            <v>71</v>
          </cell>
        </row>
        <row r="172">
          <cell r="S172">
            <v>56.5</v>
          </cell>
        </row>
        <row r="172">
          <cell r="V172">
            <v>56.5</v>
          </cell>
        </row>
        <row r="173">
          <cell r="C173">
            <v>4</v>
          </cell>
          <cell r="D173">
            <v>512</v>
          </cell>
        </row>
        <row r="173">
          <cell r="G173">
            <v>105.5</v>
          </cell>
        </row>
        <row r="173">
          <cell r="J173">
            <v>110.5</v>
          </cell>
        </row>
        <row r="173">
          <cell r="M173">
            <v>100</v>
          </cell>
        </row>
        <row r="173">
          <cell r="P173">
            <v>68.5</v>
          </cell>
        </row>
        <row r="173">
          <cell r="S173">
            <v>52.5</v>
          </cell>
        </row>
        <row r="173">
          <cell r="V173">
            <v>75</v>
          </cell>
        </row>
        <row r="174">
          <cell r="C174">
            <v>4</v>
          </cell>
          <cell r="D174">
            <v>416.75</v>
          </cell>
        </row>
        <row r="174">
          <cell r="G174">
            <v>95</v>
          </cell>
        </row>
        <row r="174">
          <cell r="J174">
            <v>62</v>
          </cell>
        </row>
        <row r="174">
          <cell r="M174">
            <v>113.5</v>
          </cell>
        </row>
        <row r="174">
          <cell r="P174">
            <v>59</v>
          </cell>
        </row>
        <row r="174">
          <cell r="S174">
            <v>32.75</v>
          </cell>
        </row>
        <row r="174">
          <cell r="V174">
            <v>54.5</v>
          </cell>
        </row>
        <row r="175">
          <cell r="C175">
            <v>4</v>
          </cell>
          <cell r="D175">
            <v>455.5</v>
          </cell>
        </row>
        <row r="175">
          <cell r="G175">
            <v>102</v>
          </cell>
        </row>
        <row r="175">
          <cell r="J175">
            <v>51.5</v>
          </cell>
        </row>
        <row r="175">
          <cell r="M175">
            <v>122</v>
          </cell>
        </row>
        <row r="175">
          <cell r="P175">
            <v>80.5</v>
          </cell>
        </row>
        <row r="175">
          <cell r="S175">
            <v>53.5</v>
          </cell>
        </row>
        <row r="175">
          <cell r="V175">
            <v>46</v>
          </cell>
        </row>
        <row r="176">
          <cell r="C176">
            <v>4</v>
          </cell>
          <cell r="D176">
            <v>441.5</v>
          </cell>
        </row>
        <row r="176">
          <cell r="G176">
            <v>100</v>
          </cell>
        </row>
        <row r="176">
          <cell r="J176">
            <v>71.5</v>
          </cell>
        </row>
        <row r="176">
          <cell r="M176">
            <v>105.5</v>
          </cell>
        </row>
        <row r="176">
          <cell r="P176">
            <v>62</v>
          </cell>
        </row>
        <row r="176">
          <cell r="S176">
            <v>42.5</v>
          </cell>
        </row>
        <row r="176">
          <cell r="V176">
            <v>60</v>
          </cell>
        </row>
        <row r="177">
          <cell r="C177">
            <v>4</v>
          </cell>
          <cell r="D177">
            <v>453</v>
          </cell>
        </row>
        <row r="177">
          <cell r="G177">
            <v>107.25</v>
          </cell>
        </row>
        <row r="177">
          <cell r="J177">
            <v>70</v>
          </cell>
        </row>
        <row r="177">
          <cell r="M177">
            <v>112.5</v>
          </cell>
        </row>
        <row r="177">
          <cell r="P177">
            <v>61</v>
          </cell>
        </row>
        <row r="177">
          <cell r="S177">
            <v>50.75</v>
          </cell>
        </row>
        <row r="177">
          <cell r="V177">
            <v>51.5</v>
          </cell>
        </row>
        <row r="178">
          <cell r="C178">
            <v>4</v>
          </cell>
          <cell r="D178">
            <v>478</v>
          </cell>
        </row>
        <row r="178">
          <cell r="G178">
            <v>104.75</v>
          </cell>
        </row>
        <row r="178">
          <cell r="J178">
            <v>73</v>
          </cell>
        </row>
        <row r="178">
          <cell r="M178">
            <v>122</v>
          </cell>
        </row>
        <row r="178">
          <cell r="P178">
            <v>66.5</v>
          </cell>
        </row>
        <row r="178">
          <cell r="S178">
            <v>52.25</v>
          </cell>
        </row>
        <row r="178">
          <cell r="V178">
            <v>59.5</v>
          </cell>
        </row>
        <row r="179">
          <cell r="C179">
            <v>4</v>
          </cell>
          <cell r="D179">
            <v>512.5</v>
          </cell>
        </row>
        <row r="179">
          <cell r="G179">
            <v>111</v>
          </cell>
        </row>
        <row r="179">
          <cell r="J179">
            <v>74.5</v>
          </cell>
        </row>
        <row r="179">
          <cell r="M179">
            <v>127.5</v>
          </cell>
        </row>
        <row r="179">
          <cell r="P179">
            <v>70.5</v>
          </cell>
        </row>
        <row r="179">
          <cell r="S179">
            <v>56</v>
          </cell>
        </row>
        <row r="179">
          <cell r="V179">
            <v>73</v>
          </cell>
        </row>
        <row r="180">
          <cell r="C180">
            <v>4</v>
          </cell>
          <cell r="D180">
            <v>497.25</v>
          </cell>
        </row>
        <row r="180">
          <cell r="G180">
            <v>95</v>
          </cell>
        </row>
        <row r="180">
          <cell r="J180">
            <v>100.5</v>
          </cell>
        </row>
        <row r="180">
          <cell r="M180">
            <v>102.5</v>
          </cell>
        </row>
        <row r="180">
          <cell r="P180">
            <v>78.5</v>
          </cell>
        </row>
        <row r="180">
          <cell r="S180">
            <v>60.75</v>
          </cell>
        </row>
        <row r="180">
          <cell r="V180">
            <v>60</v>
          </cell>
        </row>
        <row r="181">
          <cell r="C181">
            <v>4</v>
          </cell>
          <cell r="D181">
            <v>432</v>
          </cell>
        </row>
        <row r="181">
          <cell r="G181">
            <v>96.5</v>
          </cell>
        </row>
        <row r="181">
          <cell r="J181">
            <v>49.5</v>
          </cell>
        </row>
        <row r="181">
          <cell r="M181">
            <v>97.5</v>
          </cell>
        </row>
        <row r="181">
          <cell r="P181">
            <v>72</v>
          </cell>
        </row>
        <row r="181">
          <cell r="S181">
            <v>50.5</v>
          </cell>
        </row>
        <row r="181">
          <cell r="V181">
            <v>66</v>
          </cell>
        </row>
        <row r="182">
          <cell r="C182">
            <v>4</v>
          </cell>
          <cell r="D182">
            <v>458</v>
          </cell>
        </row>
        <row r="182">
          <cell r="G182">
            <v>102</v>
          </cell>
        </row>
        <row r="182">
          <cell r="J182">
            <v>79</v>
          </cell>
        </row>
        <row r="182">
          <cell r="M182">
            <v>119.5</v>
          </cell>
        </row>
        <row r="182">
          <cell r="P182">
            <v>65</v>
          </cell>
        </row>
        <row r="182">
          <cell r="S182">
            <v>48</v>
          </cell>
        </row>
        <row r="182">
          <cell r="V182">
            <v>44.5</v>
          </cell>
        </row>
        <row r="183">
          <cell r="C183">
            <v>4</v>
          </cell>
          <cell r="D183">
            <v>425.25</v>
          </cell>
        </row>
        <row r="183">
          <cell r="G183">
            <v>98.5</v>
          </cell>
        </row>
        <row r="183">
          <cell r="J183">
            <v>68.5</v>
          </cell>
        </row>
        <row r="183">
          <cell r="M183">
            <v>127.5</v>
          </cell>
        </row>
        <row r="183">
          <cell r="P183">
            <v>63.5</v>
          </cell>
        </row>
        <row r="183">
          <cell r="S183">
            <v>43.25</v>
          </cell>
        </row>
        <row r="183">
          <cell r="V183">
            <v>24</v>
          </cell>
        </row>
        <row r="184">
          <cell r="C184">
            <v>4</v>
          </cell>
          <cell r="D184">
            <v>486.25</v>
          </cell>
        </row>
        <row r="184">
          <cell r="G184">
            <v>101.25</v>
          </cell>
        </row>
        <row r="184">
          <cell r="J184">
            <v>83.5</v>
          </cell>
        </row>
        <row r="184">
          <cell r="M184">
            <v>112</v>
          </cell>
        </row>
        <row r="184">
          <cell r="P184">
            <v>86.5</v>
          </cell>
        </row>
        <row r="184">
          <cell r="S184">
            <v>41.5</v>
          </cell>
        </row>
        <row r="184">
          <cell r="V184">
            <v>61.5</v>
          </cell>
        </row>
        <row r="185">
          <cell r="C185">
            <v>4</v>
          </cell>
          <cell r="D185">
            <v>452.75</v>
          </cell>
        </row>
        <row r="185">
          <cell r="G185">
            <v>109.5</v>
          </cell>
        </row>
        <row r="185">
          <cell r="J185">
            <v>53.5</v>
          </cell>
        </row>
        <row r="185">
          <cell r="M185">
            <v>102.75</v>
          </cell>
        </row>
        <row r="185">
          <cell r="P185">
            <v>72.5</v>
          </cell>
        </row>
        <row r="185">
          <cell r="S185">
            <v>49.5</v>
          </cell>
        </row>
        <row r="185">
          <cell r="V185">
            <v>65</v>
          </cell>
        </row>
        <row r="186">
          <cell r="C186">
            <v>4</v>
          </cell>
          <cell r="D186">
            <v>523.25</v>
          </cell>
        </row>
        <row r="186">
          <cell r="G186">
            <v>98.5</v>
          </cell>
        </row>
        <row r="186">
          <cell r="J186">
            <v>106.5</v>
          </cell>
        </row>
        <row r="186">
          <cell r="M186">
            <v>111.75</v>
          </cell>
        </row>
        <row r="186">
          <cell r="P186">
            <v>81.5</v>
          </cell>
        </row>
        <row r="186">
          <cell r="S186">
            <v>55.5</v>
          </cell>
        </row>
        <row r="186">
          <cell r="V186">
            <v>69.5</v>
          </cell>
        </row>
        <row r="187">
          <cell r="C187">
            <v>4</v>
          </cell>
          <cell r="D187">
            <v>483.25</v>
          </cell>
        </row>
        <row r="187">
          <cell r="G187">
            <v>89.5</v>
          </cell>
        </row>
        <row r="187">
          <cell r="J187">
            <v>92.5</v>
          </cell>
        </row>
        <row r="187">
          <cell r="M187">
            <v>104.5</v>
          </cell>
        </row>
        <row r="187">
          <cell r="P187">
            <v>81.5</v>
          </cell>
        </row>
        <row r="187">
          <cell r="S187">
            <v>54.25</v>
          </cell>
        </row>
        <row r="187">
          <cell r="V187">
            <v>61</v>
          </cell>
        </row>
        <row r="188">
          <cell r="C188">
            <v>4</v>
          </cell>
          <cell r="D188">
            <v>407</v>
          </cell>
        </row>
        <row r="188">
          <cell r="G188">
            <v>101</v>
          </cell>
        </row>
        <row r="188">
          <cell r="J188">
            <v>54</v>
          </cell>
        </row>
        <row r="188">
          <cell r="M188">
            <v>115.5</v>
          </cell>
        </row>
        <row r="188">
          <cell r="P188">
            <v>48</v>
          </cell>
        </row>
        <row r="188">
          <cell r="S188">
            <v>42</v>
          </cell>
        </row>
        <row r="188">
          <cell r="V188">
            <v>46.5</v>
          </cell>
        </row>
        <row r="189">
          <cell r="C189">
            <v>4</v>
          </cell>
          <cell r="D189">
            <v>428</v>
          </cell>
        </row>
        <row r="189">
          <cell r="G189">
            <v>101</v>
          </cell>
        </row>
        <row r="189">
          <cell r="J189">
            <v>54</v>
          </cell>
        </row>
        <row r="189">
          <cell r="M189">
            <v>111.5</v>
          </cell>
        </row>
        <row r="189">
          <cell r="P189">
            <v>59.5</v>
          </cell>
        </row>
        <row r="189">
          <cell r="S189">
            <v>53.5</v>
          </cell>
        </row>
        <row r="189">
          <cell r="V189">
            <v>48.5</v>
          </cell>
        </row>
        <row r="190">
          <cell r="C190">
            <v>4</v>
          </cell>
          <cell r="D190">
            <v>449</v>
          </cell>
        </row>
        <row r="190">
          <cell r="G190">
            <v>116</v>
          </cell>
        </row>
        <row r="190">
          <cell r="J190">
            <v>50.5</v>
          </cell>
        </row>
        <row r="190">
          <cell r="M190">
            <v>115.5</v>
          </cell>
        </row>
        <row r="190">
          <cell r="P190">
            <v>66.5</v>
          </cell>
        </row>
        <row r="190">
          <cell r="S190">
            <v>44.5</v>
          </cell>
        </row>
        <row r="190">
          <cell r="V190">
            <v>56</v>
          </cell>
        </row>
        <row r="191">
          <cell r="C191">
            <v>4</v>
          </cell>
          <cell r="D191">
            <v>428.75</v>
          </cell>
        </row>
        <row r="191">
          <cell r="G191">
            <v>93</v>
          </cell>
        </row>
        <row r="191">
          <cell r="J191">
            <v>69</v>
          </cell>
        </row>
        <row r="191">
          <cell r="M191">
            <v>112.25</v>
          </cell>
        </row>
        <row r="191">
          <cell r="P191">
            <v>61</v>
          </cell>
        </row>
        <row r="191">
          <cell r="S191">
            <v>49</v>
          </cell>
        </row>
        <row r="191">
          <cell r="V191">
            <v>44.5</v>
          </cell>
        </row>
        <row r="192">
          <cell r="C192">
            <v>4</v>
          </cell>
          <cell r="D192">
            <v>482.5</v>
          </cell>
        </row>
        <row r="192">
          <cell r="G192">
            <v>94</v>
          </cell>
        </row>
        <row r="192">
          <cell r="J192">
            <v>91</v>
          </cell>
        </row>
        <row r="192">
          <cell r="M192">
            <v>97.5</v>
          </cell>
        </row>
        <row r="192">
          <cell r="P192">
            <v>80</v>
          </cell>
        </row>
        <row r="192">
          <cell r="S192">
            <v>67.5</v>
          </cell>
        </row>
        <row r="192">
          <cell r="V192">
            <v>52.5</v>
          </cell>
        </row>
        <row r="193">
          <cell r="C193">
            <v>4</v>
          </cell>
          <cell r="D193">
            <v>427</v>
          </cell>
        </row>
        <row r="193">
          <cell r="G193">
            <v>107</v>
          </cell>
        </row>
        <row r="193">
          <cell r="J193">
            <v>80</v>
          </cell>
        </row>
        <row r="193">
          <cell r="M193">
            <v>94.5</v>
          </cell>
        </row>
        <row r="193">
          <cell r="P193">
            <v>55</v>
          </cell>
        </row>
        <row r="193">
          <cell r="S193">
            <v>45</v>
          </cell>
        </row>
        <row r="193">
          <cell r="V193">
            <v>45.5</v>
          </cell>
        </row>
        <row r="194">
          <cell r="C194">
            <v>4</v>
          </cell>
          <cell r="D194">
            <v>401.5</v>
          </cell>
        </row>
        <row r="194">
          <cell r="G194">
            <v>98.5</v>
          </cell>
        </row>
        <row r="194">
          <cell r="J194">
            <v>57.5</v>
          </cell>
        </row>
        <row r="194">
          <cell r="M194">
            <v>89.5</v>
          </cell>
        </row>
        <row r="194">
          <cell r="P194">
            <v>51.5</v>
          </cell>
        </row>
        <row r="194">
          <cell r="S194">
            <v>42.5</v>
          </cell>
        </row>
        <row r="194">
          <cell r="V194">
            <v>62</v>
          </cell>
        </row>
        <row r="195">
          <cell r="C195">
            <v>4</v>
          </cell>
          <cell r="D195">
            <v>359</v>
          </cell>
        </row>
        <row r="195">
          <cell r="G195">
            <v>94.5</v>
          </cell>
        </row>
        <row r="195">
          <cell r="J195">
            <v>57</v>
          </cell>
        </row>
        <row r="195">
          <cell r="M195">
            <v>78.5</v>
          </cell>
        </row>
        <row r="195">
          <cell r="P195">
            <v>50.5</v>
          </cell>
        </row>
        <row r="195">
          <cell r="S195">
            <v>27</v>
          </cell>
        </row>
        <row r="195">
          <cell r="V195">
            <v>51.5</v>
          </cell>
        </row>
        <row r="196">
          <cell r="C196">
            <v>4</v>
          </cell>
          <cell r="D196">
            <v>475.5</v>
          </cell>
        </row>
        <row r="196">
          <cell r="G196">
            <v>108</v>
          </cell>
        </row>
        <row r="196">
          <cell r="J196">
            <v>84.5</v>
          </cell>
        </row>
        <row r="196">
          <cell r="M196">
            <v>120.5</v>
          </cell>
        </row>
        <row r="196">
          <cell r="P196">
            <v>61.5</v>
          </cell>
        </row>
        <row r="196">
          <cell r="S196">
            <v>48</v>
          </cell>
        </row>
        <row r="196">
          <cell r="V196">
            <v>53</v>
          </cell>
        </row>
        <row r="197">
          <cell r="C197">
            <v>4</v>
          </cell>
          <cell r="D197">
            <v>387</v>
          </cell>
        </row>
        <row r="197">
          <cell r="G197">
            <v>94</v>
          </cell>
        </row>
        <row r="197">
          <cell r="J197">
            <v>63</v>
          </cell>
        </row>
        <row r="197">
          <cell r="M197">
            <v>81</v>
          </cell>
        </row>
        <row r="197">
          <cell r="P197">
            <v>58</v>
          </cell>
        </row>
        <row r="197">
          <cell r="S197">
            <v>37.5</v>
          </cell>
        </row>
        <row r="197">
          <cell r="V197">
            <v>53.5</v>
          </cell>
        </row>
        <row r="198">
          <cell r="C198">
            <v>4</v>
          </cell>
          <cell r="D198">
            <v>415</v>
          </cell>
        </row>
        <row r="198">
          <cell r="G198">
            <v>90.5</v>
          </cell>
        </row>
        <row r="198">
          <cell r="J198">
            <v>79</v>
          </cell>
        </row>
        <row r="198">
          <cell r="M198">
            <v>88</v>
          </cell>
        </row>
        <row r="198">
          <cell r="P198">
            <v>51</v>
          </cell>
        </row>
        <row r="198">
          <cell r="S198">
            <v>53.5</v>
          </cell>
        </row>
        <row r="198">
          <cell r="V198">
            <v>53</v>
          </cell>
        </row>
        <row r="199">
          <cell r="C199">
            <v>4</v>
          </cell>
          <cell r="D199">
            <v>447.5</v>
          </cell>
        </row>
        <row r="199">
          <cell r="G199">
            <v>94.5</v>
          </cell>
        </row>
        <row r="199">
          <cell r="J199">
            <v>81.5</v>
          </cell>
        </row>
        <row r="199">
          <cell r="M199">
            <v>105.5</v>
          </cell>
        </row>
        <row r="199">
          <cell r="P199">
            <v>74</v>
          </cell>
        </row>
        <row r="199">
          <cell r="S199">
            <v>47</v>
          </cell>
        </row>
        <row r="199">
          <cell r="V199">
            <v>45</v>
          </cell>
        </row>
        <row r="200">
          <cell r="C200">
            <v>4</v>
          </cell>
          <cell r="D200">
            <v>308.5</v>
          </cell>
        </row>
        <row r="200">
          <cell r="G200">
            <v>92.5</v>
          </cell>
        </row>
        <row r="200">
          <cell r="J200">
            <v>47.5</v>
          </cell>
        </row>
        <row r="200">
          <cell r="M200">
            <v>96</v>
          </cell>
        </row>
        <row r="200">
          <cell r="S200">
            <v>37</v>
          </cell>
        </row>
        <row r="200">
          <cell r="V200">
            <v>35.5</v>
          </cell>
        </row>
        <row r="201">
          <cell r="C201">
            <v>4</v>
          </cell>
          <cell r="D201">
            <v>412.75</v>
          </cell>
        </row>
        <row r="201">
          <cell r="G201">
            <v>91.5</v>
          </cell>
        </row>
        <row r="201">
          <cell r="J201">
            <v>48.5</v>
          </cell>
        </row>
        <row r="201">
          <cell r="M201">
            <v>113.5</v>
          </cell>
        </row>
        <row r="201">
          <cell r="P201">
            <v>70</v>
          </cell>
        </row>
        <row r="201">
          <cell r="S201">
            <v>41.75</v>
          </cell>
        </row>
        <row r="201">
          <cell r="V201">
            <v>47.5</v>
          </cell>
        </row>
        <row r="202">
          <cell r="C202">
            <v>4</v>
          </cell>
          <cell r="D202">
            <v>418.5</v>
          </cell>
        </row>
        <row r="202">
          <cell r="G202">
            <v>91.5</v>
          </cell>
        </row>
        <row r="202">
          <cell r="J202">
            <v>59.5</v>
          </cell>
        </row>
        <row r="202">
          <cell r="M202">
            <v>101</v>
          </cell>
        </row>
        <row r="202">
          <cell r="P202">
            <v>63.5</v>
          </cell>
        </row>
        <row r="202">
          <cell r="S202">
            <v>56</v>
          </cell>
        </row>
        <row r="202">
          <cell r="V202">
            <v>47</v>
          </cell>
        </row>
        <row r="203">
          <cell r="C203">
            <v>4</v>
          </cell>
          <cell r="D203">
            <v>381.25</v>
          </cell>
        </row>
        <row r="203">
          <cell r="G203">
            <v>99.75</v>
          </cell>
        </row>
        <row r="203">
          <cell r="J203">
            <v>45</v>
          </cell>
        </row>
        <row r="203">
          <cell r="M203">
            <v>107.5</v>
          </cell>
        </row>
        <row r="203">
          <cell r="P203">
            <v>31</v>
          </cell>
        </row>
        <row r="203">
          <cell r="S203">
            <v>44</v>
          </cell>
        </row>
        <row r="203">
          <cell r="V203">
            <v>54</v>
          </cell>
        </row>
        <row r="204">
          <cell r="C204">
            <v>4</v>
          </cell>
          <cell r="D204">
            <v>440</v>
          </cell>
        </row>
        <row r="204">
          <cell r="G204">
            <v>101.5</v>
          </cell>
        </row>
        <row r="204">
          <cell r="J204">
            <v>74</v>
          </cell>
        </row>
        <row r="204">
          <cell r="M204">
            <v>94.5</v>
          </cell>
        </row>
        <row r="204">
          <cell r="P204">
            <v>74</v>
          </cell>
        </row>
        <row r="204">
          <cell r="S204">
            <v>47.5</v>
          </cell>
        </row>
        <row r="204">
          <cell r="V204">
            <v>48.5</v>
          </cell>
        </row>
        <row r="205">
          <cell r="C205">
            <v>4</v>
          </cell>
          <cell r="D205">
            <v>360.5</v>
          </cell>
        </row>
        <row r="205">
          <cell r="G205">
            <v>91</v>
          </cell>
        </row>
        <row r="205">
          <cell r="J205">
            <v>53.5</v>
          </cell>
        </row>
        <row r="205">
          <cell r="M205">
            <v>99</v>
          </cell>
        </row>
        <row r="205">
          <cell r="P205">
            <v>44.5</v>
          </cell>
        </row>
        <row r="205">
          <cell r="S205">
            <v>36.5</v>
          </cell>
        </row>
        <row r="205">
          <cell r="V205">
            <v>36</v>
          </cell>
        </row>
        <row r="206">
          <cell r="C206">
            <v>4</v>
          </cell>
          <cell r="D206">
            <v>414.5</v>
          </cell>
        </row>
        <row r="206">
          <cell r="G206">
            <v>100.5</v>
          </cell>
        </row>
        <row r="206">
          <cell r="J206">
            <v>51.5</v>
          </cell>
        </row>
        <row r="206">
          <cell r="M206">
            <v>100</v>
          </cell>
        </row>
        <row r="206">
          <cell r="P206">
            <v>72.5</v>
          </cell>
        </row>
        <row r="206">
          <cell r="S206">
            <v>43.5</v>
          </cell>
        </row>
        <row r="206">
          <cell r="V206">
            <v>46.5</v>
          </cell>
        </row>
        <row r="207">
          <cell r="C207">
            <v>4</v>
          </cell>
          <cell r="D207">
            <v>449.5</v>
          </cell>
        </row>
        <row r="207">
          <cell r="G207">
            <v>102</v>
          </cell>
        </row>
        <row r="207">
          <cell r="J207">
            <v>76.5</v>
          </cell>
        </row>
        <row r="207">
          <cell r="M207">
            <v>102</v>
          </cell>
        </row>
        <row r="207">
          <cell r="P207">
            <v>56</v>
          </cell>
        </row>
        <row r="207">
          <cell r="S207">
            <v>50.5</v>
          </cell>
        </row>
        <row r="207">
          <cell r="V207">
            <v>62.5</v>
          </cell>
        </row>
        <row r="208">
          <cell r="C208">
            <v>4</v>
          </cell>
          <cell r="D208">
            <v>491.5</v>
          </cell>
        </row>
        <row r="208">
          <cell r="G208">
            <v>96.5</v>
          </cell>
        </row>
        <row r="208">
          <cell r="J208">
            <v>88</v>
          </cell>
        </row>
        <row r="208">
          <cell r="M208">
            <v>102.5</v>
          </cell>
        </row>
        <row r="208">
          <cell r="P208">
            <v>83.5</v>
          </cell>
        </row>
        <row r="208">
          <cell r="S208">
            <v>60.5</v>
          </cell>
        </row>
        <row r="208">
          <cell r="V208">
            <v>60.5</v>
          </cell>
        </row>
        <row r="209">
          <cell r="C209">
            <v>4</v>
          </cell>
          <cell r="D209">
            <v>339</v>
          </cell>
        </row>
        <row r="209">
          <cell r="G209">
            <v>98.5</v>
          </cell>
        </row>
        <row r="209">
          <cell r="J209">
            <v>56</v>
          </cell>
        </row>
        <row r="209">
          <cell r="M209">
            <v>98</v>
          </cell>
        </row>
        <row r="209">
          <cell r="P209">
            <v>25.5</v>
          </cell>
        </row>
        <row r="209">
          <cell r="S209">
            <v>30</v>
          </cell>
        </row>
        <row r="209">
          <cell r="V209">
            <v>31</v>
          </cell>
        </row>
        <row r="210">
          <cell r="C210">
            <v>4</v>
          </cell>
          <cell r="D210">
            <v>357.5</v>
          </cell>
        </row>
        <row r="210">
          <cell r="G210">
            <v>99.5</v>
          </cell>
        </row>
        <row r="210">
          <cell r="J210">
            <v>45</v>
          </cell>
        </row>
        <row r="210">
          <cell r="M210">
            <v>86.5</v>
          </cell>
        </row>
        <row r="210">
          <cell r="P210">
            <v>41</v>
          </cell>
        </row>
        <row r="210">
          <cell r="S210">
            <v>38</v>
          </cell>
        </row>
        <row r="210">
          <cell r="V210">
            <v>47.5</v>
          </cell>
        </row>
        <row r="211">
          <cell r="C211">
            <v>4</v>
          </cell>
          <cell r="D211">
            <v>404.5</v>
          </cell>
        </row>
        <row r="211">
          <cell r="G211">
            <v>98</v>
          </cell>
        </row>
        <row r="211">
          <cell r="J211">
            <v>64</v>
          </cell>
        </row>
        <row r="211">
          <cell r="M211">
            <v>107.5</v>
          </cell>
        </row>
        <row r="211">
          <cell r="P211">
            <v>59</v>
          </cell>
        </row>
        <row r="211">
          <cell r="S211">
            <v>35.5</v>
          </cell>
        </row>
        <row r="211">
          <cell r="V211">
            <v>40.5</v>
          </cell>
        </row>
        <row r="212">
          <cell r="C212">
            <v>4</v>
          </cell>
          <cell r="D212">
            <v>388.5</v>
          </cell>
        </row>
        <row r="212">
          <cell r="G212">
            <v>99</v>
          </cell>
        </row>
        <row r="212">
          <cell r="J212">
            <v>47.5</v>
          </cell>
        </row>
        <row r="212">
          <cell r="M212">
            <v>107</v>
          </cell>
        </row>
        <row r="212">
          <cell r="P212">
            <v>63</v>
          </cell>
        </row>
        <row r="212">
          <cell r="S212">
            <v>34</v>
          </cell>
        </row>
        <row r="212">
          <cell r="V212">
            <v>38</v>
          </cell>
        </row>
        <row r="213">
          <cell r="C213">
            <v>4</v>
          </cell>
          <cell r="D213">
            <v>421</v>
          </cell>
        </row>
        <row r="213">
          <cell r="G213">
            <v>91</v>
          </cell>
        </row>
        <row r="213">
          <cell r="J213">
            <v>87.5</v>
          </cell>
        </row>
        <row r="213">
          <cell r="M213">
            <v>85.5</v>
          </cell>
        </row>
        <row r="213">
          <cell r="P213">
            <v>61</v>
          </cell>
        </row>
        <row r="213">
          <cell r="S213">
            <v>51.5</v>
          </cell>
        </row>
        <row r="213">
          <cell r="V213">
            <v>44.5</v>
          </cell>
        </row>
        <row r="214">
          <cell r="C214">
            <v>4</v>
          </cell>
          <cell r="D214">
            <v>390.5</v>
          </cell>
        </row>
        <row r="214">
          <cell r="G214">
            <v>102.5</v>
          </cell>
        </row>
        <row r="214">
          <cell r="J214">
            <v>58</v>
          </cell>
        </row>
        <row r="214">
          <cell r="M214">
            <v>80.5</v>
          </cell>
        </row>
        <row r="214">
          <cell r="P214">
            <v>66.5</v>
          </cell>
        </row>
        <row r="214">
          <cell r="S214">
            <v>34.5</v>
          </cell>
        </row>
        <row r="214">
          <cell r="V214">
            <v>48.5</v>
          </cell>
        </row>
        <row r="215">
          <cell r="C215">
            <v>4</v>
          </cell>
          <cell r="D215">
            <v>413</v>
          </cell>
        </row>
        <row r="215">
          <cell r="G215">
            <v>92</v>
          </cell>
        </row>
        <row r="215">
          <cell r="J215">
            <v>53</v>
          </cell>
        </row>
        <row r="215">
          <cell r="M215">
            <v>128</v>
          </cell>
        </row>
        <row r="215">
          <cell r="P215">
            <v>50.5</v>
          </cell>
        </row>
        <row r="215">
          <cell r="S215">
            <v>47.5</v>
          </cell>
        </row>
        <row r="215">
          <cell r="V215">
            <v>42</v>
          </cell>
        </row>
        <row r="216">
          <cell r="C216">
            <v>4</v>
          </cell>
          <cell r="D216">
            <v>449.5</v>
          </cell>
        </row>
        <row r="216">
          <cell r="G216">
            <v>103</v>
          </cell>
        </row>
        <row r="216">
          <cell r="J216">
            <v>57</v>
          </cell>
        </row>
        <row r="216">
          <cell r="M216">
            <v>123</v>
          </cell>
        </row>
        <row r="216">
          <cell r="P216">
            <v>68</v>
          </cell>
        </row>
        <row r="216">
          <cell r="S216">
            <v>40</v>
          </cell>
        </row>
        <row r="216">
          <cell r="V216">
            <v>58.5</v>
          </cell>
        </row>
        <row r="217">
          <cell r="C217">
            <v>5</v>
          </cell>
          <cell r="D217">
            <v>474</v>
          </cell>
        </row>
        <row r="217">
          <cell r="G217">
            <v>101.5</v>
          </cell>
        </row>
        <row r="217">
          <cell r="J217">
            <v>76</v>
          </cell>
        </row>
        <row r="217">
          <cell r="M217">
            <v>117.5</v>
          </cell>
        </row>
        <row r="217">
          <cell r="P217">
            <v>75.5</v>
          </cell>
        </row>
        <row r="217">
          <cell r="S217">
            <v>57.5</v>
          </cell>
        </row>
        <row r="217">
          <cell r="V217">
            <v>46</v>
          </cell>
        </row>
        <row r="218">
          <cell r="C218">
            <v>5</v>
          </cell>
          <cell r="D218">
            <v>504.25</v>
          </cell>
        </row>
        <row r="218">
          <cell r="G218">
            <v>104</v>
          </cell>
        </row>
        <row r="218">
          <cell r="J218">
            <v>94.5</v>
          </cell>
        </row>
        <row r="218">
          <cell r="M218">
            <v>105</v>
          </cell>
        </row>
        <row r="218">
          <cell r="P218">
            <v>76</v>
          </cell>
        </row>
        <row r="218">
          <cell r="S218">
            <v>59.75</v>
          </cell>
        </row>
        <row r="218">
          <cell r="V218">
            <v>65</v>
          </cell>
        </row>
        <row r="219">
          <cell r="C219">
            <v>5</v>
          </cell>
          <cell r="D219">
            <v>456.5</v>
          </cell>
        </row>
        <row r="219">
          <cell r="G219">
            <v>96</v>
          </cell>
        </row>
        <row r="219">
          <cell r="J219">
            <v>83</v>
          </cell>
        </row>
        <row r="219">
          <cell r="M219">
            <v>105.5</v>
          </cell>
        </row>
        <row r="219">
          <cell r="P219">
            <v>69.5</v>
          </cell>
        </row>
        <row r="219">
          <cell r="S219">
            <v>48.5</v>
          </cell>
        </row>
        <row r="219">
          <cell r="V219">
            <v>54</v>
          </cell>
        </row>
        <row r="220">
          <cell r="C220">
            <v>5</v>
          </cell>
          <cell r="D220">
            <v>471.25</v>
          </cell>
        </row>
        <row r="220">
          <cell r="G220">
            <v>105</v>
          </cell>
        </row>
        <row r="220">
          <cell r="J220">
            <v>70.5</v>
          </cell>
        </row>
        <row r="220">
          <cell r="M220">
            <v>90.25</v>
          </cell>
        </row>
        <row r="220">
          <cell r="P220">
            <v>78</v>
          </cell>
        </row>
        <row r="220">
          <cell r="S220">
            <v>69.5</v>
          </cell>
        </row>
        <row r="220">
          <cell r="V220">
            <v>58</v>
          </cell>
        </row>
        <row r="221">
          <cell r="C221">
            <v>5</v>
          </cell>
          <cell r="D221">
            <v>445</v>
          </cell>
        </row>
        <row r="221">
          <cell r="G221">
            <v>96.5</v>
          </cell>
        </row>
        <row r="221">
          <cell r="J221">
            <v>57</v>
          </cell>
        </row>
        <row r="221">
          <cell r="M221">
            <v>115</v>
          </cell>
        </row>
        <row r="221">
          <cell r="P221">
            <v>64</v>
          </cell>
        </row>
        <row r="221">
          <cell r="S221">
            <v>57.5</v>
          </cell>
        </row>
        <row r="221">
          <cell r="V221">
            <v>55</v>
          </cell>
        </row>
        <row r="222">
          <cell r="C222">
            <v>5</v>
          </cell>
          <cell r="D222">
            <v>448.5</v>
          </cell>
        </row>
        <row r="222">
          <cell r="G222">
            <v>103</v>
          </cell>
        </row>
        <row r="222">
          <cell r="J222">
            <v>56.5</v>
          </cell>
        </row>
        <row r="222">
          <cell r="M222">
            <v>96.5</v>
          </cell>
        </row>
        <row r="222">
          <cell r="P222">
            <v>75</v>
          </cell>
        </row>
        <row r="222">
          <cell r="S222">
            <v>63</v>
          </cell>
        </row>
        <row r="222">
          <cell r="V222">
            <v>54.5</v>
          </cell>
        </row>
        <row r="223">
          <cell r="C223">
            <v>5</v>
          </cell>
          <cell r="D223">
            <v>475</v>
          </cell>
        </row>
        <row r="223">
          <cell r="G223">
            <v>104.5</v>
          </cell>
        </row>
        <row r="223">
          <cell r="J223">
            <v>90.5</v>
          </cell>
        </row>
        <row r="223">
          <cell r="M223">
            <v>110</v>
          </cell>
        </row>
        <row r="223">
          <cell r="P223">
            <v>68</v>
          </cell>
        </row>
        <row r="223">
          <cell r="S223">
            <v>48.5</v>
          </cell>
        </row>
        <row r="223">
          <cell r="V223">
            <v>53.5</v>
          </cell>
        </row>
        <row r="224">
          <cell r="C224">
            <v>5</v>
          </cell>
          <cell r="D224">
            <v>406.75</v>
          </cell>
        </row>
        <row r="224">
          <cell r="G224">
            <v>111.5</v>
          </cell>
        </row>
        <row r="224">
          <cell r="J224">
            <v>72</v>
          </cell>
        </row>
        <row r="224">
          <cell r="M224">
            <v>90</v>
          </cell>
        </row>
        <row r="224">
          <cell r="P224">
            <v>54</v>
          </cell>
        </row>
        <row r="224">
          <cell r="S224">
            <v>37.25</v>
          </cell>
        </row>
        <row r="224">
          <cell r="V224">
            <v>42</v>
          </cell>
        </row>
        <row r="225">
          <cell r="C225">
            <v>5</v>
          </cell>
          <cell r="D225">
            <v>435.5</v>
          </cell>
        </row>
        <row r="225">
          <cell r="G225">
            <v>106</v>
          </cell>
        </row>
        <row r="225">
          <cell r="J225">
            <v>71.5</v>
          </cell>
        </row>
        <row r="225">
          <cell r="M225">
            <v>87</v>
          </cell>
        </row>
        <row r="225">
          <cell r="P225">
            <v>72</v>
          </cell>
        </row>
        <row r="225">
          <cell r="S225">
            <v>45</v>
          </cell>
        </row>
        <row r="225">
          <cell r="V225">
            <v>54</v>
          </cell>
        </row>
        <row r="226">
          <cell r="C226">
            <v>5</v>
          </cell>
          <cell r="D226">
            <v>465.5</v>
          </cell>
        </row>
        <row r="226">
          <cell r="G226">
            <v>98.5</v>
          </cell>
        </row>
        <row r="226">
          <cell r="J226">
            <v>81</v>
          </cell>
        </row>
        <row r="226">
          <cell r="M226">
            <v>103</v>
          </cell>
        </row>
        <row r="226">
          <cell r="P226">
            <v>70.5</v>
          </cell>
        </row>
        <row r="226">
          <cell r="S226">
            <v>49</v>
          </cell>
        </row>
        <row r="226">
          <cell r="V226">
            <v>63.5</v>
          </cell>
        </row>
        <row r="227">
          <cell r="C227">
            <v>5</v>
          </cell>
          <cell r="D227">
            <v>446.75</v>
          </cell>
        </row>
        <row r="227">
          <cell r="G227">
            <v>99.25</v>
          </cell>
        </row>
        <row r="227">
          <cell r="J227">
            <v>81</v>
          </cell>
        </row>
        <row r="227">
          <cell r="M227">
            <v>99</v>
          </cell>
        </row>
        <row r="227">
          <cell r="P227">
            <v>62</v>
          </cell>
        </row>
        <row r="227">
          <cell r="S227">
            <v>52</v>
          </cell>
        </row>
        <row r="227">
          <cell r="V227">
            <v>53.5</v>
          </cell>
        </row>
        <row r="228">
          <cell r="C228">
            <v>5</v>
          </cell>
          <cell r="D228">
            <v>445</v>
          </cell>
        </row>
        <row r="228">
          <cell r="G228">
            <v>100</v>
          </cell>
        </row>
        <row r="228">
          <cell r="J228">
            <v>72</v>
          </cell>
        </row>
        <row r="228">
          <cell r="M228">
            <v>104</v>
          </cell>
        </row>
        <row r="228">
          <cell r="P228">
            <v>61</v>
          </cell>
        </row>
        <row r="228">
          <cell r="S228">
            <v>49.5</v>
          </cell>
        </row>
        <row r="228">
          <cell r="V228">
            <v>58.5</v>
          </cell>
        </row>
        <row r="229">
          <cell r="D229">
            <v>107</v>
          </cell>
        </row>
        <row r="229">
          <cell r="G229">
            <v>107</v>
          </cell>
        </row>
        <row r="230">
          <cell r="C230">
            <v>5</v>
          </cell>
          <cell r="D230">
            <v>454</v>
          </cell>
        </row>
        <row r="230">
          <cell r="G230">
            <v>112</v>
          </cell>
        </row>
        <row r="230">
          <cell r="J230">
            <v>66</v>
          </cell>
        </row>
        <row r="230">
          <cell r="M230">
            <v>108</v>
          </cell>
        </row>
        <row r="230">
          <cell r="P230">
            <v>61</v>
          </cell>
        </row>
        <row r="230">
          <cell r="S230">
            <v>50.5</v>
          </cell>
        </row>
        <row r="230">
          <cell r="V230">
            <v>56.5</v>
          </cell>
        </row>
        <row r="231">
          <cell r="C231">
            <v>5</v>
          </cell>
          <cell r="D231">
            <v>449.5</v>
          </cell>
        </row>
        <row r="231">
          <cell r="G231">
            <v>93</v>
          </cell>
        </row>
        <row r="231">
          <cell r="J231">
            <v>80.5</v>
          </cell>
        </row>
        <row r="231">
          <cell r="M231">
            <v>95</v>
          </cell>
        </row>
        <row r="231">
          <cell r="P231">
            <v>72.5</v>
          </cell>
        </row>
        <row r="231">
          <cell r="S231">
            <v>44</v>
          </cell>
        </row>
        <row r="231">
          <cell r="V231">
            <v>64.5</v>
          </cell>
        </row>
        <row r="232">
          <cell r="C232">
            <v>5</v>
          </cell>
          <cell r="D232">
            <v>478.5</v>
          </cell>
        </row>
        <row r="232">
          <cell r="G232">
            <v>96</v>
          </cell>
        </row>
        <row r="232">
          <cell r="J232">
            <v>94.5</v>
          </cell>
        </row>
        <row r="232">
          <cell r="M232">
            <v>125</v>
          </cell>
        </row>
        <row r="232">
          <cell r="P232">
            <v>60.5</v>
          </cell>
        </row>
        <row r="232">
          <cell r="S232">
            <v>51</v>
          </cell>
        </row>
        <row r="232">
          <cell r="V232">
            <v>51.5</v>
          </cell>
        </row>
        <row r="233">
          <cell r="C233">
            <v>5</v>
          </cell>
          <cell r="D233">
            <v>385.5</v>
          </cell>
        </row>
        <row r="233">
          <cell r="G233">
            <v>93.5</v>
          </cell>
        </row>
        <row r="233">
          <cell r="J233">
            <v>56.5</v>
          </cell>
        </row>
        <row r="233">
          <cell r="M233">
            <v>108.5</v>
          </cell>
        </row>
        <row r="233">
          <cell r="P233">
            <v>47</v>
          </cell>
        </row>
        <row r="233">
          <cell r="S233">
            <v>34</v>
          </cell>
        </row>
        <row r="233">
          <cell r="V233">
            <v>46</v>
          </cell>
        </row>
        <row r="234">
          <cell r="C234">
            <v>5</v>
          </cell>
          <cell r="D234">
            <v>507.75</v>
          </cell>
        </row>
        <row r="234">
          <cell r="G234">
            <v>110</v>
          </cell>
        </row>
        <row r="234">
          <cell r="J234">
            <v>98</v>
          </cell>
        </row>
        <row r="234">
          <cell r="M234">
            <v>111</v>
          </cell>
        </row>
        <row r="234">
          <cell r="P234">
            <v>64.5</v>
          </cell>
        </row>
        <row r="234">
          <cell r="S234">
            <v>53.75</v>
          </cell>
        </row>
        <row r="234">
          <cell r="V234">
            <v>70.5</v>
          </cell>
        </row>
        <row r="235">
          <cell r="C235">
            <v>5</v>
          </cell>
          <cell r="D235">
            <v>471.5</v>
          </cell>
        </row>
        <row r="235">
          <cell r="G235">
            <v>114</v>
          </cell>
        </row>
        <row r="235">
          <cell r="J235">
            <v>86.5</v>
          </cell>
        </row>
        <row r="235">
          <cell r="M235">
            <v>112.5</v>
          </cell>
        </row>
        <row r="235">
          <cell r="P235">
            <v>56</v>
          </cell>
        </row>
        <row r="235">
          <cell r="S235">
            <v>48</v>
          </cell>
        </row>
        <row r="235">
          <cell r="V235">
            <v>54.5</v>
          </cell>
        </row>
        <row r="236">
          <cell r="C236">
            <v>5</v>
          </cell>
          <cell r="D236">
            <v>487.5</v>
          </cell>
        </row>
        <row r="236">
          <cell r="G236">
            <v>102.75</v>
          </cell>
        </row>
        <row r="236">
          <cell r="J236">
            <v>91</v>
          </cell>
        </row>
        <row r="236">
          <cell r="M236">
            <v>114</v>
          </cell>
        </row>
        <row r="236">
          <cell r="P236">
            <v>69</v>
          </cell>
        </row>
        <row r="236">
          <cell r="S236">
            <v>51.25</v>
          </cell>
        </row>
        <row r="236">
          <cell r="V236">
            <v>59.5</v>
          </cell>
        </row>
        <row r="237">
          <cell r="C237">
            <v>5</v>
          </cell>
          <cell r="D237">
            <v>476</v>
          </cell>
        </row>
        <row r="237">
          <cell r="G237">
            <v>102.5</v>
          </cell>
        </row>
        <row r="237">
          <cell r="J237">
            <v>96.5</v>
          </cell>
        </row>
        <row r="237">
          <cell r="M237">
            <v>83.5</v>
          </cell>
        </row>
        <row r="237">
          <cell r="P237">
            <v>82.5</v>
          </cell>
        </row>
        <row r="237">
          <cell r="S237">
            <v>55.5</v>
          </cell>
        </row>
        <row r="237">
          <cell r="V237">
            <v>55.5</v>
          </cell>
        </row>
        <row r="238">
          <cell r="C238">
            <v>5</v>
          </cell>
          <cell r="D238">
            <v>449.25</v>
          </cell>
        </row>
        <row r="238">
          <cell r="G238">
            <v>102.5</v>
          </cell>
        </row>
        <row r="238">
          <cell r="J238">
            <v>57</v>
          </cell>
        </row>
        <row r="238">
          <cell r="M238">
            <v>115</v>
          </cell>
        </row>
        <row r="238">
          <cell r="P238">
            <v>62.5</v>
          </cell>
        </row>
        <row r="238">
          <cell r="S238">
            <v>52.25</v>
          </cell>
        </row>
        <row r="238">
          <cell r="V238">
            <v>60</v>
          </cell>
        </row>
        <row r="239">
          <cell r="C239">
            <v>5</v>
          </cell>
          <cell r="D239">
            <v>423.5</v>
          </cell>
        </row>
        <row r="239">
          <cell r="G239">
            <v>93</v>
          </cell>
        </row>
        <row r="239">
          <cell r="J239">
            <v>61.5</v>
          </cell>
        </row>
        <row r="239">
          <cell r="M239">
            <v>86</v>
          </cell>
        </row>
        <row r="239">
          <cell r="P239">
            <v>77</v>
          </cell>
        </row>
        <row r="239">
          <cell r="S239">
            <v>54</v>
          </cell>
        </row>
        <row r="239">
          <cell r="V239">
            <v>52</v>
          </cell>
        </row>
        <row r="240">
          <cell r="C240">
            <v>5</v>
          </cell>
          <cell r="D240">
            <v>446.5</v>
          </cell>
        </row>
        <row r="240">
          <cell r="G240">
            <v>106</v>
          </cell>
        </row>
        <row r="240">
          <cell r="J240">
            <v>66.5</v>
          </cell>
        </row>
        <row r="240">
          <cell r="M240">
            <v>114</v>
          </cell>
        </row>
        <row r="240">
          <cell r="P240">
            <v>62.5</v>
          </cell>
        </row>
        <row r="240">
          <cell r="S240">
            <v>49.5</v>
          </cell>
        </row>
        <row r="240">
          <cell r="V240">
            <v>48</v>
          </cell>
        </row>
        <row r="241">
          <cell r="C241">
            <v>5</v>
          </cell>
          <cell r="D241">
            <v>491.25</v>
          </cell>
        </row>
        <row r="241">
          <cell r="G241">
            <v>108.5</v>
          </cell>
        </row>
        <row r="241">
          <cell r="J241">
            <v>84.5</v>
          </cell>
        </row>
        <row r="241">
          <cell r="M241">
            <v>117.5</v>
          </cell>
        </row>
        <row r="241">
          <cell r="P241">
            <v>75.5</v>
          </cell>
        </row>
        <row r="241">
          <cell r="S241">
            <v>47.75</v>
          </cell>
        </row>
        <row r="241">
          <cell r="V241">
            <v>57.5</v>
          </cell>
        </row>
        <row r="242">
          <cell r="C242">
            <v>5</v>
          </cell>
          <cell r="D242">
            <v>454.5</v>
          </cell>
        </row>
        <row r="242">
          <cell r="G242">
            <v>99</v>
          </cell>
        </row>
        <row r="242">
          <cell r="J242">
            <v>69</v>
          </cell>
        </row>
        <row r="242">
          <cell r="M242">
            <v>116.5</v>
          </cell>
        </row>
        <row r="242">
          <cell r="P242">
            <v>62.5</v>
          </cell>
        </row>
        <row r="242">
          <cell r="S242">
            <v>45.5</v>
          </cell>
        </row>
        <row r="242">
          <cell r="V242">
            <v>62</v>
          </cell>
        </row>
        <row r="243">
          <cell r="C243">
            <v>5</v>
          </cell>
          <cell r="D243">
            <v>421.75</v>
          </cell>
        </row>
        <row r="243">
          <cell r="G243">
            <v>105.5</v>
          </cell>
        </row>
        <row r="243">
          <cell r="J243">
            <v>79.5</v>
          </cell>
        </row>
        <row r="243">
          <cell r="M243">
            <v>87.5</v>
          </cell>
        </row>
        <row r="243">
          <cell r="P243">
            <v>61</v>
          </cell>
        </row>
        <row r="243">
          <cell r="S243">
            <v>46.25</v>
          </cell>
        </row>
        <row r="243">
          <cell r="V243">
            <v>42</v>
          </cell>
        </row>
        <row r="244">
          <cell r="C244">
            <v>5</v>
          </cell>
          <cell r="D244">
            <v>409.5</v>
          </cell>
        </row>
        <row r="244">
          <cell r="G244">
            <v>97.5</v>
          </cell>
        </row>
        <row r="244">
          <cell r="J244">
            <v>82</v>
          </cell>
        </row>
        <row r="244">
          <cell r="M244">
            <v>80.5</v>
          </cell>
        </row>
        <row r="244">
          <cell r="P244">
            <v>45</v>
          </cell>
        </row>
        <row r="244">
          <cell r="S244">
            <v>52.5</v>
          </cell>
        </row>
        <row r="244">
          <cell r="V244">
            <v>52</v>
          </cell>
        </row>
        <row r="245">
          <cell r="C245">
            <v>5</v>
          </cell>
          <cell r="D245">
            <v>476.5</v>
          </cell>
        </row>
        <row r="245">
          <cell r="G245">
            <v>91.5</v>
          </cell>
        </row>
        <row r="245">
          <cell r="J245">
            <v>93.5</v>
          </cell>
        </row>
        <row r="245">
          <cell r="M245">
            <v>114</v>
          </cell>
        </row>
        <row r="245">
          <cell r="P245">
            <v>78.5</v>
          </cell>
        </row>
        <row r="245">
          <cell r="S245">
            <v>42.5</v>
          </cell>
        </row>
        <row r="245">
          <cell r="V245">
            <v>56.5</v>
          </cell>
        </row>
        <row r="246">
          <cell r="C246">
            <v>5</v>
          </cell>
          <cell r="D246">
            <v>466.5</v>
          </cell>
        </row>
        <row r="246">
          <cell r="G246">
            <v>89.5</v>
          </cell>
        </row>
        <row r="246">
          <cell r="J246">
            <v>99</v>
          </cell>
        </row>
        <row r="246">
          <cell r="M246">
            <v>109.5</v>
          </cell>
        </row>
        <row r="246">
          <cell r="P246">
            <v>73.5</v>
          </cell>
        </row>
        <row r="246">
          <cell r="S246">
            <v>54</v>
          </cell>
        </row>
        <row r="246">
          <cell r="V246">
            <v>41</v>
          </cell>
        </row>
        <row r="247">
          <cell r="C247">
            <v>5</v>
          </cell>
          <cell r="D247">
            <v>439</v>
          </cell>
        </row>
        <row r="247">
          <cell r="G247">
            <v>99.5</v>
          </cell>
        </row>
        <row r="247">
          <cell r="J247">
            <v>83.5</v>
          </cell>
        </row>
        <row r="247">
          <cell r="M247">
            <v>90.5</v>
          </cell>
        </row>
        <row r="247">
          <cell r="P247">
            <v>62</v>
          </cell>
        </row>
        <row r="247">
          <cell r="S247">
            <v>53</v>
          </cell>
        </row>
        <row r="247">
          <cell r="V247">
            <v>50.5</v>
          </cell>
        </row>
        <row r="248">
          <cell r="C248">
            <v>5</v>
          </cell>
          <cell r="D248">
            <v>365</v>
          </cell>
        </row>
        <row r="248">
          <cell r="G248">
            <v>89</v>
          </cell>
        </row>
        <row r="248">
          <cell r="J248">
            <v>47</v>
          </cell>
        </row>
        <row r="248">
          <cell r="M248">
            <v>104.5</v>
          </cell>
        </row>
        <row r="248">
          <cell r="P248">
            <v>37</v>
          </cell>
        </row>
        <row r="248">
          <cell r="S248">
            <v>34</v>
          </cell>
        </row>
        <row r="248">
          <cell r="V248">
            <v>53.5</v>
          </cell>
        </row>
        <row r="249">
          <cell r="C249">
            <v>5</v>
          </cell>
          <cell r="D249">
            <v>398</v>
          </cell>
        </row>
        <row r="249">
          <cell r="G249">
            <v>104.5</v>
          </cell>
        </row>
        <row r="249">
          <cell r="J249">
            <v>44</v>
          </cell>
        </row>
        <row r="249">
          <cell r="M249">
            <v>100</v>
          </cell>
        </row>
        <row r="249">
          <cell r="P249">
            <v>64.5</v>
          </cell>
        </row>
        <row r="249">
          <cell r="S249">
            <v>26</v>
          </cell>
        </row>
        <row r="249">
          <cell r="V249">
            <v>59</v>
          </cell>
        </row>
        <row r="250">
          <cell r="C250">
            <v>5</v>
          </cell>
          <cell r="D250">
            <v>412.5</v>
          </cell>
        </row>
        <row r="250">
          <cell r="G250">
            <v>93.5</v>
          </cell>
        </row>
        <row r="250">
          <cell r="J250">
            <v>65.5</v>
          </cell>
        </row>
        <row r="250">
          <cell r="M250">
            <v>102</v>
          </cell>
        </row>
        <row r="250">
          <cell r="P250">
            <v>54.5</v>
          </cell>
        </row>
        <row r="250">
          <cell r="S250">
            <v>49.5</v>
          </cell>
        </row>
        <row r="250">
          <cell r="V250">
            <v>47.5</v>
          </cell>
        </row>
        <row r="251">
          <cell r="C251">
            <v>5</v>
          </cell>
          <cell r="D251">
            <v>405.75</v>
          </cell>
        </row>
        <row r="251">
          <cell r="G251">
            <v>114</v>
          </cell>
        </row>
        <row r="251">
          <cell r="J251">
            <v>63.5</v>
          </cell>
        </row>
        <row r="251">
          <cell r="M251">
            <v>87.5</v>
          </cell>
        </row>
        <row r="251">
          <cell r="P251">
            <v>57</v>
          </cell>
        </row>
        <row r="251">
          <cell r="S251">
            <v>48.25</v>
          </cell>
        </row>
        <row r="251">
          <cell r="V251">
            <v>35.5</v>
          </cell>
        </row>
        <row r="252">
          <cell r="C252">
            <v>5</v>
          </cell>
          <cell r="D252">
            <v>402.25</v>
          </cell>
        </row>
        <row r="252">
          <cell r="G252">
            <v>99.75</v>
          </cell>
        </row>
        <row r="252">
          <cell r="J252">
            <v>59.5</v>
          </cell>
        </row>
        <row r="252">
          <cell r="M252">
            <v>100</v>
          </cell>
        </row>
        <row r="252">
          <cell r="P252">
            <v>62</v>
          </cell>
        </row>
        <row r="252">
          <cell r="S252">
            <v>42</v>
          </cell>
        </row>
        <row r="252">
          <cell r="V252">
            <v>39</v>
          </cell>
        </row>
        <row r="253">
          <cell r="C253">
            <v>5</v>
          </cell>
          <cell r="D253">
            <v>405.5</v>
          </cell>
        </row>
        <row r="253">
          <cell r="G253">
            <v>95.25</v>
          </cell>
        </row>
        <row r="253">
          <cell r="J253">
            <v>76.5</v>
          </cell>
        </row>
        <row r="253">
          <cell r="M253">
            <v>87.5</v>
          </cell>
        </row>
        <row r="253">
          <cell r="P253">
            <v>58</v>
          </cell>
        </row>
        <row r="253">
          <cell r="S253">
            <v>56.25</v>
          </cell>
        </row>
        <row r="253">
          <cell r="V253">
            <v>32</v>
          </cell>
        </row>
        <row r="254">
          <cell r="C254">
            <v>5</v>
          </cell>
          <cell r="D254">
            <v>393</v>
          </cell>
        </row>
        <row r="254">
          <cell r="G254">
            <v>95.5</v>
          </cell>
        </row>
        <row r="254">
          <cell r="J254">
            <v>61</v>
          </cell>
        </row>
        <row r="254">
          <cell r="M254">
            <v>107</v>
          </cell>
        </row>
        <row r="254">
          <cell r="P254">
            <v>46.5</v>
          </cell>
        </row>
        <row r="254">
          <cell r="S254">
            <v>37.5</v>
          </cell>
        </row>
        <row r="254">
          <cell r="V254">
            <v>45.5</v>
          </cell>
        </row>
        <row r="255">
          <cell r="C255">
            <v>5</v>
          </cell>
          <cell r="D255">
            <v>388.25</v>
          </cell>
        </row>
        <row r="255">
          <cell r="G255">
            <v>96.5</v>
          </cell>
        </row>
        <row r="255">
          <cell r="J255">
            <v>60</v>
          </cell>
        </row>
        <row r="255">
          <cell r="M255">
            <v>83</v>
          </cell>
        </row>
        <row r="255">
          <cell r="P255">
            <v>55</v>
          </cell>
        </row>
        <row r="255">
          <cell r="S255">
            <v>43.75</v>
          </cell>
        </row>
        <row r="255">
          <cell r="V255">
            <v>50</v>
          </cell>
        </row>
        <row r="256">
          <cell r="C256">
            <v>5</v>
          </cell>
          <cell r="D256">
            <v>436</v>
          </cell>
        </row>
        <row r="256">
          <cell r="G256">
            <v>89</v>
          </cell>
        </row>
        <row r="256">
          <cell r="J256">
            <v>74.5</v>
          </cell>
        </row>
        <row r="256">
          <cell r="M256">
            <v>91.5</v>
          </cell>
        </row>
        <row r="256">
          <cell r="P256">
            <v>62</v>
          </cell>
        </row>
        <row r="256">
          <cell r="S256">
            <v>55</v>
          </cell>
        </row>
        <row r="256">
          <cell r="V256">
            <v>64</v>
          </cell>
        </row>
        <row r="257">
          <cell r="C257">
            <v>5</v>
          </cell>
          <cell r="D257">
            <v>395.5</v>
          </cell>
        </row>
        <row r="257">
          <cell r="G257">
            <v>115</v>
          </cell>
        </row>
        <row r="257">
          <cell r="J257">
            <v>58</v>
          </cell>
        </row>
        <row r="257">
          <cell r="M257">
            <v>65</v>
          </cell>
        </row>
        <row r="257">
          <cell r="P257">
            <v>58.5</v>
          </cell>
        </row>
        <row r="257">
          <cell r="S257">
            <v>44.5</v>
          </cell>
        </row>
        <row r="257">
          <cell r="V257">
            <v>54.5</v>
          </cell>
        </row>
        <row r="258">
          <cell r="C258">
            <v>5</v>
          </cell>
          <cell r="D258">
            <v>413.5</v>
          </cell>
        </row>
        <row r="258">
          <cell r="G258">
            <v>98.75</v>
          </cell>
        </row>
        <row r="258">
          <cell r="J258">
            <v>76</v>
          </cell>
        </row>
        <row r="258">
          <cell r="M258">
            <v>96</v>
          </cell>
        </row>
        <row r="258">
          <cell r="P258">
            <v>47.5</v>
          </cell>
        </row>
        <row r="258">
          <cell r="S258">
            <v>44.75</v>
          </cell>
        </row>
        <row r="258">
          <cell r="V258">
            <v>50.5</v>
          </cell>
        </row>
        <row r="259">
          <cell r="C259">
            <v>5</v>
          </cell>
          <cell r="D259">
            <v>412.5</v>
          </cell>
        </row>
        <row r="259">
          <cell r="G259">
            <v>103.5</v>
          </cell>
        </row>
        <row r="259">
          <cell r="J259">
            <v>56.5</v>
          </cell>
        </row>
        <row r="259">
          <cell r="M259">
            <v>111</v>
          </cell>
        </row>
        <row r="259">
          <cell r="P259">
            <v>54</v>
          </cell>
        </row>
        <row r="259">
          <cell r="S259">
            <v>44</v>
          </cell>
        </row>
        <row r="259">
          <cell r="V259">
            <v>43.5</v>
          </cell>
        </row>
        <row r="260">
          <cell r="C260">
            <v>5</v>
          </cell>
          <cell r="D260">
            <v>370</v>
          </cell>
        </row>
        <row r="260">
          <cell r="G260">
            <v>101.5</v>
          </cell>
        </row>
        <row r="260">
          <cell r="J260">
            <v>59.5</v>
          </cell>
        </row>
        <row r="260">
          <cell r="M260">
            <v>77.25</v>
          </cell>
        </row>
        <row r="260">
          <cell r="P260">
            <v>57</v>
          </cell>
        </row>
        <row r="260">
          <cell r="S260">
            <v>41.25</v>
          </cell>
        </row>
        <row r="260">
          <cell r="Y260">
            <v>33.5</v>
          </cell>
        </row>
        <row r="261">
          <cell r="C261">
            <v>5</v>
          </cell>
          <cell r="D261">
            <v>405.75</v>
          </cell>
        </row>
        <row r="261">
          <cell r="G261">
            <v>89</v>
          </cell>
        </row>
        <row r="261">
          <cell r="J261">
            <v>83.5</v>
          </cell>
        </row>
        <row r="261">
          <cell r="M261">
            <v>89.5</v>
          </cell>
        </row>
        <row r="261">
          <cell r="P261">
            <v>53</v>
          </cell>
        </row>
        <row r="261">
          <cell r="S261">
            <v>43.75</v>
          </cell>
        </row>
        <row r="261">
          <cell r="V261">
            <v>47</v>
          </cell>
        </row>
        <row r="262">
          <cell r="C262">
            <v>5</v>
          </cell>
          <cell r="D262">
            <v>432.5</v>
          </cell>
        </row>
        <row r="262">
          <cell r="G262">
            <v>101</v>
          </cell>
        </row>
        <row r="262">
          <cell r="J262">
            <v>68</v>
          </cell>
        </row>
        <row r="262">
          <cell r="M262">
            <v>103</v>
          </cell>
        </row>
        <row r="262">
          <cell r="P262">
            <v>56</v>
          </cell>
        </row>
        <row r="262">
          <cell r="S262">
            <v>44</v>
          </cell>
        </row>
        <row r="262">
          <cell r="V262">
            <v>60.5</v>
          </cell>
        </row>
        <row r="263">
          <cell r="C263">
            <v>5</v>
          </cell>
          <cell r="D263">
            <v>359.5</v>
          </cell>
        </row>
        <row r="263">
          <cell r="G263">
            <v>104</v>
          </cell>
        </row>
        <row r="263">
          <cell r="J263">
            <v>53.5</v>
          </cell>
        </row>
        <row r="263">
          <cell r="M263">
            <v>75</v>
          </cell>
        </row>
        <row r="263">
          <cell r="P263">
            <v>46</v>
          </cell>
        </row>
        <row r="263">
          <cell r="S263">
            <v>34</v>
          </cell>
        </row>
        <row r="263">
          <cell r="V263">
            <v>47</v>
          </cell>
        </row>
        <row r="264">
          <cell r="C264">
            <v>5</v>
          </cell>
          <cell r="D264">
            <v>362.5</v>
          </cell>
        </row>
        <row r="264">
          <cell r="G264">
            <v>102.5</v>
          </cell>
        </row>
        <row r="264">
          <cell r="J264">
            <v>68.5</v>
          </cell>
        </row>
        <row r="264">
          <cell r="M264">
            <v>75</v>
          </cell>
        </row>
        <row r="264">
          <cell r="P264">
            <v>34.5</v>
          </cell>
        </row>
        <row r="264">
          <cell r="S264">
            <v>35.5</v>
          </cell>
        </row>
        <row r="264">
          <cell r="V264">
            <v>46.5</v>
          </cell>
        </row>
        <row r="265">
          <cell r="C265">
            <v>5</v>
          </cell>
          <cell r="D265">
            <v>418.25</v>
          </cell>
        </row>
        <row r="265">
          <cell r="G265">
            <v>96.75</v>
          </cell>
        </row>
        <row r="265">
          <cell r="J265">
            <v>72.5</v>
          </cell>
        </row>
        <row r="265">
          <cell r="M265">
            <v>87</v>
          </cell>
        </row>
        <row r="265">
          <cell r="P265">
            <v>66</v>
          </cell>
        </row>
        <row r="265">
          <cell r="S265">
            <v>36</v>
          </cell>
        </row>
        <row r="265">
          <cell r="V265">
            <v>60</v>
          </cell>
        </row>
        <row r="266">
          <cell r="C266">
            <v>5</v>
          </cell>
          <cell r="D266">
            <v>430.5</v>
          </cell>
        </row>
        <row r="266">
          <cell r="G266">
            <v>99</v>
          </cell>
        </row>
        <row r="266">
          <cell r="J266">
            <v>68.5</v>
          </cell>
        </row>
        <row r="266">
          <cell r="M266">
            <v>53</v>
          </cell>
        </row>
        <row r="266">
          <cell r="P266">
            <v>78</v>
          </cell>
        </row>
        <row r="266">
          <cell r="S266">
            <v>64</v>
          </cell>
        </row>
        <row r="266">
          <cell r="V266">
            <v>68</v>
          </cell>
        </row>
        <row r="267">
          <cell r="C267">
            <v>5</v>
          </cell>
          <cell r="D267">
            <v>336</v>
          </cell>
        </row>
        <row r="267">
          <cell r="G267">
            <v>60</v>
          </cell>
        </row>
        <row r="267">
          <cell r="J267">
            <v>62.5</v>
          </cell>
        </row>
        <row r="267">
          <cell r="M267">
            <v>89</v>
          </cell>
        </row>
        <row r="267">
          <cell r="P267">
            <v>53</v>
          </cell>
        </row>
        <row r="267">
          <cell r="S267">
            <v>33</v>
          </cell>
        </row>
        <row r="267">
          <cell r="V267">
            <v>38.5</v>
          </cell>
        </row>
        <row r="268">
          <cell r="C268">
            <v>5</v>
          </cell>
          <cell r="D268">
            <v>370.25</v>
          </cell>
        </row>
        <row r="268">
          <cell r="G268">
            <v>95</v>
          </cell>
        </row>
        <row r="268">
          <cell r="J268">
            <v>59.5</v>
          </cell>
        </row>
        <row r="268">
          <cell r="M268">
            <v>82</v>
          </cell>
        </row>
        <row r="268">
          <cell r="P268">
            <v>47</v>
          </cell>
        </row>
        <row r="268">
          <cell r="S268">
            <v>40.25</v>
          </cell>
        </row>
        <row r="268">
          <cell r="V268">
            <v>46.5</v>
          </cell>
        </row>
        <row r="269">
          <cell r="C269">
            <v>5</v>
          </cell>
          <cell r="D269">
            <v>539.25</v>
          </cell>
        </row>
        <row r="269">
          <cell r="G269">
            <v>108.75</v>
          </cell>
        </row>
        <row r="269">
          <cell r="J269">
            <v>105</v>
          </cell>
        </row>
        <row r="269">
          <cell r="M269">
            <v>122</v>
          </cell>
        </row>
        <row r="269">
          <cell r="P269">
            <v>85</v>
          </cell>
        </row>
        <row r="269">
          <cell r="S269">
            <v>53</v>
          </cell>
        </row>
        <row r="269">
          <cell r="V269">
            <v>65.5</v>
          </cell>
        </row>
        <row r="270">
          <cell r="C270">
            <v>6</v>
          </cell>
          <cell r="D270">
            <v>568.75</v>
          </cell>
        </row>
        <row r="270">
          <cell r="G270">
            <v>103.5</v>
          </cell>
        </row>
        <row r="270">
          <cell r="J270">
            <v>109.5</v>
          </cell>
        </row>
        <row r="270">
          <cell r="M270">
            <v>128.5</v>
          </cell>
        </row>
        <row r="270">
          <cell r="P270">
            <v>85</v>
          </cell>
        </row>
        <row r="270">
          <cell r="S270">
            <v>74.75</v>
          </cell>
        </row>
        <row r="270">
          <cell r="V270">
            <v>67.5</v>
          </cell>
        </row>
        <row r="271">
          <cell r="C271">
            <v>6</v>
          </cell>
          <cell r="D271">
            <v>544</v>
          </cell>
        </row>
        <row r="271">
          <cell r="G271">
            <v>100</v>
          </cell>
        </row>
        <row r="271">
          <cell r="J271">
            <v>113.5</v>
          </cell>
        </row>
        <row r="271">
          <cell r="M271">
            <v>113.5</v>
          </cell>
        </row>
        <row r="271">
          <cell r="P271">
            <v>93</v>
          </cell>
        </row>
        <row r="271">
          <cell r="S271">
            <v>67.5</v>
          </cell>
        </row>
        <row r="271">
          <cell r="V271">
            <v>56.5</v>
          </cell>
        </row>
        <row r="272">
          <cell r="C272">
            <v>6</v>
          </cell>
          <cell r="D272">
            <v>515.75</v>
          </cell>
        </row>
        <row r="272">
          <cell r="G272">
            <v>94</v>
          </cell>
        </row>
        <row r="272">
          <cell r="J272">
            <v>89</v>
          </cell>
        </row>
        <row r="272">
          <cell r="M272">
            <v>112.5</v>
          </cell>
        </row>
        <row r="272">
          <cell r="P272">
            <v>92</v>
          </cell>
        </row>
        <row r="272">
          <cell r="S272">
            <v>58.25</v>
          </cell>
        </row>
        <row r="272">
          <cell r="V272">
            <v>70</v>
          </cell>
        </row>
        <row r="273">
          <cell r="C273">
            <v>6</v>
          </cell>
          <cell r="D273">
            <v>513</v>
          </cell>
        </row>
        <row r="273">
          <cell r="G273">
            <v>106.5</v>
          </cell>
        </row>
        <row r="273">
          <cell r="J273">
            <v>96.5</v>
          </cell>
        </row>
        <row r="273">
          <cell r="M273">
            <v>125</v>
          </cell>
        </row>
        <row r="273">
          <cell r="P273">
            <v>78</v>
          </cell>
        </row>
        <row r="273">
          <cell r="S273">
            <v>52</v>
          </cell>
        </row>
        <row r="273">
          <cell r="V273">
            <v>55</v>
          </cell>
        </row>
        <row r="274">
          <cell r="C274">
            <v>6</v>
          </cell>
          <cell r="D274">
            <v>558.75</v>
          </cell>
        </row>
        <row r="274">
          <cell r="G274">
            <v>95.25</v>
          </cell>
        </row>
        <row r="274">
          <cell r="J274">
            <v>122</v>
          </cell>
        </row>
        <row r="274">
          <cell r="M274">
            <v>112</v>
          </cell>
        </row>
        <row r="274">
          <cell r="P274">
            <v>96.5</v>
          </cell>
        </row>
        <row r="274">
          <cell r="S274">
            <v>67</v>
          </cell>
        </row>
        <row r="274">
          <cell r="V274">
            <v>66</v>
          </cell>
        </row>
        <row r="275">
          <cell r="C275">
            <v>6</v>
          </cell>
          <cell r="D275">
            <v>574.5</v>
          </cell>
        </row>
        <row r="275">
          <cell r="G275">
            <v>108.5</v>
          </cell>
        </row>
        <row r="275">
          <cell r="J275">
            <v>113.5</v>
          </cell>
        </row>
        <row r="275">
          <cell r="M275">
            <v>109.5</v>
          </cell>
        </row>
        <row r="275">
          <cell r="P275">
            <v>97</v>
          </cell>
        </row>
        <row r="275">
          <cell r="S275">
            <v>77.5</v>
          </cell>
        </row>
        <row r="275">
          <cell r="V275">
            <v>68.5</v>
          </cell>
        </row>
        <row r="276">
          <cell r="C276">
            <v>6</v>
          </cell>
          <cell r="D276">
            <v>533</v>
          </cell>
        </row>
        <row r="276">
          <cell r="G276">
            <v>89</v>
          </cell>
        </row>
        <row r="276">
          <cell r="J276">
            <v>108.5</v>
          </cell>
        </row>
        <row r="276">
          <cell r="M276">
            <v>113.5</v>
          </cell>
        </row>
        <row r="276">
          <cell r="P276">
            <v>80.5</v>
          </cell>
        </row>
        <row r="276">
          <cell r="S276">
            <v>74</v>
          </cell>
        </row>
        <row r="276">
          <cell r="V276">
            <v>67.5</v>
          </cell>
        </row>
        <row r="277">
          <cell r="C277">
            <v>6</v>
          </cell>
          <cell r="D277">
            <v>524</v>
          </cell>
        </row>
        <row r="277">
          <cell r="G277">
            <v>100</v>
          </cell>
        </row>
        <row r="277">
          <cell r="J277">
            <v>100</v>
          </cell>
        </row>
        <row r="277">
          <cell r="M277">
            <v>124</v>
          </cell>
        </row>
        <row r="277">
          <cell r="P277">
            <v>78.5</v>
          </cell>
        </row>
        <row r="277">
          <cell r="S277">
            <v>60.5</v>
          </cell>
        </row>
        <row r="277">
          <cell r="V277">
            <v>61</v>
          </cell>
        </row>
        <row r="278">
          <cell r="C278">
            <v>6</v>
          </cell>
          <cell r="D278">
            <v>507</v>
          </cell>
        </row>
        <row r="278">
          <cell r="G278">
            <v>101.5</v>
          </cell>
        </row>
        <row r="278">
          <cell r="J278">
            <v>85</v>
          </cell>
        </row>
        <row r="278">
          <cell r="M278">
            <v>122.5</v>
          </cell>
        </row>
        <row r="278">
          <cell r="P278">
            <v>67</v>
          </cell>
        </row>
        <row r="278">
          <cell r="S278">
            <v>64</v>
          </cell>
        </row>
        <row r="278">
          <cell r="V278">
            <v>67</v>
          </cell>
        </row>
        <row r="279">
          <cell r="C279">
            <v>6</v>
          </cell>
          <cell r="D279">
            <v>525.5</v>
          </cell>
        </row>
        <row r="279">
          <cell r="G279">
            <v>108</v>
          </cell>
        </row>
        <row r="279">
          <cell r="J279">
            <v>119</v>
          </cell>
        </row>
        <row r="279">
          <cell r="M279">
            <v>113</v>
          </cell>
        </row>
        <row r="279">
          <cell r="P279">
            <v>77</v>
          </cell>
        </row>
        <row r="279">
          <cell r="S279">
            <v>49.5</v>
          </cell>
        </row>
        <row r="279">
          <cell r="V279">
            <v>59</v>
          </cell>
        </row>
        <row r="280">
          <cell r="C280">
            <v>6</v>
          </cell>
          <cell r="D280">
            <v>522.25</v>
          </cell>
        </row>
        <row r="280">
          <cell r="G280">
            <v>103</v>
          </cell>
        </row>
        <row r="280">
          <cell r="J280">
            <v>90.5</v>
          </cell>
        </row>
        <row r="280">
          <cell r="M280">
            <v>134</v>
          </cell>
        </row>
        <row r="280">
          <cell r="P280">
            <v>82</v>
          </cell>
        </row>
        <row r="280">
          <cell r="S280">
            <v>57.75</v>
          </cell>
        </row>
        <row r="280">
          <cell r="V280">
            <v>55</v>
          </cell>
        </row>
        <row r="281">
          <cell r="C281">
            <v>6</v>
          </cell>
          <cell r="D281">
            <v>575</v>
          </cell>
        </row>
        <row r="281">
          <cell r="G281">
            <v>117</v>
          </cell>
        </row>
        <row r="281">
          <cell r="J281">
            <v>114</v>
          </cell>
        </row>
        <row r="281">
          <cell r="M281">
            <v>128.5</v>
          </cell>
        </row>
        <row r="281">
          <cell r="P281">
            <v>89.5</v>
          </cell>
        </row>
        <row r="281">
          <cell r="S281">
            <v>60.5</v>
          </cell>
        </row>
        <row r="281">
          <cell r="V281">
            <v>65.5</v>
          </cell>
        </row>
        <row r="282">
          <cell r="C282">
            <v>6</v>
          </cell>
          <cell r="D282">
            <v>506</v>
          </cell>
        </row>
        <row r="282">
          <cell r="G282">
            <v>92.25</v>
          </cell>
        </row>
        <row r="282">
          <cell r="J282">
            <v>111.5</v>
          </cell>
        </row>
        <row r="282">
          <cell r="M282">
            <v>110.5</v>
          </cell>
        </row>
        <row r="282">
          <cell r="P282">
            <v>86</v>
          </cell>
        </row>
        <row r="282">
          <cell r="S282">
            <v>57.25</v>
          </cell>
        </row>
        <row r="282">
          <cell r="V282">
            <v>48.5</v>
          </cell>
        </row>
        <row r="283">
          <cell r="C283">
            <v>6</v>
          </cell>
          <cell r="D283">
            <v>545.25</v>
          </cell>
        </row>
        <row r="283">
          <cell r="G283">
            <v>102</v>
          </cell>
        </row>
        <row r="283">
          <cell r="J283">
            <v>112</v>
          </cell>
        </row>
        <row r="283">
          <cell r="M283">
            <v>121.5</v>
          </cell>
        </row>
        <row r="283">
          <cell r="P283">
            <v>75</v>
          </cell>
        </row>
        <row r="283">
          <cell r="S283">
            <v>57.75</v>
          </cell>
        </row>
        <row r="283">
          <cell r="V283">
            <v>77</v>
          </cell>
        </row>
        <row r="284">
          <cell r="C284">
            <v>6</v>
          </cell>
          <cell r="D284">
            <v>559.5</v>
          </cell>
        </row>
        <row r="284">
          <cell r="G284">
            <v>114.5</v>
          </cell>
        </row>
        <row r="284">
          <cell r="J284">
            <v>110</v>
          </cell>
        </row>
        <row r="284">
          <cell r="M284">
            <v>124.5</v>
          </cell>
        </row>
        <row r="284">
          <cell r="P284">
            <v>82</v>
          </cell>
        </row>
        <row r="284">
          <cell r="S284">
            <v>62.5</v>
          </cell>
        </row>
        <row r="284">
          <cell r="V284">
            <v>66</v>
          </cell>
        </row>
        <row r="285">
          <cell r="C285">
            <v>6</v>
          </cell>
          <cell r="D285">
            <v>520.5</v>
          </cell>
        </row>
        <row r="285">
          <cell r="G285">
            <v>102</v>
          </cell>
        </row>
        <row r="285">
          <cell r="J285">
            <v>101.5</v>
          </cell>
        </row>
        <row r="285">
          <cell r="M285">
            <v>119.5</v>
          </cell>
        </row>
        <row r="285">
          <cell r="P285">
            <v>80</v>
          </cell>
        </row>
        <row r="285">
          <cell r="S285">
            <v>59</v>
          </cell>
        </row>
        <row r="285">
          <cell r="V285">
            <v>58.5</v>
          </cell>
        </row>
        <row r="286">
          <cell r="C286">
            <v>6</v>
          </cell>
          <cell r="D286">
            <v>500.75</v>
          </cell>
        </row>
        <row r="286">
          <cell r="G286">
            <v>97</v>
          </cell>
        </row>
        <row r="286">
          <cell r="J286">
            <v>87</v>
          </cell>
        </row>
        <row r="286">
          <cell r="M286">
            <v>104.5</v>
          </cell>
        </row>
        <row r="286">
          <cell r="P286">
            <v>92</v>
          </cell>
        </row>
        <row r="286">
          <cell r="S286">
            <v>59.75</v>
          </cell>
        </row>
        <row r="286">
          <cell r="V286">
            <v>60.5</v>
          </cell>
        </row>
        <row r="287">
          <cell r="C287">
            <v>6</v>
          </cell>
          <cell r="D287">
            <v>537</v>
          </cell>
        </row>
        <row r="287">
          <cell r="G287">
            <v>103.5</v>
          </cell>
        </row>
        <row r="287">
          <cell r="J287">
            <v>114</v>
          </cell>
        </row>
        <row r="287">
          <cell r="M287">
            <v>103.5</v>
          </cell>
        </row>
        <row r="287">
          <cell r="P287">
            <v>80</v>
          </cell>
        </row>
        <row r="287">
          <cell r="S287">
            <v>76</v>
          </cell>
        </row>
        <row r="287">
          <cell r="V287">
            <v>60</v>
          </cell>
        </row>
        <row r="288">
          <cell r="C288">
            <v>6</v>
          </cell>
          <cell r="D288">
            <v>540.75</v>
          </cell>
        </row>
        <row r="288">
          <cell r="G288">
            <v>105.5</v>
          </cell>
        </row>
        <row r="288">
          <cell r="J288">
            <v>105.5</v>
          </cell>
        </row>
        <row r="288">
          <cell r="M288">
            <v>124.25</v>
          </cell>
        </row>
        <row r="288">
          <cell r="P288">
            <v>78</v>
          </cell>
        </row>
        <row r="288">
          <cell r="S288">
            <v>58.5</v>
          </cell>
        </row>
        <row r="288">
          <cell r="V288">
            <v>69</v>
          </cell>
        </row>
        <row r="289">
          <cell r="C289">
            <v>6</v>
          </cell>
          <cell r="D289">
            <v>537</v>
          </cell>
        </row>
        <row r="289">
          <cell r="G289">
            <v>100</v>
          </cell>
        </row>
        <row r="289">
          <cell r="J289">
            <v>108.5</v>
          </cell>
        </row>
        <row r="289">
          <cell r="M289">
            <v>137</v>
          </cell>
        </row>
        <row r="289">
          <cell r="P289">
            <v>65</v>
          </cell>
        </row>
        <row r="289">
          <cell r="S289">
            <v>62.5</v>
          </cell>
        </row>
        <row r="289">
          <cell r="V289">
            <v>64</v>
          </cell>
        </row>
        <row r="290">
          <cell r="C290">
            <v>6</v>
          </cell>
          <cell r="D290">
            <v>549.5</v>
          </cell>
        </row>
        <row r="290">
          <cell r="G290">
            <v>100</v>
          </cell>
        </row>
        <row r="290">
          <cell r="J290">
            <v>116.5</v>
          </cell>
        </row>
        <row r="290">
          <cell r="M290">
            <v>130</v>
          </cell>
        </row>
        <row r="290">
          <cell r="P290">
            <v>87</v>
          </cell>
        </row>
        <row r="290">
          <cell r="S290">
            <v>59.5</v>
          </cell>
        </row>
        <row r="290">
          <cell r="V290">
            <v>56.5</v>
          </cell>
        </row>
        <row r="291">
          <cell r="C291">
            <v>6</v>
          </cell>
          <cell r="D291">
            <v>514.25</v>
          </cell>
        </row>
        <row r="291">
          <cell r="G291">
            <v>104.5</v>
          </cell>
        </row>
        <row r="291">
          <cell r="J291">
            <v>102.5</v>
          </cell>
        </row>
        <row r="291">
          <cell r="M291">
            <v>122.5</v>
          </cell>
        </row>
        <row r="291">
          <cell r="P291">
            <v>70.5</v>
          </cell>
        </row>
        <row r="291">
          <cell r="S291">
            <v>47.25</v>
          </cell>
        </row>
        <row r="291">
          <cell r="V291">
            <v>67</v>
          </cell>
        </row>
        <row r="292">
          <cell r="C292">
            <v>6</v>
          </cell>
          <cell r="D292">
            <v>508.25</v>
          </cell>
        </row>
        <row r="292">
          <cell r="G292">
            <v>104.75</v>
          </cell>
        </row>
        <row r="292">
          <cell r="J292">
            <v>86.5</v>
          </cell>
        </row>
        <row r="292">
          <cell r="M292">
            <v>127</v>
          </cell>
        </row>
        <row r="292">
          <cell r="P292">
            <v>75.5</v>
          </cell>
        </row>
        <row r="292">
          <cell r="S292">
            <v>53</v>
          </cell>
        </row>
        <row r="292">
          <cell r="V292">
            <v>61.5</v>
          </cell>
        </row>
        <row r="293">
          <cell r="C293">
            <v>6</v>
          </cell>
          <cell r="D293">
            <v>538.5</v>
          </cell>
        </row>
        <row r="293">
          <cell r="G293">
            <v>107</v>
          </cell>
        </row>
        <row r="293">
          <cell r="J293">
            <v>96</v>
          </cell>
        </row>
        <row r="293">
          <cell r="M293">
            <v>126.5</v>
          </cell>
        </row>
        <row r="293">
          <cell r="P293">
            <v>79</v>
          </cell>
        </row>
        <row r="293">
          <cell r="S293">
            <v>58.5</v>
          </cell>
        </row>
        <row r="293">
          <cell r="V293">
            <v>71.5</v>
          </cell>
        </row>
        <row r="294">
          <cell r="C294">
            <v>6</v>
          </cell>
          <cell r="D294">
            <v>558.75</v>
          </cell>
        </row>
        <row r="294">
          <cell r="G294">
            <v>113.5</v>
          </cell>
        </row>
        <row r="294">
          <cell r="J294">
            <v>114.5</v>
          </cell>
        </row>
        <row r="294">
          <cell r="M294">
            <v>116</v>
          </cell>
        </row>
        <row r="294">
          <cell r="P294">
            <v>88</v>
          </cell>
        </row>
        <row r="294">
          <cell r="S294">
            <v>60.25</v>
          </cell>
        </row>
        <row r="294">
          <cell r="V294">
            <v>66.5</v>
          </cell>
        </row>
        <row r="295">
          <cell r="C295">
            <v>6</v>
          </cell>
          <cell r="D295">
            <v>510.5</v>
          </cell>
        </row>
        <row r="295">
          <cell r="G295">
            <v>87.5</v>
          </cell>
        </row>
        <row r="295">
          <cell r="J295">
            <v>98.5</v>
          </cell>
        </row>
        <row r="295">
          <cell r="M295">
            <v>127.5</v>
          </cell>
        </row>
        <row r="295">
          <cell r="P295">
            <v>76.5</v>
          </cell>
        </row>
        <row r="295">
          <cell r="S295">
            <v>57.5</v>
          </cell>
        </row>
        <row r="295">
          <cell r="V295">
            <v>63</v>
          </cell>
        </row>
        <row r="296">
          <cell r="C296">
            <v>6</v>
          </cell>
          <cell r="D296">
            <v>514</v>
          </cell>
        </row>
        <row r="296">
          <cell r="G296">
            <v>104</v>
          </cell>
        </row>
        <row r="296">
          <cell r="J296">
            <v>104</v>
          </cell>
        </row>
        <row r="296">
          <cell r="M296">
            <v>99.75</v>
          </cell>
        </row>
        <row r="296">
          <cell r="P296">
            <v>84.5</v>
          </cell>
        </row>
        <row r="296">
          <cell r="S296">
            <v>57.75</v>
          </cell>
        </row>
        <row r="296">
          <cell r="V296">
            <v>64</v>
          </cell>
        </row>
        <row r="297">
          <cell r="C297">
            <v>6</v>
          </cell>
          <cell r="D297">
            <v>550.75</v>
          </cell>
        </row>
        <row r="297">
          <cell r="G297">
            <v>109.5</v>
          </cell>
        </row>
        <row r="297">
          <cell r="J297">
            <v>107</v>
          </cell>
        </row>
        <row r="297">
          <cell r="M297">
            <v>125.5</v>
          </cell>
        </row>
        <row r="297">
          <cell r="P297">
            <v>87.5</v>
          </cell>
        </row>
        <row r="297">
          <cell r="S297">
            <v>53.25</v>
          </cell>
        </row>
        <row r="297">
          <cell r="V297">
            <v>68</v>
          </cell>
        </row>
        <row r="298">
          <cell r="C298">
            <v>6</v>
          </cell>
          <cell r="D298">
            <v>517.75</v>
          </cell>
        </row>
        <row r="298">
          <cell r="G298">
            <v>114.5</v>
          </cell>
        </row>
        <row r="298">
          <cell r="J298">
            <v>99</v>
          </cell>
        </row>
        <row r="298">
          <cell r="M298">
            <v>114</v>
          </cell>
        </row>
        <row r="298">
          <cell r="P298">
            <v>70.5</v>
          </cell>
        </row>
        <row r="298">
          <cell r="S298">
            <v>61.75</v>
          </cell>
        </row>
        <row r="298">
          <cell r="V298">
            <v>58</v>
          </cell>
        </row>
        <row r="299">
          <cell r="C299">
            <v>6</v>
          </cell>
          <cell r="D299">
            <v>546.5</v>
          </cell>
        </row>
        <row r="299">
          <cell r="G299">
            <v>113</v>
          </cell>
        </row>
        <row r="299">
          <cell r="J299">
            <v>102</v>
          </cell>
        </row>
        <row r="299">
          <cell r="M299">
            <v>114.5</v>
          </cell>
        </row>
        <row r="299">
          <cell r="P299">
            <v>83.5</v>
          </cell>
        </row>
        <row r="299">
          <cell r="S299">
            <v>70.5</v>
          </cell>
        </row>
        <row r="299">
          <cell r="V299">
            <v>63</v>
          </cell>
        </row>
        <row r="300">
          <cell r="C300">
            <v>6</v>
          </cell>
          <cell r="D300">
            <v>523.75</v>
          </cell>
        </row>
        <row r="300">
          <cell r="G300">
            <v>110.5</v>
          </cell>
        </row>
        <row r="300">
          <cell r="J300">
            <v>99.5</v>
          </cell>
        </row>
        <row r="300">
          <cell r="M300">
            <v>131</v>
          </cell>
        </row>
        <row r="300">
          <cell r="P300">
            <v>73</v>
          </cell>
        </row>
        <row r="300">
          <cell r="S300">
            <v>61.25</v>
          </cell>
        </row>
        <row r="300">
          <cell r="V300">
            <v>48.5</v>
          </cell>
        </row>
        <row r="301">
          <cell r="C301">
            <v>6</v>
          </cell>
          <cell r="D301">
            <v>493.5</v>
          </cell>
        </row>
        <row r="301">
          <cell r="G301">
            <v>104.5</v>
          </cell>
        </row>
        <row r="301">
          <cell r="J301">
            <v>81</v>
          </cell>
        </row>
        <row r="301">
          <cell r="M301">
            <v>116</v>
          </cell>
        </row>
        <row r="301">
          <cell r="P301">
            <v>78</v>
          </cell>
        </row>
        <row r="301">
          <cell r="S301">
            <v>53.5</v>
          </cell>
        </row>
        <row r="301">
          <cell r="V301">
            <v>60.5</v>
          </cell>
        </row>
        <row r="302">
          <cell r="C302">
            <v>6</v>
          </cell>
          <cell r="D302">
            <v>543.5</v>
          </cell>
        </row>
        <row r="302">
          <cell r="G302">
            <v>111</v>
          </cell>
        </row>
        <row r="302">
          <cell r="J302">
            <v>108</v>
          </cell>
        </row>
        <row r="302">
          <cell r="M302">
            <v>133</v>
          </cell>
        </row>
        <row r="302">
          <cell r="P302">
            <v>78</v>
          </cell>
        </row>
        <row r="302">
          <cell r="S302">
            <v>55</v>
          </cell>
        </row>
        <row r="302">
          <cell r="V302">
            <v>58.5</v>
          </cell>
        </row>
        <row r="303">
          <cell r="C303">
            <v>6</v>
          </cell>
          <cell r="D303">
            <v>513.5</v>
          </cell>
        </row>
        <row r="303">
          <cell r="G303">
            <v>100</v>
          </cell>
        </row>
        <row r="303">
          <cell r="J303">
            <v>109.5</v>
          </cell>
        </row>
        <row r="303">
          <cell r="M303">
            <v>112</v>
          </cell>
        </row>
        <row r="303">
          <cell r="P303">
            <v>69</v>
          </cell>
        </row>
        <row r="303">
          <cell r="S303">
            <v>61.5</v>
          </cell>
        </row>
        <row r="303">
          <cell r="V303">
            <v>61.5</v>
          </cell>
        </row>
        <row r="304">
          <cell r="C304">
            <v>6</v>
          </cell>
          <cell r="D304">
            <v>531</v>
          </cell>
        </row>
        <row r="304">
          <cell r="G304">
            <v>111</v>
          </cell>
        </row>
        <row r="304">
          <cell r="J304">
            <v>99.5</v>
          </cell>
        </row>
        <row r="304">
          <cell r="M304">
            <v>115.5</v>
          </cell>
        </row>
        <row r="304">
          <cell r="P304">
            <v>81</v>
          </cell>
        </row>
        <row r="304">
          <cell r="S304">
            <v>55</v>
          </cell>
        </row>
        <row r="304">
          <cell r="V304">
            <v>69</v>
          </cell>
        </row>
        <row r="305">
          <cell r="C305">
            <v>6</v>
          </cell>
          <cell r="D305">
            <v>522.5</v>
          </cell>
        </row>
        <row r="305">
          <cell r="G305">
            <v>103</v>
          </cell>
        </row>
        <row r="305">
          <cell r="J305">
            <v>87.5</v>
          </cell>
        </row>
        <row r="305">
          <cell r="M305">
            <v>131</v>
          </cell>
        </row>
        <row r="305">
          <cell r="P305">
            <v>72</v>
          </cell>
        </row>
        <row r="305">
          <cell r="S305">
            <v>60.5</v>
          </cell>
        </row>
        <row r="305">
          <cell r="V305">
            <v>68.5</v>
          </cell>
        </row>
        <row r="306">
          <cell r="C306">
            <v>6</v>
          </cell>
          <cell r="D306">
            <v>555.25</v>
          </cell>
        </row>
        <row r="306">
          <cell r="G306">
            <v>102.5</v>
          </cell>
        </row>
        <row r="306">
          <cell r="J306">
            <v>99</v>
          </cell>
        </row>
        <row r="306">
          <cell r="M306">
            <v>130.25</v>
          </cell>
        </row>
        <row r="306">
          <cell r="P306">
            <v>89</v>
          </cell>
        </row>
        <row r="306">
          <cell r="S306">
            <v>59.5</v>
          </cell>
        </row>
        <row r="306">
          <cell r="V306">
            <v>75</v>
          </cell>
        </row>
        <row r="307">
          <cell r="C307">
            <v>6</v>
          </cell>
          <cell r="D307">
            <v>508</v>
          </cell>
        </row>
        <row r="307">
          <cell r="G307">
            <v>109.5</v>
          </cell>
        </row>
        <row r="307">
          <cell r="J307">
            <v>96</v>
          </cell>
        </row>
        <row r="307">
          <cell r="M307">
            <v>121.5</v>
          </cell>
        </row>
        <row r="307">
          <cell r="P307">
            <v>71</v>
          </cell>
        </row>
        <row r="307">
          <cell r="S307">
            <v>49.5</v>
          </cell>
        </row>
        <row r="307">
          <cell r="V307">
            <v>60.5</v>
          </cell>
        </row>
        <row r="308">
          <cell r="C308">
            <v>6</v>
          </cell>
          <cell r="D308">
            <v>536.75</v>
          </cell>
        </row>
        <row r="308">
          <cell r="G308">
            <v>96.5</v>
          </cell>
        </row>
        <row r="308">
          <cell r="J308">
            <v>109</v>
          </cell>
        </row>
        <row r="308">
          <cell r="M308">
            <v>123</v>
          </cell>
        </row>
        <row r="308">
          <cell r="P308">
            <v>86.5</v>
          </cell>
        </row>
        <row r="308">
          <cell r="S308">
            <v>64.75</v>
          </cell>
        </row>
        <row r="308">
          <cell r="V308">
            <v>57</v>
          </cell>
        </row>
        <row r="309">
          <cell r="C309">
            <v>6</v>
          </cell>
          <cell r="D309">
            <v>547.5</v>
          </cell>
        </row>
        <row r="309">
          <cell r="G309">
            <v>115.5</v>
          </cell>
        </row>
        <row r="309">
          <cell r="J309">
            <v>91.5</v>
          </cell>
        </row>
        <row r="309">
          <cell r="M309">
            <v>124.75</v>
          </cell>
        </row>
        <row r="309">
          <cell r="P309">
            <v>88.5</v>
          </cell>
        </row>
        <row r="309">
          <cell r="S309">
            <v>66.75</v>
          </cell>
        </row>
        <row r="309">
          <cell r="V309">
            <v>60.5</v>
          </cell>
        </row>
        <row r="310">
          <cell r="C310">
            <v>6</v>
          </cell>
          <cell r="D310">
            <v>530.25</v>
          </cell>
        </row>
        <row r="310">
          <cell r="G310">
            <v>105</v>
          </cell>
        </row>
        <row r="310">
          <cell r="J310">
            <v>95</v>
          </cell>
        </row>
        <row r="310">
          <cell r="M310">
            <v>128</v>
          </cell>
        </row>
        <row r="310">
          <cell r="P310">
            <v>87</v>
          </cell>
        </row>
        <row r="310">
          <cell r="S310">
            <v>44.25</v>
          </cell>
        </row>
        <row r="310">
          <cell r="V310">
            <v>71</v>
          </cell>
        </row>
        <row r="311">
          <cell r="C311">
            <v>6</v>
          </cell>
          <cell r="D311">
            <v>505.5</v>
          </cell>
        </row>
        <row r="311">
          <cell r="G311">
            <v>103.5</v>
          </cell>
        </row>
        <row r="311">
          <cell r="J311">
            <v>108</v>
          </cell>
        </row>
        <row r="311">
          <cell r="M311">
            <v>113.5</v>
          </cell>
        </row>
        <row r="311">
          <cell r="P311">
            <v>75.5</v>
          </cell>
        </row>
        <row r="311">
          <cell r="S311">
            <v>54.5</v>
          </cell>
        </row>
        <row r="311">
          <cell r="V311">
            <v>50.5</v>
          </cell>
        </row>
        <row r="312">
          <cell r="C312">
            <v>6</v>
          </cell>
          <cell r="D312">
            <v>567</v>
          </cell>
        </row>
        <row r="312">
          <cell r="G312">
            <v>107.5</v>
          </cell>
        </row>
        <row r="312">
          <cell r="J312">
            <v>110</v>
          </cell>
        </row>
        <row r="312">
          <cell r="M312">
            <v>125.5</v>
          </cell>
        </row>
        <row r="312">
          <cell r="P312">
            <v>90.5</v>
          </cell>
        </row>
        <row r="312">
          <cell r="S312">
            <v>67.5</v>
          </cell>
        </row>
        <row r="312">
          <cell r="V312">
            <v>66</v>
          </cell>
        </row>
        <row r="313">
          <cell r="C313">
            <v>6</v>
          </cell>
          <cell r="D313">
            <v>561.25</v>
          </cell>
        </row>
        <row r="313">
          <cell r="G313">
            <v>108.5</v>
          </cell>
        </row>
        <row r="313">
          <cell r="J313">
            <v>115</v>
          </cell>
        </row>
        <row r="313">
          <cell r="M313">
            <v>120.5</v>
          </cell>
        </row>
        <row r="313">
          <cell r="P313">
            <v>81.5</v>
          </cell>
        </row>
        <row r="313">
          <cell r="S313">
            <v>68.75</v>
          </cell>
        </row>
        <row r="313">
          <cell r="V313">
            <v>67</v>
          </cell>
        </row>
        <row r="314">
          <cell r="C314">
            <v>6</v>
          </cell>
          <cell r="D314">
            <v>513.5</v>
          </cell>
        </row>
        <row r="314">
          <cell r="G314">
            <v>110</v>
          </cell>
        </row>
        <row r="314">
          <cell r="J314">
            <v>86</v>
          </cell>
        </row>
        <row r="314">
          <cell r="M314">
            <v>118</v>
          </cell>
        </row>
        <row r="314">
          <cell r="P314">
            <v>80</v>
          </cell>
        </row>
        <row r="314">
          <cell r="S314">
            <v>47.5</v>
          </cell>
        </row>
        <row r="314">
          <cell r="V314">
            <v>72</v>
          </cell>
        </row>
        <row r="315">
          <cell r="C315">
            <v>6</v>
          </cell>
          <cell r="D315">
            <v>523.75</v>
          </cell>
        </row>
        <row r="315">
          <cell r="G315">
            <v>116.5</v>
          </cell>
        </row>
        <row r="315">
          <cell r="J315">
            <v>95.5</v>
          </cell>
        </row>
        <row r="315">
          <cell r="M315">
            <v>127.5</v>
          </cell>
        </row>
        <row r="315">
          <cell r="P315">
            <v>83.5</v>
          </cell>
        </row>
        <row r="315">
          <cell r="S315">
            <v>46.75</v>
          </cell>
        </row>
        <row r="315">
          <cell r="V315">
            <v>54</v>
          </cell>
        </row>
        <row r="316">
          <cell r="C316">
            <v>6</v>
          </cell>
          <cell r="D316">
            <v>526.25</v>
          </cell>
        </row>
        <row r="316">
          <cell r="G316">
            <v>113.5</v>
          </cell>
        </row>
        <row r="316">
          <cell r="J316">
            <v>106</v>
          </cell>
        </row>
        <row r="316">
          <cell r="M316">
            <v>104</v>
          </cell>
        </row>
        <row r="316">
          <cell r="P316">
            <v>88</v>
          </cell>
        </row>
        <row r="316">
          <cell r="S316">
            <v>51.25</v>
          </cell>
        </row>
        <row r="316">
          <cell r="V316">
            <v>63.5</v>
          </cell>
        </row>
        <row r="317">
          <cell r="C317">
            <v>6</v>
          </cell>
          <cell r="D317">
            <v>546</v>
          </cell>
        </row>
        <row r="317">
          <cell r="G317">
            <v>105.5</v>
          </cell>
        </row>
        <row r="317">
          <cell r="J317">
            <v>107</v>
          </cell>
        </row>
        <row r="317">
          <cell r="M317">
            <v>111</v>
          </cell>
        </row>
        <row r="317">
          <cell r="P317">
            <v>87.5</v>
          </cell>
        </row>
        <row r="317">
          <cell r="S317">
            <v>64</v>
          </cell>
        </row>
        <row r="317">
          <cell r="V317">
            <v>71</v>
          </cell>
        </row>
        <row r="318">
          <cell r="C318">
            <v>6</v>
          </cell>
          <cell r="D318">
            <v>532</v>
          </cell>
        </row>
        <row r="318">
          <cell r="G318">
            <v>100.5</v>
          </cell>
        </row>
        <row r="318">
          <cell r="J318">
            <v>95</v>
          </cell>
        </row>
        <row r="318">
          <cell r="M318">
            <v>118.5</v>
          </cell>
        </row>
        <row r="318">
          <cell r="P318">
            <v>77.5</v>
          </cell>
        </row>
        <row r="318">
          <cell r="S318">
            <v>73</v>
          </cell>
        </row>
        <row r="318">
          <cell r="V318">
            <v>67.5</v>
          </cell>
        </row>
        <row r="319">
          <cell r="C319">
            <v>6</v>
          </cell>
          <cell r="D319">
            <v>456.25</v>
          </cell>
        </row>
        <row r="319">
          <cell r="G319">
            <v>94.75</v>
          </cell>
        </row>
        <row r="319">
          <cell r="J319">
            <v>84</v>
          </cell>
        </row>
        <row r="319">
          <cell r="M319">
            <v>121</v>
          </cell>
        </row>
        <row r="319">
          <cell r="P319">
            <v>60.5</v>
          </cell>
        </row>
        <row r="319">
          <cell r="S319">
            <v>45.5</v>
          </cell>
        </row>
        <row r="319">
          <cell r="V319">
            <v>50.5</v>
          </cell>
        </row>
        <row r="320">
          <cell r="C320">
            <v>6</v>
          </cell>
          <cell r="D320">
            <v>433.5</v>
          </cell>
        </row>
        <row r="320">
          <cell r="G320">
            <v>100</v>
          </cell>
        </row>
        <row r="320">
          <cell r="J320">
            <v>70</v>
          </cell>
        </row>
        <row r="320">
          <cell r="M320">
            <v>127.5</v>
          </cell>
        </row>
        <row r="320">
          <cell r="P320">
            <v>45</v>
          </cell>
        </row>
        <row r="320">
          <cell r="S320">
            <v>42.5</v>
          </cell>
        </row>
        <row r="320">
          <cell r="V320">
            <v>48.5</v>
          </cell>
        </row>
        <row r="321">
          <cell r="C321">
            <v>6</v>
          </cell>
          <cell r="D321">
            <v>600.75</v>
          </cell>
        </row>
        <row r="321">
          <cell r="G321">
            <v>111.5</v>
          </cell>
        </row>
        <row r="321">
          <cell r="J321">
            <v>128</v>
          </cell>
        </row>
        <row r="321">
          <cell r="M321">
            <v>123.5</v>
          </cell>
        </row>
        <row r="321">
          <cell r="P321">
            <v>94</v>
          </cell>
        </row>
        <row r="321">
          <cell r="S321">
            <v>73.25</v>
          </cell>
        </row>
        <row r="321">
          <cell r="V321">
            <v>70.5</v>
          </cell>
        </row>
        <row r="322">
          <cell r="C322">
            <v>7</v>
          </cell>
          <cell r="D322">
            <v>534</v>
          </cell>
        </row>
        <row r="322">
          <cell r="G322">
            <v>105.5</v>
          </cell>
        </row>
        <row r="322">
          <cell r="J322">
            <v>93.5</v>
          </cell>
        </row>
        <row r="322">
          <cell r="M322">
            <v>123.5</v>
          </cell>
        </row>
        <row r="322">
          <cell r="P322">
            <v>75</v>
          </cell>
        </row>
        <row r="322">
          <cell r="V322">
            <v>69</v>
          </cell>
        </row>
        <row r="322">
          <cell r="AE322">
            <v>67.5</v>
          </cell>
        </row>
        <row r="323">
          <cell r="C323">
            <v>7</v>
          </cell>
          <cell r="D323">
            <v>542.75</v>
          </cell>
        </row>
        <row r="323">
          <cell r="G323">
            <v>118.5</v>
          </cell>
        </row>
        <row r="323">
          <cell r="J323">
            <v>84.5</v>
          </cell>
        </row>
        <row r="323">
          <cell r="M323">
            <v>133</v>
          </cell>
        </row>
        <row r="323">
          <cell r="P323">
            <v>82</v>
          </cell>
        </row>
        <row r="323">
          <cell r="V323">
            <v>74</v>
          </cell>
        </row>
        <row r="323">
          <cell r="AE323">
            <v>50.75</v>
          </cell>
        </row>
        <row r="324">
          <cell r="C324">
            <v>7</v>
          </cell>
          <cell r="D324">
            <v>496</v>
          </cell>
        </row>
        <row r="324">
          <cell r="G324">
            <v>109</v>
          </cell>
        </row>
        <row r="324">
          <cell r="J324">
            <v>99</v>
          </cell>
        </row>
        <row r="324">
          <cell r="M324">
            <v>100</v>
          </cell>
        </row>
        <row r="324">
          <cell r="P324">
            <v>73</v>
          </cell>
        </row>
        <row r="324">
          <cell r="V324">
            <v>57</v>
          </cell>
        </row>
        <row r="324">
          <cell r="AE324">
            <v>58</v>
          </cell>
        </row>
        <row r="325">
          <cell r="C325">
            <v>7</v>
          </cell>
          <cell r="D325">
            <v>503.5</v>
          </cell>
        </row>
        <row r="325">
          <cell r="G325">
            <v>106</v>
          </cell>
        </row>
        <row r="325">
          <cell r="J325">
            <v>72.5</v>
          </cell>
        </row>
        <row r="325">
          <cell r="M325">
            <v>105.5</v>
          </cell>
        </row>
        <row r="325">
          <cell r="P325">
            <v>80.5</v>
          </cell>
        </row>
        <row r="325">
          <cell r="V325">
            <v>74.5</v>
          </cell>
        </row>
        <row r="325">
          <cell r="AE325">
            <v>64.5</v>
          </cell>
        </row>
        <row r="326">
          <cell r="C326">
            <v>7</v>
          </cell>
          <cell r="D326">
            <v>488</v>
          </cell>
        </row>
        <row r="326">
          <cell r="G326">
            <v>103</v>
          </cell>
        </row>
        <row r="326">
          <cell r="J326">
            <v>88</v>
          </cell>
        </row>
        <row r="326">
          <cell r="M326">
            <v>112.5</v>
          </cell>
        </row>
        <row r="326">
          <cell r="P326">
            <v>77</v>
          </cell>
        </row>
        <row r="326">
          <cell r="V326">
            <v>52</v>
          </cell>
        </row>
        <row r="326">
          <cell r="AE326">
            <v>55.5</v>
          </cell>
        </row>
        <row r="327">
          <cell r="C327">
            <v>7</v>
          </cell>
          <cell r="D327">
            <v>537</v>
          </cell>
        </row>
        <row r="327">
          <cell r="G327">
            <v>116.5</v>
          </cell>
        </row>
        <row r="327">
          <cell r="J327">
            <v>91</v>
          </cell>
        </row>
        <row r="327">
          <cell r="M327">
            <v>133.5</v>
          </cell>
        </row>
        <row r="327">
          <cell r="P327">
            <v>61.5</v>
          </cell>
        </row>
        <row r="327">
          <cell r="V327">
            <v>68.5</v>
          </cell>
        </row>
        <row r="327">
          <cell r="AE327">
            <v>66</v>
          </cell>
        </row>
        <row r="328">
          <cell r="C328">
            <v>7</v>
          </cell>
          <cell r="D328">
            <v>475.5</v>
          </cell>
        </row>
        <row r="328">
          <cell r="G328">
            <v>102.5</v>
          </cell>
        </row>
        <row r="328">
          <cell r="J328">
            <v>60.5</v>
          </cell>
        </row>
        <row r="328">
          <cell r="M328">
            <v>92.5</v>
          </cell>
        </row>
        <row r="328">
          <cell r="P328">
            <v>88</v>
          </cell>
        </row>
        <row r="328">
          <cell r="V328">
            <v>64.5</v>
          </cell>
        </row>
        <row r="328">
          <cell r="AE328">
            <v>67.5</v>
          </cell>
        </row>
        <row r="329">
          <cell r="C329">
            <v>7</v>
          </cell>
          <cell r="D329">
            <v>484</v>
          </cell>
        </row>
        <row r="329">
          <cell r="G329">
            <v>103.5</v>
          </cell>
        </row>
        <row r="329">
          <cell r="J329">
            <v>82.5</v>
          </cell>
        </row>
        <row r="329">
          <cell r="M329">
            <v>122</v>
          </cell>
        </row>
        <row r="329">
          <cell r="P329">
            <v>79</v>
          </cell>
        </row>
        <row r="329">
          <cell r="V329">
            <v>41.5</v>
          </cell>
        </row>
        <row r="329">
          <cell r="AE329">
            <v>55.5</v>
          </cell>
        </row>
        <row r="330">
          <cell r="C330">
            <v>7</v>
          </cell>
          <cell r="D330">
            <v>482.75</v>
          </cell>
        </row>
        <row r="330">
          <cell r="G330">
            <v>108.75</v>
          </cell>
        </row>
        <row r="330">
          <cell r="J330">
            <v>76</v>
          </cell>
        </row>
        <row r="330">
          <cell r="M330">
            <v>115</v>
          </cell>
        </row>
        <row r="330">
          <cell r="P330">
            <v>70.5</v>
          </cell>
        </row>
        <row r="330">
          <cell r="V330">
            <v>55</v>
          </cell>
        </row>
        <row r="330">
          <cell r="AE330">
            <v>57.5</v>
          </cell>
        </row>
        <row r="331">
          <cell r="C331">
            <v>7</v>
          </cell>
          <cell r="D331">
            <v>506.75</v>
          </cell>
        </row>
        <row r="331">
          <cell r="G331">
            <v>96.75</v>
          </cell>
        </row>
        <row r="331">
          <cell r="J331">
            <v>109.5</v>
          </cell>
        </row>
        <row r="331">
          <cell r="M331">
            <v>118.5</v>
          </cell>
        </row>
        <row r="331">
          <cell r="P331">
            <v>65</v>
          </cell>
        </row>
        <row r="331">
          <cell r="V331">
            <v>55</v>
          </cell>
        </row>
        <row r="331">
          <cell r="AE331">
            <v>62</v>
          </cell>
        </row>
        <row r="332">
          <cell r="C332">
            <v>7</v>
          </cell>
          <cell r="D332">
            <v>497</v>
          </cell>
        </row>
        <row r="332">
          <cell r="G332">
            <v>111</v>
          </cell>
        </row>
        <row r="332">
          <cell r="J332">
            <v>83</v>
          </cell>
        </row>
        <row r="332">
          <cell r="M332">
            <v>115</v>
          </cell>
        </row>
        <row r="332">
          <cell r="P332">
            <v>71.5</v>
          </cell>
        </row>
        <row r="332">
          <cell r="V332">
            <v>59.5</v>
          </cell>
        </row>
        <row r="332">
          <cell r="AE332">
            <v>57</v>
          </cell>
        </row>
        <row r="334">
          <cell r="C334">
            <v>7</v>
          </cell>
          <cell r="D334">
            <v>493.75</v>
          </cell>
        </row>
        <row r="334">
          <cell r="G334">
            <v>88.25</v>
          </cell>
        </row>
        <row r="334">
          <cell r="J334">
            <v>96</v>
          </cell>
        </row>
        <row r="334">
          <cell r="M334">
            <v>108</v>
          </cell>
        </row>
        <row r="334">
          <cell r="P334">
            <v>88.5</v>
          </cell>
        </row>
        <row r="334">
          <cell r="V334">
            <v>65.5</v>
          </cell>
        </row>
        <row r="334">
          <cell r="AE334">
            <v>47.5</v>
          </cell>
        </row>
        <row r="335">
          <cell r="C335">
            <v>7</v>
          </cell>
          <cell r="D335">
            <v>494</v>
          </cell>
        </row>
        <row r="335">
          <cell r="G335">
            <v>94</v>
          </cell>
        </row>
        <row r="335">
          <cell r="J335">
            <v>99</v>
          </cell>
        </row>
        <row r="335">
          <cell r="M335">
            <v>98.5</v>
          </cell>
        </row>
        <row r="335">
          <cell r="P335">
            <v>78</v>
          </cell>
        </row>
        <row r="335">
          <cell r="V335">
            <v>67</v>
          </cell>
        </row>
        <row r="335">
          <cell r="AE335">
            <v>57.5</v>
          </cell>
        </row>
        <row r="336">
          <cell r="C336">
            <v>7</v>
          </cell>
          <cell r="D336">
            <v>458</v>
          </cell>
        </row>
        <row r="336">
          <cell r="G336">
            <v>108</v>
          </cell>
        </row>
        <row r="336">
          <cell r="J336">
            <v>75.5</v>
          </cell>
        </row>
        <row r="336">
          <cell r="M336">
            <v>80</v>
          </cell>
        </row>
        <row r="336">
          <cell r="P336">
            <v>71</v>
          </cell>
        </row>
        <row r="336">
          <cell r="V336">
            <v>57</v>
          </cell>
        </row>
        <row r="336">
          <cell r="AE336">
            <v>66.5</v>
          </cell>
        </row>
        <row r="337">
          <cell r="C337">
            <v>7</v>
          </cell>
          <cell r="D337">
            <v>517.5</v>
          </cell>
        </row>
        <row r="337">
          <cell r="G337">
            <v>96</v>
          </cell>
        </row>
        <row r="337">
          <cell r="J337">
            <v>101</v>
          </cell>
        </row>
        <row r="337">
          <cell r="M337">
            <v>127.5</v>
          </cell>
        </row>
        <row r="337">
          <cell r="P337">
            <v>85</v>
          </cell>
        </row>
        <row r="337">
          <cell r="V337">
            <v>52.5</v>
          </cell>
        </row>
        <row r="337">
          <cell r="AE337">
            <v>55.5</v>
          </cell>
        </row>
        <row r="338">
          <cell r="C338">
            <v>7</v>
          </cell>
          <cell r="D338">
            <v>489.75</v>
          </cell>
        </row>
        <row r="338">
          <cell r="G338">
            <v>101.25</v>
          </cell>
        </row>
        <row r="338">
          <cell r="J338">
            <v>84.5</v>
          </cell>
        </row>
        <row r="338">
          <cell r="M338">
            <v>99.5</v>
          </cell>
        </row>
        <row r="338">
          <cell r="P338">
            <v>75</v>
          </cell>
        </row>
        <row r="338">
          <cell r="V338">
            <v>58.5</v>
          </cell>
        </row>
        <row r="338">
          <cell r="AE338">
            <v>71</v>
          </cell>
        </row>
        <row r="339">
          <cell r="C339">
            <v>7</v>
          </cell>
          <cell r="D339">
            <v>554.5</v>
          </cell>
        </row>
        <row r="339">
          <cell r="G339">
            <v>107.5</v>
          </cell>
        </row>
        <row r="339">
          <cell r="J339">
            <v>101.5</v>
          </cell>
        </row>
        <row r="339">
          <cell r="M339">
            <v>127</v>
          </cell>
        </row>
        <row r="339">
          <cell r="P339">
            <v>78</v>
          </cell>
        </row>
        <row r="339">
          <cell r="V339">
            <v>65.5</v>
          </cell>
        </row>
        <row r="339">
          <cell r="AE339">
            <v>75</v>
          </cell>
        </row>
        <row r="340">
          <cell r="C340">
            <v>7</v>
          </cell>
          <cell r="D340">
            <v>459</v>
          </cell>
        </row>
        <row r="340">
          <cell r="G340">
            <v>104.5</v>
          </cell>
        </row>
        <row r="340">
          <cell r="J340">
            <v>76</v>
          </cell>
        </row>
        <row r="340">
          <cell r="M340">
            <v>110.5</v>
          </cell>
        </row>
        <row r="340">
          <cell r="P340">
            <v>62.5</v>
          </cell>
        </row>
        <row r="340">
          <cell r="V340">
            <v>50</v>
          </cell>
        </row>
        <row r="340">
          <cell r="AE340">
            <v>55.5</v>
          </cell>
        </row>
        <row r="341">
          <cell r="C341">
            <v>7</v>
          </cell>
          <cell r="D341">
            <v>471.5</v>
          </cell>
        </row>
        <row r="341">
          <cell r="G341">
            <v>100</v>
          </cell>
        </row>
        <row r="341">
          <cell r="J341">
            <v>92.5</v>
          </cell>
        </row>
        <row r="341">
          <cell r="M341">
            <v>81</v>
          </cell>
        </row>
        <row r="341">
          <cell r="P341">
            <v>77.5</v>
          </cell>
        </row>
        <row r="341">
          <cell r="V341">
            <v>60.5</v>
          </cell>
        </row>
        <row r="341">
          <cell r="AE341">
            <v>60</v>
          </cell>
        </row>
        <row r="342">
          <cell r="C342">
            <v>7</v>
          </cell>
          <cell r="D342">
            <v>526</v>
          </cell>
        </row>
        <row r="342">
          <cell r="G342">
            <v>109</v>
          </cell>
        </row>
        <row r="342">
          <cell r="J342">
            <v>92.5</v>
          </cell>
        </row>
        <row r="342">
          <cell r="M342">
            <v>110.5</v>
          </cell>
        </row>
        <row r="342">
          <cell r="P342">
            <v>85.5</v>
          </cell>
        </row>
        <row r="342">
          <cell r="V342">
            <v>65</v>
          </cell>
        </row>
        <row r="342">
          <cell r="AE342">
            <v>63.5</v>
          </cell>
        </row>
        <row r="343">
          <cell r="C343">
            <v>7</v>
          </cell>
          <cell r="D343">
            <v>513.5</v>
          </cell>
        </row>
        <row r="343">
          <cell r="G343">
            <v>108</v>
          </cell>
        </row>
        <row r="343">
          <cell r="J343">
            <v>98</v>
          </cell>
        </row>
        <row r="343">
          <cell r="M343">
            <v>109.5</v>
          </cell>
        </row>
        <row r="343">
          <cell r="P343">
            <v>78</v>
          </cell>
        </row>
        <row r="343">
          <cell r="V343">
            <v>58.5</v>
          </cell>
        </row>
        <row r="343">
          <cell r="AE343">
            <v>61.5</v>
          </cell>
        </row>
        <row r="344">
          <cell r="C344">
            <v>7</v>
          </cell>
          <cell r="D344">
            <v>495</v>
          </cell>
        </row>
        <row r="344">
          <cell r="G344">
            <v>103.5</v>
          </cell>
        </row>
        <row r="344">
          <cell r="J344">
            <v>87</v>
          </cell>
        </row>
        <row r="344">
          <cell r="M344">
            <v>113.5</v>
          </cell>
        </row>
        <row r="344">
          <cell r="P344">
            <v>75</v>
          </cell>
        </row>
        <row r="344">
          <cell r="V344">
            <v>52</v>
          </cell>
        </row>
        <row r="344">
          <cell r="AE344">
            <v>64</v>
          </cell>
        </row>
        <row r="345">
          <cell r="C345">
            <v>7</v>
          </cell>
          <cell r="D345">
            <v>445</v>
          </cell>
        </row>
        <row r="345">
          <cell r="G345">
            <v>99</v>
          </cell>
        </row>
        <row r="345">
          <cell r="J345">
            <v>77.5</v>
          </cell>
        </row>
        <row r="345">
          <cell r="M345">
            <v>97.5</v>
          </cell>
        </row>
        <row r="345">
          <cell r="P345">
            <v>71</v>
          </cell>
        </row>
        <row r="345">
          <cell r="V345">
            <v>56.5</v>
          </cell>
        </row>
        <row r="345">
          <cell r="AE345">
            <v>43.5</v>
          </cell>
        </row>
        <row r="346">
          <cell r="C346">
            <v>7</v>
          </cell>
          <cell r="D346">
            <v>491</v>
          </cell>
        </row>
        <row r="346">
          <cell r="G346">
            <v>103</v>
          </cell>
        </row>
        <row r="346">
          <cell r="J346">
            <v>86.5</v>
          </cell>
        </row>
        <row r="346">
          <cell r="M346">
            <v>101</v>
          </cell>
        </row>
        <row r="346">
          <cell r="P346">
            <v>77.5</v>
          </cell>
        </row>
        <row r="346">
          <cell r="V346">
            <v>63.5</v>
          </cell>
        </row>
        <row r="346">
          <cell r="AE346">
            <v>59.5</v>
          </cell>
        </row>
        <row r="347">
          <cell r="C347">
            <v>7</v>
          </cell>
          <cell r="D347">
            <v>507</v>
          </cell>
        </row>
        <row r="347">
          <cell r="G347">
            <v>101</v>
          </cell>
        </row>
        <row r="347">
          <cell r="J347">
            <v>91</v>
          </cell>
        </row>
        <row r="347">
          <cell r="M347">
            <v>119</v>
          </cell>
        </row>
        <row r="347">
          <cell r="P347">
            <v>77</v>
          </cell>
        </row>
        <row r="347">
          <cell r="V347">
            <v>60.5</v>
          </cell>
        </row>
        <row r="347">
          <cell r="AE347">
            <v>58.5</v>
          </cell>
        </row>
        <row r="348">
          <cell r="C348">
            <v>7</v>
          </cell>
          <cell r="D348">
            <v>518</v>
          </cell>
        </row>
        <row r="348">
          <cell r="G348">
            <v>102</v>
          </cell>
        </row>
        <row r="348">
          <cell r="J348">
            <v>88.5</v>
          </cell>
        </row>
        <row r="348">
          <cell r="M348">
            <v>125</v>
          </cell>
        </row>
        <row r="348">
          <cell r="P348">
            <v>73</v>
          </cell>
        </row>
        <row r="348">
          <cell r="V348">
            <v>63.5</v>
          </cell>
        </row>
        <row r="348">
          <cell r="AE348">
            <v>66</v>
          </cell>
        </row>
        <row r="349">
          <cell r="C349">
            <v>7</v>
          </cell>
          <cell r="D349">
            <v>495.5</v>
          </cell>
        </row>
        <row r="349">
          <cell r="G349">
            <v>103</v>
          </cell>
        </row>
        <row r="349">
          <cell r="J349">
            <v>87.5</v>
          </cell>
        </row>
        <row r="349">
          <cell r="M349">
            <v>116.5</v>
          </cell>
        </row>
        <row r="349">
          <cell r="P349">
            <v>79.5</v>
          </cell>
        </row>
        <row r="349">
          <cell r="V349">
            <v>53</v>
          </cell>
        </row>
        <row r="349">
          <cell r="AE349">
            <v>56</v>
          </cell>
        </row>
        <row r="350">
          <cell r="C350">
            <v>7</v>
          </cell>
          <cell r="D350">
            <v>475</v>
          </cell>
        </row>
        <row r="350">
          <cell r="G350">
            <v>104.5</v>
          </cell>
        </row>
        <row r="350">
          <cell r="J350">
            <v>90</v>
          </cell>
        </row>
        <row r="350">
          <cell r="M350">
            <v>102.5</v>
          </cell>
        </row>
        <row r="350">
          <cell r="P350">
            <v>80</v>
          </cell>
        </row>
        <row r="350">
          <cell r="V350">
            <v>42.5</v>
          </cell>
        </row>
        <row r="350">
          <cell r="AE350">
            <v>55.5</v>
          </cell>
        </row>
        <row r="351">
          <cell r="C351">
            <v>7</v>
          </cell>
          <cell r="D351">
            <v>422</v>
          </cell>
        </row>
        <row r="351">
          <cell r="G351">
            <v>83.5</v>
          </cell>
        </row>
        <row r="351">
          <cell r="J351">
            <v>64.5</v>
          </cell>
        </row>
        <row r="351">
          <cell r="M351">
            <v>95</v>
          </cell>
        </row>
        <row r="351">
          <cell r="P351">
            <v>73</v>
          </cell>
        </row>
        <row r="351">
          <cell r="V351">
            <v>54</v>
          </cell>
        </row>
        <row r="351">
          <cell r="AE351">
            <v>52</v>
          </cell>
        </row>
        <row r="352">
          <cell r="C352">
            <v>7</v>
          </cell>
          <cell r="D352">
            <v>462</v>
          </cell>
        </row>
        <row r="352">
          <cell r="G352">
            <v>104</v>
          </cell>
        </row>
        <row r="352">
          <cell r="J352">
            <v>80</v>
          </cell>
        </row>
        <row r="352">
          <cell r="M352">
            <v>100.5</v>
          </cell>
        </row>
        <row r="352">
          <cell r="P352">
            <v>59</v>
          </cell>
        </row>
        <row r="352">
          <cell r="V352">
            <v>64</v>
          </cell>
        </row>
        <row r="352">
          <cell r="AE352">
            <v>54.5</v>
          </cell>
        </row>
        <row r="353">
          <cell r="C353">
            <v>7</v>
          </cell>
          <cell r="D353">
            <v>485</v>
          </cell>
        </row>
        <row r="353">
          <cell r="G353">
            <v>102.5</v>
          </cell>
        </row>
        <row r="353">
          <cell r="J353">
            <v>84</v>
          </cell>
        </row>
        <row r="353">
          <cell r="M353">
            <v>106.5</v>
          </cell>
        </row>
        <row r="353">
          <cell r="P353">
            <v>74.5</v>
          </cell>
        </row>
        <row r="353">
          <cell r="V353">
            <v>63.5</v>
          </cell>
        </row>
        <row r="353">
          <cell r="AE353">
            <v>54</v>
          </cell>
        </row>
        <row r="354">
          <cell r="C354">
            <v>7</v>
          </cell>
          <cell r="D354">
            <v>501.75</v>
          </cell>
        </row>
        <row r="354">
          <cell r="G354">
            <v>104.5</v>
          </cell>
        </row>
        <row r="354">
          <cell r="J354">
            <v>98.5</v>
          </cell>
        </row>
        <row r="354">
          <cell r="M354">
            <v>110.25</v>
          </cell>
        </row>
        <row r="354">
          <cell r="P354">
            <v>76</v>
          </cell>
        </row>
        <row r="354">
          <cell r="V354">
            <v>53.5</v>
          </cell>
        </row>
        <row r="354">
          <cell r="AE354">
            <v>59</v>
          </cell>
        </row>
        <row r="355">
          <cell r="C355">
            <v>7</v>
          </cell>
          <cell r="D355">
            <v>349</v>
          </cell>
        </row>
        <row r="355">
          <cell r="G355">
            <v>79</v>
          </cell>
        </row>
        <row r="355">
          <cell r="J355">
            <v>60.5</v>
          </cell>
        </row>
        <row r="355">
          <cell r="M355">
            <v>86.5</v>
          </cell>
        </row>
        <row r="355">
          <cell r="P355">
            <v>46.5</v>
          </cell>
        </row>
        <row r="355">
          <cell r="V355">
            <v>35</v>
          </cell>
        </row>
        <row r="355">
          <cell r="AE355">
            <v>41.5</v>
          </cell>
        </row>
        <row r="356">
          <cell r="C356">
            <v>7</v>
          </cell>
          <cell r="D356">
            <v>447.25</v>
          </cell>
        </row>
        <row r="356">
          <cell r="G356">
            <v>100.75</v>
          </cell>
        </row>
        <row r="356">
          <cell r="J356">
            <v>72</v>
          </cell>
        </row>
        <row r="356">
          <cell r="M356">
            <v>108.5</v>
          </cell>
        </row>
        <row r="356">
          <cell r="P356">
            <v>61</v>
          </cell>
        </row>
        <row r="356">
          <cell r="V356">
            <v>60.5</v>
          </cell>
        </row>
        <row r="356">
          <cell r="AE356">
            <v>44.5</v>
          </cell>
        </row>
        <row r="357">
          <cell r="C357">
            <v>7</v>
          </cell>
          <cell r="D357">
            <v>452.5</v>
          </cell>
        </row>
        <row r="357">
          <cell r="G357">
            <v>105.5</v>
          </cell>
        </row>
        <row r="357">
          <cell r="J357">
            <v>67.5</v>
          </cell>
        </row>
        <row r="357">
          <cell r="M357">
            <v>102</v>
          </cell>
        </row>
        <row r="357">
          <cell r="P357">
            <v>68.5</v>
          </cell>
        </row>
        <row r="357">
          <cell r="V357">
            <v>51</v>
          </cell>
        </row>
        <row r="357">
          <cell r="AE357">
            <v>58</v>
          </cell>
        </row>
        <row r="358">
          <cell r="C358">
            <v>7</v>
          </cell>
          <cell r="D358">
            <v>432.5</v>
          </cell>
        </row>
        <row r="358">
          <cell r="G358">
            <v>97.5</v>
          </cell>
        </row>
        <row r="358">
          <cell r="J358">
            <v>84</v>
          </cell>
        </row>
        <row r="358">
          <cell r="M358">
            <v>96.5</v>
          </cell>
        </row>
        <row r="358">
          <cell r="P358">
            <v>61</v>
          </cell>
        </row>
        <row r="358">
          <cell r="V358">
            <v>55.5</v>
          </cell>
        </row>
        <row r="358">
          <cell r="AE358">
            <v>38</v>
          </cell>
        </row>
        <row r="359">
          <cell r="C359">
            <v>7</v>
          </cell>
          <cell r="D359">
            <v>359.5</v>
          </cell>
        </row>
        <row r="359">
          <cell r="G359">
            <v>95.5</v>
          </cell>
        </row>
        <row r="359">
          <cell r="J359">
            <v>36</v>
          </cell>
        </row>
        <row r="359">
          <cell r="M359">
            <v>85.5</v>
          </cell>
        </row>
        <row r="359">
          <cell r="P359">
            <v>45</v>
          </cell>
        </row>
        <row r="359">
          <cell r="V359">
            <v>42</v>
          </cell>
        </row>
        <row r="359">
          <cell r="AE359">
            <v>55.5</v>
          </cell>
        </row>
        <row r="360">
          <cell r="C360">
            <v>7</v>
          </cell>
          <cell r="D360">
            <v>514</v>
          </cell>
        </row>
        <row r="360">
          <cell r="G360">
            <v>98</v>
          </cell>
        </row>
        <row r="360">
          <cell r="J360">
            <v>99</v>
          </cell>
        </row>
        <row r="360">
          <cell r="M360">
            <v>107</v>
          </cell>
        </row>
        <row r="360">
          <cell r="P360">
            <v>82</v>
          </cell>
        </row>
        <row r="360">
          <cell r="S360">
            <v>64.5</v>
          </cell>
        </row>
        <row r="360">
          <cell r="AE360">
            <v>63.5</v>
          </cell>
        </row>
        <row r="361">
          <cell r="C361">
            <v>7</v>
          </cell>
          <cell r="D361">
            <v>540.25</v>
          </cell>
        </row>
        <row r="361">
          <cell r="G361">
            <v>104.5</v>
          </cell>
        </row>
        <row r="361">
          <cell r="J361">
            <v>107.5</v>
          </cell>
        </row>
        <row r="361">
          <cell r="M361">
            <v>117.5</v>
          </cell>
        </row>
        <row r="361">
          <cell r="P361">
            <v>88</v>
          </cell>
        </row>
        <row r="361">
          <cell r="S361">
            <v>60.75</v>
          </cell>
        </row>
        <row r="361">
          <cell r="AE361">
            <v>62</v>
          </cell>
        </row>
        <row r="362">
          <cell r="C362">
            <v>7</v>
          </cell>
          <cell r="D362">
            <v>509.25</v>
          </cell>
        </row>
        <row r="362">
          <cell r="G362">
            <v>102.75</v>
          </cell>
        </row>
        <row r="362">
          <cell r="J362">
            <v>68</v>
          </cell>
        </row>
        <row r="362">
          <cell r="M362">
            <v>133</v>
          </cell>
        </row>
        <row r="362">
          <cell r="P362">
            <v>82</v>
          </cell>
        </row>
        <row r="362">
          <cell r="S362">
            <v>57</v>
          </cell>
        </row>
        <row r="362">
          <cell r="AE362">
            <v>66.5</v>
          </cell>
        </row>
        <row r="363">
          <cell r="C363">
            <v>7</v>
          </cell>
          <cell r="D363">
            <v>500.5</v>
          </cell>
        </row>
        <row r="363">
          <cell r="G363">
            <v>94</v>
          </cell>
        </row>
        <row r="363">
          <cell r="J363">
            <v>106.5</v>
          </cell>
        </row>
        <row r="363">
          <cell r="M363">
            <v>98</v>
          </cell>
        </row>
        <row r="363">
          <cell r="P363">
            <v>83</v>
          </cell>
        </row>
        <row r="363">
          <cell r="S363">
            <v>70</v>
          </cell>
        </row>
        <row r="363">
          <cell r="AE363">
            <v>49</v>
          </cell>
        </row>
        <row r="364">
          <cell r="C364">
            <v>7</v>
          </cell>
          <cell r="D364">
            <v>512</v>
          </cell>
        </row>
        <row r="364">
          <cell r="G364">
            <v>104</v>
          </cell>
        </row>
        <row r="364">
          <cell r="J364">
            <v>89.5</v>
          </cell>
        </row>
        <row r="364">
          <cell r="M364">
            <v>110</v>
          </cell>
        </row>
        <row r="364">
          <cell r="P364">
            <v>78</v>
          </cell>
        </row>
        <row r="364">
          <cell r="S364">
            <v>67</v>
          </cell>
        </row>
        <row r="364">
          <cell r="AE364">
            <v>63.5</v>
          </cell>
        </row>
        <row r="365">
          <cell r="C365">
            <v>7</v>
          </cell>
          <cell r="D365">
            <v>503.75</v>
          </cell>
        </row>
        <row r="365">
          <cell r="G365">
            <v>103</v>
          </cell>
        </row>
        <row r="365">
          <cell r="J365">
            <v>81</v>
          </cell>
        </row>
        <row r="365">
          <cell r="M365">
            <v>123</v>
          </cell>
        </row>
        <row r="365">
          <cell r="P365">
            <v>76</v>
          </cell>
        </row>
        <row r="365">
          <cell r="S365">
            <v>57.75</v>
          </cell>
        </row>
        <row r="365">
          <cell r="AE365">
            <v>63</v>
          </cell>
        </row>
        <row r="366">
          <cell r="C366">
            <v>7</v>
          </cell>
          <cell r="D366">
            <v>527.75</v>
          </cell>
        </row>
        <row r="366">
          <cell r="G366">
            <v>95.5</v>
          </cell>
        </row>
        <row r="366">
          <cell r="J366">
            <v>94.5</v>
          </cell>
        </row>
        <row r="366">
          <cell r="M366">
            <v>120</v>
          </cell>
        </row>
        <row r="366">
          <cell r="P366">
            <v>85</v>
          </cell>
        </row>
        <row r="366">
          <cell r="S366">
            <v>61.75</v>
          </cell>
        </row>
        <row r="366">
          <cell r="AE366">
            <v>71</v>
          </cell>
        </row>
        <row r="367">
          <cell r="C367">
            <v>8</v>
          </cell>
          <cell r="D367">
            <v>467.5</v>
          </cell>
        </row>
        <row r="367">
          <cell r="G367">
            <v>110.5</v>
          </cell>
        </row>
        <row r="367">
          <cell r="J367">
            <v>80.5</v>
          </cell>
        </row>
        <row r="367">
          <cell r="M367">
            <v>107</v>
          </cell>
        </row>
        <row r="367">
          <cell r="P367">
            <v>53</v>
          </cell>
        </row>
        <row r="367">
          <cell r="V367">
            <v>59.5</v>
          </cell>
        </row>
        <row r="367">
          <cell r="AE367">
            <v>57</v>
          </cell>
        </row>
        <row r="368">
          <cell r="C368">
            <v>8</v>
          </cell>
          <cell r="D368">
            <v>485.5</v>
          </cell>
        </row>
        <row r="368">
          <cell r="G368">
            <v>100</v>
          </cell>
        </row>
        <row r="368">
          <cell r="J368">
            <v>79.5</v>
          </cell>
        </row>
        <row r="368">
          <cell r="M368">
            <v>105.5</v>
          </cell>
        </row>
        <row r="368">
          <cell r="P368">
            <v>74</v>
          </cell>
        </row>
        <row r="368">
          <cell r="V368">
            <v>58</v>
          </cell>
        </row>
        <row r="368">
          <cell r="AE368">
            <v>68.5</v>
          </cell>
        </row>
        <row r="369">
          <cell r="C369">
            <v>8</v>
          </cell>
          <cell r="D369">
            <v>459.5</v>
          </cell>
        </row>
        <row r="369">
          <cell r="G369">
            <v>97</v>
          </cell>
        </row>
        <row r="369">
          <cell r="J369">
            <v>83.5</v>
          </cell>
        </row>
        <row r="369">
          <cell r="M369">
            <v>102</v>
          </cell>
        </row>
        <row r="369">
          <cell r="P369">
            <v>68</v>
          </cell>
        </row>
        <row r="369">
          <cell r="V369">
            <v>60</v>
          </cell>
        </row>
        <row r="369">
          <cell r="AE369">
            <v>49</v>
          </cell>
        </row>
        <row r="370">
          <cell r="C370">
            <v>8</v>
          </cell>
          <cell r="D370">
            <v>491.25</v>
          </cell>
        </row>
        <row r="370">
          <cell r="G370">
            <v>111</v>
          </cell>
        </row>
        <row r="370">
          <cell r="J370">
            <v>80</v>
          </cell>
        </row>
        <row r="370">
          <cell r="M370">
            <v>127.25</v>
          </cell>
        </row>
        <row r="370">
          <cell r="P370">
            <v>67.5</v>
          </cell>
        </row>
        <row r="370">
          <cell r="V370">
            <v>44.5</v>
          </cell>
        </row>
        <row r="370">
          <cell r="AE370">
            <v>61</v>
          </cell>
        </row>
        <row r="371">
          <cell r="C371">
            <v>8</v>
          </cell>
          <cell r="D371">
            <v>460.25</v>
          </cell>
        </row>
        <row r="371">
          <cell r="G371">
            <v>110.25</v>
          </cell>
        </row>
        <row r="371">
          <cell r="J371">
            <v>77</v>
          </cell>
        </row>
        <row r="371">
          <cell r="M371">
            <v>97.5</v>
          </cell>
        </row>
        <row r="371">
          <cell r="P371">
            <v>54.5</v>
          </cell>
        </row>
        <row r="371">
          <cell r="V371">
            <v>67</v>
          </cell>
        </row>
        <row r="371">
          <cell r="AE371">
            <v>54</v>
          </cell>
        </row>
        <row r="372">
          <cell r="C372">
            <v>8</v>
          </cell>
          <cell r="D372">
            <v>466</v>
          </cell>
        </row>
        <row r="372">
          <cell r="G372">
            <v>103.5</v>
          </cell>
        </row>
        <row r="372">
          <cell r="J372">
            <v>61.5</v>
          </cell>
        </row>
        <row r="372">
          <cell r="M372">
            <v>107.5</v>
          </cell>
        </row>
        <row r="372">
          <cell r="P372">
            <v>53.5</v>
          </cell>
        </row>
        <row r="372">
          <cell r="V372">
            <v>60.5</v>
          </cell>
        </row>
        <row r="372">
          <cell r="AE372">
            <v>79.5</v>
          </cell>
        </row>
        <row r="373">
          <cell r="C373">
            <v>8</v>
          </cell>
          <cell r="D373">
            <v>456.5</v>
          </cell>
        </row>
        <row r="373">
          <cell r="G373">
            <v>88.5</v>
          </cell>
        </row>
        <row r="373">
          <cell r="J373">
            <v>83</v>
          </cell>
        </row>
        <row r="373">
          <cell r="M373">
            <v>116</v>
          </cell>
        </row>
        <row r="373">
          <cell r="P373">
            <v>66.5</v>
          </cell>
        </row>
        <row r="373">
          <cell r="V373">
            <v>51</v>
          </cell>
        </row>
        <row r="373">
          <cell r="AE373">
            <v>51.5</v>
          </cell>
        </row>
        <row r="374">
          <cell r="C374">
            <v>8</v>
          </cell>
          <cell r="D374">
            <v>449.5</v>
          </cell>
        </row>
        <row r="374">
          <cell r="G374">
            <v>108</v>
          </cell>
        </row>
        <row r="374">
          <cell r="J374">
            <v>52</v>
          </cell>
        </row>
        <row r="374">
          <cell r="M374">
            <v>122.5</v>
          </cell>
        </row>
        <row r="374">
          <cell r="P374">
            <v>74</v>
          </cell>
        </row>
        <row r="374">
          <cell r="V374">
            <v>43</v>
          </cell>
        </row>
        <row r="374">
          <cell r="AE374">
            <v>50</v>
          </cell>
        </row>
        <row r="375">
          <cell r="C375">
            <v>8</v>
          </cell>
          <cell r="D375">
            <v>430.25</v>
          </cell>
        </row>
        <row r="375">
          <cell r="G375">
            <v>116.75</v>
          </cell>
        </row>
        <row r="375">
          <cell r="J375">
            <v>41</v>
          </cell>
        </row>
        <row r="375">
          <cell r="M375">
            <v>117</v>
          </cell>
        </row>
        <row r="375">
          <cell r="P375">
            <v>50.5</v>
          </cell>
        </row>
        <row r="375">
          <cell r="V375">
            <v>46</v>
          </cell>
        </row>
        <row r="375">
          <cell r="AE375">
            <v>59</v>
          </cell>
        </row>
        <row r="376">
          <cell r="C376">
            <v>8</v>
          </cell>
          <cell r="D376">
            <v>456.5</v>
          </cell>
        </row>
        <row r="376">
          <cell r="G376">
            <v>106</v>
          </cell>
        </row>
        <row r="376">
          <cell r="J376">
            <v>82.5</v>
          </cell>
        </row>
        <row r="376">
          <cell r="M376">
            <v>100.5</v>
          </cell>
        </row>
        <row r="376">
          <cell r="P376">
            <v>60</v>
          </cell>
        </row>
        <row r="376">
          <cell r="V376">
            <v>49</v>
          </cell>
        </row>
        <row r="376">
          <cell r="AE376">
            <v>58.5</v>
          </cell>
        </row>
        <row r="377">
          <cell r="C377">
            <v>8</v>
          </cell>
          <cell r="D377">
            <v>403.75</v>
          </cell>
        </row>
        <row r="377">
          <cell r="G377">
            <v>105</v>
          </cell>
        </row>
        <row r="377">
          <cell r="J377">
            <v>67</v>
          </cell>
        </row>
        <row r="377">
          <cell r="M377">
            <v>90.5</v>
          </cell>
        </row>
        <row r="377">
          <cell r="P377">
            <v>55</v>
          </cell>
        </row>
        <row r="377">
          <cell r="V377">
            <v>46.5</v>
          </cell>
        </row>
        <row r="377">
          <cell r="AE377">
            <v>39.75</v>
          </cell>
        </row>
        <row r="378">
          <cell r="C378">
            <v>8</v>
          </cell>
          <cell r="D378">
            <v>472</v>
          </cell>
        </row>
        <row r="378">
          <cell r="G378">
            <v>103</v>
          </cell>
        </row>
        <row r="378">
          <cell r="J378">
            <v>90</v>
          </cell>
        </row>
        <row r="378">
          <cell r="M378">
            <v>115</v>
          </cell>
        </row>
        <row r="378">
          <cell r="P378">
            <v>59</v>
          </cell>
        </row>
        <row r="378">
          <cell r="V378">
            <v>48.5</v>
          </cell>
        </row>
        <row r="378">
          <cell r="AE378">
            <v>56.5</v>
          </cell>
        </row>
        <row r="379">
          <cell r="C379">
            <v>8</v>
          </cell>
          <cell r="D379">
            <v>456.5</v>
          </cell>
        </row>
        <row r="379">
          <cell r="G379">
            <v>91.5</v>
          </cell>
        </row>
        <row r="379">
          <cell r="J379">
            <v>67</v>
          </cell>
        </row>
        <row r="379">
          <cell r="M379">
            <v>105.5</v>
          </cell>
        </row>
        <row r="379">
          <cell r="P379">
            <v>75.5</v>
          </cell>
        </row>
        <row r="379">
          <cell r="V379">
            <v>60.5</v>
          </cell>
        </row>
        <row r="379">
          <cell r="AE379">
            <v>56.5</v>
          </cell>
        </row>
        <row r="380">
          <cell r="C380">
            <v>8</v>
          </cell>
          <cell r="D380">
            <v>405.5</v>
          </cell>
        </row>
        <row r="380">
          <cell r="G380">
            <v>98.5</v>
          </cell>
        </row>
        <row r="380">
          <cell r="J380">
            <v>55</v>
          </cell>
        </row>
        <row r="380">
          <cell r="M380">
            <v>104</v>
          </cell>
        </row>
        <row r="380">
          <cell r="P380">
            <v>54.5</v>
          </cell>
        </row>
        <row r="380">
          <cell r="V380">
            <v>43.5</v>
          </cell>
        </row>
        <row r="380">
          <cell r="AE380">
            <v>50</v>
          </cell>
        </row>
        <row r="381">
          <cell r="C381">
            <v>8</v>
          </cell>
          <cell r="D381">
            <v>442.5</v>
          </cell>
        </row>
        <row r="381">
          <cell r="G381">
            <v>94</v>
          </cell>
        </row>
        <row r="381">
          <cell r="J381">
            <v>74.5</v>
          </cell>
        </row>
        <row r="381">
          <cell r="M381">
            <v>111</v>
          </cell>
        </row>
        <row r="381">
          <cell r="P381">
            <v>62.5</v>
          </cell>
        </row>
        <row r="381">
          <cell r="V381">
            <v>51</v>
          </cell>
        </row>
        <row r="381">
          <cell r="AE381">
            <v>49.5</v>
          </cell>
        </row>
        <row r="382">
          <cell r="C382">
            <v>8</v>
          </cell>
          <cell r="D382">
            <v>471.25</v>
          </cell>
        </row>
        <row r="382">
          <cell r="G382">
            <v>92.75</v>
          </cell>
        </row>
        <row r="382">
          <cell r="J382">
            <v>89.5</v>
          </cell>
        </row>
        <row r="382">
          <cell r="M382">
            <v>112.5</v>
          </cell>
        </row>
        <row r="382">
          <cell r="P382">
            <v>55</v>
          </cell>
        </row>
        <row r="382">
          <cell r="V382">
            <v>58.5</v>
          </cell>
        </row>
        <row r="382">
          <cell r="AE382">
            <v>63</v>
          </cell>
        </row>
        <row r="383">
          <cell r="C383">
            <v>8</v>
          </cell>
          <cell r="D383">
            <v>426.5</v>
          </cell>
        </row>
        <row r="383">
          <cell r="G383">
            <v>110</v>
          </cell>
        </row>
        <row r="383">
          <cell r="J383">
            <v>67</v>
          </cell>
        </row>
        <row r="383">
          <cell r="M383">
            <v>95</v>
          </cell>
        </row>
        <row r="383">
          <cell r="P383">
            <v>52.5</v>
          </cell>
        </row>
        <row r="383">
          <cell r="V383">
            <v>46.5</v>
          </cell>
        </row>
        <row r="383">
          <cell r="AE383">
            <v>55.5</v>
          </cell>
        </row>
        <row r="384">
          <cell r="C384">
            <v>8</v>
          </cell>
          <cell r="D384">
            <v>477</v>
          </cell>
        </row>
        <row r="384">
          <cell r="G384">
            <v>96</v>
          </cell>
        </row>
        <row r="384">
          <cell r="J384">
            <v>83.5</v>
          </cell>
        </row>
        <row r="384">
          <cell r="M384">
            <v>104</v>
          </cell>
        </row>
        <row r="384">
          <cell r="P384">
            <v>63.5</v>
          </cell>
        </row>
        <row r="384">
          <cell r="V384">
            <v>68</v>
          </cell>
        </row>
        <row r="384">
          <cell r="AE384">
            <v>62</v>
          </cell>
        </row>
        <row r="385">
          <cell r="C385">
            <v>8</v>
          </cell>
          <cell r="D385">
            <v>438</v>
          </cell>
        </row>
        <row r="385">
          <cell r="G385">
            <v>105.5</v>
          </cell>
        </row>
        <row r="385">
          <cell r="J385">
            <v>57.5</v>
          </cell>
        </row>
        <row r="385">
          <cell r="M385">
            <v>102</v>
          </cell>
        </row>
        <row r="385">
          <cell r="P385">
            <v>70</v>
          </cell>
        </row>
        <row r="385">
          <cell r="V385">
            <v>58</v>
          </cell>
        </row>
        <row r="385">
          <cell r="AE385">
            <v>45</v>
          </cell>
        </row>
        <row r="386">
          <cell r="C386">
            <v>8</v>
          </cell>
          <cell r="D386">
            <v>462.25</v>
          </cell>
        </row>
        <row r="386">
          <cell r="G386">
            <v>102.5</v>
          </cell>
        </row>
        <row r="386">
          <cell r="J386">
            <v>62</v>
          </cell>
        </row>
        <row r="386">
          <cell r="M386">
            <v>119.5</v>
          </cell>
        </row>
        <row r="386">
          <cell r="P386">
            <v>58.5</v>
          </cell>
        </row>
        <row r="386">
          <cell r="V386">
            <v>60</v>
          </cell>
        </row>
        <row r="386">
          <cell r="AE386">
            <v>59.75</v>
          </cell>
        </row>
        <row r="387">
          <cell r="C387">
            <v>8</v>
          </cell>
          <cell r="D387">
            <v>459.5</v>
          </cell>
        </row>
        <row r="387">
          <cell r="G387">
            <v>99.5</v>
          </cell>
        </row>
        <row r="387">
          <cell r="J387">
            <v>64</v>
          </cell>
        </row>
        <row r="387">
          <cell r="M387">
            <v>103</v>
          </cell>
        </row>
        <row r="387">
          <cell r="P387">
            <v>72</v>
          </cell>
        </row>
        <row r="387">
          <cell r="V387">
            <v>60</v>
          </cell>
        </row>
        <row r="387">
          <cell r="AE387">
            <v>61</v>
          </cell>
        </row>
        <row r="388">
          <cell r="C388">
            <v>8</v>
          </cell>
          <cell r="D388">
            <v>473.75</v>
          </cell>
        </row>
        <row r="388">
          <cell r="G388">
            <v>94.75</v>
          </cell>
        </row>
        <row r="388">
          <cell r="J388">
            <v>98</v>
          </cell>
        </row>
        <row r="388">
          <cell r="M388">
            <v>95.5</v>
          </cell>
        </row>
        <row r="388">
          <cell r="P388">
            <v>70.5</v>
          </cell>
        </row>
        <row r="388">
          <cell r="V388">
            <v>55.5</v>
          </cell>
        </row>
        <row r="388">
          <cell r="AE388">
            <v>59.5</v>
          </cell>
        </row>
        <row r="389">
          <cell r="C389">
            <v>8</v>
          </cell>
          <cell r="D389">
            <v>447.5</v>
          </cell>
        </row>
        <row r="389">
          <cell r="G389">
            <v>88.5</v>
          </cell>
        </row>
        <row r="389">
          <cell r="J389">
            <v>62</v>
          </cell>
        </row>
        <row r="389">
          <cell r="M389">
            <v>110.5</v>
          </cell>
        </row>
        <row r="389">
          <cell r="P389">
            <v>70</v>
          </cell>
        </row>
        <row r="389">
          <cell r="V389">
            <v>61</v>
          </cell>
        </row>
        <row r="389">
          <cell r="AE389">
            <v>55.5</v>
          </cell>
        </row>
        <row r="390">
          <cell r="C390">
            <v>8</v>
          </cell>
          <cell r="D390">
            <v>435</v>
          </cell>
        </row>
        <row r="390">
          <cell r="G390">
            <v>105</v>
          </cell>
        </row>
        <row r="390">
          <cell r="J390">
            <v>59</v>
          </cell>
        </row>
        <row r="390">
          <cell r="M390">
            <v>78.5</v>
          </cell>
        </row>
        <row r="390">
          <cell r="P390">
            <v>59</v>
          </cell>
        </row>
        <row r="390">
          <cell r="V390">
            <v>78</v>
          </cell>
        </row>
        <row r="390">
          <cell r="AE390">
            <v>55.5</v>
          </cell>
        </row>
        <row r="391">
          <cell r="C391">
            <v>8</v>
          </cell>
          <cell r="D391">
            <v>472</v>
          </cell>
        </row>
        <row r="391">
          <cell r="G391">
            <v>105.5</v>
          </cell>
        </row>
        <row r="391">
          <cell r="J391">
            <v>57</v>
          </cell>
        </row>
        <row r="391">
          <cell r="M391">
            <v>112.5</v>
          </cell>
        </row>
        <row r="391">
          <cell r="P391">
            <v>67</v>
          </cell>
        </row>
        <row r="391">
          <cell r="V391">
            <v>64</v>
          </cell>
        </row>
        <row r="391">
          <cell r="AE391">
            <v>66</v>
          </cell>
        </row>
        <row r="392">
          <cell r="C392">
            <v>8</v>
          </cell>
          <cell r="D392">
            <v>382</v>
          </cell>
        </row>
        <row r="392">
          <cell r="G392">
            <v>100.5</v>
          </cell>
        </row>
        <row r="392">
          <cell r="J392">
            <v>61</v>
          </cell>
        </row>
        <row r="392">
          <cell r="M392">
            <v>89</v>
          </cell>
        </row>
        <row r="392">
          <cell r="P392">
            <v>51.5</v>
          </cell>
        </row>
        <row r="392">
          <cell r="V392">
            <v>36</v>
          </cell>
        </row>
        <row r="392">
          <cell r="AE392">
            <v>44</v>
          </cell>
        </row>
        <row r="393">
          <cell r="C393">
            <v>8</v>
          </cell>
          <cell r="D393">
            <v>422</v>
          </cell>
        </row>
        <row r="393">
          <cell r="G393">
            <v>103.5</v>
          </cell>
        </row>
        <row r="393">
          <cell r="J393">
            <v>56</v>
          </cell>
        </row>
        <row r="393">
          <cell r="M393">
            <v>97.5</v>
          </cell>
        </row>
        <row r="393">
          <cell r="P393">
            <v>55</v>
          </cell>
        </row>
        <row r="393">
          <cell r="V393">
            <v>52.5</v>
          </cell>
        </row>
        <row r="393">
          <cell r="AE393">
            <v>57.5</v>
          </cell>
        </row>
        <row r="394">
          <cell r="C394">
            <v>8</v>
          </cell>
          <cell r="D394">
            <v>504.5</v>
          </cell>
        </row>
        <row r="394">
          <cell r="G394">
            <v>107</v>
          </cell>
        </row>
        <row r="394">
          <cell r="J394">
            <v>89</v>
          </cell>
        </row>
        <row r="394">
          <cell r="M394">
            <v>116</v>
          </cell>
        </row>
        <row r="394">
          <cell r="P394">
            <v>69.5</v>
          </cell>
        </row>
        <row r="394">
          <cell r="V394">
            <v>57</v>
          </cell>
        </row>
        <row r="394">
          <cell r="AE394">
            <v>66</v>
          </cell>
        </row>
        <row r="395">
          <cell r="C395">
            <v>8</v>
          </cell>
          <cell r="D395">
            <v>435.75</v>
          </cell>
        </row>
        <row r="395">
          <cell r="G395">
            <v>93.25</v>
          </cell>
        </row>
        <row r="395">
          <cell r="J395">
            <v>88.5</v>
          </cell>
        </row>
        <row r="395">
          <cell r="M395">
            <v>92.5</v>
          </cell>
        </row>
        <row r="395">
          <cell r="P395">
            <v>62.5</v>
          </cell>
        </row>
        <row r="395">
          <cell r="V395">
            <v>56.5</v>
          </cell>
        </row>
        <row r="395">
          <cell r="AE395">
            <v>42.5</v>
          </cell>
        </row>
        <row r="396">
          <cell r="C396">
            <v>8</v>
          </cell>
          <cell r="D396">
            <v>385.5</v>
          </cell>
        </row>
        <row r="396">
          <cell r="G396">
            <v>102</v>
          </cell>
        </row>
        <row r="396">
          <cell r="J396">
            <v>34</v>
          </cell>
        </row>
        <row r="396">
          <cell r="M396">
            <v>101</v>
          </cell>
        </row>
        <row r="396">
          <cell r="P396">
            <v>47</v>
          </cell>
        </row>
        <row r="396">
          <cell r="V396">
            <v>41</v>
          </cell>
        </row>
        <row r="396">
          <cell r="AE396">
            <v>60.5</v>
          </cell>
        </row>
        <row r="397">
          <cell r="C397">
            <v>8</v>
          </cell>
          <cell r="D397">
            <v>394</v>
          </cell>
        </row>
        <row r="397">
          <cell r="G397">
            <v>96</v>
          </cell>
        </row>
        <row r="397">
          <cell r="J397">
            <v>40</v>
          </cell>
        </row>
        <row r="397">
          <cell r="M397">
            <v>89.5</v>
          </cell>
        </row>
        <row r="397">
          <cell r="P397">
            <v>46.5</v>
          </cell>
        </row>
        <row r="397">
          <cell r="V397">
            <v>60</v>
          </cell>
        </row>
        <row r="397">
          <cell r="AE397">
            <v>62</v>
          </cell>
        </row>
        <row r="398">
          <cell r="C398">
            <v>8</v>
          </cell>
          <cell r="D398">
            <v>451.5</v>
          </cell>
        </row>
        <row r="398">
          <cell r="G398">
            <v>99.5</v>
          </cell>
        </row>
        <row r="398">
          <cell r="J398">
            <v>79.5</v>
          </cell>
        </row>
        <row r="398">
          <cell r="M398">
            <v>88.5</v>
          </cell>
        </row>
        <row r="398">
          <cell r="P398">
            <v>67</v>
          </cell>
        </row>
        <row r="398">
          <cell r="V398">
            <v>53.5</v>
          </cell>
        </row>
        <row r="398">
          <cell r="AE398">
            <v>63.5</v>
          </cell>
        </row>
        <row r="399">
          <cell r="C399">
            <v>8</v>
          </cell>
          <cell r="D399">
            <v>397.5</v>
          </cell>
        </row>
        <row r="399">
          <cell r="G399">
            <v>102.5</v>
          </cell>
        </row>
        <row r="399">
          <cell r="J399">
            <v>42.5</v>
          </cell>
        </row>
        <row r="399">
          <cell r="M399">
            <v>118.5</v>
          </cell>
        </row>
        <row r="399">
          <cell r="P399">
            <v>33.5</v>
          </cell>
        </row>
        <row r="399">
          <cell r="V399">
            <v>53</v>
          </cell>
        </row>
        <row r="399">
          <cell r="AE399">
            <v>47.5</v>
          </cell>
        </row>
        <row r="400">
          <cell r="C400">
            <v>8</v>
          </cell>
          <cell r="D400">
            <v>472</v>
          </cell>
        </row>
        <row r="400">
          <cell r="G400">
            <v>112.5</v>
          </cell>
        </row>
        <row r="400">
          <cell r="J400">
            <v>78.5</v>
          </cell>
        </row>
        <row r="400">
          <cell r="M400">
            <v>97.5</v>
          </cell>
        </row>
        <row r="400">
          <cell r="P400">
            <v>70</v>
          </cell>
        </row>
        <row r="400">
          <cell r="V400">
            <v>56.5</v>
          </cell>
        </row>
        <row r="400">
          <cell r="AE400">
            <v>57</v>
          </cell>
        </row>
        <row r="401">
          <cell r="C401">
            <v>8</v>
          </cell>
          <cell r="D401">
            <v>440.75</v>
          </cell>
        </row>
        <row r="401">
          <cell r="G401">
            <v>97.75</v>
          </cell>
        </row>
        <row r="401">
          <cell r="J401">
            <v>60</v>
          </cell>
        </row>
        <row r="401">
          <cell r="M401">
            <v>108</v>
          </cell>
        </row>
        <row r="401">
          <cell r="P401">
            <v>66.5</v>
          </cell>
        </row>
        <row r="401">
          <cell r="V401">
            <v>57.5</v>
          </cell>
        </row>
        <row r="401">
          <cell r="AE401">
            <v>51</v>
          </cell>
        </row>
        <row r="402">
          <cell r="C402">
            <v>8</v>
          </cell>
          <cell r="D402">
            <v>390.75</v>
          </cell>
        </row>
        <row r="402">
          <cell r="G402">
            <v>96.25</v>
          </cell>
        </row>
        <row r="402">
          <cell r="J402">
            <v>56</v>
          </cell>
        </row>
        <row r="402">
          <cell r="M402">
            <v>91</v>
          </cell>
        </row>
        <row r="402">
          <cell r="P402">
            <v>62</v>
          </cell>
        </row>
        <row r="402">
          <cell r="V402">
            <v>49.5</v>
          </cell>
        </row>
        <row r="402">
          <cell r="AE402">
            <v>36</v>
          </cell>
        </row>
        <row r="403">
          <cell r="C403">
            <v>8</v>
          </cell>
          <cell r="D403">
            <v>425</v>
          </cell>
        </row>
        <row r="403">
          <cell r="G403">
            <v>95.5</v>
          </cell>
        </row>
        <row r="403">
          <cell r="J403">
            <v>69.5</v>
          </cell>
        </row>
        <row r="403">
          <cell r="M403">
            <v>96</v>
          </cell>
        </row>
        <row r="403">
          <cell r="P403">
            <v>74</v>
          </cell>
        </row>
        <row r="403">
          <cell r="V403">
            <v>41.5</v>
          </cell>
        </row>
        <row r="403">
          <cell r="AE403">
            <v>48.5</v>
          </cell>
        </row>
        <row r="404">
          <cell r="C404">
            <v>8</v>
          </cell>
          <cell r="D404">
            <v>391.75</v>
          </cell>
        </row>
        <row r="404">
          <cell r="G404">
            <v>105.25</v>
          </cell>
        </row>
        <row r="404">
          <cell r="J404">
            <v>38</v>
          </cell>
        </row>
        <row r="404">
          <cell r="M404">
            <v>86</v>
          </cell>
        </row>
        <row r="404">
          <cell r="P404">
            <v>54</v>
          </cell>
        </row>
        <row r="404">
          <cell r="V404">
            <v>52.5</v>
          </cell>
        </row>
        <row r="404">
          <cell r="AE404">
            <v>56</v>
          </cell>
        </row>
        <row r="405">
          <cell r="C405">
            <v>8</v>
          </cell>
          <cell r="D405">
            <v>376</v>
          </cell>
        </row>
        <row r="405">
          <cell r="G405">
            <v>91</v>
          </cell>
        </row>
        <row r="405">
          <cell r="J405">
            <v>59.5</v>
          </cell>
        </row>
        <row r="405">
          <cell r="M405">
            <v>82.5</v>
          </cell>
        </row>
        <row r="405">
          <cell r="P405">
            <v>53</v>
          </cell>
        </row>
        <row r="405">
          <cell r="V405">
            <v>46</v>
          </cell>
        </row>
        <row r="405">
          <cell r="AE405">
            <v>44</v>
          </cell>
        </row>
        <row r="406">
          <cell r="C406">
            <v>8</v>
          </cell>
          <cell r="D406">
            <v>370.5</v>
          </cell>
        </row>
        <row r="406">
          <cell r="G406">
            <v>104</v>
          </cell>
        </row>
        <row r="406">
          <cell r="J406">
            <v>49</v>
          </cell>
        </row>
        <row r="406">
          <cell r="M406">
            <v>86</v>
          </cell>
        </row>
        <row r="406">
          <cell r="P406">
            <v>42</v>
          </cell>
        </row>
        <row r="406">
          <cell r="V406">
            <v>46.5</v>
          </cell>
        </row>
        <row r="406">
          <cell r="AE406">
            <v>43</v>
          </cell>
        </row>
        <row r="407">
          <cell r="C407">
            <v>8</v>
          </cell>
          <cell r="D407">
            <v>430.5</v>
          </cell>
        </row>
        <row r="407">
          <cell r="G407">
            <v>100.5</v>
          </cell>
        </row>
        <row r="407">
          <cell r="J407">
            <v>73.5</v>
          </cell>
        </row>
        <row r="407">
          <cell r="M407">
            <v>89</v>
          </cell>
        </row>
        <row r="407">
          <cell r="P407">
            <v>68.5</v>
          </cell>
        </row>
        <row r="407">
          <cell r="V407">
            <v>58</v>
          </cell>
        </row>
        <row r="407">
          <cell r="AE407">
            <v>41</v>
          </cell>
        </row>
        <row r="408">
          <cell r="C408">
            <v>8</v>
          </cell>
          <cell r="D408">
            <v>407.5</v>
          </cell>
        </row>
        <row r="408">
          <cell r="G408">
            <v>96.5</v>
          </cell>
        </row>
        <row r="408">
          <cell r="J408">
            <v>79.5</v>
          </cell>
        </row>
        <row r="408">
          <cell r="M408">
            <v>48.5</v>
          </cell>
        </row>
        <row r="408">
          <cell r="P408">
            <v>75.5</v>
          </cell>
        </row>
        <row r="408">
          <cell r="V408">
            <v>51</v>
          </cell>
        </row>
        <row r="408">
          <cell r="AE408">
            <v>56.5</v>
          </cell>
        </row>
        <row r="409">
          <cell r="C409">
            <v>8</v>
          </cell>
          <cell r="D409">
            <v>390</v>
          </cell>
        </row>
        <row r="409">
          <cell r="G409">
            <v>103</v>
          </cell>
        </row>
        <row r="409">
          <cell r="J409">
            <v>40.5</v>
          </cell>
        </row>
        <row r="409">
          <cell r="M409">
            <v>107.5</v>
          </cell>
        </row>
        <row r="409">
          <cell r="P409">
            <v>43.5</v>
          </cell>
        </row>
        <row r="409">
          <cell r="V409">
            <v>38</v>
          </cell>
        </row>
        <row r="409">
          <cell r="AE409">
            <v>57.5</v>
          </cell>
        </row>
        <row r="410">
          <cell r="C410">
            <v>8</v>
          </cell>
          <cell r="D410">
            <v>413</v>
          </cell>
        </row>
        <row r="410">
          <cell r="G410">
            <v>101.5</v>
          </cell>
        </row>
        <row r="410">
          <cell r="J410">
            <v>58.5</v>
          </cell>
        </row>
        <row r="410">
          <cell r="M410">
            <v>100</v>
          </cell>
        </row>
        <row r="410">
          <cell r="P410">
            <v>57.5</v>
          </cell>
        </row>
        <row r="410">
          <cell r="V410">
            <v>45</v>
          </cell>
        </row>
        <row r="410">
          <cell r="AE410">
            <v>50.5</v>
          </cell>
        </row>
        <row r="411">
          <cell r="C411">
            <v>8</v>
          </cell>
          <cell r="D411">
            <v>273</v>
          </cell>
        </row>
        <row r="411">
          <cell r="G411">
            <v>97</v>
          </cell>
        </row>
        <row r="411">
          <cell r="J411">
            <v>36</v>
          </cell>
        </row>
        <row r="411">
          <cell r="P411">
            <v>43</v>
          </cell>
        </row>
        <row r="411">
          <cell r="V411">
            <v>41</v>
          </cell>
        </row>
        <row r="411">
          <cell r="AE411">
            <v>56</v>
          </cell>
        </row>
        <row r="412">
          <cell r="C412">
            <v>8</v>
          </cell>
          <cell r="D412">
            <v>416.5</v>
          </cell>
        </row>
        <row r="412">
          <cell r="G412">
            <v>110.5</v>
          </cell>
        </row>
        <row r="412">
          <cell r="J412">
            <v>82</v>
          </cell>
        </row>
        <row r="412">
          <cell r="M412">
            <v>85</v>
          </cell>
        </row>
        <row r="412">
          <cell r="P412">
            <v>45.5</v>
          </cell>
        </row>
        <row r="412">
          <cell r="V412">
            <v>38</v>
          </cell>
        </row>
        <row r="412">
          <cell r="AE412">
            <v>55.5</v>
          </cell>
        </row>
        <row r="413">
          <cell r="C413">
            <v>8</v>
          </cell>
          <cell r="D413">
            <v>395</v>
          </cell>
        </row>
        <row r="413">
          <cell r="G413">
            <v>105</v>
          </cell>
        </row>
        <row r="413">
          <cell r="J413">
            <v>72.5</v>
          </cell>
        </row>
        <row r="413">
          <cell r="M413">
            <v>82.5</v>
          </cell>
        </row>
        <row r="413">
          <cell r="P413">
            <v>46.5</v>
          </cell>
        </row>
        <row r="413">
          <cell r="V413">
            <v>46</v>
          </cell>
        </row>
        <row r="413">
          <cell r="AE413">
            <v>42.5</v>
          </cell>
        </row>
        <row r="414">
          <cell r="C414">
            <v>8</v>
          </cell>
          <cell r="D414">
            <v>373.5</v>
          </cell>
        </row>
        <row r="414">
          <cell r="G414">
            <v>95</v>
          </cell>
        </row>
        <row r="414">
          <cell r="J414">
            <v>50</v>
          </cell>
        </row>
        <row r="414">
          <cell r="M414">
            <v>90.5</v>
          </cell>
        </row>
        <row r="414">
          <cell r="P414">
            <v>33.5</v>
          </cell>
        </row>
        <row r="414">
          <cell r="V414">
            <v>43</v>
          </cell>
        </row>
        <row r="414">
          <cell r="AE414">
            <v>61.5</v>
          </cell>
        </row>
        <row r="415">
          <cell r="C415">
            <v>8</v>
          </cell>
          <cell r="D415">
            <v>410.5</v>
          </cell>
        </row>
        <row r="415">
          <cell r="G415">
            <v>87</v>
          </cell>
        </row>
        <row r="415">
          <cell r="J415">
            <v>56.5</v>
          </cell>
        </row>
        <row r="415">
          <cell r="M415">
            <v>85</v>
          </cell>
        </row>
        <row r="415">
          <cell r="P415">
            <v>67.5</v>
          </cell>
        </row>
        <row r="415">
          <cell r="V415">
            <v>60</v>
          </cell>
        </row>
        <row r="415">
          <cell r="AE415">
            <v>54.5</v>
          </cell>
        </row>
        <row r="416">
          <cell r="C416">
            <v>9</v>
          </cell>
          <cell r="D416">
            <v>439.5</v>
          </cell>
        </row>
        <row r="416">
          <cell r="G416">
            <v>101</v>
          </cell>
        </row>
        <row r="416">
          <cell r="J416">
            <v>58</v>
          </cell>
        </row>
        <row r="416">
          <cell r="M416">
            <v>113</v>
          </cell>
        </row>
        <row r="416">
          <cell r="P416">
            <v>72.5</v>
          </cell>
        </row>
        <row r="416">
          <cell r="V416">
            <v>50</v>
          </cell>
        </row>
        <row r="416">
          <cell r="AE416">
            <v>45</v>
          </cell>
        </row>
        <row r="417">
          <cell r="C417">
            <v>9</v>
          </cell>
          <cell r="D417">
            <v>423</v>
          </cell>
        </row>
        <row r="417">
          <cell r="G417">
            <v>103.5</v>
          </cell>
        </row>
        <row r="417">
          <cell r="J417">
            <v>75.5</v>
          </cell>
        </row>
        <row r="417">
          <cell r="M417">
            <v>93.5</v>
          </cell>
        </row>
        <row r="417">
          <cell r="P417">
            <v>46.5</v>
          </cell>
        </row>
        <row r="417">
          <cell r="V417">
            <v>47.5</v>
          </cell>
        </row>
        <row r="417">
          <cell r="AE417">
            <v>56.5</v>
          </cell>
        </row>
        <row r="418">
          <cell r="C418">
            <v>9</v>
          </cell>
          <cell r="D418">
            <v>442</v>
          </cell>
        </row>
        <row r="418">
          <cell r="G418">
            <v>98.5</v>
          </cell>
        </row>
        <row r="418">
          <cell r="J418">
            <v>52.5</v>
          </cell>
        </row>
        <row r="418">
          <cell r="M418">
            <v>123.5</v>
          </cell>
        </row>
        <row r="418">
          <cell r="P418">
            <v>59.5</v>
          </cell>
        </row>
        <row r="418">
          <cell r="V418">
            <v>47</v>
          </cell>
        </row>
        <row r="418">
          <cell r="AE418">
            <v>61</v>
          </cell>
        </row>
        <row r="419">
          <cell r="C419">
            <v>9</v>
          </cell>
          <cell r="D419">
            <v>530.5</v>
          </cell>
        </row>
        <row r="419">
          <cell r="G419">
            <v>107.5</v>
          </cell>
        </row>
        <row r="419">
          <cell r="J419">
            <v>98.5</v>
          </cell>
        </row>
        <row r="419">
          <cell r="M419">
            <v>131</v>
          </cell>
        </row>
        <row r="419">
          <cell r="P419">
            <v>60</v>
          </cell>
        </row>
        <row r="419">
          <cell r="V419">
            <v>68</v>
          </cell>
        </row>
        <row r="419">
          <cell r="AE419">
            <v>65.5</v>
          </cell>
        </row>
        <row r="420">
          <cell r="C420">
            <v>9</v>
          </cell>
          <cell r="D420">
            <v>494</v>
          </cell>
        </row>
        <row r="420">
          <cell r="G420">
            <v>98.5</v>
          </cell>
        </row>
        <row r="420">
          <cell r="J420">
            <v>85</v>
          </cell>
        </row>
        <row r="420">
          <cell r="M420">
            <v>110.5</v>
          </cell>
        </row>
        <row r="420">
          <cell r="P420">
            <v>73.5</v>
          </cell>
        </row>
        <row r="420">
          <cell r="V420">
            <v>67.5</v>
          </cell>
        </row>
        <row r="420">
          <cell r="AE420">
            <v>59</v>
          </cell>
        </row>
        <row r="421">
          <cell r="C421">
            <v>9</v>
          </cell>
          <cell r="D421">
            <v>448</v>
          </cell>
        </row>
        <row r="421">
          <cell r="G421">
            <v>105.5</v>
          </cell>
        </row>
        <row r="421">
          <cell r="J421">
            <v>75</v>
          </cell>
        </row>
        <row r="421">
          <cell r="M421">
            <v>103.5</v>
          </cell>
        </row>
        <row r="421">
          <cell r="P421">
            <v>42.5</v>
          </cell>
        </row>
        <row r="421">
          <cell r="V421">
            <v>65</v>
          </cell>
        </row>
        <row r="421">
          <cell r="AE421">
            <v>56.5</v>
          </cell>
        </row>
        <row r="422">
          <cell r="C422">
            <v>9</v>
          </cell>
          <cell r="D422">
            <v>494.75</v>
          </cell>
        </row>
        <row r="422">
          <cell r="G422">
            <v>109.25</v>
          </cell>
        </row>
        <row r="422">
          <cell r="J422">
            <v>72</v>
          </cell>
        </row>
        <row r="422">
          <cell r="M422">
            <v>128.5</v>
          </cell>
        </row>
        <row r="422">
          <cell r="P422">
            <v>48</v>
          </cell>
        </row>
        <row r="422">
          <cell r="V422">
            <v>79.5</v>
          </cell>
        </row>
        <row r="422">
          <cell r="AE422">
            <v>57.5</v>
          </cell>
        </row>
        <row r="423">
          <cell r="C423">
            <v>9</v>
          </cell>
          <cell r="D423">
            <v>415.5</v>
          </cell>
        </row>
        <row r="423">
          <cell r="G423">
            <v>87</v>
          </cell>
        </row>
        <row r="423">
          <cell r="J423">
            <v>50</v>
          </cell>
        </row>
        <row r="423">
          <cell r="M423">
            <v>98.5</v>
          </cell>
        </row>
        <row r="423">
          <cell r="P423">
            <v>69.5</v>
          </cell>
        </row>
        <row r="423">
          <cell r="V423">
            <v>55</v>
          </cell>
        </row>
        <row r="423">
          <cell r="AE423">
            <v>55.5</v>
          </cell>
        </row>
        <row r="424">
          <cell r="C424">
            <v>9</v>
          </cell>
          <cell r="D424">
            <v>440.5</v>
          </cell>
        </row>
        <row r="424">
          <cell r="G424">
            <v>108.5</v>
          </cell>
        </row>
        <row r="424">
          <cell r="J424">
            <v>59.5</v>
          </cell>
        </row>
        <row r="424">
          <cell r="M424">
            <v>112.5</v>
          </cell>
        </row>
        <row r="424">
          <cell r="P424">
            <v>59</v>
          </cell>
        </row>
        <row r="424">
          <cell r="V424">
            <v>52.5</v>
          </cell>
        </row>
        <row r="424">
          <cell r="AE424">
            <v>48.5</v>
          </cell>
        </row>
        <row r="425">
          <cell r="C425">
            <v>9</v>
          </cell>
          <cell r="D425">
            <v>455</v>
          </cell>
        </row>
        <row r="425">
          <cell r="G425">
            <v>112</v>
          </cell>
        </row>
        <row r="425">
          <cell r="J425">
            <v>84.5</v>
          </cell>
        </row>
        <row r="425">
          <cell r="M425">
            <v>109</v>
          </cell>
        </row>
        <row r="425">
          <cell r="P425">
            <v>50.5</v>
          </cell>
        </row>
        <row r="425">
          <cell r="V425">
            <v>57.5</v>
          </cell>
        </row>
        <row r="425">
          <cell r="AE425">
            <v>41.5</v>
          </cell>
        </row>
        <row r="426">
          <cell r="C426">
            <v>9</v>
          </cell>
          <cell r="D426">
            <v>433.75</v>
          </cell>
        </row>
        <row r="426">
          <cell r="G426">
            <v>112.75</v>
          </cell>
        </row>
        <row r="426">
          <cell r="J426">
            <v>57</v>
          </cell>
        </row>
        <row r="426">
          <cell r="M426">
            <v>111</v>
          </cell>
        </row>
        <row r="426">
          <cell r="P426">
            <v>54.5</v>
          </cell>
        </row>
        <row r="426">
          <cell r="V426">
            <v>54</v>
          </cell>
        </row>
        <row r="426">
          <cell r="AE426">
            <v>44.5</v>
          </cell>
        </row>
        <row r="427">
          <cell r="C427">
            <v>9</v>
          </cell>
          <cell r="D427">
            <v>472.75</v>
          </cell>
        </row>
        <row r="427">
          <cell r="G427">
            <v>103.5</v>
          </cell>
        </row>
        <row r="427">
          <cell r="J427">
            <v>69</v>
          </cell>
        </row>
        <row r="427">
          <cell r="M427">
            <v>113.25</v>
          </cell>
        </row>
        <row r="427">
          <cell r="P427">
            <v>61.5</v>
          </cell>
        </row>
        <row r="427">
          <cell r="V427">
            <v>54</v>
          </cell>
        </row>
        <row r="427">
          <cell r="AE427">
            <v>71.5</v>
          </cell>
        </row>
        <row r="428">
          <cell r="C428">
            <v>9</v>
          </cell>
          <cell r="D428">
            <v>468.75</v>
          </cell>
        </row>
        <row r="428">
          <cell r="G428">
            <v>106.25</v>
          </cell>
        </row>
        <row r="428">
          <cell r="J428">
            <v>66.5</v>
          </cell>
        </row>
        <row r="428">
          <cell r="M428">
            <v>111</v>
          </cell>
        </row>
        <row r="428">
          <cell r="P428">
            <v>63.5</v>
          </cell>
        </row>
        <row r="428">
          <cell r="V428">
            <v>66.5</v>
          </cell>
        </row>
        <row r="428">
          <cell r="AE428">
            <v>55</v>
          </cell>
        </row>
        <row r="429">
          <cell r="C429">
            <v>9</v>
          </cell>
          <cell r="D429">
            <v>447</v>
          </cell>
        </row>
        <row r="429">
          <cell r="G429">
            <v>110</v>
          </cell>
        </row>
        <row r="429">
          <cell r="J429">
            <v>66.5</v>
          </cell>
        </row>
        <row r="429">
          <cell r="M429">
            <v>111</v>
          </cell>
        </row>
        <row r="429">
          <cell r="P429">
            <v>41</v>
          </cell>
        </row>
        <row r="429">
          <cell r="V429">
            <v>61</v>
          </cell>
        </row>
        <row r="429">
          <cell r="AE429">
            <v>57.5</v>
          </cell>
        </row>
        <row r="430">
          <cell r="C430">
            <v>9</v>
          </cell>
          <cell r="D430">
            <v>421.25</v>
          </cell>
        </row>
        <row r="430">
          <cell r="G430">
            <v>96</v>
          </cell>
        </row>
        <row r="430">
          <cell r="J430">
            <v>61.25</v>
          </cell>
        </row>
        <row r="430">
          <cell r="M430">
            <v>107</v>
          </cell>
        </row>
        <row r="430">
          <cell r="P430">
            <v>43</v>
          </cell>
        </row>
        <row r="430">
          <cell r="V430">
            <v>55.5</v>
          </cell>
        </row>
        <row r="430">
          <cell r="AE430">
            <v>58.5</v>
          </cell>
        </row>
        <row r="431">
          <cell r="C431">
            <v>9</v>
          </cell>
          <cell r="D431">
            <v>441</v>
          </cell>
        </row>
        <row r="431">
          <cell r="G431">
            <v>104</v>
          </cell>
        </row>
        <row r="431">
          <cell r="J431">
            <v>92.5</v>
          </cell>
        </row>
        <row r="431">
          <cell r="M431">
            <v>96.5</v>
          </cell>
        </row>
        <row r="431">
          <cell r="P431">
            <v>50.5</v>
          </cell>
        </row>
        <row r="431">
          <cell r="V431">
            <v>43</v>
          </cell>
        </row>
        <row r="431">
          <cell r="AE431">
            <v>54.5</v>
          </cell>
        </row>
        <row r="432">
          <cell r="C432">
            <v>9</v>
          </cell>
          <cell r="D432">
            <v>433</v>
          </cell>
        </row>
        <row r="432">
          <cell r="G432">
            <v>100</v>
          </cell>
        </row>
        <row r="432">
          <cell r="J432">
            <v>76.5</v>
          </cell>
        </row>
        <row r="432">
          <cell r="M432">
            <v>96</v>
          </cell>
        </row>
        <row r="432">
          <cell r="P432">
            <v>64.5</v>
          </cell>
        </row>
        <row r="432">
          <cell r="V432">
            <v>49.5</v>
          </cell>
        </row>
        <row r="432">
          <cell r="AE432">
            <v>46.5</v>
          </cell>
        </row>
        <row r="433">
          <cell r="C433">
            <v>9</v>
          </cell>
          <cell r="D433">
            <v>532.5</v>
          </cell>
        </row>
        <row r="433">
          <cell r="G433">
            <v>113.5</v>
          </cell>
        </row>
        <row r="433">
          <cell r="J433">
            <v>96</v>
          </cell>
        </row>
        <row r="433">
          <cell r="M433">
            <v>123.5</v>
          </cell>
        </row>
        <row r="433">
          <cell r="P433">
            <v>78.5</v>
          </cell>
        </row>
        <row r="433">
          <cell r="V433">
            <v>56</v>
          </cell>
        </row>
        <row r="433">
          <cell r="AE433">
            <v>65</v>
          </cell>
        </row>
        <row r="434">
          <cell r="C434">
            <v>9</v>
          </cell>
          <cell r="D434">
            <v>351.5</v>
          </cell>
        </row>
        <row r="434">
          <cell r="G434">
            <v>102.5</v>
          </cell>
        </row>
        <row r="434">
          <cell r="J434">
            <v>48</v>
          </cell>
        </row>
        <row r="434">
          <cell r="M434">
            <v>90.5</v>
          </cell>
        </row>
        <row r="434">
          <cell r="P434">
            <v>29.5</v>
          </cell>
        </row>
        <row r="434">
          <cell r="V434">
            <v>40.5</v>
          </cell>
        </row>
        <row r="434">
          <cell r="AE434">
            <v>40.5</v>
          </cell>
        </row>
        <row r="435">
          <cell r="C435">
            <v>9</v>
          </cell>
          <cell r="D435">
            <v>400</v>
          </cell>
        </row>
        <row r="435">
          <cell r="G435">
            <v>110</v>
          </cell>
        </row>
        <row r="435">
          <cell r="J435">
            <v>45.5</v>
          </cell>
        </row>
        <row r="435">
          <cell r="M435">
            <v>105</v>
          </cell>
        </row>
        <row r="435">
          <cell r="P435">
            <v>27.5</v>
          </cell>
        </row>
        <row r="435">
          <cell r="V435">
            <v>52.5</v>
          </cell>
        </row>
        <row r="435">
          <cell r="AE435">
            <v>59.5</v>
          </cell>
        </row>
        <row r="436">
          <cell r="C436">
            <v>9</v>
          </cell>
          <cell r="D436">
            <v>428.5</v>
          </cell>
        </row>
        <row r="436">
          <cell r="G436">
            <v>96</v>
          </cell>
        </row>
        <row r="436">
          <cell r="J436">
            <v>60.5</v>
          </cell>
        </row>
        <row r="436">
          <cell r="M436">
            <v>103.5</v>
          </cell>
        </row>
        <row r="436">
          <cell r="P436">
            <v>53.5</v>
          </cell>
        </row>
        <row r="436">
          <cell r="V436">
            <v>60.5</v>
          </cell>
        </row>
        <row r="436">
          <cell r="AE436">
            <v>54.5</v>
          </cell>
        </row>
        <row r="437">
          <cell r="C437">
            <v>9</v>
          </cell>
          <cell r="D437">
            <v>416.5</v>
          </cell>
        </row>
        <row r="437">
          <cell r="G437">
            <v>106.5</v>
          </cell>
        </row>
        <row r="437">
          <cell r="J437">
            <v>70</v>
          </cell>
        </row>
        <row r="437">
          <cell r="M437">
            <v>96</v>
          </cell>
        </row>
        <row r="437">
          <cell r="P437">
            <v>48.5</v>
          </cell>
        </row>
        <row r="437">
          <cell r="V437">
            <v>44.5</v>
          </cell>
        </row>
        <row r="437">
          <cell r="AE437">
            <v>51</v>
          </cell>
        </row>
        <row r="438">
          <cell r="C438">
            <v>9</v>
          </cell>
          <cell r="D438">
            <v>458</v>
          </cell>
        </row>
        <row r="438">
          <cell r="G438">
            <v>91</v>
          </cell>
        </row>
        <row r="438">
          <cell r="J438">
            <v>64.5</v>
          </cell>
        </row>
        <row r="438">
          <cell r="M438">
            <v>99.5</v>
          </cell>
        </row>
        <row r="438">
          <cell r="P438">
            <v>71.5</v>
          </cell>
        </row>
        <row r="438">
          <cell r="V438">
            <v>68</v>
          </cell>
        </row>
        <row r="438">
          <cell r="AE438">
            <v>63.5</v>
          </cell>
        </row>
        <row r="439">
          <cell r="C439">
            <v>9</v>
          </cell>
          <cell r="D439">
            <v>477.5</v>
          </cell>
        </row>
        <row r="439">
          <cell r="G439">
            <v>99</v>
          </cell>
        </row>
        <row r="439">
          <cell r="J439">
            <v>79</v>
          </cell>
        </row>
        <row r="439">
          <cell r="M439">
            <v>116.5</v>
          </cell>
        </row>
        <row r="439">
          <cell r="P439">
            <v>67</v>
          </cell>
        </row>
        <row r="439">
          <cell r="V439">
            <v>51</v>
          </cell>
        </row>
        <row r="439">
          <cell r="AE439">
            <v>65</v>
          </cell>
        </row>
        <row r="440">
          <cell r="C440">
            <v>9</v>
          </cell>
          <cell r="D440">
            <v>456.5</v>
          </cell>
        </row>
        <row r="440">
          <cell r="G440">
            <v>97</v>
          </cell>
        </row>
        <row r="440">
          <cell r="J440">
            <v>100</v>
          </cell>
        </row>
        <row r="440">
          <cell r="M440">
            <v>96.5</v>
          </cell>
        </row>
        <row r="440">
          <cell r="P440">
            <v>55</v>
          </cell>
        </row>
        <row r="440">
          <cell r="V440">
            <v>50</v>
          </cell>
        </row>
        <row r="440">
          <cell r="AE440">
            <v>58</v>
          </cell>
        </row>
        <row r="441">
          <cell r="C441">
            <v>9</v>
          </cell>
          <cell r="D441">
            <v>453.5</v>
          </cell>
        </row>
        <row r="441">
          <cell r="G441">
            <v>105</v>
          </cell>
        </row>
        <row r="441">
          <cell r="J441">
            <v>66.5</v>
          </cell>
        </row>
        <row r="441">
          <cell r="M441">
            <v>102.5</v>
          </cell>
        </row>
        <row r="441">
          <cell r="P441">
            <v>62</v>
          </cell>
        </row>
        <row r="441">
          <cell r="V441">
            <v>52.5</v>
          </cell>
        </row>
        <row r="441">
          <cell r="AE441">
            <v>65</v>
          </cell>
        </row>
        <row r="442">
          <cell r="C442">
            <v>9</v>
          </cell>
          <cell r="D442">
            <v>434</v>
          </cell>
        </row>
        <row r="442">
          <cell r="G442">
            <v>110</v>
          </cell>
        </row>
        <row r="442">
          <cell r="J442">
            <v>68</v>
          </cell>
        </row>
        <row r="442">
          <cell r="M442">
            <v>97</v>
          </cell>
        </row>
        <row r="442">
          <cell r="P442">
            <v>58.5</v>
          </cell>
        </row>
        <row r="442">
          <cell r="V442">
            <v>52.5</v>
          </cell>
        </row>
        <row r="442">
          <cell r="AE442">
            <v>48</v>
          </cell>
        </row>
        <row r="443">
          <cell r="C443">
            <v>9</v>
          </cell>
          <cell r="D443">
            <v>466.5</v>
          </cell>
        </row>
        <row r="443">
          <cell r="G443">
            <v>109</v>
          </cell>
        </row>
        <row r="443">
          <cell r="J443">
            <v>75</v>
          </cell>
        </row>
        <row r="443">
          <cell r="M443">
            <v>127.5</v>
          </cell>
        </row>
        <row r="443">
          <cell r="P443">
            <v>53</v>
          </cell>
        </row>
        <row r="443">
          <cell r="V443">
            <v>55</v>
          </cell>
        </row>
        <row r="443">
          <cell r="AE443">
            <v>47</v>
          </cell>
        </row>
        <row r="444">
          <cell r="C444">
            <v>9</v>
          </cell>
          <cell r="D444">
            <v>373.5</v>
          </cell>
        </row>
        <row r="444">
          <cell r="G444">
            <v>95</v>
          </cell>
        </row>
        <row r="444">
          <cell r="J444">
            <v>64</v>
          </cell>
        </row>
        <row r="444">
          <cell r="M444">
            <v>86</v>
          </cell>
        </row>
        <row r="444">
          <cell r="P444">
            <v>52</v>
          </cell>
        </row>
        <row r="444">
          <cell r="V444">
            <v>33.5</v>
          </cell>
        </row>
        <row r="444">
          <cell r="AE444">
            <v>43</v>
          </cell>
        </row>
        <row r="445">
          <cell r="C445">
            <v>9</v>
          </cell>
          <cell r="D445">
            <v>396.5</v>
          </cell>
        </row>
        <row r="445">
          <cell r="G445">
            <v>96</v>
          </cell>
        </row>
        <row r="445">
          <cell r="J445">
            <v>55</v>
          </cell>
        </row>
        <row r="445">
          <cell r="M445">
            <v>100.5</v>
          </cell>
        </row>
        <row r="445">
          <cell r="P445">
            <v>43.5</v>
          </cell>
        </row>
        <row r="445">
          <cell r="V445">
            <v>52</v>
          </cell>
        </row>
        <row r="445">
          <cell r="AE445">
            <v>49.5</v>
          </cell>
        </row>
        <row r="446">
          <cell r="C446">
            <v>9</v>
          </cell>
          <cell r="D446">
            <v>407.25</v>
          </cell>
        </row>
        <row r="446">
          <cell r="G446">
            <v>108.75</v>
          </cell>
        </row>
        <row r="446">
          <cell r="J446">
            <v>59</v>
          </cell>
        </row>
        <row r="446">
          <cell r="M446">
            <v>114</v>
          </cell>
        </row>
        <row r="446">
          <cell r="P446">
            <v>32</v>
          </cell>
        </row>
        <row r="446">
          <cell r="V446">
            <v>36</v>
          </cell>
        </row>
        <row r="446">
          <cell r="AE446">
            <v>57.5</v>
          </cell>
        </row>
        <row r="447">
          <cell r="C447">
            <v>9</v>
          </cell>
          <cell r="D447">
            <v>366.5</v>
          </cell>
        </row>
        <row r="447">
          <cell r="G447">
            <v>110</v>
          </cell>
        </row>
        <row r="447">
          <cell r="J447">
            <v>51</v>
          </cell>
        </row>
        <row r="447">
          <cell r="M447">
            <v>83</v>
          </cell>
        </row>
        <row r="447">
          <cell r="P447">
            <v>30.5</v>
          </cell>
        </row>
        <row r="447">
          <cell r="V447">
            <v>45</v>
          </cell>
        </row>
        <row r="447">
          <cell r="AE447">
            <v>47</v>
          </cell>
        </row>
        <row r="448">
          <cell r="C448">
            <v>9</v>
          </cell>
          <cell r="D448">
            <v>436</v>
          </cell>
        </row>
        <row r="448">
          <cell r="G448">
            <v>88.5</v>
          </cell>
        </row>
        <row r="448">
          <cell r="J448">
            <v>77.5</v>
          </cell>
        </row>
        <row r="448">
          <cell r="M448">
            <v>92</v>
          </cell>
        </row>
        <row r="448">
          <cell r="P448">
            <v>74</v>
          </cell>
        </row>
        <row r="448">
          <cell r="V448">
            <v>52</v>
          </cell>
        </row>
        <row r="448">
          <cell r="AE448">
            <v>52</v>
          </cell>
        </row>
        <row r="449">
          <cell r="C449">
            <v>9</v>
          </cell>
          <cell r="D449">
            <v>375</v>
          </cell>
        </row>
        <row r="449">
          <cell r="G449">
            <v>95.5</v>
          </cell>
        </row>
        <row r="449">
          <cell r="J449">
            <v>58.5</v>
          </cell>
        </row>
        <row r="449">
          <cell r="M449">
            <v>91</v>
          </cell>
        </row>
        <row r="449">
          <cell r="P449">
            <v>43.5</v>
          </cell>
        </row>
        <row r="449">
          <cell r="V449">
            <v>48</v>
          </cell>
        </row>
        <row r="449">
          <cell r="AE449">
            <v>38.5</v>
          </cell>
        </row>
        <row r="450">
          <cell r="C450">
            <v>9</v>
          </cell>
          <cell r="D450">
            <v>369.5</v>
          </cell>
        </row>
        <row r="450">
          <cell r="G450">
            <v>94.5</v>
          </cell>
        </row>
        <row r="450">
          <cell r="J450">
            <v>49.5</v>
          </cell>
        </row>
        <row r="450">
          <cell r="M450">
            <v>90.5</v>
          </cell>
        </row>
        <row r="450">
          <cell r="P450">
            <v>48.5</v>
          </cell>
        </row>
        <row r="450">
          <cell r="V450">
            <v>41</v>
          </cell>
        </row>
        <row r="450">
          <cell r="AE450">
            <v>45.5</v>
          </cell>
        </row>
        <row r="451">
          <cell r="C451">
            <v>9</v>
          </cell>
        </row>
        <row r="452">
          <cell r="C452">
            <v>9</v>
          </cell>
          <cell r="D452">
            <v>413</v>
          </cell>
        </row>
        <row r="452">
          <cell r="G452">
            <v>108</v>
          </cell>
        </row>
        <row r="452">
          <cell r="J452">
            <v>49</v>
          </cell>
        </row>
        <row r="452">
          <cell r="M452">
            <v>108</v>
          </cell>
        </row>
        <row r="452">
          <cell r="P452">
            <v>43.5</v>
          </cell>
        </row>
        <row r="452">
          <cell r="V452">
            <v>47.5</v>
          </cell>
        </row>
        <row r="452">
          <cell r="AE452">
            <v>57</v>
          </cell>
        </row>
        <row r="453">
          <cell r="C453">
            <v>9</v>
          </cell>
          <cell r="D453">
            <v>371</v>
          </cell>
        </row>
        <row r="453">
          <cell r="G453">
            <v>112</v>
          </cell>
        </row>
        <row r="453">
          <cell r="J453">
            <v>49.5</v>
          </cell>
        </row>
        <row r="453">
          <cell r="M453">
            <v>80</v>
          </cell>
        </row>
        <row r="453">
          <cell r="P453">
            <v>37.5</v>
          </cell>
        </row>
        <row r="453">
          <cell r="V453">
            <v>49.5</v>
          </cell>
        </row>
        <row r="453">
          <cell r="AE453">
            <v>42.5</v>
          </cell>
        </row>
        <row r="454">
          <cell r="C454">
            <v>9</v>
          </cell>
          <cell r="D454">
            <v>462</v>
          </cell>
        </row>
        <row r="454">
          <cell r="G454">
            <v>101.5</v>
          </cell>
        </row>
        <row r="454">
          <cell r="J454">
            <v>81.5</v>
          </cell>
        </row>
        <row r="454">
          <cell r="M454">
            <v>108.5</v>
          </cell>
        </row>
        <row r="454">
          <cell r="P454">
            <v>65.5</v>
          </cell>
        </row>
        <row r="454">
          <cell r="V454">
            <v>52.5</v>
          </cell>
        </row>
        <row r="454">
          <cell r="AE454">
            <v>52.5</v>
          </cell>
        </row>
        <row r="455">
          <cell r="C455">
            <v>9</v>
          </cell>
          <cell r="D455">
            <v>391</v>
          </cell>
        </row>
        <row r="455">
          <cell r="G455">
            <v>94</v>
          </cell>
        </row>
        <row r="455">
          <cell r="J455">
            <v>65</v>
          </cell>
        </row>
        <row r="455">
          <cell r="M455">
            <v>89.5</v>
          </cell>
        </row>
        <row r="455">
          <cell r="P455">
            <v>53</v>
          </cell>
        </row>
        <row r="455">
          <cell r="V455">
            <v>40</v>
          </cell>
        </row>
        <row r="455">
          <cell r="AE455">
            <v>49.5</v>
          </cell>
        </row>
        <row r="456">
          <cell r="C456">
            <v>9</v>
          </cell>
          <cell r="D456">
            <v>403.5</v>
          </cell>
        </row>
        <row r="456">
          <cell r="G456">
            <v>108.5</v>
          </cell>
        </row>
        <row r="456">
          <cell r="J456">
            <v>52.5</v>
          </cell>
        </row>
        <row r="456">
          <cell r="M456">
            <v>111.5</v>
          </cell>
        </row>
        <row r="456">
          <cell r="P456">
            <v>44.5</v>
          </cell>
        </row>
        <row r="456">
          <cell r="V456">
            <v>39.5</v>
          </cell>
        </row>
        <row r="456">
          <cell r="AE456">
            <v>47</v>
          </cell>
        </row>
        <row r="457">
          <cell r="C457">
            <v>9</v>
          </cell>
          <cell r="D457">
            <v>381</v>
          </cell>
        </row>
        <row r="457">
          <cell r="G457">
            <v>106</v>
          </cell>
        </row>
        <row r="457">
          <cell r="J457">
            <v>43</v>
          </cell>
        </row>
        <row r="457">
          <cell r="M457">
            <v>90.5</v>
          </cell>
        </row>
        <row r="457">
          <cell r="P457">
            <v>45.5</v>
          </cell>
        </row>
        <row r="457">
          <cell r="V457">
            <v>45.5</v>
          </cell>
        </row>
        <row r="457">
          <cell r="AE457">
            <v>50.5</v>
          </cell>
        </row>
        <row r="458">
          <cell r="C458">
            <v>9</v>
          </cell>
          <cell r="D458">
            <v>397.5</v>
          </cell>
        </row>
        <row r="458">
          <cell r="G458">
            <v>96.5</v>
          </cell>
        </row>
        <row r="458">
          <cell r="J458">
            <v>39.5</v>
          </cell>
        </row>
        <row r="458">
          <cell r="M458">
            <v>93.5</v>
          </cell>
        </row>
        <row r="458">
          <cell r="P458">
            <v>50.5</v>
          </cell>
        </row>
        <row r="458">
          <cell r="V458">
            <v>51</v>
          </cell>
        </row>
        <row r="458">
          <cell r="AE458">
            <v>66.5</v>
          </cell>
        </row>
        <row r="459">
          <cell r="C459">
            <v>9</v>
          </cell>
          <cell r="D459">
            <v>383</v>
          </cell>
        </row>
        <row r="459">
          <cell r="G459">
            <v>104.5</v>
          </cell>
        </row>
        <row r="459">
          <cell r="J459">
            <v>52</v>
          </cell>
        </row>
        <row r="459">
          <cell r="M459">
            <v>86.5</v>
          </cell>
        </row>
        <row r="459">
          <cell r="P459">
            <v>50</v>
          </cell>
        </row>
        <row r="459">
          <cell r="V459">
            <v>39.5</v>
          </cell>
        </row>
        <row r="459">
          <cell r="AE459">
            <v>50.5</v>
          </cell>
        </row>
        <row r="460">
          <cell r="C460">
            <v>9</v>
          </cell>
          <cell r="D460">
            <v>404.75</v>
          </cell>
        </row>
        <row r="460">
          <cell r="G460">
            <v>102.25</v>
          </cell>
        </row>
        <row r="460">
          <cell r="J460">
            <v>65.5</v>
          </cell>
        </row>
        <row r="460">
          <cell r="M460">
            <v>97.5</v>
          </cell>
        </row>
        <row r="460">
          <cell r="P460">
            <v>39</v>
          </cell>
        </row>
        <row r="460">
          <cell r="V460">
            <v>56.5</v>
          </cell>
        </row>
        <row r="460">
          <cell r="AE460">
            <v>44</v>
          </cell>
        </row>
        <row r="461">
          <cell r="C461">
            <v>9</v>
          </cell>
          <cell r="D461">
            <v>435.5</v>
          </cell>
        </row>
        <row r="461">
          <cell r="G461">
            <v>94</v>
          </cell>
        </row>
        <row r="461">
          <cell r="J461">
            <v>75.5</v>
          </cell>
        </row>
        <row r="461">
          <cell r="M461">
            <v>119.5</v>
          </cell>
        </row>
        <row r="461">
          <cell r="P461">
            <v>37</v>
          </cell>
        </row>
        <row r="461">
          <cell r="V461">
            <v>50.5</v>
          </cell>
        </row>
        <row r="461">
          <cell r="AE461">
            <v>59</v>
          </cell>
        </row>
        <row r="462">
          <cell r="C462">
            <v>9</v>
          </cell>
          <cell r="D462">
            <v>362</v>
          </cell>
        </row>
        <row r="462">
          <cell r="G462">
            <v>99</v>
          </cell>
        </row>
        <row r="462">
          <cell r="J462">
            <v>49.5</v>
          </cell>
        </row>
        <row r="462">
          <cell r="M462">
            <v>81</v>
          </cell>
        </row>
        <row r="462">
          <cell r="P462">
            <v>33</v>
          </cell>
        </row>
        <row r="462">
          <cell r="V462">
            <v>48.5</v>
          </cell>
        </row>
        <row r="462">
          <cell r="AE462">
            <v>51</v>
          </cell>
        </row>
        <row r="464">
          <cell r="C464">
            <v>9</v>
          </cell>
          <cell r="D464">
            <v>340</v>
          </cell>
        </row>
        <row r="464">
          <cell r="G464">
            <v>102</v>
          </cell>
        </row>
        <row r="464">
          <cell r="J464">
            <v>44</v>
          </cell>
        </row>
        <row r="464">
          <cell r="M464">
            <v>81</v>
          </cell>
        </row>
        <row r="464">
          <cell r="P464">
            <v>34</v>
          </cell>
        </row>
        <row r="464">
          <cell r="V464">
            <v>31</v>
          </cell>
        </row>
        <row r="464">
          <cell r="AE464">
            <v>48</v>
          </cell>
        </row>
        <row r="465">
          <cell r="C465">
            <v>9</v>
          </cell>
          <cell r="D465">
            <v>401</v>
          </cell>
        </row>
        <row r="465">
          <cell r="G465">
            <v>106.5</v>
          </cell>
        </row>
        <row r="465">
          <cell r="J465">
            <v>58.5</v>
          </cell>
        </row>
        <row r="465">
          <cell r="M465">
            <v>93</v>
          </cell>
        </row>
        <row r="465">
          <cell r="P465">
            <v>46</v>
          </cell>
        </row>
        <row r="465">
          <cell r="V465">
            <v>48</v>
          </cell>
        </row>
        <row r="465">
          <cell r="AE465">
            <v>49</v>
          </cell>
        </row>
        <row r="466">
          <cell r="C466">
            <v>9</v>
          </cell>
          <cell r="D466">
            <v>435</v>
          </cell>
        </row>
        <row r="466">
          <cell r="G466">
            <v>82.5</v>
          </cell>
        </row>
        <row r="466">
          <cell r="J466">
            <v>79.5</v>
          </cell>
        </row>
        <row r="466">
          <cell r="M466">
            <v>79.5</v>
          </cell>
        </row>
        <row r="466">
          <cell r="P466">
            <v>80.5</v>
          </cell>
        </row>
        <row r="466">
          <cell r="V466">
            <v>52</v>
          </cell>
        </row>
        <row r="466">
          <cell r="AE466">
            <v>61</v>
          </cell>
        </row>
        <row r="467">
          <cell r="C467">
            <v>9</v>
          </cell>
          <cell r="D467">
            <v>527.25</v>
          </cell>
        </row>
        <row r="467">
          <cell r="G467">
            <v>104.5</v>
          </cell>
        </row>
        <row r="467">
          <cell r="J467">
            <v>101</v>
          </cell>
        </row>
        <row r="467">
          <cell r="M467">
            <v>119.25</v>
          </cell>
        </row>
        <row r="467">
          <cell r="P467">
            <v>84</v>
          </cell>
        </row>
        <row r="467">
          <cell r="V467">
            <v>58.5</v>
          </cell>
        </row>
        <row r="467">
          <cell r="AE467">
            <v>60</v>
          </cell>
        </row>
        <row r="468">
          <cell r="C468">
            <v>10</v>
          </cell>
          <cell r="D468">
            <v>467</v>
          </cell>
        </row>
        <row r="468">
          <cell r="G468">
            <v>102</v>
          </cell>
        </row>
        <row r="468">
          <cell r="J468">
            <v>76</v>
          </cell>
        </row>
        <row r="468">
          <cell r="M468">
            <v>102</v>
          </cell>
        </row>
        <row r="468">
          <cell r="P468">
            <v>69</v>
          </cell>
        </row>
        <row r="468">
          <cell r="S468">
            <v>62.5</v>
          </cell>
        </row>
        <row r="468">
          <cell r="Y468">
            <v>55.5</v>
          </cell>
        </row>
        <row r="469">
          <cell r="C469">
            <v>10</v>
          </cell>
          <cell r="D469">
            <v>413.5</v>
          </cell>
        </row>
        <row r="469">
          <cell r="G469">
            <v>104.25</v>
          </cell>
        </row>
        <row r="469">
          <cell r="J469">
            <v>71.5</v>
          </cell>
        </row>
        <row r="469">
          <cell r="M469">
            <v>71.5</v>
          </cell>
        </row>
        <row r="469">
          <cell r="P469">
            <v>77.5</v>
          </cell>
        </row>
        <row r="469">
          <cell r="S469">
            <v>46.75</v>
          </cell>
        </row>
        <row r="469">
          <cell r="Y469">
            <v>42</v>
          </cell>
        </row>
        <row r="470">
          <cell r="C470">
            <v>10</v>
          </cell>
          <cell r="D470">
            <v>461</v>
          </cell>
        </row>
        <row r="470">
          <cell r="G470">
            <v>105.5</v>
          </cell>
        </row>
        <row r="470">
          <cell r="J470">
            <v>68.5</v>
          </cell>
        </row>
        <row r="470">
          <cell r="M470">
            <v>104</v>
          </cell>
        </row>
        <row r="470">
          <cell r="P470">
            <v>56.5</v>
          </cell>
        </row>
        <row r="470">
          <cell r="S470">
            <v>59</v>
          </cell>
        </row>
        <row r="470">
          <cell r="Y470">
            <v>67.5</v>
          </cell>
        </row>
        <row r="471">
          <cell r="C471">
            <v>10</v>
          </cell>
          <cell r="D471">
            <v>476</v>
          </cell>
        </row>
        <row r="471">
          <cell r="G471">
            <v>99</v>
          </cell>
        </row>
        <row r="471">
          <cell r="J471">
            <v>75</v>
          </cell>
        </row>
        <row r="471">
          <cell r="M471">
            <v>121.5</v>
          </cell>
        </row>
        <row r="471">
          <cell r="P471">
            <v>66</v>
          </cell>
        </row>
        <row r="471">
          <cell r="S471">
            <v>56.5</v>
          </cell>
        </row>
        <row r="471">
          <cell r="Y471">
            <v>58</v>
          </cell>
        </row>
        <row r="472">
          <cell r="C472">
            <v>10</v>
          </cell>
          <cell r="D472">
            <v>388.25</v>
          </cell>
        </row>
        <row r="472">
          <cell r="G472">
            <v>85.5</v>
          </cell>
        </row>
        <row r="472">
          <cell r="J472">
            <v>54.5</v>
          </cell>
        </row>
        <row r="472">
          <cell r="M472">
            <v>121.5</v>
          </cell>
        </row>
        <row r="472">
          <cell r="P472">
            <v>57.5</v>
          </cell>
        </row>
        <row r="472">
          <cell r="S472">
            <v>31.75</v>
          </cell>
        </row>
        <row r="472">
          <cell r="Y472">
            <v>37.5</v>
          </cell>
        </row>
        <row r="473">
          <cell r="C473">
            <v>10</v>
          </cell>
          <cell r="D473">
            <v>427.5</v>
          </cell>
        </row>
        <row r="473">
          <cell r="G473">
            <v>101</v>
          </cell>
        </row>
        <row r="473">
          <cell r="J473">
            <v>55</v>
          </cell>
        </row>
        <row r="473">
          <cell r="M473">
            <v>120</v>
          </cell>
        </row>
        <row r="473">
          <cell r="P473">
            <v>57</v>
          </cell>
        </row>
        <row r="473">
          <cell r="S473">
            <v>39</v>
          </cell>
        </row>
        <row r="473">
          <cell r="Y473">
            <v>55.5</v>
          </cell>
        </row>
        <row r="474">
          <cell r="C474">
            <v>10</v>
          </cell>
          <cell r="D474">
            <v>454.25</v>
          </cell>
        </row>
        <row r="474">
          <cell r="G474">
            <v>117</v>
          </cell>
        </row>
        <row r="474">
          <cell r="J474">
            <v>58</v>
          </cell>
        </row>
        <row r="474">
          <cell r="M474">
            <v>116</v>
          </cell>
        </row>
        <row r="474">
          <cell r="P474">
            <v>67.5</v>
          </cell>
        </row>
        <row r="474">
          <cell r="S474">
            <v>27.5</v>
          </cell>
        </row>
        <row r="474">
          <cell r="Y474">
            <v>68.25</v>
          </cell>
        </row>
        <row r="475">
          <cell r="C475">
            <v>10</v>
          </cell>
          <cell r="D475">
            <v>417.5</v>
          </cell>
        </row>
        <row r="475">
          <cell r="G475">
            <v>98</v>
          </cell>
        </row>
        <row r="475">
          <cell r="J475">
            <v>65.5</v>
          </cell>
        </row>
        <row r="475">
          <cell r="M475">
            <v>98.5</v>
          </cell>
        </row>
        <row r="475">
          <cell r="P475">
            <v>69</v>
          </cell>
        </row>
        <row r="475">
          <cell r="S475">
            <v>41</v>
          </cell>
        </row>
        <row r="475">
          <cell r="Y475">
            <v>45.5</v>
          </cell>
        </row>
        <row r="476">
          <cell r="C476">
            <v>10</v>
          </cell>
          <cell r="D476">
            <v>427.25</v>
          </cell>
        </row>
        <row r="476">
          <cell r="G476">
            <v>105.5</v>
          </cell>
        </row>
        <row r="476">
          <cell r="J476">
            <v>63</v>
          </cell>
        </row>
        <row r="476">
          <cell r="M476">
            <v>111</v>
          </cell>
        </row>
        <row r="476">
          <cell r="P476">
            <v>63.5</v>
          </cell>
        </row>
        <row r="476">
          <cell r="S476">
            <v>33.75</v>
          </cell>
        </row>
        <row r="476">
          <cell r="Y476">
            <v>50.5</v>
          </cell>
        </row>
        <row r="477">
          <cell r="C477">
            <v>10</v>
          </cell>
          <cell r="D477">
            <v>419.5</v>
          </cell>
        </row>
        <row r="477">
          <cell r="G477">
            <v>105</v>
          </cell>
        </row>
        <row r="477">
          <cell r="J477">
            <v>70.5</v>
          </cell>
        </row>
        <row r="477">
          <cell r="M477">
            <v>113</v>
          </cell>
        </row>
        <row r="477">
          <cell r="P477">
            <v>49</v>
          </cell>
        </row>
        <row r="477">
          <cell r="S477">
            <v>43.5</v>
          </cell>
        </row>
        <row r="477">
          <cell r="Y477">
            <v>38.5</v>
          </cell>
        </row>
        <row r="478">
          <cell r="C478">
            <v>10</v>
          </cell>
          <cell r="D478">
            <v>475</v>
          </cell>
        </row>
        <row r="478">
          <cell r="G478">
            <v>103.5</v>
          </cell>
        </row>
        <row r="478">
          <cell r="J478">
            <v>90</v>
          </cell>
        </row>
        <row r="478">
          <cell r="M478">
            <v>125</v>
          </cell>
        </row>
        <row r="478">
          <cell r="P478">
            <v>58</v>
          </cell>
        </row>
        <row r="478">
          <cell r="S478">
            <v>47</v>
          </cell>
        </row>
        <row r="478">
          <cell r="Y478">
            <v>51.5</v>
          </cell>
        </row>
        <row r="479">
          <cell r="C479">
            <v>10</v>
          </cell>
          <cell r="D479">
            <v>441</v>
          </cell>
        </row>
        <row r="479">
          <cell r="G479">
            <v>99.5</v>
          </cell>
        </row>
        <row r="479">
          <cell r="J479">
            <v>81</v>
          </cell>
        </row>
        <row r="479">
          <cell r="M479">
            <v>111</v>
          </cell>
        </row>
        <row r="479">
          <cell r="P479">
            <v>58</v>
          </cell>
        </row>
        <row r="479">
          <cell r="S479">
            <v>46</v>
          </cell>
        </row>
        <row r="479">
          <cell r="Y479">
            <v>45.5</v>
          </cell>
        </row>
        <row r="480">
          <cell r="C480">
            <v>10</v>
          </cell>
          <cell r="D480">
            <v>354</v>
          </cell>
        </row>
        <row r="480">
          <cell r="G480">
            <v>93.5</v>
          </cell>
        </row>
        <row r="480">
          <cell r="J480">
            <v>37</v>
          </cell>
        </row>
        <row r="480">
          <cell r="M480">
            <v>105</v>
          </cell>
        </row>
        <row r="480">
          <cell r="P480">
            <v>44</v>
          </cell>
        </row>
        <row r="480">
          <cell r="S480">
            <v>38</v>
          </cell>
        </row>
        <row r="480">
          <cell r="Y480">
            <v>36.5</v>
          </cell>
        </row>
        <row r="481">
          <cell r="C481">
            <v>10</v>
          </cell>
          <cell r="D481">
            <v>421.75</v>
          </cell>
        </row>
        <row r="481">
          <cell r="G481">
            <v>108</v>
          </cell>
        </row>
        <row r="481">
          <cell r="J481">
            <v>56</v>
          </cell>
        </row>
        <row r="481">
          <cell r="M481">
            <v>100</v>
          </cell>
        </row>
        <row r="481">
          <cell r="P481">
            <v>32.5</v>
          </cell>
        </row>
        <row r="481">
          <cell r="S481">
            <v>53.25</v>
          </cell>
        </row>
        <row r="481">
          <cell r="Y481">
            <v>72</v>
          </cell>
        </row>
        <row r="482">
          <cell r="C482">
            <v>10</v>
          </cell>
          <cell r="D482">
            <v>415.5</v>
          </cell>
        </row>
        <row r="482">
          <cell r="G482">
            <v>100</v>
          </cell>
        </row>
        <row r="482">
          <cell r="J482">
            <v>62</v>
          </cell>
        </row>
        <row r="482">
          <cell r="M482">
            <v>107.5</v>
          </cell>
        </row>
        <row r="482">
          <cell r="P482">
            <v>49.5</v>
          </cell>
        </row>
        <row r="482">
          <cell r="S482">
            <v>47</v>
          </cell>
        </row>
        <row r="482">
          <cell r="Y482">
            <v>49.5</v>
          </cell>
        </row>
        <row r="483">
          <cell r="C483">
            <v>10</v>
          </cell>
          <cell r="D483">
            <v>407.5</v>
          </cell>
        </row>
        <row r="483">
          <cell r="G483">
            <v>109</v>
          </cell>
        </row>
        <row r="483">
          <cell r="J483">
            <v>64.5</v>
          </cell>
        </row>
        <row r="483">
          <cell r="M483">
            <v>89</v>
          </cell>
        </row>
        <row r="483">
          <cell r="P483">
            <v>56</v>
          </cell>
        </row>
        <row r="483">
          <cell r="S483">
            <v>36.5</v>
          </cell>
        </row>
        <row r="483">
          <cell r="Y483">
            <v>52.5</v>
          </cell>
        </row>
        <row r="484">
          <cell r="C484">
            <v>10</v>
          </cell>
          <cell r="D484">
            <v>425</v>
          </cell>
        </row>
        <row r="484">
          <cell r="G484">
            <v>105</v>
          </cell>
        </row>
        <row r="484">
          <cell r="J484">
            <v>76</v>
          </cell>
        </row>
        <row r="484">
          <cell r="M484">
            <v>92</v>
          </cell>
        </row>
        <row r="484">
          <cell r="P484">
            <v>38</v>
          </cell>
        </row>
        <row r="484">
          <cell r="S484">
            <v>56.5</v>
          </cell>
        </row>
        <row r="484">
          <cell r="Y484">
            <v>57.5</v>
          </cell>
        </row>
        <row r="485">
          <cell r="C485">
            <v>10</v>
          </cell>
          <cell r="D485">
            <v>417</v>
          </cell>
        </row>
        <row r="485">
          <cell r="G485">
            <v>108</v>
          </cell>
        </row>
        <row r="485">
          <cell r="J485">
            <v>56</v>
          </cell>
        </row>
        <row r="485">
          <cell r="M485">
            <v>110.75</v>
          </cell>
        </row>
        <row r="485">
          <cell r="P485">
            <v>49.5</v>
          </cell>
        </row>
        <row r="485">
          <cell r="S485">
            <v>41.75</v>
          </cell>
        </row>
        <row r="485">
          <cell r="Y485">
            <v>51</v>
          </cell>
        </row>
        <row r="486">
          <cell r="C486">
            <v>10</v>
          </cell>
          <cell r="D486">
            <v>380.25</v>
          </cell>
        </row>
        <row r="486">
          <cell r="G486">
            <v>86</v>
          </cell>
        </row>
        <row r="486">
          <cell r="J486">
            <v>67</v>
          </cell>
        </row>
        <row r="486">
          <cell r="M486">
            <v>122.5</v>
          </cell>
        </row>
        <row r="486">
          <cell r="P486">
            <v>38</v>
          </cell>
        </row>
        <row r="486">
          <cell r="S486">
            <v>26.25</v>
          </cell>
        </row>
        <row r="486">
          <cell r="Y486">
            <v>40.5</v>
          </cell>
        </row>
        <row r="487">
          <cell r="C487">
            <v>10</v>
          </cell>
          <cell r="D487">
            <v>295</v>
          </cell>
        </row>
        <row r="487">
          <cell r="G487">
            <v>89.5</v>
          </cell>
        </row>
        <row r="487">
          <cell r="J487">
            <v>26.5</v>
          </cell>
        </row>
        <row r="487">
          <cell r="M487">
            <v>67.5</v>
          </cell>
        </row>
        <row r="487">
          <cell r="P487">
            <v>33.5</v>
          </cell>
        </row>
        <row r="487">
          <cell r="S487">
            <v>32.5</v>
          </cell>
        </row>
        <row r="487">
          <cell r="Y487">
            <v>45.5</v>
          </cell>
        </row>
        <row r="488">
          <cell r="C488">
            <v>10</v>
          </cell>
          <cell r="D488">
            <v>390.75</v>
          </cell>
        </row>
        <row r="488">
          <cell r="G488">
            <v>93</v>
          </cell>
        </row>
        <row r="488">
          <cell r="J488">
            <v>66</v>
          </cell>
        </row>
        <row r="488">
          <cell r="M488">
            <v>94.5</v>
          </cell>
        </row>
        <row r="488">
          <cell r="P488">
            <v>52</v>
          </cell>
        </row>
        <row r="488">
          <cell r="S488">
            <v>31.25</v>
          </cell>
        </row>
        <row r="488">
          <cell r="Y488">
            <v>54</v>
          </cell>
        </row>
        <row r="489">
          <cell r="C489">
            <v>10</v>
          </cell>
          <cell r="D489">
            <v>357.5</v>
          </cell>
        </row>
        <row r="489">
          <cell r="G489">
            <v>79</v>
          </cell>
        </row>
        <row r="489">
          <cell r="J489">
            <v>70.5</v>
          </cell>
        </row>
        <row r="489">
          <cell r="M489">
            <v>104</v>
          </cell>
        </row>
        <row r="489">
          <cell r="P489">
            <v>34</v>
          </cell>
        </row>
        <row r="489">
          <cell r="S489">
            <v>33</v>
          </cell>
        </row>
        <row r="489">
          <cell r="Y489">
            <v>37</v>
          </cell>
        </row>
        <row r="490">
          <cell r="C490">
            <v>10</v>
          </cell>
          <cell r="D490">
            <v>400.5</v>
          </cell>
        </row>
        <row r="490">
          <cell r="G490">
            <v>100</v>
          </cell>
        </row>
        <row r="490">
          <cell r="J490">
            <v>76</v>
          </cell>
        </row>
        <row r="490">
          <cell r="M490">
            <v>86</v>
          </cell>
        </row>
        <row r="490">
          <cell r="P490">
            <v>49</v>
          </cell>
        </row>
        <row r="490">
          <cell r="S490">
            <v>40.5</v>
          </cell>
        </row>
        <row r="490">
          <cell r="Y490">
            <v>49</v>
          </cell>
        </row>
        <row r="491">
          <cell r="C491">
            <v>10</v>
          </cell>
          <cell r="D491">
            <v>355.5</v>
          </cell>
        </row>
        <row r="491">
          <cell r="G491">
            <v>103.5</v>
          </cell>
        </row>
        <row r="491">
          <cell r="J491">
            <v>63.5</v>
          </cell>
        </row>
        <row r="491">
          <cell r="M491">
            <v>89.5</v>
          </cell>
        </row>
        <row r="491">
          <cell r="P491">
            <v>31</v>
          </cell>
        </row>
        <row r="491">
          <cell r="S491">
            <v>30.5</v>
          </cell>
        </row>
        <row r="491">
          <cell r="Y491">
            <v>37.5</v>
          </cell>
        </row>
        <row r="492">
          <cell r="C492">
            <v>10</v>
          </cell>
          <cell r="D492">
            <v>432</v>
          </cell>
        </row>
        <row r="492">
          <cell r="G492">
            <v>103.5</v>
          </cell>
        </row>
        <row r="492">
          <cell r="J492">
            <v>60.5</v>
          </cell>
        </row>
        <row r="492">
          <cell r="M492">
            <v>111.5</v>
          </cell>
        </row>
        <row r="492">
          <cell r="P492">
            <v>55</v>
          </cell>
        </row>
        <row r="492">
          <cell r="S492">
            <v>42</v>
          </cell>
        </row>
        <row r="492">
          <cell r="Y492">
            <v>59.5</v>
          </cell>
        </row>
        <row r="493">
          <cell r="C493">
            <v>10</v>
          </cell>
          <cell r="D493">
            <v>359.5</v>
          </cell>
        </row>
        <row r="493">
          <cell r="G493">
            <v>90.75</v>
          </cell>
        </row>
        <row r="493">
          <cell r="J493">
            <v>73</v>
          </cell>
        </row>
        <row r="493">
          <cell r="M493">
            <v>84</v>
          </cell>
        </row>
        <row r="493">
          <cell r="P493">
            <v>32</v>
          </cell>
        </row>
        <row r="493">
          <cell r="S493">
            <v>38.75</v>
          </cell>
        </row>
        <row r="493">
          <cell r="Y493">
            <v>41</v>
          </cell>
        </row>
        <row r="494">
          <cell r="C494">
            <v>10</v>
          </cell>
          <cell r="D494">
            <v>342</v>
          </cell>
        </row>
        <row r="494">
          <cell r="G494">
            <v>99</v>
          </cell>
        </row>
        <row r="494">
          <cell r="J494">
            <v>50.5</v>
          </cell>
        </row>
        <row r="494">
          <cell r="M494">
            <v>84</v>
          </cell>
        </row>
        <row r="494">
          <cell r="P494">
            <v>45.5</v>
          </cell>
        </row>
        <row r="494">
          <cell r="S494">
            <v>28.5</v>
          </cell>
        </row>
        <row r="494">
          <cell r="Y494">
            <v>34.5</v>
          </cell>
        </row>
        <row r="495">
          <cell r="C495">
            <v>10</v>
          </cell>
          <cell r="D495">
            <v>376.75</v>
          </cell>
        </row>
        <row r="495">
          <cell r="G495">
            <v>100.5</v>
          </cell>
        </row>
        <row r="495">
          <cell r="J495">
            <v>68.5</v>
          </cell>
        </row>
        <row r="495">
          <cell r="M495">
            <v>86</v>
          </cell>
        </row>
        <row r="495">
          <cell r="P495">
            <v>47</v>
          </cell>
        </row>
        <row r="495">
          <cell r="S495">
            <v>30.75</v>
          </cell>
        </row>
        <row r="495">
          <cell r="Y495">
            <v>44</v>
          </cell>
        </row>
        <row r="496">
          <cell r="C496">
            <v>10</v>
          </cell>
          <cell r="D496">
            <v>397.25</v>
          </cell>
        </row>
        <row r="496">
          <cell r="G496">
            <v>97</v>
          </cell>
        </row>
        <row r="496">
          <cell r="J496">
            <v>60</v>
          </cell>
        </row>
        <row r="496">
          <cell r="M496">
            <v>112.5</v>
          </cell>
        </row>
        <row r="496">
          <cell r="P496">
            <v>54.5</v>
          </cell>
        </row>
        <row r="496">
          <cell r="S496">
            <v>32.75</v>
          </cell>
        </row>
        <row r="496">
          <cell r="Y496">
            <v>40.5</v>
          </cell>
        </row>
        <row r="497">
          <cell r="C497">
            <v>10</v>
          </cell>
          <cell r="D497">
            <v>356</v>
          </cell>
        </row>
        <row r="497">
          <cell r="G497">
            <v>90.5</v>
          </cell>
        </row>
        <row r="497">
          <cell r="J497">
            <v>59</v>
          </cell>
        </row>
        <row r="497">
          <cell r="M497">
            <v>89</v>
          </cell>
        </row>
        <row r="497">
          <cell r="P497">
            <v>39.5</v>
          </cell>
        </row>
        <row r="497">
          <cell r="S497">
            <v>32</v>
          </cell>
        </row>
        <row r="497">
          <cell r="Y497">
            <v>46</v>
          </cell>
        </row>
        <row r="498">
          <cell r="C498">
            <v>10</v>
          </cell>
          <cell r="D498">
            <v>327</v>
          </cell>
        </row>
        <row r="498">
          <cell r="G498">
            <v>90.5</v>
          </cell>
        </row>
        <row r="498">
          <cell r="J498">
            <v>36</v>
          </cell>
        </row>
        <row r="498">
          <cell r="M498">
            <v>89</v>
          </cell>
        </row>
        <row r="498">
          <cell r="P498">
            <v>31.5</v>
          </cell>
        </row>
        <row r="498">
          <cell r="S498">
            <v>34.5</v>
          </cell>
        </row>
        <row r="498">
          <cell r="Y498">
            <v>45.5</v>
          </cell>
        </row>
        <row r="499">
          <cell r="C499">
            <v>10</v>
          </cell>
          <cell r="D499">
            <v>393.75</v>
          </cell>
        </row>
        <row r="499">
          <cell r="G499">
            <v>96.75</v>
          </cell>
        </row>
        <row r="499">
          <cell r="J499">
            <v>58</v>
          </cell>
        </row>
        <row r="499">
          <cell r="M499">
            <v>94.5</v>
          </cell>
        </row>
        <row r="499">
          <cell r="P499">
            <v>58</v>
          </cell>
        </row>
        <row r="499">
          <cell r="S499">
            <v>42.5</v>
          </cell>
        </row>
        <row r="499">
          <cell r="Y499">
            <v>44</v>
          </cell>
        </row>
        <row r="500">
          <cell r="C500">
            <v>10</v>
          </cell>
          <cell r="D500">
            <v>376.5</v>
          </cell>
        </row>
        <row r="500">
          <cell r="G500">
            <v>93</v>
          </cell>
        </row>
        <row r="500">
          <cell r="J500">
            <v>56</v>
          </cell>
        </row>
        <row r="500">
          <cell r="M500">
            <v>81</v>
          </cell>
        </row>
        <row r="500">
          <cell r="P500">
            <v>51</v>
          </cell>
        </row>
        <row r="500">
          <cell r="S500">
            <v>52.5</v>
          </cell>
        </row>
        <row r="500">
          <cell r="Y500">
            <v>43</v>
          </cell>
        </row>
        <row r="501">
          <cell r="C501">
            <v>10</v>
          </cell>
          <cell r="D501">
            <v>487.5</v>
          </cell>
        </row>
        <row r="501">
          <cell r="G501">
            <v>103.5</v>
          </cell>
        </row>
        <row r="501">
          <cell r="J501">
            <v>92.5</v>
          </cell>
        </row>
        <row r="501">
          <cell r="M501">
            <v>130.5</v>
          </cell>
        </row>
        <row r="501">
          <cell r="P501">
            <v>67.5</v>
          </cell>
        </row>
        <row r="501">
          <cell r="S501">
            <v>43.5</v>
          </cell>
        </row>
        <row r="501">
          <cell r="Y501">
            <v>50</v>
          </cell>
        </row>
        <row r="502">
          <cell r="C502">
            <v>10</v>
          </cell>
          <cell r="D502">
            <v>430.5</v>
          </cell>
        </row>
        <row r="502">
          <cell r="G502">
            <v>90.5</v>
          </cell>
        </row>
        <row r="502">
          <cell r="J502">
            <v>59</v>
          </cell>
        </row>
        <row r="502">
          <cell r="M502">
            <v>103.5</v>
          </cell>
        </row>
        <row r="502">
          <cell r="P502">
            <v>62</v>
          </cell>
        </row>
        <row r="502">
          <cell r="S502">
            <v>61</v>
          </cell>
        </row>
        <row r="502">
          <cell r="Y502">
            <v>54.5</v>
          </cell>
        </row>
        <row r="503">
          <cell r="C503">
            <v>11</v>
          </cell>
          <cell r="D503">
            <v>490.25</v>
          </cell>
        </row>
        <row r="503">
          <cell r="G503">
            <v>110</v>
          </cell>
        </row>
        <row r="503">
          <cell r="J503">
            <v>82</v>
          </cell>
        </row>
        <row r="503">
          <cell r="M503">
            <v>115.5</v>
          </cell>
        </row>
        <row r="503">
          <cell r="P503">
            <v>64</v>
          </cell>
        </row>
        <row r="503">
          <cell r="S503">
            <v>54.75</v>
          </cell>
        </row>
        <row r="503">
          <cell r="AE503">
            <v>64</v>
          </cell>
        </row>
        <row r="504">
          <cell r="C504">
            <v>11</v>
          </cell>
          <cell r="D504">
            <v>454.5</v>
          </cell>
        </row>
        <row r="504">
          <cell r="G504">
            <v>106</v>
          </cell>
        </row>
        <row r="504">
          <cell r="J504">
            <v>64.5</v>
          </cell>
        </row>
        <row r="504">
          <cell r="M504">
            <v>103.5</v>
          </cell>
        </row>
        <row r="504">
          <cell r="P504">
            <v>73.5</v>
          </cell>
        </row>
        <row r="504">
          <cell r="S504">
            <v>51</v>
          </cell>
        </row>
        <row r="504">
          <cell r="AE504">
            <v>56</v>
          </cell>
        </row>
        <row r="505">
          <cell r="C505">
            <v>11</v>
          </cell>
          <cell r="D505">
            <v>443</v>
          </cell>
        </row>
        <row r="505">
          <cell r="G505">
            <v>111</v>
          </cell>
        </row>
        <row r="505">
          <cell r="J505">
            <v>51</v>
          </cell>
        </row>
        <row r="505">
          <cell r="M505">
            <v>113.5</v>
          </cell>
        </row>
        <row r="505">
          <cell r="P505">
            <v>70.5</v>
          </cell>
        </row>
        <row r="505">
          <cell r="S505">
            <v>44</v>
          </cell>
        </row>
        <row r="505">
          <cell r="AE505">
            <v>53</v>
          </cell>
        </row>
        <row r="506">
          <cell r="C506">
            <v>11</v>
          </cell>
          <cell r="D506">
            <v>538.25</v>
          </cell>
        </row>
        <row r="506">
          <cell r="G506">
            <v>115.5</v>
          </cell>
        </row>
        <row r="506">
          <cell r="J506">
            <v>88.5</v>
          </cell>
        </row>
        <row r="506">
          <cell r="M506">
            <v>117</v>
          </cell>
        </row>
        <row r="506">
          <cell r="P506">
            <v>84.5</v>
          </cell>
        </row>
        <row r="506">
          <cell r="S506">
            <v>61.25</v>
          </cell>
        </row>
        <row r="506">
          <cell r="AE506">
            <v>71.5</v>
          </cell>
        </row>
        <row r="507">
          <cell r="C507">
            <v>11</v>
          </cell>
          <cell r="D507">
            <v>502</v>
          </cell>
        </row>
        <row r="507">
          <cell r="G507">
            <v>115.5</v>
          </cell>
        </row>
        <row r="507">
          <cell r="J507">
            <v>102</v>
          </cell>
        </row>
        <row r="507">
          <cell r="M507">
            <v>81.5</v>
          </cell>
        </row>
        <row r="507">
          <cell r="P507">
            <v>70.5</v>
          </cell>
        </row>
        <row r="507">
          <cell r="S507">
            <v>62.5</v>
          </cell>
        </row>
        <row r="507">
          <cell r="AE507">
            <v>70</v>
          </cell>
        </row>
        <row r="508">
          <cell r="C508">
            <v>11</v>
          </cell>
          <cell r="D508">
            <v>498</v>
          </cell>
        </row>
        <row r="508">
          <cell r="G508">
            <v>97</v>
          </cell>
        </row>
        <row r="508">
          <cell r="J508">
            <v>106.5</v>
          </cell>
        </row>
        <row r="508">
          <cell r="M508">
            <v>81</v>
          </cell>
        </row>
        <row r="508">
          <cell r="P508">
            <v>83</v>
          </cell>
        </row>
        <row r="508">
          <cell r="S508">
            <v>71</v>
          </cell>
        </row>
        <row r="508">
          <cell r="AE508">
            <v>59.5</v>
          </cell>
        </row>
        <row r="509">
          <cell r="C509">
            <v>11</v>
          </cell>
          <cell r="D509">
            <v>426</v>
          </cell>
        </row>
        <row r="509">
          <cell r="G509">
            <v>79</v>
          </cell>
        </row>
        <row r="509">
          <cell r="J509">
            <v>59.5</v>
          </cell>
        </row>
        <row r="509">
          <cell r="M509">
            <v>104.5</v>
          </cell>
        </row>
        <row r="509">
          <cell r="P509">
            <v>64</v>
          </cell>
        </row>
        <row r="509">
          <cell r="S509">
            <v>57</v>
          </cell>
        </row>
        <row r="509">
          <cell r="AE509">
            <v>62</v>
          </cell>
        </row>
        <row r="510">
          <cell r="C510">
            <v>11</v>
          </cell>
          <cell r="D510">
            <v>461.25</v>
          </cell>
        </row>
        <row r="510">
          <cell r="G510">
            <v>118.5</v>
          </cell>
        </row>
        <row r="510">
          <cell r="J510">
            <v>84</v>
          </cell>
        </row>
        <row r="510">
          <cell r="M510">
            <v>95.5</v>
          </cell>
        </row>
        <row r="510">
          <cell r="P510">
            <v>66.5</v>
          </cell>
        </row>
        <row r="510">
          <cell r="S510">
            <v>37.25</v>
          </cell>
        </row>
        <row r="510">
          <cell r="AE510">
            <v>59.5</v>
          </cell>
        </row>
        <row r="511">
          <cell r="C511">
            <v>11</v>
          </cell>
          <cell r="D511">
            <v>465.5</v>
          </cell>
        </row>
        <row r="511">
          <cell r="G511">
            <v>109.5</v>
          </cell>
        </row>
        <row r="511">
          <cell r="J511">
            <v>78</v>
          </cell>
        </row>
        <row r="511">
          <cell r="M511">
            <v>110.5</v>
          </cell>
        </row>
        <row r="511">
          <cell r="P511">
            <v>62</v>
          </cell>
        </row>
        <row r="511">
          <cell r="S511">
            <v>48</v>
          </cell>
        </row>
        <row r="511">
          <cell r="AE511">
            <v>57.5</v>
          </cell>
        </row>
        <row r="512">
          <cell r="C512">
            <v>11</v>
          </cell>
          <cell r="D512">
            <v>415.25</v>
          </cell>
        </row>
        <row r="512">
          <cell r="G512">
            <v>85.5</v>
          </cell>
        </row>
        <row r="512">
          <cell r="J512">
            <v>55.5</v>
          </cell>
        </row>
        <row r="512">
          <cell r="M512">
            <v>117</v>
          </cell>
        </row>
        <row r="512">
          <cell r="P512">
            <v>58</v>
          </cell>
        </row>
        <row r="512">
          <cell r="S512">
            <v>43.25</v>
          </cell>
        </row>
        <row r="512">
          <cell r="AE512">
            <v>56</v>
          </cell>
        </row>
        <row r="513">
          <cell r="C513">
            <v>11</v>
          </cell>
          <cell r="D513">
            <v>444.25</v>
          </cell>
        </row>
        <row r="513">
          <cell r="G513">
            <v>102</v>
          </cell>
        </row>
        <row r="513">
          <cell r="J513">
            <v>62</v>
          </cell>
        </row>
        <row r="513">
          <cell r="M513">
            <v>113</v>
          </cell>
        </row>
        <row r="513">
          <cell r="P513">
            <v>69</v>
          </cell>
        </row>
        <row r="513">
          <cell r="S513">
            <v>53.25</v>
          </cell>
        </row>
        <row r="513">
          <cell r="AE513">
            <v>45</v>
          </cell>
        </row>
        <row r="514">
          <cell r="C514">
            <v>11</v>
          </cell>
          <cell r="D514">
            <v>402.5</v>
          </cell>
        </row>
        <row r="514">
          <cell r="G514">
            <v>103.5</v>
          </cell>
        </row>
        <row r="514">
          <cell r="J514">
            <v>56</v>
          </cell>
        </row>
        <row r="514">
          <cell r="M514">
            <v>99</v>
          </cell>
        </row>
        <row r="514">
          <cell r="P514">
            <v>47.5</v>
          </cell>
        </row>
        <row r="514">
          <cell r="S514">
            <v>37</v>
          </cell>
        </row>
        <row r="514">
          <cell r="AE514">
            <v>59.5</v>
          </cell>
        </row>
        <row r="515">
          <cell r="C515">
            <v>11</v>
          </cell>
          <cell r="D515">
            <v>432</v>
          </cell>
        </row>
        <row r="515">
          <cell r="G515">
            <v>106.5</v>
          </cell>
        </row>
        <row r="515">
          <cell r="J515">
            <v>68</v>
          </cell>
        </row>
        <row r="515">
          <cell r="M515">
            <v>104</v>
          </cell>
        </row>
        <row r="515">
          <cell r="P515">
            <v>45</v>
          </cell>
        </row>
        <row r="515">
          <cell r="S515">
            <v>53</v>
          </cell>
        </row>
        <row r="515">
          <cell r="AE515">
            <v>55.5</v>
          </cell>
        </row>
        <row r="516">
          <cell r="C516">
            <v>11</v>
          </cell>
          <cell r="D516">
            <v>436.25</v>
          </cell>
        </row>
        <row r="516">
          <cell r="G516">
            <v>105</v>
          </cell>
        </row>
        <row r="516">
          <cell r="J516">
            <v>78.5</v>
          </cell>
        </row>
        <row r="516">
          <cell r="M516">
            <v>76</v>
          </cell>
        </row>
        <row r="516">
          <cell r="P516">
            <v>77</v>
          </cell>
        </row>
        <row r="516">
          <cell r="S516">
            <v>37.75</v>
          </cell>
        </row>
        <row r="516">
          <cell r="AE516">
            <v>62</v>
          </cell>
        </row>
        <row r="517">
          <cell r="C517">
            <v>11</v>
          </cell>
          <cell r="D517">
            <v>427.5</v>
          </cell>
        </row>
        <row r="517">
          <cell r="G517">
            <v>94.25</v>
          </cell>
        </row>
        <row r="517">
          <cell r="J517">
            <v>88.5</v>
          </cell>
        </row>
        <row r="517">
          <cell r="M517">
            <v>92.5</v>
          </cell>
        </row>
        <row r="517">
          <cell r="P517">
            <v>62</v>
          </cell>
        </row>
        <row r="517">
          <cell r="S517">
            <v>43</v>
          </cell>
        </row>
        <row r="517">
          <cell r="AE517">
            <v>47.25</v>
          </cell>
        </row>
        <row r="518">
          <cell r="C518">
            <v>11</v>
          </cell>
          <cell r="D518">
            <v>439</v>
          </cell>
        </row>
        <row r="518">
          <cell r="G518">
            <v>97.25</v>
          </cell>
        </row>
        <row r="518">
          <cell r="J518">
            <v>64.5</v>
          </cell>
        </row>
        <row r="518">
          <cell r="M518">
            <v>109.5</v>
          </cell>
        </row>
        <row r="518">
          <cell r="P518">
            <v>68.5</v>
          </cell>
        </row>
        <row r="518">
          <cell r="S518">
            <v>44.75</v>
          </cell>
        </row>
        <row r="518">
          <cell r="AE518">
            <v>54.5</v>
          </cell>
        </row>
        <row r="519">
          <cell r="C519">
            <v>11</v>
          </cell>
          <cell r="D519">
            <v>465.5</v>
          </cell>
        </row>
        <row r="519">
          <cell r="G519">
            <v>96</v>
          </cell>
        </row>
        <row r="519">
          <cell r="J519">
            <v>83.5</v>
          </cell>
        </row>
        <row r="519">
          <cell r="M519">
            <v>106.5</v>
          </cell>
        </row>
        <row r="519">
          <cell r="P519">
            <v>71</v>
          </cell>
        </row>
        <row r="519">
          <cell r="S519">
            <v>58</v>
          </cell>
        </row>
        <row r="519">
          <cell r="AE519">
            <v>50.5</v>
          </cell>
        </row>
        <row r="520">
          <cell r="C520">
            <v>11</v>
          </cell>
          <cell r="D520">
            <v>398</v>
          </cell>
        </row>
        <row r="520">
          <cell r="G520">
            <v>101</v>
          </cell>
        </row>
        <row r="520">
          <cell r="J520">
            <v>69</v>
          </cell>
        </row>
        <row r="520">
          <cell r="M520">
            <v>87.5</v>
          </cell>
        </row>
        <row r="520">
          <cell r="P520">
            <v>50.5</v>
          </cell>
        </row>
        <row r="520">
          <cell r="S520">
            <v>49</v>
          </cell>
        </row>
        <row r="520">
          <cell r="AE520">
            <v>41</v>
          </cell>
        </row>
        <row r="521">
          <cell r="C521">
            <v>11</v>
          </cell>
          <cell r="D521">
            <v>449.5</v>
          </cell>
        </row>
        <row r="521">
          <cell r="G521">
            <v>101</v>
          </cell>
        </row>
        <row r="521">
          <cell r="J521">
            <v>80.5</v>
          </cell>
        </row>
        <row r="521">
          <cell r="M521">
            <v>92.5</v>
          </cell>
        </row>
        <row r="521">
          <cell r="P521">
            <v>77</v>
          </cell>
        </row>
        <row r="521">
          <cell r="S521">
            <v>50</v>
          </cell>
        </row>
        <row r="521">
          <cell r="AE521">
            <v>48.5</v>
          </cell>
        </row>
        <row r="522">
          <cell r="C522">
            <v>11</v>
          </cell>
          <cell r="D522">
            <v>509.25</v>
          </cell>
        </row>
        <row r="522">
          <cell r="G522">
            <v>111</v>
          </cell>
        </row>
        <row r="522">
          <cell r="J522">
            <v>93</v>
          </cell>
        </row>
        <row r="522">
          <cell r="M522">
            <v>103.5</v>
          </cell>
        </row>
        <row r="522">
          <cell r="P522">
            <v>76.5</v>
          </cell>
        </row>
        <row r="522">
          <cell r="S522">
            <v>61.75</v>
          </cell>
        </row>
        <row r="522">
          <cell r="AE522">
            <v>63.5</v>
          </cell>
        </row>
        <row r="523">
          <cell r="C523">
            <v>11</v>
          </cell>
          <cell r="D523">
            <v>390.75</v>
          </cell>
        </row>
        <row r="523">
          <cell r="G523">
            <v>99</v>
          </cell>
        </row>
        <row r="523">
          <cell r="J523">
            <v>51.5</v>
          </cell>
        </row>
        <row r="523">
          <cell r="M523">
            <v>91.5</v>
          </cell>
        </row>
        <row r="523">
          <cell r="P523">
            <v>54</v>
          </cell>
        </row>
        <row r="523">
          <cell r="S523">
            <v>45.75</v>
          </cell>
        </row>
        <row r="523">
          <cell r="AE523">
            <v>49</v>
          </cell>
        </row>
        <row r="524">
          <cell r="C524">
            <v>11</v>
          </cell>
          <cell r="D524">
            <v>375.5</v>
          </cell>
        </row>
        <row r="524">
          <cell r="G524">
            <v>91.5</v>
          </cell>
        </row>
        <row r="524">
          <cell r="J524">
            <v>56.5</v>
          </cell>
        </row>
        <row r="524">
          <cell r="M524">
            <v>91</v>
          </cell>
        </row>
        <row r="524">
          <cell r="P524">
            <v>47</v>
          </cell>
        </row>
        <row r="524">
          <cell r="S524">
            <v>25.5</v>
          </cell>
        </row>
        <row r="524">
          <cell r="AE524">
            <v>64</v>
          </cell>
        </row>
        <row r="525">
          <cell r="C525">
            <v>11</v>
          </cell>
          <cell r="D525">
            <v>434</v>
          </cell>
        </row>
        <row r="525">
          <cell r="G525">
            <v>99</v>
          </cell>
        </row>
        <row r="525">
          <cell r="J525">
            <v>64</v>
          </cell>
        </row>
        <row r="525">
          <cell r="M525">
            <v>110</v>
          </cell>
        </row>
        <row r="525">
          <cell r="P525">
            <v>51</v>
          </cell>
        </row>
        <row r="525">
          <cell r="S525">
            <v>46.75</v>
          </cell>
        </row>
        <row r="525">
          <cell r="AE525">
            <v>63.25</v>
          </cell>
        </row>
        <row r="526">
          <cell r="C526">
            <v>11</v>
          </cell>
          <cell r="D526">
            <v>412.25</v>
          </cell>
        </row>
        <row r="526">
          <cell r="G526">
            <v>103.25</v>
          </cell>
        </row>
        <row r="526">
          <cell r="J526">
            <v>61</v>
          </cell>
        </row>
        <row r="526">
          <cell r="M526">
            <v>102.75</v>
          </cell>
        </row>
        <row r="526">
          <cell r="P526">
            <v>46</v>
          </cell>
        </row>
        <row r="526">
          <cell r="S526">
            <v>42.75</v>
          </cell>
        </row>
        <row r="526">
          <cell r="AE526">
            <v>56.5</v>
          </cell>
        </row>
        <row r="527">
          <cell r="C527">
            <v>11</v>
          </cell>
          <cell r="D527">
            <v>505.5</v>
          </cell>
        </row>
        <row r="527">
          <cell r="G527">
            <v>108.5</v>
          </cell>
        </row>
        <row r="527">
          <cell r="J527">
            <v>107.5</v>
          </cell>
        </row>
        <row r="527">
          <cell r="M527">
            <v>110.5</v>
          </cell>
        </row>
        <row r="527">
          <cell r="P527">
            <v>68</v>
          </cell>
        </row>
        <row r="527">
          <cell r="S527">
            <v>56</v>
          </cell>
        </row>
        <row r="527">
          <cell r="AE527">
            <v>55</v>
          </cell>
        </row>
        <row r="528">
          <cell r="C528">
            <v>11</v>
          </cell>
          <cell r="D528">
            <v>394.5</v>
          </cell>
        </row>
        <row r="528">
          <cell r="G528">
            <v>84</v>
          </cell>
        </row>
        <row r="528">
          <cell r="J528">
            <v>72</v>
          </cell>
        </row>
        <row r="528">
          <cell r="M528">
            <v>65.5</v>
          </cell>
        </row>
        <row r="528">
          <cell r="P528">
            <v>75</v>
          </cell>
        </row>
        <row r="528">
          <cell r="S528">
            <v>50.5</v>
          </cell>
        </row>
        <row r="528">
          <cell r="AE528">
            <v>47.5</v>
          </cell>
        </row>
        <row r="529">
          <cell r="C529">
            <v>11</v>
          </cell>
          <cell r="D529">
            <v>431</v>
          </cell>
        </row>
        <row r="529">
          <cell r="G529">
            <v>105.5</v>
          </cell>
        </row>
        <row r="529">
          <cell r="J529">
            <v>76.5</v>
          </cell>
        </row>
        <row r="529">
          <cell r="M529">
            <v>97.5</v>
          </cell>
        </row>
        <row r="529">
          <cell r="P529">
            <v>54</v>
          </cell>
        </row>
        <row r="529">
          <cell r="S529">
            <v>39.5</v>
          </cell>
        </row>
        <row r="529">
          <cell r="AE529">
            <v>58</v>
          </cell>
        </row>
        <row r="530">
          <cell r="C530">
            <v>11</v>
          </cell>
          <cell r="D530">
            <v>413</v>
          </cell>
        </row>
        <row r="530">
          <cell r="G530">
            <v>108</v>
          </cell>
        </row>
        <row r="530">
          <cell r="J530">
            <v>68</v>
          </cell>
        </row>
        <row r="530">
          <cell r="M530">
            <v>93</v>
          </cell>
        </row>
        <row r="530">
          <cell r="P530">
            <v>57</v>
          </cell>
        </row>
        <row r="530">
          <cell r="S530">
            <v>46</v>
          </cell>
        </row>
        <row r="530">
          <cell r="AE530">
            <v>41</v>
          </cell>
        </row>
        <row r="531">
          <cell r="C531">
            <v>11</v>
          </cell>
          <cell r="D531">
            <v>401.5</v>
          </cell>
        </row>
        <row r="531">
          <cell r="G531">
            <v>89</v>
          </cell>
        </row>
        <row r="531">
          <cell r="J531">
            <v>73</v>
          </cell>
        </row>
        <row r="531">
          <cell r="M531">
            <v>119</v>
          </cell>
        </row>
        <row r="531">
          <cell r="P531">
            <v>38.5</v>
          </cell>
        </row>
        <row r="531">
          <cell r="S531">
            <v>36.5</v>
          </cell>
        </row>
        <row r="531">
          <cell r="AE531">
            <v>45.5</v>
          </cell>
        </row>
        <row r="532">
          <cell r="C532">
            <v>11</v>
          </cell>
          <cell r="D532">
            <v>470.75</v>
          </cell>
        </row>
        <row r="532">
          <cell r="G532">
            <v>99</v>
          </cell>
        </row>
        <row r="532">
          <cell r="J532">
            <v>82.5</v>
          </cell>
        </row>
        <row r="532">
          <cell r="M532">
            <v>98</v>
          </cell>
        </row>
        <row r="532">
          <cell r="P532">
            <v>82</v>
          </cell>
        </row>
        <row r="532">
          <cell r="S532">
            <v>50.75</v>
          </cell>
        </row>
        <row r="532">
          <cell r="AE532">
            <v>58.5</v>
          </cell>
        </row>
        <row r="533">
          <cell r="C533">
            <v>11</v>
          </cell>
          <cell r="D533">
            <v>375.5</v>
          </cell>
        </row>
        <row r="533">
          <cell r="G533">
            <v>86.5</v>
          </cell>
        </row>
        <row r="533">
          <cell r="J533">
            <v>58.5</v>
          </cell>
        </row>
        <row r="533">
          <cell r="M533">
            <v>78</v>
          </cell>
        </row>
        <row r="533">
          <cell r="P533">
            <v>49</v>
          </cell>
        </row>
        <row r="533">
          <cell r="S533">
            <v>40.5</v>
          </cell>
        </row>
        <row r="533">
          <cell r="AE533">
            <v>63</v>
          </cell>
        </row>
        <row r="534">
          <cell r="C534">
            <v>11</v>
          </cell>
          <cell r="D534">
            <v>433.75</v>
          </cell>
        </row>
        <row r="534">
          <cell r="G534">
            <v>101.25</v>
          </cell>
        </row>
        <row r="534">
          <cell r="J534">
            <v>81</v>
          </cell>
        </row>
        <row r="534">
          <cell r="M534">
            <v>94.5</v>
          </cell>
        </row>
        <row r="534">
          <cell r="P534">
            <v>59.5</v>
          </cell>
        </row>
        <row r="534">
          <cell r="S534">
            <v>51</v>
          </cell>
        </row>
        <row r="534">
          <cell r="AE534">
            <v>46.5</v>
          </cell>
        </row>
        <row r="535">
          <cell r="C535">
            <v>11</v>
          </cell>
          <cell r="D535">
            <v>383.75</v>
          </cell>
        </row>
        <row r="535">
          <cell r="G535">
            <v>110.5</v>
          </cell>
        </row>
        <row r="535">
          <cell r="J535">
            <v>59.5</v>
          </cell>
        </row>
        <row r="535">
          <cell r="M535">
            <v>73</v>
          </cell>
        </row>
        <row r="535">
          <cell r="P535">
            <v>47.5</v>
          </cell>
        </row>
        <row r="535">
          <cell r="S535">
            <v>35.25</v>
          </cell>
        </row>
        <row r="535">
          <cell r="AE535">
            <v>58</v>
          </cell>
        </row>
        <row r="536">
          <cell r="C536">
            <v>11</v>
          </cell>
          <cell r="D536">
            <v>444.5</v>
          </cell>
        </row>
        <row r="536">
          <cell r="G536">
            <v>94</v>
          </cell>
        </row>
        <row r="536">
          <cell r="J536">
            <v>82.5</v>
          </cell>
        </row>
        <row r="536">
          <cell r="M536">
            <v>109</v>
          </cell>
        </row>
        <row r="536">
          <cell r="P536">
            <v>63</v>
          </cell>
        </row>
        <row r="536">
          <cell r="S536">
            <v>47.5</v>
          </cell>
        </row>
        <row r="536">
          <cell r="AE536">
            <v>48.5</v>
          </cell>
        </row>
        <row r="537">
          <cell r="C537">
            <v>11</v>
          </cell>
          <cell r="D537">
            <v>445</v>
          </cell>
        </row>
        <row r="537">
          <cell r="G537">
            <v>94.5</v>
          </cell>
        </row>
        <row r="537">
          <cell r="J537">
            <v>93</v>
          </cell>
        </row>
        <row r="537">
          <cell r="M537">
            <v>120.5</v>
          </cell>
        </row>
        <row r="537">
          <cell r="P537">
            <v>62</v>
          </cell>
        </row>
        <row r="537">
          <cell r="S537">
            <v>26.5</v>
          </cell>
        </row>
        <row r="537">
          <cell r="AE537">
            <v>48.5</v>
          </cell>
        </row>
        <row r="538">
          <cell r="C538">
            <v>11</v>
          </cell>
          <cell r="D538">
            <v>406</v>
          </cell>
        </row>
        <row r="538">
          <cell r="G538">
            <v>102.5</v>
          </cell>
        </row>
        <row r="538">
          <cell r="J538">
            <v>55</v>
          </cell>
        </row>
        <row r="538">
          <cell r="M538">
            <v>107.5</v>
          </cell>
        </row>
        <row r="538">
          <cell r="P538">
            <v>45</v>
          </cell>
        </row>
        <row r="538">
          <cell r="S538">
            <v>46</v>
          </cell>
        </row>
        <row r="538">
          <cell r="AE538">
            <v>50</v>
          </cell>
        </row>
        <row r="539">
          <cell r="C539">
            <v>11</v>
          </cell>
          <cell r="D539">
            <v>368</v>
          </cell>
        </row>
        <row r="539">
          <cell r="G539">
            <v>93</v>
          </cell>
        </row>
        <row r="539">
          <cell r="J539">
            <v>37.5</v>
          </cell>
        </row>
        <row r="539">
          <cell r="M539">
            <v>98.5</v>
          </cell>
        </row>
        <row r="539">
          <cell r="P539">
            <v>50.5</v>
          </cell>
        </row>
        <row r="539">
          <cell r="S539">
            <v>43</v>
          </cell>
        </row>
        <row r="539">
          <cell r="AE539">
            <v>45.5</v>
          </cell>
        </row>
        <row r="540">
          <cell r="C540">
            <v>11</v>
          </cell>
          <cell r="D540">
            <v>402</v>
          </cell>
        </row>
        <row r="540">
          <cell r="G540">
            <v>89.75</v>
          </cell>
        </row>
        <row r="540">
          <cell r="J540">
            <v>87.5</v>
          </cell>
        </row>
        <row r="540">
          <cell r="M540">
            <v>81</v>
          </cell>
        </row>
        <row r="540">
          <cell r="P540">
            <v>58</v>
          </cell>
        </row>
        <row r="540">
          <cell r="S540">
            <v>42.25</v>
          </cell>
        </row>
        <row r="540">
          <cell r="AE540">
            <v>43.5</v>
          </cell>
        </row>
        <row r="541">
          <cell r="C541">
            <v>11</v>
          </cell>
          <cell r="D541">
            <v>342.25</v>
          </cell>
        </row>
        <row r="541">
          <cell r="G541">
            <v>94.75</v>
          </cell>
        </row>
        <row r="541">
          <cell r="J541">
            <v>59.5</v>
          </cell>
        </row>
        <row r="541">
          <cell r="M541">
            <v>82.5</v>
          </cell>
        </row>
        <row r="541">
          <cell r="P541">
            <v>20.5</v>
          </cell>
        </row>
        <row r="541">
          <cell r="S541">
            <v>38</v>
          </cell>
        </row>
        <row r="541">
          <cell r="AE541">
            <v>47</v>
          </cell>
        </row>
        <row r="542">
          <cell r="C542">
            <v>11</v>
          </cell>
          <cell r="D542">
            <v>482.25</v>
          </cell>
        </row>
        <row r="542">
          <cell r="G542">
            <v>101.5</v>
          </cell>
        </row>
        <row r="542">
          <cell r="J542">
            <v>103</v>
          </cell>
        </row>
        <row r="542">
          <cell r="M542">
            <v>94</v>
          </cell>
        </row>
        <row r="542">
          <cell r="P542">
            <v>70.5</v>
          </cell>
        </row>
        <row r="542">
          <cell r="S542">
            <v>54.25</v>
          </cell>
        </row>
        <row r="542">
          <cell r="AE542">
            <v>59</v>
          </cell>
        </row>
        <row r="543">
          <cell r="C543">
            <v>11</v>
          </cell>
          <cell r="D543">
            <v>419.75</v>
          </cell>
        </row>
        <row r="543">
          <cell r="G543">
            <v>92</v>
          </cell>
        </row>
        <row r="543">
          <cell r="J543">
            <v>67.5</v>
          </cell>
        </row>
        <row r="543">
          <cell r="M543">
            <v>81.5</v>
          </cell>
        </row>
        <row r="543">
          <cell r="P543">
            <v>62</v>
          </cell>
        </row>
        <row r="543">
          <cell r="S543">
            <v>51.25</v>
          </cell>
        </row>
        <row r="543">
          <cell r="AE543">
            <v>65.5</v>
          </cell>
        </row>
        <row r="544">
          <cell r="C544">
            <v>11</v>
          </cell>
          <cell r="D544">
            <v>370.75</v>
          </cell>
        </row>
        <row r="544">
          <cell r="G544">
            <v>93.25</v>
          </cell>
        </row>
        <row r="544">
          <cell r="J544">
            <v>47.5</v>
          </cell>
        </row>
        <row r="544">
          <cell r="M544">
            <v>93</v>
          </cell>
        </row>
        <row r="544">
          <cell r="P544">
            <v>44.5</v>
          </cell>
        </row>
        <row r="544">
          <cell r="S544">
            <v>43</v>
          </cell>
        </row>
        <row r="544">
          <cell r="AE544">
            <v>49.5</v>
          </cell>
        </row>
        <row r="545">
          <cell r="C545">
            <v>11</v>
          </cell>
          <cell r="D545">
            <v>417.5</v>
          </cell>
        </row>
        <row r="545">
          <cell r="G545">
            <v>97.5</v>
          </cell>
        </row>
        <row r="545">
          <cell r="J545">
            <v>68.5</v>
          </cell>
        </row>
        <row r="545">
          <cell r="M545">
            <v>85.5</v>
          </cell>
        </row>
        <row r="545">
          <cell r="P545">
            <v>64</v>
          </cell>
        </row>
        <row r="545">
          <cell r="S545">
            <v>53</v>
          </cell>
        </row>
        <row r="545">
          <cell r="AE545">
            <v>49</v>
          </cell>
        </row>
        <row r="546">
          <cell r="C546">
            <v>11</v>
          </cell>
          <cell r="D546">
            <v>389.5</v>
          </cell>
        </row>
        <row r="546">
          <cell r="G546">
            <v>103</v>
          </cell>
        </row>
        <row r="546">
          <cell r="J546">
            <v>57.5</v>
          </cell>
        </row>
        <row r="546">
          <cell r="M546">
            <v>93</v>
          </cell>
        </row>
        <row r="546">
          <cell r="P546">
            <v>46</v>
          </cell>
        </row>
        <row r="546">
          <cell r="S546">
            <v>35</v>
          </cell>
        </row>
        <row r="546">
          <cell r="AE546">
            <v>55</v>
          </cell>
        </row>
        <row r="547">
          <cell r="C547">
            <v>11</v>
          </cell>
          <cell r="D547">
            <v>375.75</v>
          </cell>
        </row>
        <row r="547">
          <cell r="G547">
            <v>95</v>
          </cell>
        </row>
        <row r="547">
          <cell r="J547">
            <v>55</v>
          </cell>
        </row>
        <row r="547">
          <cell r="M547">
            <v>88</v>
          </cell>
        </row>
        <row r="547">
          <cell r="P547">
            <v>46</v>
          </cell>
        </row>
        <row r="547">
          <cell r="S547">
            <v>34.75</v>
          </cell>
        </row>
        <row r="547">
          <cell r="AE547">
            <v>57</v>
          </cell>
        </row>
        <row r="548">
          <cell r="C548">
            <v>11</v>
          </cell>
          <cell r="D548">
            <v>407.25</v>
          </cell>
        </row>
        <row r="548">
          <cell r="G548">
            <v>93.25</v>
          </cell>
        </row>
        <row r="548">
          <cell r="J548">
            <v>52.5</v>
          </cell>
        </row>
        <row r="548">
          <cell r="M548">
            <v>110.5</v>
          </cell>
        </row>
        <row r="548">
          <cell r="P548">
            <v>52.5</v>
          </cell>
        </row>
        <row r="548">
          <cell r="S548">
            <v>41.5</v>
          </cell>
        </row>
        <row r="548">
          <cell r="AE548">
            <v>57</v>
          </cell>
        </row>
        <row r="549">
          <cell r="C549">
            <v>11</v>
          </cell>
          <cell r="D549">
            <v>369.5</v>
          </cell>
        </row>
        <row r="549">
          <cell r="G549">
            <v>97.5</v>
          </cell>
        </row>
        <row r="549">
          <cell r="J549">
            <v>59</v>
          </cell>
        </row>
        <row r="549">
          <cell r="M549">
            <v>98.5</v>
          </cell>
        </row>
        <row r="549">
          <cell r="P549">
            <v>38.5</v>
          </cell>
        </row>
        <row r="549">
          <cell r="S549">
            <v>32.5</v>
          </cell>
        </row>
        <row r="549">
          <cell r="AE549">
            <v>43.5</v>
          </cell>
        </row>
        <row r="550">
          <cell r="C550">
            <v>12</v>
          </cell>
          <cell r="D550">
            <v>523</v>
          </cell>
        </row>
        <row r="550">
          <cell r="G550">
            <v>96.5</v>
          </cell>
        </row>
        <row r="550">
          <cell r="J550">
            <v>91</v>
          </cell>
        </row>
        <row r="550">
          <cell r="M550">
            <v>110.5</v>
          </cell>
        </row>
        <row r="550">
          <cell r="P550">
            <v>90.5</v>
          </cell>
        </row>
        <row r="550">
          <cell r="S550">
            <v>70</v>
          </cell>
        </row>
        <row r="550">
          <cell r="AE550">
            <v>64.5</v>
          </cell>
        </row>
        <row r="551">
          <cell r="C551">
            <v>12</v>
          </cell>
          <cell r="D551">
            <v>423</v>
          </cell>
        </row>
        <row r="551">
          <cell r="G551">
            <v>101</v>
          </cell>
        </row>
        <row r="551">
          <cell r="J551">
            <v>82.5</v>
          </cell>
        </row>
        <row r="551">
          <cell r="M551">
            <v>109.5</v>
          </cell>
        </row>
        <row r="551">
          <cell r="P551">
            <v>72</v>
          </cell>
        </row>
        <row r="551">
          <cell r="AE551">
            <v>58</v>
          </cell>
        </row>
        <row r="552">
          <cell r="C552">
            <v>12</v>
          </cell>
          <cell r="D552">
            <v>484.5</v>
          </cell>
        </row>
        <row r="552">
          <cell r="G552">
            <v>106.25</v>
          </cell>
        </row>
        <row r="552">
          <cell r="J552">
            <v>89.5</v>
          </cell>
        </row>
        <row r="552">
          <cell r="M552">
            <v>112.75</v>
          </cell>
        </row>
        <row r="552">
          <cell r="P552">
            <v>51</v>
          </cell>
        </row>
        <row r="552">
          <cell r="S552">
            <v>60</v>
          </cell>
        </row>
        <row r="552">
          <cell r="AE552">
            <v>65</v>
          </cell>
        </row>
        <row r="553">
          <cell r="C553">
            <v>12</v>
          </cell>
          <cell r="D553">
            <v>485.75</v>
          </cell>
        </row>
        <row r="553">
          <cell r="G553">
            <v>99.5</v>
          </cell>
        </row>
        <row r="553">
          <cell r="J553">
            <v>86.5</v>
          </cell>
        </row>
        <row r="553">
          <cell r="M553">
            <v>116.5</v>
          </cell>
        </row>
        <row r="553">
          <cell r="P553">
            <v>67.5</v>
          </cell>
        </row>
        <row r="553">
          <cell r="S553">
            <v>49.75</v>
          </cell>
        </row>
        <row r="553">
          <cell r="AE553">
            <v>66</v>
          </cell>
        </row>
        <row r="554">
          <cell r="C554">
            <v>12</v>
          </cell>
          <cell r="D554">
            <v>450.75</v>
          </cell>
        </row>
        <row r="554">
          <cell r="G554">
            <v>108.5</v>
          </cell>
        </row>
        <row r="554">
          <cell r="J554">
            <v>71.5</v>
          </cell>
        </row>
        <row r="554">
          <cell r="M554">
            <v>116</v>
          </cell>
        </row>
        <row r="554">
          <cell r="P554">
            <v>57</v>
          </cell>
        </row>
        <row r="554">
          <cell r="S554">
            <v>48.75</v>
          </cell>
        </row>
        <row r="554">
          <cell r="AE554">
            <v>49</v>
          </cell>
        </row>
        <row r="555">
          <cell r="C555">
            <v>12</v>
          </cell>
          <cell r="D555">
            <v>507</v>
          </cell>
        </row>
        <row r="555">
          <cell r="G555">
            <v>108.5</v>
          </cell>
        </row>
        <row r="555">
          <cell r="J555">
            <v>90.5</v>
          </cell>
        </row>
        <row r="555">
          <cell r="M555">
            <v>121</v>
          </cell>
        </row>
        <row r="555">
          <cell r="P555">
            <v>77.5</v>
          </cell>
        </row>
        <row r="555">
          <cell r="S555">
            <v>45</v>
          </cell>
        </row>
        <row r="555">
          <cell r="AE555">
            <v>64.5</v>
          </cell>
        </row>
        <row r="556">
          <cell r="C556">
            <v>12</v>
          </cell>
          <cell r="D556">
            <v>435</v>
          </cell>
        </row>
        <row r="556">
          <cell r="G556">
            <v>98.5</v>
          </cell>
        </row>
        <row r="556">
          <cell r="J556">
            <v>67.5</v>
          </cell>
        </row>
        <row r="556">
          <cell r="M556">
            <v>97.5</v>
          </cell>
        </row>
        <row r="556">
          <cell r="P556">
            <v>65.5</v>
          </cell>
        </row>
        <row r="556">
          <cell r="S556">
            <v>52.5</v>
          </cell>
        </row>
        <row r="556">
          <cell r="AE556">
            <v>53.5</v>
          </cell>
        </row>
        <row r="557">
          <cell r="C557">
            <v>12</v>
          </cell>
          <cell r="D557">
            <v>428.5</v>
          </cell>
        </row>
        <row r="557">
          <cell r="G557">
            <v>89</v>
          </cell>
        </row>
        <row r="557">
          <cell r="J557">
            <v>82.5</v>
          </cell>
        </row>
        <row r="557">
          <cell r="M557">
            <v>77</v>
          </cell>
        </row>
        <row r="557">
          <cell r="P557">
            <v>80.5</v>
          </cell>
        </row>
        <row r="557">
          <cell r="S557">
            <v>49</v>
          </cell>
        </row>
        <row r="557">
          <cell r="AE557">
            <v>50.5</v>
          </cell>
        </row>
        <row r="558">
          <cell r="C558">
            <v>12</v>
          </cell>
          <cell r="D558">
            <v>462.5</v>
          </cell>
        </row>
        <row r="558">
          <cell r="G558">
            <v>101</v>
          </cell>
        </row>
        <row r="558">
          <cell r="J558">
            <v>83</v>
          </cell>
        </row>
        <row r="558">
          <cell r="M558">
            <v>107</v>
          </cell>
        </row>
        <row r="558">
          <cell r="P558">
            <v>69.5</v>
          </cell>
        </row>
        <row r="558">
          <cell r="S558">
            <v>46.5</v>
          </cell>
        </row>
        <row r="558">
          <cell r="AE558">
            <v>55.5</v>
          </cell>
        </row>
        <row r="559">
          <cell r="C559">
            <v>12</v>
          </cell>
          <cell r="D559">
            <v>474.5</v>
          </cell>
        </row>
        <row r="559">
          <cell r="G559">
            <v>90</v>
          </cell>
        </row>
        <row r="559">
          <cell r="J559">
            <v>71.5</v>
          </cell>
        </row>
        <row r="559">
          <cell r="M559">
            <v>119</v>
          </cell>
        </row>
        <row r="559">
          <cell r="P559">
            <v>81.5</v>
          </cell>
        </row>
        <row r="559">
          <cell r="S559">
            <v>55</v>
          </cell>
        </row>
        <row r="559">
          <cell r="AE559">
            <v>57.5</v>
          </cell>
        </row>
        <row r="560">
          <cell r="C560">
            <v>12</v>
          </cell>
          <cell r="D560">
            <v>318</v>
          </cell>
        </row>
        <row r="560">
          <cell r="G560">
            <v>88</v>
          </cell>
        </row>
        <row r="560">
          <cell r="J560">
            <v>74.5</v>
          </cell>
        </row>
        <row r="560">
          <cell r="M560">
            <v>74</v>
          </cell>
        </row>
        <row r="560">
          <cell r="P560">
            <v>33.5</v>
          </cell>
        </row>
        <row r="560">
          <cell r="S560">
            <v>30.5</v>
          </cell>
        </row>
        <row r="560">
          <cell r="AE560">
            <v>17.5</v>
          </cell>
        </row>
        <row r="561">
          <cell r="C561">
            <v>12</v>
          </cell>
          <cell r="D561">
            <v>462.5</v>
          </cell>
        </row>
        <row r="561">
          <cell r="G561">
            <v>96.25</v>
          </cell>
        </row>
        <row r="561">
          <cell r="J561">
            <v>90.5</v>
          </cell>
        </row>
        <row r="561">
          <cell r="M561">
            <v>83</v>
          </cell>
        </row>
        <row r="561">
          <cell r="P561">
            <v>85</v>
          </cell>
        </row>
        <row r="561">
          <cell r="S561">
            <v>51.25</v>
          </cell>
        </row>
        <row r="561">
          <cell r="AE561">
            <v>56.5</v>
          </cell>
        </row>
        <row r="562">
          <cell r="C562">
            <v>12</v>
          </cell>
          <cell r="D562">
            <v>451.5</v>
          </cell>
        </row>
        <row r="562">
          <cell r="G562">
            <v>106</v>
          </cell>
        </row>
        <row r="562">
          <cell r="J562">
            <v>51.5</v>
          </cell>
        </row>
        <row r="562">
          <cell r="M562">
            <v>114.5</v>
          </cell>
        </row>
        <row r="562">
          <cell r="P562">
            <v>65</v>
          </cell>
        </row>
        <row r="562">
          <cell r="S562">
            <v>42</v>
          </cell>
        </row>
        <row r="562">
          <cell r="AE562">
            <v>72.5</v>
          </cell>
        </row>
        <row r="563">
          <cell r="C563">
            <v>12</v>
          </cell>
          <cell r="D563">
            <v>423.25</v>
          </cell>
        </row>
        <row r="563">
          <cell r="G563">
            <v>109.75</v>
          </cell>
        </row>
        <row r="563">
          <cell r="J563">
            <v>57.5</v>
          </cell>
        </row>
        <row r="563">
          <cell r="M563">
            <v>93.5</v>
          </cell>
        </row>
        <row r="563">
          <cell r="P563">
            <v>44</v>
          </cell>
        </row>
        <row r="563">
          <cell r="S563">
            <v>52.5</v>
          </cell>
        </row>
        <row r="563">
          <cell r="AE563">
            <v>66</v>
          </cell>
        </row>
        <row r="564">
          <cell r="C564">
            <v>12</v>
          </cell>
          <cell r="D564">
            <v>447.5</v>
          </cell>
        </row>
        <row r="564">
          <cell r="G564">
            <v>106</v>
          </cell>
        </row>
        <row r="564">
          <cell r="J564">
            <v>52</v>
          </cell>
        </row>
        <row r="564">
          <cell r="M564">
            <v>118</v>
          </cell>
        </row>
        <row r="564">
          <cell r="P564">
            <v>65.5</v>
          </cell>
        </row>
        <row r="564">
          <cell r="S564">
            <v>44.5</v>
          </cell>
        </row>
        <row r="564">
          <cell r="AE564">
            <v>61.5</v>
          </cell>
        </row>
        <row r="565">
          <cell r="C565">
            <v>12</v>
          </cell>
          <cell r="D565">
            <v>438.75</v>
          </cell>
        </row>
        <row r="565">
          <cell r="G565">
            <v>100.75</v>
          </cell>
        </row>
        <row r="565">
          <cell r="J565">
            <v>73</v>
          </cell>
        </row>
        <row r="565">
          <cell r="M565">
            <v>100</v>
          </cell>
        </row>
        <row r="565">
          <cell r="P565">
            <v>61.5</v>
          </cell>
        </row>
        <row r="565">
          <cell r="S565">
            <v>46.5</v>
          </cell>
        </row>
        <row r="565">
          <cell r="AE565">
            <v>57</v>
          </cell>
        </row>
        <row r="566">
          <cell r="C566">
            <v>12</v>
          </cell>
          <cell r="D566">
            <v>424</v>
          </cell>
        </row>
        <row r="566">
          <cell r="G566">
            <v>100</v>
          </cell>
        </row>
        <row r="566">
          <cell r="J566">
            <v>72.5</v>
          </cell>
        </row>
        <row r="566">
          <cell r="M566">
            <v>98</v>
          </cell>
        </row>
        <row r="566">
          <cell r="P566">
            <v>53.5</v>
          </cell>
        </row>
        <row r="566">
          <cell r="S566">
            <v>43</v>
          </cell>
        </row>
        <row r="566">
          <cell r="AE566">
            <v>57</v>
          </cell>
        </row>
        <row r="567">
          <cell r="C567">
            <v>12</v>
          </cell>
          <cell r="D567">
            <v>455</v>
          </cell>
        </row>
        <row r="567">
          <cell r="G567">
            <v>112.5</v>
          </cell>
        </row>
        <row r="567">
          <cell r="J567">
            <v>66</v>
          </cell>
        </row>
        <row r="567">
          <cell r="M567">
            <v>101</v>
          </cell>
        </row>
        <row r="567">
          <cell r="P567">
            <v>65.5</v>
          </cell>
        </row>
        <row r="567">
          <cell r="S567">
            <v>56</v>
          </cell>
        </row>
        <row r="567">
          <cell r="AE567">
            <v>54</v>
          </cell>
        </row>
        <row r="568">
          <cell r="C568">
            <v>12</v>
          </cell>
          <cell r="D568">
            <v>478.75</v>
          </cell>
        </row>
        <row r="568">
          <cell r="G568">
            <v>99.25</v>
          </cell>
        </row>
        <row r="568">
          <cell r="J568">
            <v>95.5</v>
          </cell>
        </row>
        <row r="568">
          <cell r="M568">
            <v>111.5</v>
          </cell>
        </row>
        <row r="568">
          <cell r="P568">
            <v>72.5</v>
          </cell>
        </row>
        <row r="568">
          <cell r="S568">
            <v>50</v>
          </cell>
        </row>
        <row r="568">
          <cell r="AE568">
            <v>50</v>
          </cell>
        </row>
        <row r="569">
          <cell r="C569">
            <v>12</v>
          </cell>
          <cell r="D569">
            <v>390</v>
          </cell>
        </row>
        <row r="569">
          <cell r="G569">
            <v>87</v>
          </cell>
        </row>
        <row r="569">
          <cell r="J569">
            <v>71.5</v>
          </cell>
        </row>
        <row r="569">
          <cell r="M569">
            <v>112</v>
          </cell>
        </row>
        <row r="569">
          <cell r="P569">
            <v>33</v>
          </cell>
        </row>
        <row r="569">
          <cell r="S569">
            <v>35.5</v>
          </cell>
        </row>
        <row r="569">
          <cell r="AE569">
            <v>51</v>
          </cell>
        </row>
        <row r="570">
          <cell r="C570">
            <v>12</v>
          </cell>
          <cell r="D570">
            <v>435.5</v>
          </cell>
        </row>
        <row r="570">
          <cell r="G570">
            <v>100.25</v>
          </cell>
        </row>
        <row r="570">
          <cell r="J570">
            <v>68</v>
          </cell>
        </row>
        <row r="570">
          <cell r="M570">
            <v>102.5</v>
          </cell>
        </row>
        <row r="570">
          <cell r="P570">
            <v>68.5</v>
          </cell>
        </row>
        <row r="570">
          <cell r="S570">
            <v>43.75</v>
          </cell>
        </row>
        <row r="570">
          <cell r="AE570">
            <v>52.5</v>
          </cell>
        </row>
        <row r="571">
          <cell r="C571">
            <v>12</v>
          </cell>
          <cell r="D571">
            <v>385.75</v>
          </cell>
        </row>
        <row r="571">
          <cell r="G571">
            <v>75.75</v>
          </cell>
        </row>
        <row r="571">
          <cell r="J571">
            <v>68</v>
          </cell>
        </row>
        <row r="571">
          <cell r="M571">
            <v>99</v>
          </cell>
        </row>
        <row r="571">
          <cell r="P571">
            <v>52</v>
          </cell>
        </row>
        <row r="571">
          <cell r="S571">
            <v>47.5</v>
          </cell>
        </row>
        <row r="571">
          <cell r="AE571">
            <v>43.5</v>
          </cell>
        </row>
        <row r="572">
          <cell r="C572">
            <v>12</v>
          </cell>
          <cell r="D572">
            <v>400.5</v>
          </cell>
        </row>
        <row r="572">
          <cell r="G572">
            <v>97.5</v>
          </cell>
        </row>
        <row r="572">
          <cell r="J572">
            <v>42</v>
          </cell>
        </row>
        <row r="572">
          <cell r="M572">
            <v>113</v>
          </cell>
        </row>
        <row r="572">
          <cell r="P572">
            <v>50.5</v>
          </cell>
        </row>
        <row r="572">
          <cell r="S572">
            <v>46</v>
          </cell>
        </row>
        <row r="572">
          <cell r="AE572">
            <v>51.5</v>
          </cell>
        </row>
        <row r="573">
          <cell r="C573">
            <v>12</v>
          </cell>
          <cell r="D573">
            <v>487.5</v>
          </cell>
        </row>
        <row r="573">
          <cell r="G573">
            <v>106.5</v>
          </cell>
        </row>
        <row r="573">
          <cell r="J573">
            <v>93</v>
          </cell>
        </row>
        <row r="573">
          <cell r="M573">
            <v>105.5</v>
          </cell>
        </row>
        <row r="573">
          <cell r="P573">
            <v>68.5</v>
          </cell>
        </row>
        <row r="573">
          <cell r="S573">
            <v>52.5</v>
          </cell>
        </row>
        <row r="573">
          <cell r="AE573">
            <v>61.5</v>
          </cell>
        </row>
        <row r="574">
          <cell r="C574">
            <v>12</v>
          </cell>
          <cell r="D574">
            <v>417</v>
          </cell>
        </row>
        <row r="574">
          <cell r="G574">
            <v>100</v>
          </cell>
        </row>
        <row r="574">
          <cell r="J574">
            <v>60</v>
          </cell>
        </row>
        <row r="574">
          <cell r="M574">
            <v>102</v>
          </cell>
        </row>
        <row r="574">
          <cell r="P574">
            <v>67</v>
          </cell>
        </row>
        <row r="574">
          <cell r="S574">
            <v>40</v>
          </cell>
        </row>
        <row r="574">
          <cell r="AE574">
            <v>48</v>
          </cell>
        </row>
        <row r="575">
          <cell r="C575">
            <v>12</v>
          </cell>
          <cell r="D575">
            <v>442.25</v>
          </cell>
        </row>
        <row r="575">
          <cell r="G575">
            <v>90.75</v>
          </cell>
        </row>
        <row r="575">
          <cell r="J575">
            <v>80</v>
          </cell>
        </row>
        <row r="575">
          <cell r="M575">
            <v>99.5</v>
          </cell>
        </row>
        <row r="575">
          <cell r="P575">
            <v>54.5</v>
          </cell>
        </row>
        <row r="575">
          <cell r="S575">
            <v>55.5</v>
          </cell>
        </row>
        <row r="575">
          <cell r="AE575">
            <v>62</v>
          </cell>
        </row>
        <row r="576">
          <cell r="C576">
            <v>12</v>
          </cell>
          <cell r="D576">
            <v>421.5</v>
          </cell>
        </row>
        <row r="576">
          <cell r="G576">
            <v>96.5</v>
          </cell>
        </row>
        <row r="576">
          <cell r="J576">
            <v>86</v>
          </cell>
        </row>
        <row r="576">
          <cell r="M576">
            <v>80</v>
          </cell>
        </row>
        <row r="576">
          <cell r="P576">
            <v>60</v>
          </cell>
        </row>
        <row r="576">
          <cell r="S576">
            <v>53.5</v>
          </cell>
        </row>
        <row r="576">
          <cell r="AE576">
            <v>45.5</v>
          </cell>
        </row>
        <row r="577">
          <cell r="C577">
            <v>12</v>
          </cell>
          <cell r="D577">
            <v>436.25</v>
          </cell>
        </row>
        <row r="577">
          <cell r="G577">
            <v>107</v>
          </cell>
        </row>
        <row r="577">
          <cell r="J577">
            <v>75.5</v>
          </cell>
        </row>
        <row r="577">
          <cell r="M577">
            <v>83</v>
          </cell>
        </row>
        <row r="577">
          <cell r="P577">
            <v>60</v>
          </cell>
        </row>
        <row r="577">
          <cell r="S577">
            <v>53.25</v>
          </cell>
        </row>
        <row r="577">
          <cell r="AE577">
            <v>57.5</v>
          </cell>
        </row>
        <row r="578">
          <cell r="C578">
            <v>12</v>
          </cell>
          <cell r="D578">
            <v>412.5</v>
          </cell>
        </row>
        <row r="578">
          <cell r="G578">
            <v>98.5</v>
          </cell>
        </row>
        <row r="578">
          <cell r="J578">
            <v>79</v>
          </cell>
        </row>
        <row r="578">
          <cell r="M578">
            <v>98</v>
          </cell>
        </row>
        <row r="578">
          <cell r="P578">
            <v>54</v>
          </cell>
        </row>
        <row r="578">
          <cell r="S578">
            <v>29.5</v>
          </cell>
        </row>
        <row r="578">
          <cell r="AE578">
            <v>53.5</v>
          </cell>
        </row>
        <row r="579">
          <cell r="C579">
            <v>12</v>
          </cell>
          <cell r="D579">
            <v>346</v>
          </cell>
        </row>
        <row r="579">
          <cell r="G579">
            <v>98.5</v>
          </cell>
        </row>
        <row r="579">
          <cell r="J579">
            <v>50</v>
          </cell>
        </row>
        <row r="579">
          <cell r="M579">
            <v>91.5</v>
          </cell>
        </row>
        <row r="579">
          <cell r="P579">
            <v>39</v>
          </cell>
        </row>
        <row r="579">
          <cell r="S579">
            <v>19</v>
          </cell>
        </row>
        <row r="579">
          <cell r="AE579">
            <v>48</v>
          </cell>
        </row>
        <row r="580">
          <cell r="C580">
            <v>12</v>
          </cell>
          <cell r="D580">
            <v>455.75</v>
          </cell>
        </row>
        <row r="580">
          <cell r="G580">
            <v>99.25</v>
          </cell>
        </row>
        <row r="580">
          <cell r="J580">
            <v>83</v>
          </cell>
        </row>
        <row r="580">
          <cell r="M580">
            <v>118</v>
          </cell>
        </row>
        <row r="580">
          <cell r="P580">
            <v>56</v>
          </cell>
        </row>
        <row r="580">
          <cell r="S580">
            <v>56.5</v>
          </cell>
        </row>
        <row r="580">
          <cell r="AE580">
            <v>43</v>
          </cell>
        </row>
        <row r="581">
          <cell r="C581">
            <v>12</v>
          </cell>
          <cell r="D581">
            <v>456.75</v>
          </cell>
        </row>
        <row r="581">
          <cell r="G581">
            <v>106.75</v>
          </cell>
        </row>
        <row r="581">
          <cell r="J581">
            <v>76.5</v>
          </cell>
        </row>
        <row r="581">
          <cell r="M581">
            <v>101.5</v>
          </cell>
        </row>
        <row r="581">
          <cell r="P581">
            <v>67</v>
          </cell>
        </row>
        <row r="581">
          <cell r="S581">
            <v>48</v>
          </cell>
        </row>
        <row r="581">
          <cell r="AE581">
            <v>57</v>
          </cell>
        </row>
        <row r="582">
          <cell r="C582">
            <v>12</v>
          </cell>
          <cell r="D582">
            <v>399.25</v>
          </cell>
        </row>
        <row r="582">
          <cell r="G582">
            <v>90.75</v>
          </cell>
        </row>
        <row r="582">
          <cell r="J582">
            <v>59</v>
          </cell>
        </row>
        <row r="582">
          <cell r="M582">
            <v>95.5</v>
          </cell>
        </row>
        <row r="582">
          <cell r="P582">
            <v>67.5</v>
          </cell>
        </row>
        <row r="582">
          <cell r="S582">
            <v>36</v>
          </cell>
        </row>
        <row r="582">
          <cell r="AE582">
            <v>50.5</v>
          </cell>
        </row>
        <row r="583">
          <cell r="C583">
            <v>12</v>
          </cell>
          <cell r="D583">
            <v>447.25</v>
          </cell>
        </row>
        <row r="583">
          <cell r="G583">
            <v>89</v>
          </cell>
        </row>
        <row r="583">
          <cell r="J583">
            <v>85</v>
          </cell>
        </row>
        <row r="583">
          <cell r="M583">
            <v>102</v>
          </cell>
        </row>
        <row r="583">
          <cell r="P583">
            <v>76</v>
          </cell>
        </row>
        <row r="583">
          <cell r="S583">
            <v>40.25</v>
          </cell>
        </row>
        <row r="583">
          <cell r="AE583">
            <v>55</v>
          </cell>
        </row>
        <row r="584">
          <cell r="C584">
            <v>12</v>
          </cell>
          <cell r="D584">
            <v>435.5</v>
          </cell>
        </row>
        <row r="584">
          <cell r="G584">
            <v>101.5</v>
          </cell>
        </row>
        <row r="584">
          <cell r="J584">
            <v>68</v>
          </cell>
        </row>
        <row r="584">
          <cell r="M584">
            <v>97.5</v>
          </cell>
        </row>
        <row r="584">
          <cell r="P584">
            <v>54</v>
          </cell>
        </row>
        <row r="584">
          <cell r="S584">
            <v>48</v>
          </cell>
        </row>
        <row r="584">
          <cell r="AE584">
            <v>66.5</v>
          </cell>
        </row>
        <row r="585">
          <cell r="C585">
            <v>12</v>
          </cell>
          <cell r="D585">
            <v>417.5</v>
          </cell>
        </row>
        <row r="585">
          <cell r="G585">
            <v>91</v>
          </cell>
        </row>
        <row r="585">
          <cell r="J585">
            <v>81</v>
          </cell>
        </row>
        <row r="585">
          <cell r="M585">
            <v>78</v>
          </cell>
        </row>
        <row r="585">
          <cell r="P585">
            <v>66.5</v>
          </cell>
        </row>
        <row r="585">
          <cell r="S585">
            <v>56.5</v>
          </cell>
        </row>
        <row r="585">
          <cell r="AE585">
            <v>44.5</v>
          </cell>
        </row>
        <row r="586">
          <cell r="C586">
            <v>12</v>
          </cell>
          <cell r="D586">
            <v>440.25</v>
          </cell>
        </row>
        <row r="586">
          <cell r="G586">
            <v>96.5</v>
          </cell>
        </row>
        <row r="586">
          <cell r="J586">
            <v>63.5</v>
          </cell>
        </row>
        <row r="586">
          <cell r="M586">
            <v>120.5</v>
          </cell>
        </row>
        <row r="586">
          <cell r="P586">
            <v>56.5</v>
          </cell>
        </row>
        <row r="586">
          <cell r="S586">
            <v>40.75</v>
          </cell>
        </row>
        <row r="586">
          <cell r="AE586">
            <v>62.5</v>
          </cell>
        </row>
        <row r="587">
          <cell r="C587">
            <v>12</v>
          </cell>
          <cell r="D587">
            <v>449</v>
          </cell>
        </row>
        <row r="587">
          <cell r="G587">
            <v>89.5</v>
          </cell>
        </row>
        <row r="587">
          <cell r="J587">
            <v>82</v>
          </cell>
        </row>
        <row r="587">
          <cell r="M587">
            <v>124.5</v>
          </cell>
        </row>
        <row r="587">
          <cell r="P587">
            <v>53.5</v>
          </cell>
        </row>
        <row r="587">
          <cell r="S587">
            <v>51</v>
          </cell>
        </row>
        <row r="587">
          <cell r="AE587">
            <v>48.5</v>
          </cell>
        </row>
        <row r="588">
          <cell r="C588">
            <v>12</v>
          </cell>
          <cell r="D588">
            <v>409</v>
          </cell>
        </row>
        <row r="588">
          <cell r="G588">
            <v>105</v>
          </cell>
        </row>
        <row r="588">
          <cell r="J588">
            <v>58.5</v>
          </cell>
        </row>
        <row r="588">
          <cell r="M588">
            <v>99</v>
          </cell>
        </row>
        <row r="588">
          <cell r="P588">
            <v>51.5</v>
          </cell>
        </row>
        <row r="588">
          <cell r="S588">
            <v>40.5</v>
          </cell>
        </row>
        <row r="588">
          <cell r="AE588">
            <v>54.5</v>
          </cell>
        </row>
        <row r="589">
          <cell r="C589">
            <v>12</v>
          </cell>
          <cell r="D589">
            <v>277</v>
          </cell>
        </row>
        <row r="589">
          <cell r="G589">
            <v>83</v>
          </cell>
        </row>
        <row r="589">
          <cell r="J589">
            <v>36.5</v>
          </cell>
        </row>
        <row r="589">
          <cell r="M589">
            <v>72.5</v>
          </cell>
        </row>
        <row r="589">
          <cell r="P589">
            <v>24</v>
          </cell>
        </row>
        <row r="589">
          <cell r="S589">
            <v>24.5</v>
          </cell>
        </row>
        <row r="589">
          <cell r="AE589">
            <v>36.5</v>
          </cell>
        </row>
        <row r="590">
          <cell r="C590">
            <v>12</v>
          </cell>
          <cell r="D590">
            <v>423</v>
          </cell>
        </row>
        <row r="590">
          <cell r="G590">
            <v>101.5</v>
          </cell>
        </row>
        <row r="590">
          <cell r="J590">
            <v>77.5</v>
          </cell>
        </row>
        <row r="590">
          <cell r="M590">
            <v>80</v>
          </cell>
        </row>
        <row r="590">
          <cell r="P590">
            <v>62</v>
          </cell>
        </row>
        <row r="590">
          <cell r="S590">
            <v>47.5</v>
          </cell>
        </row>
        <row r="590">
          <cell r="AE590">
            <v>54.5</v>
          </cell>
        </row>
        <row r="591">
          <cell r="C591">
            <v>12</v>
          </cell>
          <cell r="D591">
            <v>397.75</v>
          </cell>
        </row>
        <row r="591">
          <cell r="G591">
            <v>102</v>
          </cell>
        </row>
        <row r="591">
          <cell r="J591">
            <v>37.5</v>
          </cell>
        </row>
        <row r="591">
          <cell r="M591">
            <v>106.75</v>
          </cell>
        </row>
        <row r="591">
          <cell r="P591">
            <v>44</v>
          </cell>
        </row>
        <row r="591">
          <cell r="S591">
            <v>41.5</v>
          </cell>
        </row>
        <row r="591">
          <cell r="AE591">
            <v>66</v>
          </cell>
        </row>
        <row r="592">
          <cell r="C592">
            <v>12</v>
          </cell>
          <cell r="D592">
            <v>409.75</v>
          </cell>
        </row>
        <row r="592">
          <cell r="G592">
            <v>95.5</v>
          </cell>
        </row>
        <row r="592">
          <cell r="J592">
            <v>63</v>
          </cell>
        </row>
        <row r="592">
          <cell r="M592">
            <v>115.25</v>
          </cell>
        </row>
        <row r="592">
          <cell r="P592">
            <v>62</v>
          </cell>
        </row>
        <row r="592">
          <cell r="S592">
            <v>41</v>
          </cell>
        </row>
        <row r="592">
          <cell r="AE592">
            <v>33</v>
          </cell>
        </row>
        <row r="593">
          <cell r="C593">
            <v>12</v>
          </cell>
          <cell r="D593">
            <v>446.5</v>
          </cell>
        </row>
        <row r="593">
          <cell r="G593">
            <v>108</v>
          </cell>
        </row>
        <row r="593">
          <cell r="J593">
            <v>71</v>
          </cell>
        </row>
        <row r="593">
          <cell r="M593">
            <v>99</v>
          </cell>
        </row>
        <row r="593">
          <cell r="P593">
            <v>67.5</v>
          </cell>
        </row>
        <row r="593">
          <cell r="S593">
            <v>42.5</v>
          </cell>
        </row>
        <row r="593">
          <cell r="AE593">
            <v>58.5</v>
          </cell>
        </row>
        <row r="594">
          <cell r="C594">
            <v>12</v>
          </cell>
          <cell r="D594">
            <v>427.5</v>
          </cell>
        </row>
        <row r="594">
          <cell r="G594">
            <v>100.5</v>
          </cell>
        </row>
        <row r="594">
          <cell r="J594">
            <v>76</v>
          </cell>
        </row>
        <row r="594">
          <cell r="M594">
            <v>97.5</v>
          </cell>
        </row>
        <row r="594">
          <cell r="P594">
            <v>58.5</v>
          </cell>
        </row>
        <row r="594">
          <cell r="S594">
            <v>45</v>
          </cell>
        </row>
        <row r="594">
          <cell r="AE594">
            <v>50</v>
          </cell>
        </row>
        <row r="595">
          <cell r="C595">
            <v>12</v>
          </cell>
          <cell r="D595">
            <v>327.25</v>
          </cell>
        </row>
        <row r="595">
          <cell r="G595">
            <v>93.5</v>
          </cell>
        </row>
        <row r="595">
          <cell r="J595">
            <v>50.5</v>
          </cell>
        </row>
        <row r="595">
          <cell r="M595">
            <v>85.5</v>
          </cell>
        </row>
        <row r="595">
          <cell r="P595">
            <v>24</v>
          </cell>
        </row>
        <row r="595">
          <cell r="S595">
            <v>38.75</v>
          </cell>
        </row>
        <row r="595">
          <cell r="AE595">
            <v>35</v>
          </cell>
        </row>
        <row r="596">
          <cell r="C596">
            <v>12</v>
          </cell>
          <cell r="D596">
            <v>436.25</v>
          </cell>
        </row>
        <row r="596">
          <cell r="G596">
            <v>98</v>
          </cell>
        </row>
        <row r="596">
          <cell r="J596">
            <v>73.5</v>
          </cell>
        </row>
        <row r="596">
          <cell r="M596">
            <v>105</v>
          </cell>
        </row>
        <row r="596">
          <cell r="P596">
            <v>59.5</v>
          </cell>
        </row>
        <row r="596">
          <cell r="S596">
            <v>40.25</v>
          </cell>
        </row>
        <row r="596">
          <cell r="AE596">
            <v>60</v>
          </cell>
        </row>
        <row r="597">
          <cell r="C597">
            <v>13</v>
          </cell>
          <cell r="D597">
            <v>491.5</v>
          </cell>
        </row>
        <row r="597">
          <cell r="G597">
            <v>93</v>
          </cell>
        </row>
        <row r="597">
          <cell r="J597">
            <v>95.5</v>
          </cell>
        </row>
        <row r="597">
          <cell r="M597">
            <v>99.5</v>
          </cell>
        </row>
        <row r="597">
          <cell r="P597">
            <v>79.5</v>
          </cell>
        </row>
        <row r="597">
          <cell r="S597">
            <v>64</v>
          </cell>
        </row>
        <row r="597">
          <cell r="AE597">
            <v>60</v>
          </cell>
        </row>
        <row r="598">
          <cell r="C598">
            <v>13</v>
          </cell>
          <cell r="D598">
            <v>480.75</v>
          </cell>
        </row>
        <row r="598">
          <cell r="G598">
            <v>105</v>
          </cell>
        </row>
        <row r="598">
          <cell r="J598">
            <v>78.5</v>
          </cell>
        </row>
        <row r="598">
          <cell r="M598">
            <v>120</v>
          </cell>
        </row>
        <row r="598">
          <cell r="P598">
            <v>70</v>
          </cell>
        </row>
        <row r="598">
          <cell r="S598">
            <v>47.25</v>
          </cell>
        </row>
        <row r="598">
          <cell r="AE598">
            <v>60</v>
          </cell>
        </row>
        <row r="599">
          <cell r="C599">
            <v>13</v>
          </cell>
          <cell r="D599">
            <v>494.5</v>
          </cell>
        </row>
        <row r="599">
          <cell r="G599">
            <v>102.5</v>
          </cell>
        </row>
        <row r="599">
          <cell r="J599">
            <v>84</v>
          </cell>
        </row>
        <row r="599">
          <cell r="M599">
            <v>123</v>
          </cell>
        </row>
        <row r="599">
          <cell r="P599">
            <v>74</v>
          </cell>
        </row>
        <row r="599">
          <cell r="S599">
            <v>52.5</v>
          </cell>
        </row>
        <row r="599">
          <cell r="AE599">
            <v>58.5</v>
          </cell>
        </row>
        <row r="600">
          <cell r="C600">
            <v>13</v>
          </cell>
          <cell r="D600">
            <v>455</v>
          </cell>
        </row>
        <row r="600">
          <cell r="G600">
            <v>106</v>
          </cell>
        </row>
        <row r="600">
          <cell r="J600">
            <v>67</v>
          </cell>
        </row>
        <row r="600">
          <cell r="M600">
            <v>105.25</v>
          </cell>
        </row>
        <row r="600">
          <cell r="P600">
            <v>61</v>
          </cell>
        </row>
        <row r="600">
          <cell r="S600">
            <v>57.25</v>
          </cell>
        </row>
        <row r="600">
          <cell r="AE600">
            <v>58.5</v>
          </cell>
        </row>
        <row r="601">
          <cell r="C601">
            <v>13</v>
          </cell>
          <cell r="D601">
            <v>453</v>
          </cell>
        </row>
        <row r="601">
          <cell r="G601">
            <v>99</v>
          </cell>
        </row>
        <row r="601">
          <cell r="J601">
            <v>75</v>
          </cell>
        </row>
        <row r="601">
          <cell r="M601">
            <v>107.5</v>
          </cell>
        </row>
        <row r="601">
          <cell r="P601">
            <v>72.5</v>
          </cell>
        </row>
        <row r="601">
          <cell r="S601">
            <v>32</v>
          </cell>
        </row>
        <row r="601">
          <cell r="AE601">
            <v>67</v>
          </cell>
        </row>
        <row r="602">
          <cell r="C602">
            <v>13</v>
          </cell>
          <cell r="D602">
            <v>429</v>
          </cell>
        </row>
        <row r="602">
          <cell r="G602">
            <v>98</v>
          </cell>
        </row>
        <row r="602">
          <cell r="J602">
            <v>77.5</v>
          </cell>
        </row>
        <row r="602">
          <cell r="M602">
            <v>77</v>
          </cell>
        </row>
        <row r="602">
          <cell r="P602">
            <v>82</v>
          </cell>
        </row>
        <row r="602">
          <cell r="S602">
            <v>51</v>
          </cell>
        </row>
        <row r="602">
          <cell r="AE602">
            <v>43.5</v>
          </cell>
        </row>
        <row r="603">
          <cell r="C603">
            <v>13</v>
          </cell>
          <cell r="D603">
            <v>438</v>
          </cell>
        </row>
        <row r="603">
          <cell r="G603">
            <v>104.25</v>
          </cell>
        </row>
        <row r="603">
          <cell r="J603">
            <v>61.5</v>
          </cell>
        </row>
        <row r="603">
          <cell r="M603">
            <v>114</v>
          </cell>
        </row>
        <row r="603">
          <cell r="P603">
            <v>50</v>
          </cell>
        </row>
        <row r="603">
          <cell r="S603">
            <v>48.25</v>
          </cell>
        </row>
        <row r="603">
          <cell r="AE603">
            <v>60</v>
          </cell>
        </row>
        <row r="604">
          <cell r="C604">
            <v>13</v>
          </cell>
          <cell r="D604">
            <v>442.25</v>
          </cell>
        </row>
        <row r="604">
          <cell r="G604">
            <v>99</v>
          </cell>
        </row>
        <row r="604">
          <cell r="J604">
            <v>73.5</v>
          </cell>
        </row>
        <row r="604">
          <cell r="M604">
            <v>101</v>
          </cell>
        </row>
        <row r="604">
          <cell r="P604">
            <v>65.5</v>
          </cell>
        </row>
        <row r="604">
          <cell r="S604">
            <v>41.25</v>
          </cell>
        </row>
        <row r="604">
          <cell r="AE604">
            <v>62</v>
          </cell>
        </row>
        <row r="605">
          <cell r="C605">
            <v>13</v>
          </cell>
          <cell r="D605">
            <v>435.5</v>
          </cell>
        </row>
        <row r="605">
          <cell r="G605">
            <v>102.5</v>
          </cell>
        </row>
        <row r="605">
          <cell r="J605">
            <v>42.5</v>
          </cell>
        </row>
        <row r="605">
          <cell r="M605">
            <v>111.5</v>
          </cell>
        </row>
        <row r="605">
          <cell r="P605">
            <v>67.5</v>
          </cell>
        </row>
        <row r="605">
          <cell r="S605">
            <v>47.5</v>
          </cell>
        </row>
        <row r="605">
          <cell r="AE605">
            <v>64</v>
          </cell>
        </row>
        <row r="606">
          <cell r="C606">
            <v>13</v>
          </cell>
          <cell r="D606">
            <v>418</v>
          </cell>
        </row>
        <row r="606">
          <cell r="G606">
            <v>98.5</v>
          </cell>
        </row>
        <row r="606">
          <cell r="J606">
            <v>76</v>
          </cell>
        </row>
        <row r="606">
          <cell r="M606">
            <v>70.5</v>
          </cell>
        </row>
        <row r="606">
          <cell r="P606">
            <v>75.5</v>
          </cell>
        </row>
        <row r="606">
          <cell r="S606">
            <v>40.5</v>
          </cell>
        </row>
        <row r="606">
          <cell r="AE606">
            <v>57</v>
          </cell>
        </row>
        <row r="607">
          <cell r="C607">
            <v>13</v>
          </cell>
          <cell r="D607">
            <v>474.75</v>
          </cell>
        </row>
        <row r="607">
          <cell r="G607">
            <v>109</v>
          </cell>
        </row>
        <row r="607">
          <cell r="J607">
            <v>82</v>
          </cell>
        </row>
        <row r="607">
          <cell r="M607">
            <v>91</v>
          </cell>
        </row>
        <row r="607">
          <cell r="P607">
            <v>73</v>
          </cell>
        </row>
        <row r="607">
          <cell r="S607">
            <v>64.25</v>
          </cell>
        </row>
        <row r="607">
          <cell r="AE607">
            <v>55.5</v>
          </cell>
        </row>
        <row r="608">
          <cell r="C608">
            <v>13</v>
          </cell>
          <cell r="D608">
            <v>421.5</v>
          </cell>
        </row>
        <row r="608">
          <cell r="G608">
            <v>108.5</v>
          </cell>
        </row>
        <row r="608">
          <cell r="J608">
            <v>62</v>
          </cell>
        </row>
        <row r="608">
          <cell r="M608">
            <v>107.5</v>
          </cell>
        </row>
        <row r="608">
          <cell r="P608">
            <v>44.5</v>
          </cell>
        </row>
        <row r="608">
          <cell r="S608">
            <v>41.5</v>
          </cell>
        </row>
        <row r="608">
          <cell r="AE608">
            <v>57.5</v>
          </cell>
        </row>
        <row r="609">
          <cell r="C609">
            <v>13</v>
          </cell>
          <cell r="D609">
            <v>379</v>
          </cell>
        </row>
        <row r="609">
          <cell r="G609">
            <v>98.5</v>
          </cell>
        </row>
        <row r="609">
          <cell r="J609">
            <v>50.5</v>
          </cell>
        </row>
        <row r="609">
          <cell r="M609">
            <v>104.5</v>
          </cell>
        </row>
        <row r="609">
          <cell r="P609">
            <v>31</v>
          </cell>
        </row>
        <row r="609">
          <cell r="S609">
            <v>36.5</v>
          </cell>
        </row>
        <row r="609">
          <cell r="AE609">
            <v>58</v>
          </cell>
        </row>
        <row r="610">
          <cell r="C610">
            <v>13</v>
          </cell>
          <cell r="D610">
            <v>441.75</v>
          </cell>
        </row>
        <row r="610">
          <cell r="G610">
            <v>95.75</v>
          </cell>
        </row>
        <row r="610">
          <cell r="J610">
            <v>69</v>
          </cell>
        </row>
        <row r="610">
          <cell r="M610">
            <v>121.5</v>
          </cell>
        </row>
        <row r="610">
          <cell r="P610">
            <v>55.5</v>
          </cell>
        </row>
        <row r="610">
          <cell r="S610">
            <v>47.5</v>
          </cell>
        </row>
        <row r="610">
          <cell r="AE610">
            <v>52.5</v>
          </cell>
        </row>
        <row r="611">
          <cell r="C611">
            <v>13</v>
          </cell>
          <cell r="D611">
            <v>468</v>
          </cell>
        </row>
        <row r="611">
          <cell r="G611">
            <v>93.5</v>
          </cell>
        </row>
        <row r="611">
          <cell r="J611">
            <v>92</v>
          </cell>
        </row>
        <row r="611">
          <cell r="M611">
            <v>109.5</v>
          </cell>
        </row>
        <row r="611">
          <cell r="P611">
            <v>78.5</v>
          </cell>
        </row>
        <row r="611">
          <cell r="S611">
            <v>53.5</v>
          </cell>
        </row>
        <row r="611">
          <cell r="AE611">
            <v>41</v>
          </cell>
        </row>
        <row r="612">
          <cell r="C612">
            <v>13</v>
          </cell>
          <cell r="D612">
            <v>440</v>
          </cell>
        </row>
        <row r="612">
          <cell r="G612">
            <v>99.5</v>
          </cell>
        </row>
        <row r="612">
          <cell r="J612">
            <v>74</v>
          </cell>
        </row>
        <row r="612">
          <cell r="M612">
            <v>109</v>
          </cell>
        </row>
        <row r="612">
          <cell r="P612">
            <v>76.5</v>
          </cell>
        </row>
        <row r="612">
          <cell r="S612">
            <v>44.5</v>
          </cell>
        </row>
        <row r="612">
          <cell r="AE612">
            <v>36.5</v>
          </cell>
        </row>
        <row r="613">
          <cell r="C613">
            <v>13</v>
          </cell>
          <cell r="D613">
            <v>499.5</v>
          </cell>
        </row>
        <row r="613">
          <cell r="G613">
            <v>105</v>
          </cell>
        </row>
        <row r="613">
          <cell r="J613">
            <v>92</v>
          </cell>
        </row>
        <row r="613">
          <cell r="M613">
            <v>114.5</v>
          </cell>
        </row>
        <row r="613">
          <cell r="P613">
            <v>69</v>
          </cell>
        </row>
        <row r="613">
          <cell r="S613">
            <v>54.5</v>
          </cell>
        </row>
        <row r="613">
          <cell r="AE613">
            <v>64.5</v>
          </cell>
        </row>
        <row r="614">
          <cell r="C614">
            <v>13</v>
          </cell>
          <cell r="D614">
            <v>374.5</v>
          </cell>
        </row>
        <row r="614">
          <cell r="G614">
            <v>93.5</v>
          </cell>
        </row>
        <row r="614">
          <cell r="J614">
            <v>55</v>
          </cell>
        </row>
        <row r="614">
          <cell r="M614">
            <v>105</v>
          </cell>
        </row>
        <row r="614">
          <cell r="P614">
            <v>34.5</v>
          </cell>
        </row>
        <row r="614">
          <cell r="S614">
            <v>33</v>
          </cell>
        </row>
        <row r="614">
          <cell r="AE614">
            <v>53.5</v>
          </cell>
        </row>
        <row r="615">
          <cell r="C615">
            <v>13</v>
          </cell>
          <cell r="D615">
            <v>511</v>
          </cell>
        </row>
        <row r="615">
          <cell r="G615">
            <v>109.5</v>
          </cell>
        </row>
        <row r="615">
          <cell r="J615">
            <v>87.5</v>
          </cell>
        </row>
        <row r="615">
          <cell r="M615">
            <v>100.5</v>
          </cell>
        </row>
        <row r="615">
          <cell r="P615">
            <v>81.5</v>
          </cell>
        </row>
        <row r="615">
          <cell r="S615">
            <v>73.5</v>
          </cell>
        </row>
        <row r="615">
          <cell r="AE615">
            <v>58.5</v>
          </cell>
        </row>
        <row r="616">
          <cell r="C616">
            <v>13</v>
          </cell>
          <cell r="D616">
            <v>379.5</v>
          </cell>
        </row>
        <row r="616">
          <cell r="G616">
            <v>103.5</v>
          </cell>
        </row>
        <row r="616">
          <cell r="J616">
            <v>71</v>
          </cell>
        </row>
        <row r="616">
          <cell r="M616">
            <v>83.5</v>
          </cell>
        </row>
        <row r="616">
          <cell r="P616">
            <v>47</v>
          </cell>
        </row>
        <row r="616">
          <cell r="S616">
            <v>36.5</v>
          </cell>
        </row>
        <row r="616">
          <cell r="AE616">
            <v>38</v>
          </cell>
        </row>
        <row r="617">
          <cell r="C617">
            <v>13</v>
          </cell>
          <cell r="D617">
            <v>433</v>
          </cell>
        </row>
        <row r="617">
          <cell r="G617">
            <v>96.5</v>
          </cell>
        </row>
        <row r="617">
          <cell r="J617">
            <v>63.5</v>
          </cell>
        </row>
        <row r="617">
          <cell r="M617">
            <v>109</v>
          </cell>
        </row>
        <row r="617">
          <cell r="P617">
            <v>60</v>
          </cell>
        </row>
        <row r="617">
          <cell r="S617">
            <v>52.5</v>
          </cell>
        </row>
        <row r="617">
          <cell r="AE617">
            <v>51.5</v>
          </cell>
        </row>
        <row r="618">
          <cell r="C618">
            <v>13</v>
          </cell>
          <cell r="D618">
            <v>496.75</v>
          </cell>
        </row>
        <row r="618">
          <cell r="G618">
            <v>106.5</v>
          </cell>
        </row>
        <row r="618">
          <cell r="J618">
            <v>89</v>
          </cell>
        </row>
        <row r="618">
          <cell r="M618">
            <v>106.5</v>
          </cell>
        </row>
        <row r="618">
          <cell r="P618">
            <v>84</v>
          </cell>
        </row>
        <row r="618">
          <cell r="S618">
            <v>58.75</v>
          </cell>
        </row>
        <row r="618">
          <cell r="AE618">
            <v>52</v>
          </cell>
        </row>
        <row r="619">
          <cell r="C619">
            <v>13</v>
          </cell>
          <cell r="D619">
            <v>429.5</v>
          </cell>
        </row>
        <row r="619">
          <cell r="G619">
            <v>89.5</v>
          </cell>
        </row>
        <row r="619">
          <cell r="J619">
            <v>101</v>
          </cell>
        </row>
        <row r="619">
          <cell r="M619">
            <v>90</v>
          </cell>
        </row>
        <row r="619">
          <cell r="P619">
            <v>59</v>
          </cell>
        </row>
        <row r="619">
          <cell r="S619">
            <v>44</v>
          </cell>
        </row>
        <row r="619">
          <cell r="AE619">
            <v>46</v>
          </cell>
        </row>
        <row r="620">
          <cell r="C620">
            <v>13</v>
          </cell>
          <cell r="D620">
            <v>445.75</v>
          </cell>
        </row>
        <row r="620">
          <cell r="G620">
            <v>104.5</v>
          </cell>
        </row>
        <row r="620">
          <cell r="J620">
            <v>68</v>
          </cell>
        </row>
        <row r="620">
          <cell r="M620">
            <v>110.5</v>
          </cell>
        </row>
        <row r="620">
          <cell r="P620">
            <v>60.5</v>
          </cell>
        </row>
        <row r="620">
          <cell r="S620">
            <v>56.75</v>
          </cell>
        </row>
        <row r="620">
          <cell r="AE620">
            <v>45.5</v>
          </cell>
        </row>
        <row r="621">
          <cell r="C621">
            <v>13</v>
          </cell>
          <cell r="D621">
            <v>403.75</v>
          </cell>
        </row>
        <row r="621">
          <cell r="G621">
            <v>95.5</v>
          </cell>
        </row>
        <row r="621">
          <cell r="J621">
            <v>62</v>
          </cell>
        </row>
        <row r="621">
          <cell r="M621">
            <v>100</v>
          </cell>
        </row>
        <row r="621">
          <cell r="P621">
            <v>50</v>
          </cell>
        </row>
        <row r="621">
          <cell r="S621">
            <v>45.25</v>
          </cell>
        </row>
        <row r="621">
          <cell r="AE621">
            <v>51</v>
          </cell>
        </row>
        <row r="622">
          <cell r="C622">
            <v>13</v>
          </cell>
          <cell r="D622">
            <v>422</v>
          </cell>
        </row>
        <row r="622">
          <cell r="G622">
            <v>95.5</v>
          </cell>
        </row>
        <row r="622">
          <cell r="J622">
            <v>81.5</v>
          </cell>
        </row>
        <row r="622">
          <cell r="M622">
            <v>85.5</v>
          </cell>
        </row>
        <row r="622">
          <cell r="P622">
            <v>57</v>
          </cell>
        </row>
        <row r="622">
          <cell r="S622">
            <v>46.75</v>
          </cell>
        </row>
        <row r="622">
          <cell r="AE622">
            <v>55.75</v>
          </cell>
        </row>
        <row r="623">
          <cell r="C623">
            <v>13</v>
          </cell>
          <cell r="D623">
            <v>396.25</v>
          </cell>
        </row>
        <row r="623">
          <cell r="G623">
            <v>98.5</v>
          </cell>
        </row>
        <row r="623">
          <cell r="J623">
            <v>47.5</v>
          </cell>
        </row>
        <row r="623">
          <cell r="M623">
            <v>109.5</v>
          </cell>
        </row>
        <row r="623">
          <cell r="P623">
            <v>42</v>
          </cell>
        </row>
        <row r="623">
          <cell r="S623">
            <v>41.25</v>
          </cell>
        </row>
        <row r="623">
          <cell r="AE623">
            <v>57.5</v>
          </cell>
        </row>
        <row r="624">
          <cell r="C624">
            <v>13</v>
          </cell>
          <cell r="D624">
            <v>357.5</v>
          </cell>
        </row>
        <row r="624">
          <cell r="G624">
            <v>90.5</v>
          </cell>
        </row>
        <row r="624">
          <cell r="J624">
            <v>58</v>
          </cell>
        </row>
        <row r="624">
          <cell r="M624">
            <v>101.5</v>
          </cell>
        </row>
        <row r="624">
          <cell r="P624">
            <v>33.5</v>
          </cell>
        </row>
        <row r="624">
          <cell r="S624">
            <v>21</v>
          </cell>
        </row>
        <row r="624">
          <cell r="AE624">
            <v>53</v>
          </cell>
        </row>
        <row r="625">
          <cell r="C625">
            <v>13</v>
          </cell>
          <cell r="D625">
            <v>432.5</v>
          </cell>
        </row>
        <row r="625">
          <cell r="G625">
            <v>85</v>
          </cell>
        </row>
        <row r="625">
          <cell r="J625">
            <v>97.5</v>
          </cell>
        </row>
        <row r="625">
          <cell r="M625">
            <v>96.5</v>
          </cell>
        </row>
        <row r="625">
          <cell r="P625">
            <v>57.5</v>
          </cell>
        </row>
        <row r="625">
          <cell r="S625">
            <v>50</v>
          </cell>
        </row>
        <row r="625">
          <cell r="AE625">
            <v>46</v>
          </cell>
        </row>
        <row r="626">
          <cell r="C626">
            <v>13</v>
          </cell>
          <cell r="D626">
            <v>438</v>
          </cell>
        </row>
        <row r="626">
          <cell r="G626">
            <v>97</v>
          </cell>
        </row>
        <row r="626">
          <cell r="J626">
            <v>61</v>
          </cell>
        </row>
        <row r="626">
          <cell r="M626">
            <v>100.5</v>
          </cell>
        </row>
        <row r="626">
          <cell r="P626">
            <v>84</v>
          </cell>
        </row>
        <row r="626">
          <cell r="S626">
            <v>34.5</v>
          </cell>
        </row>
        <row r="626">
          <cell r="AE626">
            <v>61</v>
          </cell>
        </row>
        <row r="627">
          <cell r="C627">
            <v>13</v>
          </cell>
          <cell r="D627">
            <v>354</v>
          </cell>
        </row>
        <row r="627">
          <cell r="G627">
            <v>59.25</v>
          </cell>
        </row>
        <row r="627">
          <cell r="J627">
            <v>65</v>
          </cell>
        </row>
        <row r="627">
          <cell r="M627">
            <v>77.5</v>
          </cell>
        </row>
        <row r="627">
          <cell r="P627">
            <v>58</v>
          </cell>
        </row>
        <row r="627">
          <cell r="S627">
            <v>49.25</v>
          </cell>
        </row>
        <row r="627">
          <cell r="AE627">
            <v>45</v>
          </cell>
        </row>
        <row r="628">
          <cell r="C628">
            <v>13</v>
          </cell>
          <cell r="D628">
            <v>417.5</v>
          </cell>
        </row>
        <row r="628">
          <cell r="G628">
            <v>87.75</v>
          </cell>
        </row>
        <row r="628">
          <cell r="J628">
            <v>78</v>
          </cell>
        </row>
        <row r="628">
          <cell r="M628">
            <v>104.5</v>
          </cell>
        </row>
        <row r="628">
          <cell r="P628">
            <v>47.5</v>
          </cell>
        </row>
        <row r="628">
          <cell r="S628">
            <v>49.25</v>
          </cell>
        </row>
        <row r="628">
          <cell r="AE628">
            <v>50.5</v>
          </cell>
        </row>
        <row r="629">
          <cell r="C629">
            <v>13</v>
          </cell>
          <cell r="D629">
            <v>375</v>
          </cell>
        </row>
        <row r="629">
          <cell r="G629">
            <v>95</v>
          </cell>
        </row>
        <row r="629">
          <cell r="J629">
            <v>59.5</v>
          </cell>
        </row>
        <row r="629">
          <cell r="M629">
            <v>79.5</v>
          </cell>
        </row>
        <row r="629">
          <cell r="P629">
            <v>54</v>
          </cell>
        </row>
        <row r="629">
          <cell r="S629">
            <v>37.5</v>
          </cell>
        </row>
        <row r="629">
          <cell r="AE629">
            <v>49.5</v>
          </cell>
        </row>
        <row r="630">
          <cell r="C630">
            <v>13</v>
          </cell>
          <cell r="D630">
            <v>428</v>
          </cell>
        </row>
        <row r="630">
          <cell r="G630">
            <v>105.5</v>
          </cell>
        </row>
        <row r="630">
          <cell r="J630">
            <v>55</v>
          </cell>
        </row>
        <row r="630">
          <cell r="M630">
            <v>102</v>
          </cell>
        </row>
        <row r="630">
          <cell r="P630">
            <v>62</v>
          </cell>
        </row>
        <row r="630">
          <cell r="S630">
            <v>37.5</v>
          </cell>
        </row>
        <row r="630">
          <cell r="AE630">
            <v>66</v>
          </cell>
        </row>
        <row r="631">
          <cell r="C631">
            <v>13</v>
          </cell>
          <cell r="D631">
            <v>440.5</v>
          </cell>
        </row>
        <row r="631">
          <cell r="G631">
            <v>94</v>
          </cell>
        </row>
        <row r="631">
          <cell r="J631">
            <v>69</v>
          </cell>
        </row>
        <row r="631">
          <cell r="M631">
            <v>111.5</v>
          </cell>
        </row>
        <row r="631">
          <cell r="P631">
            <v>64.5</v>
          </cell>
        </row>
        <row r="631">
          <cell r="S631">
            <v>48</v>
          </cell>
        </row>
        <row r="631">
          <cell r="AE631">
            <v>53.5</v>
          </cell>
        </row>
        <row r="632">
          <cell r="C632">
            <v>13</v>
          </cell>
          <cell r="D632">
            <v>428</v>
          </cell>
        </row>
        <row r="632">
          <cell r="G632">
            <v>109</v>
          </cell>
        </row>
        <row r="632">
          <cell r="J632">
            <v>64</v>
          </cell>
        </row>
        <row r="632">
          <cell r="M632">
            <v>99</v>
          </cell>
        </row>
        <row r="632">
          <cell r="P632">
            <v>62</v>
          </cell>
        </row>
        <row r="632">
          <cell r="S632">
            <v>38.5</v>
          </cell>
        </row>
        <row r="632">
          <cell r="AE632">
            <v>55.5</v>
          </cell>
        </row>
        <row r="633">
          <cell r="C633">
            <v>13</v>
          </cell>
          <cell r="D633">
            <v>392</v>
          </cell>
        </row>
        <row r="633">
          <cell r="G633">
            <v>98</v>
          </cell>
        </row>
        <row r="633">
          <cell r="J633">
            <v>34.5</v>
          </cell>
        </row>
        <row r="633">
          <cell r="M633">
            <v>109.5</v>
          </cell>
        </row>
        <row r="633">
          <cell r="P633">
            <v>49.5</v>
          </cell>
        </row>
        <row r="633">
          <cell r="S633">
            <v>40.5</v>
          </cell>
        </row>
        <row r="633">
          <cell r="AE633">
            <v>60</v>
          </cell>
        </row>
        <row r="634">
          <cell r="C634">
            <v>13</v>
          </cell>
          <cell r="D634">
            <v>382</v>
          </cell>
        </row>
        <row r="634">
          <cell r="G634">
            <v>87</v>
          </cell>
        </row>
        <row r="634">
          <cell r="J634">
            <v>64</v>
          </cell>
        </row>
        <row r="634">
          <cell r="M634">
            <v>89</v>
          </cell>
        </row>
        <row r="634">
          <cell r="P634">
            <v>54</v>
          </cell>
        </row>
        <row r="634">
          <cell r="S634">
            <v>28.5</v>
          </cell>
        </row>
        <row r="634">
          <cell r="AE634">
            <v>59.5</v>
          </cell>
        </row>
        <row r="635">
          <cell r="C635">
            <v>13</v>
          </cell>
          <cell r="D635">
            <v>455.5</v>
          </cell>
        </row>
        <row r="635">
          <cell r="G635">
            <v>97.5</v>
          </cell>
        </row>
        <row r="635">
          <cell r="J635">
            <v>70.5</v>
          </cell>
        </row>
        <row r="635">
          <cell r="M635">
            <v>105</v>
          </cell>
        </row>
        <row r="635">
          <cell r="P635">
            <v>68</v>
          </cell>
        </row>
        <row r="635">
          <cell r="S635">
            <v>55.5</v>
          </cell>
        </row>
        <row r="635">
          <cell r="AE635">
            <v>59</v>
          </cell>
        </row>
        <row r="636">
          <cell r="C636">
            <v>13</v>
          </cell>
          <cell r="D636">
            <v>386.75</v>
          </cell>
        </row>
        <row r="636">
          <cell r="G636">
            <v>99.5</v>
          </cell>
        </row>
        <row r="636">
          <cell r="J636">
            <v>77.5</v>
          </cell>
        </row>
        <row r="636">
          <cell r="M636">
            <v>76</v>
          </cell>
        </row>
        <row r="636">
          <cell r="P636">
            <v>54</v>
          </cell>
        </row>
        <row r="636">
          <cell r="S636">
            <v>35.25</v>
          </cell>
        </row>
        <row r="636">
          <cell r="AE636">
            <v>44.5</v>
          </cell>
        </row>
        <row r="637">
          <cell r="C637">
            <v>13</v>
          </cell>
          <cell r="D637">
            <v>352.5</v>
          </cell>
        </row>
        <row r="637">
          <cell r="G637">
            <v>92</v>
          </cell>
        </row>
        <row r="637">
          <cell r="J637">
            <v>60</v>
          </cell>
        </row>
        <row r="637">
          <cell r="M637">
            <v>88.5</v>
          </cell>
        </row>
        <row r="637">
          <cell r="P637">
            <v>35</v>
          </cell>
        </row>
        <row r="637">
          <cell r="S637">
            <v>37</v>
          </cell>
        </row>
        <row r="637">
          <cell r="AE637">
            <v>40</v>
          </cell>
        </row>
        <row r="638">
          <cell r="C638">
            <v>13</v>
          </cell>
          <cell r="D638">
            <v>443</v>
          </cell>
        </row>
        <row r="638">
          <cell r="G638">
            <v>98</v>
          </cell>
        </row>
        <row r="638">
          <cell r="J638">
            <v>80.5</v>
          </cell>
        </row>
        <row r="638">
          <cell r="M638">
            <v>101</v>
          </cell>
        </row>
        <row r="638">
          <cell r="P638">
            <v>57</v>
          </cell>
        </row>
        <row r="638">
          <cell r="S638">
            <v>50.5</v>
          </cell>
        </row>
        <row r="638">
          <cell r="AE638">
            <v>56</v>
          </cell>
        </row>
        <row r="639">
          <cell r="C639">
            <v>13</v>
          </cell>
          <cell r="D639">
            <v>490.25</v>
          </cell>
        </row>
        <row r="639">
          <cell r="G639">
            <v>95</v>
          </cell>
        </row>
        <row r="639">
          <cell r="J639">
            <v>103.5</v>
          </cell>
        </row>
        <row r="639">
          <cell r="M639">
            <v>110</v>
          </cell>
        </row>
        <row r="639">
          <cell r="P639">
            <v>69</v>
          </cell>
        </row>
        <row r="639">
          <cell r="S639">
            <v>49.75</v>
          </cell>
        </row>
        <row r="639">
          <cell r="AE639">
            <v>63</v>
          </cell>
        </row>
        <row r="640">
          <cell r="C640">
            <v>13</v>
          </cell>
          <cell r="D640">
            <v>323.25</v>
          </cell>
        </row>
        <row r="640">
          <cell r="G640">
            <v>81.25</v>
          </cell>
        </row>
        <row r="640">
          <cell r="J640">
            <v>21.5</v>
          </cell>
        </row>
        <row r="640">
          <cell r="M640">
            <v>86.5</v>
          </cell>
        </row>
        <row r="640">
          <cell r="P640">
            <v>28.5</v>
          </cell>
        </row>
        <row r="640">
          <cell r="S640">
            <v>45.5</v>
          </cell>
        </row>
        <row r="640">
          <cell r="AE640">
            <v>60</v>
          </cell>
        </row>
        <row r="641">
          <cell r="C641">
            <v>13</v>
          </cell>
          <cell r="D641">
            <v>428.75</v>
          </cell>
        </row>
        <row r="641">
          <cell r="G641">
            <v>91</v>
          </cell>
        </row>
        <row r="641">
          <cell r="J641">
            <v>62</v>
          </cell>
        </row>
        <row r="641">
          <cell r="M641">
            <v>105.5</v>
          </cell>
        </row>
        <row r="641">
          <cell r="P641">
            <v>72.5</v>
          </cell>
        </row>
        <row r="641">
          <cell r="S641">
            <v>48.25</v>
          </cell>
        </row>
        <row r="641">
          <cell r="AE641">
            <v>49.5</v>
          </cell>
        </row>
        <row r="642">
          <cell r="C642">
            <v>14</v>
          </cell>
          <cell r="D642">
            <v>497.5</v>
          </cell>
        </row>
        <row r="642">
          <cell r="G642">
            <v>105.5</v>
          </cell>
        </row>
        <row r="642">
          <cell r="J642">
            <v>80</v>
          </cell>
        </row>
        <row r="642">
          <cell r="M642">
            <v>125</v>
          </cell>
        </row>
        <row r="642">
          <cell r="V642">
            <v>56.5</v>
          </cell>
        </row>
        <row r="642">
          <cell r="Y642">
            <v>61.5</v>
          </cell>
        </row>
        <row r="642">
          <cell r="AB642">
            <v>69</v>
          </cell>
        </row>
        <row r="643">
          <cell r="C643">
            <v>14</v>
          </cell>
          <cell r="D643">
            <v>493.5</v>
          </cell>
        </row>
        <row r="643">
          <cell r="G643">
            <v>122</v>
          </cell>
        </row>
        <row r="643">
          <cell r="J643">
            <v>87.5</v>
          </cell>
        </row>
        <row r="643">
          <cell r="M643">
            <v>106</v>
          </cell>
        </row>
        <row r="643">
          <cell r="V643">
            <v>57.5</v>
          </cell>
        </row>
        <row r="643">
          <cell r="Y643">
            <v>59.5</v>
          </cell>
        </row>
        <row r="643">
          <cell r="AB643">
            <v>61</v>
          </cell>
        </row>
        <row r="644">
          <cell r="C644">
            <v>14</v>
          </cell>
          <cell r="D644">
            <v>452.5</v>
          </cell>
        </row>
        <row r="644">
          <cell r="G644">
            <v>96.5</v>
          </cell>
        </row>
        <row r="644">
          <cell r="J644">
            <v>76.5</v>
          </cell>
        </row>
        <row r="644">
          <cell r="M644">
            <v>118</v>
          </cell>
        </row>
        <row r="644">
          <cell r="V644">
            <v>50.5</v>
          </cell>
        </row>
        <row r="644">
          <cell r="Y644">
            <v>52.5</v>
          </cell>
        </row>
        <row r="644">
          <cell r="AB644">
            <v>58.5</v>
          </cell>
        </row>
        <row r="645">
          <cell r="C645">
            <v>14</v>
          </cell>
          <cell r="D645">
            <v>487</v>
          </cell>
        </row>
        <row r="645">
          <cell r="G645">
            <v>111</v>
          </cell>
        </row>
        <row r="645">
          <cell r="J645">
            <v>78.5</v>
          </cell>
        </row>
        <row r="645">
          <cell r="M645">
            <v>112</v>
          </cell>
        </row>
        <row r="645">
          <cell r="V645">
            <v>55</v>
          </cell>
        </row>
        <row r="645">
          <cell r="Y645">
            <v>62.5</v>
          </cell>
        </row>
        <row r="645">
          <cell r="AB645">
            <v>68</v>
          </cell>
        </row>
        <row r="646">
          <cell r="C646">
            <v>14</v>
          </cell>
          <cell r="D646">
            <v>476.5</v>
          </cell>
        </row>
        <row r="646">
          <cell r="G646">
            <v>110.5</v>
          </cell>
        </row>
        <row r="646">
          <cell r="J646">
            <v>65</v>
          </cell>
        </row>
        <row r="646">
          <cell r="M646">
            <v>125</v>
          </cell>
        </row>
        <row r="646">
          <cell r="V646">
            <v>43</v>
          </cell>
        </row>
        <row r="646">
          <cell r="Y646">
            <v>67.5</v>
          </cell>
        </row>
        <row r="646">
          <cell r="AB646">
            <v>65.5</v>
          </cell>
        </row>
        <row r="647">
          <cell r="C647">
            <v>14</v>
          </cell>
          <cell r="D647">
            <v>455.5</v>
          </cell>
        </row>
        <row r="647">
          <cell r="G647">
            <v>99.5</v>
          </cell>
        </row>
        <row r="647">
          <cell r="J647">
            <v>78</v>
          </cell>
        </row>
        <row r="647">
          <cell r="M647">
            <v>121</v>
          </cell>
        </row>
        <row r="647">
          <cell r="V647">
            <v>47</v>
          </cell>
        </row>
        <row r="647">
          <cell r="Y647">
            <v>48.5</v>
          </cell>
        </row>
        <row r="647">
          <cell r="AB647">
            <v>61.5</v>
          </cell>
        </row>
        <row r="648">
          <cell r="C648">
            <v>14</v>
          </cell>
          <cell r="D648">
            <v>479.5</v>
          </cell>
        </row>
        <row r="648">
          <cell r="G648">
            <v>99.5</v>
          </cell>
        </row>
        <row r="648">
          <cell r="J648">
            <v>59.5</v>
          </cell>
        </row>
        <row r="648">
          <cell r="M648">
            <v>129.5</v>
          </cell>
        </row>
        <row r="648">
          <cell r="V648">
            <v>62</v>
          </cell>
        </row>
        <row r="648">
          <cell r="Y648">
            <v>73</v>
          </cell>
        </row>
        <row r="648">
          <cell r="AB648">
            <v>56</v>
          </cell>
        </row>
        <row r="649">
          <cell r="C649">
            <v>14</v>
          </cell>
          <cell r="D649">
            <v>467</v>
          </cell>
        </row>
        <row r="649">
          <cell r="G649">
            <v>104.5</v>
          </cell>
        </row>
        <row r="649">
          <cell r="J649">
            <v>84</v>
          </cell>
        </row>
        <row r="649">
          <cell r="M649">
            <v>100</v>
          </cell>
        </row>
        <row r="649">
          <cell r="V649">
            <v>64.5</v>
          </cell>
        </row>
        <row r="649">
          <cell r="Y649">
            <v>55</v>
          </cell>
        </row>
        <row r="649">
          <cell r="AB649">
            <v>59</v>
          </cell>
        </row>
        <row r="650">
          <cell r="C650">
            <v>14</v>
          </cell>
          <cell r="D650">
            <v>458.5</v>
          </cell>
        </row>
        <row r="650">
          <cell r="G650">
            <v>114</v>
          </cell>
        </row>
        <row r="650">
          <cell r="J650">
            <v>72.5</v>
          </cell>
        </row>
        <row r="650">
          <cell r="M650">
            <v>102</v>
          </cell>
        </row>
        <row r="650">
          <cell r="V650">
            <v>46.5</v>
          </cell>
        </row>
        <row r="650">
          <cell r="Y650">
            <v>59</v>
          </cell>
        </row>
        <row r="650">
          <cell r="AB650">
            <v>64.5</v>
          </cell>
        </row>
        <row r="651">
          <cell r="C651">
            <v>14</v>
          </cell>
          <cell r="D651">
            <v>483</v>
          </cell>
        </row>
        <row r="651">
          <cell r="G651">
            <v>102</v>
          </cell>
        </row>
        <row r="651">
          <cell r="J651">
            <v>81.5</v>
          </cell>
        </row>
        <row r="651">
          <cell r="M651">
            <v>122.5</v>
          </cell>
        </row>
        <row r="651">
          <cell r="V651">
            <v>59</v>
          </cell>
        </row>
        <row r="651">
          <cell r="Y651">
            <v>62</v>
          </cell>
        </row>
        <row r="651">
          <cell r="AB651">
            <v>56</v>
          </cell>
        </row>
        <row r="652">
          <cell r="C652">
            <v>14</v>
          </cell>
          <cell r="D652">
            <v>428.25</v>
          </cell>
        </row>
        <row r="652">
          <cell r="G652">
            <v>103.75</v>
          </cell>
        </row>
        <row r="652">
          <cell r="J652">
            <v>49</v>
          </cell>
        </row>
        <row r="652">
          <cell r="M652">
            <v>119.5</v>
          </cell>
        </row>
        <row r="652">
          <cell r="V652">
            <v>51</v>
          </cell>
        </row>
        <row r="652">
          <cell r="Y652">
            <v>50.5</v>
          </cell>
        </row>
        <row r="652">
          <cell r="AB652">
            <v>54.5</v>
          </cell>
        </row>
        <row r="653">
          <cell r="C653">
            <v>14</v>
          </cell>
          <cell r="D653">
            <v>419.75</v>
          </cell>
        </row>
        <row r="653">
          <cell r="G653">
            <v>97.25</v>
          </cell>
        </row>
        <row r="653">
          <cell r="J653">
            <v>41.5</v>
          </cell>
        </row>
        <row r="653">
          <cell r="M653">
            <v>113</v>
          </cell>
        </row>
        <row r="653">
          <cell r="V653">
            <v>49.5</v>
          </cell>
        </row>
        <row r="653">
          <cell r="Y653">
            <v>49</v>
          </cell>
        </row>
        <row r="653">
          <cell r="AB653">
            <v>69.5</v>
          </cell>
        </row>
        <row r="654">
          <cell r="C654">
            <v>14</v>
          </cell>
          <cell r="D654">
            <v>431</v>
          </cell>
        </row>
        <row r="654">
          <cell r="G654">
            <v>108</v>
          </cell>
        </row>
        <row r="654">
          <cell r="J654">
            <v>43.5</v>
          </cell>
        </row>
        <row r="654">
          <cell r="M654">
            <v>120.5</v>
          </cell>
        </row>
        <row r="654">
          <cell r="V654">
            <v>58.5</v>
          </cell>
        </row>
        <row r="654">
          <cell r="Y654">
            <v>43.5</v>
          </cell>
        </row>
        <row r="654">
          <cell r="AB654">
            <v>57</v>
          </cell>
        </row>
        <row r="655">
          <cell r="C655">
            <v>14</v>
          </cell>
          <cell r="D655">
            <v>431.5</v>
          </cell>
        </row>
        <row r="655">
          <cell r="G655">
            <v>105.5</v>
          </cell>
        </row>
        <row r="655">
          <cell r="J655">
            <v>43</v>
          </cell>
        </row>
        <row r="655">
          <cell r="M655">
            <v>117</v>
          </cell>
        </row>
        <row r="655">
          <cell r="V655">
            <v>47.5</v>
          </cell>
        </row>
        <row r="655">
          <cell r="Y655">
            <v>53.5</v>
          </cell>
        </row>
        <row r="655">
          <cell r="AB655">
            <v>65</v>
          </cell>
        </row>
        <row r="656">
          <cell r="C656">
            <v>14</v>
          </cell>
          <cell r="D656">
            <v>431.5</v>
          </cell>
        </row>
        <row r="656">
          <cell r="G656">
            <v>94.5</v>
          </cell>
        </row>
        <row r="656">
          <cell r="J656">
            <v>72</v>
          </cell>
        </row>
        <row r="656">
          <cell r="M656">
            <v>107</v>
          </cell>
        </row>
        <row r="656">
          <cell r="V656">
            <v>61.5</v>
          </cell>
        </row>
        <row r="656">
          <cell r="Y656">
            <v>43.5</v>
          </cell>
        </row>
        <row r="656">
          <cell r="AB656">
            <v>53</v>
          </cell>
        </row>
        <row r="657">
          <cell r="C657">
            <v>14</v>
          </cell>
          <cell r="D657">
            <v>405.5</v>
          </cell>
        </row>
        <row r="657">
          <cell r="G657">
            <v>105.5</v>
          </cell>
        </row>
        <row r="657">
          <cell r="J657">
            <v>62.5</v>
          </cell>
        </row>
        <row r="657">
          <cell r="M657">
            <v>96.5</v>
          </cell>
        </row>
        <row r="657">
          <cell r="V657">
            <v>43.5</v>
          </cell>
        </row>
        <row r="657">
          <cell r="Y657">
            <v>45</v>
          </cell>
        </row>
        <row r="657">
          <cell r="AB657">
            <v>52.5</v>
          </cell>
        </row>
        <row r="658">
          <cell r="C658">
            <v>14</v>
          </cell>
          <cell r="D658">
            <v>431</v>
          </cell>
        </row>
        <row r="658">
          <cell r="G658">
            <v>106.5</v>
          </cell>
        </row>
        <row r="658">
          <cell r="J658">
            <v>53.5</v>
          </cell>
        </row>
        <row r="658">
          <cell r="M658">
            <v>106</v>
          </cell>
        </row>
        <row r="658">
          <cell r="V658">
            <v>53</v>
          </cell>
        </row>
        <row r="658">
          <cell r="Y658">
            <v>52.5</v>
          </cell>
        </row>
        <row r="658">
          <cell r="AB658">
            <v>59.5</v>
          </cell>
        </row>
        <row r="659">
          <cell r="C659">
            <v>14</v>
          </cell>
          <cell r="D659">
            <v>447</v>
          </cell>
        </row>
        <row r="659">
          <cell r="G659">
            <v>96.5</v>
          </cell>
        </row>
        <row r="659">
          <cell r="J659">
            <v>65.5</v>
          </cell>
        </row>
        <row r="659">
          <cell r="M659">
            <v>106.5</v>
          </cell>
        </row>
        <row r="659">
          <cell r="V659">
            <v>66.5</v>
          </cell>
        </row>
        <row r="659">
          <cell r="Y659">
            <v>52.5</v>
          </cell>
        </row>
        <row r="659">
          <cell r="AB659">
            <v>59.5</v>
          </cell>
        </row>
        <row r="660">
          <cell r="C660">
            <v>14</v>
          </cell>
          <cell r="D660">
            <v>415</v>
          </cell>
        </row>
        <row r="660">
          <cell r="G660">
            <v>105.5</v>
          </cell>
        </row>
        <row r="660">
          <cell r="J660">
            <v>45.5</v>
          </cell>
        </row>
        <row r="660">
          <cell r="M660">
            <v>107</v>
          </cell>
        </row>
        <row r="660">
          <cell r="V660">
            <v>41.5</v>
          </cell>
        </row>
        <row r="660">
          <cell r="Y660">
            <v>57</v>
          </cell>
        </row>
        <row r="660">
          <cell r="AB660">
            <v>58.5</v>
          </cell>
        </row>
        <row r="661">
          <cell r="C661">
            <v>14</v>
          </cell>
          <cell r="D661">
            <v>404.5</v>
          </cell>
        </row>
        <row r="661">
          <cell r="G661">
            <v>98</v>
          </cell>
        </row>
        <row r="661">
          <cell r="J661">
            <v>46.5</v>
          </cell>
        </row>
        <row r="661">
          <cell r="M661">
            <v>107</v>
          </cell>
        </row>
        <row r="661">
          <cell r="V661">
            <v>52</v>
          </cell>
        </row>
        <row r="661">
          <cell r="Y661">
            <v>48</v>
          </cell>
        </row>
        <row r="661">
          <cell r="AB661">
            <v>53</v>
          </cell>
        </row>
        <row r="662">
          <cell r="C662">
            <v>14</v>
          </cell>
          <cell r="D662">
            <v>417.5</v>
          </cell>
        </row>
        <row r="662">
          <cell r="G662">
            <v>105</v>
          </cell>
        </row>
        <row r="662">
          <cell r="J662">
            <v>75</v>
          </cell>
        </row>
        <row r="662">
          <cell r="M662">
            <v>93.5</v>
          </cell>
        </row>
        <row r="662">
          <cell r="V662">
            <v>47</v>
          </cell>
        </row>
        <row r="662">
          <cell r="Y662">
            <v>43</v>
          </cell>
        </row>
        <row r="662">
          <cell r="AB662">
            <v>54</v>
          </cell>
        </row>
        <row r="663">
          <cell r="C663">
            <v>14</v>
          </cell>
          <cell r="D663">
            <v>387</v>
          </cell>
        </row>
        <row r="663">
          <cell r="G663">
            <v>102</v>
          </cell>
        </row>
        <row r="663">
          <cell r="J663">
            <v>53</v>
          </cell>
        </row>
        <row r="663">
          <cell r="M663">
            <v>102.5</v>
          </cell>
        </row>
        <row r="663">
          <cell r="V663">
            <v>30.5</v>
          </cell>
        </row>
        <row r="663">
          <cell r="Y663">
            <v>55</v>
          </cell>
        </row>
        <row r="663">
          <cell r="AB663">
            <v>44</v>
          </cell>
        </row>
        <row r="664">
          <cell r="C664">
            <v>14</v>
          </cell>
          <cell r="D664">
            <v>448</v>
          </cell>
        </row>
        <row r="664">
          <cell r="G664">
            <v>102.5</v>
          </cell>
        </row>
        <row r="664">
          <cell r="J664">
            <v>66</v>
          </cell>
        </row>
        <row r="664">
          <cell r="M664">
            <v>114</v>
          </cell>
        </row>
        <row r="664">
          <cell r="V664">
            <v>56.5</v>
          </cell>
        </row>
        <row r="664">
          <cell r="Y664">
            <v>43</v>
          </cell>
        </row>
        <row r="664">
          <cell r="AB664">
            <v>66</v>
          </cell>
        </row>
        <row r="665">
          <cell r="C665">
            <v>14</v>
          </cell>
          <cell r="D665">
            <v>399</v>
          </cell>
        </row>
        <row r="665">
          <cell r="G665">
            <v>109</v>
          </cell>
        </row>
        <row r="665">
          <cell r="J665">
            <v>62.5</v>
          </cell>
        </row>
        <row r="665">
          <cell r="M665">
            <v>99.5</v>
          </cell>
        </row>
        <row r="665">
          <cell r="V665">
            <v>31.5</v>
          </cell>
        </row>
        <row r="665">
          <cell r="Y665">
            <v>48</v>
          </cell>
        </row>
        <row r="665">
          <cell r="AB665">
            <v>48.5</v>
          </cell>
        </row>
        <row r="666">
          <cell r="C666">
            <v>14</v>
          </cell>
          <cell r="D666">
            <v>465.5</v>
          </cell>
        </row>
        <row r="666">
          <cell r="G666">
            <v>105.5</v>
          </cell>
        </row>
        <row r="666">
          <cell r="J666">
            <v>75.5</v>
          </cell>
        </row>
        <row r="666">
          <cell r="M666">
            <v>109</v>
          </cell>
        </row>
        <row r="666">
          <cell r="V666">
            <v>61</v>
          </cell>
        </row>
        <row r="666">
          <cell r="Y666">
            <v>56</v>
          </cell>
        </row>
        <row r="666">
          <cell r="AB666">
            <v>58.5</v>
          </cell>
        </row>
        <row r="667">
          <cell r="C667">
            <v>14</v>
          </cell>
          <cell r="D667">
            <v>415.5</v>
          </cell>
        </row>
        <row r="667">
          <cell r="G667">
            <v>105.5</v>
          </cell>
        </row>
        <row r="667">
          <cell r="J667">
            <v>64.5</v>
          </cell>
        </row>
        <row r="667">
          <cell r="M667">
            <v>99.5</v>
          </cell>
        </row>
        <row r="667">
          <cell r="V667">
            <v>45</v>
          </cell>
        </row>
        <row r="667">
          <cell r="Y667">
            <v>46.5</v>
          </cell>
        </row>
        <row r="667">
          <cell r="AB667">
            <v>54.5</v>
          </cell>
        </row>
        <row r="668">
          <cell r="C668">
            <v>14</v>
          </cell>
          <cell r="D668">
            <v>388</v>
          </cell>
        </row>
        <row r="668">
          <cell r="G668">
            <v>110</v>
          </cell>
        </row>
        <row r="668">
          <cell r="J668">
            <v>46</v>
          </cell>
        </row>
        <row r="668">
          <cell r="M668">
            <v>91.5</v>
          </cell>
        </row>
        <row r="668">
          <cell r="V668">
            <v>44.5</v>
          </cell>
        </row>
        <row r="668">
          <cell r="Y668">
            <v>41</v>
          </cell>
        </row>
        <row r="668">
          <cell r="AB668">
            <v>55</v>
          </cell>
        </row>
        <row r="669">
          <cell r="C669">
            <v>14</v>
          </cell>
          <cell r="D669">
            <v>409.5</v>
          </cell>
        </row>
        <row r="669">
          <cell r="G669">
            <v>110.5</v>
          </cell>
        </row>
        <row r="669">
          <cell r="J669">
            <v>47</v>
          </cell>
        </row>
        <row r="669">
          <cell r="M669">
            <v>91.5</v>
          </cell>
        </row>
        <row r="669">
          <cell r="V669">
            <v>59.5</v>
          </cell>
        </row>
        <row r="669">
          <cell r="Y669">
            <v>47.5</v>
          </cell>
        </row>
        <row r="669">
          <cell r="AB669">
            <v>53.5</v>
          </cell>
        </row>
        <row r="670">
          <cell r="C670">
            <v>14</v>
          </cell>
          <cell r="D670">
            <v>416.5</v>
          </cell>
        </row>
        <row r="670">
          <cell r="G670">
            <v>106.5</v>
          </cell>
        </row>
        <row r="670">
          <cell r="J670">
            <v>75</v>
          </cell>
        </row>
        <row r="670">
          <cell r="M670">
            <v>104</v>
          </cell>
        </row>
        <row r="670">
          <cell r="V670">
            <v>43.5</v>
          </cell>
        </row>
        <row r="670">
          <cell r="Y670">
            <v>34.5</v>
          </cell>
        </row>
        <row r="670">
          <cell r="AB670">
            <v>53</v>
          </cell>
        </row>
        <row r="671">
          <cell r="C671">
            <v>14</v>
          </cell>
          <cell r="D671">
            <v>416.25</v>
          </cell>
        </row>
        <row r="671">
          <cell r="G671">
            <v>105.75</v>
          </cell>
        </row>
        <row r="671">
          <cell r="J671">
            <v>52</v>
          </cell>
        </row>
        <row r="671">
          <cell r="M671">
            <v>102.5</v>
          </cell>
        </row>
        <row r="671">
          <cell r="V671">
            <v>48</v>
          </cell>
        </row>
        <row r="671">
          <cell r="Y671">
            <v>46.5</v>
          </cell>
        </row>
        <row r="671">
          <cell r="AB671">
            <v>61.5</v>
          </cell>
        </row>
        <row r="672">
          <cell r="C672">
            <v>14</v>
          </cell>
          <cell r="D672">
            <v>418</v>
          </cell>
        </row>
        <row r="672">
          <cell r="G672">
            <v>111.5</v>
          </cell>
        </row>
        <row r="672">
          <cell r="J672">
            <v>43.5</v>
          </cell>
        </row>
        <row r="672">
          <cell r="M672">
            <v>101</v>
          </cell>
        </row>
        <row r="672">
          <cell r="V672">
            <v>45</v>
          </cell>
        </row>
        <row r="672">
          <cell r="Y672">
            <v>48</v>
          </cell>
        </row>
        <row r="672">
          <cell r="AB672">
            <v>69</v>
          </cell>
        </row>
        <row r="673">
          <cell r="C673">
            <v>14</v>
          </cell>
          <cell r="D673">
            <v>419.5</v>
          </cell>
        </row>
        <row r="673">
          <cell r="G673">
            <v>104</v>
          </cell>
        </row>
        <row r="673">
          <cell r="J673">
            <v>70.5</v>
          </cell>
        </row>
        <row r="673">
          <cell r="M673">
            <v>85.5</v>
          </cell>
        </row>
        <row r="673">
          <cell r="V673">
            <v>52.5</v>
          </cell>
        </row>
        <row r="673">
          <cell r="Y673">
            <v>45.5</v>
          </cell>
        </row>
        <row r="673">
          <cell r="AB673">
            <v>61.5</v>
          </cell>
        </row>
        <row r="674">
          <cell r="C674">
            <v>14</v>
          </cell>
          <cell r="D674">
            <v>435.25</v>
          </cell>
        </row>
        <row r="674">
          <cell r="G674">
            <v>106.25</v>
          </cell>
        </row>
        <row r="674">
          <cell r="J674">
            <v>88</v>
          </cell>
        </row>
        <row r="674">
          <cell r="M674">
            <v>99</v>
          </cell>
        </row>
        <row r="674">
          <cell r="V674">
            <v>40</v>
          </cell>
        </row>
        <row r="674">
          <cell r="Y674">
            <v>56</v>
          </cell>
        </row>
        <row r="674">
          <cell r="AB674">
            <v>46</v>
          </cell>
        </row>
        <row r="675">
          <cell r="C675">
            <v>14</v>
          </cell>
          <cell r="D675">
            <v>404.5</v>
          </cell>
        </row>
        <row r="675">
          <cell r="G675">
            <v>97.5</v>
          </cell>
        </row>
        <row r="675">
          <cell r="J675">
            <v>66</v>
          </cell>
        </row>
        <row r="675">
          <cell r="M675">
            <v>100</v>
          </cell>
        </row>
        <row r="675">
          <cell r="V675">
            <v>49.5</v>
          </cell>
        </row>
        <row r="675">
          <cell r="Y675">
            <v>53.5</v>
          </cell>
        </row>
        <row r="675">
          <cell r="AB675">
            <v>38</v>
          </cell>
        </row>
        <row r="676">
          <cell r="C676">
            <v>14</v>
          </cell>
          <cell r="D676">
            <v>408</v>
          </cell>
        </row>
        <row r="676">
          <cell r="G676">
            <v>102</v>
          </cell>
        </row>
        <row r="676">
          <cell r="J676">
            <v>76.5</v>
          </cell>
        </row>
        <row r="676">
          <cell r="M676">
            <v>101</v>
          </cell>
        </row>
        <row r="676">
          <cell r="V676">
            <v>49.5</v>
          </cell>
        </row>
        <row r="676">
          <cell r="Y676">
            <v>35.5</v>
          </cell>
        </row>
        <row r="676">
          <cell r="AB676">
            <v>43.5</v>
          </cell>
        </row>
        <row r="678">
          <cell r="C678">
            <v>14</v>
          </cell>
          <cell r="D678">
            <v>385</v>
          </cell>
        </row>
        <row r="678">
          <cell r="G678">
            <v>101</v>
          </cell>
        </row>
        <row r="678">
          <cell r="J678">
            <v>39</v>
          </cell>
        </row>
        <row r="678">
          <cell r="M678">
            <v>94.5</v>
          </cell>
        </row>
        <row r="678">
          <cell r="V678">
            <v>51.5</v>
          </cell>
        </row>
        <row r="678">
          <cell r="Y678">
            <v>54</v>
          </cell>
        </row>
        <row r="678">
          <cell r="AB678">
            <v>45</v>
          </cell>
        </row>
        <row r="679">
          <cell r="C679">
            <v>14</v>
          </cell>
          <cell r="D679">
            <v>380.75</v>
          </cell>
        </row>
        <row r="679">
          <cell r="G679">
            <v>92.25</v>
          </cell>
        </row>
        <row r="679">
          <cell r="J679">
            <v>53</v>
          </cell>
        </row>
        <row r="679">
          <cell r="M679">
            <v>100.5</v>
          </cell>
        </row>
        <row r="679">
          <cell r="V679">
            <v>41.5</v>
          </cell>
        </row>
        <row r="679">
          <cell r="Y679">
            <v>49.5</v>
          </cell>
        </row>
        <row r="679">
          <cell r="AB679">
            <v>44</v>
          </cell>
        </row>
        <row r="680">
          <cell r="C680">
            <v>14</v>
          </cell>
          <cell r="D680">
            <v>349.5</v>
          </cell>
        </row>
        <row r="680">
          <cell r="G680">
            <v>106</v>
          </cell>
        </row>
        <row r="680">
          <cell r="J680">
            <v>28</v>
          </cell>
        </row>
        <row r="680">
          <cell r="M680">
            <v>98.5</v>
          </cell>
        </row>
        <row r="680">
          <cell r="V680">
            <v>28</v>
          </cell>
        </row>
        <row r="680">
          <cell r="Y680">
            <v>44.5</v>
          </cell>
        </row>
        <row r="680">
          <cell r="AB680">
            <v>44.5</v>
          </cell>
        </row>
        <row r="681">
          <cell r="C681">
            <v>14</v>
          </cell>
          <cell r="D681">
            <v>347.75</v>
          </cell>
        </row>
        <row r="681">
          <cell r="G681">
            <v>92.75</v>
          </cell>
        </row>
        <row r="681">
          <cell r="J681">
            <v>42.5</v>
          </cell>
        </row>
        <row r="681">
          <cell r="M681">
            <v>90.5</v>
          </cell>
        </row>
        <row r="681">
          <cell r="V681">
            <v>31</v>
          </cell>
        </row>
        <row r="681">
          <cell r="Y681">
            <v>39.5</v>
          </cell>
        </row>
        <row r="681">
          <cell r="AB681">
            <v>51.5</v>
          </cell>
        </row>
        <row r="683">
          <cell r="C683">
            <v>14</v>
          </cell>
          <cell r="D683">
            <v>148</v>
          </cell>
        </row>
        <row r="683">
          <cell r="G683">
            <v>98.5</v>
          </cell>
        </row>
        <row r="683">
          <cell r="J683">
            <v>49.5</v>
          </cell>
        </row>
        <row r="684">
          <cell r="C684">
            <v>14</v>
          </cell>
        </row>
        <row r="685">
          <cell r="C685">
            <v>14</v>
          </cell>
          <cell r="D685">
            <v>420.5</v>
          </cell>
        </row>
        <row r="685">
          <cell r="G685">
            <v>109.5</v>
          </cell>
        </row>
        <row r="685">
          <cell r="J685">
            <v>69.5</v>
          </cell>
        </row>
        <row r="685">
          <cell r="M685">
            <v>92.5</v>
          </cell>
        </row>
        <row r="685">
          <cell r="V685">
            <v>59</v>
          </cell>
        </row>
        <row r="685">
          <cell r="Y685">
            <v>43.5</v>
          </cell>
        </row>
        <row r="685">
          <cell r="AB685">
            <v>46.5</v>
          </cell>
        </row>
        <row r="686">
          <cell r="C686">
            <v>14</v>
          </cell>
          <cell r="D686">
            <v>392.25</v>
          </cell>
        </row>
        <row r="686">
          <cell r="G686">
            <v>105.5</v>
          </cell>
        </row>
        <row r="686">
          <cell r="J686">
            <v>53</v>
          </cell>
        </row>
        <row r="686">
          <cell r="M686">
            <v>98.75</v>
          </cell>
        </row>
        <row r="686">
          <cell r="V686">
            <v>37.5</v>
          </cell>
        </row>
        <row r="686">
          <cell r="Y686">
            <v>45.5</v>
          </cell>
        </row>
        <row r="686">
          <cell r="AB686">
            <v>52</v>
          </cell>
        </row>
        <row r="688">
          <cell r="C688">
            <v>15</v>
          </cell>
          <cell r="D688">
            <v>475.5</v>
          </cell>
        </row>
        <row r="688">
          <cell r="G688">
            <v>97</v>
          </cell>
        </row>
        <row r="688">
          <cell r="J688">
            <v>80.5</v>
          </cell>
        </row>
        <row r="688">
          <cell r="M688">
            <v>124.5</v>
          </cell>
        </row>
        <row r="688">
          <cell r="V688">
            <v>60</v>
          </cell>
        </row>
        <row r="688">
          <cell r="AB688">
            <v>62.5</v>
          </cell>
        </row>
        <row r="688">
          <cell r="AE688">
            <v>51</v>
          </cell>
        </row>
        <row r="689">
          <cell r="C689">
            <v>15</v>
          </cell>
          <cell r="D689">
            <v>448.25</v>
          </cell>
        </row>
        <row r="689">
          <cell r="G689">
            <v>113.25</v>
          </cell>
        </row>
        <row r="689">
          <cell r="J689">
            <v>58</v>
          </cell>
        </row>
        <row r="689">
          <cell r="M689">
            <v>105</v>
          </cell>
        </row>
        <row r="689">
          <cell r="V689">
            <v>65</v>
          </cell>
        </row>
        <row r="689">
          <cell r="AB689">
            <v>55.5</v>
          </cell>
        </row>
        <row r="689">
          <cell r="AE689">
            <v>51.5</v>
          </cell>
        </row>
        <row r="690">
          <cell r="C690">
            <v>15</v>
          </cell>
          <cell r="D690">
            <v>482.5</v>
          </cell>
        </row>
        <row r="690">
          <cell r="G690">
            <v>106.5</v>
          </cell>
        </row>
        <row r="690">
          <cell r="J690">
            <v>64</v>
          </cell>
        </row>
        <row r="690">
          <cell r="M690">
            <v>123</v>
          </cell>
        </row>
        <row r="690">
          <cell r="V690">
            <v>65.5</v>
          </cell>
        </row>
        <row r="690">
          <cell r="AB690">
            <v>61.5</v>
          </cell>
        </row>
        <row r="690">
          <cell r="AE690">
            <v>62</v>
          </cell>
        </row>
        <row r="691">
          <cell r="C691">
            <v>15</v>
          </cell>
          <cell r="D691">
            <v>466</v>
          </cell>
        </row>
        <row r="691">
          <cell r="G691">
            <v>99.5</v>
          </cell>
        </row>
        <row r="691">
          <cell r="J691">
            <v>58</v>
          </cell>
        </row>
        <row r="691">
          <cell r="M691">
            <v>123.5</v>
          </cell>
        </row>
        <row r="691">
          <cell r="V691">
            <v>56.5</v>
          </cell>
        </row>
        <row r="691">
          <cell r="AB691">
            <v>62</v>
          </cell>
        </row>
        <row r="691">
          <cell r="AE691">
            <v>66.5</v>
          </cell>
        </row>
        <row r="692">
          <cell r="C692">
            <v>15</v>
          </cell>
          <cell r="D692">
            <v>460</v>
          </cell>
        </row>
        <row r="692">
          <cell r="G692">
            <v>99</v>
          </cell>
        </row>
        <row r="692">
          <cell r="J692">
            <v>54</v>
          </cell>
        </row>
        <row r="692">
          <cell r="M692">
            <v>121</v>
          </cell>
        </row>
        <row r="692">
          <cell r="V692">
            <v>56</v>
          </cell>
        </row>
        <row r="692">
          <cell r="AB692">
            <v>63.5</v>
          </cell>
        </row>
        <row r="692">
          <cell r="AE692">
            <v>66.5</v>
          </cell>
        </row>
        <row r="693">
          <cell r="C693">
            <v>15</v>
          </cell>
          <cell r="D693">
            <v>482</v>
          </cell>
        </row>
        <row r="693">
          <cell r="G693">
            <v>106</v>
          </cell>
        </row>
        <row r="693">
          <cell r="J693">
            <v>88.5</v>
          </cell>
        </row>
        <row r="693">
          <cell r="M693">
            <v>101.5</v>
          </cell>
        </row>
        <row r="693">
          <cell r="V693">
            <v>64.5</v>
          </cell>
        </row>
        <row r="693">
          <cell r="AB693">
            <v>64</v>
          </cell>
        </row>
        <row r="693">
          <cell r="AE693">
            <v>57.5</v>
          </cell>
        </row>
        <row r="694">
          <cell r="C694">
            <v>15</v>
          </cell>
          <cell r="D694">
            <v>442.5</v>
          </cell>
        </row>
        <row r="694">
          <cell r="G694">
            <v>101</v>
          </cell>
        </row>
        <row r="694">
          <cell r="J694">
            <v>61</v>
          </cell>
        </row>
        <row r="694">
          <cell r="M694">
            <v>130.5</v>
          </cell>
        </row>
        <row r="694">
          <cell r="V694">
            <v>55.5</v>
          </cell>
        </row>
        <row r="694">
          <cell r="AB694">
            <v>56.5</v>
          </cell>
        </row>
        <row r="694">
          <cell r="AE694">
            <v>38</v>
          </cell>
        </row>
        <row r="695">
          <cell r="C695">
            <v>15</v>
          </cell>
          <cell r="D695">
            <v>456.5</v>
          </cell>
        </row>
        <row r="695">
          <cell r="G695">
            <v>111.5</v>
          </cell>
        </row>
        <row r="695">
          <cell r="J695">
            <v>75</v>
          </cell>
        </row>
        <row r="695">
          <cell r="M695">
            <v>98.5</v>
          </cell>
        </row>
        <row r="695">
          <cell r="V695">
            <v>57</v>
          </cell>
        </row>
        <row r="695">
          <cell r="AB695">
            <v>59</v>
          </cell>
        </row>
        <row r="695">
          <cell r="AE695">
            <v>55.5</v>
          </cell>
        </row>
        <row r="696">
          <cell r="C696">
            <v>15</v>
          </cell>
          <cell r="D696">
            <v>459.5</v>
          </cell>
        </row>
        <row r="696">
          <cell r="G696">
            <v>93</v>
          </cell>
        </row>
        <row r="696">
          <cell r="J696">
            <v>96</v>
          </cell>
        </row>
        <row r="696">
          <cell r="M696">
            <v>72.5</v>
          </cell>
        </row>
        <row r="696">
          <cell r="V696">
            <v>74</v>
          </cell>
        </row>
        <row r="696">
          <cell r="AB696">
            <v>62</v>
          </cell>
        </row>
        <row r="696">
          <cell r="AE696">
            <v>62</v>
          </cell>
        </row>
        <row r="697">
          <cell r="C697">
            <v>15</v>
          </cell>
          <cell r="D697">
            <v>425</v>
          </cell>
        </row>
        <row r="697">
          <cell r="G697">
            <v>102.5</v>
          </cell>
        </row>
        <row r="697">
          <cell r="J697">
            <v>63</v>
          </cell>
        </row>
        <row r="697">
          <cell r="M697">
            <v>104.5</v>
          </cell>
        </row>
        <row r="697">
          <cell r="V697">
            <v>53</v>
          </cell>
        </row>
        <row r="697">
          <cell r="AB697">
            <v>50.5</v>
          </cell>
        </row>
        <row r="697">
          <cell r="AE697">
            <v>51.5</v>
          </cell>
        </row>
        <row r="698">
          <cell r="C698">
            <v>15</v>
          </cell>
          <cell r="D698">
            <v>376.5</v>
          </cell>
        </row>
        <row r="698">
          <cell r="G698">
            <v>93.5</v>
          </cell>
        </row>
        <row r="698">
          <cell r="J698">
            <v>35</v>
          </cell>
        </row>
        <row r="698">
          <cell r="M698">
            <v>91.5</v>
          </cell>
        </row>
        <row r="698">
          <cell r="V698">
            <v>38.5</v>
          </cell>
        </row>
        <row r="698">
          <cell r="AB698">
            <v>54</v>
          </cell>
        </row>
        <row r="698">
          <cell r="AE698">
            <v>64</v>
          </cell>
        </row>
        <row r="699">
          <cell r="C699">
            <v>15</v>
          </cell>
          <cell r="D699">
            <v>448.25</v>
          </cell>
        </row>
        <row r="699">
          <cell r="G699">
            <v>105.75</v>
          </cell>
        </row>
        <row r="699">
          <cell r="J699">
            <v>65.5</v>
          </cell>
        </row>
        <row r="699">
          <cell r="M699">
            <v>116.5</v>
          </cell>
        </row>
        <row r="699">
          <cell r="V699">
            <v>47.5</v>
          </cell>
        </row>
        <row r="699">
          <cell r="AB699">
            <v>61</v>
          </cell>
        </row>
        <row r="699">
          <cell r="AE699">
            <v>52</v>
          </cell>
        </row>
        <row r="700">
          <cell r="C700">
            <v>15</v>
          </cell>
          <cell r="D700">
            <v>464.5</v>
          </cell>
        </row>
        <row r="700">
          <cell r="G700">
            <v>107</v>
          </cell>
        </row>
        <row r="700">
          <cell r="J700">
            <v>69.5</v>
          </cell>
        </row>
        <row r="700">
          <cell r="M700">
            <v>122.5</v>
          </cell>
        </row>
        <row r="700">
          <cell r="V700">
            <v>52.5</v>
          </cell>
        </row>
        <row r="700">
          <cell r="AB700">
            <v>59</v>
          </cell>
        </row>
        <row r="700">
          <cell r="AE700">
            <v>54</v>
          </cell>
        </row>
        <row r="701">
          <cell r="C701">
            <v>15</v>
          </cell>
          <cell r="D701">
            <v>422.75</v>
          </cell>
        </row>
        <row r="701">
          <cell r="G701">
            <v>98.25</v>
          </cell>
        </row>
        <row r="701">
          <cell r="J701">
            <v>67.5</v>
          </cell>
        </row>
        <row r="701">
          <cell r="M701">
            <v>106.5</v>
          </cell>
        </row>
        <row r="701">
          <cell r="V701">
            <v>47</v>
          </cell>
        </row>
        <row r="701">
          <cell r="AB701">
            <v>52</v>
          </cell>
        </row>
        <row r="701">
          <cell r="AE701">
            <v>51.5</v>
          </cell>
        </row>
        <row r="702">
          <cell r="C702">
            <v>15</v>
          </cell>
          <cell r="D702">
            <v>440.5</v>
          </cell>
        </row>
        <row r="702">
          <cell r="G702">
            <v>95</v>
          </cell>
        </row>
        <row r="702">
          <cell r="J702">
            <v>60</v>
          </cell>
        </row>
        <row r="702">
          <cell r="M702">
            <v>99</v>
          </cell>
        </row>
        <row r="702">
          <cell r="V702">
            <v>58.5</v>
          </cell>
        </row>
        <row r="702">
          <cell r="AB702">
            <v>61</v>
          </cell>
        </row>
        <row r="702">
          <cell r="AE702">
            <v>67</v>
          </cell>
        </row>
        <row r="703">
          <cell r="C703">
            <v>15</v>
          </cell>
          <cell r="D703">
            <v>413.5</v>
          </cell>
        </row>
        <row r="703">
          <cell r="G703">
            <v>105.5</v>
          </cell>
        </row>
        <row r="703">
          <cell r="J703">
            <v>28</v>
          </cell>
        </row>
        <row r="703">
          <cell r="M703">
            <v>119.5</v>
          </cell>
        </row>
        <row r="703">
          <cell r="V703">
            <v>51</v>
          </cell>
        </row>
        <row r="703">
          <cell r="AB703">
            <v>59.5</v>
          </cell>
        </row>
        <row r="703">
          <cell r="AE703">
            <v>50</v>
          </cell>
        </row>
        <row r="704">
          <cell r="C704">
            <v>15</v>
          </cell>
          <cell r="D704">
            <v>403.25</v>
          </cell>
        </row>
        <row r="704">
          <cell r="G704">
            <v>101.25</v>
          </cell>
        </row>
        <row r="704">
          <cell r="J704">
            <v>47.5</v>
          </cell>
        </row>
        <row r="704">
          <cell r="M704">
            <v>84.5</v>
          </cell>
        </row>
        <row r="704">
          <cell r="V704">
            <v>55</v>
          </cell>
        </row>
        <row r="704">
          <cell r="AB704">
            <v>63.5</v>
          </cell>
        </row>
        <row r="704">
          <cell r="AE704">
            <v>51.5</v>
          </cell>
        </row>
        <row r="705">
          <cell r="C705">
            <v>15</v>
          </cell>
          <cell r="D705">
            <v>397.5</v>
          </cell>
        </row>
        <row r="705">
          <cell r="G705">
            <v>104.5</v>
          </cell>
        </row>
        <row r="705">
          <cell r="J705">
            <v>51.5</v>
          </cell>
        </row>
        <row r="705">
          <cell r="M705">
            <v>97.5</v>
          </cell>
        </row>
        <row r="705">
          <cell r="V705">
            <v>43</v>
          </cell>
        </row>
        <row r="705">
          <cell r="AB705">
            <v>57</v>
          </cell>
        </row>
        <row r="705">
          <cell r="AE705">
            <v>44</v>
          </cell>
        </row>
        <row r="706">
          <cell r="C706">
            <v>15</v>
          </cell>
          <cell r="D706">
            <v>369</v>
          </cell>
        </row>
        <row r="706">
          <cell r="G706">
            <v>91.5</v>
          </cell>
        </row>
        <row r="706">
          <cell r="J706">
            <v>42.5</v>
          </cell>
        </row>
        <row r="706">
          <cell r="M706">
            <v>104</v>
          </cell>
        </row>
        <row r="706">
          <cell r="V706">
            <v>37.5</v>
          </cell>
        </row>
        <row r="706">
          <cell r="AB706">
            <v>56</v>
          </cell>
        </row>
        <row r="706">
          <cell r="AE706">
            <v>37.5</v>
          </cell>
        </row>
        <row r="707">
          <cell r="C707">
            <v>15</v>
          </cell>
          <cell r="D707">
            <v>418.5</v>
          </cell>
        </row>
        <row r="707">
          <cell r="G707">
            <v>106.5</v>
          </cell>
        </row>
        <row r="707">
          <cell r="J707">
            <v>50.5</v>
          </cell>
        </row>
        <row r="707">
          <cell r="M707">
            <v>103.5</v>
          </cell>
        </row>
        <row r="707">
          <cell r="V707">
            <v>45</v>
          </cell>
        </row>
        <row r="707">
          <cell r="AB707">
            <v>61.5</v>
          </cell>
        </row>
        <row r="707">
          <cell r="AE707">
            <v>51.5</v>
          </cell>
        </row>
        <row r="708">
          <cell r="C708">
            <v>15</v>
          </cell>
          <cell r="D708">
            <v>409.5</v>
          </cell>
        </row>
        <row r="708">
          <cell r="G708">
            <v>105</v>
          </cell>
        </row>
        <row r="708">
          <cell r="J708">
            <v>48</v>
          </cell>
        </row>
        <row r="708">
          <cell r="M708">
            <v>115.5</v>
          </cell>
        </row>
        <row r="708">
          <cell r="V708">
            <v>44.5</v>
          </cell>
        </row>
        <row r="708">
          <cell r="AB708">
            <v>56</v>
          </cell>
        </row>
        <row r="708">
          <cell r="AE708">
            <v>40.5</v>
          </cell>
        </row>
        <row r="709">
          <cell r="C709">
            <v>15</v>
          </cell>
          <cell r="D709">
            <v>391</v>
          </cell>
        </row>
        <row r="709">
          <cell r="G709">
            <v>99.5</v>
          </cell>
        </row>
        <row r="709">
          <cell r="J709">
            <v>49</v>
          </cell>
        </row>
        <row r="709">
          <cell r="M709">
            <v>101</v>
          </cell>
        </row>
        <row r="709">
          <cell r="V709">
            <v>46</v>
          </cell>
        </row>
        <row r="709">
          <cell r="AB709">
            <v>45</v>
          </cell>
        </row>
        <row r="709">
          <cell r="AE709">
            <v>50.5</v>
          </cell>
        </row>
        <row r="710">
          <cell r="C710">
            <v>15</v>
          </cell>
          <cell r="D710">
            <v>419.75</v>
          </cell>
        </row>
        <row r="710">
          <cell r="G710">
            <v>97.25</v>
          </cell>
        </row>
        <row r="710">
          <cell r="J710">
            <v>64</v>
          </cell>
        </row>
        <row r="710">
          <cell r="M710">
            <v>104.5</v>
          </cell>
        </row>
        <row r="710">
          <cell r="V710">
            <v>50.5</v>
          </cell>
        </row>
        <row r="710">
          <cell r="AB710">
            <v>54.5</v>
          </cell>
        </row>
        <row r="710">
          <cell r="AE710">
            <v>49</v>
          </cell>
        </row>
        <row r="711">
          <cell r="C711">
            <v>15</v>
          </cell>
          <cell r="D711">
            <v>371.5</v>
          </cell>
        </row>
        <row r="711">
          <cell r="G711">
            <v>95</v>
          </cell>
        </row>
        <row r="711">
          <cell r="J711">
            <v>32.5</v>
          </cell>
        </row>
        <row r="711">
          <cell r="M711">
            <v>92.5</v>
          </cell>
        </row>
        <row r="711">
          <cell r="V711">
            <v>36</v>
          </cell>
        </row>
        <row r="711">
          <cell r="AB711">
            <v>59.5</v>
          </cell>
        </row>
        <row r="711">
          <cell r="AE711">
            <v>56</v>
          </cell>
        </row>
        <row r="712">
          <cell r="C712">
            <v>15</v>
          </cell>
          <cell r="D712">
            <v>402.5</v>
          </cell>
        </row>
        <row r="712">
          <cell r="G712">
            <v>93.5</v>
          </cell>
        </row>
        <row r="712">
          <cell r="J712">
            <v>62</v>
          </cell>
        </row>
        <row r="712">
          <cell r="M712">
            <v>75</v>
          </cell>
        </row>
        <row r="712">
          <cell r="V712">
            <v>53</v>
          </cell>
        </row>
        <row r="712">
          <cell r="AB712">
            <v>60.5</v>
          </cell>
        </row>
        <row r="712">
          <cell r="AE712">
            <v>58.5</v>
          </cell>
        </row>
        <row r="713">
          <cell r="C713">
            <v>15</v>
          </cell>
          <cell r="D713">
            <v>316.75</v>
          </cell>
        </row>
        <row r="713">
          <cell r="G713">
            <v>94.75</v>
          </cell>
        </row>
        <row r="713">
          <cell r="J713">
            <v>55.5</v>
          </cell>
        </row>
        <row r="713">
          <cell r="M713">
            <v>69</v>
          </cell>
        </row>
        <row r="713">
          <cell r="V713">
            <v>45.5</v>
          </cell>
        </row>
        <row r="713">
          <cell r="AE713">
            <v>52</v>
          </cell>
        </row>
        <row r="714">
          <cell r="C714">
            <v>15</v>
          </cell>
          <cell r="D714">
            <v>340.25</v>
          </cell>
        </row>
        <row r="714">
          <cell r="G714">
            <v>85.25</v>
          </cell>
        </row>
        <row r="714">
          <cell r="J714">
            <v>32.5</v>
          </cell>
        </row>
        <row r="714">
          <cell r="M714">
            <v>89</v>
          </cell>
        </row>
        <row r="714">
          <cell r="V714">
            <v>45.5</v>
          </cell>
        </row>
        <row r="714">
          <cell r="AB714">
            <v>45.5</v>
          </cell>
        </row>
        <row r="714">
          <cell r="AE714">
            <v>42.5</v>
          </cell>
        </row>
        <row r="715">
          <cell r="C715">
            <v>15</v>
          </cell>
          <cell r="D715">
            <v>400</v>
          </cell>
        </row>
        <row r="715">
          <cell r="G715">
            <v>104.5</v>
          </cell>
        </row>
        <row r="715">
          <cell r="J715">
            <v>42</v>
          </cell>
        </row>
        <row r="715">
          <cell r="M715">
            <v>106</v>
          </cell>
        </row>
        <row r="715">
          <cell r="V715">
            <v>35</v>
          </cell>
        </row>
        <row r="715">
          <cell r="AB715">
            <v>59</v>
          </cell>
        </row>
        <row r="715">
          <cell r="AE715">
            <v>53.5</v>
          </cell>
        </row>
        <row r="716">
          <cell r="C716">
            <v>15</v>
          </cell>
          <cell r="D716">
            <v>421.5</v>
          </cell>
        </row>
        <row r="716">
          <cell r="G716">
            <v>94.5</v>
          </cell>
        </row>
        <row r="716">
          <cell r="J716">
            <v>56</v>
          </cell>
        </row>
        <row r="716">
          <cell r="M716">
            <v>95</v>
          </cell>
        </row>
        <row r="716">
          <cell r="V716">
            <v>55.5</v>
          </cell>
        </row>
        <row r="716">
          <cell r="AB716">
            <v>59</v>
          </cell>
        </row>
        <row r="716">
          <cell r="AE716">
            <v>61.5</v>
          </cell>
        </row>
        <row r="717">
          <cell r="C717">
            <v>15</v>
          </cell>
          <cell r="D717">
            <v>382</v>
          </cell>
        </row>
        <row r="717">
          <cell r="G717">
            <v>90.5</v>
          </cell>
        </row>
        <row r="717">
          <cell r="J717">
            <v>46</v>
          </cell>
        </row>
        <row r="717">
          <cell r="M717">
            <v>104.5</v>
          </cell>
        </row>
        <row r="717">
          <cell r="V717">
            <v>35.5</v>
          </cell>
        </row>
        <row r="717">
          <cell r="AB717">
            <v>57.5</v>
          </cell>
        </row>
        <row r="717">
          <cell r="AE717">
            <v>48</v>
          </cell>
        </row>
        <row r="718">
          <cell r="C718">
            <v>15</v>
          </cell>
          <cell r="D718">
            <v>322.5</v>
          </cell>
        </row>
        <row r="718">
          <cell r="G718">
            <v>98</v>
          </cell>
        </row>
        <row r="718">
          <cell r="J718">
            <v>36.5</v>
          </cell>
        </row>
        <row r="718">
          <cell r="M718">
            <v>82</v>
          </cell>
        </row>
        <row r="718">
          <cell r="V718">
            <v>25</v>
          </cell>
        </row>
        <row r="718">
          <cell r="AB718">
            <v>34.5</v>
          </cell>
        </row>
        <row r="718">
          <cell r="AE718">
            <v>46.5</v>
          </cell>
        </row>
        <row r="719">
          <cell r="C719">
            <v>15</v>
          </cell>
          <cell r="D719">
            <v>488.25</v>
          </cell>
        </row>
        <row r="719">
          <cell r="G719">
            <v>114.75</v>
          </cell>
        </row>
        <row r="719">
          <cell r="J719">
            <v>83.5</v>
          </cell>
        </row>
        <row r="719">
          <cell r="M719">
            <v>120</v>
          </cell>
        </row>
        <row r="719">
          <cell r="V719">
            <v>55</v>
          </cell>
        </row>
        <row r="719">
          <cell r="AB719">
            <v>57</v>
          </cell>
        </row>
        <row r="719">
          <cell r="AE719">
            <v>58</v>
          </cell>
        </row>
        <row r="720">
          <cell r="C720">
            <v>15</v>
          </cell>
          <cell r="D720">
            <v>451.5</v>
          </cell>
        </row>
        <row r="720">
          <cell r="G720">
            <v>107.5</v>
          </cell>
        </row>
        <row r="720">
          <cell r="J720">
            <v>70</v>
          </cell>
        </row>
        <row r="720">
          <cell r="M720">
            <v>102.5</v>
          </cell>
        </row>
        <row r="720">
          <cell r="V720">
            <v>65</v>
          </cell>
        </row>
        <row r="720">
          <cell r="AB720">
            <v>52</v>
          </cell>
        </row>
        <row r="720">
          <cell r="AE720">
            <v>54.5</v>
          </cell>
        </row>
        <row r="721">
          <cell r="C721">
            <v>15</v>
          </cell>
          <cell r="D721">
            <v>402</v>
          </cell>
        </row>
        <row r="721">
          <cell r="G721">
            <v>115.5</v>
          </cell>
        </row>
        <row r="721">
          <cell r="J721">
            <v>48.5</v>
          </cell>
        </row>
        <row r="721">
          <cell r="M721">
            <v>119</v>
          </cell>
        </row>
        <row r="721">
          <cell r="V721">
            <v>61.5</v>
          </cell>
        </row>
        <row r="721">
          <cell r="AE721">
            <v>57.5</v>
          </cell>
        </row>
        <row r="722">
          <cell r="C722">
            <v>16</v>
          </cell>
          <cell r="D722">
            <v>468.5</v>
          </cell>
        </row>
        <row r="722">
          <cell r="G722">
            <v>115.5</v>
          </cell>
        </row>
        <row r="722">
          <cell r="J722">
            <v>40</v>
          </cell>
        </row>
        <row r="722">
          <cell r="M722">
            <v>111.5</v>
          </cell>
        </row>
        <row r="722">
          <cell r="Y722">
            <v>66.5</v>
          </cell>
        </row>
        <row r="722">
          <cell r="AB722">
            <v>71.5</v>
          </cell>
        </row>
        <row r="722">
          <cell r="AE722">
            <v>63.5</v>
          </cell>
        </row>
        <row r="723">
          <cell r="C723">
            <v>16</v>
          </cell>
          <cell r="D723">
            <v>438.5</v>
          </cell>
        </row>
        <row r="723">
          <cell r="G723">
            <v>109</v>
          </cell>
        </row>
        <row r="723">
          <cell r="J723">
            <v>48.5</v>
          </cell>
        </row>
        <row r="723">
          <cell r="M723">
            <v>100.5</v>
          </cell>
        </row>
        <row r="723">
          <cell r="Y723">
            <v>51.5</v>
          </cell>
        </row>
        <row r="723">
          <cell r="AB723">
            <v>64.5</v>
          </cell>
        </row>
        <row r="723">
          <cell r="AE723">
            <v>64.5</v>
          </cell>
        </row>
        <row r="724">
          <cell r="C724">
            <v>16</v>
          </cell>
          <cell r="D724">
            <v>453.75</v>
          </cell>
        </row>
        <row r="724">
          <cell r="G724">
            <v>99.75</v>
          </cell>
        </row>
        <row r="724">
          <cell r="J724">
            <v>94</v>
          </cell>
        </row>
        <row r="724">
          <cell r="M724">
            <v>115</v>
          </cell>
        </row>
        <row r="724">
          <cell r="Y724">
            <v>47</v>
          </cell>
        </row>
        <row r="724">
          <cell r="AB724">
            <v>55.5</v>
          </cell>
        </row>
        <row r="724">
          <cell r="AE724">
            <v>42.5</v>
          </cell>
        </row>
        <row r="725">
          <cell r="C725">
            <v>16</v>
          </cell>
          <cell r="D725">
            <v>445.25</v>
          </cell>
        </row>
        <row r="725">
          <cell r="G725">
            <v>102.75</v>
          </cell>
        </row>
        <row r="725">
          <cell r="J725">
            <v>62.5</v>
          </cell>
        </row>
        <row r="725">
          <cell r="M725">
            <v>127</v>
          </cell>
        </row>
        <row r="725">
          <cell r="Y725">
            <v>46.5</v>
          </cell>
        </row>
        <row r="725">
          <cell r="AB725">
            <v>57.5</v>
          </cell>
        </row>
        <row r="725">
          <cell r="AE725">
            <v>49</v>
          </cell>
        </row>
        <row r="726">
          <cell r="C726">
            <v>16</v>
          </cell>
          <cell r="D726">
            <v>499</v>
          </cell>
        </row>
        <row r="726">
          <cell r="G726">
            <v>114.5</v>
          </cell>
        </row>
        <row r="726">
          <cell r="J726">
            <v>67</v>
          </cell>
        </row>
        <row r="726">
          <cell r="M726">
            <v>124</v>
          </cell>
        </row>
        <row r="726">
          <cell r="Y726">
            <v>61</v>
          </cell>
        </row>
        <row r="726">
          <cell r="AB726">
            <v>69.5</v>
          </cell>
        </row>
        <row r="726">
          <cell r="AE726">
            <v>63</v>
          </cell>
        </row>
        <row r="727">
          <cell r="C727">
            <v>16</v>
          </cell>
          <cell r="D727">
            <v>433.5</v>
          </cell>
        </row>
        <row r="727">
          <cell r="G727">
            <v>106</v>
          </cell>
        </row>
        <row r="727">
          <cell r="J727">
            <v>44.5</v>
          </cell>
        </row>
        <row r="727">
          <cell r="M727">
            <v>102</v>
          </cell>
        </row>
        <row r="727">
          <cell r="Y727">
            <v>53.5</v>
          </cell>
        </row>
        <row r="727">
          <cell r="AB727">
            <v>70</v>
          </cell>
        </row>
        <row r="727">
          <cell r="AE727">
            <v>57.5</v>
          </cell>
        </row>
        <row r="728">
          <cell r="C728">
            <v>16</v>
          </cell>
          <cell r="D728">
            <v>500</v>
          </cell>
        </row>
        <row r="728">
          <cell r="G728">
            <v>109.5</v>
          </cell>
        </row>
        <row r="728">
          <cell r="J728">
            <v>101.5</v>
          </cell>
        </row>
        <row r="728">
          <cell r="M728">
            <v>98.5</v>
          </cell>
        </row>
        <row r="728">
          <cell r="Y728">
            <v>60.5</v>
          </cell>
        </row>
        <row r="728">
          <cell r="AB728">
            <v>67</v>
          </cell>
        </row>
        <row r="728">
          <cell r="AE728">
            <v>63</v>
          </cell>
        </row>
        <row r="729">
          <cell r="C729">
            <v>16</v>
          </cell>
          <cell r="D729">
            <v>463</v>
          </cell>
        </row>
        <row r="729">
          <cell r="G729">
            <v>106.5</v>
          </cell>
        </row>
        <row r="729">
          <cell r="J729">
            <v>57.5</v>
          </cell>
        </row>
        <row r="729">
          <cell r="M729">
            <v>115</v>
          </cell>
        </row>
        <row r="729">
          <cell r="Y729">
            <v>58</v>
          </cell>
        </row>
        <row r="729">
          <cell r="AB729">
            <v>65.5</v>
          </cell>
        </row>
        <row r="729">
          <cell r="AE729">
            <v>60.5</v>
          </cell>
        </row>
        <row r="730">
          <cell r="C730">
            <v>16</v>
          </cell>
          <cell r="D730">
            <v>435</v>
          </cell>
        </row>
        <row r="730">
          <cell r="G730">
            <v>101</v>
          </cell>
        </row>
        <row r="730">
          <cell r="J730">
            <v>56.5</v>
          </cell>
        </row>
        <row r="730">
          <cell r="M730">
            <v>101</v>
          </cell>
        </row>
        <row r="730">
          <cell r="Y730">
            <v>63.5</v>
          </cell>
        </row>
        <row r="730">
          <cell r="AB730">
            <v>56</v>
          </cell>
        </row>
        <row r="730">
          <cell r="AE730">
            <v>57</v>
          </cell>
        </row>
        <row r="731">
          <cell r="C731">
            <v>16</v>
          </cell>
          <cell r="D731">
            <v>445.5</v>
          </cell>
        </row>
        <row r="731">
          <cell r="G731">
            <v>104.5</v>
          </cell>
        </row>
        <row r="731">
          <cell r="J731">
            <v>44</v>
          </cell>
        </row>
        <row r="731">
          <cell r="M731">
            <v>115.5</v>
          </cell>
        </row>
        <row r="731">
          <cell r="Y731">
            <v>54.5</v>
          </cell>
        </row>
        <row r="731">
          <cell r="AB731">
            <v>53.5</v>
          </cell>
        </row>
        <row r="731">
          <cell r="AE731">
            <v>73.5</v>
          </cell>
        </row>
        <row r="732">
          <cell r="C732">
            <v>16</v>
          </cell>
          <cell r="D732">
            <v>464.5</v>
          </cell>
        </row>
        <row r="732">
          <cell r="G732">
            <v>97.5</v>
          </cell>
        </row>
        <row r="732">
          <cell r="J732">
            <v>74.5</v>
          </cell>
        </row>
        <row r="732">
          <cell r="M732">
            <v>108</v>
          </cell>
        </row>
        <row r="732">
          <cell r="Y732">
            <v>64</v>
          </cell>
        </row>
        <row r="732">
          <cell r="AB732">
            <v>69.5</v>
          </cell>
        </row>
        <row r="732">
          <cell r="AE732">
            <v>51</v>
          </cell>
        </row>
        <row r="733">
          <cell r="C733">
            <v>16</v>
          </cell>
          <cell r="D733">
            <v>460</v>
          </cell>
        </row>
        <row r="733">
          <cell r="G733">
            <v>106.5</v>
          </cell>
        </row>
        <row r="733">
          <cell r="J733">
            <v>62.5</v>
          </cell>
        </row>
        <row r="733">
          <cell r="M733">
            <v>119.5</v>
          </cell>
        </row>
        <row r="733">
          <cell r="Y733">
            <v>62.5</v>
          </cell>
        </row>
        <row r="733">
          <cell r="AB733">
            <v>60</v>
          </cell>
        </row>
        <row r="733">
          <cell r="AE733">
            <v>49</v>
          </cell>
        </row>
        <row r="734">
          <cell r="C734">
            <v>16</v>
          </cell>
          <cell r="D734">
            <v>463</v>
          </cell>
        </row>
        <row r="734">
          <cell r="G734">
            <v>99</v>
          </cell>
        </row>
        <row r="734">
          <cell r="J734">
            <v>69</v>
          </cell>
        </row>
        <row r="734">
          <cell r="M734">
            <v>109.5</v>
          </cell>
        </row>
        <row r="734">
          <cell r="Y734">
            <v>55.5</v>
          </cell>
        </row>
        <row r="734">
          <cell r="AB734">
            <v>77.5</v>
          </cell>
        </row>
        <row r="734">
          <cell r="AE734">
            <v>52.5</v>
          </cell>
        </row>
        <row r="735">
          <cell r="C735">
            <v>16</v>
          </cell>
          <cell r="D735">
            <v>419.75</v>
          </cell>
        </row>
        <row r="735">
          <cell r="G735">
            <v>99.75</v>
          </cell>
        </row>
        <row r="735">
          <cell r="J735">
            <v>38</v>
          </cell>
        </row>
        <row r="735">
          <cell r="M735">
            <v>105</v>
          </cell>
        </row>
        <row r="735">
          <cell r="Y735">
            <v>54.5</v>
          </cell>
        </row>
        <row r="735">
          <cell r="AB735">
            <v>62</v>
          </cell>
        </row>
        <row r="735">
          <cell r="AE735">
            <v>60.5</v>
          </cell>
        </row>
        <row r="736">
          <cell r="C736">
            <v>16</v>
          </cell>
          <cell r="D736">
            <v>465.5</v>
          </cell>
        </row>
        <row r="736">
          <cell r="G736">
            <v>109</v>
          </cell>
        </row>
        <row r="736">
          <cell r="J736">
            <v>73.5</v>
          </cell>
        </row>
        <row r="736">
          <cell r="M736">
            <v>107.5</v>
          </cell>
        </row>
        <row r="736">
          <cell r="Y736">
            <v>50</v>
          </cell>
        </row>
        <row r="736">
          <cell r="AB736">
            <v>63</v>
          </cell>
        </row>
        <row r="736">
          <cell r="AE736">
            <v>62.5</v>
          </cell>
        </row>
        <row r="737">
          <cell r="C737">
            <v>16</v>
          </cell>
          <cell r="D737">
            <v>491.5</v>
          </cell>
        </row>
        <row r="737">
          <cell r="G737">
            <v>100</v>
          </cell>
        </row>
        <row r="737">
          <cell r="J737">
            <v>80</v>
          </cell>
        </row>
        <row r="737">
          <cell r="M737">
            <v>111</v>
          </cell>
        </row>
        <row r="737">
          <cell r="Y737">
            <v>60</v>
          </cell>
        </row>
        <row r="737">
          <cell r="AB737">
            <v>74.5</v>
          </cell>
        </row>
        <row r="737">
          <cell r="AE737">
            <v>66</v>
          </cell>
        </row>
        <row r="738">
          <cell r="C738">
            <v>16</v>
          </cell>
          <cell r="D738">
            <v>427.5</v>
          </cell>
        </row>
        <row r="738">
          <cell r="G738">
            <v>101.5</v>
          </cell>
        </row>
        <row r="738">
          <cell r="J738">
            <v>57.5</v>
          </cell>
        </row>
        <row r="738">
          <cell r="M738">
            <v>103</v>
          </cell>
        </row>
        <row r="738">
          <cell r="Y738">
            <v>56</v>
          </cell>
        </row>
        <row r="738">
          <cell r="AB738">
            <v>63.5</v>
          </cell>
        </row>
        <row r="738">
          <cell r="AE738">
            <v>46</v>
          </cell>
        </row>
        <row r="739">
          <cell r="C739">
            <v>16</v>
          </cell>
          <cell r="D739">
            <v>446</v>
          </cell>
        </row>
        <row r="739">
          <cell r="G739">
            <v>112.5</v>
          </cell>
        </row>
        <row r="739">
          <cell r="J739">
            <v>55.5</v>
          </cell>
        </row>
        <row r="739">
          <cell r="M739">
            <v>113.5</v>
          </cell>
        </row>
        <row r="739">
          <cell r="Y739">
            <v>48</v>
          </cell>
        </row>
        <row r="739">
          <cell r="AB739">
            <v>54</v>
          </cell>
        </row>
        <row r="739">
          <cell r="AE739">
            <v>62.5</v>
          </cell>
        </row>
        <row r="740">
          <cell r="C740">
            <v>16</v>
          </cell>
          <cell r="D740">
            <v>435</v>
          </cell>
        </row>
        <row r="740">
          <cell r="G740">
            <v>100.5</v>
          </cell>
        </row>
        <row r="740">
          <cell r="J740">
            <v>54.5</v>
          </cell>
        </row>
        <row r="740">
          <cell r="M740">
            <v>122.5</v>
          </cell>
        </row>
        <row r="740">
          <cell r="Y740">
            <v>54</v>
          </cell>
        </row>
        <row r="740">
          <cell r="AB740">
            <v>56.5</v>
          </cell>
        </row>
        <row r="740">
          <cell r="AE740">
            <v>47</v>
          </cell>
        </row>
        <row r="741">
          <cell r="C741">
            <v>16</v>
          </cell>
          <cell r="D741">
            <v>393</v>
          </cell>
        </row>
        <row r="741">
          <cell r="G741">
            <v>94</v>
          </cell>
        </row>
        <row r="741">
          <cell r="J741">
            <v>30</v>
          </cell>
        </row>
        <row r="741">
          <cell r="M741">
            <v>97.5</v>
          </cell>
        </row>
        <row r="741">
          <cell r="Y741">
            <v>53.5</v>
          </cell>
        </row>
        <row r="741">
          <cell r="AB741">
            <v>68</v>
          </cell>
        </row>
        <row r="741">
          <cell r="AE741">
            <v>50</v>
          </cell>
        </row>
        <row r="742">
          <cell r="C742">
            <v>16</v>
          </cell>
          <cell r="D742">
            <v>413.5</v>
          </cell>
        </row>
        <row r="742">
          <cell r="G742">
            <v>97.5</v>
          </cell>
        </row>
        <row r="742">
          <cell r="J742">
            <v>55.5</v>
          </cell>
        </row>
        <row r="742">
          <cell r="M742">
            <v>96</v>
          </cell>
        </row>
        <row r="742">
          <cell r="Y742">
            <v>59</v>
          </cell>
        </row>
        <row r="742">
          <cell r="AB742">
            <v>60.5</v>
          </cell>
        </row>
        <row r="742">
          <cell r="AE742">
            <v>45</v>
          </cell>
        </row>
        <row r="743">
          <cell r="C743">
            <v>16</v>
          </cell>
          <cell r="D743">
            <v>410</v>
          </cell>
        </row>
        <row r="743">
          <cell r="G743">
            <v>106</v>
          </cell>
        </row>
        <row r="743">
          <cell r="J743">
            <v>63.5</v>
          </cell>
        </row>
        <row r="743">
          <cell r="M743">
            <v>98.5</v>
          </cell>
        </row>
        <row r="743">
          <cell r="Y743">
            <v>46.5</v>
          </cell>
        </row>
        <row r="743">
          <cell r="AB743">
            <v>57</v>
          </cell>
        </row>
        <row r="743">
          <cell r="AE743">
            <v>38.5</v>
          </cell>
        </row>
        <row r="744">
          <cell r="C744">
            <v>16</v>
          </cell>
          <cell r="D744">
            <v>418.5</v>
          </cell>
        </row>
        <row r="744">
          <cell r="G744">
            <v>101</v>
          </cell>
        </row>
        <row r="744">
          <cell r="J744">
            <v>40</v>
          </cell>
        </row>
        <row r="744">
          <cell r="M744">
            <v>107.5</v>
          </cell>
        </row>
        <row r="744">
          <cell r="Y744">
            <v>49</v>
          </cell>
        </row>
        <row r="744">
          <cell r="AB744">
            <v>65.5</v>
          </cell>
        </row>
        <row r="744">
          <cell r="AE744">
            <v>55.5</v>
          </cell>
        </row>
        <row r="745">
          <cell r="C745">
            <v>16</v>
          </cell>
          <cell r="D745">
            <v>356.5</v>
          </cell>
        </row>
        <row r="745">
          <cell r="G745">
            <v>99</v>
          </cell>
        </row>
        <row r="745">
          <cell r="J745">
            <v>32</v>
          </cell>
        </row>
        <row r="745">
          <cell r="M745">
            <v>83.5</v>
          </cell>
        </row>
        <row r="745">
          <cell r="Y745">
            <v>49</v>
          </cell>
        </row>
        <row r="745">
          <cell r="AB745">
            <v>57.5</v>
          </cell>
        </row>
        <row r="745">
          <cell r="AE745">
            <v>35.5</v>
          </cell>
        </row>
        <row r="746">
          <cell r="C746">
            <v>16</v>
          </cell>
          <cell r="D746">
            <v>415</v>
          </cell>
        </row>
        <row r="746">
          <cell r="G746">
            <v>95</v>
          </cell>
        </row>
        <row r="746">
          <cell r="J746">
            <v>52.5</v>
          </cell>
        </row>
        <row r="746">
          <cell r="M746">
            <v>100.5</v>
          </cell>
        </row>
        <row r="746">
          <cell r="Y746">
            <v>53</v>
          </cell>
        </row>
        <row r="746">
          <cell r="AB746">
            <v>66</v>
          </cell>
        </row>
        <row r="746">
          <cell r="AE746">
            <v>48</v>
          </cell>
        </row>
        <row r="747">
          <cell r="C747">
            <v>16</v>
          </cell>
          <cell r="D747">
            <v>485.5</v>
          </cell>
        </row>
        <row r="747">
          <cell r="G747">
            <v>115.5</v>
          </cell>
        </row>
        <row r="747">
          <cell r="J747">
            <v>72.5</v>
          </cell>
        </row>
        <row r="747">
          <cell r="M747">
            <v>113</v>
          </cell>
        </row>
        <row r="747">
          <cell r="Y747">
            <v>58</v>
          </cell>
        </row>
        <row r="747">
          <cell r="AB747">
            <v>66</v>
          </cell>
        </row>
        <row r="747">
          <cell r="AE747">
            <v>60.5</v>
          </cell>
        </row>
        <row r="748">
          <cell r="C748">
            <v>16</v>
          </cell>
          <cell r="D748">
            <v>430.25</v>
          </cell>
        </row>
        <row r="748">
          <cell r="G748">
            <v>111.25</v>
          </cell>
        </row>
        <row r="748">
          <cell r="J748">
            <v>55.5</v>
          </cell>
        </row>
        <row r="748">
          <cell r="M748">
            <v>87.5</v>
          </cell>
        </row>
        <row r="748">
          <cell r="Y748">
            <v>52</v>
          </cell>
        </row>
        <row r="748">
          <cell r="AB748">
            <v>62.5</v>
          </cell>
        </row>
        <row r="748">
          <cell r="AE748">
            <v>61.5</v>
          </cell>
        </row>
        <row r="749">
          <cell r="C749">
            <v>16</v>
          </cell>
          <cell r="D749">
            <v>426.5</v>
          </cell>
        </row>
        <row r="749">
          <cell r="G749">
            <v>101.5</v>
          </cell>
        </row>
        <row r="749">
          <cell r="J749">
            <v>51.5</v>
          </cell>
        </row>
        <row r="749">
          <cell r="M749">
            <v>109.5</v>
          </cell>
        </row>
        <row r="749">
          <cell r="Y749">
            <v>58.5</v>
          </cell>
        </row>
        <row r="749">
          <cell r="AB749">
            <v>53.5</v>
          </cell>
        </row>
        <row r="749">
          <cell r="AE749">
            <v>52</v>
          </cell>
        </row>
        <row r="750">
          <cell r="C750">
            <v>16</v>
          </cell>
          <cell r="D750">
            <v>446.25</v>
          </cell>
        </row>
        <row r="750">
          <cell r="G750">
            <v>97.25</v>
          </cell>
        </row>
        <row r="750">
          <cell r="J750">
            <v>73</v>
          </cell>
        </row>
        <row r="750">
          <cell r="M750">
            <v>96</v>
          </cell>
        </row>
        <row r="750">
          <cell r="Y750">
            <v>60</v>
          </cell>
        </row>
        <row r="750">
          <cell r="AB750">
            <v>65.5</v>
          </cell>
        </row>
        <row r="750">
          <cell r="AE750">
            <v>54.5</v>
          </cell>
        </row>
        <row r="751">
          <cell r="C751">
            <v>16</v>
          </cell>
          <cell r="D751">
            <v>425</v>
          </cell>
        </row>
        <row r="751">
          <cell r="G751">
            <v>101</v>
          </cell>
        </row>
        <row r="751">
          <cell r="J751">
            <v>41.5</v>
          </cell>
        </row>
        <row r="751">
          <cell r="M751">
            <v>116.5</v>
          </cell>
        </row>
        <row r="751">
          <cell r="Y751">
            <v>48</v>
          </cell>
        </row>
        <row r="751">
          <cell r="AB751">
            <v>63</v>
          </cell>
        </row>
        <row r="751">
          <cell r="AE751">
            <v>55</v>
          </cell>
        </row>
        <row r="752">
          <cell r="C752">
            <v>16</v>
          </cell>
          <cell r="D752">
            <v>436.5</v>
          </cell>
        </row>
        <row r="752">
          <cell r="G752">
            <v>96.5</v>
          </cell>
        </row>
        <row r="752">
          <cell r="J752">
            <v>57.5</v>
          </cell>
        </row>
        <row r="752">
          <cell r="M752">
            <v>109</v>
          </cell>
        </row>
        <row r="752">
          <cell r="Y752">
            <v>66.5</v>
          </cell>
        </row>
        <row r="752">
          <cell r="AB752">
            <v>58</v>
          </cell>
        </row>
        <row r="752">
          <cell r="AE752">
            <v>49</v>
          </cell>
        </row>
        <row r="753">
          <cell r="C753">
            <v>16</v>
          </cell>
          <cell r="D753">
            <v>445</v>
          </cell>
        </row>
        <row r="753">
          <cell r="G753">
            <v>102.5</v>
          </cell>
        </row>
        <row r="753">
          <cell r="J753">
            <v>52</v>
          </cell>
        </row>
        <row r="753">
          <cell r="M753">
            <v>115.5</v>
          </cell>
        </row>
        <row r="753">
          <cell r="Y753">
            <v>58</v>
          </cell>
        </row>
        <row r="753">
          <cell r="AB753">
            <v>59.5</v>
          </cell>
        </row>
        <row r="753">
          <cell r="AE753">
            <v>57.5</v>
          </cell>
        </row>
        <row r="754">
          <cell r="C754">
            <v>16</v>
          </cell>
          <cell r="D754">
            <v>372.75</v>
          </cell>
        </row>
        <row r="754">
          <cell r="G754">
            <v>101.5</v>
          </cell>
        </row>
        <row r="754">
          <cell r="J754">
            <v>23.5</v>
          </cell>
        </row>
        <row r="754">
          <cell r="M754">
            <v>88.25</v>
          </cell>
        </row>
        <row r="754">
          <cell r="Y754">
            <v>48</v>
          </cell>
        </row>
        <row r="754">
          <cell r="AB754">
            <v>65</v>
          </cell>
        </row>
        <row r="754">
          <cell r="AE754">
            <v>46.5</v>
          </cell>
        </row>
        <row r="755">
          <cell r="C755">
            <v>16</v>
          </cell>
          <cell r="D755">
            <v>440.5</v>
          </cell>
        </row>
        <row r="755">
          <cell r="G755">
            <v>103</v>
          </cell>
        </row>
        <row r="755">
          <cell r="J755">
            <v>66.5</v>
          </cell>
        </row>
        <row r="755">
          <cell r="M755">
            <v>102.5</v>
          </cell>
        </row>
        <row r="755">
          <cell r="Y755">
            <v>57</v>
          </cell>
        </row>
        <row r="755">
          <cell r="AB755">
            <v>61</v>
          </cell>
        </row>
        <row r="755">
          <cell r="AE755">
            <v>50.5</v>
          </cell>
        </row>
        <row r="756">
          <cell r="C756">
            <v>16</v>
          </cell>
          <cell r="D756">
            <v>379</v>
          </cell>
        </row>
        <row r="756">
          <cell r="G756">
            <v>99</v>
          </cell>
        </row>
        <row r="756">
          <cell r="J756">
            <v>38.5</v>
          </cell>
        </row>
        <row r="756">
          <cell r="M756">
            <v>88</v>
          </cell>
        </row>
        <row r="756">
          <cell r="Y756">
            <v>48</v>
          </cell>
        </row>
        <row r="756">
          <cell r="AB756">
            <v>59.5</v>
          </cell>
        </row>
        <row r="756">
          <cell r="AE756">
            <v>46</v>
          </cell>
        </row>
        <row r="757">
          <cell r="C757">
            <v>16</v>
          </cell>
          <cell r="D757">
            <v>423.5</v>
          </cell>
        </row>
        <row r="757">
          <cell r="G757">
            <v>106</v>
          </cell>
        </row>
        <row r="757">
          <cell r="J757">
            <v>49.5</v>
          </cell>
        </row>
        <row r="757">
          <cell r="M757">
            <v>101.5</v>
          </cell>
        </row>
        <row r="757">
          <cell r="Y757">
            <v>55</v>
          </cell>
        </row>
        <row r="757">
          <cell r="AB757">
            <v>57</v>
          </cell>
        </row>
        <row r="757">
          <cell r="AE757">
            <v>54.5</v>
          </cell>
        </row>
        <row r="758">
          <cell r="C758">
            <v>16</v>
          </cell>
          <cell r="D758">
            <v>396.5</v>
          </cell>
        </row>
        <row r="758">
          <cell r="G758">
            <v>101</v>
          </cell>
        </row>
        <row r="758">
          <cell r="J758">
            <v>42</v>
          </cell>
        </row>
        <row r="758">
          <cell r="M758">
            <v>87.5</v>
          </cell>
        </row>
        <row r="758">
          <cell r="Y758">
            <v>48.5</v>
          </cell>
        </row>
        <row r="758">
          <cell r="AB758">
            <v>61.5</v>
          </cell>
        </row>
        <row r="758">
          <cell r="AE758">
            <v>56</v>
          </cell>
        </row>
        <row r="759">
          <cell r="C759">
            <v>16</v>
          </cell>
          <cell r="D759">
            <v>391.5</v>
          </cell>
        </row>
        <row r="759">
          <cell r="G759">
            <v>99</v>
          </cell>
        </row>
        <row r="759">
          <cell r="J759">
            <v>58</v>
          </cell>
        </row>
        <row r="759">
          <cell r="M759">
            <v>80.5</v>
          </cell>
        </row>
        <row r="759">
          <cell r="Y759">
            <v>50</v>
          </cell>
        </row>
        <row r="759">
          <cell r="AB759">
            <v>62.5</v>
          </cell>
        </row>
        <row r="759">
          <cell r="AE759">
            <v>41.5</v>
          </cell>
        </row>
        <row r="760">
          <cell r="C760">
            <v>16</v>
          </cell>
          <cell r="D760">
            <v>408</v>
          </cell>
        </row>
        <row r="760">
          <cell r="G760">
            <v>104</v>
          </cell>
        </row>
        <row r="760">
          <cell r="J760">
            <v>42.5</v>
          </cell>
        </row>
        <row r="760">
          <cell r="M760">
            <v>99</v>
          </cell>
        </row>
        <row r="760">
          <cell r="Y760">
            <v>49</v>
          </cell>
        </row>
        <row r="760">
          <cell r="AB760">
            <v>57.5</v>
          </cell>
        </row>
        <row r="760">
          <cell r="AE760">
            <v>56</v>
          </cell>
        </row>
        <row r="761">
          <cell r="C761">
            <v>16</v>
          </cell>
          <cell r="D761">
            <v>413.5</v>
          </cell>
        </row>
        <row r="761">
          <cell r="G761">
            <v>97.5</v>
          </cell>
        </row>
        <row r="761">
          <cell r="J761">
            <v>35.5</v>
          </cell>
        </row>
        <row r="761">
          <cell r="M761">
            <v>119.5</v>
          </cell>
        </row>
        <row r="761">
          <cell r="Y761">
            <v>59.5</v>
          </cell>
        </row>
        <row r="761">
          <cell r="AB761">
            <v>51.5</v>
          </cell>
        </row>
        <row r="761">
          <cell r="AE761">
            <v>50</v>
          </cell>
        </row>
        <row r="762">
          <cell r="C762">
            <v>16</v>
          </cell>
          <cell r="D762">
            <v>415.5</v>
          </cell>
        </row>
        <row r="762">
          <cell r="G762">
            <v>100.5</v>
          </cell>
        </row>
        <row r="762">
          <cell r="J762">
            <v>52</v>
          </cell>
        </row>
        <row r="762">
          <cell r="M762">
            <v>93.5</v>
          </cell>
        </row>
        <row r="762">
          <cell r="Y762">
            <v>50.5</v>
          </cell>
        </row>
        <row r="762">
          <cell r="AB762">
            <v>65</v>
          </cell>
        </row>
        <row r="762">
          <cell r="AE762">
            <v>54</v>
          </cell>
        </row>
        <row r="763">
          <cell r="C763">
            <v>16</v>
          </cell>
          <cell r="D763">
            <v>394</v>
          </cell>
        </row>
        <row r="763">
          <cell r="G763">
            <v>110.5</v>
          </cell>
        </row>
        <row r="763">
          <cell r="J763">
            <v>30.5</v>
          </cell>
        </row>
        <row r="763">
          <cell r="M763">
            <v>95.5</v>
          </cell>
        </row>
        <row r="763">
          <cell r="Y763">
            <v>42</v>
          </cell>
        </row>
        <row r="763">
          <cell r="AB763">
            <v>68</v>
          </cell>
        </row>
        <row r="763">
          <cell r="AE763">
            <v>47.5</v>
          </cell>
        </row>
        <row r="764">
          <cell r="C764">
            <v>16</v>
          </cell>
          <cell r="D764">
            <v>396.25</v>
          </cell>
        </row>
        <row r="764">
          <cell r="G764">
            <v>100.75</v>
          </cell>
        </row>
        <row r="764">
          <cell r="J764">
            <v>41.5</v>
          </cell>
        </row>
        <row r="764">
          <cell r="M764">
            <v>105.5</v>
          </cell>
        </row>
        <row r="764">
          <cell r="Y764">
            <v>45.5</v>
          </cell>
        </row>
        <row r="764">
          <cell r="AB764">
            <v>48</v>
          </cell>
        </row>
        <row r="764">
          <cell r="AE764">
            <v>55</v>
          </cell>
        </row>
        <row r="765">
          <cell r="C765">
            <v>16</v>
          </cell>
          <cell r="D765">
            <v>377.75</v>
          </cell>
        </row>
        <row r="765">
          <cell r="G765">
            <v>97</v>
          </cell>
        </row>
        <row r="765">
          <cell r="J765">
            <v>50.5</v>
          </cell>
        </row>
        <row r="765">
          <cell r="M765">
            <v>101.5</v>
          </cell>
        </row>
        <row r="765">
          <cell r="Y765">
            <v>37.75</v>
          </cell>
        </row>
        <row r="765">
          <cell r="AB765">
            <v>51.5</v>
          </cell>
        </row>
        <row r="765">
          <cell r="AE765">
            <v>39.5</v>
          </cell>
        </row>
        <row r="766">
          <cell r="C766">
            <v>16</v>
          </cell>
          <cell r="D766">
            <v>428.75</v>
          </cell>
        </row>
        <row r="766">
          <cell r="G766">
            <v>107.25</v>
          </cell>
        </row>
        <row r="766">
          <cell r="J766">
            <v>67.5</v>
          </cell>
        </row>
        <row r="766">
          <cell r="M766">
            <v>85</v>
          </cell>
        </row>
        <row r="766">
          <cell r="Y766">
            <v>52.5</v>
          </cell>
        </row>
        <row r="766">
          <cell r="AB766">
            <v>56.5</v>
          </cell>
        </row>
        <row r="766">
          <cell r="AE766">
            <v>60</v>
          </cell>
        </row>
        <row r="768">
          <cell r="C768">
            <v>16</v>
          </cell>
          <cell r="D768">
            <v>434.5</v>
          </cell>
        </row>
        <row r="768">
          <cell r="G768">
            <v>110</v>
          </cell>
        </row>
        <row r="768">
          <cell r="J768">
            <v>61.5</v>
          </cell>
        </row>
        <row r="768">
          <cell r="M768">
            <v>79</v>
          </cell>
        </row>
        <row r="768">
          <cell r="Y768">
            <v>63.5</v>
          </cell>
        </row>
        <row r="768">
          <cell r="AB768">
            <v>64</v>
          </cell>
        </row>
        <row r="768">
          <cell r="AE768">
            <v>56.5</v>
          </cell>
        </row>
        <row r="769">
          <cell r="C769">
            <v>17</v>
          </cell>
          <cell r="D769">
            <v>443.75</v>
          </cell>
        </row>
        <row r="769">
          <cell r="G769">
            <v>97.25</v>
          </cell>
        </row>
        <row r="769">
          <cell r="J769">
            <v>59.5</v>
          </cell>
        </row>
        <row r="769">
          <cell r="M769">
            <v>110.5</v>
          </cell>
        </row>
        <row r="769">
          <cell r="Y769">
            <v>48.5</v>
          </cell>
        </row>
        <row r="769">
          <cell r="AB769">
            <v>61.5</v>
          </cell>
        </row>
        <row r="769">
          <cell r="AE769">
            <v>66.5</v>
          </cell>
        </row>
        <row r="770">
          <cell r="C770">
            <v>17</v>
          </cell>
          <cell r="D770">
            <v>429.5</v>
          </cell>
        </row>
        <row r="770">
          <cell r="G770">
            <v>94</v>
          </cell>
        </row>
        <row r="770">
          <cell r="J770">
            <v>50</v>
          </cell>
        </row>
        <row r="770">
          <cell r="M770">
            <v>107</v>
          </cell>
        </row>
        <row r="770">
          <cell r="Y770">
            <v>62.5</v>
          </cell>
        </row>
        <row r="770">
          <cell r="AB770">
            <v>57.5</v>
          </cell>
        </row>
        <row r="770">
          <cell r="AE770">
            <v>58.5</v>
          </cell>
        </row>
        <row r="771">
          <cell r="C771">
            <v>17</v>
          </cell>
          <cell r="D771">
            <v>427.75</v>
          </cell>
        </row>
        <row r="771">
          <cell r="G771">
            <v>100.75</v>
          </cell>
        </row>
        <row r="771">
          <cell r="J771">
            <v>49</v>
          </cell>
        </row>
        <row r="771">
          <cell r="M771">
            <v>122</v>
          </cell>
        </row>
        <row r="771">
          <cell r="Y771">
            <v>50</v>
          </cell>
        </row>
        <row r="771">
          <cell r="AB771">
            <v>57</v>
          </cell>
        </row>
        <row r="771">
          <cell r="AE771">
            <v>49</v>
          </cell>
        </row>
        <row r="772">
          <cell r="C772">
            <v>17</v>
          </cell>
          <cell r="D772">
            <v>442.5</v>
          </cell>
        </row>
        <row r="772">
          <cell r="G772">
            <v>105</v>
          </cell>
        </row>
        <row r="772">
          <cell r="J772">
            <v>50</v>
          </cell>
        </row>
        <row r="772">
          <cell r="M772">
            <v>122</v>
          </cell>
        </row>
        <row r="772">
          <cell r="Y772">
            <v>45.5</v>
          </cell>
        </row>
        <row r="772">
          <cell r="AB772">
            <v>58</v>
          </cell>
        </row>
        <row r="772">
          <cell r="AE772">
            <v>62</v>
          </cell>
        </row>
        <row r="773">
          <cell r="C773">
            <v>17</v>
          </cell>
          <cell r="D773">
            <v>458</v>
          </cell>
        </row>
        <row r="773">
          <cell r="G773">
            <v>107.5</v>
          </cell>
        </row>
        <row r="773">
          <cell r="J773">
            <v>62</v>
          </cell>
        </row>
        <row r="773">
          <cell r="M773">
            <v>106.5</v>
          </cell>
        </row>
        <row r="773">
          <cell r="Y773">
            <v>56.5</v>
          </cell>
        </row>
        <row r="773">
          <cell r="AB773">
            <v>62.5</v>
          </cell>
        </row>
        <row r="773">
          <cell r="AE773">
            <v>63</v>
          </cell>
        </row>
        <row r="774">
          <cell r="C774">
            <v>17</v>
          </cell>
          <cell r="D774">
            <v>505.75</v>
          </cell>
        </row>
        <row r="774">
          <cell r="G774">
            <v>122</v>
          </cell>
        </row>
        <row r="774">
          <cell r="J774">
            <v>66.5</v>
          </cell>
        </row>
        <row r="774">
          <cell r="M774">
            <v>122.5</v>
          </cell>
        </row>
        <row r="774">
          <cell r="Y774">
            <v>73.25</v>
          </cell>
        </row>
        <row r="774">
          <cell r="AB774">
            <v>69.5</v>
          </cell>
        </row>
        <row r="774">
          <cell r="AE774">
            <v>52</v>
          </cell>
        </row>
        <row r="775">
          <cell r="C775">
            <v>17</v>
          </cell>
          <cell r="D775">
            <v>441.25</v>
          </cell>
        </row>
        <row r="775">
          <cell r="G775">
            <v>107.25</v>
          </cell>
        </row>
        <row r="775">
          <cell r="J775">
            <v>39</v>
          </cell>
        </row>
        <row r="775">
          <cell r="M775">
            <v>120.5</v>
          </cell>
        </row>
        <row r="775">
          <cell r="Y775">
            <v>46.5</v>
          </cell>
        </row>
        <row r="775">
          <cell r="AB775">
            <v>62.5</v>
          </cell>
        </row>
        <row r="775">
          <cell r="AE775">
            <v>65.5</v>
          </cell>
        </row>
        <row r="776">
          <cell r="C776">
            <v>17</v>
          </cell>
          <cell r="D776">
            <v>434.5</v>
          </cell>
        </row>
        <row r="776">
          <cell r="G776">
            <v>105.5</v>
          </cell>
        </row>
        <row r="776">
          <cell r="J776">
            <v>60</v>
          </cell>
        </row>
        <row r="776">
          <cell r="M776">
            <v>107</v>
          </cell>
        </row>
        <row r="776">
          <cell r="Y776">
            <v>43</v>
          </cell>
        </row>
        <row r="776">
          <cell r="AB776">
            <v>57</v>
          </cell>
        </row>
        <row r="776">
          <cell r="AE776">
            <v>62</v>
          </cell>
        </row>
        <row r="777">
          <cell r="C777">
            <v>17</v>
          </cell>
          <cell r="D777">
            <v>423</v>
          </cell>
        </row>
        <row r="777">
          <cell r="G777">
            <v>101</v>
          </cell>
        </row>
        <row r="777">
          <cell r="J777">
            <v>58.5</v>
          </cell>
        </row>
        <row r="777">
          <cell r="M777">
            <v>111</v>
          </cell>
        </row>
        <row r="777">
          <cell r="Y777">
            <v>42</v>
          </cell>
        </row>
        <row r="777">
          <cell r="AB777">
            <v>57.5</v>
          </cell>
        </row>
        <row r="777">
          <cell r="AE777">
            <v>53</v>
          </cell>
        </row>
        <row r="778">
          <cell r="C778">
            <v>17</v>
          </cell>
          <cell r="D778">
            <v>446</v>
          </cell>
        </row>
        <row r="778">
          <cell r="G778">
            <v>104.75</v>
          </cell>
        </row>
        <row r="778">
          <cell r="J778">
            <v>49</v>
          </cell>
        </row>
        <row r="778">
          <cell r="M778">
            <v>122.5</v>
          </cell>
        </row>
        <row r="778">
          <cell r="Y778">
            <v>56.75</v>
          </cell>
        </row>
        <row r="778">
          <cell r="AB778">
            <v>68.5</v>
          </cell>
        </row>
        <row r="778">
          <cell r="AE778">
            <v>44.5</v>
          </cell>
        </row>
        <row r="779">
          <cell r="C779">
            <v>17</v>
          </cell>
          <cell r="D779">
            <v>430</v>
          </cell>
        </row>
        <row r="779">
          <cell r="G779">
            <v>116</v>
          </cell>
        </row>
        <row r="779">
          <cell r="J779">
            <v>56.5</v>
          </cell>
        </row>
        <row r="779">
          <cell r="M779">
            <v>109.5</v>
          </cell>
        </row>
        <row r="779">
          <cell r="Y779">
            <v>43</v>
          </cell>
        </row>
        <row r="779">
          <cell r="AB779">
            <v>52.5</v>
          </cell>
        </row>
        <row r="779">
          <cell r="AE779">
            <v>52.5</v>
          </cell>
        </row>
        <row r="780">
          <cell r="C780">
            <v>17</v>
          </cell>
          <cell r="D780">
            <v>447</v>
          </cell>
        </row>
        <row r="780">
          <cell r="G780">
            <v>118</v>
          </cell>
        </row>
        <row r="780">
          <cell r="J780">
            <v>55</v>
          </cell>
        </row>
        <row r="780">
          <cell r="M780">
            <v>109.5</v>
          </cell>
        </row>
        <row r="780">
          <cell r="Y780">
            <v>54</v>
          </cell>
        </row>
        <row r="780">
          <cell r="AB780">
            <v>65</v>
          </cell>
        </row>
        <row r="780">
          <cell r="AE780">
            <v>45.5</v>
          </cell>
        </row>
        <row r="781">
          <cell r="C781">
            <v>17</v>
          </cell>
          <cell r="D781">
            <v>499.5</v>
          </cell>
        </row>
        <row r="781">
          <cell r="G781">
            <v>107</v>
          </cell>
        </row>
        <row r="781">
          <cell r="J781">
            <v>62.5</v>
          </cell>
        </row>
        <row r="781">
          <cell r="M781">
            <v>127.5</v>
          </cell>
        </row>
        <row r="781">
          <cell r="Y781">
            <v>66</v>
          </cell>
        </row>
        <row r="781">
          <cell r="AB781">
            <v>75</v>
          </cell>
        </row>
        <row r="781">
          <cell r="AE781">
            <v>61.5</v>
          </cell>
        </row>
        <row r="782">
          <cell r="C782">
            <v>17</v>
          </cell>
          <cell r="D782">
            <v>385.75</v>
          </cell>
        </row>
        <row r="782">
          <cell r="G782">
            <v>99.75</v>
          </cell>
        </row>
        <row r="782">
          <cell r="J782">
            <v>21</v>
          </cell>
        </row>
        <row r="782">
          <cell r="M782">
            <v>110.5</v>
          </cell>
        </row>
        <row r="782">
          <cell r="Y782">
            <v>47</v>
          </cell>
        </row>
        <row r="782">
          <cell r="AB782">
            <v>56.5</v>
          </cell>
        </row>
        <row r="782">
          <cell r="AE782">
            <v>51</v>
          </cell>
        </row>
        <row r="783">
          <cell r="C783">
            <v>17</v>
          </cell>
          <cell r="D783">
            <v>449.5</v>
          </cell>
        </row>
        <row r="783">
          <cell r="G783">
            <v>108.5</v>
          </cell>
        </row>
        <row r="783">
          <cell r="J783">
            <v>56</v>
          </cell>
        </row>
        <row r="783">
          <cell r="M783">
            <v>106.5</v>
          </cell>
        </row>
        <row r="783">
          <cell r="Y783">
            <v>62</v>
          </cell>
        </row>
        <row r="783">
          <cell r="AB783">
            <v>58.5</v>
          </cell>
        </row>
        <row r="783">
          <cell r="AE783">
            <v>58</v>
          </cell>
        </row>
        <row r="784">
          <cell r="C784">
            <v>17</v>
          </cell>
          <cell r="D784">
            <v>438</v>
          </cell>
        </row>
        <row r="784">
          <cell r="G784">
            <v>104.5</v>
          </cell>
        </row>
        <row r="784">
          <cell r="J784">
            <v>52</v>
          </cell>
        </row>
        <row r="784">
          <cell r="M784">
            <v>113.5</v>
          </cell>
        </row>
        <row r="784">
          <cell r="Y784">
            <v>55.5</v>
          </cell>
        </row>
        <row r="784">
          <cell r="AB784">
            <v>64</v>
          </cell>
        </row>
        <row r="784">
          <cell r="AE784">
            <v>48.5</v>
          </cell>
        </row>
        <row r="785">
          <cell r="C785">
            <v>17</v>
          </cell>
          <cell r="D785">
            <v>411</v>
          </cell>
        </row>
        <row r="785">
          <cell r="G785">
            <v>105.5</v>
          </cell>
        </row>
        <row r="785">
          <cell r="J785">
            <v>64</v>
          </cell>
        </row>
        <row r="785">
          <cell r="M785">
            <v>89</v>
          </cell>
        </row>
        <row r="785">
          <cell r="Y785">
            <v>53.5</v>
          </cell>
        </row>
        <row r="785">
          <cell r="AB785">
            <v>58</v>
          </cell>
        </row>
        <row r="785">
          <cell r="AE785">
            <v>41</v>
          </cell>
        </row>
        <row r="786">
          <cell r="C786">
            <v>17</v>
          </cell>
          <cell r="D786">
            <v>397.5</v>
          </cell>
        </row>
        <row r="786">
          <cell r="G786">
            <v>103</v>
          </cell>
        </row>
        <row r="786">
          <cell r="J786">
            <v>25.5</v>
          </cell>
        </row>
        <row r="786">
          <cell r="M786">
            <v>116</v>
          </cell>
        </row>
        <row r="786">
          <cell r="Y786">
            <v>53.5</v>
          </cell>
        </row>
        <row r="786">
          <cell r="AB786">
            <v>49</v>
          </cell>
        </row>
        <row r="786">
          <cell r="AE786">
            <v>50.5</v>
          </cell>
        </row>
        <row r="787">
          <cell r="C787">
            <v>17</v>
          </cell>
          <cell r="D787">
            <v>432</v>
          </cell>
        </row>
        <row r="787">
          <cell r="G787">
            <v>108.5</v>
          </cell>
        </row>
        <row r="787">
          <cell r="J787">
            <v>63.5</v>
          </cell>
        </row>
        <row r="787">
          <cell r="M787">
            <v>91.5</v>
          </cell>
        </row>
        <row r="787">
          <cell r="Y787">
            <v>48.5</v>
          </cell>
        </row>
        <row r="787">
          <cell r="AB787">
            <v>58.5</v>
          </cell>
        </row>
        <row r="787">
          <cell r="AE787">
            <v>61.5</v>
          </cell>
        </row>
        <row r="788">
          <cell r="C788">
            <v>17</v>
          </cell>
          <cell r="D788">
            <v>383.5</v>
          </cell>
        </row>
        <row r="788">
          <cell r="G788">
            <v>96.5</v>
          </cell>
        </row>
        <row r="788">
          <cell r="J788">
            <v>56.5</v>
          </cell>
        </row>
        <row r="788">
          <cell r="M788">
            <v>81</v>
          </cell>
        </row>
        <row r="788">
          <cell r="Y788">
            <v>41</v>
          </cell>
        </row>
        <row r="788">
          <cell r="AB788">
            <v>53</v>
          </cell>
        </row>
        <row r="788">
          <cell r="AE788">
            <v>55.5</v>
          </cell>
        </row>
        <row r="789">
          <cell r="C789">
            <v>17</v>
          </cell>
          <cell r="D789">
            <v>409.5</v>
          </cell>
        </row>
        <row r="789">
          <cell r="G789">
            <v>100</v>
          </cell>
        </row>
        <row r="789">
          <cell r="J789">
            <v>52.5</v>
          </cell>
        </row>
        <row r="789">
          <cell r="M789">
            <v>108</v>
          </cell>
        </row>
        <row r="789">
          <cell r="Y789">
            <v>41.5</v>
          </cell>
        </row>
        <row r="789">
          <cell r="AB789">
            <v>61</v>
          </cell>
        </row>
        <row r="789">
          <cell r="AE789">
            <v>46.5</v>
          </cell>
        </row>
        <row r="790">
          <cell r="C790">
            <v>17</v>
          </cell>
          <cell r="D790">
            <v>461</v>
          </cell>
        </row>
        <row r="790">
          <cell r="G790">
            <v>102.5</v>
          </cell>
        </row>
        <row r="790">
          <cell r="J790">
            <v>44.5</v>
          </cell>
        </row>
        <row r="790">
          <cell r="M790">
            <v>117</v>
          </cell>
        </row>
        <row r="790">
          <cell r="Y790">
            <v>64.5</v>
          </cell>
        </row>
        <row r="790">
          <cell r="AB790">
            <v>68.5</v>
          </cell>
        </row>
        <row r="790">
          <cell r="AE790">
            <v>64</v>
          </cell>
        </row>
        <row r="791">
          <cell r="C791">
            <v>17</v>
          </cell>
          <cell r="D791">
            <v>404.5</v>
          </cell>
        </row>
        <row r="791">
          <cell r="G791">
            <v>105.5</v>
          </cell>
        </row>
        <row r="791">
          <cell r="J791">
            <v>33</v>
          </cell>
        </row>
        <row r="791">
          <cell r="M791">
            <v>114.5</v>
          </cell>
        </row>
        <row r="791">
          <cell r="Y791">
            <v>51</v>
          </cell>
        </row>
        <row r="791">
          <cell r="AB791">
            <v>49.5</v>
          </cell>
        </row>
        <row r="791">
          <cell r="AE791">
            <v>51</v>
          </cell>
        </row>
        <row r="793">
          <cell r="C793">
            <v>17</v>
          </cell>
          <cell r="D793">
            <v>445.5</v>
          </cell>
        </row>
        <row r="793">
          <cell r="G793">
            <v>111</v>
          </cell>
        </row>
        <row r="793">
          <cell r="J793">
            <v>56.5</v>
          </cell>
        </row>
        <row r="793">
          <cell r="M793">
            <v>98.5</v>
          </cell>
        </row>
        <row r="793">
          <cell r="Y793">
            <v>63</v>
          </cell>
        </row>
        <row r="793">
          <cell r="AB793">
            <v>61.5</v>
          </cell>
        </row>
        <row r="793">
          <cell r="AE793">
            <v>55</v>
          </cell>
        </row>
        <row r="794">
          <cell r="C794">
            <v>17</v>
          </cell>
          <cell r="D794">
            <v>397.5</v>
          </cell>
        </row>
        <row r="794">
          <cell r="G794">
            <v>104.5</v>
          </cell>
        </row>
        <row r="794">
          <cell r="J794">
            <v>45</v>
          </cell>
        </row>
        <row r="794">
          <cell r="M794">
            <v>105</v>
          </cell>
        </row>
        <row r="794">
          <cell r="Y794">
            <v>39</v>
          </cell>
        </row>
        <row r="794">
          <cell r="AB794">
            <v>52</v>
          </cell>
        </row>
        <row r="794">
          <cell r="AE794">
            <v>52</v>
          </cell>
        </row>
        <row r="795">
          <cell r="C795">
            <v>17</v>
          </cell>
          <cell r="D795">
            <v>433</v>
          </cell>
        </row>
        <row r="795">
          <cell r="G795">
            <v>113</v>
          </cell>
        </row>
        <row r="795">
          <cell r="J795">
            <v>61</v>
          </cell>
        </row>
        <row r="795">
          <cell r="M795">
            <v>100.5</v>
          </cell>
        </row>
        <row r="795">
          <cell r="Y795">
            <v>52</v>
          </cell>
        </row>
        <row r="795">
          <cell r="AB795">
            <v>55.5</v>
          </cell>
        </row>
        <row r="795">
          <cell r="AE795">
            <v>51</v>
          </cell>
        </row>
        <row r="796">
          <cell r="C796">
            <v>17</v>
          </cell>
          <cell r="D796">
            <v>408.5</v>
          </cell>
        </row>
        <row r="796">
          <cell r="G796">
            <v>102.5</v>
          </cell>
        </row>
        <row r="796">
          <cell r="J796">
            <v>50.5</v>
          </cell>
        </row>
        <row r="796">
          <cell r="M796">
            <v>99.5</v>
          </cell>
        </row>
        <row r="796">
          <cell r="Y796">
            <v>47.5</v>
          </cell>
        </row>
        <row r="796">
          <cell r="AB796">
            <v>53.5</v>
          </cell>
        </row>
        <row r="796">
          <cell r="AE796">
            <v>55</v>
          </cell>
        </row>
        <row r="797">
          <cell r="C797">
            <v>17</v>
          </cell>
          <cell r="D797">
            <v>399.5</v>
          </cell>
        </row>
        <row r="797">
          <cell r="G797">
            <v>100.5</v>
          </cell>
        </row>
        <row r="797">
          <cell r="J797">
            <v>56.5</v>
          </cell>
        </row>
        <row r="797">
          <cell r="M797">
            <v>96.5</v>
          </cell>
        </row>
        <row r="797">
          <cell r="Y797">
            <v>48</v>
          </cell>
        </row>
        <row r="797">
          <cell r="AB797">
            <v>51</v>
          </cell>
        </row>
        <row r="797">
          <cell r="AE797">
            <v>47</v>
          </cell>
        </row>
        <row r="798">
          <cell r="C798">
            <v>17</v>
          </cell>
          <cell r="D798">
            <v>403.75</v>
          </cell>
        </row>
        <row r="798">
          <cell r="G798">
            <v>98.75</v>
          </cell>
        </row>
        <row r="798">
          <cell r="J798">
            <v>63</v>
          </cell>
        </row>
        <row r="798">
          <cell r="M798">
            <v>91</v>
          </cell>
        </row>
        <row r="798">
          <cell r="Y798">
            <v>49</v>
          </cell>
        </row>
        <row r="798">
          <cell r="AB798">
            <v>48.5</v>
          </cell>
        </row>
        <row r="798">
          <cell r="AE798">
            <v>53.5</v>
          </cell>
        </row>
        <row r="799">
          <cell r="C799">
            <v>17</v>
          </cell>
          <cell r="D799">
            <v>448.5</v>
          </cell>
        </row>
        <row r="799">
          <cell r="G799">
            <v>106.5</v>
          </cell>
        </row>
        <row r="799">
          <cell r="J799">
            <v>52</v>
          </cell>
        </row>
        <row r="799">
          <cell r="M799">
            <v>118.5</v>
          </cell>
        </row>
        <row r="799">
          <cell r="Y799">
            <v>53</v>
          </cell>
        </row>
        <row r="799">
          <cell r="AB799">
            <v>59.5</v>
          </cell>
        </row>
        <row r="799">
          <cell r="AE799">
            <v>59</v>
          </cell>
        </row>
        <row r="800">
          <cell r="C800">
            <v>17</v>
          </cell>
          <cell r="D800">
            <v>403.5</v>
          </cell>
        </row>
        <row r="800">
          <cell r="G800">
            <v>108.5</v>
          </cell>
        </row>
        <row r="800">
          <cell r="J800">
            <v>37</v>
          </cell>
        </row>
        <row r="800">
          <cell r="M800">
            <v>99</v>
          </cell>
        </row>
        <row r="800">
          <cell r="Y800">
            <v>53</v>
          </cell>
        </row>
        <row r="800">
          <cell r="AB800">
            <v>61</v>
          </cell>
        </row>
        <row r="800">
          <cell r="AE800">
            <v>45</v>
          </cell>
        </row>
        <row r="801">
          <cell r="C801">
            <v>17</v>
          </cell>
          <cell r="D801">
            <v>468</v>
          </cell>
        </row>
        <row r="801">
          <cell r="G801">
            <v>110.5</v>
          </cell>
        </row>
        <row r="801">
          <cell r="J801">
            <v>58.5</v>
          </cell>
        </row>
        <row r="801">
          <cell r="M801">
            <v>118</v>
          </cell>
        </row>
        <row r="801">
          <cell r="Y801">
            <v>62.5</v>
          </cell>
        </row>
        <row r="801">
          <cell r="AB801">
            <v>55.5</v>
          </cell>
        </row>
        <row r="801">
          <cell r="AE801">
            <v>63</v>
          </cell>
        </row>
        <row r="802">
          <cell r="C802">
            <v>17</v>
          </cell>
          <cell r="D802">
            <v>424.5</v>
          </cell>
        </row>
        <row r="802">
          <cell r="G802">
            <v>98</v>
          </cell>
        </row>
        <row r="802">
          <cell r="J802">
            <v>40</v>
          </cell>
        </row>
        <row r="802">
          <cell r="M802">
            <v>127.5</v>
          </cell>
        </row>
        <row r="802">
          <cell r="Y802">
            <v>52</v>
          </cell>
        </row>
        <row r="802">
          <cell r="AB802">
            <v>62</v>
          </cell>
        </row>
        <row r="802">
          <cell r="AE802">
            <v>45</v>
          </cell>
        </row>
        <row r="803">
          <cell r="C803">
            <v>17</v>
          </cell>
          <cell r="D803">
            <v>413.5</v>
          </cell>
        </row>
        <row r="803">
          <cell r="G803">
            <v>101</v>
          </cell>
        </row>
        <row r="803">
          <cell r="J803">
            <v>64</v>
          </cell>
        </row>
        <row r="803">
          <cell r="M803">
            <v>90</v>
          </cell>
        </row>
        <row r="803">
          <cell r="Y803">
            <v>43.5</v>
          </cell>
        </row>
        <row r="803">
          <cell r="AB803">
            <v>62.5</v>
          </cell>
        </row>
        <row r="803">
          <cell r="AE803">
            <v>52.5</v>
          </cell>
        </row>
        <row r="804">
          <cell r="C804">
            <v>17</v>
          </cell>
          <cell r="D804">
            <v>416</v>
          </cell>
        </row>
        <row r="804">
          <cell r="G804">
            <v>98.5</v>
          </cell>
        </row>
        <row r="804">
          <cell r="J804">
            <v>34</v>
          </cell>
        </row>
        <row r="804">
          <cell r="M804">
            <v>113</v>
          </cell>
        </row>
        <row r="804">
          <cell r="Y804">
            <v>46.5</v>
          </cell>
        </row>
        <row r="804">
          <cell r="AB804">
            <v>68</v>
          </cell>
        </row>
        <row r="804">
          <cell r="AE804">
            <v>56</v>
          </cell>
        </row>
        <row r="805">
          <cell r="C805">
            <v>17</v>
          </cell>
          <cell r="D805">
            <v>435</v>
          </cell>
        </row>
        <row r="805">
          <cell r="G805">
            <v>110</v>
          </cell>
        </row>
        <row r="805">
          <cell r="J805">
            <v>59.5</v>
          </cell>
        </row>
        <row r="805">
          <cell r="M805">
            <v>100</v>
          </cell>
        </row>
        <row r="805">
          <cell r="Y805">
            <v>47.5</v>
          </cell>
        </row>
        <row r="805">
          <cell r="AB805">
            <v>52.5</v>
          </cell>
        </row>
        <row r="805">
          <cell r="AE805">
            <v>65.5</v>
          </cell>
        </row>
        <row r="806">
          <cell r="C806">
            <v>17</v>
          </cell>
          <cell r="D806">
            <v>424.25</v>
          </cell>
        </row>
        <row r="806">
          <cell r="G806">
            <v>102.5</v>
          </cell>
        </row>
        <row r="806">
          <cell r="J806">
            <v>56</v>
          </cell>
        </row>
        <row r="806">
          <cell r="M806">
            <v>97.5</v>
          </cell>
        </row>
        <row r="806">
          <cell r="Y806">
            <v>58.75</v>
          </cell>
        </row>
        <row r="806">
          <cell r="AB806">
            <v>65.5</v>
          </cell>
        </row>
        <row r="806">
          <cell r="AE806">
            <v>44</v>
          </cell>
        </row>
        <row r="807">
          <cell r="C807">
            <v>17</v>
          </cell>
          <cell r="D807">
            <v>409.5</v>
          </cell>
        </row>
        <row r="807">
          <cell r="G807">
            <v>112</v>
          </cell>
        </row>
        <row r="807">
          <cell r="J807">
            <v>58.5</v>
          </cell>
        </row>
        <row r="807">
          <cell r="M807">
            <v>88</v>
          </cell>
        </row>
        <row r="807">
          <cell r="Y807">
            <v>36.5</v>
          </cell>
        </row>
        <row r="807">
          <cell r="AB807">
            <v>55.5</v>
          </cell>
        </row>
        <row r="807">
          <cell r="AE807">
            <v>59</v>
          </cell>
        </row>
        <row r="808">
          <cell r="C808">
            <v>17</v>
          </cell>
          <cell r="D808">
            <v>387.5</v>
          </cell>
        </row>
        <row r="808">
          <cell r="G808">
            <v>99.5</v>
          </cell>
        </row>
        <row r="808">
          <cell r="J808">
            <v>46</v>
          </cell>
        </row>
        <row r="808">
          <cell r="M808">
            <v>102.5</v>
          </cell>
        </row>
        <row r="808">
          <cell r="Y808">
            <v>44</v>
          </cell>
        </row>
        <row r="808">
          <cell r="AB808">
            <v>57</v>
          </cell>
        </row>
        <row r="808">
          <cell r="AE808">
            <v>38.5</v>
          </cell>
        </row>
        <row r="809">
          <cell r="C809">
            <v>17</v>
          </cell>
          <cell r="D809">
            <v>413.25</v>
          </cell>
        </row>
        <row r="809">
          <cell r="G809">
            <v>103.25</v>
          </cell>
        </row>
        <row r="809">
          <cell r="J809">
            <v>29.5</v>
          </cell>
        </row>
        <row r="809">
          <cell r="M809">
            <v>110.5</v>
          </cell>
        </row>
        <row r="809">
          <cell r="Y809">
            <v>62</v>
          </cell>
        </row>
        <row r="809">
          <cell r="AB809">
            <v>56</v>
          </cell>
        </row>
        <row r="809">
          <cell r="AE809">
            <v>52</v>
          </cell>
        </row>
        <row r="810">
          <cell r="C810">
            <v>17</v>
          </cell>
          <cell r="D810">
            <v>380.5</v>
          </cell>
        </row>
        <row r="810">
          <cell r="G810">
            <v>98.5</v>
          </cell>
        </row>
        <row r="810">
          <cell r="J810">
            <v>49.5</v>
          </cell>
        </row>
        <row r="810">
          <cell r="M810">
            <v>88</v>
          </cell>
        </row>
        <row r="810">
          <cell r="Y810">
            <v>44</v>
          </cell>
        </row>
        <row r="810">
          <cell r="AB810">
            <v>50</v>
          </cell>
        </row>
        <row r="810">
          <cell r="AE810">
            <v>50.5</v>
          </cell>
        </row>
        <row r="811">
          <cell r="C811">
            <v>17</v>
          </cell>
          <cell r="D811">
            <v>395</v>
          </cell>
        </row>
        <row r="811">
          <cell r="G811">
            <v>99.5</v>
          </cell>
        </row>
        <row r="811">
          <cell r="J811">
            <v>51</v>
          </cell>
        </row>
        <row r="811">
          <cell r="M811">
            <v>102.5</v>
          </cell>
        </row>
        <row r="811">
          <cell r="Y811">
            <v>43.5</v>
          </cell>
        </row>
        <row r="811">
          <cell r="AB811">
            <v>51</v>
          </cell>
        </row>
        <row r="811">
          <cell r="AE811">
            <v>47.5</v>
          </cell>
        </row>
        <row r="812">
          <cell r="C812">
            <v>17</v>
          </cell>
          <cell r="D812">
            <v>360</v>
          </cell>
        </row>
        <row r="812">
          <cell r="G812">
            <v>103</v>
          </cell>
        </row>
        <row r="812">
          <cell r="J812">
            <v>31</v>
          </cell>
        </row>
        <row r="812">
          <cell r="M812">
            <v>70.5</v>
          </cell>
        </row>
        <row r="812">
          <cell r="Y812">
            <v>46.5</v>
          </cell>
        </row>
        <row r="812">
          <cell r="AB812">
            <v>56.5</v>
          </cell>
        </row>
        <row r="812">
          <cell r="AE812">
            <v>52.5</v>
          </cell>
        </row>
        <row r="813">
          <cell r="C813">
            <v>17</v>
          </cell>
          <cell r="D813">
            <v>394</v>
          </cell>
        </row>
        <row r="813">
          <cell r="G813">
            <v>101.5</v>
          </cell>
        </row>
        <row r="813">
          <cell r="J813">
            <v>62.5</v>
          </cell>
        </row>
        <row r="813">
          <cell r="M813">
            <v>86.5</v>
          </cell>
        </row>
        <row r="813">
          <cell r="Y813">
            <v>56.5</v>
          </cell>
        </row>
        <row r="813">
          <cell r="AB813">
            <v>40</v>
          </cell>
        </row>
        <row r="813">
          <cell r="AE813">
            <v>47</v>
          </cell>
        </row>
        <row r="814">
          <cell r="C814">
            <v>17</v>
          </cell>
          <cell r="D814">
            <v>364.5</v>
          </cell>
        </row>
        <row r="814">
          <cell r="G814">
            <v>111</v>
          </cell>
        </row>
        <row r="814">
          <cell r="J814">
            <v>43.5</v>
          </cell>
        </row>
        <row r="814">
          <cell r="M814">
            <v>84</v>
          </cell>
        </row>
        <row r="814">
          <cell r="Y814">
            <v>28.5</v>
          </cell>
        </row>
        <row r="814">
          <cell r="AB814">
            <v>44</v>
          </cell>
        </row>
        <row r="814">
          <cell r="AE814">
            <v>53.5</v>
          </cell>
        </row>
        <row r="815">
          <cell r="C815">
            <v>17</v>
          </cell>
          <cell r="D815">
            <v>444</v>
          </cell>
        </row>
        <row r="815">
          <cell r="G815">
            <v>108.5</v>
          </cell>
        </row>
        <row r="815">
          <cell r="J815">
            <v>43</v>
          </cell>
        </row>
        <row r="815">
          <cell r="M815">
            <v>124</v>
          </cell>
        </row>
        <row r="815">
          <cell r="Y815">
            <v>64.5</v>
          </cell>
        </row>
        <row r="815">
          <cell r="AB815">
            <v>51</v>
          </cell>
        </row>
        <row r="815">
          <cell r="AE815">
            <v>53</v>
          </cell>
        </row>
        <row r="816">
          <cell r="C816">
            <v>17</v>
          </cell>
          <cell r="D816">
            <v>380.25</v>
          </cell>
        </row>
        <row r="816">
          <cell r="G816">
            <v>92.25</v>
          </cell>
        </row>
        <row r="816">
          <cell r="J816">
            <v>44</v>
          </cell>
        </row>
        <row r="816">
          <cell r="M816">
            <v>82.5</v>
          </cell>
        </row>
        <row r="816">
          <cell r="Y816">
            <v>43</v>
          </cell>
        </row>
        <row r="816">
          <cell r="AB816">
            <v>61.5</v>
          </cell>
        </row>
        <row r="816">
          <cell r="AE816">
            <v>57</v>
          </cell>
        </row>
        <row r="817">
          <cell r="D817">
            <v>94</v>
          </cell>
        </row>
        <row r="817">
          <cell r="G817">
            <v>94</v>
          </cell>
        </row>
        <row r="818">
          <cell r="C818">
            <v>18</v>
          </cell>
          <cell r="D818">
            <v>522</v>
          </cell>
        </row>
        <row r="818">
          <cell r="G818">
            <v>107</v>
          </cell>
        </row>
        <row r="818">
          <cell r="J818">
            <v>93.5</v>
          </cell>
        </row>
        <row r="818">
          <cell r="M818">
            <v>128.5</v>
          </cell>
        </row>
        <row r="818">
          <cell r="Y818">
            <v>52</v>
          </cell>
        </row>
        <row r="818">
          <cell r="AB818">
            <v>78.5</v>
          </cell>
        </row>
        <row r="818">
          <cell r="AE818">
            <v>62.5</v>
          </cell>
        </row>
        <row r="819">
          <cell r="C819">
            <v>18</v>
          </cell>
          <cell r="D819">
            <v>525.25</v>
          </cell>
        </row>
        <row r="819">
          <cell r="G819">
            <v>109.75</v>
          </cell>
        </row>
        <row r="819">
          <cell r="J819">
            <v>94</v>
          </cell>
        </row>
        <row r="819">
          <cell r="M819">
            <v>133</v>
          </cell>
        </row>
        <row r="819">
          <cell r="Y819">
            <v>63.5</v>
          </cell>
        </row>
        <row r="819">
          <cell r="AB819">
            <v>64.5</v>
          </cell>
        </row>
        <row r="819">
          <cell r="AE819">
            <v>60.5</v>
          </cell>
        </row>
        <row r="820">
          <cell r="C820">
            <v>18</v>
          </cell>
          <cell r="D820">
            <v>502</v>
          </cell>
        </row>
        <row r="820">
          <cell r="G820">
            <v>105.5</v>
          </cell>
        </row>
        <row r="820">
          <cell r="J820">
            <v>88</v>
          </cell>
        </row>
        <row r="820">
          <cell r="M820">
            <v>123</v>
          </cell>
        </row>
        <row r="820">
          <cell r="Y820">
            <v>56</v>
          </cell>
        </row>
        <row r="820">
          <cell r="AB820">
            <v>59</v>
          </cell>
        </row>
        <row r="820">
          <cell r="AE820">
            <v>70.5</v>
          </cell>
        </row>
        <row r="821">
          <cell r="C821">
            <v>18</v>
          </cell>
          <cell r="D821">
            <v>468.75</v>
          </cell>
        </row>
        <row r="821">
          <cell r="G821">
            <v>101.25</v>
          </cell>
        </row>
        <row r="821">
          <cell r="J821">
            <v>64.5</v>
          </cell>
        </row>
        <row r="821">
          <cell r="M821">
            <v>125.5</v>
          </cell>
        </row>
        <row r="821">
          <cell r="Y821">
            <v>58.5</v>
          </cell>
        </row>
        <row r="821">
          <cell r="AB821">
            <v>60.5</v>
          </cell>
        </row>
        <row r="821">
          <cell r="AE821">
            <v>58.5</v>
          </cell>
        </row>
        <row r="822">
          <cell r="C822">
            <v>18</v>
          </cell>
          <cell r="D822">
            <v>525</v>
          </cell>
        </row>
        <row r="822">
          <cell r="G822">
            <v>112.5</v>
          </cell>
        </row>
        <row r="822">
          <cell r="J822">
            <v>98</v>
          </cell>
        </row>
        <row r="822">
          <cell r="M822">
            <v>131.5</v>
          </cell>
        </row>
        <row r="822">
          <cell r="Y822">
            <v>68</v>
          </cell>
        </row>
        <row r="822">
          <cell r="AB822">
            <v>65</v>
          </cell>
        </row>
        <row r="822">
          <cell r="AE822">
            <v>50</v>
          </cell>
        </row>
        <row r="823">
          <cell r="C823">
            <v>18</v>
          </cell>
          <cell r="D823">
            <v>510.5</v>
          </cell>
        </row>
        <row r="823">
          <cell r="G823">
            <v>117.5</v>
          </cell>
        </row>
        <row r="823">
          <cell r="J823">
            <v>81.5</v>
          </cell>
        </row>
        <row r="823">
          <cell r="M823">
            <v>120</v>
          </cell>
        </row>
        <row r="823">
          <cell r="Y823">
            <v>60</v>
          </cell>
        </row>
        <row r="823">
          <cell r="AB823">
            <v>71.5</v>
          </cell>
        </row>
        <row r="823">
          <cell r="AE823">
            <v>60</v>
          </cell>
        </row>
        <row r="824">
          <cell r="C824">
            <v>18</v>
          </cell>
          <cell r="D824">
            <v>539.5</v>
          </cell>
        </row>
        <row r="824">
          <cell r="G824">
            <v>110.5</v>
          </cell>
        </row>
        <row r="824">
          <cell r="J824">
            <v>100.5</v>
          </cell>
        </row>
        <row r="824">
          <cell r="M824">
            <v>128</v>
          </cell>
        </row>
        <row r="824">
          <cell r="Y824">
            <v>68.5</v>
          </cell>
        </row>
        <row r="824">
          <cell r="AB824">
            <v>72.5</v>
          </cell>
        </row>
        <row r="824">
          <cell r="AE824">
            <v>59.5</v>
          </cell>
        </row>
        <row r="825">
          <cell r="C825">
            <v>18</v>
          </cell>
          <cell r="D825">
            <v>498.75</v>
          </cell>
        </row>
        <row r="825">
          <cell r="G825">
            <v>97.75</v>
          </cell>
        </row>
        <row r="825">
          <cell r="J825">
            <v>85</v>
          </cell>
        </row>
        <row r="825">
          <cell r="M825">
            <v>121</v>
          </cell>
        </row>
        <row r="825">
          <cell r="Y825">
            <v>64.5</v>
          </cell>
        </row>
        <row r="825">
          <cell r="AB825">
            <v>69.5</v>
          </cell>
        </row>
        <row r="825">
          <cell r="AE825">
            <v>61</v>
          </cell>
        </row>
        <row r="826">
          <cell r="C826">
            <v>18</v>
          </cell>
          <cell r="D826">
            <v>492.75</v>
          </cell>
        </row>
        <row r="826">
          <cell r="G826">
            <v>119.5</v>
          </cell>
        </row>
        <row r="826">
          <cell r="J826">
            <v>62</v>
          </cell>
        </row>
        <row r="826">
          <cell r="M826">
            <v>124.75</v>
          </cell>
        </row>
        <row r="826">
          <cell r="Y826">
            <v>64.5</v>
          </cell>
        </row>
        <row r="826">
          <cell r="AB826">
            <v>75.5</v>
          </cell>
        </row>
        <row r="826">
          <cell r="AE826">
            <v>46.5</v>
          </cell>
        </row>
        <row r="827">
          <cell r="C827">
            <v>18</v>
          </cell>
          <cell r="D827">
            <v>478.5</v>
          </cell>
        </row>
        <row r="827">
          <cell r="G827">
            <v>107</v>
          </cell>
        </row>
        <row r="827">
          <cell r="J827">
            <v>57</v>
          </cell>
        </row>
        <row r="827">
          <cell r="M827">
            <v>116.5</v>
          </cell>
        </row>
        <row r="827">
          <cell r="Y827">
            <v>63.5</v>
          </cell>
        </row>
        <row r="827">
          <cell r="AB827">
            <v>74.5</v>
          </cell>
        </row>
        <row r="827">
          <cell r="AE827">
            <v>60</v>
          </cell>
        </row>
        <row r="828">
          <cell r="C828">
            <v>18</v>
          </cell>
          <cell r="D828">
            <v>507.5</v>
          </cell>
        </row>
        <row r="828">
          <cell r="G828">
            <v>107</v>
          </cell>
        </row>
        <row r="828">
          <cell r="J828">
            <v>103.5</v>
          </cell>
        </row>
        <row r="828">
          <cell r="M828">
            <v>129.5</v>
          </cell>
        </row>
        <row r="828">
          <cell r="Y828">
            <v>58.5</v>
          </cell>
        </row>
        <row r="828">
          <cell r="AB828">
            <v>65</v>
          </cell>
        </row>
        <row r="828">
          <cell r="AE828">
            <v>44</v>
          </cell>
        </row>
        <row r="829">
          <cell r="C829">
            <v>18</v>
          </cell>
          <cell r="D829">
            <v>501.5</v>
          </cell>
        </row>
        <row r="829">
          <cell r="G829">
            <v>115.5</v>
          </cell>
        </row>
        <row r="829">
          <cell r="J829">
            <v>61</v>
          </cell>
        </row>
        <row r="829">
          <cell r="M829">
            <v>133.5</v>
          </cell>
        </row>
        <row r="829">
          <cell r="Y829">
            <v>61.5</v>
          </cell>
        </row>
        <row r="829">
          <cell r="AB829">
            <v>70.5</v>
          </cell>
        </row>
        <row r="829">
          <cell r="AE829">
            <v>59.5</v>
          </cell>
        </row>
        <row r="830">
          <cell r="C830">
            <v>18</v>
          </cell>
          <cell r="D830">
            <v>508.5</v>
          </cell>
        </row>
        <row r="830">
          <cell r="G830">
            <v>108.5</v>
          </cell>
        </row>
        <row r="830">
          <cell r="J830">
            <v>84</v>
          </cell>
        </row>
        <row r="830">
          <cell r="M830">
            <v>135.5</v>
          </cell>
        </row>
        <row r="830">
          <cell r="Y830">
            <v>59.5</v>
          </cell>
        </row>
        <row r="830">
          <cell r="AB830">
            <v>66</v>
          </cell>
        </row>
        <row r="830">
          <cell r="AE830">
            <v>55</v>
          </cell>
        </row>
        <row r="831">
          <cell r="C831">
            <v>18</v>
          </cell>
          <cell r="D831">
            <v>510</v>
          </cell>
        </row>
        <row r="831">
          <cell r="G831">
            <v>111</v>
          </cell>
        </row>
        <row r="831">
          <cell r="J831">
            <v>81.5</v>
          </cell>
        </row>
        <row r="831">
          <cell r="M831">
            <v>128</v>
          </cell>
        </row>
        <row r="831">
          <cell r="Y831">
            <v>57</v>
          </cell>
        </row>
        <row r="831">
          <cell r="AB831">
            <v>64</v>
          </cell>
        </row>
        <row r="831">
          <cell r="AE831">
            <v>68.5</v>
          </cell>
        </row>
        <row r="832">
          <cell r="C832">
            <v>18</v>
          </cell>
          <cell r="D832">
            <v>514</v>
          </cell>
        </row>
        <row r="832">
          <cell r="G832">
            <v>116</v>
          </cell>
        </row>
        <row r="832">
          <cell r="J832">
            <v>81.5</v>
          </cell>
        </row>
        <row r="832">
          <cell r="M832">
            <v>120.5</v>
          </cell>
        </row>
        <row r="832">
          <cell r="Y832">
            <v>71.5</v>
          </cell>
        </row>
        <row r="832">
          <cell r="AB832">
            <v>62</v>
          </cell>
        </row>
        <row r="832">
          <cell r="AE832">
            <v>62.5</v>
          </cell>
        </row>
        <row r="833">
          <cell r="C833">
            <v>18</v>
          </cell>
          <cell r="D833">
            <v>509.5</v>
          </cell>
        </row>
        <row r="833">
          <cell r="G833">
            <v>105.5</v>
          </cell>
        </row>
        <row r="833">
          <cell r="J833">
            <v>86.5</v>
          </cell>
        </row>
        <row r="833">
          <cell r="M833">
            <v>133</v>
          </cell>
        </row>
        <row r="833">
          <cell r="Y833">
            <v>63.5</v>
          </cell>
        </row>
        <row r="833">
          <cell r="AB833">
            <v>65.5</v>
          </cell>
        </row>
        <row r="833">
          <cell r="AE833">
            <v>55.5</v>
          </cell>
        </row>
        <row r="834">
          <cell r="C834">
            <v>18</v>
          </cell>
          <cell r="D834">
            <v>501.5</v>
          </cell>
        </row>
        <row r="834">
          <cell r="G834">
            <v>111</v>
          </cell>
        </row>
        <row r="834">
          <cell r="J834">
            <v>80</v>
          </cell>
        </row>
        <row r="834">
          <cell r="M834">
            <v>123</v>
          </cell>
        </row>
        <row r="834">
          <cell r="Y834">
            <v>58</v>
          </cell>
        </row>
        <row r="834">
          <cell r="AB834">
            <v>73.5</v>
          </cell>
        </row>
        <row r="834">
          <cell r="AE834">
            <v>56</v>
          </cell>
        </row>
        <row r="835">
          <cell r="C835">
            <v>18</v>
          </cell>
          <cell r="D835">
            <v>461</v>
          </cell>
        </row>
        <row r="835">
          <cell r="G835">
            <v>107</v>
          </cell>
        </row>
        <row r="835">
          <cell r="J835">
            <v>78</v>
          </cell>
        </row>
        <row r="835">
          <cell r="M835">
            <v>118</v>
          </cell>
        </row>
        <row r="835">
          <cell r="Y835">
            <v>50</v>
          </cell>
        </row>
        <row r="835">
          <cell r="AB835">
            <v>63</v>
          </cell>
        </row>
        <row r="835">
          <cell r="AE835">
            <v>45</v>
          </cell>
        </row>
        <row r="836">
          <cell r="C836">
            <v>18</v>
          </cell>
          <cell r="D836">
            <v>481.5</v>
          </cell>
        </row>
        <row r="836">
          <cell r="G836">
            <v>116</v>
          </cell>
        </row>
        <row r="836">
          <cell r="J836">
            <v>67.5</v>
          </cell>
        </row>
        <row r="836">
          <cell r="M836">
            <v>120</v>
          </cell>
        </row>
        <row r="836">
          <cell r="Y836">
            <v>61.5</v>
          </cell>
        </row>
        <row r="836">
          <cell r="AB836">
            <v>61</v>
          </cell>
        </row>
        <row r="836">
          <cell r="AE836">
            <v>55.5</v>
          </cell>
        </row>
        <row r="837">
          <cell r="C837">
            <v>18</v>
          </cell>
          <cell r="D837">
            <v>472.5</v>
          </cell>
        </row>
        <row r="837">
          <cell r="G837">
            <v>107</v>
          </cell>
        </row>
        <row r="837">
          <cell r="J837">
            <v>51</v>
          </cell>
        </row>
        <row r="837">
          <cell r="M837">
            <v>127</v>
          </cell>
        </row>
        <row r="837">
          <cell r="Y837">
            <v>47.5</v>
          </cell>
        </row>
        <row r="837">
          <cell r="AB837">
            <v>65</v>
          </cell>
        </row>
        <row r="837">
          <cell r="AE837">
            <v>75</v>
          </cell>
        </row>
        <row r="838">
          <cell r="C838">
            <v>18</v>
          </cell>
          <cell r="D838">
            <v>464.75</v>
          </cell>
        </row>
        <row r="838">
          <cell r="G838">
            <v>97.75</v>
          </cell>
        </row>
        <row r="838">
          <cell r="J838">
            <v>77.5</v>
          </cell>
        </row>
        <row r="838">
          <cell r="M838">
            <v>123.5</v>
          </cell>
        </row>
        <row r="838">
          <cell r="Y838">
            <v>55.5</v>
          </cell>
        </row>
        <row r="838">
          <cell r="AB838">
            <v>56</v>
          </cell>
        </row>
        <row r="838">
          <cell r="AE838">
            <v>54.5</v>
          </cell>
        </row>
        <row r="839">
          <cell r="C839">
            <v>18</v>
          </cell>
          <cell r="D839">
            <v>528</v>
          </cell>
        </row>
        <row r="839">
          <cell r="G839">
            <v>105.5</v>
          </cell>
        </row>
        <row r="839">
          <cell r="J839">
            <v>112</v>
          </cell>
        </row>
        <row r="839">
          <cell r="M839">
            <v>122</v>
          </cell>
        </row>
        <row r="839">
          <cell r="Y839">
            <v>62.5</v>
          </cell>
        </row>
        <row r="839">
          <cell r="AB839">
            <v>63.5</v>
          </cell>
        </row>
        <row r="839">
          <cell r="AE839">
            <v>62.5</v>
          </cell>
        </row>
        <row r="840">
          <cell r="C840">
            <v>18</v>
          </cell>
          <cell r="D840">
            <v>488.5</v>
          </cell>
        </row>
        <row r="840">
          <cell r="G840">
            <v>116.5</v>
          </cell>
        </row>
        <row r="840">
          <cell r="J840">
            <v>72.5</v>
          </cell>
        </row>
        <row r="840">
          <cell r="M840">
            <v>117</v>
          </cell>
        </row>
        <row r="840">
          <cell r="Y840">
            <v>62.5</v>
          </cell>
        </row>
        <row r="840">
          <cell r="AB840">
            <v>61.5</v>
          </cell>
        </row>
        <row r="840">
          <cell r="AE840">
            <v>58.5</v>
          </cell>
        </row>
        <row r="841">
          <cell r="C841">
            <v>18</v>
          </cell>
          <cell r="D841">
            <v>473</v>
          </cell>
        </row>
        <row r="841">
          <cell r="G841">
            <v>107.5</v>
          </cell>
        </row>
        <row r="841">
          <cell r="J841">
            <v>83</v>
          </cell>
        </row>
        <row r="841">
          <cell r="M841">
            <v>120.5</v>
          </cell>
        </row>
        <row r="841">
          <cell r="Y841">
            <v>55.5</v>
          </cell>
        </row>
        <row r="841">
          <cell r="AB841">
            <v>52.5</v>
          </cell>
        </row>
        <row r="841">
          <cell r="AE841">
            <v>54</v>
          </cell>
        </row>
        <row r="842">
          <cell r="C842">
            <v>18</v>
          </cell>
          <cell r="D842">
            <v>481</v>
          </cell>
        </row>
        <row r="842">
          <cell r="G842">
            <v>112.5</v>
          </cell>
        </row>
        <row r="842">
          <cell r="J842">
            <v>74.5</v>
          </cell>
        </row>
        <row r="842">
          <cell r="M842">
            <v>120</v>
          </cell>
        </row>
        <row r="842">
          <cell r="Y842">
            <v>48.5</v>
          </cell>
        </row>
        <row r="842">
          <cell r="AB842">
            <v>55.5</v>
          </cell>
        </row>
        <row r="842">
          <cell r="AE842">
            <v>70</v>
          </cell>
        </row>
        <row r="843">
          <cell r="C843">
            <v>18</v>
          </cell>
          <cell r="D843">
            <v>436.5</v>
          </cell>
        </row>
        <row r="843">
          <cell r="G843">
            <v>109</v>
          </cell>
        </row>
        <row r="843">
          <cell r="J843">
            <v>35</v>
          </cell>
        </row>
        <row r="843">
          <cell r="M843">
            <v>123</v>
          </cell>
        </row>
        <row r="843">
          <cell r="Y843">
            <v>52</v>
          </cell>
        </row>
        <row r="843">
          <cell r="AB843">
            <v>63.5</v>
          </cell>
        </row>
        <row r="843">
          <cell r="AE843">
            <v>54</v>
          </cell>
        </row>
        <row r="844">
          <cell r="C844">
            <v>18</v>
          </cell>
          <cell r="D844">
            <v>494</v>
          </cell>
        </row>
        <row r="844">
          <cell r="G844">
            <v>102.5</v>
          </cell>
        </row>
        <row r="844">
          <cell r="J844">
            <v>62</v>
          </cell>
        </row>
        <row r="844">
          <cell r="M844">
            <v>135</v>
          </cell>
        </row>
        <row r="844">
          <cell r="Y844">
            <v>61</v>
          </cell>
        </row>
        <row r="844">
          <cell r="AB844">
            <v>71</v>
          </cell>
        </row>
        <row r="844">
          <cell r="AE844">
            <v>62.5</v>
          </cell>
        </row>
        <row r="845">
          <cell r="C845">
            <v>18</v>
          </cell>
          <cell r="D845">
            <v>512.5</v>
          </cell>
        </row>
        <row r="845">
          <cell r="G845">
            <v>114</v>
          </cell>
        </row>
        <row r="845">
          <cell r="J845">
            <v>97</v>
          </cell>
        </row>
        <row r="845">
          <cell r="M845">
            <v>130</v>
          </cell>
        </row>
        <row r="845">
          <cell r="Y845">
            <v>59.5</v>
          </cell>
        </row>
        <row r="845">
          <cell r="AB845">
            <v>64.5</v>
          </cell>
        </row>
        <row r="845">
          <cell r="AE845">
            <v>47.5</v>
          </cell>
        </row>
        <row r="846">
          <cell r="C846">
            <v>18</v>
          </cell>
          <cell r="D846">
            <v>438.5</v>
          </cell>
        </row>
        <row r="846">
          <cell r="G846">
            <v>99.5</v>
          </cell>
        </row>
        <row r="846">
          <cell r="J846">
            <v>76.5</v>
          </cell>
        </row>
        <row r="846">
          <cell r="M846">
            <v>101</v>
          </cell>
        </row>
        <row r="846">
          <cell r="Y846">
            <v>54</v>
          </cell>
        </row>
        <row r="846">
          <cell r="AB846">
            <v>59.5</v>
          </cell>
        </row>
        <row r="846">
          <cell r="AE846">
            <v>48</v>
          </cell>
        </row>
        <row r="847">
          <cell r="C847">
            <v>18</v>
          </cell>
          <cell r="D847">
            <v>456.75</v>
          </cell>
        </row>
        <row r="847">
          <cell r="G847">
            <v>105.75</v>
          </cell>
        </row>
        <row r="847">
          <cell r="J847">
            <v>55.5</v>
          </cell>
        </row>
        <row r="847">
          <cell r="M847">
            <v>115.5</v>
          </cell>
        </row>
        <row r="847">
          <cell r="Y847">
            <v>61.5</v>
          </cell>
        </row>
        <row r="847">
          <cell r="AB847">
            <v>65.5</v>
          </cell>
        </row>
        <row r="847">
          <cell r="AE847">
            <v>53</v>
          </cell>
        </row>
        <row r="848">
          <cell r="C848">
            <v>18</v>
          </cell>
          <cell r="D848">
            <v>475</v>
          </cell>
        </row>
        <row r="848">
          <cell r="G848">
            <v>110.5</v>
          </cell>
        </row>
        <row r="848">
          <cell r="J848">
            <v>68</v>
          </cell>
        </row>
        <row r="848">
          <cell r="M848">
            <v>124.5</v>
          </cell>
        </row>
        <row r="848">
          <cell r="Y848">
            <v>56.5</v>
          </cell>
        </row>
        <row r="848">
          <cell r="AB848">
            <v>58</v>
          </cell>
        </row>
        <row r="848">
          <cell r="AE848">
            <v>57.5</v>
          </cell>
        </row>
        <row r="849">
          <cell r="C849">
            <v>18</v>
          </cell>
          <cell r="D849">
            <v>484.5</v>
          </cell>
        </row>
        <row r="849">
          <cell r="G849">
            <v>111</v>
          </cell>
        </row>
        <row r="849">
          <cell r="J849">
            <v>77</v>
          </cell>
        </row>
        <row r="849">
          <cell r="M849">
            <v>117</v>
          </cell>
        </row>
        <row r="849">
          <cell r="Y849">
            <v>55</v>
          </cell>
        </row>
        <row r="849">
          <cell r="AB849">
            <v>60</v>
          </cell>
        </row>
        <row r="849">
          <cell r="AE849">
            <v>64.5</v>
          </cell>
        </row>
        <row r="850">
          <cell r="C850">
            <v>18</v>
          </cell>
          <cell r="D850">
            <v>463.5</v>
          </cell>
        </row>
        <row r="850">
          <cell r="G850">
            <v>109</v>
          </cell>
        </row>
        <row r="850">
          <cell r="J850">
            <v>65.5</v>
          </cell>
        </row>
        <row r="850">
          <cell r="M850">
            <v>118.5</v>
          </cell>
        </row>
        <row r="850">
          <cell r="Y850">
            <v>59</v>
          </cell>
        </row>
        <row r="850">
          <cell r="AB850">
            <v>62</v>
          </cell>
        </row>
        <row r="850">
          <cell r="AE850">
            <v>49.5</v>
          </cell>
        </row>
        <row r="851">
          <cell r="C851">
            <v>18</v>
          </cell>
          <cell r="D851">
            <v>484</v>
          </cell>
        </row>
        <row r="851">
          <cell r="G851">
            <v>108</v>
          </cell>
        </row>
        <row r="851">
          <cell r="J851">
            <v>90.5</v>
          </cell>
        </row>
        <row r="851">
          <cell r="M851">
            <v>110.5</v>
          </cell>
        </row>
        <row r="851">
          <cell r="Y851">
            <v>59</v>
          </cell>
        </row>
        <row r="851">
          <cell r="AB851">
            <v>57.5</v>
          </cell>
        </row>
        <row r="851">
          <cell r="AE851">
            <v>58.5</v>
          </cell>
        </row>
        <row r="852">
          <cell r="C852">
            <v>18</v>
          </cell>
          <cell r="D852">
            <v>491</v>
          </cell>
        </row>
        <row r="852">
          <cell r="G852">
            <v>105</v>
          </cell>
        </row>
        <row r="852">
          <cell r="J852">
            <v>70</v>
          </cell>
        </row>
        <row r="852">
          <cell r="M852">
            <v>129</v>
          </cell>
        </row>
        <row r="852">
          <cell r="Y852">
            <v>57</v>
          </cell>
        </row>
        <row r="852">
          <cell r="AB852">
            <v>67.5</v>
          </cell>
        </row>
        <row r="852">
          <cell r="AE852">
            <v>62.5</v>
          </cell>
        </row>
        <row r="853">
          <cell r="C853">
            <v>18</v>
          </cell>
          <cell r="D853">
            <v>460</v>
          </cell>
        </row>
        <row r="853">
          <cell r="G853">
            <v>113</v>
          </cell>
        </row>
        <row r="853">
          <cell r="J853">
            <v>61.5</v>
          </cell>
        </row>
        <row r="853">
          <cell r="M853">
            <v>112.5</v>
          </cell>
        </row>
        <row r="853">
          <cell r="Y853">
            <v>58.5</v>
          </cell>
        </row>
        <row r="853">
          <cell r="AB853">
            <v>63</v>
          </cell>
        </row>
        <row r="853">
          <cell r="AE853">
            <v>51.5</v>
          </cell>
        </row>
        <row r="854">
          <cell r="C854">
            <v>18</v>
          </cell>
          <cell r="D854">
            <v>437</v>
          </cell>
        </row>
        <row r="854">
          <cell r="G854">
            <v>108</v>
          </cell>
        </row>
        <row r="854">
          <cell r="J854">
            <v>59</v>
          </cell>
        </row>
        <row r="854">
          <cell r="M854">
            <v>108</v>
          </cell>
        </row>
        <row r="854">
          <cell r="Y854">
            <v>54</v>
          </cell>
        </row>
        <row r="854">
          <cell r="AB854">
            <v>64</v>
          </cell>
        </row>
        <row r="854">
          <cell r="AE854">
            <v>44</v>
          </cell>
        </row>
        <row r="855">
          <cell r="C855">
            <v>18</v>
          </cell>
          <cell r="D855">
            <v>482.5</v>
          </cell>
        </row>
        <row r="855">
          <cell r="G855">
            <v>103.5</v>
          </cell>
        </row>
        <row r="855">
          <cell r="J855">
            <v>80.5</v>
          </cell>
        </row>
        <row r="855">
          <cell r="M855">
            <v>115.5</v>
          </cell>
        </row>
        <row r="855">
          <cell r="Y855">
            <v>54.5</v>
          </cell>
        </row>
        <row r="855">
          <cell r="AB855">
            <v>67</v>
          </cell>
        </row>
        <row r="855">
          <cell r="AE855">
            <v>61.5</v>
          </cell>
        </row>
        <row r="856">
          <cell r="C856">
            <v>18</v>
          </cell>
          <cell r="D856">
            <v>497.5</v>
          </cell>
        </row>
        <row r="856">
          <cell r="G856">
            <v>102</v>
          </cell>
        </row>
        <row r="856">
          <cell r="J856">
            <v>82.5</v>
          </cell>
        </row>
        <row r="856">
          <cell r="M856">
            <v>136</v>
          </cell>
        </row>
        <row r="856">
          <cell r="Y856">
            <v>56.5</v>
          </cell>
        </row>
        <row r="856">
          <cell r="AB856">
            <v>69</v>
          </cell>
        </row>
        <row r="856">
          <cell r="AE856">
            <v>51.5</v>
          </cell>
        </row>
        <row r="857">
          <cell r="C857">
            <v>18</v>
          </cell>
          <cell r="D857">
            <v>469.5</v>
          </cell>
        </row>
        <row r="857">
          <cell r="G857">
            <v>114</v>
          </cell>
        </row>
        <row r="857">
          <cell r="J857">
            <v>66</v>
          </cell>
        </row>
        <row r="857">
          <cell r="M857">
            <v>113.5</v>
          </cell>
        </row>
        <row r="857">
          <cell r="Y857">
            <v>52.5</v>
          </cell>
        </row>
        <row r="857">
          <cell r="AB857">
            <v>69.5</v>
          </cell>
        </row>
        <row r="857">
          <cell r="AE857">
            <v>54</v>
          </cell>
        </row>
        <row r="858">
          <cell r="C858">
            <v>18</v>
          </cell>
          <cell r="D858">
            <v>447.5</v>
          </cell>
        </row>
        <row r="858">
          <cell r="G858">
            <v>95</v>
          </cell>
        </row>
        <row r="858">
          <cell r="J858">
            <v>93</v>
          </cell>
        </row>
        <row r="858">
          <cell r="M858">
            <v>114</v>
          </cell>
        </row>
        <row r="858">
          <cell r="Y858">
            <v>45</v>
          </cell>
        </row>
        <row r="858">
          <cell r="AB858">
            <v>58</v>
          </cell>
        </row>
        <row r="858">
          <cell r="AE858">
            <v>42.5</v>
          </cell>
        </row>
        <row r="859">
          <cell r="C859">
            <v>18</v>
          </cell>
          <cell r="D859">
            <v>471</v>
          </cell>
        </row>
        <row r="859">
          <cell r="G859">
            <v>112.5</v>
          </cell>
        </row>
        <row r="859">
          <cell r="J859">
            <v>72.5</v>
          </cell>
        </row>
        <row r="859">
          <cell r="M859">
            <v>117</v>
          </cell>
        </row>
        <row r="859">
          <cell r="Y859">
            <v>58.5</v>
          </cell>
        </row>
        <row r="859">
          <cell r="AB859">
            <v>59</v>
          </cell>
        </row>
        <row r="859">
          <cell r="AE859">
            <v>51.5</v>
          </cell>
        </row>
        <row r="860">
          <cell r="C860">
            <v>18</v>
          </cell>
          <cell r="D860">
            <v>463</v>
          </cell>
        </row>
        <row r="860">
          <cell r="G860">
            <v>101.5</v>
          </cell>
        </row>
        <row r="860">
          <cell r="J860">
            <v>66</v>
          </cell>
        </row>
        <row r="860">
          <cell r="M860">
            <v>122.5</v>
          </cell>
        </row>
        <row r="860">
          <cell r="Y860">
            <v>52</v>
          </cell>
        </row>
        <row r="860">
          <cell r="AB860">
            <v>62.5</v>
          </cell>
        </row>
        <row r="860">
          <cell r="AE860">
            <v>58.5</v>
          </cell>
        </row>
        <row r="861">
          <cell r="C861">
            <v>18</v>
          </cell>
          <cell r="D861">
            <v>457</v>
          </cell>
        </row>
        <row r="861">
          <cell r="G861">
            <v>108.5</v>
          </cell>
        </row>
        <row r="861">
          <cell r="J861">
            <v>70.5</v>
          </cell>
        </row>
        <row r="861">
          <cell r="M861">
            <v>114.5</v>
          </cell>
        </row>
        <row r="861">
          <cell r="Y861">
            <v>45</v>
          </cell>
        </row>
        <row r="861">
          <cell r="AB861">
            <v>66</v>
          </cell>
        </row>
        <row r="861">
          <cell r="AE861">
            <v>52.5</v>
          </cell>
        </row>
        <row r="862">
          <cell r="C862">
            <v>18</v>
          </cell>
          <cell r="D862">
            <v>502.5</v>
          </cell>
        </row>
        <row r="862">
          <cell r="G862">
            <v>121</v>
          </cell>
        </row>
        <row r="862">
          <cell r="J862">
            <v>85</v>
          </cell>
        </row>
        <row r="862">
          <cell r="M862">
            <v>110.5</v>
          </cell>
        </row>
        <row r="862">
          <cell r="Y862">
            <v>56</v>
          </cell>
        </row>
        <row r="862">
          <cell r="AB862">
            <v>71.5</v>
          </cell>
        </row>
        <row r="862">
          <cell r="AE862">
            <v>58.5</v>
          </cell>
        </row>
        <row r="863">
          <cell r="C863">
            <v>18</v>
          </cell>
          <cell r="D863">
            <v>447</v>
          </cell>
        </row>
        <row r="863">
          <cell r="G863">
            <v>110</v>
          </cell>
        </row>
        <row r="863">
          <cell r="J863">
            <v>48</v>
          </cell>
        </row>
        <row r="863">
          <cell r="M863">
            <v>129</v>
          </cell>
        </row>
        <row r="863">
          <cell r="Y863">
            <v>45</v>
          </cell>
        </row>
        <row r="863">
          <cell r="AB863">
            <v>54</v>
          </cell>
        </row>
        <row r="863">
          <cell r="AE863">
            <v>61</v>
          </cell>
        </row>
        <row r="864">
          <cell r="C864">
            <v>18</v>
          </cell>
          <cell r="D864">
            <v>440</v>
          </cell>
        </row>
        <row r="864">
          <cell r="G864">
            <v>106.5</v>
          </cell>
        </row>
        <row r="864">
          <cell r="J864">
            <v>82.5</v>
          </cell>
        </row>
        <row r="864">
          <cell r="M864">
            <v>105</v>
          </cell>
        </row>
        <row r="864">
          <cell r="Y864">
            <v>50</v>
          </cell>
        </row>
        <row r="864">
          <cell r="AB864">
            <v>51</v>
          </cell>
        </row>
        <row r="864">
          <cell r="AE864">
            <v>45</v>
          </cell>
        </row>
        <row r="865">
          <cell r="C865">
            <v>18</v>
          </cell>
          <cell r="D865">
            <v>422.75</v>
          </cell>
        </row>
        <row r="865">
          <cell r="G865">
            <v>111.75</v>
          </cell>
        </row>
        <row r="865">
          <cell r="J865">
            <v>38</v>
          </cell>
        </row>
        <row r="865">
          <cell r="M865">
            <v>117</v>
          </cell>
        </row>
        <row r="865">
          <cell r="Y865">
            <v>56.5</v>
          </cell>
        </row>
        <row r="865">
          <cell r="AB865">
            <v>47.5</v>
          </cell>
        </row>
        <row r="865">
          <cell r="AE865">
            <v>52</v>
          </cell>
        </row>
        <row r="866">
          <cell r="C866">
            <v>18</v>
          </cell>
          <cell r="D866">
            <v>433</v>
          </cell>
        </row>
        <row r="866">
          <cell r="G866">
            <v>103.5</v>
          </cell>
        </row>
        <row r="866">
          <cell r="J866">
            <v>49.5</v>
          </cell>
        </row>
        <row r="866">
          <cell r="M866">
            <v>125</v>
          </cell>
        </row>
        <row r="866">
          <cell r="Y866">
            <v>43.5</v>
          </cell>
        </row>
        <row r="866">
          <cell r="AB866">
            <v>60</v>
          </cell>
        </row>
        <row r="866">
          <cell r="AE866">
            <v>51.5</v>
          </cell>
        </row>
      </sheetData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65"/>
  <sheetViews>
    <sheetView workbookViewId="0">
      <pane xSplit="5" ySplit="1" topLeftCell="F2" activePane="bottomRight" state="frozen"/>
      <selection/>
      <selection pane="topRight"/>
      <selection pane="bottomLeft"/>
      <selection pane="bottomRight" activeCell="E664" sqref="A2:E664"/>
    </sheetView>
  </sheetViews>
  <sheetFormatPr defaultColWidth="9" defaultRowHeight="13.5"/>
  <cols>
    <col min="1" max="1" width="5.125" style="161" customWidth="1"/>
    <col min="2" max="2" width="5.125" style="13" customWidth="1"/>
    <col min="3" max="3" width="5.125" style="13" customWidth="1"/>
    <col min="4" max="4" width="5.375" style="162" customWidth="1"/>
    <col min="5" max="5" width="9.375" style="163" customWidth="1"/>
    <col min="6" max="6" width="7.375" style="177" customWidth="1"/>
    <col min="7" max="7" width="7.375" style="177" customWidth="1"/>
    <col min="8" max="8" width="7.375" style="177" customWidth="1"/>
    <col min="9" max="9" width="5.375" style="177" customWidth="1"/>
    <col min="10" max="10" width="6.375" style="177" customWidth="1"/>
    <col min="11" max="11" width="6.375" style="177" customWidth="1"/>
    <col min="12" max="12" width="6.375" style="177" customWidth="1"/>
    <col min="13" max="13" width="6.375" style="177" customWidth="1"/>
    <col min="14" max="14" width="6.375" style="177" customWidth="1"/>
    <col min="15" max="15" width="7.375" style="165" customWidth="1"/>
    <col min="16" max="16" width="7.375" style="165" customWidth="1"/>
    <col min="17" max="17" width="9" style="178"/>
    <col min="18" max="18" width="9" style="178"/>
    <col min="19" max="19" width="9" style="178"/>
    <col min="20" max="20" width="9" style="178"/>
    <col min="21" max="21" width="9" style="178"/>
    <col min="22" max="22" width="9" style="178"/>
    <col min="23" max="23" width="9" style="178"/>
    <col min="24" max="24" width="9" style="178"/>
    <col min="25" max="25" width="9" style="178"/>
    <col min="26" max="26" width="9" style="178"/>
    <col min="27" max="27" width="9" style="178"/>
    <col min="28" max="28" width="9" style="178"/>
    <col min="29" max="29" width="9" style="178"/>
    <col min="30" max="30" width="9" style="178"/>
    <col min="31" max="31" width="9" style="178"/>
    <col min="32" max="32" width="9" style="178"/>
    <col min="33" max="33" width="9" style="178"/>
    <col min="34" max="34" width="9" style="178"/>
    <col min="35" max="35" width="9" style="178"/>
    <col min="36" max="36" width="9" style="178"/>
    <col min="37" max="37" width="9" style="178"/>
    <col min="38" max="38" width="9" style="178"/>
    <col min="39" max="39" width="9" style="178"/>
    <col min="40" max="40" width="9" style="178"/>
    <col min="41" max="41" width="9" style="178"/>
    <col min="42" max="42" width="9" style="178"/>
    <col min="43" max="43" width="9" style="178"/>
    <col min="44" max="44" width="9" style="178"/>
    <col min="45" max="45" width="9" style="178"/>
    <col min="46" max="46" width="9" style="178"/>
    <col min="47" max="47" width="9" style="178"/>
    <col min="48" max="48" width="9" style="178"/>
    <col min="49" max="49" width="9" style="178"/>
    <col min="50" max="50" width="9" style="178"/>
    <col min="51" max="51" width="9" style="178"/>
    <col min="52" max="52" width="9" style="178"/>
    <col min="53" max="53" width="9" style="178"/>
    <col min="54" max="54" width="9" style="178"/>
    <col min="55" max="55" width="9" style="178"/>
    <col min="56" max="56" width="9" style="178"/>
    <col min="57" max="57" width="9" style="178"/>
    <col min="58" max="58" width="9" style="178"/>
    <col min="59" max="59" width="9" style="178"/>
    <col min="60" max="60" width="9" style="178"/>
    <col min="61" max="61" width="9" style="178"/>
    <col min="62" max="62" width="9" style="178"/>
    <col min="63" max="63" width="9" style="178"/>
    <col min="64" max="64" width="9" style="178"/>
    <col min="65" max="65" width="9" style="178"/>
    <col min="66" max="66" width="9" style="178"/>
    <col min="67" max="67" width="9" style="178"/>
    <col min="68" max="68" width="9" style="178"/>
    <col min="69" max="69" width="9" style="178"/>
    <col min="70" max="70" width="9" style="178"/>
    <col min="71" max="71" width="9" style="178"/>
    <col min="72" max="72" width="9" style="178"/>
    <col min="73" max="73" width="9" style="178"/>
    <col min="74" max="74" width="9" style="178"/>
    <col min="75" max="75" width="9" style="178"/>
    <col min="76" max="76" width="9" style="178"/>
    <col min="77" max="77" width="9" style="178"/>
    <col min="78" max="78" width="9" style="178"/>
    <col min="79" max="79" width="9" style="178"/>
    <col min="80" max="80" width="9" style="178"/>
    <col min="81" max="81" width="9" style="178"/>
    <col min="82" max="82" width="9" style="178"/>
    <col min="83" max="83" width="9" style="178"/>
    <col min="84" max="84" width="9" style="178"/>
    <col min="85" max="85" width="9" style="178"/>
    <col min="86" max="86" width="9" style="178"/>
    <col min="87" max="87" width="9" style="178"/>
    <col min="88" max="88" width="9" style="178"/>
    <col min="89" max="89" width="9" style="178"/>
    <col min="90" max="90" width="9" style="178"/>
    <col min="91" max="91" width="9" style="178"/>
    <col min="92" max="92" width="9" style="178"/>
    <col min="93" max="93" width="9" style="178"/>
    <col min="94" max="94" width="9" style="178"/>
    <col min="95" max="95" width="9" style="178"/>
    <col min="96" max="96" width="9" style="178"/>
    <col min="97" max="97" width="9" style="178"/>
    <col min="98" max="98" width="9" style="178"/>
    <col min="99" max="99" width="9" style="178"/>
    <col min="100" max="100" width="9" style="178"/>
    <col min="101" max="101" width="9" style="178"/>
    <col min="102" max="102" width="9" style="178"/>
    <col min="103" max="103" width="9" style="178"/>
    <col min="104" max="104" width="9" style="178"/>
    <col min="105" max="105" width="9" style="178"/>
    <col min="106" max="106" width="9" style="178"/>
    <col min="107" max="107" width="9" style="178"/>
    <col min="108" max="108" width="9" style="178"/>
    <col min="109" max="109" width="9" style="178"/>
    <col min="110" max="110" width="9" style="178"/>
    <col min="111" max="111" width="9" style="178"/>
    <col min="112" max="112" width="9" style="178"/>
    <col min="113" max="113" width="9" style="178"/>
    <col min="114" max="114" width="9" style="178"/>
    <col min="115" max="115" width="9" style="178"/>
    <col min="116" max="116" width="9" style="178"/>
    <col min="117" max="117" width="9" style="178"/>
    <col min="118" max="118" width="9" style="178"/>
    <col min="119" max="119" width="9" style="178"/>
    <col min="120" max="120" width="9" style="178"/>
    <col min="121" max="121" width="9" style="178"/>
    <col min="122" max="122" width="9" style="178"/>
    <col min="123" max="123" width="9" style="178"/>
    <col min="124" max="124" width="9" style="178"/>
    <col min="125" max="125" width="9" style="178"/>
    <col min="126" max="126" width="9" style="178"/>
    <col min="127" max="127" width="9" style="178"/>
    <col min="128" max="128" width="9" style="178"/>
    <col min="129" max="129" width="9" style="178"/>
    <col min="130" max="130" width="9" style="178"/>
    <col min="131" max="131" width="9" style="178"/>
    <col min="132" max="132" width="9" style="178"/>
    <col min="133" max="133" width="9" style="178"/>
    <col min="134" max="134" width="9" style="178"/>
    <col min="135" max="135" width="9" style="178"/>
    <col min="136" max="136" width="9" style="178"/>
    <col min="137" max="137" width="9" style="178"/>
    <col min="138" max="138" width="9" style="178"/>
    <col min="139" max="139" width="9" style="178"/>
    <col min="140" max="140" width="9" style="178"/>
    <col min="141" max="141" width="9" style="178"/>
    <col min="142" max="142" width="9" style="178"/>
    <col min="143" max="143" width="9" style="178"/>
    <col min="144" max="144" width="9" style="178"/>
    <col min="145" max="145" width="9" style="178"/>
    <col min="146" max="146" width="9" style="178"/>
    <col min="147" max="147" width="9" style="178"/>
    <col min="148" max="148" width="9" style="178"/>
    <col min="149" max="149" width="9" style="178"/>
    <col min="150" max="150" width="9" style="178"/>
    <col min="151" max="151" width="9" style="178"/>
    <col min="152" max="152" width="9" style="178"/>
    <col min="153" max="153" width="9" style="178"/>
    <col min="154" max="154" width="9" style="178"/>
    <col min="155" max="155" width="9" style="178"/>
    <col min="156" max="156" width="9" style="178"/>
    <col min="157" max="157" width="9" style="178"/>
    <col min="158" max="158" width="9" style="178"/>
    <col min="159" max="159" width="9" style="178"/>
    <col min="160" max="160" width="9" style="178"/>
    <col min="161" max="161" width="9" style="178"/>
    <col min="162" max="162" width="9" style="178"/>
    <col min="163" max="163" width="9" style="178"/>
    <col min="164" max="164" width="9" style="178"/>
    <col min="165" max="165" width="9" style="178"/>
    <col min="166" max="166" width="9" style="178"/>
    <col min="167" max="167" width="9" style="178"/>
    <col min="168" max="168" width="9" style="178"/>
    <col min="169" max="169" width="9" style="178"/>
    <col min="170" max="170" width="9" style="178"/>
    <col min="171" max="171" width="9" style="178"/>
    <col min="172" max="172" width="9" style="178"/>
    <col min="173" max="173" width="9" style="178"/>
    <col min="174" max="174" width="9" style="178"/>
    <col min="175" max="175" width="9" style="178"/>
    <col min="176" max="176" width="9" style="178"/>
    <col min="177" max="177" width="9" style="178"/>
    <col min="178" max="178" width="9" style="178"/>
    <col min="179" max="179" width="9" style="178"/>
    <col min="180" max="180" width="9" style="178"/>
    <col min="181" max="181" width="9" style="178"/>
    <col min="182" max="182" width="9" style="178"/>
    <col min="183" max="183" width="9" style="178"/>
    <col min="184" max="184" width="9" style="178"/>
    <col min="185" max="185" width="9" style="178"/>
    <col min="186" max="186" width="9" style="178"/>
    <col min="187" max="187" width="9" style="178"/>
    <col min="188" max="188" width="9" style="178"/>
    <col min="189" max="189" width="9" style="178"/>
    <col min="190" max="190" width="9" style="178"/>
    <col min="191" max="191" width="9" style="178"/>
    <col min="192" max="192" width="9" style="178"/>
    <col min="193" max="193" width="9" style="178"/>
    <col min="194" max="194" width="9" style="178"/>
    <col min="195" max="195" width="9" style="178"/>
    <col min="196" max="196" width="9" style="178"/>
    <col min="197" max="197" width="9" style="178"/>
    <col min="198" max="198" width="9" style="178"/>
    <col min="199" max="199" width="9" style="178"/>
    <col min="200" max="200" width="9" style="178"/>
    <col min="201" max="201" width="9" style="178"/>
    <col min="202" max="202" width="9" style="178"/>
    <col min="203" max="203" width="9" style="178"/>
    <col min="204" max="204" width="9" style="178"/>
    <col min="205" max="205" width="9" style="178"/>
    <col min="206" max="206" width="9" style="178"/>
    <col min="207" max="207" width="9" style="178"/>
    <col min="208" max="208" width="9" style="178"/>
    <col min="209" max="209" width="9" style="178"/>
    <col min="210" max="210" width="9" style="178"/>
    <col min="211" max="211" width="9" style="178"/>
    <col min="212" max="212" width="9" style="178"/>
    <col min="213" max="213" width="9" style="178"/>
    <col min="214" max="214" width="9" style="178"/>
    <col min="215" max="215" width="9" style="178"/>
    <col min="216" max="216" width="9" style="178"/>
    <col min="217" max="217" width="9" style="178"/>
    <col min="218" max="218" width="9" style="178"/>
    <col min="219" max="219" width="9" style="178"/>
    <col min="220" max="220" width="9" style="178"/>
    <col min="221" max="221" width="9" style="178"/>
    <col min="222" max="222" width="9" style="178"/>
    <col min="223" max="223" width="9" style="178"/>
    <col min="224" max="224" width="9" style="178"/>
    <col min="225" max="225" width="9" style="178"/>
    <col min="226" max="226" width="9" style="178"/>
    <col min="227" max="227" width="9" style="178"/>
    <col min="228" max="228" width="9" style="178"/>
    <col min="229" max="229" width="9" style="178"/>
    <col min="230" max="230" width="9" style="178"/>
    <col min="231" max="231" width="9" style="178"/>
    <col min="232" max="232" width="9" style="178"/>
    <col min="233" max="233" width="9" style="178"/>
    <col min="234" max="234" width="9" style="178"/>
    <col min="235" max="235" width="9" style="178"/>
    <col min="236" max="236" width="9" style="178"/>
    <col min="237" max="237" width="9" style="178"/>
    <col min="238" max="238" width="9" style="178"/>
    <col min="239" max="239" width="9" style="178"/>
    <col min="240" max="240" width="9" style="178"/>
    <col min="241" max="241" width="9" style="178"/>
    <col min="242" max="242" width="9" style="178"/>
    <col min="243" max="243" width="9" style="178"/>
    <col min="244" max="244" width="9" style="178"/>
    <col min="245" max="245" width="9" style="178"/>
    <col min="246" max="246" width="9" style="178"/>
    <col min="247" max="247" width="9" style="178"/>
    <col min="248" max="248" width="9" style="178"/>
    <col min="249" max="249" width="9" style="178"/>
    <col min="250" max="250" width="9" style="178"/>
    <col min="251" max="251" width="9" style="178"/>
    <col min="252" max="252" width="9" style="178"/>
    <col min="253" max="253" width="9" style="178"/>
    <col min="254" max="254" width="9" style="178"/>
    <col min="255" max="255" width="9" style="178"/>
    <col min="256" max="256" width="9" style="178"/>
    <col min="257" max="257" width="9" style="178"/>
    <col min="258" max="258" width="9" style="178"/>
    <col min="259" max="259" width="9" style="178"/>
    <col min="260" max="260" width="9" style="178"/>
    <col min="261" max="261" width="9" style="178"/>
    <col min="262" max="262" width="9" style="178"/>
    <col min="263" max="263" width="9" style="178"/>
    <col min="264" max="264" width="9" style="178"/>
    <col min="265" max="265" width="9" style="178"/>
    <col min="266" max="266" width="9" style="178"/>
    <col min="267" max="267" width="9" style="178"/>
    <col min="268" max="268" width="9" style="178"/>
    <col min="269" max="269" width="9" style="178"/>
    <col min="270" max="270" width="9" style="178"/>
    <col min="271" max="271" width="9" style="178"/>
    <col min="272" max="272" width="9" style="178"/>
    <col min="273" max="273" width="9" style="178"/>
    <col min="274" max="274" width="9" style="178"/>
    <col min="275" max="275" width="9" style="178"/>
    <col min="276" max="276" width="9" style="178"/>
    <col min="277" max="277" width="9" style="178"/>
    <col min="278" max="278" width="9" style="178"/>
    <col min="279" max="279" width="9" style="178"/>
    <col min="280" max="280" width="9" style="178"/>
    <col min="281" max="281" width="9" style="178"/>
    <col min="282" max="282" width="9" style="178"/>
    <col min="283" max="283" width="9" style="178"/>
    <col min="284" max="284" width="9" style="178"/>
    <col min="285" max="285" width="9" style="178"/>
    <col min="286" max="286" width="9" style="178"/>
    <col min="287" max="287" width="9" style="178"/>
    <col min="288" max="288" width="9" style="178"/>
    <col min="289" max="289" width="9" style="178"/>
    <col min="290" max="290" width="9" style="178"/>
    <col min="291" max="291" width="9" style="178"/>
    <col min="292" max="292" width="9" style="178"/>
    <col min="293" max="293" width="9" style="178"/>
    <col min="294" max="294" width="9" style="178"/>
    <col min="295" max="295" width="9" style="178"/>
    <col min="296" max="296" width="9" style="178"/>
    <col min="297" max="297" width="9" style="178"/>
    <col min="298" max="298" width="9" style="178"/>
    <col min="299" max="299" width="9" style="178"/>
    <col min="300" max="300" width="9" style="178"/>
    <col min="301" max="301" width="9" style="178"/>
    <col min="302" max="302" width="9" style="178"/>
    <col min="303" max="303" width="9" style="178"/>
    <col min="304" max="304" width="9" style="178"/>
    <col min="305" max="305" width="9" style="178"/>
    <col min="306" max="306" width="9" style="178"/>
    <col min="307" max="307" width="9" style="178"/>
    <col min="308" max="308" width="9" style="178"/>
    <col min="309" max="309" width="9" style="178"/>
    <col min="310" max="310" width="9" style="178"/>
    <col min="311" max="311" width="9" style="178"/>
    <col min="312" max="312" width="9" style="178"/>
    <col min="313" max="313" width="9" style="178"/>
    <col min="314" max="314" width="9" style="178"/>
    <col min="315" max="315" width="9" style="178"/>
    <col min="316" max="316" width="9" style="178"/>
    <col min="317" max="317" width="9" style="178"/>
    <col min="318" max="318" width="9" style="178"/>
    <col min="319" max="319" width="9" style="178"/>
    <col min="320" max="320" width="9" style="178"/>
    <col min="321" max="321" width="9" style="178"/>
    <col min="322" max="322" width="9" style="178"/>
    <col min="323" max="323" width="9" style="178"/>
    <col min="324" max="324" width="9" style="178"/>
    <col min="325" max="325" width="9" style="178"/>
    <col min="326" max="326" width="9" style="178"/>
    <col min="327" max="327" width="9" style="178"/>
    <col min="328" max="328" width="9" style="178"/>
    <col min="329" max="329" width="9" style="178"/>
    <col min="330" max="330" width="9" style="178"/>
    <col min="331" max="331" width="9" style="178"/>
    <col min="332" max="332" width="9" style="178"/>
    <col min="333" max="333" width="9" style="178"/>
    <col min="334" max="334" width="9" style="178"/>
    <col min="335" max="335" width="9" style="178"/>
    <col min="336" max="336" width="9" style="178"/>
    <col min="337" max="337" width="9" style="178"/>
    <col min="338" max="338" width="9" style="178"/>
    <col min="339" max="339" width="9" style="178"/>
    <col min="340" max="340" width="9" style="178"/>
    <col min="341" max="341" width="9" style="178"/>
    <col min="342" max="342" width="9" style="178"/>
    <col min="343" max="343" width="9" style="178"/>
    <col min="344" max="344" width="9" style="178"/>
    <col min="345" max="345" width="9" style="178"/>
    <col min="346" max="346" width="9" style="178"/>
    <col min="347" max="347" width="9" style="178"/>
    <col min="348" max="348" width="9" style="178"/>
    <col min="349" max="349" width="9" style="178"/>
    <col min="350" max="350" width="9" style="178"/>
    <col min="351" max="351" width="9" style="178"/>
    <col min="352" max="352" width="9" style="178"/>
    <col min="353" max="353" width="9" style="178"/>
    <col min="354" max="354" width="9" style="178"/>
    <col min="355" max="355" width="9" style="178"/>
    <col min="356" max="356" width="9" style="178"/>
    <col min="357" max="357" width="9" style="178"/>
    <col min="358" max="358" width="9" style="178"/>
    <col min="359" max="359" width="9" style="178"/>
    <col min="360" max="360" width="9" style="178"/>
    <col min="361" max="361" width="9" style="178"/>
    <col min="362" max="362" width="9" style="178"/>
    <col min="363" max="363" width="9" style="178"/>
    <col min="364" max="364" width="9" style="178"/>
    <col min="365" max="365" width="9" style="178"/>
    <col min="366" max="366" width="9" style="178"/>
    <col min="367" max="367" width="9" style="178"/>
    <col min="368" max="368" width="9" style="178"/>
    <col min="369" max="369" width="9" style="178"/>
    <col min="370" max="370" width="9" style="178"/>
    <col min="371" max="371" width="9" style="178"/>
    <col min="372" max="372" width="9" style="178"/>
    <col min="373" max="373" width="9" style="178"/>
    <col min="374" max="374" width="9" style="178"/>
    <col min="375" max="375" width="9" style="178"/>
    <col min="376" max="376" width="9" style="178"/>
    <col min="377" max="377" width="9" style="178"/>
    <col min="378" max="378" width="9" style="178"/>
    <col min="379" max="379" width="9" style="178"/>
    <col min="380" max="380" width="9" style="178"/>
    <col min="381" max="381" width="9" style="178"/>
    <col min="382" max="382" width="9" style="178"/>
    <col min="383" max="383" width="9" style="178"/>
    <col min="384" max="384" width="9" style="178"/>
    <col min="385" max="385" width="9" style="178"/>
    <col min="386" max="386" width="9" style="178"/>
    <col min="387" max="387" width="9" style="178"/>
    <col min="388" max="388" width="9" style="178"/>
    <col min="389" max="389" width="9" style="178"/>
    <col min="390" max="390" width="9" style="178"/>
    <col min="391" max="391" width="9" style="178"/>
    <col min="392" max="392" width="9" style="178"/>
    <col min="393" max="393" width="9" style="178"/>
    <col min="394" max="394" width="9" style="178"/>
    <col min="395" max="395" width="9" style="178"/>
    <col min="396" max="396" width="9" style="178"/>
    <col min="397" max="397" width="9" style="178"/>
    <col min="398" max="398" width="9" style="178"/>
    <col min="399" max="399" width="9" style="178"/>
    <col min="400" max="400" width="9" style="178"/>
    <col min="401" max="401" width="9" style="178"/>
    <col min="402" max="402" width="9" style="178"/>
    <col min="403" max="403" width="9" style="178"/>
    <col min="404" max="404" width="9" style="178"/>
    <col min="405" max="405" width="9" style="178"/>
    <col min="406" max="406" width="9" style="178"/>
    <col min="407" max="407" width="9" style="178"/>
    <col min="408" max="408" width="9" style="178"/>
    <col min="409" max="409" width="9" style="178"/>
    <col min="410" max="410" width="9" style="178"/>
    <col min="411" max="411" width="9" style="178"/>
    <col min="412" max="412" width="9" style="178"/>
    <col min="413" max="413" width="9" style="178"/>
    <col min="414" max="414" width="9" style="178"/>
    <col min="415" max="415" width="9" style="178"/>
    <col min="416" max="416" width="9" style="178"/>
    <col min="417" max="417" width="9" style="178"/>
    <col min="418" max="418" width="9" style="178"/>
    <col min="419" max="419" width="9" style="178"/>
    <col min="420" max="420" width="9" style="178"/>
    <col min="421" max="421" width="9" style="178"/>
    <col min="422" max="422" width="9" style="178"/>
    <col min="423" max="423" width="9" style="178"/>
    <col min="424" max="424" width="9" style="178"/>
    <col min="425" max="425" width="9" style="178"/>
    <col min="426" max="426" width="9" style="178"/>
    <col min="427" max="427" width="9" style="178"/>
    <col min="428" max="428" width="9" style="178"/>
    <col min="429" max="429" width="9" style="178"/>
    <col min="430" max="430" width="9" style="178"/>
    <col min="431" max="431" width="9" style="178"/>
    <col min="432" max="432" width="9" style="178"/>
    <col min="433" max="433" width="9" style="178"/>
    <col min="434" max="434" width="9" style="178"/>
    <col min="435" max="435" width="9" style="178"/>
    <col min="436" max="436" width="9" style="178"/>
    <col min="437" max="437" width="9" style="178"/>
    <col min="438" max="438" width="9" style="178"/>
    <col min="439" max="439" width="9" style="178"/>
    <col min="440" max="440" width="9" style="178"/>
    <col min="441" max="441" width="9" style="178"/>
    <col min="442" max="442" width="9" style="178"/>
    <col min="443" max="443" width="9" style="178"/>
    <col min="444" max="444" width="9" style="178"/>
    <col min="445" max="445" width="9" style="178"/>
    <col min="446" max="446" width="9" style="178"/>
    <col min="447" max="447" width="9" style="178"/>
    <col min="448" max="448" width="9" style="178"/>
    <col min="449" max="449" width="9" style="178"/>
    <col min="450" max="450" width="9" style="178"/>
    <col min="451" max="451" width="9" style="178"/>
    <col min="452" max="452" width="9" style="178"/>
    <col min="453" max="453" width="9" style="178"/>
    <col min="454" max="454" width="9" style="178"/>
    <col min="455" max="455" width="9" style="178"/>
    <col min="456" max="456" width="9" style="178"/>
    <col min="457" max="457" width="9" style="178"/>
    <col min="458" max="458" width="9" style="178"/>
    <col min="459" max="459" width="9" style="178"/>
    <col min="460" max="460" width="9" style="178"/>
    <col min="461" max="461" width="9" style="178"/>
    <col min="462" max="462" width="9" style="178"/>
    <col min="463" max="463" width="9" style="178"/>
    <col min="464" max="464" width="9" style="178"/>
    <col min="465" max="465" width="9" style="178"/>
    <col min="466" max="466" width="9" style="178"/>
    <col min="467" max="467" width="9" style="178"/>
    <col min="468" max="468" width="9" style="178"/>
    <col min="469" max="469" width="9" style="178"/>
    <col min="470" max="470" width="9" style="178"/>
    <col min="471" max="471" width="9" style="178"/>
    <col min="472" max="472" width="9" style="178"/>
    <col min="473" max="473" width="9" style="178"/>
    <col min="474" max="474" width="9" style="178"/>
    <col min="475" max="475" width="9" style="178"/>
    <col min="476" max="476" width="9" style="178"/>
    <col min="477" max="477" width="9" style="178"/>
    <col min="478" max="478" width="9" style="178"/>
    <col min="479" max="479" width="9" style="178"/>
    <col min="480" max="480" width="9" style="178"/>
    <col min="481" max="481" width="9" style="178"/>
    <col min="482" max="482" width="9" style="178"/>
    <col min="483" max="483" width="9" style="178"/>
    <col min="484" max="484" width="9" style="178"/>
    <col min="485" max="485" width="9" style="178"/>
    <col min="486" max="486" width="9" style="178"/>
    <col min="487" max="487" width="9" style="178"/>
    <col min="488" max="488" width="9" style="178"/>
    <col min="489" max="489" width="9" style="178"/>
    <col min="490" max="490" width="9" style="178"/>
    <col min="491" max="491" width="9" style="178"/>
    <col min="492" max="492" width="9" style="178"/>
    <col min="493" max="493" width="9" style="178"/>
    <col min="494" max="494" width="9" style="178"/>
    <col min="495" max="495" width="9" style="178"/>
    <col min="496" max="496" width="9" style="178"/>
    <col min="497" max="497" width="9" style="178"/>
    <col min="498" max="498" width="9" style="178"/>
    <col min="499" max="499" width="9" style="178"/>
    <col min="500" max="500" width="9" style="178"/>
    <col min="501" max="501" width="9" style="178"/>
    <col min="502" max="502" width="9" style="178"/>
    <col min="503" max="503" width="9" style="178"/>
    <col min="504" max="504" width="9" style="178"/>
    <col min="505" max="505" width="9" style="178"/>
    <col min="506" max="506" width="9" style="178"/>
    <col min="507" max="507" width="9" style="178"/>
    <col min="508" max="508" width="9" style="178"/>
    <col min="509" max="509" width="9" style="178"/>
    <col min="510" max="510" width="9" style="178"/>
    <col min="511" max="511" width="9" style="178"/>
    <col min="512" max="512" width="9" style="178"/>
    <col min="513" max="513" width="9" style="178"/>
    <col min="514" max="514" width="9" style="178"/>
    <col min="515" max="515" width="9" style="178"/>
    <col min="516" max="516" width="9" style="178"/>
    <col min="517" max="517" width="9" style="178"/>
    <col min="518" max="518" width="9" style="178"/>
    <col min="519" max="519" width="9" style="178"/>
    <col min="520" max="520" width="9" style="178"/>
    <col min="521" max="521" width="9" style="178"/>
    <col min="522" max="522" width="9" style="178"/>
    <col min="523" max="523" width="9" style="178"/>
    <col min="524" max="524" width="9" style="178"/>
    <col min="525" max="525" width="9" style="178"/>
    <col min="526" max="526" width="9" style="178"/>
    <col min="527" max="527" width="9" style="178"/>
    <col min="528" max="528" width="9" style="178"/>
    <col min="529" max="529" width="9" style="178"/>
    <col min="530" max="530" width="9" style="178"/>
    <col min="531" max="531" width="9" style="178"/>
    <col min="532" max="532" width="9" style="178"/>
    <col min="533" max="533" width="9" style="178"/>
    <col min="534" max="534" width="9" style="178"/>
    <col min="535" max="535" width="9" style="178"/>
    <col min="536" max="536" width="9" style="178"/>
    <col min="537" max="537" width="9" style="178"/>
    <col min="538" max="538" width="9" style="178"/>
    <col min="539" max="539" width="9" style="178"/>
    <col min="540" max="540" width="9" style="178"/>
    <col min="541" max="541" width="9" style="178"/>
    <col min="542" max="542" width="9" style="178"/>
    <col min="543" max="543" width="9" style="178"/>
    <col min="544" max="544" width="9" style="178"/>
    <col min="545" max="545" width="9" style="178"/>
    <col min="546" max="546" width="9" style="178"/>
    <col min="547" max="547" width="9" style="178"/>
    <col min="548" max="548" width="9" style="178"/>
    <col min="549" max="549" width="9" style="178"/>
    <col min="550" max="550" width="9" style="178"/>
    <col min="551" max="551" width="9" style="178"/>
    <col min="552" max="552" width="9" style="178"/>
    <col min="553" max="553" width="9" style="178"/>
    <col min="554" max="554" width="9" style="178"/>
    <col min="555" max="555" width="9" style="178"/>
    <col min="556" max="556" width="9" style="178"/>
    <col min="557" max="557" width="9" style="178"/>
    <col min="558" max="558" width="9" style="178"/>
    <col min="559" max="559" width="9" style="178"/>
    <col min="560" max="560" width="9" style="178"/>
    <col min="561" max="561" width="9" style="178"/>
    <col min="562" max="562" width="9" style="178"/>
    <col min="563" max="563" width="9" style="178"/>
    <col min="564" max="564" width="9" style="178"/>
    <col min="565" max="565" width="9" style="178"/>
    <col min="566" max="566" width="9" style="178"/>
    <col min="567" max="567" width="9" style="178"/>
    <col min="568" max="568" width="9" style="178"/>
    <col min="569" max="569" width="9" style="178"/>
    <col min="570" max="570" width="9" style="178"/>
    <col min="571" max="571" width="9" style="178"/>
    <col min="572" max="572" width="9" style="178"/>
    <col min="573" max="573" width="9" style="178"/>
    <col min="574" max="574" width="9" style="178"/>
    <col min="575" max="575" width="9" style="178"/>
    <col min="576" max="576" width="9" style="178"/>
    <col min="577" max="577" width="9" style="178"/>
    <col min="578" max="578" width="9" style="178"/>
    <col min="579" max="579" width="9" style="178"/>
    <col min="580" max="580" width="9" style="178"/>
    <col min="581" max="581" width="9" style="178"/>
    <col min="582" max="582" width="9" style="178"/>
    <col min="583" max="583" width="9" style="178"/>
    <col min="584" max="584" width="9" style="178"/>
    <col min="585" max="585" width="9" style="178"/>
    <col min="586" max="586" width="9" style="178"/>
    <col min="587" max="587" width="9" style="178"/>
    <col min="588" max="588" width="9" style="178"/>
    <col min="589" max="589" width="9" style="178"/>
    <col min="590" max="590" width="9" style="178"/>
    <col min="591" max="591" width="9" style="178"/>
    <col min="592" max="592" width="9" style="178"/>
    <col min="593" max="593" width="9" style="178"/>
    <col min="594" max="594" width="9" style="178"/>
    <col min="595" max="595" width="9" style="178"/>
    <col min="596" max="596" width="9" style="178"/>
    <col min="597" max="597" width="9" style="178"/>
    <col min="598" max="598" width="9" style="178"/>
    <col min="599" max="599" width="9" style="178"/>
    <col min="600" max="600" width="9" style="178"/>
    <col min="601" max="601" width="9" style="178"/>
    <col min="602" max="602" width="9" style="178"/>
    <col min="603" max="603" width="9" style="178"/>
    <col min="604" max="604" width="9" style="178"/>
    <col min="605" max="605" width="9" style="178"/>
    <col min="606" max="606" width="9" style="178"/>
    <col min="607" max="607" width="9" style="178"/>
    <col min="608" max="608" width="9" style="178"/>
    <col min="609" max="609" width="9" style="178"/>
    <col min="610" max="610" width="9" style="178"/>
    <col min="611" max="611" width="9" style="178"/>
    <col min="612" max="612" width="9" style="178"/>
    <col min="613" max="613" width="9" style="178"/>
    <col min="614" max="614" width="9" style="178"/>
    <col min="615" max="615" width="9" style="178"/>
    <col min="616" max="616" width="9" style="178"/>
    <col min="617" max="617" width="9" style="178"/>
    <col min="618" max="618" width="9" style="178"/>
    <col min="619" max="619" width="9" style="178"/>
    <col min="620" max="620" width="9" style="178"/>
    <col min="621" max="621" width="9" style="178"/>
    <col min="622" max="622" width="9" style="178"/>
    <col min="623" max="623" width="9" style="178"/>
    <col min="624" max="624" width="9" style="178"/>
    <col min="625" max="625" width="9" style="178"/>
    <col min="626" max="626" width="9" style="178"/>
    <col min="627" max="627" width="9" style="178"/>
    <col min="628" max="628" width="9" style="178"/>
    <col min="629" max="629" width="9" style="178"/>
    <col min="630" max="630" width="9" style="178"/>
    <col min="631" max="631" width="9" style="178"/>
    <col min="632" max="632" width="9" style="178"/>
    <col min="633" max="633" width="9" style="178"/>
    <col min="634" max="634" width="9" style="178"/>
    <col min="635" max="635" width="9" style="178"/>
    <col min="636" max="636" width="9" style="178"/>
    <col min="637" max="637" width="9" style="178"/>
    <col min="638" max="638" width="9" style="178"/>
    <col min="639" max="639" width="9" style="178"/>
    <col min="640" max="640" width="9" style="178"/>
    <col min="641" max="641" width="9" style="178"/>
    <col min="642" max="642" width="9" style="178"/>
    <col min="643" max="643" width="9" style="178"/>
    <col min="644" max="644" width="9" style="178"/>
    <col min="645" max="645" width="9" style="178"/>
    <col min="646" max="646" width="9" style="178"/>
    <col min="647" max="647" width="9" style="178"/>
    <col min="648" max="648" width="9" style="178"/>
    <col min="649" max="649" width="9" style="178"/>
    <col min="650" max="650" width="9" style="178"/>
    <col min="651" max="651" width="9" style="178"/>
    <col min="652" max="652" width="9" style="178"/>
    <col min="653" max="653" width="9" style="178"/>
    <col min="654" max="654" width="9" style="178"/>
    <col min="655" max="655" width="9" style="178"/>
    <col min="656" max="656" width="9" style="178"/>
    <col min="657" max="657" width="9" style="178"/>
    <col min="658" max="658" width="9" style="178"/>
    <col min="659" max="659" width="9" style="178"/>
    <col min="660" max="660" width="9" style="178"/>
    <col min="661" max="661" width="9" style="178"/>
    <col min="662" max="662" width="9" style="178"/>
    <col min="663" max="663" width="9" style="178"/>
    <col min="664" max="664" width="9" style="178"/>
    <col min="665" max="665" width="9" style="178"/>
    <col min="666" max="666" width="9" style="178"/>
    <col min="667" max="667" width="9" style="178"/>
    <col min="668" max="668" width="9" style="178"/>
    <col min="669" max="669" width="9" style="178"/>
    <col min="670" max="670" width="9" style="178"/>
    <col min="671" max="671" width="9" style="178"/>
    <col min="672" max="672" width="9" style="178"/>
    <col min="673" max="673" width="9" style="178"/>
    <col min="674" max="674" width="9" style="178"/>
    <col min="675" max="675" width="9" style="178"/>
    <col min="676" max="676" width="9" style="178"/>
    <col min="677" max="677" width="9" style="178"/>
    <col min="678" max="678" width="9" style="178"/>
    <col min="679" max="679" width="9" style="178"/>
    <col min="680" max="680" width="9" style="178"/>
    <col min="681" max="681" width="9" style="178"/>
    <col min="682" max="682" width="9" style="178"/>
    <col min="683" max="683" width="9" style="178"/>
    <col min="684" max="684" width="9" style="178"/>
    <col min="685" max="685" width="9" style="178"/>
    <col min="686" max="686" width="9" style="178"/>
    <col min="687" max="687" width="9" style="178"/>
    <col min="688" max="688" width="9" style="178"/>
    <col min="689" max="689" width="9" style="178"/>
    <col min="690" max="690" width="9" style="178"/>
    <col min="691" max="691" width="9" style="178"/>
    <col min="692" max="692" width="9" style="178"/>
    <col min="693" max="693" width="9" style="178"/>
    <col min="694" max="694" width="9" style="178"/>
    <col min="695" max="695" width="9" style="178"/>
    <col min="696" max="696" width="9" style="178"/>
    <col min="697" max="697" width="9" style="178"/>
    <col min="698" max="698" width="9" style="178"/>
    <col min="699" max="699" width="9" style="178"/>
    <col min="700" max="700" width="9" style="178"/>
    <col min="701" max="701" width="9" style="178"/>
    <col min="702" max="702" width="9" style="178"/>
    <col min="703" max="703" width="9" style="178"/>
    <col min="704" max="704" width="9" style="178"/>
    <col min="705" max="705" width="9" style="178"/>
    <col min="706" max="706" width="9" style="178"/>
    <col min="707" max="707" width="9" style="178"/>
    <col min="708" max="708" width="9" style="178"/>
    <col min="709" max="709" width="9" style="178"/>
    <col min="710" max="710" width="9" style="178"/>
    <col min="711" max="711" width="9" style="178"/>
    <col min="712" max="712" width="9" style="178"/>
    <col min="713" max="713" width="9" style="178"/>
    <col min="714" max="714" width="9" style="178"/>
    <col min="715" max="715" width="9" style="178"/>
    <col min="716" max="716" width="9" style="178"/>
    <col min="717" max="717" width="9" style="178"/>
    <col min="718" max="718" width="9" style="178"/>
    <col min="719" max="719" width="9" style="178"/>
    <col min="720" max="720" width="9" style="178"/>
    <col min="721" max="721" width="9" style="178"/>
    <col min="722" max="722" width="9" style="178"/>
    <col min="723" max="723" width="9" style="178"/>
    <col min="724" max="724" width="9" style="178"/>
    <col min="725" max="725" width="9" style="178"/>
    <col min="726" max="726" width="9" style="178"/>
    <col min="727" max="727" width="9" style="178"/>
    <col min="728" max="728" width="9" style="178"/>
    <col min="729" max="729" width="9" style="178"/>
    <col min="730" max="730" width="9" style="178"/>
    <col min="731" max="731" width="9" style="178"/>
    <col min="732" max="732" width="9" style="178"/>
    <col min="733" max="733" width="9" style="178"/>
    <col min="734" max="734" width="9" style="178"/>
    <col min="735" max="735" width="9" style="178"/>
    <col min="736" max="736" width="9" style="178"/>
    <col min="737" max="737" width="9" style="178"/>
    <col min="738" max="738" width="9" style="178"/>
    <col min="739" max="739" width="9" style="178"/>
    <col min="740" max="740" width="9" style="178"/>
    <col min="741" max="741" width="9" style="178"/>
    <col min="742" max="742" width="9" style="178"/>
    <col min="743" max="743" width="9" style="178"/>
    <col min="744" max="744" width="9" style="178"/>
    <col min="745" max="745" width="9" style="178"/>
    <col min="746" max="746" width="9" style="178"/>
    <col min="747" max="747" width="9" style="178"/>
    <col min="748" max="748" width="9" style="178"/>
    <col min="749" max="749" width="9" style="178"/>
    <col min="750" max="750" width="9" style="178"/>
    <col min="751" max="751" width="9" style="178"/>
    <col min="752" max="752" width="9" style="178"/>
    <col min="753" max="753" width="9" style="178"/>
    <col min="754" max="754" width="9" style="178"/>
    <col min="755" max="755" width="9" style="178"/>
    <col min="756" max="756" width="9" style="178"/>
    <col min="757" max="757" width="9" style="178"/>
    <col min="758" max="758" width="9" style="178"/>
    <col min="759" max="759" width="9" style="178"/>
    <col min="760" max="760" width="9" style="178"/>
    <col min="761" max="761" width="9" style="178"/>
    <col min="762" max="762" width="9" style="178"/>
    <col min="763" max="763" width="9" style="178"/>
    <col min="764" max="764" width="9" style="178"/>
    <col min="765" max="765" width="9" style="178"/>
    <col min="766" max="766" width="9" style="178"/>
    <col min="767" max="767" width="9" style="178"/>
    <col min="768" max="768" width="9" style="178"/>
    <col min="769" max="769" width="9" style="178"/>
    <col min="770" max="770" width="9" style="178"/>
    <col min="771" max="771" width="9" style="178"/>
    <col min="772" max="772" width="9" style="178"/>
    <col min="773" max="773" width="9" style="178"/>
    <col min="774" max="774" width="9" style="178"/>
    <col min="775" max="775" width="9" style="178"/>
    <col min="776" max="776" width="9" style="178"/>
    <col min="777" max="777" width="9" style="178"/>
    <col min="778" max="778" width="9" style="178"/>
    <col min="779" max="779" width="9" style="178"/>
    <col min="780" max="780" width="9" style="178"/>
    <col min="781" max="781" width="9" style="178"/>
    <col min="782" max="782" width="9" style="178"/>
    <col min="783" max="783" width="9" style="178"/>
    <col min="784" max="784" width="9" style="178"/>
    <col min="785" max="785" width="9" style="178"/>
    <col min="786" max="786" width="9" style="178"/>
    <col min="787" max="787" width="9" style="178"/>
    <col min="788" max="788" width="9" style="178"/>
    <col min="789" max="789" width="9" style="178"/>
    <col min="790" max="790" width="9" style="178"/>
    <col min="791" max="791" width="9" style="178"/>
    <col min="792" max="792" width="9" style="178"/>
    <col min="793" max="793" width="9" style="178"/>
    <col min="794" max="794" width="9" style="178"/>
    <col min="795" max="795" width="9" style="178"/>
    <col min="796" max="796" width="9" style="178"/>
    <col min="797" max="797" width="9" style="178"/>
    <col min="798" max="798" width="9" style="178"/>
    <col min="799" max="799" width="9" style="178"/>
    <col min="800" max="800" width="9" style="178"/>
    <col min="801" max="801" width="9" style="178"/>
    <col min="802" max="802" width="9" style="178"/>
    <col min="803" max="803" width="9" style="178"/>
    <col min="804" max="804" width="9" style="178"/>
    <col min="805" max="805" width="9" style="178"/>
    <col min="806" max="806" width="9" style="178"/>
    <col min="807" max="807" width="9" style="178"/>
    <col min="808" max="808" width="9" style="178"/>
    <col min="809" max="809" width="9" style="178"/>
    <col min="810" max="810" width="9" style="178"/>
    <col min="811" max="811" width="9" style="178"/>
    <col min="812" max="812" width="9" style="178"/>
    <col min="813" max="813" width="9" style="178"/>
    <col min="814" max="814" width="9" style="178"/>
    <col min="815" max="815" width="9" style="178"/>
    <col min="816" max="816" width="9" style="178"/>
    <col min="817" max="817" width="9" style="178"/>
    <col min="818" max="818" width="9" style="178"/>
    <col min="819" max="819" width="9" style="178"/>
    <col min="820" max="820" width="9" style="178"/>
    <col min="821" max="821" width="9" style="178"/>
    <col min="822" max="822" width="9" style="178"/>
    <col min="823" max="823" width="9" style="178"/>
    <col min="824" max="824" width="9" style="178"/>
    <col min="825" max="825" width="9" style="178"/>
    <col min="826" max="826" width="9" style="178"/>
    <col min="827" max="827" width="9" style="178"/>
    <col min="828" max="828" width="9" style="178"/>
    <col min="829" max="829" width="9" style="178"/>
    <col min="830" max="830" width="9" style="178"/>
    <col min="831" max="831" width="9" style="178"/>
    <col min="832" max="832" width="9" style="178"/>
    <col min="833" max="833" width="9" style="178"/>
    <col min="834" max="834" width="9" style="178"/>
    <col min="835" max="835" width="9" style="178"/>
    <col min="836" max="836" width="9" style="178"/>
    <col min="837" max="837" width="9" style="178"/>
    <col min="838" max="838" width="9" style="178"/>
    <col min="839" max="839" width="9" style="178"/>
    <col min="840" max="840" width="9" style="178"/>
    <col min="841" max="841" width="9" style="178"/>
    <col min="842" max="842" width="9" style="178"/>
    <col min="843" max="843" width="9" style="178"/>
    <col min="844" max="844" width="9" style="178"/>
    <col min="845" max="845" width="9" style="178"/>
    <col min="846" max="846" width="9" style="178"/>
    <col min="847" max="847" width="9" style="178"/>
    <col min="848" max="848" width="9" style="178"/>
    <col min="849" max="849" width="9" style="178"/>
    <col min="850" max="850" width="9" style="178"/>
    <col min="851" max="851" width="9" style="178"/>
    <col min="852" max="852" width="9" style="178"/>
    <col min="853" max="853" width="9" style="178"/>
    <col min="854" max="854" width="9" style="178"/>
    <col min="855" max="855" width="9" style="178"/>
    <col min="856" max="856" width="9" style="178"/>
    <col min="857" max="857" width="9" style="178"/>
    <col min="858" max="858" width="9" style="178"/>
    <col min="859" max="859" width="9" style="178"/>
    <col min="860" max="860" width="9" style="178"/>
    <col min="861" max="861" width="9" style="178"/>
    <col min="862" max="862" width="9" style="178"/>
    <col min="863" max="863" width="9" style="178"/>
    <col min="864" max="864" width="9" style="178"/>
    <col min="865" max="865" width="9" style="178"/>
    <col min="866" max="866" width="9" style="178"/>
    <col min="867" max="867" width="9" style="178"/>
    <col min="868" max="868" width="9" style="178"/>
    <col min="869" max="869" width="9" style="178"/>
    <col min="870" max="870" width="9" style="178"/>
    <col min="871" max="871" width="9" style="178"/>
    <col min="872" max="872" width="9" style="178"/>
    <col min="873" max="873" width="9" style="178"/>
    <col min="874" max="874" width="9" style="178"/>
    <col min="875" max="875" width="9" style="178"/>
    <col min="876" max="876" width="9" style="178"/>
    <col min="877" max="877" width="9" style="178"/>
    <col min="878" max="878" width="9" style="178"/>
    <col min="879" max="879" width="9" style="178"/>
    <col min="880" max="880" width="9" style="178"/>
    <col min="881" max="881" width="9" style="178"/>
    <col min="882" max="882" width="9" style="178"/>
    <col min="883" max="883" width="9" style="178"/>
    <col min="884" max="884" width="9" style="178"/>
    <col min="885" max="885" width="9" style="178"/>
    <col min="886" max="886" width="9" style="178"/>
    <col min="887" max="887" width="9" style="178"/>
    <col min="888" max="888" width="9" style="178"/>
    <col min="889" max="889" width="9" style="178"/>
    <col min="890" max="890" width="9" style="178"/>
    <col min="891" max="891" width="9" style="178"/>
    <col min="892" max="892" width="9" style="178"/>
    <col min="893" max="893" width="9" style="178"/>
    <col min="894" max="894" width="9" style="178"/>
    <col min="895" max="895" width="9" style="178"/>
    <col min="896" max="896" width="9" style="178"/>
    <col min="897" max="897" width="9" style="178"/>
    <col min="898" max="898" width="9" style="178"/>
    <col min="899" max="899" width="9" style="178"/>
    <col min="900" max="900" width="9" style="178"/>
    <col min="901" max="901" width="9" style="178"/>
    <col min="902" max="902" width="9" style="178"/>
    <col min="903" max="903" width="9" style="178"/>
    <col min="904" max="904" width="9" style="178"/>
    <col min="905" max="905" width="9" style="178"/>
    <col min="906" max="906" width="9" style="178"/>
    <col min="907" max="907" width="9" style="178"/>
    <col min="908" max="908" width="9" style="178"/>
    <col min="909" max="909" width="9" style="178"/>
    <col min="910" max="910" width="9" style="178"/>
    <col min="911" max="911" width="9" style="178"/>
    <col min="912" max="912" width="9" style="178"/>
    <col min="913" max="913" width="9" style="178"/>
    <col min="914" max="914" width="9" style="178"/>
    <col min="915" max="915" width="9" style="178"/>
    <col min="916" max="916" width="9" style="178"/>
    <col min="917" max="917" width="9" style="178"/>
    <col min="918" max="918" width="9" style="178"/>
    <col min="919" max="919" width="9" style="178"/>
    <col min="920" max="920" width="9" style="178"/>
    <col min="921" max="921" width="9" style="178"/>
    <col min="922" max="922" width="9" style="178"/>
    <col min="923" max="923" width="9" style="178"/>
    <col min="924" max="924" width="9" style="178"/>
    <col min="925" max="925" width="9" style="178"/>
    <col min="926" max="926" width="9" style="178"/>
    <col min="927" max="927" width="9" style="178"/>
    <col min="928" max="928" width="9" style="178"/>
    <col min="929" max="929" width="9" style="178"/>
    <col min="930" max="930" width="9" style="178"/>
    <col min="931" max="931" width="9" style="178"/>
    <col min="932" max="932" width="9" style="178"/>
    <col min="933" max="933" width="9" style="178"/>
    <col min="934" max="934" width="9" style="178"/>
    <col min="935" max="935" width="9" style="178"/>
    <col min="936" max="936" width="9" style="178"/>
    <col min="937" max="937" width="9" style="178"/>
    <col min="938" max="938" width="9" style="178"/>
    <col min="939" max="939" width="9" style="178"/>
    <col min="940" max="940" width="9" style="178"/>
    <col min="941" max="941" width="9" style="178"/>
    <col min="942" max="942" width="9" style="178"/>
    <col min="943" max="943" width="9" style="178"/>
    <col min="944" max="944" width="9" style="178"/>
    <col min="945" max="945" width="9" style="178"/>
    <col min="946" max="946" width="9" style="178"/>
    <col min="947" max="947" width="9" style="178"/>
    <col min="948" max="948" width="9" style="178"/>
    <col min="949" max="949" width="9" style="178"/>
    <col min="950" max="950" width="9" style="178"/>
    <col min="951" max="951" width="9" style="178"/>
    <col min="952" max="952" width="9" style="178"/>
    <col min="953" max="953" width="9" style="178"/>
    <col min="954" max="954" width="9" style="178"/>
    <col min="955" max="955" width="9" style="178"/>
    <col min="956" max="956" width="9" style="178"/>
    <col min="957" max="957" width="9" style="178"/>
    <col min="958" max="958" width="9" style="178"/>
    <col min="959" max="959" width="9" style="178"/>
    <col min="960" max="960" width="9" style="178"/>
    <col min="961" max="961" width="9" style="178"/>
    <col min="962" max="962" width="9" style="178"/>
    <col min="963" max="963" width="9" style="178"/>
    <col min="964" max="964" width="9" style="178"/>
    <col min="965" max="965" width="9" style="178"/>
    <col min="966" max="966" width="9" style="178"/>
    <col min="967" max="967" width="9" style="178"/>
    <col min="968" max="968" width="9" style="178"/>
    <col min="969" max="969" width="9" style="178"/>
    <col min="970" max="970" width="9" style="178"/>
    <col min="971" max="971" width="9" style="178"/>
    <col min="972" max="972" width="9" style="178"/>
    <col min="973" max="973" width="9" style="178"/>
    <col min="974" max="974" width="9" style="178"/>
    <col min="975" max="975" width="9" style="178"/>
    <col min="976" max="976" width="9" style="178"/>
    <col min="977" max="977" width="9" style="178"/>
    <col min="978" max="978" width="9" style="178"/>
    <col min="979" max="979" width="9" style="178"/>
    <col min="980" max="980" width="9" style="178"/>
    <col min="981" max="981" width="9" style="178"/>
    <col min="982" max="982" width="9" style="178"/>
    <col min="983" max="983" width="9" style="178"/>
    <col min="984" max="984" width="9" style="178"/>
    <col min="985" max="985" width="9" style="178"/>
    <col min="986" max="986" width="9" style="178"/>
    <col min="987" max="987" width="9" style="178"/>
    <col min="988" max="988" width="9" style="178"/>
    <col min="989" max="989" width="9" style="178"/>
    <col min="990" max="990" width="9" style="178"/>
    <col min="991" max="991" width="9" style="178"/>
    <col min="992" max="992" width="9" style="178"/>
    <col min="993" max="993" width="9" style="178"/>
    <col min="994" max="994" width="9" style="178"/>
    <col min="995" max="995" width="9" style="178"/>
    <col min="996" max="996" width="9" style="178"/>
    <col min="997" max="997" width="9" style="178"/>
    <col min="998" max="998" width="9" style="178"/>
    <col min="999" max="999" width="9" style="178"/>
    <col min="1000" max="1000" width="9" style="178"/>
    <col min="1001" max="1001" width="9" style="178"/>
    <col min="1002" max="1002" width="9" style="178"/>
    <col min="1003" max="1003" width="9" style="178"/>
    <col min="1004" max="1004" width="9" style="178"/>
    <col min="1005" max="1005" width="9" style="178"/>
    <col min="1006" max="1006" width="9" style="178"/>
    <col min="1007" max="1007" width="9" style="178"/>
    <col min="1008" max="1008" width="9" style="178"/>
    <col min="1009" max="1009" width="9" style="178"/>
    <col min="1010" max="1010" width="9" style="178"/>
    <col min="1011" max="1011" width="9" style="178"/>
    <col min="1012" max="1012" width="9" style="178"/>
    <col min="1013" max="1013" width="9" style="178"/>
    <col min="1014" max="1014" width="9" style="178"/>
    <col min="1015" max="1015" width="9" style="178"/>
    <col min="1016" max="1016" width="9" style="178"/>
    <col min="1017" max="1017" width="9" style="178"/>
    <col min="1018" max="1018" width="9" style="178"/>
    <col min="1019" max="1019" width="9" style="178"/>
    <col min="1020" max="1020" width="9" style="178"/>
    <col min="1021" max="1021" width="9" style="178"/>
    <col min="1022" max="1022" width="9" style="178"/>
    <col min="1023" max="1023" width="9" style="178"/>
    <col min="1024" max="1024" width="9" style="178"/>
    <col min="1025" max="1025" width="9" style="178"/>
    <col min="1026" max="1026" width="9" style="178"/>
    <col min="1027" max="1027" width="9" style="178"/>
    <col min="1028" max="1028" width="9" style="178"/>
    <col min="1029" max="1029" width="9" style="178"/>
    <col min="1030" max="1030" width="9" style="178"/>
    <col min="1031" max="1031" width="9" style="178"/>
    <col min="1032" max="1032" width="9" style="178"/>
    <col min="1033" max="1033" width="9" style="178"/>
    <col min="1034" max="1034" width="9" style="178"/>
    <col min="1035" max="1035" width="9" style="178"/>
    <col min="1036" max="1036" width="9" style="178"/>
    <col min="1037" max="1037" width="9" style="178"/>
    <col min="1038" max="1038" width="9" style="178"/>
    <col min="1039" max="1039" width="9" style="178"/>
    <col min="1040" max="1040" width="9" style="178"/>
    <col min="1041" max="1041" width="9" style="178"/>
    <col min="1042" max="1042" width="9" style="178"/>
    <col min="1043" max="1043" width="9" style="178"/>
    <col min="1044" max="1044" width="9" style="178"/>
    <col min="1045" max="1045" width="9" style="178"/>
    <col min="1046" max="1046" width="9" style="178"/>
    <col min="1047" max="1047" width="9" style="178"/>
    <col min="1048" max="1048" width="9" style="178"/>
    <col min="1049" max="1049" width="9" style="178"/>
    <col min="1050" max="1050" width="9" style="178"/>
    <col min="1051" max="1051" width="9" style="178"/>
    <col min="1052" max="1052" width="9" style="178"/>
    <col min="1053" max="1053" width="9" style="178"/>
    <col min="1054" max="1054" width="9" style="178"/>
    <col min="1055" max="1055" width="9" style="178"/>
    <col min="1056" max="1056" width="9" style="178"/>
    <col min="1057" max="1057" width="9" style="178"/>
    <col min="1058" max="1058" width="9" style="178"/>
    <col min="1059" max="1059" width="9" style="178"/>
    <col min="1060" max="1060" width="9" style="178"/>
    <col min="1061" max="1061" width="9" style="178"/>
    <col min="1062" max="1062" width="9" style="178"/>
    <col min="1063" max="1063" width="9" style="178"/>
    <col min="1064" max="1064" width="9" style="178"/>
    <col min="1065" max="1065" width="9" style="178"/>
    <col min="1066" max="1066" width="9" style="178"/>
    <col min="1067" max="1067" width="9" style="178"/>
    <col min="1068" max="1068" width="9" style="178"/>
    <col min="1069" max="1069" width="9" style="178"/>
    <col min="1070" max="1070" width="9" style="178"/>
    <col min="1071" max="1071" width="9" style="178"/>
    <col min="1072" max="1072" width="9" style="178"/>
    <col min="1073" max="1073" width="9" style="178"/>
    <col min="1074" max="1074" width="9" style="178"/>
    <col min="1075" max="1075" width="9" style="178"/>
    <col min="1076" max="1076" width="9" style="178"/>
    <col min="1077" max="1077" width="9" style="178"/>
    <col min="1078" max="1078" width="9" style="178"/>
    <col min="1079" max="1079" width="9" style="178"/>
    <col min="1080" max="1080" width="9" style="178"/>
    <col min="1081" max="1081" width="9" style="178"/>
    <col min="1082" max="1082" width="9" style="178"/>
    <col min="1083" max="1083" width="9" style="178"/>
    <col min="1084" max="1084" width="9" style="178"/>
    <col min="1085" max="1085" width="9" style="178"/>
    <col min="1086" max="1086" width="9" style="178"/>
    <col min="1087" max="1087" width="9" style="178"/>
    <col min="1088" max="1088" width="9" style="178"/>
    <col min="1089" max="1089" width="9" style="178"/>
    <col min="1090" max="1090" width="9" style="178"/>
    <col min="1091" max="1091" width="9" style="178"/>
    <col min="1092" max="1092" width="9" style="178"/>
    <col min="1093" max="1093" width="9" style="178"/>
    <col min="1094" max="1094" width="9" style="178"/>
    <col min="1095" max="1095" width="9" style="178"/>
    <col min="1096" max="1096" width="9" style="178"/>
    <col min="1097" max="1097" width="9" style="178"/>
    <col min="1098" max="1098" width="9" style="178"/>
    <col min="1099" max="1099" width="9" style="178"/>
    <col min="1100" max="1100" width="9" style="178"/>
    <col min="1101" max="1101" width="9" style="178"/>
    <col min="1102" max="1102" width="9" style="178"/>
    <col min="1103" max="1103" width="9" style="178"/>
    <col min="1104" max="1104" width="9" style="178"/>
    <col min="1105" max="1105" width="9" style="178"/>
    <col min="1106" max="1106" width="9" style="178"/>
    <col min="1107" max="1107" width="9" style="178"/>
    <col min="1108" max="1108" width="9" style="178"/>
    <col min="1109" max="1109" width="9" style="178"/>
    <col min="1110" max="1110" width="9" style="178"/>
    <col min="1111" max="1111" width="9" style="178"/>
    <col min="1112" max="1112" width="9" style="178"/>
    <col min="1113" max="1113" width="9" style="178"/>
    <col min="1114" max="1114" width="9" style="178"/>
    <col min="1115" max="1115" width="9" style="178"/>
    <col min="1116" max="1116" width="9" style="178"/>
    <col min="1117" max="1117" width="9" style="178"/>
    <col min="1118" max="1118" width="9" style="178"/>
    <col min="1119" max="1119" width="9" style="178"/>
    <col min="1120" max="1120" width="9" style="178"/>
    <col min="1121" max="1121" width="9" style="178"/>
    <col min="1122" max="1122" width="9" style="178"/>
    <col min="1123" max="1123" width="9" style="178"/>
    <col min="1124" max="1124" width="9" style="178"/>
    <col min="1125" max="1125" width="9" style="178"/>
    <col min="1126" max="1126" width="9" style="178"/>
    <col min="1127" max="1127" width="9" style="178"/>
    <col min="1128" max="1128" width="9" style="178"/>
    <col min="1129" max="1129" width="9" style="178"/>
    <col min="1130" max="1130" width="9" style="178"/>
    <col min="1131" max="1131" width="9" style="178"/>
    <col min="1132" max="1132" width="9" style="178"/>
    <col min="1133" max="1133" width="9" style="178"/>
    <col min="1134" max="1134" width="9" style="178"/>
    <col min="1135" max="1135" width="9" style="178"/>
    <col min="1136" max="1136" width="9" style="178"/>
    <col min="1137" max="1137" width="9" style="178"/>
    <col min="1138" max="1138" width="9" style="178"/>
    <col min="1139" max="1139" width="9" style="178"/>
    <col min="1140" max="1140" width="9" style="178"/>
    <col min="1141" max="1141" width="9" style="178"/>
    <col min="1142" max="1142" width="9" style="178"/>
    <col min="1143" max="1143" width="9" style="178"/>
    <col min="1144" max="1144" width="9" style="178"/>
    <col min="1145" max="1145" width="9" style="178"/>
    <col min="1146" max="1146" width="9" style="178"/>
    <col min="1147" max="1147" width="9" style="178"/>
    <col min="1148" max="1148" width="9" style="178"/>
    <col min="1149" max="1149" width="9" style="178"/>
    <col min="1150" max="1150" width="9" style="178"/>
    <col min="1151" max="1151" width="9" style="178"/>
    <col min="1152" max="1152" width="9" style="178"/>
    <col min="1153" max="1153" width="9" style="178"/>
    <col min="1154" max="1154" width="9" style="178"/>
    <col min="1155" max="1155" width="9" style="178"/>
    <col min="1156" max="1156" width="9" style="178"/>
    <col min="1157" max="1157" width="9" style="178"/>
    <col min="1158" max="1158" width="9" style="178"/>
    <col min="1159" max="1159" width="9" style="178"/>
    <col min="1160" max="1160" width="9" style="178"/>
    <col min="1161" max="1161" width="9" style="178"/>
    <col min="1162" max="1162" width="9" style="178"/>
    <col min="1163" max="1163" width="9" style="178"/>
    <col min="1164" max="1164" width="9" style="178"/>
    <col min="1165" max="1165" width="9" style="178"/>
    <col min="1166" max="1166" width="9" style="178"/>
    <col min="1167" max="1167" width="9" style="178"/>
    <col min="1168" max="1168" width="9" style="178"/>
    <col min="1169" max="1169" width="9" style="178"/>
    <col min="1170" max="1170" width="9" style="178"/>
    <col min="1171" max="1171" width="9" style="178"/>
    <col min="1172" max="1172" width="9" style="178"/>
    <col min="1173" max="1173" width="9" style="178"/>
    <col min="1174" max="1174" width="9" style="178"/>
    <col min="1175" max="1175" width="9" style="178"/>
    <col min="1176" max="1176" width="9" style="178"/>
    <col min="1177" max="1177" width="9" style="178"/>
    <col min="1178" max="1178" width="9" style="178"/>
    <col min="1179" max="1179" width="9" style="178"/>
    <col min="1180" max="1180" width="9" style="178"/>
    <col min="1181" max="1181" width="9" style="178"/>
    <col min="1182" max="1182" width="9" style="178"/>
    <col min="1183" max="1183" width="9" style="178"/>
    <col min="1184" max="1184" width="9" style="178"/>
    <col min="1185" max="1185" width="9" style="178"/>
    <col min="1186" max="1186" width="9" style="178"/>
    <col min="1187" max="1187" width="9" style="178"/>
    <col min="1188" max="1188" width="9" style="178"/>
    <col min="1189" max="1189" width="9" style="178"/>
    <col min="1190" max="1190" width="9" style="178"/>
    <col min="1191" max="1191" width="9" style="178"/>
    <col min="1192" max="1192" width="9" style="178"/>
    <col min="1193" max="1193" width="9" style="178"/>
    <col min="1194" max="1194" width="9" style="178"/>
    <col min="1195" max="1195" width="9" style="178"/>
    <col min="1196" max="1196" width="9" style="178"/>
    <col min="1197" max="1197" width="9" style="178"/>
    <col min="1198" max="1198" width="9" style="178"/>
    <col min="1199" max="1199" width="9" style="178"/>
    <col min="1200" max="1200" width="9" style="178"/>
    <col min="1201" max="1201" width="9" style="178"/>
    <col min="1202" max="1202" width="9" style="178"/>
    <col min="1203" max="1203" width="9" style="178"/>
    <col min="1204" max="1204" width="9" style="178"/>
    <col min="1205" max="1205" width="9" style="178"/>
    <col min="1206" max="1206" width="9" style="178"/>
    <col min="1207" max="1207" width="9" style="178"/>
    <col min="1208" max="1208" width="9" style="178"/>
    <col min="1209" max="1209" width="9" style="178"/>
    <col min="1210" max="1210" width="9" style="178"/>
    <col min="1211" max="1211" width="9" style="178"/>
    <col min="1212" max="1212" width="9" style="178"/>
    <col min="1213" max="1213" width="9" style="178"/>
    <col min="1214" max="1214" width="9" style="178"/>
    <col min="1215" max="1215" width="9" style="178"/>
    <col min="1216" max="1216" width="9" style="178"/>
    <col min="1217" max="1217" width="9" style="178"/>
    <col min="1218" max="1218" width="9" style="178"/>
    <col min="1219" max="1219" width="9" style="178"/>
    <col min="1220" max="1220" width="9" style="178"/>
    <col min="1221" max="1221" width="9" style="178"/>
    <col min="1222" max="1222" width="9" style="178"/>
    <col min="1223" max="1223" width="9" style="178"/>
    <col min="1224" max="1224" width="9" style="178"/>
    <col min="1225" max="1225" width="9" style="178"/>
    <col min="1226" max="1226" width="9" style="178"/>
    <col min="1227" max="1227" width="9" style="178"/>
    <col min="1228" max="1228" width="9" style="178"/>
    <col min="1229" max="1229" width="9" style="178"/>
    <col min="1230" max="1230" width="9" style="178"/>
    <col min="1231" max="1231" width="9" style="178"/>
    <col min="1232" max="1232" width="9" style="178"/>
    <col min="1233" max="1233" width="9" style="178"/>
    <col min="1234" max="1234" width="9" style="178"/>
    <col min="1235" max="1235" width="9" style="178"/>
    <col min="1236" max="1236" width="9" style="178"/>
    <col min="1237" max="1237" width="9" style="178"/>
    <col min="1238" max="1238" width="9" style="178"/>
    <col min="1239" max="1239" width="9" style="178"/>
    <col min="1240" max="1240" width="9" style="178"/>
    <col min="1241" max="1241" width="9" style="178"/>
    <col min="1242" max="1242" width="9" style="178"/>
    <col min="1243" max="1243" width="9" style="178"/>
    <col min="1244" max="1244" width="9" style="178"/>
    <col min="1245" max="1245" width="9" style="178"/>
    <col min="1246" max="1246" width="9" style="178"/>
    <col min="1247" max="1247" width="9" style="178"/>
    <col min="1248" max="1248" width="9" style="178"/>
    <col min="1249" max="1249" width="9" style="178"/>
    <col min="1250" max="1250" width="9" style="178"/>
    <col min="1251" max="1251" width="9" style="178"/>
    <col min="1252" max="1252" width="9" style="178"/>
    <col min="1253" max="1253" width="9" style="178"/>
    <col min="1254" max="1254" width="9" style="178"/>
    <col min="1255" max="1255" width="9" style="178"/>
    <col min="1256" max="1256" width="9" style="178"/>
    <col min="1257" max="1257" width="9" style="178"/>
    <col min="1258" max="1258" width="9" style="178"/>
    <col min="1259" max="1259" width="9" style="178"/>
    <col min="1260" max="1260" width="9" style="178"/>
    <col min="1261" max="1261" width="9" style="178"/>
    <col min="1262" max="1262" width="9" style="178"/>
    <col min="1263" max="1263" width="9" style="178"/>
    <col min="1264" max="1264" width="9" style="178"/>
    <col min="1265" max="1265" width="9" style="178"/>
    <col min="1266" max="1266" width="9" style="178"/>
    <col min="1267" max="1267" width="9" style="178"/>
    <col min="1268" max="1268" width="9" style="178"/>
    <col min="1269" max="1269" width="9" style="178"/>
    <col min="1270" max="1270" width="9" style="178"/>
    <col min="1271" max="1271" width="9" style="178"/>
    <col min="1272" max="1272" width="9" style="178"/>
    <col min="1273" max="1273" width="9" style="178"/>
    <col min="1274" max="1274" width="9" style="178"/>
    <col min="1275" max="1275" width="9" style="178"/>
    <col min="1276" max="1276" width="9" style="178"/>
    <col min="1277" max="1277" width="9" style="178"/>
    <col min="1278" max="1278" width="9" style="178"/>
    <col min="1279" max="1279" width="9" style="178"/>
    <col min="1280" max="1280" width="9" style="178"/>
    <col min="1281" max="1281" width="9" style="178"/>
    <col min="1282" max="1282" width="9" style="178"/>
    <col min="1283" max="1283" width="9" style="178"/>
    <col min="1284" max="1284" width="9" style="178"/>
    <col min="1285" max="1285" width="9" style="178"/>
    <col min="1286" max="1286" width="9" style="178"/>
    <col min="1287" max="1287" width="9" style="178"/>
    <col min="1288" max="1288" width="9" style="178"/>
    <col min="1289" max="1289" width="9" style="178"/>
    <col min="1290" max="1290" width="9" style="178"/>
    <col min="1291" max="1291" width="9" style="178"/>
    <col min="1292" max="1292" width="9" style="178"/>
    <col min="1293" max="1293" width="9" style="178"/>
    <col min="1294" max="1294" width="9" style="178"/>
    <col min="1295" max="1295" width="9" style="178"/>
    <col min="1296" max="1296" width="9" style="178"/>
    <col min="1297" max="1297" width="9" style="178"/>
    <col min="1298" max="1298" width="9" style="178"/>
    <col min="1299" max="1299" width="9" style="178"/>
    <col min="1300" max="1300" width="9" style="178"/>
    <col min="1301" max="1301" width="9" style="178"/>
    <col min="1302" max="1302" width="9" style="178"/>
    <col min="1303" max="1303" width="9" style="178"/>
    <col min="1304" max="1304" width="9" style="178"/>
    <col min="1305" max="1305" width="9" style="178"/>
    <col min="1306" max="1306" width="9" style="178"/>
    <col min="1307" max="1307" width="9" style="178"/>
    <col min="1308" max="1308" width="9" style="178"/>
    <col min="1309" max="1309" width="9" style="178"/>
    <col min="1310" max="1310" width="9" style="178"/>
    <col min="1311" max="1311" width="9" style="178"/>
    <col min="1312" max="1312" width="9" style="178"/>
    <col min="1313" max="1313" width="9" style="178"/>
    <col min="1314" max="1314" width="9" style="178"/>
    <col min="1315" max="1315" width="9" style="178"/>
    <col min="1316" max="1316" width="9" style="178"/>
    <col min="1317" max="1317" width="9" style="178"/>
    <col min="1318" max="1318" width="9" style="178"/>
    <col min="1319" max="1319" width="9" style="178"/>
    <col min="1320" max="1320" width="9" style="178"/>
    <col min="1321" max="1321" width="9" style="178"/>
    <col min="1322" max="1322" width="9" style="178"/>
    <col min="1323" max="1323" width="9" style="178"/>
    <col min="1324" max="1324" width="9" style="178"/>
    <col min="1325" max="1325" width="9" style="178"/>
    <col min="1326" max="1326" width="9" style="178"/>
    <col min="1327" max="1327" width="9" style="178"/>
    <col min="1328" max="1328" width="9" style="178"/>
    <col min="1329" max="1329" width="9" style="178"/>
    <col min="1330" max="1330" width="9" style="178"/>
    <col min="1331" max="1331" width="9" style="178"/>
    <col min="1332" max="1332" width="9" style="178"/>
    <col min="1333" max="1333" width="9" style="178"/>
    <col min="1334" max="1334" width="9" style="178"/>
    <col min="1335" max="1335" width="9" style="178"/>
    <col min="1336" max="1336" width="9" style="178"/>
    <col min="1337" max="1337" width="9" style="178"/>
    <col min="1338" max="1338" width="9" style="178"/>
    <col min="1339" max="1339" width="9" style="178"/>
    <col min="1340" max="1340" width="9" style="178"/>
    <col min="1341" max="1341" width="9" style="178"/>
    <col min="1342" max="1342" width="9" style="178"/>
    <col min="1343" max="1343" width="9" style="178"/>
    <col min="1344" max="1344" width="9" style="178"/>
    <col min="1345" max="1345" width="9" style="178"/>
    <col min="1346" max="1346" width="9" style="178"/>
    <col min="1347" max="1347" width="9" style="178"/>
    <col min="1348" max="1348" width="9" style="178"/>
    <col min="1349" max="1349" width="9" style="178"/>
    <col min="1350" max="1350" width="9" style="178"/>
    <col min="1351" max="1351" width="9" style="178"/>
    <col min="1352" max="1352" width="9" style="178"/>
    <col min="1353" max="1353" width="9" style="178"/>
    <col min="1354" max="1354" width="9" style="178"/>
    <col min="1355" max="1355" width="9" style="178"/>
    <col min="1356" max="1356" width="9" style="178"/>
    <col min="1357" max="1357" width="9" style="178"/>
    <col min="1358" max="1358" width="9" style="178"/>
    <col min="1359" max="1359" width="9" style="178"/>
    <col min="1360" max="1360" width="9" style="178"/>
    <col min="1361" max="1361" width="9" style="178"/>
    <col min="1362" max="1362" width="9" style="178"/>
    <col min="1363" max="1363" width="9" style="178"/>
    <col min="1364" max="1364" width="9" style="178"/>
    <col min="1365" max="1365" width="9" style="178"/>
    <col min="1366" max="1366" width="9" style="178"/>
    <col min="1367" max="1367" width="9" style="178"/>
    <col min="1368" max="1368" width="9" style="178"/>
    <col min="1369" max="1369" width="9" style="178"/>
    <col min="1370" max="1370" width="9" style="178"/>
    <col min="1371" max="1371" width="9" style="178"/>
    <col min="1372" max="1372" width="9" style="178"/>
    <col min="1373" max="1373" width="9" style="178"/>
    <col min="1374" max="1374" width="9" style="178"/>
    <col min="1375" max="1375" width="9" style="178"/>
    <col min="1376" max="1376" width="9" style="178"/>
    <col min="1377" max="1377" width="9" style="178"/>
    <col min="1378" max="1378" width="9" style="178"/>
    <col min="1379" max="1379" width="9" style="178"/>
    <col min="1380" max="1380" width="9" style="178"/>
    <col min="1381" max="1381" width="9" style="178"/>
    <col min="1382" max="1382" width="9" style="178"/>
    <col min="1383" max="1383" width="9" style="178"/>
    <col min="1384" max="1384" width="9" style="178"/>
    <col min="1385" max="1385" width="9" style="178"/>
    <col min="1386" max="1386" width="9" style="178"/>
    <col min="1387" max="1387" width="9" style="178"/>
    <col min="1388" max="1388" width="9" style="178"/>
    <col min="1389" max="1389" width="9" style="178"/>
    <col min="1390" max="1390" width="9" style="178"/>
    <col min="1391" max="1391" width="9" style="178"/>
    <col min="1392" max="1392" width="9" style="178"/>
    <col min="1393" max="1393" width="9" style="178"/>
    <col min="1394" max="1394" width="9" style="178"/>
    <col min="1395" max="1395" width="9" style="178"/>
    <col min="1396" max="1396" width="9" style="178"/>
    <col min="1397" max="1397" width="9" style="178"/>
    <col min="1398" max="1398" width="9" style="178"/>
    <col min="1399" max="1399" width="9" style="178"/>
    <col min="1400" max="1400" width="9" style="178"/>
    <col min="1401" max="1401" width="9" style="178"/>
    <col min="1402" max="1402" width="9" style="178"/>
    <col min="1403" max="1403" width="9" style="178"/>
    <col min="1404" max="1404" width="9" style="178"/>
    <col min="1405" max="1405" width="9" style="178"/>
    <col min="1406" max="1406" width="9" style="178"/>
    <col min="1407" max="1407" width="9" style="178"/>
    <col min="1408" max="1408" width="9" style="178"/>
    <col min="1409" max="1409" width="9" style="178"/>
    <col min="1410" max="1410" width="9" style="178"/>
    <col min="1411" max="1411" width="9" style="178"/>
    <col min="1412" max="1412" width="9" style="178"/>
    <col min="1413" max="1413" width="9" style="178"/>
    <col min="1414" max="1414" width="9" style="178"/>
    <col min="1415" max="1415" width="9" style="178"/>
    <col min="1416" max="1416" width="9" style="178"/>
    <col min="1417" max="1417" width="9" style="178"/>
    <col min="1418" max="1418" width="9" style="178"/>
    <col min="1419" max="1419" width="9" style="178"/>
    <col min="1420" max="1420" width="9" style="178"/>
    <col min="1421" max="1421" width="9" style="178"/>
    <col min="1422" max="1422" width="9" style="178"/>
    <col min="1423" max="1423" width="9" style="178"/>
    <col min="1424" max="1424" width="9" style="178"/>
    <col min="1425" max="1425" width="9" style="178"/>
    <col min="1426" max="1426" width="9" style="178"/>
    <col min="1427" max="1427" width="9" style="178"/>
    <col min="1428" max="1428" width="9" style="178"/>
    <col min="1429" max="1429" width="9" style="178"/>
    <col min="1430" max="1430" width="9" style="178"/>
    <col min="1431" max="1431" width="9" style="178"/>
    <col min="1432" max="1432" width="9" style="178"/>
    <col min="1433" max="1433" width="9" style="178"/>
    <col min="1434" max="1434" width="9" style="178"/>
    <col min="1435" max="1435" width="9" style="178"/>
    <col min="1436" max="1436" width="9" style="178"/>
    <col min="1437" max="1437" width="9" style="178"/>
    <col min="1438" max="1438" width="9" style="178"/>
    <col min="1439" max="1439" width="9" style="178"/>
    <col min="1440" max="1440" width="9" style="178"/>
    <col min="1441" max="1441" width="9" style="178"/>
    <col min="1442" max="1442" width="9" style="178"/>
    <col min="1443" max="1443" width="9" style="178"/>
    <col min="1444" max="1444" width="9" style="178"/>
    <col min="1445" max="1445" width="9" style="178"/>
    <col min="1446" max="1446" width="9" style="178"/>
    <col min="1447" max="1447" width="9" style="178"/>
    <col min="1448" max="1448" width="9" style="178"/>
    <col min="1449" max="1449" width="9" style="178"/>
    <col min="1450" max="1450" width="9" style="178"/>
    <col min="1451" max="1451" width="9" style="178"/>
    <col min="1452" max="1452" width="9" style="178"/>
    <col min="1453" max="1453" width="9" style="178"/>
    <col min="1454" max="1454" width="9" style="178"/>
    <col min="1455" max="1455" width="9" style="178"/>
    <col min="1456" max="1456" width="9" style="178"/>
    <col min="1457" max="1457" width="9" style="178"/>
    <col min="1458" max="1458" width="9" style="178"/>
    <col min="1459" max="1459" width="9" style="178"/>
    <col min="1460" max="1460" width="9" style="178"/>
    <col min="1461" max="1461" width="9" style="178"/>
    <col min="1462" max="1462" width="9" style="178"/>
    <col min="1463" max="1463" width="9" style="178"/>
    <col min="1464" max="1464" width="9" style="178"/>
    <col min="1465" max="1465" width="9" style="178"/>
    <col min="1466" max="1466" width="9" style="178"/>
    <col min="1467" max="1467" width="9" style="178"/>
    <col min="1468" max="1468" width="9" style="178"/>
    <col min="1469" max="1469" width="9" style="178"/>
    <col min="1470" max="1470" width="9" style="178"/>
    <col min="1471" max="1471" width="9" style="178"/>
    <col min="1472" max="1472" width="9" style="178"/>
    <col min="1473" max="1473" width="9" style="178"/>
    <col min="1474" max="1474" width="9" style="178"/>
    <col min="1475" max="1475" width="9" style="178"/>
    <col min="1476" max="1476" width="9" style="178"/>
    <col min="1477" max="1477" width="9" style="178"/>
    <col min="1478" max="1478" width="9" style="178"/>
    <col min="1479" max="1479" width="9" style="178"/>
    <col min="1480" max="1480" width="9" style="178"/>
    <col min="1481" max="1481" width="9" style="178"/>
    <col min="1482" max="1482" width="9" style="178"/>
    <col min="1483" max="1483" width="9" style="178"/>
    <col min="1484" max="1484" width="9" style="178"/>
    <col min="1485" max="1485" width="9" style="178"/>
    <col min="1486" max="1486" width="9" style="178"/>
    <col min="1487" max="1487" width="9" style="178"/>
    <col min="1488" max="1488" width="9" style="178"/>
    <col min="1489" max="1489" width="9" style="178"/>
    <col min="1490" max="1490" width="9" style="178"/>
    <col min="1491" max="1491" width="9" style="178"/>
    <col min="1492" max="1492" width="9" style="178"/>
    <col min="1493" max="1493" width="9" style="178"/>
    <col min="1494" max="1494" width="9" style="178"/>
    <col min="1495" max="1495" width="9" style="178"/>
    <col min="1496" max="1496" width="9" style="178"/>
    <col min="1497" max="1497" width="9" style="178"/>
    <col min="1498" max="1498" width="9" style="178"/>
    <col min="1499" max="1499" width="9" style="178"/>
    <col min="1500" max="1500" width="9" style="178"/>
    <col min="1501" max="1501" width="9" style="178"/>
    <col min="1502" max="1502" width="9" style="178"/>
    <col min="1503" max="1503" width="9" style="178"/>
    <col min="1504" max="1504" width="9" style="178"/>
    <col min="1505" max="1505" width="9" style="178"/>
    <col min="1506" max="1506" width="9" style="178"/>
    <col min="1507" max="1507" width="9" style="178"/>
    <col min="1508" max="1508" width="9" style="178"/>
    <col min="1509" max="1509" width="9" style="178"/>
    <col min="1510" max="1510" width="9" style="178"/>
    <col min="1511" max="1511" width="9" style="178"/>
    <col min="1512" max="1512" width="9" style="178"/>
    <col min="1513" max="1513" width="9" style="178"/>
    <col min="1514" max="1514" width="9" style="178"/>
    <col min="1515" max="1515" width="9" style="178"/>
    <col min="1516" max="1516" width="9" style="178"/>
    <col min="1517" max="1517" width="9" style="178"/>
    <col min="1518" max="1518" width="9" style="178"/>
    <col min="1519" max="1519" width="9" style="178"/>
    <col min="1520" max="1520" width="9" style="178"/>
    <col min="1521" max="1521" width="9" style="178"/>
    <col min="1522" max="1522" width="9" style="178"/>
    <col min="1523" max="1523" width="9" style="178"/>
    <col min="1524" max="1524" width="9" style="178"/>
    <col min="1525" max="1525" width="9" style="178"/>
    <col min="1526" max="1526" width="9" style="178"/>
    <col min="1527" max="1527" width="9" style="178"/>
    <col min="1528" max="1528" width="9" style="178"/>
    <col min="1529" max="1529" width="9" style="178"/>
    <col min="1530" max="1530" width="9" style="178"/>
    <col min="1531" max="1531" width="9" style="178"/>
    <col min="1532" max="1532" width="9" style="178"/>
    <col min="1533" max="1533" width="9" style="178"/>
    <col min="1534" max="1534" width="9" style="178"/>
    <col min="1535" max="1535" width="9" style="178"/>
    <col min="1536" max="1536" width="9" style="178"/>
    <col min="1537" max="1537" width="9" style="178"/>
    <col min="1538" max="1538" width="9" style="178"/>
    <col min="1539" max="1539" width="9" style="178"/>
    <col min="1540" max="1540" width="9" style="178"/>
    <col min="1541" max="1541" width="9" style="178"/>
    <col min="1542" max="1542" width="9" style="178"/>
    <col min="1543" max="1543" width="9" style="178"/>
    <col min="1544" max="1544" width="9" style="178"/>
    <col min="1545" max="1545" width="9" style="178"/>
    <col min="1546" max="1546" width="9" style="178"/>
    <col min="1547" max="1547" width="9" style="178"/>
    <col min="1548" max="1548" width="9" style="178"/>
    <col min="1549" max="1549" width="9" style="178"/>
    <col min="1550" max="1550" width="9" style="178"/>
    <col min="1551" max="1551" width="9" style="178"/>
    <col min="1552" max="1552" width="9" style="178"/>
    <col min="1553" max="1553" width="9" style="178"/>
    <col min="1554" max="1554" width="9" style="178"/>
    <col min="1555" max="1555" width="9" style="178"/>
    <col min="1556" max="1556" width="9" style="178"/>
    <col min="1557" max="1557" width="9" style="178"/>
    <col min="1558" max="1558" width="9" style="178"/>
    <col min="1559" max="1559" width="9" style="178"/>
    <col min="1560" max="1560" width="9" style="178"/>
    <col min="1561" max="1561" width="9" style="178"/>
    <col min="1562" max="1562" width="9" style="178"/>
    <col min="1563" max="1563" width="9" style="178"/>
    <col min="1564" max="1564" width="9" style="178"/>
    <col min="1565" max="1565" width="9" style="178"/>
    <col min="1566" max="1566" width="9" style="178"/>
    <col min="1567" max="1567" width="9" style="178"/>
    <col min="1568" max="1568" width="9" style="178"/>
    <col min="1569" max="1569" width="9" style="178"/>
    <col min="1570" max="1570" width="9" style="178"/>
    <col min="1571" max="1571" width="9" style="178"/>
    <col min="1572" max="1572" width="9" style="178"/>
    <col min="1573" max="1573" width="9" style="178"/>
    <col min="1574" max="1574" width="9" style="178"/>
    <col min="1575" max="1575" width="9" style="178"/>
    <col min="1576" max="1576" width="9" style="178"/>
    <col min="1577" max="1577" width="9" style="178"/>
    <col min="1578" max="1578" width="9" style="178"/>
    <col min="1579" max="1579" width="9" style="178"/>
    <col min="1580" max="1580" width="9" style="178"/>
    <col min="1581" max="1581" width="9" style="178"/>
    <col min="1582" max="1582" width="9" style="178"/>
    <col min="1583" max="1583" width="9" style="178"/>
    <col min="1584" max="1584" width="9" style="178"/>
    <col min="1585" max="1585" width="9" style="178"/>
    <col min="1586" max="1586" width="9" style="178"/>
    <col min="1587" max="1587" width="9" style="178"/>
    <col min="1588" max="1588" width="9" style="178"/>
    <col min="1589" max="1589" width="9" style="178"/>
    <col min="1590" max="1590" width="9" style="178"/>
    <col min="1591" max="1591" width="9" style="178"/>
    <col min="1592" max="1592" width="9" style="178"/>
    <col min="1593" max="1593" width="9" style="178"/>
    <col min="1594" max="1594" width="9" style="178"/>
    <col min="1595" max="1595" width="9" style="178"/>
    <col min="1596" max="1596" width="9" style="178"/>
    <col min="1597" max="1597" width="9" style="178"/>
    <col min="1598" max="1598" width="9" style="178"/>
    <col min="1599" max="1599" width="9" style="178"/>
    <col min="1600" max="1600" width="9" style="178"/>
    <col min="1601" max="1601" width="9" style="178"/>
    <col min="1602" max="1602" width="9" style="178"/>
    <col min="1603" max="1603" width="9" style="178"/>
    <col min="1604" max="1604" width="9" style="178"/>
    <col min="1605" max="1605" width="9" style="178"/>
    <col min="1606" max="1606" width="9" style="178"/>
    <col min="1607" max="1607" width="9" style="178"/>
    <col min="1608" max="1608" width="9" style="178"/>
    <col min="1609" max="1609" width="9" style="178"/>
    <col min="1610" max="1610" width="9" style="178"/>
    <col min="1611" max="1611" width="9" style="178"/>
    <col min="1612" max="1612" width="9" style="178"/>
    <col min="1613" max="1613" width="9" style="178"/>
    <col min="1614" max="1614" width="9" style="178"/>
    <col min="1615" max="1615" width="9" style="178"/>
    <col min="1616" max="1616" width="9" style="178"/>
    <col min="1617" max="1617" width="9" style="178"/>
    <col min="1618" max="1618" width="9" style="178"/>
    <col min="1619" max="1619" width="9" style="178"/>
    <col min="1620" max="1620" width="9" style="178"/>
    <col min="1621" max="1621" width="9" style="178"/>
    <col min="1622" max="1622" width="9" style="178"/>
    <col min="1623" max="1623" width="9" style="178"/>
    <col min="1624" max="1624" width="9" style="178"/>
    <col min="1625" max="1625" width="9" style="178"/>
    <col min="1626" max="1626" width="9" style="178"/>
    <col min="1627" max="1627" width="9" style="178"/>
    <col min="1628" max="1628" width="9" style="178"/>
    <col min="1629" max="1629" width="9" style="178"/>
    <col min="1630" max="1630" width="9" style="178"/>
    <col min="1631" max="1631" width="9" style="178"/>
    <col min="1632" max="1632" width="9" style="178"/>
    <col min="1633" max="1633" width="9" style="178"/>
    <col min="1634" max="1634" width="9" style="178"/>
    <col min="1635" max="1635" width="9" style="178"/>
    <col min="1636" max="1636" width="9" style="178"/>
    <col min="1637" max="1637" width="9" style="178"/>
    <col min="1638" max="1638" width="9" style="178"/>
    <col min="1639" max="1639" width="9" style="178"/>
    <col min="1640" max="1640" width="9" style="178"/>
    <col min="1641" max="1641" width="9" style="178"/>
    <col min="1642" max="1642" width="9" style="178"/>
    <col min="1643" max="1643" width="9" style="178"/>
    <col min="1644" max="1644" width="9" style="178"/>
    <col min="1645" max="1645" width="9" style="178"/>
    <col min="1646" max="1646" width="9" style="178"/>
    <col min="1647" max="1647" width="9" style="178"/>
    <col min="1648" max="1648" width="9" style="178"/>
    <col min="1649" max="1649" width="9" style="178"/>
    <col min="1650" max="1650" width="9" style="178"/>
    <col min="1651" max="1651" width="9" style="178"/>
    <col min="1652" max="1652" width="9" style="178"/>
    <col min="1653" max="1653" width="9" style="178"/>
    <col min="1654" max="1654" width="9" style="178"/>
    <col min="1655" max="1655" width="9" style="178"/>
    <col min="1656" max="1656" width="9" style="178"/>
    <col min="1657" max="1657" width="9" style="178"/>
    <col min="1658" max="1658" width="9" style="178"/>
    <col min="1659" max="1659" width="9" style="178"/>
    <col min="1660" max="1660" width="9" style="178"/>
    <col min="1661" max="1661" width="9" style="178"/>
    <col min="1662" max="1662" width="9" style="178"/>
    <col min="1663" max="1663" width="9" style="178"/>
    <col min="1664" max="1664" width="9" style="178"/>
    <col min="1665" max="1665" width="9" style="178"/>
    <col min="1666" max="1666" width="9" style="178"/>
    <col min="1667" max="1667" width="9" style="178"/>
    <col min="1668" max="1668" width="9" style="178"/>
    <col min="1669" max="1669" width="9" style="178"/>
    <col min="1670" max="1670" width="9" style="178"/>
    <col min="1671" max="1671" width="9" style="178"/>
    <col min="1672" max="1672" width="9" style="178"/>
    <col min="1673" max="1673" width="9" style="178"/>
    <col min="1674" max="1674" width="9" style="178"/>
    <col min="1675" max="1675" width="9" style="178"/>
    <col min="1676" max="1676" width="9" style="178"/>
    <col min="1677" max="1677" width="9" style="178"/>
    <col min="1678" max="1678" width="9" style="178"/>
    <col min="1679" max="1679" width="9" style="178"/>
    <col min="1680" max="1680" width="9" style="178"/>
    <col min="1681" max="1681" width="9" style="178"/>
    <col min="1682" max="1682" width="9" style="178"/>
    <col min="1683" max="1683" width="9" style="178"/>
    <col min="1684" max="1684" width="9" style="178"/>
    <col min="1685" max="1685" width="9" style="178"/>
    <col min="1686" max="1686" width="9" style="178"/>
    <col min="1687" max="1687" width="9" style="178"/>
    <col min="1688" max="1688" width="9" style="178"/>
    <col min="1689" max="1689" width="9" style="178"/>
    <col min="1690" max="1690" width="9" style="178"/>
    <col min="1691" max="1691" width="9" style="178"/>
    <col min="1692" max="1692" width="9" style="178"/>
    <col min="1693" max="1693" width="9" style="178"/>
    <col min="1694" max="1694" width="9" style="178"/>
    <col min="1695" max="1695" width="9" style="178"/>
    <col min="1696" max="1696" width="9" style="178"/>
    <col min="1697" max="1697" width="9" style="178"/>
    <col min="1698" max="1698" width="9" style="178"/>
    <col min="1699" max="1699" width="9" style="178"/>
    <col min="1700" max="1700" width="9" style="178"/>
    <col min="1701" max="1701" width="9" style="178"/>
    <col min="1702" max="1702" width="9" style="178"/>
    <col min="1703" max="1703" width="9" style="178"/>
    <col min="1704" max="1704" width="9" style="178"/>
    <col min="1705" max="1705" width="9" style="178"/>
    <col min="1706" max="1706" width="9" style="178"/>
    <col min="1707" max="1707" width="9" style="178"/>
    <col min="1708" max="1708" width="9" style="178"/>
    <col min="1709" max="1709" width="9" style="178"/>
    <col min="1710" max="1710" width="9" style="178"/>
    <col min="1711" max="1711" width="9" style="178"/>
    <col min="1712" max="1712" width="9" style="178"/>
    <col min="1713" max="1713" width="9" style="178"/>
    <col min="1714" max="1714" width="9" style="178"/>
    <col min="1715" max="1715" width="9" style="178"/>
    <col min="1716" max="1716" width="9" style="178"/>
    <col min="1717" max="1717" width="9" style="178"/>
    <col min="1718" max="1718" width="9" style="178"/>
    <col min="1719" max="1719" width="9" style="178"/>
    <col min="1720" max="1720" width="9" style="178"/>
    <col min="1721" max="1721" width="9" style="178"/>
    <col min="1722" max="1722" width="9" style="178"/>
    <col min="1723" max="1723" width="9" style="178"/>
    <col min="1724" max="1724" width="9" style="178"/>
    <col min="1725" max="1725" width="9" style="178"/>
    <col min="1726" max="1726" width="9" style="178"/>
    <col min="1727" max="1727" width="9" style="178"/>
    <col min="1728" max="1728" width="9" style="178"/>
    <col min="1729" max="1729" width="9" style="178"/>
    <col min="1730" max="1730" width="9" style="178"/>
    <col min="1731" max="1731" width="9" style="178"/>
    <col min="1732" max="1732" width="9" style="178"/>
    <col min="1733" max="1733" width="9" style="178"/>
    <col min="1734" max="1734" width="9" style="178"/>
    <col min="1735" max="1735" width="9" style="178"/>
    <col min="1736" max="1736" width="9" style="178"/>
    <col min="1737" max="1737" width="9" style="178"/>
    <col min="1738" max="1738" width="9" style="178"/>
    <col min="1739" max="1739" width="9" style="178"/>
    <col min="1740" max="1740" width="9" style="178"/>
    <col min="1741" max="1741" width="9" style="178"/>
    <col min="1742" max="1742" width="9" style="178"/>
    <col min="1743" max="1743" width="9" style="178"/>
    <col min="1744" max="1744" width="9" style="178"/>
    <col min="1745" max="1745" width="9" style="178"/>
    <col min="1746" max="1746" width="9" style="178"/>
    <col min="1747" max="1747" width="9" style="178"/>
    <col min="1748" max="1748" width="9" style="178"/>
    <col min="1749" max="1749" width="9" style="178"/>
    <col min="1750" max="1750" width="9" style="178"/>
    <col min="1751" max="1751" width="9" style="178"/>
    <col min="1752" max="1752" width="9" style="178"/>
    <col min="1753" max="1753" width="9" style="178"/>
    <col min="1754" max="1754" width="9" style="178"/>
    <col min="1755" max="1755" width="9" style="178"/>
    <col min="1756" max="1756" width="9" style="178"/>
    <col min="1757" max="1757" width="9" style="178"/>
    <col min="1758" max="1758" width="9" style="178"/>
    <col min="1759" max="1759" width="9" style="178"/>
    <col min="1760" max="1760" width="9" style="178"/>
    <col min="1761" max="1761" width="9" style="178"/>
    <col min="1762" max="1762" width="9" style="178"/>
    <col min="1763" max="1763" width="9" style="178"/>
    <col min="1764" max="1764" width="9" style="178"/>
    <col min="1765" max="1765" width="9" style="178"/>
    <col min="1766" max="1766" width="9" style="178"/>
    <col min="1767" max="1767" width="9" style="178"/>
    <col min="1768" max="1768" width="9" style="178"/>
    <col min="1769" max="1769" width="9" style="178"/>
    <col min="1770" max="1770" width="9" style="178"/>
    <col min="1771" max="1771" width="9" style="178"/>
    <col min="1772" max="1772" width="9" style="178"/>
    <col min="1773" max="1773" width="9" style="178"/>
    <col min="1774" max="1774" width="9" style="178"/>
    <col min="1775" max="1775" width="9" style="178"/>
    <col min="1776" max="1776" width="9" style="178"/>
    <col min="1777" max="1777" width="9" style="178"/>
    <col min="1778" max="1778" width="9" style="178"/>
    <col min="1779" max="1779" width="9" style="178"/>
    <col min="1780" max="1780" width="9" style="178"/>
    <col min="1781" max="1781" width="9" style="178"/>
    <col min="1782" max="1782" width="9" style="178"/>
    <col min="1783" max="1783" width="9" style="178"/>
    <col min="1784" max="1784" width="9" style="178"/>
    <col min="1785" max="1785" width="9" style="178"/>
    <col min="1786" max="1786" width="9" style="178"/>
    <col min="1787" max="1787" width="9" style="178"/>
    <col min="1788" max="1788" width="9" style="178"/>
    <col min="1789" max="1789" width="9" style="178"/>
    <col min="1790" max="1790" width="9" style="178"/>
    <col min="1791" max="1791" width="9" style="178"/>
    <col min="1792" max="1792" width="9" style="178"/>
    <col min="1793" max="1793" width="9" style="178"/>
    <col min="1794" max="1794" width="9" style="178"/>
    <col min="1795" max="1795" width="9" style="178"/>
    <col min="1796" max="1796" width="9" style="178"/>
    <col min="1797" max="1797" width="9" style="178"/>
    <col min="1798" max="1798" width="9" style="178"/>
    <col min="1799" max="1799" width="9" style="178"/>
    <col min="1800" max="1800" width="9" style="178"/>
    <col min="1801" max="1801" width="9" style="178"/>
    <col min="1802" max="1802" width="9" style="178"/>
    <col min="1803" max="1803" width="9" style="178"/>
    <col min="1804" max="1804" width="9" style="178"/>
    <col min="1805" max="1805" width="9" style="178"/>
    <col min="1806" max="1806" width="9" style="178"/>
    <col min="1807" max="1807" width="9" style="178"/>
    <col min="1808" max="1808" width="9" style="178"/>
    <col min="1809" max="1809" width="9" style="178"/>
    <col min="1810" max="1810" width="9" style="178"/>
    <col min="1811" max="1811" width="9" style="178"/>
    <col min="1812" max="1812" width="9" style="178"/>
    <col min="1813" max="1813" width="9" style="178"/>
    <col min="1814" max="1814" width="9" style="178"/>
    <col min="1815" max="1815" width="9" style="178"/>
    <col min="1816" max="1816" width="9" style="178"/>
    <col min="1817" max="1817" width="9" style="178"/>
    <col min="1818" max="1818" width="9" style="178"/>
    <col min="1819" max="1819" width="9" style="178"/>
    <col min="1820" max="1820" width="9" style="178"/>
    <col min="1821" max="1821" width="9" style="178"/>
    <col min="1822" max="1822" width="9" style="178"/>
    <col min="1823" max="1823" width="9" style="178"/>
    <col min="1824" max="1824" width="9" style="178"/>
    <col min="1825" max="1825" width="9" style="178"/>
    <col min="1826" max="1826" width="9" style="178"/>
    <col min="1827" max="1827" width="9" style="178"/>
    <col min="1828" max="1828" width="9" style="178"/>
    <col min="1829" max="1829" width="9" style="178"/>
    <col min="1830" max="1830" width="9" style="178"/>
    <col min="1831" max="1831" width="9" style="178"/>
    <col min="1832" max="1832" width="9" style="178"/>
    <col min="1833" max="1833" width="9" style="178"/>
    <col min="1834" max="1834" width="9" style="178"/>
    <col min="1835" max="1835" width="9" style="178"/>
    <col min="1836" max="1836" width="9" style="178"/>
    <col min="1837" max="1837" width="9" style="178"/>
    <col min="1838" max="1838" width="9" style="178"/>
    <col min="1839" max="1839" width="9" style="178"/>
    <col min="1840" max="1840" width="9" style="178"/>
    <col min="1841" max="1841" width="9" style="178"/>
    <col min="1842" max="1842" width="9" style="178"/>
    <col min="1843" max="1843" width="9" style="178"/>
    <col min="1844" max="1844" width="9" style="178"/>
    <col min="1845" max="1845" width="9" style="178"/>
    <col min="1846" max="1846" width="9" style="178"/>
    <col min="1847" max="1847" width="9" style="178"/>
    <col min="1848" max="1848" width="9" style="178"/>
    <col min="1849" max="1849" width="9" style="178"/>
    <col min="1850" max="1850" width="9" style="178"/>
    <col min="1851" max="1851" width="9" style="178"/>
    <col min="1852" max="1852" width="9" style="178"/>
    <col min="1853" max="1853" width="9" style="178"/>
    <col min="1854" max="1854" width="9" style="178"/>
    <col min="1855" max="1855" width="9" style="178"/>
    <col min="1856" max="1856" width="9" style="178"/>
    <col min="1857" max="1857" width="9" style="178"/>
    <col min="1858" max="1858" width="9" style="178"/>
    <col min="1859" max="1859" width="9" style="178"/>
    <col min="1860" max="1860" width="9" style="178"/>
    <col min="1861" max="1861" width="9" style="178"/>
    <col min="1862" max="1862" width="9" style="178"/>
    <col min="1863" max="1863" width="9" style="178"/>
    <col min="1864" max="1864" width="9" style="178"/>
    <col min="1865" max="1865" width="9" style="178"/>
    <col min="1866" max="1866" width="9" style="178"/>
    <col min="1867" max="1867" width="9" style="178"/>
    <col min="1868" max="1868" width="9" style="178"/>
    <col min="1869" max="1869" width="9" style="178"/>
    <col min="1870" max="1870" width="9" style="178"/>
    <col min="1871" max="1871" width="9" style="178"/>
    <col min="1872" max="1872" width="9" style="178"/>
    <col min="1873" max="1873" width="9" style="178"/>
    <col min="1874" max="1874" width="9" style="178"/>
    <col min="1875" max="1875" width="9" style="178"/>
    <col min="1876" max="1876" width="9" style="178"/>
    <col min="1877" max="1877" width="9" style="178"/>
    <col min="1878" max="1878" width="9" style="178"/>
    <col min="1879" max="1879" width="9" style="178"/>
    <col min="1880" max="1880" width="9" style="178"/>
    <col min="1881" max="1881" width="9" style="178"/>
    <col min="1882" max="1882" width="9" style="178"/>
    <col min="1883" max="1883" width="9" style="178"/>
    <col min="1884" max="1884" width="9" style="178"/>
    <col min="1885" max="1885" width="9" style="178"/>
    <col min="1886" max="1886" width="9" style="178"/>
    <col min="1887" max="1887" width="9" style="178"/>
    <col min="1888" max="1888" width="9" style="178"/>
    <col min="1889" max="1889" width="9" style="178"/>
    <col min="1890" max="1890" width="9" style="178"/>
    <col min="1891" max="1891" width="9" style="178"/>
    <col min="1892" max="1892" width="9" style="178"/>
    <col min="1893" max="1893" width="9" style="178"/>
    <col min="1894" max="1894" width="9" style="178"/>
    <col min="1895" max="1895" width="9" style="178"/>
    <col min="1896" max="1896" width="9" style="178"/>
    <col min="1897" max="1897" width="9" style="178"/>
    <col min="1898" max="1898" width="9" style="178"/>
    <col min="1899" max="1899" width="9" style="178"/>
    <col min="1900" max="1900" width="9" style="178"/>
    <col min="1901" max="1901" width="9" style="178"/>
    <col min="1902" max="1902" width="9" style="178"/>
    <col min="1903" max="1903" width="9" style="178"/>
    <col min="1904" max="1904" width="9" style="178"/>
    <col min="1905" max="1905" width="9" style="178"/>
    <col min="1906" max="1906" width="9" style="178"/>
    <col min="1907" max="1907" width="9" style="178"/>
    <col min="1908" max="1908" width="9" style="178"/>
    <col min="1909" max="1909" width="9" style="178"/>
    <col min="1910" max="1910" width="9" style="178"/>
    <col min="1911" max="1911" width="9" style="178"/>
    <col min="1912" max="1912" width="9" style="178"/>
    <col min="1913" max="1913" width="9" style="178"/>
    <col min="1914" max="1914" width="9" style="178"/>
    <col min="1915" max="1915" width="9" style="178"/>
    <col min="1916" max="1916" width="9" style="178"/>
    <col min="1917" max="1917" width="9" style="178"/>
    <col min="1918" max="1918" width="9" style="178"/>
    <col min="1919" max="1919" width="9" style="178"/>
    <col min="1920" max="1920" width="9" style="178"/>
    <col min="1921" max="1921" width="9" style="178"/>
    <col min="1922" max="1922" width="9" style="178"/>
    <col min="1923" max="1923" width="9" style="178"/>
    <col min="1924" max="1924" width="9" style="178"/>
    <col min="1925" max="1925" width="9" style="178"/>
    <col min="1926" max="1926" width="9" style="178"/>
    <col min="1927" max="1927" width="9" style="178"/>
    <col min="1928" max="1928" width="9" style="178"/>
    <col min="1929" max="1929" width="9" style="178"/>
    <col min="1930" max="1930" width="9" style="178"/>
    <col min="1931" max="1931" width="9" style="178"/>
    <col min="1932" max="1932" width="9" style="178"/>
    <col min="1933" max="1933" width="9" style="178"/>
    <col min="1934" max="1934" width="9" style="178"/>
    <col min="1935" max="1935" width="9" style="178"/>
    <col min="1936" max="1936" width="9" style="178"/>
    <col min="1937" max="1937" width="9" style="178"/>
    <col min="1938" max="1938" width="9" style="178"/>
    <col min="1939" max="1939" width="9" style="178"/>
    <col min="1940" max="1940" width="9" style="178"/>
    <col min="1941" max="1941" width="9" style="178"/>
    <col min="1942" max="1942" width="9" style="178"/>
    <col min="1943" max="1943" width="9" style="178"/>
    <col min="1944" max="1944" width="9" style="178"/>
    <col min="1945" max="1945" width="9" style="178"/>
    <col min="1946" max="1946" width="9" style="178"/>
    <col min="1947" max="1947" width="9" style="178"/>
    <col min="1948" max="1948" width="9" style="178"/>
    <col min="1949" max="1949" width="9" style="178"/>
    <col min="1950" max="1950" width="9" style="178"/>
    <col min="1951" max="1951" width="9" style="178"/>
    <col min="1952" max="1952" width="9" style="178"/>
    <col min="1953" max="1953" width="9" style="178"/>
    <col min="1954" max="1954" width="9" style="178"/>
    <col min="1955" max="1955" width="9" style="178"/>
    <col min="1956" max="1956" width="9" style="178"/>
    <col min="1957" max="1957" width="9" style="178"/>
    <col min="1958" max="1958" width="9" style="178"/>
    <col min="1959" max="1959" width="9" style="178"/>
    <col min="1960" max="1960" width="9" style="178"/>
    <col min="1961" max="1961" width="9" style="178"/>
    <col min="1962" max="1962" width="9" style="178"/>
    <col min="1963" max="1963" width="9" style="178"/>
    <col min="1964" max="1964" width="9" style="178"/>
    <col min="1965" max="1965" width="9" style="178"/>
    <col min="1966" max="1966" width="9" style="178"/>
    <col min="1967" max="1967" width="9" style="178"/>
    <col min="1968" max="1968" width="9" style="178"/>
    <col min="1969" max="1969" width="9" style="178"/>
    <col min="1970" max="1970" width="9" style="178"/>
    <col min="1971" max="1971" width="9" style="178"/>
    <col min="1972" max="1972" width="9" style="178"/>
    <col min="1973" max="1973" width="9" style="178"/>
    <col min="1974" max="1974" width="9" style="178"/>
    <col min="1975" max="1975" width="9" style="178"/>
    <col min="1976" max="1976" width="9" style="178"/>
    <col min="1977" max="1977" width="9" style="178"/>
    <col min="1978" max="1978" width="9" style="178"/>
    <col min="1979" max="1979" width="9" style="178"/>
    <col min="1980" max="1980" width="9" style="178"/>
    <col min="1981" max="1981" width="9" style="178"/>
    <col min="1982" max="1982" width="9" style="178"/>
    <col min="1983" max="1983" width="9" style="178"/>
    <col min="1984" max="1984" width="9" style="178"/>
    <col min="1985" max="1985" width="9" style="178"/>
    <col min="1986" max="1986" width="9" style="178"/>
    <col min="1987" max="1987" width="9" style="178"/>
    <col min="1988" max="1988" width="9" style="178"/>
    <col min="1989" max="1989" width="9" style="178"/>
    <col min="1990" max="1990" width="9" style="178"/>
    <col min="1991" max="1991" width="9" style="178"/>
    <col min="1992" max="1992" width="9" style="178"/>
    <col min="1993" max="1993" width="9" style="178"/>
    <col min="1994" max="1994" width="9" style="178"/>
    <col min="1995" max="1995" width="9" style="178"/>
    <col min="1996" max="1996" width="9" style="178"/>
    <col min="1997" max="1997" width="9" style="178"/>
    <col min="1998" max="1998" width="9" style="178"/>
    <col min="1999" max="1999" width="9" style="178"/>
    <col min="2000" max="2000" width="9" style="178"/>
    <col min="2001" max="2001" width="9" style="178"/>
    <col min="2002" max="2002" width="9" style="178"/>
    <col min="2003" max="2003" width="9" style="178"/>
    <col min="2004" max="2004" width="9" style="178"/>
    <col min="2005" max="2005" width="9" style="178"/>
    <col min="2006" max="2006" width="9" style="178"/>
    <col min="2007" max="2007" width="9" style="178"/>
    <col min="2008" max="2008" width="9" style="178"/>
    <col min="2009" max="2009" width="9" style="178"/>
    <col min="2010" max="2010" width="9" style="178"/>
    <col min="2011" max="2011" width="9" style="178"/>
    <col min="2012" max="2012" width="9" style="178"/>
    <col min="2013" max="2013" width="9" style="178"/>
    <col min="2014" max="2014" width="9" style="178"/>
    <col min="2015" max="2015" width="9" style="178"/>
    <col min="2016" max="2016" width="9" style="178"/>
    <col min="2017" max="2017" width="9" style="178"/>
    <col min="2018" max="2018" width="9" style="178"/>
    <col min="2019" max="2019" width="9" style="178"/>
    <col min="2020" max="2020" width="9" style="178"/>
    <col min="2021" max="2021" width="9" style="178"/>
    <col min="2022" max="2022" width="9" style="178"/>
    <col min="2023" max="2023" width="9" style="178"/>
    <col min="2024" max="2024" width="9" style="178"/>
    <col min="2025" max="2025" width="9" style="178"/>
    <col min="2026" max="2026" width="9" style="178"/>
    <col min="2027" max="2027" width="9" style="178"/>
    <col min="2028" max="2028" width="9" style="178"/>
    <col min="2029" max="2029" width="9" style="178"/>
    <col min="2030" max="2030" width="9" style="178"/>
    <col min="2031" max="2031" width="9" style="178"/>
    <col min="2032" max="2032" width="9" style="178"/>
    <col min="2033" max="2033" width="9" style="178"/>
    <col min="2034" max="2034" width="9" style="178"/>
    <col min="2035" max="2035" width="9" style="178"/>
    <col min="2036" max="2036" width="9" style="178"/>
    <col min="2037" max="2037" width="9" style="178"/>
    <col min="2038" max="2038" width="9" style="178"/>
    <col min="2039" max="2039" width="9" style="178"/>
    <col min="2040" max="2040" width="9" style="178"/>
    <col min="2041" max="2041" width="9" style="178"/>
    <col min="2042" max="2042" width="9" style="178"/>
    <col min="2043" max="2043" width="9" style="178"/>
    <col min="2044" max="2044" width="9" style="178"/>
    <col min="2045" max="2045" width="9" style="178"/>
    <col min="2046" max="2046" width="9" style="178"/>
    <col min="2047" max="2047" width="9" style="178"/>
    <col min="2048" max="2048" width="9" style="178"/>
    <col min="2049" max="2049" width="9" style="178"/>
    <col min="2050" max="2050" width="9" style="178"/>
    <col min="2051" max="2051" width="9" style="178"/>
    <col min="2052" max="2052" width="9" style="178"/>
    <col min="2053" max="2053" width="9" style="178"/>
    <col min="2054" max="2054" width="9" style="178"/>
    <col min="2055" max="2055" width="9" style="178"/>
    <col min="2056" max="2056" width="9" style="178"/>
    <col min="2057" max="2057" width="9" style="178"/>
    <col min="2058" max="2058" width="9" style="178"/>
    <col min="2059" max="2059" width="9" style="178"/>
    <col min="2060" max="2060" width="9" style="178"/>
    <col min="2061" max="2061" width="9" style="178"/>
    <col min="2062" max="2062" width="9" style="178"/>
    <col min="2063" max="2063" width="9" style="178"/>
    <col min="2064" max="2064" width="9" style="178"/>
    <col min="2065" max="2065" width="9" style="178"/>
    <col min="2066" max="2066" width="9" style="178"/>
    <col min="2067" max="2067" width="9" style="178"/>
    <col min="2068" max="2068" width="9" style="178"/>
    <col min="2069" max="2069" width="9" style="178"/>
    <col min="2070" max="2070" width="9" style="178"/>
    <col min="2071" max="2071" width="9" style="178"/>
    <col min="2072" max="2072" width="9" style="178"/>
    <col min="2073" max="2073" width="9" style="178"/>
    <col min="2074" max="2074" width="9" style="178"/>
    <col min="2075" max="2075" width="9" style="178"/>
    <col min="2076" max="2076" width="9" style="178"/>
    <col min="2077" max="2077" width="9" style="178"/>
    <col min="2078" max="2078" width="9" style="178"/>
    <col min="2079" max="2079" width="9" style="178"/>
    <col min="2080" max="2080" width="9" style="178"/>
    <col min="2081" max="2081" width="9" style="178"/>
    <col min="2082" max="2082" width="9" style="178"/>
    <col min="2083" max="2083" width="9" style="178"/>
    <col min="2084" max="2084" width="9" style="178"/>
    <col min="2085" max="2085" width="9" style="178"/>
    <col min="2086" max="2086" width="9" style="178"/>
    <col min="2087" max="2087" width="9" style="178"/>
    <col min="2088" max="2088" width="9" style="178"/>
    <col min="2089" max="2089" width="9" style="178"/>
    <col min="2090" max="2090" width="9" style="178"/>
    <col min="2091" max="2091" width="9" style="178"/>
    <col min="2092" max="2092" width="9" style="178"/>
    <col min="2093" max="2093" width="9" style="178"/>
    <col min="2094" max="2094" width="9" style="178"/>
    <col min="2095" max="2095" width="9" style="178"/>
    <col min="2096" max="2096" width="9" style="178"/>
    <col min="2097" max="2097" width="9" style="178"/>
    <col min="2098" max="2098" width="9" style="178"/>
    <col min="2099" max="2099" width="9" style="178"/>
    <col min="2100" max="2100" width="9" style="178"/>
    <col min="2101" max="2101" width="9" style="178"/>
    <col min="2102" max="2102" width="9" style="178"/>
    <col min="2103" max="2103" width="9" style="178"/>
    <col min="2104" max="2104" width="9" style="178"/>
    <col min="2105" max="2105" width="9" style="178"/>
    <col min="2106" max="2106" width="9" style="178"/>
    <col min="2107" max="2107" width="9" style="178"/>
    <col min="2108" max="2108" width="9" style="178"/>
    <col min="2109" max="2109" width="9" style="178"/>
    <col min="2110" max="2110" width="9" style="178"/>
    <col min="2111" max="2111" width="9" style="178"/>
    <col min="2112" max="2112" width="9" style="178"/>
    <col min="2113" max="2113" width="9" style="178"/>
    <col min="2114" max="2114" width="9" style="178"/>
    <col min="2115" max="2115" width="9" style="178"/>
    <col min="2116" max="2116" width="9" style="178"/>
    <col min="2117" max="2117" width="9" style="178"/>
    <col min="2118" max="2118" width="9" style="178"/>
    <col min="2119" max="2119" width="9" style="178"/>
    <col min="2120" max="2120" width="9" style="178"/>
    <col min="2121" max="2121" width="9" style="178"/>
    <col min="2122" max="2122" width="9" style="178"/>
    <col min="2123" max="2123" width="9" style="178"/>
    <col min="2124" max="2124" width="9" style="178"/>
    <col min="2125" max="2125" width="9" style="178"/>
    <col min="2126" max="2126" width="9" style="178"/>
    <col min="2127" max="2127" width="9" style="178"/>
    <col min="2128" max="2128" width="9" style="178"/>
    <col min="2129" max="2129" width="9" style="178"/>
    <col min="2130" max="2130" width="9" style="178"/>
    <col min="2131" max="2131" width="9" style="178"/>
    <col min="2132" max="2132" width="9" style="178"/>
    <col min="2133" max="2133" width="9" style="178"/>
    <col min="2134" max="2134" width="9" style="178"/>
    <col min="2135" max="2135" width="9" style="178"/>
    <col min="2136" max="2136" width="9" style="178"/>
    <col min="2137" max="2137" width="9" style="178"/>
    <col min="2138" max="2138" width="9" style="178"/>
    <col min="2139" max="2139" width="9" style="178"/>
    <col min="2140" max="2140" width="9" style="178"/>
    <col min="2141" max="2141" width="9" style="178"/>
    <col min="2142" max="2142" width="9" style="178"/>
    <col min="2143" max="2143" width="9" style="178"/>
    <col min="2144" max="2144" width="9" style="178"/>
    <col min="2145" max="2145" width="9" style="178"/>
    <col min="2146" max="2146" width="9" style="178"/>
    <col min="2147" max="2147" width="9" style="178"/>
    <col min="2148" max="2148" width="9" style="178"/>
    <col min="2149" max="2149" width="9" style="178"/>
    <col min="2150" max="2150" width="9" style="178"/>
    <col min="2151" max="2151" width="9" style="178"/>
    <col min="2152" max="2152" width="9" style="178"/>
    <col min="2153" max="2153" width="9" style="178"/>
    <col min="2154" max="2154" width="9" style="178"/>
    <col min="2155" max="2155" width="9" style="178"/>
    <col min="2156" max="2156" width="9" style="178"/>
    <col min="2157" max="2157" width="9" style="178"/>
    <col min="2158" max="2158" width="9" style="178"/>
    <col min="2159" max="2159" width="9" style="178"/>
    <col min="2160" max="2160" width="9" style="178"/>
    <col min="2161" max="2161" width="9" style="178"/>
    <col min="2162" max="2162" width="9" style="178"/>
    <col min="2163" max="2163" width="9" style="178"/>
    <col min="2164" max="2164" width="9" style="178"/>
    <col min="2165" max="2165" width="9" style="178"/>
    <col min="2166" max="2166" width="9" style="178"/>
    <col min="2167" max="2167" width="9" style="178"/>
    <col min="2168" max="2168" width="9" style="178"/>
    <col min="2169" max="2169" width="9" style="178"/>
    <col min="2170" max="2170" width="9" style="178"/>
    <col min="2171" max="2171" width="9" style="178"/>
    <col min="2172" max="2172" width="9" style="178"/>
    <col min="2173" max="2173" width="9" style="178"/>
    <col min="2174" max="2174" width="9" style="178"/>
    <col min="2175" max="2175" width="9" style="178"/>
    <col min="2176" max="2176" width="9" style="178"/>
    <col min="2177" max="2177" width="9" style="178"/>
    <col min="2178" max="2178" width="9" style="178"/>
    <col min="2179" max="2179" width="9" style="178"/>
    <col min="2180" max="2180" width="9" style="178"/>
    <col min="2181" max="2181" width="9" style="178"/>
    <col min="2182" max="2182" width="9" style="178"/>
    <col min="2183" max="2183" width="9" style="178"/>
    <col min="2184" max="2184" width="9" style="178"/>
    <col min="2185" max="2185" width="9" style="178"/>
    <col min="2186" max="2186" width="9" style="178"/>
    <col min="2187" max="2187" width="9" style="178"/>
    <col min="2188" max="2188" width="9" style="178"/>
    <col min="2189" max="2189" width="9" style="178"/>
    <col min="2190" max="2190" width="9" style="178"/>
    <col min="2191" max="2191" width="9" style="178"/>
    <col min="2192" max="2192" width="9" style="178"/>
    <col min="2193" max="2193" width="9" style="178"/>
    <col min="2194" max="2194" width="9" style="178"/>
    <col min="2195" max="2195" width="9" style="178"/>
    <col min="2196" max="2196" width="9" style="178"/>
    <col min="2197" max="2197" width="9" style="178"/>
    <col min="2198" max="2198" width="9" style="178"/>
    <col min="2199" max="2199" width="9" style="178"/>
    <col min="2200" max="2200" width="9" style="178"/>
    <col min="2201" max="2201" width="9" style="178"/>
    <col min="2202" max="2202" width="9" style="178"/>
    <col min="2203" max="2203" width="9" style="178"/>
    <col min="2204" max="2204" width="9" style="178"/>
    <col min="2205" max="2205" width="9" style="178"/>
    <col min="2206" max="2206" width="9" style="178"/>
    <col min="2207" max="2207" width="9" style="178"/>
    <col min="2208" max="2208" width="9" style="178"/>
    <col min="2209" max="2209" width="9" style="178"/>
    <col min="2210" max="2210" width="9" style="178"/>
    <col min="2211" max="2211" width="9" style="178"/>
    <col min="2212" max="2212" width="9" style="178"/>
    <col min="2213" max="2213" width="9" style="178"/>
    <col min="2214" max="2214" width="9" style="178"/>
    <col min="2215" max="2215" width="9" style="178"/>
    <col min="2216" max="2216" width="9" style="178"/>
    <col min="2217" max="2217" width="9" style="178"/>
    <col min="2218" max="2218" width="9" style="178"/>
    <col min="2219" max="2219" width="9" style="178"/>
    <col min="2220" max="2220" width="9" style="178"/>
    <col min="2221" max="2221" width="9" style="178"/>
    <col min="2222" max="2222" width="9" style="178"/>
    <col min="2223" max="2223" width="9" style="178"/>
    <col min="2224" max="2224" width="9" style="178"/>
    <col min="2225" max="2225" width="9" style="178"/>
    <col min="2226" max="2226" width="9" style="178"/>
    <col min="2227" max="2227" width="9" style="178"/>
    <col min="2228" max="2228" width="9" style="178"/>
    <col min="2229" max="2229" width="9" style="178"/>
    <col min="2230" max="2230" width="9" style="178"/>
    <col min="2231" max="2231" width="9" style="178"/>
    <col min="2232" max="2232" width="9" style="178"/>
    <col min="2233" max="2233" width="9" style="178"/>
    <col min="2234" max="2234" width="9" style="178"/>
    <col min="2235" max="2235" width="9" style="178"/>
    <col min="2236" max="2236" width="9" style="178"/>
    <col min="2237" max="2237" width="9" style="178"/>
    <col min="2238" max="2238" width="9" style="178"/>
    <col min="2239" max="2239" width="9" style="178"/>
    <col min="2240" max="2240" width="9" style="178"/>
    <col min="2241" max="2241" width="9" style="178"/>
    <col min="2242" max="2242" width="9" style="178"/>
    <col min="2243" max="2243" width="9" style="178"/>
    <col min="2244" max="2244" width="9" style="178"/>
    <col min="2245" max="2245" width="9" style="178"/>
    <col min="2246" max="2246" width="9" style="178"/>
    <col min="2247" max="2247" width="9" style="178"/>
    <col min="2248" max="2248" width="9" style="178"/>
    <col min="2249" max="2249" width="9" style="178"/>
    <col min="2250" max="2250" width="9" style="178"/>
    <col min="2251" max="2251" width="9" style="178"/>
    <col min="2252" max="2252" width="9" style="178"/>
    <col min="2253" max="2253" width="9" style="178"/>
    <col min="2254" max="2254" width="9" style="178"/>
    <col min="2255" max="2255" width="9" style="178"/>
    <col min="2256" max="2256" width="9" style="178"/>
    <col min="2257" max="2257" width="9" style="178"/>
    <col min="2258" max="2258" width="9" style="178"/>
    <col min="2259" max="2259" width="9" style="178"/>
    <col min="2260" max="2260" width="9" style="178"/>
    <col min="2261" max="2261" width="9" style="178"/>
    <col min="2262" max="2262" width="9" style="178"/>
    <col min="2263" max="2263" width="9" style="178"/>
    <col min="2264" max="2264" width="9" style="178"/>
    <col min="2265" max="2265" width="9" style="178"/>
    <col min="2266" max="2266" width="9" style="178"/>
    <col min="2267" max="2267" width="9" style="178"/>
    <col min="2268" max="2268" width="9" style="178"/>
    <col min="2269" max="2269" width="9" style="178"/>
    <col min="2270" max="2270" width="9" style="178"/>
    <col min="2271" max="2271" width="9" style="178"/>
    <col min="2272" max="2272" width="9" style="178"/>
    <col min="2273" max="2273" width="9" style="178"/>
    <col min="2274" max="2274" width="9" style="178"/>
    <col min="2275" max="2275" width="9" style="178"/>
    <col min="2276" max="2276" width="9" style="178"/>
    <col min="2277" max="2277" width="9" style="178"/>
    <col min="2278" max="2278" width="9" style="178"/>
    <col min="2279" max="2279" width="9" style="178"/>
    <col min="2280" max="2280" width="9" style="178"/>
    <col min="2281" max="2281" width="9" style="178"/>
    <col min="2282" max="2282" width="9" style="178"/>
    <col min="2283" max="2283" width="9" style="178"/>
    <col min="2284" max="2284" width="9" style="178"/>
    <col min="2285" max="2285" width="9" style="178"/>
    <col min="2286" max="2286" width="9" style="178"/>
    <col min="2287" max="2287" width="9" style="178"/>
    <col min="2288" max="2288" width="9" style="178"/>
    <col min="2289" max="2289" width="9" style="178"/>
    <col min="2290" max="2290" width="9" style="178"/>
    <col min="2291" max="2291" width="9" style="178"/>
    <col min="2292" max="2292" width="9" style="178"/>
    <col min="2293" max="2293" width="9" style="178"/>
    <col min="2294" max="2294" width="9" style="178"/>
    <col min="2295" max="2295" width="9" style="178"/>
    <col min="2296" max="2296" width="9" style="178"/>
    <col min="2297" max="2297" width="9" style="178"/>
    <col min="2298" max="2298" width="9" style="178"/>
    <col min="2299" max="2299" width="9" style="178"/>
    <col min="2300" max="2300" width="9" style="178"/>
    <col min="2301" max="2301" width="9" style="178"/>
    <col min="2302" max="2302" width="9" style="178"/>
    <col min="2303" max="2303" width="9" style="178"/>
    <col min="2304" max="2304" width="9" style="178"/>
    <col min="2305" max="2305" width="9" style="178"/>
    <col min="2306" max="2306" width="9" style="178"/>
    <col min="2307" max="2307" width="9" style="178"/>
    <col min="2308" max="2308" width="9" style="178"/>
    <col min="2309" max="2309" width="9" style="178"/>
    <col min="2310" max="2310" width="9" style="178"/>
    <col min="2311" max="2311" width="9" style="178"/>
    <col min="2312" max="2312" width="9" style="178"/>
    <col min="2313" max="2313" width="9" style="178"/>
    <col min="2314" max="2314" width="9" style="178"/>
    <col min="2315" max="2315" width="9" style="178"/>
    <col min="2316" max="2316" width="9" style="178"/>
    <col min="2317" max="2317" width="9" style="178"/>
    <col min="2318" max="2318" width="9" style="178"/>
    <col min="2319" max="2319" width="9" style="178"/>
    <col min="2320" max="2320" width="9" style="178"/>
    <col min="2321" max="2321" width="9" style="178"/>
    <col min="2322" max="2322" width="9" style="178"/>
    <col min="2323" max="2323" width="9" style="178"/>
    <col min="2324" max="2324" width="9" style="178"/>
    <col min="2325" max="2325" width="9" style="178"/>
    <col min="2326" max="2326" width="9" style="178"/>
    <col min="2327" max="2327" width="9" style="178"/>
    <col min="2328" max="2328" width="9" style="178"/>
    <col min="2329" max="2329" width="9" style="178"/>
    <col min="2330" max="2330" width="9" style="178"/>
    <col min="2331" max="2331" width="9" style="178"/>
    <col min="2332" max="2332" width="9" style="178"/>
    <col min="2333" max="2333" width="9" style="178"/>
    <col min="2334" max="2334" width="9" style="178"/>
    <col min="2335" max="2335" width="9" style="178"/>
    <col min="2336" max="2336" width="9" style="178"/>
    <col min="2337" max="2337" width="9" style="178"/>
    <col min="2338" max="2338" width="9" style="178"/>
    <col min="2339" max="2339" width="9" style="178"/>
    <col min="2340" max="2340" width="9" style="178"/>
    <col min="2341" max="2341" width="9" style="178"/>
    <col min="2342" max="2342" width="9" style="178"/>
    <col min="2343" max="2343" width="9" style="178"/>
    <col min="2344" max="2344" width="9" style="178"/>
    <col min="2345" max="2345" width="9" style="178"/>
    <col min="2346" max="2346" width="9" style="178"/>
    <col min="2347" max="2347" width="9" style="178"/>
    <col min="2348" max="2348" width="9" style="178"/>
    <col min="2349" max="2349" width="9" style="178"/>
    <col min="2350" max="2350" width="9" style="178"/>
    <col min="2351" max="2351" width="9" style="178"/>
    <col min="2352" max="2352" width="9" style="178"/>
    <col min="2353" max="2353" width="9" style="178"/>
    <col min="2354" max="2354" width="9" style="178"/>
    <col min="2355" max="2355" width="9" style="178"/>
    <col min="2356" max="2356" width="9" style="178"/>
    <col min="2357" max="2357" width="9" style="178"/>
    <col min="2358" max="2358" width="9" style="178"/>
    <col min="2359" max="2359" width="9" style="178"/>
    <col min="2360" max="2360" width="9" style="178"/>
    <col min="2361" max="2361" width="9" style="178"/>
    <col min="2362" max="2362" width="9" style="178"/>
    <col min="2363" max="2363" width="9" style="178"/>
    <col min="2364" max="2364" width="9" style="178"/>
    <col min="2365" max="2365" width="9" style="178"/>
    <col min="2366" max="2366" width="9" style="178"/>
    <col min="2367" max="2367" width="9" style="178"/>
    <col min="2368" max="2368" width="9" style="178"/>
    <col min="2369" max="2369" width="9" style="178"/>
    <col min="2370" max="2370" width="9" style="178"/>
    <col min="2371" max="2371" width="9" style="178"/>
    <col min="2372" max="2372" width="9" style="178"/>
    <col min="2373" max="2373" width="9" style="178"/>
    <col min="2374" max="2374" width="9" style="178"/>
    <col min="2375" max="2375" width="9" style="178"/>
    <col min="2376" max="2376" width="9" style="178"/>
    <col min="2377" max="2377" width="9" style="178"/>
    <col min="2378" max="2378" width="9" style="178"/>
    <col min="2379" max="2379" width="9" style="178"/>
    <col min="2380" max="2380" width="9" style="178"/>
    <col min="2381" max="2381" width="9" style="178"/>
    <col min="2382" max="2382" width="9" style="178"/>
    <col min="2383" max="2383" width="9" style="178"/>
    <col min="2384" max="2384" width="9" style="178"/>
    <col min="2385" max="2385" width="9" style="178"/>
    <col min="2386" max="2386" width="9" style="178"/>
    <col min="2387" max="2387" width="9" style="178"/>
    <col min="2388" max="2388" width="9" style="178"/>
    <col min="2389" max="2389" width="9" style="178"/>
    <col min="2390" max="2390" width="9" style="178"/>
    <col min="2391" max="2391" width="9" style="178"/>
    <col min="2392" max="2392" width="9" style="178"/>
    <col min="2393" max="2393" width="9" style="178"/>
    <col min="2394" max="2394" width="9" style="178"/>
    <col min="2395" max="2395" width="9" style="178"/>
    <col min="2396" max="2396" width="9" style="178"/>
    <col min="2397" max="2397" width="9" style="178"/>
    <col min="2398" max="2398" width="9" style="178"/>
    <col min="2399" max="2399" width="9" style="178"/>
    <col min="2400" max="2400" width="9" style="178"/>
    <col min="2401" max="2401" width="9" style="178"/>
    <col min="2402" max="2402" width="9" style="178"/>
    <col min="2403" max="2403" width="9" style="178"/>
    <col min="2404" max="2404" width="9" style="178"/>
    <col min="2405" max="2405" width="9" style="178"/>
    <col min="2406" max="2406" width="9" style="178"/>
    <col min="2407" max="2407" width="9" style="178"/>
    <col min="2408" max="2408" width="9" style="178"/>
    <col min="2409" max="2409" width="9" style="178"/>
    <col min="2410" max="2410" width="9" style="178"/>
    <col min="2411" max="2411" width="9" style="178"/>
    <col min="2412" max="2412" width="9" style="178"/>
    <col min="2413" max="2413" width="9" style="178"/>
    <col min="2414" max="2414" width="9" style="178"/>
    <col min="2415" max="2415" width="9" style="178"/>
    <col min="2416" max="2416" width="9" style="178"/>
    <col min="2417" max="2417" width="9" style="178"/>
    <col min="2418" max="2418" width="9" style="178"/>
    <col min="2419" max="2419" width="9" style="178"/>
    <col min="2420" max="2420" width="9" style="178"/>
    <col min="2421" max="2421" width="9" style="178"/>
    <col min="2422" max="2422" width="9" style="178"/>
    <col min="2423" max="2423" width="9" style="178"/>
    <col min="2424" max="2424" width="9" style="178"/>
    <col min="2425" max="2425" width="9" style="178"/>
    <col min="2426" max="2426" width="9" style="178"/>
    <col min="2427" max="2427" width="9" style="178"/>
    <col min="2428" max="2428" width="9" style="178"/>
    <col min="2429" max="2429" width="9" style="178"/>
    <col min="2430" max="2430" width="9" style="178"/>
    <col min="2431" max="2431" width="9" style="178"/>
    <col min="2432" max="2432" width="9" style="178"/>
    <col min="2433" max="2433" width="9" style="178"/>
    <col min="2434" max="2434" width="9" style="178"/>
    <col min="2435" max="2435" width="9" style="178"/>
    <col min="2436" max="2436" width="9" style="178"/>
    <col min="2437" max="2437" width="9" style="178"/>
    <col min="2438" max="2438" width="9" style="178"/>
    <col min="2439" max="2439" width="9" style="178"/>
    <col min="2440" max="2440" width="9" style="178"/>
    <col min="2441" max="2441" width="9" style="178"/>
    <col min="2442" max="2442" width="9" style="178"/>
    <col min="2443" max="2443" width="9" style="178"/>
    <col min="2444" max="2444" width="9" style="178"/>
    <col min="2445" max="2445" width="9" style="178"/>
    <col min="2446" max="2446" width="9" style="178"/>
    <col min="2447" max="2447" width="9" style="178"/>
    <col min="2448" max="2448" width="9" style="178"/>
    <col min="2449" max="2449" width="9" style="178"/>
    <col min="2450" max="2450" width="9" style="178"/>
    <col min="2451" max="2451" width="9" style="178"/>
    <col min="2452" max="2452" width="9" style="178"/>
    <col min="2453" max="2453" width="9" style="178"/>
    <col min="2454" max="2454" width="9" style="178"/>
    <col min="2455" max="2455" width="9" style="178"/>
    <col min="2456" max="2456" width="9" style="178"/>
    <col min="2457" max="2457" width="9" style="178"/>
    <col min="2458" max="2458" width="9" style="178"/>
    <col min="2459" max="2459" width="9" style="178"/>
    <col min="2460" max="2460" width="9" style="178"/>
    <col min="2461" max="2461" width="9" style="178"/>
    <col min="2462" max="2462" width="9" style="178"/>
    <col min="2463" max="2463" width="9" style="178"/>
    <col min="2464" max="2464" width="9" style="178"/>
    <col min="2465" max="2465" width="9" style="178"/>
    <col min="2466" max="2466" width="9" style="178"/>
    <col min="2467" max="2467" width="9" style="178"/>
    <col min="2468" max="2468" width="9" style="178"/>
    <col min="2469" max="2469" width="9" style="178"/>
    <col min="2470" max="2470" width="9" style="178"/>
    <col min="2471" max="2471" width="9" style="178"/>
    <col min="2472" max="2472" width="9" style="178"/>
    <col min="2473" max="2473" width="9" style="178"/>
    <col min="2474" max="2474" width="9" style="178"/>
    <col min="2475" max="2475" width="9" style="178"/>
    <col min="2476" max="2476" width="9" style="178"/>
    <col min="2477" max="2477" width="9" style="178"/>
    <col min="2478" max="2478" width="9" style="178"/>
    <col min="2479" max="2479" width="9" style="178"/>
    <col min="2480" max="2480" width="9" style="178"/>
    <col min="2481" max="2481" width="9" style="178"/>
    <col min="2482" max="2482" width="9" style="178"/>
    <col min="2483" max="2483" width="9" style="178"/>
    <col min="2484" max="2484" width="9" style="178"/>
    <col min="2485" max="2485" width="9" style="178"/>
    <col min="2486" max="2486" width="9" style="178"/>
    <col min="2487" max="2487" width="9" style="178"/>
    <col min="2488" max="2488" width="9" style="178"/>
    <col min="2489" max="2489" width="9" style="178"/>
    <col min="2490" max="2490" width="9" style="178"/>
    <col min="2491" max="2491" width="9" style="178"/>
    <col min="2492" max="2492" width="9" style="178"/>
    <col min="2493" max="2493" width="9" style="178"/>
    <col min="2494" max="2494" width="9" style="178"/>
    <col min="2495" max="2495" width="9" style="178"/>
    <col min="2496" max="2496" width="9" style="178"/>
    <col min="2497" max="2497" width="9" style="178"/>
    <col min="2498" max="2498" width="9" style="178"/>
    <col min="2499" max="2499" width="9" style="178"/>
    <col min="2500" max="2500" width="9" style="178"/>
    <col min="2501" max="2501" width="9" style="178"/>
    <col min="2502" max="2502" width="9" style="178"/>
    <col min="2503" max="2503" width="9" style="178"/>
    <col min="2504" max="2504" width="9" style="178"/>
    <col min="2505" max="2505" width="9" style="178"/>
    <col min="2506" max="2506" width="9" style="178"/>
    <col min="2507" max="2507" width="9" style="178"/>
    <col min="2508" max="2508" width="9" style="178"/>
    <col min="2509" max="2509" width="9" style="178"/>
    <col min="2510" max="2510" width="9" style="178"/>
    <col min="2511" max="2511" width="9" style="178"/>
    <col min="2512" max="2512" width="9" style="178"/>
    <col min="2513" max="2513" width="9" style="178"/>
    <col min="2514" max="2514" width="9" style="178"/>
    <col min="2515" max="2515" width="9" style="178"/>
    <col min="2516" max="2516" width="9" style="178"/>
    <col min="2517" max="2517" width="9" style="178"/>
    <col min="2518" max="2518" width="9" style="178"/>
    <col min="2519" max="2519" width="9" style="178"/>
    <col min="2520" max="2520" width="9" style="178"/>
    <col min="2521" max="2521" width="9" style="178"/>
    <col min="2522" max="2522" width="9" style="178"/>
    <col min="2523" max="2523" width="9" style="178"/>
    <col min="2524" max="2524" width="9" style="178"/>
    <col min="2525" max="2525" width="9" style="178"/>
    <col min="2526" max="2526" width="9" style="178"/>
    <col min="2527" max="2527" width="9" style="178"/>
    <col min="2528" max="2528" width="9" style="178"/>
    <col min="2529" max="2529" width="9" style="178"/>
    <col min="2530" max="2530" width="9" style="178"/>
    <col min="2531" max="2531" width="9" style="178"/>
    <col min="2532" max="2532" width="9" style="178"/>
    <col min="2533" max="2533" width="9" style="178"/>
    <col min="2534" max="2534" width="9" style="178"/>
    <col min="2535" max="2535" width="9" style="178"/>
    <col min="2536" max="2536" width="9" style="178"/>
    <col min="2537" max="2537" width="9" style="178"/>
    <col min="2538" max="2538" width="9" style="178"/>
    <col min="2539" max="2539" width="9" style="178"/>
    <col min="2540" max="2540" width="9" style="178"/>
    <col min="2541" max="2541" width="9" style="178"/>
    <col min="2542" max="2542" width="9" style="178"/>
    <col min="2543" max="2543" width="9" style="178"/>
    <col min="2544" max="2544" width="9" style="178"/>
    <col min="2545" max="2545" width="9" style="178"/>
    <col min="2546" max="2546" width="9" style="178"/>
    <col min="2547" max="2547" width="9" style="178"/>
    <col min="2548" max="2548" width="9" style="178"/>
    <col min="2549" max="2549" width="9" style="178"/>
    <col min="2550" max="2550" width="9" style="178"/>
    <col min="2551" max="2551" width="9" style="178"/>
    <col min="2552" max="2552" width="9" style="178"/>
    <col min="2553" max="2553" width="9" style="178"/>
    <col min="2554" max="2554" width="9" style="178"/>
    <col min="2555" max="2555" width="9" style="178"/>
    <col min="2556" max="2556" width="9" style="178"/>
    <col min="2557" max="2557" width="9" style="178"/>
    <col min="2558" max="2558" width="9" style="178"/>
    <col min="2559" max="2559" width="9" style="178"/>
    <col min="2560" max="2560" width="9" style="178"/>
    <col min="2561" max="2561" width="9" style="178"/>
    <col min="2562" max="2562" width="9" style="178"/>
    <col min="2563" max="2563" width="9" style="178"/>
    <col min="2564" max="2564" width="9" style="178"/>
    <col min="2565" max="2565" width="9" style="178"/>
    <col min="2566" max="2566" width="9" style="178"/>
    <col min="2567" max="2567" width="9" style="178"/>
    <col min="2568" max="2568" width="9" style="178"/>
    <col min="2569" max="2569" width="9" style="178"/>
    <col min="2570" max="2570" width="9" style="178"/>
    <col min="2571" max="2571" width="9" style="178"/>
    <col min="2572" max="2572" width="9" style="178"/>
    <col min="2573" max="2573" width="9" style="178"/>
    <col min="2574" max="2574" width="9" style="178"/>
    <col min="2575" max="2575" width="9" style="178"/>
    <col min="2576" max="2576" width="9" style="178"/>
    <col min="2577" max="2577" width="9" style="178"/>
    <col min="2578" max="2578" width="9" style="178"/>
    <col min="2579" max="2579" width="9" style="178"/>
    <col min="2580" max="2580" width="9" style="178"/>
    <col min="2581" max="2581" width="9" style="178"/>
    <col min="2582" max="2582" width="9" style="178"/>
    <col min="2583" max="2583" width="9" style="178"/>
    <col min="2584" max="2584" width="9" style="178"/>
    <col min="2585" max="2585" width="9" style="178"/>
    <col min="2586" max="2586" width="9" style="178"/>
    <col min="2587" max="2587" width="9" style="178"/>
    <col min="2588" max="2588" width="9" style="178"/>
    <col min="2589" max="2589" width="9" style="178"/>
    <col min="2590" max="2590" width="9" style="178"/>
    <col min="2591" max="2591" width="9" style="178"/>
    <col min="2592" max="2592" width="9" style="178"/>
    <col min="2593" max="2593" width="9" style="178"/>
    <col min="2594" max="2594" width="9" style="178"/>
    <col min="2595" max="2595" width="9" style="178"/>
    <col min="2596" max="2596" width="9" style="178"/>
    <col min="2597" max="2597" width="9" style="178"/>
    <col min="2598" max="2598" width="9" style="178"/>
    <col min="2599" max="2599" width="9" style="178"/>
    <col min="2600" max="2600" width="9" style="178"/>
    <col min="2601" max="2601" width="9" style="178"/>
    <col min="2602" max="2602" width="9" style="178"/>
    <col min="2603" max="2603" width="9" style="178"/>
    <col min="2604" max="2604" width="9" style="178"/>
    <col min="2605" max="2605" width="9" style="178"/>
    <col min="2606" max="2606" width="9" style="178"/>
    <col min="2607" max="2607" width="9" style="178"/>
    <col min="2608" max="2608" width="9" style="178"/>
    <col min="2609" max="2609" width="9" style="178"/>
    <col min="2610" max="2610" width="9" style="178"/>
    <col min="2611" max="2611" width="9" style="178"/>
    <col min="2612" max="2612" width="9" style="178"/>
    <col min="2613" max="2613" width="9" style="178"/>
    <col min="2614" max="2614" width="9" style="178"/>
    <col min="2615" max="2615" width="9" style="178"/>
    <col min="2616" max="2616" width="9" style="178"/>
    <col min="2617" max="2617" width="9" style="178"/>
    <col min="2618" max="2618" width="9" style="178"/>
    <col min="2619" max="2619" width="9" style="178"/>
    <col min="2620" max="2620" width="9" style="178"/>
    <col min="2621" max="2621" width="9" style="178"/>
    <col min="2622" max="2622" width="9" style="178"/>
    <col min="2623" max="2623" width="9" style="178"/>
    <col min="2624" max="2624" width="9" style="178"/>
    <col min="2625" max="2625" width="9" style="178"/>
    <col min="2626" max="2626" width="9" style="178"/>
    <col min="2627" max="2627" width="9" style="178"/>
    <col min="2628" max="2628" width="9" style="178"/>
    <col min="2629" max="2629" width="9" style="178"/>
    <col min="2630" max="2630" width="9" style="178"/>
    <col min="2631" max="2631" width="9" style="178"/>
    <col min="2632" max="2632" width="9" style="178"/>
    <col min="2633" max="2633" width="9" style="178"/>
    <col min="2634" max="2634" width="9" style="178"/>
    <col min="2635" max="2635" width="9" style="178"/>
    <col min="2636" max="2636" width="9" style="178"/>
    <col min="2637" max="2637" width="9" style="178"/>
    <col min="2638" max="2638" width="9" style="178"/>
    <col min="2639" max="2639" width="9" style="178"/>
    <col min="2640" max="2640" width="9" style="178"/>
    <col min="2641" max="2641" width="9" style="178"/>
    <col min="2642" max="2642" width="9" style="178"/>
    <col min="2643" max="2643" width="9" style="178"/>
    <col min="2644" max="2644" width="9" style="178"/>
    <col min="2645" max="2645" width="9" style="178"/>
    <col min="2646" max="2646" width="9" style="178"/>
    <col min="2647" max="2647" width="9" style="178"/>
    <col min="2648" max="2648" width="9" style="178"/>
    <col min="2649" max="2649" width="9" style="178"/>
    <col min="2650" max="2650" width="9" style="178"/>
    <col min="2651" max="2651" width="9" style="178"/>
    <col min="2652" max="2652" width="9" style="178"/>
    <col min="2653" max="2653" width="9" style="178"/>
    <col min="2654" max="2654" width="9" style="178"/>
    <col min="2655" max="2655" width="9" style="178"/>
    <col min="2656" max="2656" width="9" style="178"/>
    <col min="2657" max="2657" width="9" style="178"/>
    <col min="2658" max="2658" width="9" style="178"/>
    <col min="2659" max="2659" width="9" style="178"/>
    <col min="2660" max="2660" width="9" style="178"/>
    <col min="2661" max="2661" width="9" style="178"/>
    <col min="2662" max="2662" width="9" style="178"/>
    <col min="2663" max="2663" width="9" style="178"/>
    <col min="2664" max="2664" width="9" style="178"/>
    <col min="2665" max="2665" width="9" style="178"/>
    <col min="2666" max="2666" width="9" style="178"/>
    <col min="2667" max="2667" width="9" style="178"/>
    <col min="2668" max="2668" width="9" style="178"/>
    <col min="2669" max="2669" width="9" style="178"/>
    <col min="2670" max="2670" width="9" style="178"/>
    <col min="2671" max="2671" width="9" style="178"/>
    <col min="2672" max="2672" width="9" style="178"/>
    <col min="2673" max="2673" width="9" style="178"/>
    <col min="2674" max="2674" width="9" style="178"/>
    <col min="2675" max="2675" width="9" style="178"/>
    <col min="2676" max="2676" width="9" style="178"/>
    <col min="2677" max="2677" width="9" style="178"/>
    <col min="2678" max="2678" width="9" style="178"/>
    <col min="2679" max="2679" width="9" style="178"/>
    <col min="2680" max="2680" width="9" style="178"/>
    <col min="2681" max="2681" width="9" style="178"/>
    <col min="2682" max="2682" width="9" style="178"/>
    <col min="2683" max="2683" width="9" style="178"/>
    <col min="2684" max="2684" width="9" style="178"/>
    <col min="2685" max="2685" width="9" style="178"/>
    <col min="2686" max="2686" width="9" style="178"/>
    <col min="2687" max="2687" width="9" style="178"/>
    <col min="2688" max="2688" width="9" style="178"/>
    <col min="2689" max="2689" width="9" style="178"/>
    <col min="2690" max="2690" width="9" style="178"/>
    <col min="2691" max="2691" width="9" style="178"/>
    <col min="2692" max="2692" width="9" style="178"/>
    <col min="2693" max="2693" width="9" style="178"/>
    <col min="2694" max="2694" width="9" style="178"/>
    <col min="2695" max="2695" width="9" style="178"/>
    <col min="2696" max="2696" width="9" style="178"/>
    <col min="2697" max="2697" width="9" style="178"/>
    <col min="2698" max="2698" width="9" style="178"/>
    <col min="2699" max="2699" width="9" style="178"/>
    <col min="2700" max="2700" width="9" style="178"/>
    <col min="2701" max="2701" width="9" style="178"/>
    <col min="2702" max="2702" width="9" style="178"/>
    <col min="2703" max="2703" width="9" style="178"/>
    <col min="2704" max="2704" width="9" style="178"/>
    <col min="2705" max="2705" width="9" style="178"/>
    <col min="2706" max="2706" width="9" style="178"/>
    <col min="2707" max="2707" width="9" style="178"/>
    <col min="2708" max="2708" width="9" style="178"/>
    <col min="2709" max="2709" width="9" style="178"/>
    <col min="2710" max="2710" width="9" style="178"/>
    <col min="2711" max="2711" width="9" style="178"/>
    <col min="2712" max="2712" width="9" style="178"/>
    <col min="2713" max="2713" width="9" style="178"/>
    <col min="2714" max="2714" width="9" style="178"/>
    <col min="2715" max="2715" width="9" style="178"/>
    <col min="2716" max="2716" width="9" style="178"/>
    <col min="2717" max="2717" width="9" style="178"/>
    <col min="2718" max="2718" width="9" style="178"/>
    <col min="2719" max="2719" width="9" style="178"/>
    <col min="2720" max="2720" width="9" style="178"/>
    <col min="2721" max="2721" width="9" style="178"/>
    <col min="2722" max="2722" width="9" style="178"/>
    <col min="2723" max="2723" width="9" style="178"/>
    <col min="2724" max="2724" width="9" style="178"/>
    <col min="2725" max="2725" width="9" style="178"/>
    <col min="2726" max="2726" width="9" style="178"/>
    <col min="2727" max="2727" width="9" style="178"/>
    <col min="2728" max="2728" width="9" style="178"/>
    <col min="2729" max="2729" width="9" style="178"/>
    <col min="2730" max="2730" width="9" style="178"/>
    <col min="2731" max="2731" width="9" style="178"/>
    <col min="2732" max="2732" width="9" style="178"/>
    <col min="2733" max="2733" width="9" style="178"/>
    <col min="2734" max="2734" width="9" style="178"/>
    <col min="2735" max="2735" width="9" style="178"/>
    <col min="2736" max="2736" width="9" style="178"/>
    <col min="2737" max="2737" width="9" style="178"/>
    <col min="2738" max="2738" width="9" style="178"/>
    <col min="2739" max="2739" width="9" style="178"/>
    <col min="2740" max="2740" width="9" style="178"/>
    <col min="2741" max="2741" width="9" style="178"/>
    <col min="2742" max="2742" width="9" style="178"/>
    <col min="2743" max="2743" width="9" style="178"/>
    <col min="2744" max="2744" width="9" style="178"/>
    <col min="2745" max="2745" width="9" style="178"/>
    <col min="2746" max="2746" width="9" style="178"/>
    <col min="2747" max="2747" width="9" style="178"/>
    <col min="2748" max="2748" width="9" style="178"/>
    <col min="2749" max="2749" width="9" style="178"/>
    <col min="2750" max="2750" width="9" style="178"/>
    <col min="2751" max="2751" width="9" style="178"/>
    <col min="2752" max="2752" width="9" style="178"/>
    <col min="2753" max="2753" width="9" style="178"/>
    <col min="2754" max="2754" width="9" style="178"/>
    <col min="2755" max="2755" width="9" style="178"/>
    <col min="2756" max="2756" width="9" style="178"/>
    <col min="2757" max="2757" width="9" style="178"/>
    <col min="2758" max="2758" width="9" style="178"/>
    <col min="2759" max="2759" width="9" style="178"/>
    <col min="2760" max="2760" width="9" style="178"/>
    <col min="2761" max="2761" width="9" style="178"/>
    <col min="2762" max="2762" width="9" style="178"/>
    <col min="2763" max="2763" width="9" style="178"/>
    <col min="2764" max="2764" width="9" style="178"/>
    <col min="2765" max="2765" width="9" style="178"/>
    <col min="2766" max="2766" width="9" style="178"/>
    <col min="2767" max="2767" width="9" style="178"/>
    <col min="2768" max="2768" width="9" style="178"/>
    <col min="2769" max="2769" width="9" style="178"/>
    <col min="2770" max="2770" width="9" style="178"/>
    <col min="2771" max="2771" width="9" style="178"/>
    <col min="2772" max="2772" width="9" style="178"/>
    <col min="2773" max="2773" width="9" style="178"/>
    <col min="2774" max="2774" width="9" style="178"/>
    <col min="2775" max="2775" width="9" style="178"/>
    <col min="2776" max="2776" width="9" style="178"/>
    <col min="2777" max="2777" width="9" style="178"/>
    <col min="2778" max="2778" width="9" style="178"/>
    <col min="2779" max="2779" width="9" style="178"/>
    <col min="2780" max="2780" width="9" style="178"/>
    <col min="2781" max="2781" width="9" style="178"/>
    <col min="2782" max="2782" width="9" style="178"/>
    <col min="2783" max="2783" width="9" style="178"/>
    <col min="2784" max="2784" width="9" style="178"/>
    <col min="2785" max="2785" width="9" style="178"/>
    <col min="2786" max="2786" width="9" style="178"/>
    <col min="2787" max="2787" width="9" style="178"/>
    <col min="2788" max="2788" width="9" style="178"/>
    <col min="2789" max="2789" width="9" style="178"/>
    <col min="2790" max="2790" width="9" style="178"/>
    <col min="2791" max="2791" width="9" style="178"/>
    <col min="2792" max="2792" width="9" style="178"/>
    <col min="2793" max="2793" width="9" style="178"/>
    <col min="2794" max="2794" width="9" style="178"/>
    <col min="2795" max="2795" width="9" style="178"/>
    <col min="2796" max="2796" width="9" style="178"/>
    <col min="2797" max="2797" width="9" style="178"/>
    <col min="2798" max="2798" width="9" style="178"/>
    <col min="2799" max="2799" width="9" style="178"/>
    <col min="2800" max="2800" width="9" style="178"/>
    <col min="2801" max="2801" width="9" style="178"/>
    <col min="2802" max="2802" width="9" style="178"/>
    <col min="2803" max="2803" width="9" style="178"/>
    <col min="2804" max="2804" width="9" style="178"/>
    <col min="2805" max="2805" width="9" style="178"/>
    <col min="2806" max="2806" width="9" style="178"/>
    <col min="2807" max="2807" width="9" style="178"/>
    <col min="2808" max="2808" width="9" style="178"/>
    <col min="2809" max="2809" width="9" style="178"/>
    <col min="2810" max="2810" width="9" style="178"/>
    <col min="2811" max="2811" width="9" style="178"/>
    <col min="2812" max="2812" width="9" style="178"/>
    <col min="2813" max="2813" width="9" style="178"/>
    <col min="2814" max="2814" width="9" style="178"/>
    <col min="2815" max="2815" width="9" style="178"/>
    <col min="2816" max="2816" width="9" style="178"/>
    <col min="2817" max="2817" width="9" style="178"/>
    <col min="2818" max="2818" width="9" style="178"/>
    <col min="2819" max="2819" width="9" style="178"/>
    <col min="2820" max="2820" width="9" style="178"/>
    <col min="2821" max="2821" width="9" style="178"/>
    <col min="2822" max="2822" width="9" style="178"/>
    <col min="2823" max="2823" width="9" style="178"/>
    <col min="2824" max="2824" width="9" style="178"/>
    <col min="2825" max="2825" width="9" style="178"/>
    <col min="2826" max="2826" width="9" style="178"/>
    <col min="2827" max="2827" width="9" style="178"/>
    <col min="2828" max="2828" width="9" style="178"/>
    <col min="2829" max="2829" width="9" style="178"/>
    <col min="2830" max="2830" width="9" style="178"/>
    <col min="2831" max="2831" width="9" style="178"/>
    <col min="2832" max="2832" width="9" style="178"/>
    <col min="2833" max="2833" width="9" style="178"/>
    <col min="2834" max="2834" width="9" style="178"/>
    <col min="2835" max="2835" width="9" style="178"/>
    <col min="2836" max="2836" width="9" style="178"/>
    <col min="2837" max="2837" width="9" style="178"/>
    <col min="2838" max="2838" width="9" style="178"/>
    <col min="2839" max="2839" width="9" style="178"/>
    <col min="2840" max="2840" width="9" style="178"/>
    <col min="2841" max="2841" width="9" style="178"/>
    <col min="2842" max="2842" width="9" style="178"/>
    <col min="2843" max="2843" width="9" style="178"/>
    <col min="2844" max="2844" width="9" style="178"/>
    <col min="2845" max="2845" width="9" style="178"/>
    <col min="2846" max="2846" width="9" style="178"/>
    <col min="2847" max="2847" width="9" style="178"/>
    <col min="2848" max="2848" width="9" style="178"/>
    <col min="2849" max="2849" width="9" style="178"/>
    <col min="2850" max="2850" width="9" style="178"/>
    <col min="2851" max="2851" width="9" style="178"/>
    <col min="2852" max="2852" width="9" style="178"/>
    <col min="2853" max="2853" width="9" style="178"/>
    <col min="2854" max="2854" width="9" style="178"/>
    <col min="2855" max="2855" width="9" style="178"/>
    <col min="2856" max="2856" width="9" style="178"/>
    <col min="2857" max="2857" width="9" style="178"/>
    <col min="2858" max="2858" width="9" style="178"/>
    <col min="2859" max="2859" width="9" style="178"/>
    <col min="2860" max="2860" width="9" style="178"/>
    <col min="2861" max="2861" width="9" style="178"/>
    <col min="2862" max="2862" width="9" style="178"/>
    <col min="2863" max="2863" width="9" style="178"/>
    <col min="2864" max="2864" width="9" style="178"/>
    <col min="2865" max="2865" width="9" style="178"/>
    <col min="2866" max="2866" width="9" style="178"/>
    <col min="2867" max="2867" width="9" style="178"/>
    <col min="2868" max="2868" width="9" style="178"/>
    <col min="2869" max="2869" width="9" style="178"/>
    <col min="2870" max="2870" width="9" style="178"/>
    <col min="2871" max="2871" width="9" style="178"/>
    <col min="2872" max="2872" width="9" style="178"/>
    <col min="2873" max="2873" width="9" style="178"/>
    <col min="2874" max="2874" width="9" style="178"/>
    <col min="2875" max="2875" width="9" style="178"/>
    <col min="2876" max="2876" width="9" style="178"/>
    <col min="2877" max="2877" width="9" style="178"/>
    <col min="2878" max="2878" width="9" style="178"/>
    <col min="2879" max="2879" width="9" style="178"/>
    <col min="2880" max="2880" width="9" style="178"/>
    <col min="2881" max="2881" width="9" style="178"/>
    <col min="2882" max="2882" width="9" style="178"/>
    <col min="2883" max="2883" width="9" style="178"/>
    <col min="2884" max="2884" width="9" style="178"/>
    <col min="2885" max="2885" width="9" style="178"/>
    <col min="2886" max="2886" width="9" style="178"/>
    <col min="2887" max="2887" width="9" style="178"/>
    <col min="2888" max="2888" width="9" style="178"/>
    <col min="2889" max="2889" width="9" style="178"/>
    <col min="2890" max="2890" width="9" style="178"/>
    <col min="2891" max="2891" width="9" style="178"/>
    <col min="2892" max="2892" width="9" style="178"/>
    <col min="2893" max="2893" width="9" style="178"/>
    <col min="2894" max="2894" width="9" style="178"/>
    <col min="2895" max="2895" width="9" style="178"/>
    <col min="2896" max="2896" width="9" style="178"/>
    <col min="2897" max="2897" width="9" style="178"/>
    <col min="2898" max="2898" width="9" style="178"/>
    <col min="2899" max="2899" width="9" style="178"/>
    <col min="2900" max="2900" width="9" style="178"/>
    <col min="2901" max="2901" width="9" style="178"/>
    <col min="2902" max="2902" width="9" style="178"/>
    <col min="2903" max="2903" width="9" style="178"/>
    <col min="2904" max="2904" width="9" style="178"/>
    <col min="2905" max="2905" width="9" style="178"/>
    <col min="2906" max="2906" width="9" style="178"/>
    <col min="2907" max="2907" width="9" style="178"/>
    <col min="2908" max="2908" width="9" style="178"/>
    <col min="2909" max="2909" width="9" style="178"/>
    <col min="2910" max="2910" width="9" style="178"/>
    <col min="2911" max="2911" width="9" style="178"/>
    <col min="2912" max="2912" width="9" style="178"/>
    <col min="2913" max="2913" width="9" style="178"/>
    <col min="2914" max="2914" width="9" style="178"/>
    <col min="2915" max="2915" width="9" style="178"/>
    <col min="2916" max="2916" width="9" style="178"/>
    <col min="2917" max="2917" width="9" style="178"/>
    <col min="2918" max="2918" width="9" style="178"/>
    <col min="2919" max="2919" width="9" style="178"/>
    <col min="2920" max="2920" width="9" style="178"/>
    <col min="2921" max="2921" width="9" style="178"/>
    <col min="2922" max="2922" width="9" style="178"/>
    <col min="2923" max="2923" width="9" style="178"/>
    <col min="2924" max="2924" width="9" style="178"/>
    <col min="2925" max="2925" width="9" style="178"/>
    <col min="2926" max="2926" width="9" style="178"/>
    <col min="2927" max="2927" width="9" style="178"/>
    <col min="2928" max="2928" width="9" style="178"/>
    <col min="2929" max="2929" width="9" style="178"/>
    <col min="2930" max="2930" width="9" style="178"/>
    <col min="2931" max="2931" width="9" style="178"/>
    <col min="2932" max="2932" width="9" style="178"/>
    <col min="2933" max="2933" width="9" style="178"/>
    <col min="2934" max="2934" width="9" style="178"/>
    <col min="2935" max="2935" width="9" style="178"/>
    <col min="2936" max="2936" width="9" style="178"/>
    <col min="2937" max="2937" width="9" style="178"/>
    <col min="2938" max="2938" width="9" style="178"/>
    <col min="2939" max="2939" width="9" style="178"/>
    <col min="2940" max="2940" width="9" style="178"/>
    <col min="2941" max="2941" width="9" style="178"/>
    <col min="2942" max="2942" width="9" style="178"/>
    <col min="2943" max="2943" width="9" style="178"/>
    <col min="2944" max="2944" width="9" style="178"/>
    <col min="2945" max="2945" width="9" style="178"/>
    <col min="2946" max="2946" width="9" style="178"/>
    <col min="2947" max="2947" width="9" style="178"/>
    <col min="2948" max="2948" width="9" style="178"/>
    <col min="2949" max="2949" width="9" style="178"/>
    <col min="2950" max="2950" width="9" style="178"/>
    <col min="2951" max="2951" width="9" style="178"/>
    <col min="2952" max="2952" width="9" style="178"/>
    <col min="2953" max="2953" width="9" style="178"/>
    <col min="2954" max="2954" width="9" style="178"/>
    <col min="2955" max="2955" width="9" style="178"/>
    <col min="2956" max="2956" width="9" style="178"/>
    <col min="2957" max="2957" width="9" style="178"/>
    <col min="2958" max="2958" width="9" style="178"/>
    <col min="2959" max="2959" width="9" style="178"/>
    <col min="2960" max="2960" width="9" style="178"/>
    <col min="2961" max="2961" width="9" style="178"/>
    <col min="2962" max="2962" width="9" style="178"/>
    <col min="2963" max="2963" width="9" style="178"/>
    <col min="2964" max="2964" width="9" style="178"/>
    <col min="2965" max="2965" width="9" style="178"/>
    <col min="2966" max="2966" width="9" style="178"/>
    <col min="2967" max="2967" width="9" style="178"/>
    <col min="2968" max="2968" width="9" style="178"/>
    <col min="2969" max="2969" width="9" style="178"/>
    <col min="2970" max="2970" width="9" style="178"/>
    <col min="2971" max="2971" width="9" style="178"/>
    <col min="2972" max="2972" width="9" style="178"/>
    <col min="2973" max="2973" width="9" style="178"/>
    <col min="2974" max="2974" width="9" style="178"/>
    <col min="2975" max="2975" width="9" style="178"/>
    <col min="2976" max="2976" width="9" style="178"/>
    <col min="2977" max="2977" width="9" style="178"/>
    <col min="2978" max="2978" width="9" style="178"/>
    <col min="2979" max="2979" width="9" style="178"/>
    <col min="2980" max="2980" width="9" style="178"/>
    <col min="2981" max="2981" width="9" style="178"/>
    <col min="2982" max="2982" width="9" style="178"/>
    <col min="2983" max="2983" width="9" style="178"/>
    <col min="2984" max="2984" width="9" style="178"/>
    <col min="2985" max="2985" width="9" style="178"/>
    <col min="2986" max="2986" width="9" style="178"/>
    <col min="2987" max="2987" width="9" style="178"/>
    <col min="2988" max="2988" width="9" style="178"/>
    <col min="2989" max="2989" width="9" style="178"/>
    <col min="2990" max="2990" width="9" style="178"/>
    <col min="2991" max="2991" width="9" style="178"/>
    <col min="2992" max="2992" width="9" style="178"/>
    <col min="2993" max="2993" width="9" style="178"/>
    <col min="2994" max="2994" width="9" style="178"/>
    <col min="2995" max="2995" width="9" style="178"/>
    <col min="2996" max="2996" width="9" style="178"/>
    <col min="2997" max="2997" width="9" style="178"/>
    <col min="2998" max="2998" width="9" style="178"/>
    <col min="2999" max="2999" width="9" style="178"/>
    <col min="3000" max="3000" width="9" style="178"/>
    <col min="3001" max="3001" width="9" style="178"/>
    <col min="3002" max="3002" width="9" style="178"/>
    <col min="3003" max="3003" width="9" style="178"/>
    <col min="3004" max="3004" width="9" style="178"/>
    <col min="3005" max="3005" width="9" style="178"/>
    <col min="3006" max="3006" width="9" style="178"/>
    <col min="3007" max="3007" width="9" style="178"/>
    <col min="3008" max="3008" width="9" style="178"/>
    <col min="3009" max="3009" width="9" style="178"/>
    <col min="3010" max="3010" width="9" style="178"/>
    <col min="3011" max="3011" width="9" style="178"/>
    <col min="3012" max="3012" width="9" style="178"/>
    <col min="3013" max="3013" width="9" style="178"/>
    <col min="3014" max="3014" width="9" style="178"/>
    <col min="3015" max="3015" width="9" style="178"/>
    <col min="3016" max="3016" width="9" style="178"/>
    <col min="3017" max="3017" width="9" style="178"/>
    <col min="3018" max="3018" width="9" style="178"/>
    <col min="3019" max="3019" width="9" style="178"/>
    <col min="3020" max="3020" width="9" style="178"/>
    <col min="3021" max="3021" width="9" style="178"/>
    <col min="3022" max="3022" width="9" style="178"/>
    <col min="3023" max="3023" width="9" style="178"/>
    <col min="3024" max="3024" width="9" style="178"/>
    <col min="3025" max="3025" width="9" style="178"/>
    <col min="3026" max="3026" width="9" style="178"/>
    <col min="3027" max="3027" width="9" style="178"/>
    <col min="3028" max="3028" width="9" style="178"/>
    <col min="3029" max="3029" width="9" style="178"/>
    <col min="3030" max="3030" width="9" style="178"/>
    <col min="3031" max="3031" width="9" style="178"/>
    <col min="3032" max="3032" width="9" style="178"/>
    <col min="3033" max="3033" width="9" style="178"/>
    <col min="3034" max="3034" width="9" style="178"/>
    <col min="3035" max="3035" width="9" style="178"/>
    <col min="3036" max="3036" width="9" style="178"/>
    <col min="3037" max="3037" width="9" style="178"/>
    <col min="3038" max="3038" width="9" style="178"/>
    <col min="3039" max="3039" width="9" style="178"/>
    <col min="3040" max="3040" width="9" style="178"/>
    <col min="3041" max="3041" width="9" style="178"/>
    <col min="3042" max="3042" width="9" style="178"/>
    <col min="3043" max="3043" width="9" style="178"/>
    <col min="3044" max="3044" width="9" style="178"/>
    <col min="3045" max="3045" width="9" style="178"/>
    <col min="3046" max="3046" width="9" style="178"/>
    <col min="3047" max="3047" width="9" style="178"/>
    <col min="3048" max="3048" width="9" style="178"/>
    <col min="3049" max="3049" width="9" style="178"/>
    <col min="3050" max="3050" width="9" style="178"/>
    <col min="3051" max="3051" width="9" style="178"/>
    <col min="3052" max="3052" width="9" style="178"/>
    <col min="3053" max="3053" width="9" style="178"/>
    <col min="3054" max="3054" width="9" style="178"/>
    <col min="3055" max="3055" width="9" style="178"/>
    <col min="3056" max="3056" width="9" style="178"/>
    <col min="3057" max="3057" width="9" style="178"/>
    <col min="3058" max="3058" width="9" style="178"/>
    <col min="3059" max="3059" width="9" style="178"/>
    <col min="3060" max="3060" width="9" style="178"/>
    <col min="3061" max="3061" width="9" style="178"/>
    <col min="3062" max="3062" width="9" style="178"/>
    <col min="3063" max="3063" width="9" style="178"/>
    <col min="3064" max="3064" width="9" style="178"/>
    <col min="3065" max="3065" width="9" style="178"/>
    <col min="3066" max="3066" width="9" style="178"/>
    <col min="3067" max="3067" width="9" style="178"/>
    <col min="3068" max="3068" width="9" style="178"/>
    <col min="3069" max="3069" width="9" style="178"/>
    <col min="3070" max="3070" width="9" style="178"/>
    <col min="3071" max="3071" width="9" style="178"/>
    <col min="3072" max="3072" width="9" style="178"/>
    <col min="3073" max="3073" width="9" style="178"/>
    <col min="3074" max="3074" width="9" style="178"/>
    <col min="3075" max="3075" width="9" style="178"/>
    <col min="3076" max="3076" width="9" style="178"/>
    <col min="3077" max="3077" width="9" style="178"/>
    <col min="3078" max="3078" width="9" style="178"/>
    <col min="3079" max="3079" width="9" style="178"/>
    <col min="3080" max="3080" width="9" style="178"/>
    <col min="3081" max="3081" width="9" style="178"/>
    <col min="3082" max="3082" width="9" style="178"/>
    <col min="3083" max="3083" width="9" style="178"/>
    <col min="3084" max="3084" width="9" style="178"/>
    <col min="3085" max="3085" width="9" style="178"/>
    <col min="3086" max="3086" width="9" style="178"/>
    <col min="3087" max="3087" width="9" style="178"/>
    <col min="3088" max="3088" width="9" style="178"/>
    <col min="3089" max="3089" width="9" style="178"/>
    <col min="3090" max="3090" width="9" style="178"/>
    <col min="3091" max="3091" width="9" style="178"/>
    <col min="3092" max="3092" width="9" style="178"/>
    <col min="3093" max="3093" width="9" style="178"/>
    <col min="3094" max="3094" width="9" style="178"/>
    <col min="3095" max="3095" width="9" style="178"/>
    <col min="3096" max="3096" width="9" style="178"/>
    <col min="3097" max="3097" width="9" style="178"/>
    <col min="3098" max="3098" width="9" style="178"/>
    <col min="3099" max="3099" width="9" style="178"/>
    <col min="3100" max="3100" width="9" style="178"/>
    <col min="3101" max="3101" width="9" style="178"/>
    <col min="3102" max="3102" width="9" style="178"/>
    <col min="3103" max="3103" width="9" style="178"/>
    <col min="3104" max="3104" width="9" style="178"/>
    <col min="3105" max="3105" width="9" style="178"/>
    <col min="3106" max="3106" width="9" style="178"/>
    <col min="3107" max="3107" width="9" style="178"/>
    <col min="3108" max="3108" width="9" style="178"/>
    <col min="3109" max="3109" width="9" style="178"/>
    <col min="3110" max="3110" width="9" style="178"/>
    <col min="3111" max="3111" width="9" style="178"/>
    <col min="3112" max="3112" width="9" style="178"/>
    <col min="3113" max="3113" width="9" style="178"/>
    <col min="3114" max="3114" width="9" style="178"/>
    <col min="3115" max="3115" width="9" style="178"/>
    <col min="3116" max="3116" width="9" style="178"/>
    <col min="3117" max="3117" width="9" style="178"/>
    <col min="3118" max="3118" width="9" style="178"/>
    <col min="3119" max="3119" width="9" style="178"/>
    <col min="3120" max="3120" width="9" style="178"/>
    <col min="3121" max="3121" width="9" style="178"/>
    <col min="3122" max="3122" width="9" style="178"/>
    <col min="3123" max="3123" width="9" style="178"/>
    <col min="3124" max="3124" width="9" style="178"/>
    <col min="3125" max="3125" width="9" style="178"/>
    <col min="3126" max="3126" width="9" style="178"/>
    <col min="3127" max="3127" width="9" style="178"/>
    <col min="3128" max="3128" width="9" style="178"/>
    <col min="3129" max="3129" width="9" style="178"/>
    <col min="3130" max="3130" width="9" style="178"/>
    <col min="3131" max="3131" width="9" style="178"/>
    <col min="3132" max="3132" width="9" style="178"/>
    <col min="3133" max="3133" width="9" style="178"/>
    <col min="3134" max="3134" width="9" style="178"/>
    <col min="3135" max="3135" width="9" style="178"/>
    <col min="3136" max="3136" width="9" style="178"/>
    <col min="3137" max="3137" width="9" style="178"/>
    <col min="3138" max="3138" width="9" style="178"/>
    <col min="3139" max="3139" width="9" style="178"/>
    <col min="3140" max="3140" width="9" style="178"/>
    <col min="3141" max="3141" width="9" style="178"/>
    <col min="3142" max="3142" width="9" style="178"/>
    <col min="3143" max="3143" width="9" style="178"/>
    <col min="3144" max="3144" width="9" style="178"/>
    <col min="3145" max="3145" width="9" style="178"/>
    <col min="3146" max="3146" width="9" style="178"/>
    <col min="3147" max="3147" width="9" style="178"/>
    <col min="3148" max="3148" width="9" style="178"/>
    <col min="3149" max="3149" width="9" style="178"/>
    <col min="3150" max="3150" width="9" style="178"/>
    <col min="3151" max="3151" width="9" style="178"/>
    <col min="3152" max="3152" width="9" style="178"/>
    <col min="3153" max="3153" width="9" style="178"/>
    <col min="3154" max="3154" width="9" style="178"/>
    <col min="3155" max="3155" width="9" style="178"/>
    <col min="3156" max="3156" width="9" style="178"/>
    <col min="3157" max="3157" width="9" style="178"/>
    <col min="3158" max="3158" width="9" style="178"/>
    <col min="3159" max="3159" width="9" style="178"/>
    <col min="3160" max="3160" width="9" style="178"/>
    <col min="3161" max="3161" width="9" style="178"/>
    <col min="3162" max="3162" width="9" style="178"/>
    <col min="3163" max="3163" width="9" style="178"/>
    <col min="3164" max="3164" width="9" style="178"/>
    <col min="3165" max="3165" width="9" style="178"/>
    <col min="3166" max="3166" width="9" style="178"/>
    <col min="3167" max="3167" width="9" style="178"/>
    <col min="3168" max="3168" width="9" style="178"/>
    <col min="3169" max="3169" width="9" style="178"/>
    <col min="3170" max="3170" width="9" style="178"/>
    <col min="3171" max="3171" width="9" style="178"/>
    <col min="3172" max="3172" width="9" style="178"/>
    <col min="3173" max="3173" width="9" style="178"/>
    <col min="3174" max="3174" width="9" style="178"/>
    <col min="3175" max="3175" width="9" style="178"/>
    <col min="3176" max="3176" width="9" style="178"/>
    <col min="3177" max="3177" width="9" style="178"/>
    <col min="3178" max="3178" width="9" style="178"/>
    <col min="3179" max="3179" width="9" style="178"/>
    <col min="3180" max="3180" width="9" style="178"/>
    <col min="3181" max="3181" width="9" style="178"/>
    <col min="3182" max="3182" width="9" style="178"/>
    <col min="3183" max="3183" width="9" style="178"/>
    <col min="3184" max="3184" width="9" style="178"/>
    <col min="3185" max="3185" width="9" style="178"/>
    <col min="3186" max="3186" width="9" style="178"/>
    <col min="3187" max="3187" width="9" style="178"/>
    <col min="3188" max="3188" width="9" style="178"/>
    <col min="3189" max="3189" width="9" style="178"/>
    <col min="3190" max="3190" width="9" style="178"/>
    <col min="3191" max="3191" width="9" style="178"/>
    <col min="3192" max="3192" width="9" style="178"/>
    <col min="3193" max="3193" width="9" style="178"/>
    <col min="3194" max="3194" width="9" style="178"/>
    <col min="3195" max="3195" width="9" style="178"/>
    <col min="3196" max="3196" width="9" style="178"/>
    <col min="3197" max="3197" width="9" style="178"/>
    <col min="3198" max="3198" width="9" style="178"/>
    <col min="3199" max="3199" width="9" style="178"/>
    <col min="3200" max="3200" width="9" style="178"/>
    <col min="3201" max="3201" width="9" style="178"/>
    <col min="3202" max="3202" width="9" style="178"/>
    <col min="3203" max="3203" width="9" style="178"/>
    <col min="3204" max="3204" width="9" style="178"/>
    <col min="3205" max="3205" width="9" style="178"/>
    <col min="3206" max="3206" width="9" style="178"/>
    <col min="3207" max="3207" width="9" style="178"/>
    <col min="3208" max="3208" width="9" style="178"/>
    <col min="3209" max="3209" width="9" style="178"/>
    <col min="3210" max="3210" width="9" style="178"/>
    <col min="3211" max="3211" width="9" style="178"/>
    <col min="3212" max="3212" width="9" style="178"/>
    <col min="3213" max="3213" width="9" style="178"/>
    <col min="3214" max="3214" width="9" style="178"/>
    <col min="3215" max="3215" width="9" style="178"/>
    <col min="3216" max="3216" width="9" style="178"/>
    <col min="3217" max="3217" width="9" style="178"/>
    <col min="3218" max="3218" width="9" style="178"/>
    <col min="3219" max="3219" width="9" style="178"/>
    <col min="3220" max="3220" width="9" style="178"/>
    <col min="3221" max="3221" width="9" style="178"/>
    <col min="3222" max="3222" width="9" style="178"/>
    <col min="3223" max="3223" width="9" style="178"/>
    <col min="3224" max="3224" width="9" style="178"/>
    <col min="3225" max="3225" width="9" style="178"/>
    <col min="3226" max="3226" width="9" style="178"/>
    <col min="3227" max="3227" width="9" style="178"/>
    <col min="3228" max="3228" width="9" style="178"/>
    <col min="3229" max="3229" width="9" style="178"/>
    <col min="3230" max="3230" width="9" style="178"/>
    <col min="3231" max="3231" width="9" style="178"/>
    <col min="3232" max="3232" width="9" style="178"/>
    <col min="3233" max="3233" width="9" style="178"/>
    <col min="3234" max="3234" width="9" style="178"/>
    <col min="3235" max="3235" width="9" style="178"/>
    <col min="3236" max="3236" width="9" style="178"/>
    <col min="3237" max="3237" width="9" style="178"/>
    <col min="3238" max="3238" width="9" style="178"/>
    <col min="3239" max="3239" width="9" style="178"/>
    <col min="3240" max="3240" width="9" style="178"/>
    <col min="3241" max="3241" width="9" style="178"/>
    <col min="3242" max="3242" width="9" style="178"/>
    <col min="3243" max="3243" width="9" style="178"/>
    <col min="3244" max="3244" width="9" style="178"/>
    <col min="3245" max="3245" width="9" style="178"/>
    <col min="3246" max="3246" width="9" style="178"/>
    <col min="3247" max="3247" width="9" style="178"/>
    <col min="3248" max="3248" width="9" style="178"/>
    <col min="3249" max="3249" width="9" style="178"/>
    <col min="3250" max="3250" width="9" style="178"/>
    <col min="3251" max="3251" width="9" style="178"/>
    <col min="3252" max="3252" width="9" style="178"/>
    <col min="3253" max="3253" width="9" style="178"/>
    <col min="3254" max="3254" width="9" style="178"/>
    <col min="3255" max="3255" width="9" style="178"/>
    <col min="3256" max="3256" width="9" style="178"/>
    <col min="3257" max="3257" width="9" style="178"/>
    <col min="3258" max="3258" width="9" style="178"/>
    <col min="3259" max="3259" width="9" style="178"/>
    <col min="3260" max="3260" width="9" style="178"/>
    <col min="3261" max="3261" width="9" style="178"/>
    <col min="3262" max="3262" width="9" style="178"/>
    <col min="3263" max="3263" width="9" style="178"/>
    <col min="3264" max="3264" width="9" style="178"/>
    <col min="3265" max="3265" width="9" style="178"/>
    <col min="3266" max="3266" width="9" style="178"/>
    <col min="3267" max="3267" width="9" style="178"/>
    <col min="3268" max="3268" width="9" style="178"/>
    <col min="3269" max="3269" width="9" style="178"/>
    <col min="3270" max="3270" width="9" style="178"/>
    <col min="3271" max="3271" width="9" style="178"/>
    <col min="3272" max="3272" width="9" style="178"/>
    <col min="3273" max="3273" width="9" style="178"/>
    <col min="3274" max="3274" width="9" style="178"/>
    <col min="3275" max="3275" width="9" style="178"/>
    <col min="3276" max="3276" width="9" style="178"/>
    <col min="3277" max="3277" width="9" style="178"/>
    <col min="3278" max="3278" width="9" style="178"/>
    <col min="3279" max="3279" width="9" style="178"/>
    <col min="3280" max="3280" width="9" style="178"/>
    <col min="3281" max="3281" width="9" style="178"/>
    <col min="3282" max="3282" width="9" style="178"/>
    <col min="3283" max="3283" width="9" style="178"/>
    <col min="3284" max="3284" width="9" style="178"/>
    <col min="3285" max="3285" width="9" style="178"/>
    <col min="3286" max="3286" width="9" style="178"/>
    <col min="3287" max="3287" width="9" style="178"/>
    <col min="3288" max="3288" width="9" style="178"/>
    <col min="3289" max="3289" width="9" style="178"/>
    <col min="3290" max="3290" width="9" style="178"/>
    <col min="3291" max="3291" width="9" style="178"/>
    <col min="3292" max="3292" width="9" style="178"/>
    <col min="3293" max="3293" width="9" style="178"/>
    <col min="3294" max="3294" width="9" style="178"/>
    <col min="3295" max="3295" width="9" style="178"/>
    <col min="3296" max="3296" width="9" style="178"/>
    <col min="3297" max="3297" width="9" style="178"/>
    <col min="3298" max="3298" width="9" style="178"/>
    <col min="3299" max="3299" width="9" style="178"/>
    <col min="3300" max="3300" width="9" style="178"/>
    <col min="3301" max="3301" width="9" style="178"/>
    <col min="3302" max="3302" width="9" style="178"/>
    <col min="3303" max="3303" width="9" style="178"/>
    <col min="3304" max="3304" width="9" style="178"/>
    <col min="3305" max="3305" width="9" style="178"/>
    <col min="3306" max="3306" width="9" style="178"/>
    <col min="3307" max="3307" width="9" style="178"/>
    <col min="3308" max="3308" width="9" style="178"/>
    <col min="3309" max="3309" width="9" style="178"/>
    <col min="3310" max="3310" width="9" style="178"/>
    <col min="3311" max="3311" width="9" style="178"/>
    <col min="3312" max="3312" width="9" style="178"/>
    <col min="3313" max="3313" width="9" style="178"/>
    <col min="3314" max="3314" width="9" style="178"/>
    <col min="3315" max="3315" width="9" style="178"/>
    <col min="3316" max="3316" width="9" style="178"/>
    <col min="3317" max="3317" width="9" style="178"/>
    <col min="3318" max="3318" width="9" style="178"/>
    <col min="3319" max="3319" width="9" style="178"/>
    <col min="3320" max="3320" width="9" style="178"/>
    <col min="3321" max="3321" width="9" style="178"/>
    <col min="3322" max="3322" width="9" style="178"/>
    <col min="3323" max="3323" width="9" style="178"/>
    <col min="3324" max="3324" width="9" style="178"/>
    <col min="3325" max="3325" width="9" style="178"/>
    <col min="3326" max="3326" width="9" style="178"/>
    <col min="3327" max="3327" width="9" style="178"/>
    <col min="3328" max="3328" width="9" style="178"/>
    <col min="3329" max="3329" width="9" style="178"/>
    <col min="3330" max="3330" width="9" style="178"/>
    <col min="3331" max="3331" width="9" style="178"/>
    <col min="3332" max="3332" width="9" style="178"/>
    <col min="3333" max="3333" width="9" style="178"/>
    <col min="3334" max="3334" width="9" style="178"/>
    <col min="3335" max="3335" width="9" style="178"/>
    <col min="3336" max="3336" width="9" style="178"/>
    <col min="3337" max="3337" width="9" style="178"/>
    <col min="3338" max="3338" width="9" style="178"/>
    <col min="3339" max="3339" width="9" style="178"/>
    <col min="3340" max="3340" width="9" style="178"/>
    <col min="3341" max="3341" width="9" style="178"/>
    <col min="3342" max="3342" width="9" style="178"/>
    <col min="3343" max="3343" width="9" style="178"/>
    <col min="3344" max="3344" width="9" style="178"/>
    <col min="3345" max="3345" width="9" style="178"/>
    <col min="3346" max="3346" width="9" style="178"/>
    <col min="3347" max="3347" width="9" style="178"/>
    <col min="3348" max="3348" width="9" style="178"/>
    <col min="3349" max="3349" width="9" style="178"/>
    <col min="3350" max="3350" width="9" style="178"/>
    <col min="3351" max="3351" width="9" style="178"/>
    <col min="3352" max="3352" width="9" style="178"/>
    <col min="3353" max="3353" width="9" style="178"/>
    <col min="3354" max="3354" width="9" style="178"/>
    <col min="3355" max="3355" width="9" style="178"/>
    <col min="3356" max="3356" width="9" style="178"/>
    <col min="3357" max="3357" width="9" style="178"/>
    <col min="3358" max="3358" width="9" style="178"/>
    <col min="3359" max="3359" width="9" style="178"/>
    <col min="3360" max="3360" width="9" style="178"/>
    <col min="3361" max="3361" width="9" style="178"/>
    <col min="3362" max="3362" width="9" style="178"/>
    <col min="3363" max="3363" width="9" style="178"/>
    <col min="3364" max="3364" width="9" style="178"/>
    <col min="3365" max="3365" width="9" style="178"/>
    <col min="3366" max="3366" width="9" style="178"/>
    <col min="3367" max="3367" width="9" style="178"/>
    <col min="3368" max="3368" width="9" style="178"/>
    <col min="3369" max="3369" width="9" style="178"/>
    <col min="3370" max="3370" width="9" style="178"/>
    <col min="3371" max="3371" width="9" style="178"/>
    <col min="3372" max="3372" width="9" style="178"/>
    <col min="3373" max="3373" width="9" style="178"/>
    <col min="3374" max="3374" width="9" style="178"/>
    <col min="3375" max="3375" width="9" style="178"/>
    <col min="3376" max="3376" width="9" style="178"/>
    <col min="3377" max="3377" width="9" style="178"/>
    <col min="3378" max="3378" width="9" style="178"/>
    <col min="3379" max="3379" width="9" style="178"/>
    <col min="3380" max="3380" width="9" style="178"/>
    <col min="3381" max="3381" width="9" style="178"/>
    <col min="3382" max="3382" width="9" style="178"/>
    <col min="3383" max="3383" width="9" style="178"/>
    <col min="3384" max="3384" width="9" style="178"/>
    <col min="3385" max="3385" width="9" style="178"/>
    <col min="3386" max="3386" width="9" style="178"/>
    <col min="3387" max="3387" width="9" style="178"/>
    <col min="3388" max="3388" width="9" style="178"/>
    <col min="3389" max="3389" width="9" style="178"/>
    <col min="3390" max="3390" width="9" style="178"/>
    <col min="3391" max="3391" width="9" style="178"/>
    <col min="3392" max="3392" width="9" style="178"/>
    <col min="3393" max="3393" width="9" style="178"/>
    <col min="3394" max="3394" width="9" style="178"/>
    <col min="3395" max="3395" width="9" style="178"/>
    <col min="3396" max="3396" width="9" style="178"/>
    <col min="3397" max="3397" width="9" style="178"/>
    <col min="3398" max="3398" width="9" style="178"/>
    <col min="3399" max="3399" width="9" style="178"/>
    <col min="3400" max="3400" width="9" style="178"/>
    <col min="3401" max="3401" width="9" style="178"/>
    <col min="3402" max="3402" width="9" style="178"/>
    <col min="3403" max="3403" width="9" style="178"/>
    <col min="3404" max="3404" width="9" style="178"/>
    <col min="3405" max="3405" width="9" style="178"/>
    <col min="3406" max="3406" width="9" style="178"/>
    <col min="3407" max="3407" width="9" style="178"/>
    <col min="3408" max="3408" width="9" style="178"/>
    <col min="3409" max="3409" width="9" style="178"/>
    <col min="3410" max="3410" width="9" style="178"/>
    <col min="3411" max="3411" width="9" style="178"/>
    <col min="3412" max="3412" width="9" style="178"/>
    <col min="3413" max="3413" width="9" style="178"/>
    <col min="3414" max="3414" width="9" style="178"/>
    <col min="3415" max="3415" width="9" style="178"/>
    <col min="3416" max="3416" width="9" style="178"/>
    <col min="3417" max="3417" width="9" style="178"/>
    <col min="3418" max="3418" width="9" style="178"/>
    <col min="3419" max="3419" width="9" style="178"/>
    <col min="3420" max="3420" width="9" style="178"/>
    <col min="3421" max="3421" width="9" style="178"/>
    <col min="3422" max="3422" width="9" style="178"/>
    <col min="3423" max="3423" width="9" style="178"/>
    <col min="3424" max="3424" width="9" style="178"/>
    <col min="3425" max="3425" width="9" style="178"/>
    <col min="3426" max="3426" width="9" style="178"/>
    <col min="3427" max="3427" width="9" style="178"/>
    <col min="3428" max="3428" width="9" style="178"/>
    <col min="3429" max="3429" width="9" style="178"/>
    <col min="3430" max="3430" width="9" style="178"/>
    <col min="3431" max="3431" width="9" style="178"/>
    <col min="3432" max="3432" width="9" style="178"/>
    <col min="3433" max="3433" width="9" style="178"/>
    <col min="3434" max="3434" width="9" style="178"/>
    <col min="3435" max="3435" width="9" style="178"/>
    <col min="3436" max="3436" width="9" style="178"/>
    <col min="3437" max="3437" width="9" style="178"/>
    <col min="3438" max="3438" width="9" style="178"/>
    <col min="3439" max="3439" width="9" style="178"/>
    <col min="3440" max="3440" width="9" style="178"/>
    <col min="3441" max="3441" width="9" style="178"/>
    <col min="3442" max="3442" width="9" style="178"/>
    <col min="3443" max="3443" width="9" style="178"/>
    <col min="3444" max="3444" width="9" style="178"/>
    <col min="3445" max="3445" width="9" style="178"/>
    <col min="3446" max="3446" width="9" style="178"/>
    <col min="3447" max="3447" width="9" style="178"/>
    <col min="3448" max="3448" width="9" style="178"/>
    <col min="3449" max="3449" width="9" style="178"/>
    <col min="3450" max="3450" width="9" style="178"/>
    <col min="3451" max="3451" width="9" style="178"/>
    <col min="3452" max="3452" width="9" style="178"/>
    <col min="3453" max="3453" width="9" style="178"/>
    <col min="3454" max="3454" width="9" style="178"/>
    <col min="3455" max="3455" width="9" style="178"/>
    <col min="3456" max="3456" width="9" style="178"/>
    <col min="3457" max="3457" width="9" style="178"/>
    <col min="3458" max="3458" width="9" style="178"/>
    <col min="3459" max="3459" width="9" style="178"/>
    <col min="3460" max="3460" width="9" style="178"/>
    <col min="3461" max="3461" width="9" style="178"/>
    <col min="3462" max="3462" width="9" style="178"/>
    <col min="3463" max="3463" width="9" style="178"/>
    <col min="3464" max="3464" width="9" style="178"/>
    <col min="3465" max="3465" width="9" style="178"/>
    <col min="3466" max="3466" width="9" style="178"/>
    <col min="3467" max="3467" width="9" style="178"/>
    <col min="3468" max="3468" width="9" style="178"/>
    <col min="3469" max="3469" width="9" style="178"/>
    <col min="3470" max="3470" width="9" style="178"/>
    <col min="3471" max="3471" width="9" style="178"/>
    <col min="3472" max="3472" width="9" style="178"/>
    <col min="3473" max="3473" width="9" style="178"/>
    <col min="3474" max="3474" width="9" style="178"/>
    <col min="3475" max="3475" width="9" style="178"/>
    <col min="3476" max="3476" width="9" style="178"/>
    <col min="3477" max="3477" width="9" style="178"/>
    <col min="3478" max="3478" width="9" style="178"/>
    <col min="3479" max="3479" width="9" style="178"/>
    <col min="3480" max="3480" width="9" style="178"/>
    <col min="3481" max="3481" width="9" style="178"/>
    <col min="3482" max="3482" width="9" style="178"/>
    <col min="3483" max="3483" width="9" style="178"/>
    <col min="3484" max="3484" width="9" style="178"/>
    <col min="3485" max="3485" width="9" style="178"/>
    <col min="3486" max="3486" width="9" style="178"/>
    <col min="3487" max="3487" width="9" style="178"/>
    <col min="3488" max="3488" width="9" style="178"/>
    <col min="3489" max="3489" width="9" style="178"/>
    <col min="3490" max="3490" width="9" style="178"/>
    <col min="3491" max="3491" width="9" style="178"/>
    <col min="3492" max="3492" width="9" style="178"/>
    <col min="3493" max="3493" width="9" style="178"/>
    <col min="3494" max="3494" width="9" style="178"/>
    <col min="3495" max="3495" width="9" style="178"/>
    <col min="3496" max="3496" width="9" style="178"/>
    <col min="3497" max="3497" width="9" style="178"/>
    <col min="3498" max="3498" width="9" style="178"/>
    <col min="3499" max="3499" width="9" style="178"/>
    <col min="3500" max="3500" width="9" style="178"/>
    <col min="3501" max="3501" width="9" style="178"/>
    <col min="3502" max="3502" width="9" style="178"/>
    <col min="3503" max="3503" width="9" style="178"/>
    <col min="3504" max="3504" width="9" style="178"/>
    <col min="3505" max="3505" width="9" style="178"/>
    <col min="3506" max="3506" width="9" style="178"/>
    <col min="3507" max="3507" width="9" style="178"/>
    <col min="3508" max="3508" width="9" style="178"/>
    <col min="3509" max="3509" width="9" style="178"/>
    <col min="3510" max="3510" width="9" style="178"/>
    <col min="3511" max="3511" width="9" style="178"/>
    <col min="3512" max="3512" width="9" style="178"/>
    <col min="3513" max="3513" width="9" style="178"/>
    <col min="3514" max="3514" width="9" style="178"/>
    <col min="3515" max="3515" width="9" style="178"/>
    <col min="3516" max="3516" width="9" style="178"/>
    <col min="3517" max="3517" width="9" style="178"/>
    <col min="3518" max="3518" width="9" style="178"/>
    <col min="3519" max="3519" width="9" style="178"/>
    <col min="3520" max="3520" width="9" style="178"/>
    <col min="3521" max="3521" width="9" style="178"/>
    <col min="3522" max="3522" width="9" style="178"/>
    <col min="3523" max="3523" width="9" style="178"/>
    <col min="3524" max="3524" width="9" style="178"/>
    <col min="3525" max="3525" width="9" style="178"/>
    <col min="3526" max="3526" width="9" style="178"/>
    <col min="3527" max="3527" width="9" style="178"/>
    <col min="3528" max="3528" width="9" style="178"/>
    <col min="3529" max="3529" width="9" style="178"/>
    <col min="3530" max="3530" width="9" style="178"/>
    <col min="3531" max="3531" width="9" style="178"/>
    <col min="3532" max="3532" width="9" style="178"/>
    <col min="3533" max="3533" width="9" style="178"/>
    <col min="3534" max="3534" width="9" style="178"/>
    <col min="3535" max="3535" width="9" style="178"/>
    <col min="3536" max="3536" width="9" style="178"/>
    <col min="3537" max="3537" width="9" style="178"/>
    <col min="3538" max="3538" width="9" style="178"/>
    <col min="3539" max="3539" width="9" style="178"/>
    <col min="3540" max="3540" width="9" style="178"/>
    <col min="3541" max="3541" width="9" style="178"/>
    <col min="3542" max="3542" width="9" style="178"/>
    <col min="3543" max="3543" width="9" style="178"/>
    <col min="3544" max="3544" width="9" style="178"/>
    <col min="3545" max="3545" width="9" style="178"/>
    <col min="3546" max="3546" width="9" style="178"/>
    <col min="3547" max="3547" width="9" style="178"/>
    <col min="3548" max="3548" width="9" style="178"/>
    <col min="3549" max="3549" width="9" style="178"/>
    <col min="3550" max="3550" width="9" style="178"/>
    <col min="3551" max="3551" width="9" style="178"/>
    <col min="3552" max="3552" width="9" style="178"/>
    <col min="3553" max="3553" width="9" style="178"/>
    <col min="3554" max="3554" width="9" style="178"/>
    <col min="3555" max="3555" width="9" style="178"/>
    <col min="3556" max="3556" width="9" style="178"/>
    <col min="3557" max="3557" width="9" style="178"/>
    <col min="3558" max="3558" width="9" style="178"/>
    <col min="3559" max="3559" width="9" style="178"/>
    <col min="3560" max="3560" width="9" style="178"/>
    <col min="3561" max="3561" width="9" style="178"/>
    <col min="3562" max="3562" width="9" style="178"/>
    <col min="3563" max="3563" width="9" style="178"/>
    <col min="3564" max="3564" width="9" style="178"/>
    <col min="3565" max="3565" width="9" style="178"/>
    <col min="3566" max="3566" width="9" style="178"/>
    <col min="3567" max="3567" width="9" style="178"/>
    <col min="3568" max="3568" width="9" style="178"/>
    <col min="3569" max="3569" width="9" style="178"/>
    <col min="3570" max="3570" width="9" style="178"/>
    <col min="3571" max="3571" width="9" style="178"/>
    <col min="3572" max="3572" width="9" style="178"/>
    <col min="3573" max="3573" width="9" style="178"/>
    <col min="3574" max="3574" width="9" style="178"/>
    <col min="3575" max="3575" width="9" style="178"/>
    <col min="3576" max="3576" width="9" style="178"/>
    <col min="3577" max="3577" width="9" style="178"/>
    <col min="3578" max="3578" width="9" style="178"/>
    <col min="3579" max="3579" width="9" style="178"/>
    <col min="3580" max="3580" width="9" style="178"/>
    <col min="3581" max="3581" width="9" style="178"/>
    <col min="3582" max="3582" width="9" style="178"/>
    <col min="3583" max="3583" width="9" style="178"/>
    <col min="3584" max="3584" width="9" style="178"/>
    <col min="3585" max="3585" width="9" style="178"/>
    <col min="3586" max="3586" width="9" style="178"/>
    <col min="3587" max="3587" width="9" style="178"/>
    <col min="3588" max="3588" width="9" style="178"/>
    <col min="3589" max="3589" width="9" style="178"/>
    <col min="3590" max="3590" width="9" style="178"/>
    <col min="3591" max="3591" width="9" style="178"/>
    <col min="3592" max="3592" width="9" style="178"/>
    <col min="3593" max="3593" width="9" style="178"/>
    <col min="3594" max="3594" width="9" style="178"/>
    <col min="3595" max="3595" width="9" style="178"/>
    <col min="3596" max="3596" width="9" style="178"/>
    <col min="3597" max="3597" width="9" style="178"/>
    <col min="3598" max="3598" width="9" style="178"/>
    <col min="3599" max="3599" width="9" style="178"/>
    <col min="3600" max="3600" width="9" style="178"/>
    <col min="3601" max="3601" width="9" style="178"/>
    <col min="3602" max="3602" width="9" style="178"/>
    <col min="3603" max="3603" width="9" style="178"/>
    <col min="3604" max="3604" width="9" style="178"/>
    <col min="3605" max="3605" width="9" style="178"/>
    <col min="3606" max="3606" width="9" style="178"/>
    <col min="3607" max="3607" width="9" style="178"/>
    <col min="3608" max="3608" width="9" style="178"/>
    <col min="3609" max="3609" width="9" style="178"/>
    <col min="3610" max="3610" width="9" style="178"/>
    <col min="3611" max="3611" width="9" style="178"/>
    <col min="3612" max="3612" width="9" style="178"/>
    <col min="3613" max="3613" width="9" style="178"/>
    <col min="3614" max="3614" width="9" style="178"/>
    <col min="3615" max="3615" width="9" style="178"/>
    <col min="3616" max="3616" width="9" style="178"/>
    <col min="3617" max="3617" width="9" style="178"/>
    <col min="3618" max="3618" width="9" style="178"/>
    <col min="3619" max="3619" width="9" style="178"/>
    <col min="3620" max="3620" width="9" style="178"/>
    <col min="3621" max="3621" width="9" style="178"/>
    <col min="3622" max="3622" width="9" style="178"/>
    <col min="3623" max="3623" width="9" style="178"/>
    <col min="3624" max="3624" width="9" style="178"/>
    <col min="3625" max="3625" width="9" style="178"/>
    <col min="3626" max="3626" width="9" style="178"/>
    <col min="3627" max="3627" width="9" style="178"/>
    <col min="3628" max="3628" width="9" style="178"/>
    <col min="3629" max="3629" width="9" style="178"/>
    <col min="3630" max="3630" width="9" style="178"/>
    <col min="3631" max="3631" width="9" style="178"/>
    <col min="3632" max="3632" width="9" style="178"/>
    <col min="3633" max="3633" width="9" style="178"/>
    <col min="3634" max="3634" width="9" style="178"/>
    <col min="3635" max="3635" width="9" style="178"/>
    <col min="3636" max="3636" width="9" style="178"/>
    <col min="3637" max="3637" width="9" style="178"/>
    <col min="3638" max="3638" width="9" style="178"/>
    <col min="3639" max="3639" width="9" style="178"/>
    <col min="3640" max="3640" width="9" style="178"/>
    <col min="3641" max="3641" width="9" style="178"/>
    <col min="3642" max="3642" width="9" style="178"/>
    <col min="3643" max="3643" width="9" style="178"/>
    <col min="3644" max="3644" width="9" style="178"/>
    <col min="3645" max="3645" width="9" style="178"/>
    <col min="3646" max="3646" width="9" style="178"/>
    <col min="3647" max="3647" width="9" style="178"/>
    <col min="3648" max="3648" width="9" style="178"/>
    <col min="3649" max="3649" width="9" style="178"/>
    <col min="3650" max="3650" width="9" style="178"/>
    <col min="3651" max="3651" width="9" style="178"/>
    <col min="3652" max="3652" width="9" style="178"/>
    <col min="3653" max="3653" width="9" style="178"/>
    <col min="3654" max="3654" width="9" style="178"/>
    <col min="3655" max="3655" width="9" style="178"/>
    <col min="3656" max="3656" width="9" style="178"/>
    <col min="3657" max="3657" width="9" style="178"/>
    <col min="3658" max="3658" width="9" style="178"/>
    <col min="3659" max="3659" width="9" style="178"/>
    <col min="3660" max="3660" width="9" style="178"/>
    <col min="3661" max="3661" width="9" style="178"/>
    <col min="3662" max="3662" width="9" style="178"/>
    <col min="3663" max="3663" width="9" style="178"/>
    <col min="3664" max="3664" width="9" style="178"/>
    <col min="3665" max="3665" width="9" style="178"/>
    <col min="3666" max="3666" width="9" style="178"/>
    <col min="3667" max="3667" width="9" style="178"/>
    <col min="3668" max="3668" width="9" style="178"/>
    <col min="3669" max="3669" width="9" style="178"/>
    <col min="3670" max="3670" width="9" style="178"/>
    <col min="3671" max="3671" width="9" style="178"/>
    <col min="3672" max="3672" width="9" style="178"/>
    <col min="3673" max="3673" width="9" style="178"/>
    <col min="3674" max="3674" width="9" style="178"/>
    <col min="3675" max="3675" width="9" style="178"/>
    <col min="3676" max="3676" width="9" style="178"/>
    <col min="3677" max="3677" width="9" style="178"/>
    <col min="3678" max="3678" width="9" style="178"/>
    <col min="3679" max="3679" width="9" style="178"/>
    <col min="3680" max="3680" width="9" style="178"/>
    <col min="3681" max="3681" width="9" style="178"/>
    <col min="3682" max="3682" width="9" style="178"/>
    <col min="3683" max="3683" width="9" style="178"/>
    <col min="3684" max="3684" width="9" style="178"/>
    <col min="3685" max="3685" width="9" style="178"/>
    <col min="3686" max="3686" width="9" style="178"/>
    <col min="3687" max="3687" width="9" style="178"/>
    <col min="3688" max="3688" width="9" style="178"/>
    <col min="3689" max="3689" width="9" style="178"/>
    <col min="3690" max="3690" width="9" style="178"/>
    <col min="3691" max="3691" width="9" style="178"/>
    <col min="3692" max="3692" width="9" style="178"/>
    <col min="3693" max="3693" width="9" style="178"/>
    <col min="3694" max="3694" width="9" style="178"/>
    <col min="3695" max="3695" width="9" style="178"/>
    <col min="3696" max="3696" width="9" style="178"/>
    <col min="3697" max="3697" width="9" style="178"/>
    <col min="3698" max="3698" width="9" style="178"/>
    <col min="3699" max="3699" width="9" style="178"/>
    <col min="3700" max="3700" width="9" style="178"/>
    <col min="3701" max="3701" width="9" style="178"/>
    <col min="3702" max="3702" width="9" style="178"/>
    <col min="3703" max="3703" width="9" style="178"/>
    <col min="3704" max="3704" width="9" style="178"/>
    <col min="3705" max="3705" width="9" style="178"/>
    <col min="3706" max="3706" width="9" style="178"/>
    <col min="3707" max="3707" width="9" style="178"/>
    <col min="3708" max="3708" width="9" style="178"/>
    <col min="3709" max="3709" width="9" style="178"/>
    <col min="3710" max="3710" width="9" style="178"/>
    <col min="3711" max="3711" width="9" style="178"/>
    <col min="3712" max="3712" width="9" style="178"/>
    <col min="3713" max="3713" width="9" style="178"/>
    <col min="3714" max="3714" width="9" style="178"/>
    <col min="3715" max="3715" width="9" style="178"/>
    <col min="3716" max="3716" width="9" style="178"/>
    <col min="3717" max="3717" width="9" style="178"/>
    <col min="3718" max="3718" width="9" style="178"/>
    <col min="3719" max="3719" width="9" style="178"/>
    <col min="3720" max="3720" width="9" style="178"/>
    <col min="3721" max="3721" width="9" style="178"/>
    <col min="3722" max="3722" width="9" style="178"/>
    <col min="3723" max="3723" width="9" style="178"/>
    <col min="3724" max="3724" width="9" style="178"/>
    <col min="3725" max="3725" width="9" style="178"/>
    <col min="3726" max="3726" width="9" style="178"/>
    <col min="3727" max="3727" width="9" style="178"/>
    <col min="3728" max="3728" width="9" style="178"/>
    <col min="3729" max="3729" width="9" style="178"/>
    <col min="3730" max="3730" width="9" style="178"/>
    <col min="3731" max="3731" width="9" style="178"/>
    <col min="3732" max="3732" width="9" style="178"/>
    <col min="3733" max="3733" width="9" style="178"/>
    <col min="3734" max="3734" width="9" style="178"/>
    <col min="3735" max="3735" width="9" style="178"/>
    <col min="3736" max="3736" width="9" style="178"/>
    <col min="3737" max="3737" width="9" style="178"/>
    <col min="3738" max="3738" width="9" style="178"/>
    <col min="3739" max="3739" width="9" style="178"/>
    <col min="3740" max="3740" width="9" style="178"/>
    <col min="3741" max="3741" width="9" style="178"/>
    <col min="3742" max="3742" width="9" style="178"/>
    <col min="3743" max="3743" width="9" style="178"/>
    <col min="3744" max="3744" width="9" style="178"/>
    <col min="3745" max="3745" width="9" style="178"/>
    <col min="3746" max="3746" width="9" style="178"/>
    <col min="3747" max="3747" width="9" style="178"/>
    <col min="3748" max="3748" width="9" style="178"/>
    <col min="3749" max="3749" width="9" style="178"/>
    <col min="3750" max="3750" width="9" style="178"/>
    <col min="3751" max="3751" width="9" style="178"/>
    <col min="3752" max="3752" width="9" style="178"/>
    <col min="3753" max="3753" width="9" style="178"/>
    <col min="3754" max="3754" width="9" style="178"/>
    <col min="3755" max="3755" width="9" style="178"/>
    <col min="3756" max="3756" width="9" style="178"/>
    <col min="3757" max="3757" width="9" style="178"/>
    <col min="3758" max="3758" width="9" style="178"/>
    <col min="3759" max="3759" width="9" style="178"/>
    <col min="3760" max="3760" width="9" style="178"/>
    <col min="3761" max="3761" width="9" style="178"/>
    <col min="3762" max="3762" width="9" style="178"/>
    <col min="3763" max="3763" width="9" style="178"/>
    <col min="3764" max="3764" width="9" style="178"/>
    <col min="3765" max="3765" width="9" style="178"/>
    <col min="3766" max="3766" width="9" style="178"/>
    <col min="3767" max="3767" width="9" style="178"/>
    <col min="3768" max="3768" width="9" style="178"/>
    <col min="3769" max="3769" width="9" style="178"/>
    <col min="3770" max="3770" width="9" style="178"/>
    <col min="3771" max="3771" width="9" style="178"/>
    <col min="3772" max="3772" width="9" style="178"/>
    <col min="3773" max="3773" width="9" style="178"/>
    <col min="3774" max="3774" width="9" style="178"/>
    <col min="3775" max="3775" width="9" style="178"/>
    <col min="3776" max="3776" width="9" style="178"/>
    <col min="3777" max="3777" width="9" style="178"/>
    <col min="3778" max="3778" width="9" style="178"/>
    <col min="3779" max="3779" width="9" style="178"/>
    <col min="3780" max="3780" width="9" style="178"/>
    <col min="3781" max="3781" width="9" style="178"/>
    <col min="3782" max="3782" width="9" style="178"/>
    <col min="3783" max="3783" width="9" style="178"/>
    <col min="3784" max="3784" width="9" style="178"/>
    <col min="3785" max="3785" width="9" style="178"/>
    <col min="3786" max="3786" width="9" style="178"/>
    <col min="3787" max="3787" width="9" style="178"/>
    <col min="3788" max="3788" width="9" style="178"/>
    <col min="3789" max="3789" width="9" style="178"/>
    <col min="3790" max="3790" width="9" style="178"/>
    <col min="3791" max="3791" width="9" style="178"/>
    <col min="3792" max="3792" width="9" style="178"/>
    <col min="3793" max="3793" width="9" style="178"/>
    <col min="3794" max="3794" width="9" style="178"/>
    <col min="3795" max="3795" width="9" style="178"/>
    <col min="3796" max="3796" width="9" style="178"/>
    <col min="3797" max="3797" width="9" style="178"/>
    <col min="3798" max="3798" width="9" style="178"/>
    <col min="3799" max="3799" width="9" style="178"/>
    <col min="3800" max="3800" width="9" style="178"/>
    <col min="3801" max="3801" width="9" style="178"/>
    <col min="3802" max="3802" width="9" style="178"/>
    <col min="3803" max="3803" width="9" style="178"/>
    <col min="3804" max="3804" width="9" style="178"/>
    <col min="3805" max="3805" width="9" style="178"/>
    <col min="3806" max="3806" width="9" style="178"/>
    <col min="3807" max="3807" width="9" style="178"/>
    <col min="3808" max="3808" width="9" style="178"/>
    <col min="3809" max="3809" width="9" style="178"/>
    <col min="3810" max="3810" width="9" style="178"/>
    <col min="3811" max="3811" width="9" style="178"/>
    <col min="3812" max="3812" width="9" style="178"/>
    <col min="3813" max="3813" width="9" style="178"/>
    <col min="3814" max="3814" width="9" style="178"/>
    <col min="3815" max="3815" width="9" style="178"/>
    <col min="3816" max="3816" width="9" style="178"/>
    <col min="3817" max="3817" width="9" style="178"/>
    <col min="3818" max="3818" width="9" style="178"/>
    <col min="3819" max="3819" width="9" style="178"/>
    <col min="3820" max="3820" width="9" style="178"/>
    <col min="3821" max="3821" width="9" style="178"/>
    <col min="3822" max="3822" width="9" style="178"/>
    <col min="3823" max="3823" width="9" style="178"/>
    <col min="3824" max="3824" width="9" style="178"/>
    <col min="3825" max="3825" width="9" style="178"/>
    <col min="3826" max="3826" width="9" style="178"/>
    <col min="3827" max="3827" width="9" style="178"/>
    <col min="3828" max="3828" width="9" style="178"/>
    <col min="3829" max="3829" width="9" style="178"/>
    <col min="3830" max="3830" width="9" style="178"/>
    <col min="3831" max="3831" width="9" style="178"/>
    <col min="3832" max="3832" width="9" style="178"/>
    <col min="3833" max="3833" width="9" style="178"/>
    <col min="3834" max="3834" width="9" style="178"/>
    <col min="3835" max="3835" width="9" style="178"/>
    <col min="3836" max="3836" width="9" style="178"/>
    <col min="3837" max="3837" width="9" style="178"/>
    <col min="3838" max="3838" width="9" style="178"/>
    <col min="3839" max="3839" width="9" style="178"/>
    <col min="3840" max="3840" width="9" style="178"/>
    <col min="3841" max="3841" width="9" style="178"/>
    <col min="3842" max="3842" width="9" style="178"/>
    <col min="3843" max="3843" width="9" style="178"/>
    <col min="3844" max="3844" width="9" style="178"/>
    <col min="3845" max="3845" width="9" style="178"/>
    <col min="3846" max="3846" width="9" style="178"/>
    <col min="3847" max="3847" width="9" style="178"/>
    <col min="3848" max="3848" width="9" style="178"/>
    <col min="3849" max="3849" width="9" style="178"/>
    <col min="3850" max="3850" width="9" style="178"/>
    <col min="3851" max="3851" width="9" style="178"/>
    <col min="3852" max="3852" width="9" style="178"/>
    <col min="3853" max="3853" width="9" style="178"/>
    <col min="3854" max="3854" width="9" style="178"/>
    <col min="3855" max="3855" width="9" style="178"/>
    <col min="3856" max="3856" width="9" style="178"/>
    <col min="3857" max="3857" width="9" style="178"/>
    <col min="3858" max="3858" width="9" style="178"/>
    <col min="3859" max="3859" width="9" style="178"/>
    <col min="3860" max="3860" width="9" style="178"/>
    <col min="3861" max="3861" width="9" style="178"/>
    <col min="3862" max="3862" width="9" style="178"/>
    <col min="3863" max="3863" width="9" style="178"/>
    <col min="3864" max="3864" width="9" style="178"/>
    <col min="3865" max="3865" width="9" style="178"/>
    <col min="3866" max="3866" width="9" style="178"/>
    <col min="3867" max="3867" width="9" style="178"/>
    <col min="3868" max="3868" width="9" style="178"/>
    <col min="3869" max="3869" width="9" style="178"/>
    <col min="3870" max="3870" width="9" style="178"/>
    <col min="3871" max="3871" width="9" style="178"/>
    <col min="3872" max="3872" width="9" style="178"/>
    <col min="3873" max="3873" width="9" style="178"/>
    <col min="3874" max="3874" width="9" style="178"/>
    <col min="3875" max="3875" width="9" style="178"/>
    <col min="3876" max="3876" width="9" style="178"/>
    <col min="3877" max="3877" width="9" style="178"/>
    <col min="3878" max="3878" width="9" style="178"/>
    <col min="3879" max="3879" width="9" style="178"/>
    <col min="3880" max="3880" width="9" style="178"/>
    <col min="3881" max="3881" width="9" style="178"/>
    <col min="3882" max="3882" width="9" style="178"/>
    <col min="3883" max="3883" width="9" style="178"/>
    <col min="3884" max="3884" width="9" style="178"/>
    <col min="3885" max="3885" width="9" style="178"/>
    <col min="3886" max="3886" width="9" style="178"/>
    <col min="3887" max="3887" width="9" style="178"/>
    <col min="3888" max="3888" width="9" style="178"/>
    <col min="3889" max="3889" width="9" style="178"/>
    <col min="3890" max="3890" width="9" style="178"/>
    <col min="3891" max="3891" width="9" style="178"/>
    <col min="3892" max="3892" width="9" style="178"/>
    <col min="3893" max="3893" width="9" style="178"/>
    <col min="3894" max="3894" width="9" style="178"/>
    <col min="3895" max="3895" width="9" style="178"/>
    <col min="3896" max="3896" width="9" style="178"/>
    <col min="3897" max="3897" width="9" style="178"/>
    <col min="3898" max="3898" width="9" style="178"/>
    <col min="3899" max="3899" width="9" style="178"/>
    <col min="3900" max="3900" width="9" style="178"/>
    <col min="3901" max="3901" width="9" style="178"/>
    <col min="3902" max="3902" width="9" style="178"/>
    <col min="3903" max="3903" width="9" style="178"/>
    <col min="3904" max="3904" width="9" style="178"/>
    <col min="3905" max="3905" width="9" style="178"/>
    <col min="3906" max="3906" width="9" style="178"/>
    <col min="3907" max="3907" width="9" style="178"/>
    <col min="3908" max="3908" width="9" style="178"/>
    <col min="3909" max="3909" width="9" style="178"/>
    <col min="3910" max="3910" width="9" style="178"/>
    <col min="3911" max="3911" width="9" style="178"/>
    <col min="3912" max="3912" width="9" style="178"/>
    <col min="3913" max="3913" width="9" style="178"/>
    <col min="3914" max="3914" width="9" style="178"/>
    <col min="3915" max="3915" width="9" style="178"/>
    <col min="3916" max="3916" width="9" style="178"/>
    <col min="3917" max="3917" width="9" style="178"/>
    <col min="3918" max="3918" width="9" style="178"/>
    <col min="3919" max="3919" width="9" style="178"/>
    <col min="3920" max="3920" width="9" style="178"/>
    <col min="3921" max="3921" width="9" style="178"/>
    <col min="3922" max="3922" width="9" style="178"/>
    <col min="3923" max="3923" width="9" style="178"/>
    <col min="3924" max="3924" width="9" style="178"/>
    <col min="3925" max="3925" width="9" style="178"/>
    <col min="3926" max="3926" width="9" style="178"/>
    <col min="3927" max="3927" width="9" style="178"/>
    <col min="3928" max="3928" width="9" style="178"/>
    <col min="3929" max="3929" width="9" style="178"/>
    <col min="3930" max="3930" width="9" style="178"/>
    <col min="3931" max="3931" width="9" style="178"/>
    <col min="3932" max="3932" width="9" style="178"/>
    <col min="3933" max="3933" width="9" style="178"/>
    <col min="3934" max="3934" width="9" style="178"/>
    <col min="3935" max="3935" width="9" style="178"/>
    <col min="3936" max="3936" width="9" style="178"/>
    <col min="3937" max="3937" width="9" style="178"/>
    <col min="3938" max="3938" width="9" style="178"/>
    <col min="3939" max="3939" width="9" style="178"/>
    <col min="3940" max="3940" width="9" style="178"/>
    <col min="3941" max="3941" width="9" style="178"/>
    <col min="3942" max="3942" width="9" style="178"/>
    <col min="3943" max="3943" width="9" style="178"/>
    <col min="3944" max="3944" width="9" style="178"/>
    <col min="3945" max="3945" width="9" style="178"/>
    <col min="3946" max="3946" width="9" style="178"/>
    <col min="3947" max="3947" width="9" style="178"/>
    <col min="3948" max="3948" width="9" style="178"/>
    <col min="3949" max="3949" width="9" style="178"/>
    <col min="3950" max="3950" width="9" style="178"/>
    <col min="3951" max="3951" width="9" style="178"/>
    <col min="3952" max="3952" width="9" style="178"/>
    <col min="3953" max="3953" width="9" style="178"/>
    <col min="3954" max="3954" width="9" style="178"/>
    <col min="3955" max="3955" width="9" style="178"/>
    <col min="3956" max="3956" width="9" style="178"/>
    <col min="3957" max="3957" width="9" style="178"/>
    <col min="3958" max="3958" width="9" style="178"/>
    <col min="3959" max="3959" width="9" style="178"/>
    <col min="3960" max="3960" width="9" style="178"/>
    <col min="3961" max="3961" width="9" style="178"/>
    <col min="3962" max="3962" width="9" style="178"/>
    <col min="3963" max="3963" width="9" style="178"/>
    <col min="3964" max="3964" width="9" style="178"/>
    <col min="3965" max="3965" width="9" style="178"/>
    <col min="3966" max="3966" width="9" style="178"/>
    <col min="3967" max="3967" width="9" style="178"/>
    <col min="3968" max="3968" width="9" style="178"/>
    <col min="3969" max="3969" width="9" style="178"/>
    <col min="3970" max="3970" width="9" style="178"/>
    <col min="3971" max="3971" width="9" style="178"/>
    <col min="3972" max="3972" width="9" style="178"/>
    <col min="3973" max="3973" width="9" style="178"/>
    <col min="3974" max="3974" width="9" style="178"/>
    <col min="3975" max="3975" width="9" style="178"/>
    <col min="3976" max="3976" width="9" style="178"/>
    <col min="3977" max="3977" width="9" style="178"/>
    <col min="3978" max="3978" width="9" style="178"/>
    <col min="3979" max="3979" width="9" style="178"/>
    <col min="3980" max="3980" width="9" style="178"/>
    <col min="3981" max="3981" width="9" style="178"/>
    <col min="3982" max="3982" width="9" style="178"/>
    <col min="3983" max="3983" width="9" style="178"/>
    <col min="3984" max="3984" width="9" style="178"/>
    <col min="3985" max="3985" width="9" style="178"/>
    <col min="3986" max="3986" width="9" style="178"/>
    <col min="3987" max="3987" width="9" style="178"/>
    <col min="3988" max="3988" width="9" style="178"/>
    <col min="3989" max="3989" width="9" style="178"/>
    <col min="3990" max="3990" width="9" style="178"/>
    <col min="3991" max="3991" width="9" style="178"/>
    <col min="3992" max="3992" width="9" style="178"/>
    <col min="3993" max="3993" width="9" style="178"/>
    <col min="3994" max="3994" width="9" style="178"/>
    <col min="3995" max="3995" width="9" style="178"/>
    <col min="3996" max="3996" width="9" style="178"/>
    <col min="3997" max="3997" width="9" style="178"/>
    <col min="3998" max="3998" width="9" style="178"/>
    <col min="3999" max="3999" width="9" style="178"/>
    <col min="4000" max="4000" width="9" style="178"/>
    <col min="4001" max="4001" width="9" style="178"/>
    <col min="4002" max="4002" width="9" style="178"/>
    <col min="4003" max="4003" width="9" style="178"/>
    <col min="4004" max="4004" width="9" style="178"/>
    <col min="4005" max="4005" width="9" style="178"/>
    <col min="4006" max="4006" width="9" style="178"/>
    <col min="4007" max="4007" width="9" style="178"/>
    <col min="4008" max="4008" width="9" style="178"/>
    <col min="4009" max="4009" width="9" style="178"/>
    <col min="4010" max="4010" width="9" style="178"/>
    <col min="4011" max="4011" width="9" style="178"/>
    <col min="4012" max="4012" width="9" style="178"/>
    <col min="4013" max="4013" width="9" style="178"/>
    <col min="4014" max="4014" width="9" style="178"/>
    <col min="4015" max="4015" width="9" style="178"/>
    <col min="4016" max="4016" width="9" style="178"/>
    <col min="4017" max="4017" width="9" style="178"/>
    <col min="4018" max="4018" width="9" style="178"/>
    <col min="4019" max="4019" width="9" style="178"/>
    <col min="4020" max="4020" width="9" style="178"/>
    <col min="4021" max="4021" width="9" style="178"/>
    <col min="4022" max="4022" width="9" style="178"/>
    <col min="4023" max="4023" width="9" style="178"/>
    <col min="4024" max="4024" width="9" style="178"/>
    <col min="4025" max="4025" width="9" style="178"/>
    <col min="4026" max="4026" width="9" style="178"/>
    <col min="4027" max="4027" width="9" style="178"/>
    <col min="4028" max="4028" width="9" style="178"/>
    <col min="4029" max="4029" width="9" style="178"/>
    <col min="4030" max="4030" width="9" style="178"/>
    <col min="4031" max="4031" width="9" style="178"/>
    <col min="4032" max="4032" width="9" style="178"/>
    <col min="4033" max="4033" width="9" style="178"/>
    <col min="4034" max="4034" width="9" style="178"/>
    <col min="4035" max="4035" width="9" style="178"/>
    <col min="4036" max="4036" width="9" style="178"/>
    <col min="4037" max="4037" width="9" style="178"/>
    <col min="4038" max="4038" width="9" style="178"/>
    <col min="4039" max="4039" width="9" style="178"/>
    <col min="4040" max="4040" width="9" style="178"/>
    <col min="4041" max="4041" width="9" style="178"/>
    <col min="4042" max="4042" width="9" style="178"/>
    <col min="4043" max="4043" width="9" style="178"/>
    <col min="4044" max="4044" width="9" style="178"/>
    <col min="4045" max="4045" width="9" style="178"/>
    <col min="4046" max="4046" width="9" style="178"/>
    <col min="4047" max="4047" width="9" style="178"/>
    <col min="4048" max="4048" width="9" style="178"/>
    <col min="4049" max="4049" width="9" style="178"/>
    <col min="4050" max="4050" width="9" style="178"/>
    <col min="4051" max="4051" width="9" style="178"/>
    <col min="4052" max="4052" width="9" style="178"/>
    <col min="4053" max="4053" width="9" style="178"/>
    <col min="4054" max="4054" width="9" style="178"/>
    <col min="4055" max="4055" width="9" style="178"/>
    <col min="4056" max="4056" width="9" style="178"/>
    <col min="4057" max="4057" width="9" style="178"/>
    <col min="4058" max="4058" width="9" style="178"/>
    <col min="4059" max="4059" width="9" style="178"/>
    <col min="4060" max="4060" width="9" style="178"/>
    <col min="4061" max="4061" width="9" style="178"/>
    <col min="4062" max="4062" width="9" style="178"/>
    <col min="4063" max="4063" width="9" style="178"/>
    <col min="4064" max="4064" width="9" style="178"/>
    <col min="4065" max="4065" width="9" style="178"/>
    <col min="4066" max="4066" width="9" style="178"/>
    <col min="4067" max="4067" width="9" style="178"/>
    <col min="4068" max="4068" width="9" style="178"/>
    <col min="4069" max="4069" width="9" style="178"/>
    <col min="4070" max="4070" width="9" style="178"/>
    <col min="4071" max="4071" width="9" style="178"/>
    <col min="4072" max="4072" width="9" style="178"/>
    <col min="4073" max="4073" width="9" style="178"/>
    <col min="4074" max="4074" width="9" style="178"/>
    <col min="4075" max="4075" width="9" style="178"/>
    <col min="4076" max="4076" width="9" style="178"/>
    <col min="4077" max="4077" width="9" style="178"/>
    <col min="4078" max="4078" width="9" style="178"/>
    <col min="4079" max="4079" width="9" style="178"/>
    <col min="4080" max="4080" width="9" style="178"/>
    <col min="4081" max="4081" width="9" style="178"/>
    <col min="4082" max="4082" width="9" style="178"/>
    <col min="4083" max="4083" width="9" style="178"/>
    <col min="4084" max="4084" width="9" style="178"/>
    <col min="4085" max="4085" width="9" style="178"/>
    <col min="4086" max="4086" width="9" style="178"/>
    <col min="4087" max="4087" width="9" style="178"/>
    <col min="4088" max="4088" width="9" style="178"/>
    <col min="4089" max="4089" width="9" style="178"/>
    <col min="4090" max="4090" width="9" style="178"/>
    <col min="4091" max="4091" width="9" style="178"/>
    <col min="4092" max="4092" width="9" style="178"/>
    <col min="4093" max="4093" width="9" style="178"/>
    <col min="4094" max="4094" width="9" style="178"/>
    <col min="4095" max="4095" width="9" style="178"/>
    <col min="4096" max="4096" width="9" style="178"/>
    <col min="4097" max="4097" width="9" style="178"/>
    <col min="4098" max="4098" width="9" style="178"/>
    <col min="4099" max="4099" width="9" style="178"/>
    <col min="4100" max="4100" width="9" style="178"/>
    <col min="4101" max="4101" width="9" style="178"/>
    <col min="4102" max="4102" width="9" style="178"/>
    <col min="4103" max="4103" width="9" style="178"/>
    <col min="4104" max="4104" width="9" style="178"/>
    <col min="4105" max="4105" width="9" style="178"/>
    <col min="4106" max="4106" width="9" style="178"/>
    <col min="4107" max="4107" width="9" style="178"/>
    <col min="4108" max="4108" width="9" style="178"/>
    <col min="4109" max="4109" width="9" style="178"/>
    <col min="4110" max="4110" width="9" style="178"/>
    <col min="4111" max="4111" width="9" style="178"/>
    <col min="4112" max="4112" width="9" style="178"/>
    <col min="4113" max="4113" width="9" style="178"/>
    <col min="4114" max="4114" width="9" style="178"/>
    <col min="4115" max="4115" width="9" style="178"/>
    <col min="4116" max="4116" width="9" style="178"/>
    <col min="4117" max="4117" width="9" style="178"/>
    <col min="4118" max="4118" width="9" style="178"/>
    <col min="4119" max="4119" width="9" style="178"/>
    <col min="4120" max="4120" width="9" style="178"/>
    <col min="4121" max="4121" width="9" style="178"/>
    <col min="4122" max="4122" width="9" style="178"/>
    <col min="4123" max="4123" width="9" style="178"/>
    <col min="4124" max="4124" width="9" style="178"/>
    <col min="4125" max="4125" width="9" style="178"/>
    <col min="4126" max="4126" width="9" style="178"/>
    <col min="4127" max="4127" width="9" style="178"/>
    <col min="4128" max="4128" width="9" style="178"/>
    <col min="4129" max="4129" width="9" style="178"/>
    <col min="4130" max="4130" width="9" style="178"/>
    <col min="4131" max="4131" width="9" style="178"/>
    <col min="4132" max="4132" width="9" style="178"/>
    <col min="4133" max="4133" width="9" style="178"/>
    <col min="4134" max="4134" width="9" style="178"/>
    <col min="4135" max="4135" width="9" style="178"/>
    <col min="4136" max="4136" width="9" style="178"/>
    <col min="4137" max="4137" width="9" style="178"/>
    <col min="4138" max="4138" width="9" style="178"/>
    <col min="4139" max="4139" width="9" style="178"/>
    <col min="4140" max="4140" width="9" style="178"/>
    <col min="4141" max="4141" width="9" style="178"/>
    <col min="4142" max="4142" width="9" style="178"/>
    <col min="4143" max="4143" width="9" style="178"/>
    <col min="4144" max="4144" width="9" style="178"/>
    <col min="4145" max="4145" width="9" style="178"/>
    <col min="4146" max="4146" width="9" style="178"/>
    <col min="4147" max="4147" width="9" style="178"/>
    <col min="4148" max="4148" width="9" style="178"/>
    <col min="4149" max="4149" width="9" style="178"/>
    <col min="4150" max="4150" width="9" style="178"/>
    <col min="4151" max="4151" width="9" style="178"/>
    <col min="4152" max="4152" width="9" style="178"/>
    <col min="4153" max="4153" width="9" style="178"/>
    <col min="4154" max="4154" width="9" style="178"/>
    <col min="4155" max="4155" width="9" style="178"/>
    <col min="4156" max="4156" width="9" style="178"/>
    <col min="4157" max="4157" width="9" style="178"/>
    <col min="4158" max="4158" width="9" style="178"/>
    <col min="4159" max="4159" width="9" style="178"/>
    <col min="4160" max="4160" width="9" style="178"/>
    <col min="4161" max="4161" width="9" style="178"/>
    <col min="4162" max="4162" width="9" style="178"/>
    <col min="4163" max="4163" width="9" style="178"/>
    <col min="4164" max="4164" width="9" style="178"/>
    <col min="4165" max="4165" width="9" style="178"/>
    <col min="4166" max="4166" width="9" style="178"/>
    <col min="4167" max="4167" width="9" style="178"/>
    <col min="4168" max="4168" width="9" style="178"/>
    <col min="4169" max="4169" width="9" style="178"/>
    <col min="4170" max="4170" width="9" style="178"/>
    <col min="4171" max="4171" width="9" style="178"/>
    <col min="4172" max="4172" width="9" style="178"/>
    <col min="4173" max="4173" width="9" style="178"/>
    <col min="4174" max="4174" width="9" style="178"/>
    <col min="4175" max="4175" width="9" style="178"/>
    <col min="4176" max="4176" width="9" style="178"/>
    <col min="4177" max="4177" width="9" style="178"/>
    <col min="4178" max="4178" width="9" style="178"/>
    <col min="4179" max="4179" width="9" style="178"/>
    <col min="4180" max="4180" width="9" style="178"/>
    <col min="4181" max="4181" width="9" style="178"/>
    <col min="4182" max="4182" width="9" style="178"/>
    <col min="4183" max="4183" width="9" style="178"/>
    <col min="4184" max="4184" width="9" style="178"/>
    <col min="4185" max="4185" width="9" style="178"/>
    <col min="4186" max="4186" width="9" style="178"/>
    <col min="4187" max="4187" width="9" style="178"/>
    <col min="4188" max="4188" width="9" style="178"/>
    <col min="4189" max="4189" width="9" style="178"/>
    <col min="4190" max="4190" width="9" style="178"/>
    <col min="4191" max="4191" width="9" style="178"/>
    <col min="4192" max="4192" width="9" style="178"/>
    <col min="4193" max="4193" width="9" style="178"/>
    <col min="4194" max="4194" width="9" style="178"/>
    <col min="4195" max="4195" width="9" style="178"/>
    <col min="4196" max="4196" width="9" style="178"/>
    <col min="4197" max="4197" width="9" style="178"/>
    <col min="4198" max="4198" width="9" style="178"/>
    <col min="4199" max="4199" width="9" style="178"/>
    <col min="4200" max="4200" width="9" style="178"/>
    <col min="4201" max="4201" width="9" style="178"/>
    <col min="4202" max="4202" width="9" style="178"/>
    <col min="4203" max="4203" width="9" style="178"/>
    <col min="4204" max="4204" width="9" style="178"/>
    <col min="4205" max="4205" width="9" style="178"/>
    <col min="4206" max="4206" width="9" style="178"/>
    <col min="4207" max="4207" width="9" style="178"/>
    <col min="4208" max="4208" width="9" style="178"/>
    <col min="4209" max="4209" width="9" style="178"/>
    <col min="4210" max="4210" width="9" style="178"/>
    <col min="4211" max="4211" width="9" style="178"/>
    <col min="4212" max="4212" width="9" style="178"/>
    <col min="4213" max="4213" width="9" style="178"/>
    <col min="4214" max="4214" width="9" style="178"/>
    <col min="4215" max="4215" width="9" style="178"/>
    <col min="4216" max="4216" width="9" style="178"/>
    <col min="4217" max="4217" width="9" style="178"/>
    <col min="4218" max="4218" width="9" style="178"/>
    <col min="4219" max="4219" width="9" style="178"/>
    <col min="4220" max="4220" width="9" style="178"/>
    <col min="4221" max="4221" width="9" style="178"/>
    <col min="4222" max="4222" width="9" style="178"/>
    <col min="4223" max="4223" width="9" style="178"/>
    <col min="4224" max="4224" width="9" style="178"/>
    <col min="4225" max="4225" width="9" style="178"/>
    <col min="4226" max="4226" width="9" style="178"/>
    <col min="4227" max="4227" width="9" style="178"/>
    <col min="4228" max="4228" width="9" style="178"/>
    <col min="4229" max="4229" width="9" style="178"/>
    <col min="4230" max="4230" width="9" style="178"/>
    <col min="4231" max="4231" width="9" style="178"/>
    <col min="4232" max="4232" width="9" style="178"/>
    <col min="4233" max="4233" width="9" style="178"/>
    <col min="4234" max="4234" width="9" style="178"/>
    <col min="4235" max="4235" width="9" style="178"/>
    <col min="4236" max="4236" width="9" style="178"/>
    <col min="4237" max="4237" width="9" style="178"/>
    <col min="4238" max="4238" width="9" style="178"/>
    <col min="4239" max="4239" width="9" style="178"/>
    <col min="4240" max="4240" width="9" style="178"/>
    <col min="4241" max="4241" width="9" style="178"/>
    <col min="4242" max="4242" width="9" style="178"/>
    <col min="4243" max="4243" width="9" style="178"/>
    <col min="4244" max="4244" width="9" style="178"/>
    <col min="4245" max="4245" width="9" style="178"/>
    <col min="4246" max="4246" width="9" style="178"/>
    <col min="4247" max="4247" width="9" style="178"/>
    <col min="4248" max="4248" width="9" style="178"/>
    <col min="4249" max="4249" width="9" style="178"/>
    <col min="4250" max="4250" width="9" style="178"/>
    <col min="4251" max="4251" width="9" style="178"/>
    <col min="4252" max="4252" width="9" style="178"/>
    <col min="4253" max="4253" width="9" style="178"/>
    <col min="4254" max="4254" width="9" style="178"/>
    <col min="4255" max="4255" width="9" style="178"/>
    <col min="4256" max="4256" width="9" style="178"/>
    <col min="4257" max="4257" width="9" style="178"/>
    <col min="4258" max="4258" width="9" style="178"/>
    <col min="4259" max="4259" width="9" style="178"/>
    <col min="4260" max="4260" width="9" style="178"/>
    <col min="4261" max="4261" width="9" style="178"/>
    <col min="4262" max="4262" width="9" style="178"/>
    <col min="4263" max="4263" width="9" style="178"/>
    <col min="4264" max="4264" width="9" style="178"/>
    <col min="4265" max="4265" width="9" style="178"/>
    <col min="4266" max="4266" width="9" style="178"/>
    <col min="4267" max="4267" width="9" style="178"/>
    <col min="4268" max="4268" width="9" style="178"/>
    <col min="4269" max="4269" width="9" style="178"/>
    <col min="4270" max="4270" width="9" style="178"/>
    <col min="4271" max="4271" width="9" style="178"/>
    <col min="4272" max="4272" width="9" style="178"/>
    <col min="4273" max="4273" width="9" style="178"/>
    <col min="4274" max="4274" width="9" style="178"/>
    <col min="4275" max="4275" width="9" style="178"/>
    <col min="4276" max="4276" width="9" style="178"/>
    <col min="4277" max="4277" width="9" style="178"/>
    <col min="4278" max="4278" width="9" style="178"/>
    <col min="4279" max="4279" width="9" style="178"/>
    <col min="4280" max="4280" width="9" style="178"/>
    <col min="4281" max="4281" width="9" style="178"/>
    <col min="4282" max="4282" width="9" style="178"/>
    <col min="4283" max="4283" width="9" style="178"/>
    <col min="4284" max="4284" width="9" style="178"/>
    <col min="4285" max="4285" width="9" style="178"/>
    <col min="4286" max="4286" width="9" style="178"/>
    <col min="4287" max="4287" width="9" style="178"/>
    <col min="4288" max="4288" width="9" style="178"/>
    <col min="4289" max="4289" width="9" style="178"/>
    <col min="4290" max="4290" width="9" style="178"/>
    <col min="4291" max="4291" width="9" style="178"/>
    <col min="4292" max="4292" width="9" style="178"/>
    <col min="4293" max="4293" width="9" style="178"/>
    <col min="4294" max="4294" width="9" style="178"/>
    <col min="4295" max="4295" width="9" style="178"/>
    <col min="4296" max="4296" width="9" style="178"/>
    <col min="4297" max="4297" width="9" style="178"/>
    <col min="4298" max="4298" width="9" style="178"/>
    <col min="4299" max="4299" width="9" style="178"/>
    <col min="4300" max="4300" width="9" style="178"/>
    <col min="4301" max="4301" width="9" style="178"/>
    <col min="4302" max="4302" width="9" style="178"/>
    <col min="4303" max="4303" width="9" style="178"/>
    <col min="4304" max="4304" width="9" style="178"/>
    <col min="4305" max="4305" width="9" style="178"/>
    <col min="4306" max="4306" width="9" style="178"/>
    <col min="4307" max="4307" width="9" style="178"/>
    <col min="4308" max="4308" width="9" style="178"/>
    <col min="4309" max="4309" width="9" style="178"/>
    <col min="4310" max="4310" width="9" style="178"/>
    <col min="4311" max="4311" width="9" style="178"/>
    <col min="4312" max="4312" width="9" style="178"/>
    <col min="4313" max="4313" width="9" style="178"/>
    <col min="4314" max="4314" width="9" style="178"/>
    <col min="4315" max="4315" width="9" style="178"/>
    <col min="4316" max="4316" width="9" style="178"/>
    <col min="4317" max="4317" width="9" style="178"/>
    <col min="4318" max="4318" width="9" style="178"/>
    <col min="4319" max="4319" width="9" style="178"/>
    <col min="4320" max="4320" width="9" style="178"/>
    <col min="4321" max="4321" width="9" style="178"/>
    <col min="4322" max="4322" width="9" style="178"/>
    <col min="4323" max="4323" width="9" style="178"/>
    <col min="4324" max="4324" width="9" style="178"/>
    <col min="4325" max="4325" width="9" style="178"/>
    <col min="4326" max="4326" width="9" style="178"/>
    <col min="4327" max="4327" width="9" style="178"/>
    <col min="4328" max="4328" width="9" style="178"/>
    <col min="4329" max="4329" width="9" style="178"/>
    <col min="4330" max="4330" width="9" style="178"/>
    <col min="4331" max="4331" width="9" style="178"/>
    <col min="4332" max="4332" width="9" style="178"/>
    <col min="4333" max="4333" width="9" style="178"/>
    <col min="4334" max="4334" width="9" style="178"/>
    <col min="4335" max="4335" width="9" style="178"/>
    <col min="4336" max="4336" width="9" style="178"/>
    <col min="4337" max="4337" width="9" style="178"/>
    <col min="4338" max="4338" width="9" style="178"/>
    <col min="4339" max="4339" width="9" style="178"/>
    <col min="4340" max="4340" width="9" style="178"/>
    <col min="4341" max="4341" width="9" style="178"/>
    <col min="4342" max="4342" width="9" style="178"/>
    <col min="4343" max="4343" width="9" style="178"/>
    <col min="4344" max="4344" width="9" style="178"/>
    <col min="4345" max="4345" width="9" style="178"/>
    <col min="4346" max="4346" width="9" style="178"/>
    <col min="4347" max="4347" width="9" style="178"/>
    <col min="4348" max="4348" width="9" style="178"/>
    <col min="4349" max="4349" width="9" style="178"/>
    <col min="4350" max="4350" width="9" style="178"/>
    <col min="4351" max="4351" width="9" style="178"/>
    <col min="4352" max="4352" width="9" style="178"/>
    <col min="4353" max="4353" width="9" style="178"/>
    <col min="4354" max="4354" width="9" style="178"/>
    <col min="4355" max="4355" width="9" style="178"/>
    <col min="4356" max="4356" width="9" style="178"/>
    <col min="4357" max="4357" width="9" style="178"/>
    <col min="4358" max="4358" width="9" style="178"/>
    <col min="4359" max="4359" width="9" style="178"/>
    <col min="4360" max="4360" width="9" style="178"/>
    <col min="4361" max="4361" width="9" style="178"/>
    <col min="4362" max="4362" width="9" style="178"/>
    <col min="4363" max="4363" width="9" style="178"/>
    <col min="4364" max="4364" width="9" style="178"/>
    <col min="4365" max="4365" width="9" style="178"/>
    <col min="4366" max="4366" width="9" style="178"/>
    <col min="4367" max="4367" width="9" style="178"/>
    <col min="4368" max="4368" width="9" style="178"/>
    <col min="4369" max="4369" width="9" style="178"/>
    <col min="4370" max="4370" width="9" style="178"/>
    <col min="4371" max="4371" width="9" style="178"/>
    <col min="4372" max="4372" width="9" style="178"/>
    <col min="4373" max="4373" width="9" style="178"/>
    <col min="4374" max="4374" width="9" style="178"/>
    <col min="4375" max="4375" width="9" style="178"/>
    <col min="4376" max="4376" width="9" style="178"/>
    <col min="4377" max="4377" width="9" style="178"/>
    <col min="4378" max="4378" width="9" style="178"/>
    <col min="4379" max="4379" width="9" style="178"/>
    <col min="4380" max="4380" width="9" style="178"/>
    <col min="4381" max="4381" width="9" style="178"/>
    <col min="4382" max="4382" width="9" style="178"/>
    <col min="4383" max="4383" width="9" style="178"/>
    <col min="4384" max="4384" width="9" style="178"/>
    <col min="4385" max="4385" width="9" style="178"/>
    <col min="4386" max="4386" width="9" style="178"/>
    <col min="4387" max="4387" width="9" style="178"/>
    <col min="4388" max="4388" width="9" style="178"/>
    <col min="4389" max="4389" width="9" style="178"/>
    <col min="4390" max="4390" width="9" style="178"/>
    <col min="4391" max="4391" width="9" style="178"/>
    <col min="4392" max="4392" width="9" style="178"/>
    <col min="4393" max="4393" width="9" style="178"/>
    <col min="4394" max="4394" width="9" style="178"/>
    <col min="4395" max="4395" width="9" style="178"/>
    <col min="4396" max="4396" width="9" style="178"/>
    <col min="4397" max="4397" width="9" style="178"/>
    <col min="4398" max="4398" width="9" style="178"/>
    <col min="4399" max="4399" width="9" style="178"/>
    <col min="4400" max="4400" width="9" style="178"/>
    <col min="4401" max="4401" width="9" style="178"/>
    <col min="4402" max="4402" width="9" style="178"/>
    <col min="4403" max="4403" width="9" style="178"/>
    <col min="4404" max="4404" width="9" style="178"/>
    <col min="4405" max="4405" width="9" style="178"/>
    <col min="4406" max="4406" width="9" style="178"/>
    <col min="4407" max="4407" width="9" style="178"/>
    <col min="4408" max="4408" width="9" style="178"/>
    <col min="4409" max="4409" width="9" style="178"/>
    <col min="4410" max="4410" width="9" style="178"/>
    <col min="4411" max="4411" width="9" style="178"/>
    <col min="4412" max="4412" width="9" style="178"/>
    <col min="4413" max="4413" width="9" style="178"/>
    <col min="4414" max="4414" width="9" style="178"/>
    <col min="4415" max="4415" width="9" style="178"/>
    <col min="4416" max="4416" width="9" style="178"/>
    <col min="4417" max="4417" width="9" style="178"/>
    <col min="4418" max="4418" width="9" style="178"/>
    <col min="4419" max="4419" width="9" style="178"/>
    <col min="4420" max="4420" width="9" style="178"/>
    <col min="4421" max="4421" width="9" style="178"/>
    <col min="4422" max="4422" width="9" style="178"/>
    <col min="4423" max="4423" width="9" style="178"/>
    <col min="4424" max="4424" width="9" style="178"/>
    <col min="4425" max="4425" width="9" style="178"/>
    <col min="4426" max="4426" width="9" style="178"/>
    <col min="4427" max="4427" width="9" style="178"/>
    <col min="4428" max="4428" width="9" style="178"/>
    <col min="4429" max="4429" width="9" style="178"/>
    <col min="4430" max="4430" width="9" style="178"/>
    <col min="4431" max="4431" width="9" style="178"/>
    <col min="4432" max="4432" width="9" style="178"/>
    <col min="4433" max="4433" width="9" style="178"/>
    <col min="4434" max="4434" width="9" style="178"/>
    <col min="4435" max="4435" width="9" style="178"/>
    <col min="4436" max="4436" width="9" style="178"/>
    <col min="4437" max="4437" width="9" style="178"/>
    <col min="4438" max="4438" width="9" style="178"/>
    <col min="4439" max="4439" width="9" style="178"/>
    <col min="4440" max="4440" width="9" style="178"/>
    <col min="4441" max="4441" width="9" style="178"/>
    <col min="4442" max="4442" width="9" style="178"/>
    <col min="4443" max="4443" width="9" style="178"/>
    <col min="4444" max="4444" width="9" style="178"/>
    <col min="4445" max="4445" width="9" style="178"/>
    <col min="4446" max="4446" width="9" style="178"/>
    <col min="4447" max="4447" width="9" style="178"/>
    <col min="4448" max="4448" width="9" style="178"/>
    <col min="4449" max="4449" width="9" style="178"/>
    <col min="4450" max="4450" width="9" style="178"/>
    <col min="4451" max="4451" width="9" style="178"/>
    <col min="4452" max="4452" width="9" style="178"/>
    <col min="4453" max="4453" width="9" style="178"/>
    <col min="4454" max="4454" width="9" style="178"/>
    <col min="4455" max="4455" width="9" style="178"/>
    <col min="4456" max="4456" width="9" style="178"/>
    <col min="4457" max="4457" width="9" style="178"/>
    <col min="4458" max="4458" width="9" style="178"/>
    <col min="4459" max="4459" width="9" style="178"/>
    <col min="4460" max="4460" width="9" style="178"/>
    <col min="4461" max="4461" width="9" style="178"/>
    <col min="4462" max="4462" width="9" style="178"/>
    <col min="4463" max="4463" width="9" style="178"/>
    <col min="4464" max="4464" width="9" style="178"/>
    <col min="4465" max="4465" width="9" style="178"/>
    <col min="4466" max="4466" width="9" style="178"/>
    <col min="4467" max="4467" width="9" style="178"/>
    <col min="4468" max="4468" width="9" style="178"/>
    <col min="4469" max="4469" width="9" style="178"/>
    <col min="4470" max="4470" width="9" style="178"/>
    <col min="4471" max="4471" width="9" style="178"/>
    <col min="4472" max="4472" width="9" style="178"/>
    <col min="4473" max="4473" width="9" style="178"/>
    <col min="4474" max="4474" width="9" style="178"/>
    <col min="4475" max="4475" width="9" style="178"/>
    <col min="4476" max="4476" width="9" style="178"/>
    <col min="4477" max="4477" width="9" style="178"/>
    <col min="4478" max="4478" width="9" style="178"/>
    <col min="4479" max="4479" width="9" style="178"/>
    <col min="4480" max="4480" width="9" style="178"/>
    <col min="4481" max="4481" width="9" style="178"/>
    <col min="4482" max="4482" width="9" style="178"/>
    <col min="4483" max="4483" width="9" style="178"/>
    <col min="4484" max="4484" width="9" style="178"/>
    <col min="4485" max="4485" width="9" style="178"/>
    <col min="4486" max="4486" width="9" style="178"/>
    <col min="4487" max="4487" width="9" style="178"/>
    <col min="4488" max="4488" width="9" style="178"/>
    <col min="4489" max="4489" width="9" style="178"/>
    <col min="4490" max="4490" width="9" style="178"/>
    <col min="4491" max="4491" width="9" style="178"/>
    <col min="4492" max="4492" width="9" style="178"/>
    <col min="4493" max="4493" width="9" style="178"/>
    <col min="4494" max="4494" width="9" style="178"/>
    <col min="4495" max="4495" width="9" style="178"/>
    <col min="4496" max="4496" width="9" style="178"/>
    <col min="4497" max="4497" width="9" style="178"/>
    <col min="4498" max="4498" width="9" style="178"/>
    <col min="4499" max="4499" width="9" style="178"/>
    <col min="4500" max="4500" width="9" style="178"/>
    <col min="4501" max="4501" width="9" style="178"/>
    <col min="4502" max="4502" width="9" style="178"/>
    <col min="4503" max="4503" width="9" style="178"/>
    <col min="4504" max="4504" width="9" style="178"/>
    <col min="4505" max="4505" width="9" style="178"/>
    <col min="4506" max="4506" width="9" style="178"/>
    <col min="4507" max="4507" width="9" style="178"/>
    <col min="4508" max="4508" width="9" style="178"/>
    <col min="4509" max="4509" width="9" style="178"/>
    <col min="4510" max="4510" width="9" style="178"/>
    <col min="4511" max="4511" width="9" style="178"/>
    <col min="4512" max="4512" width="9" style="178"/>
    <col min="4513" max="4513" width="9" style="178"/>
    <col min="4514" max="4514" width="9" style="178"/>
    <col min="4515" max="4515" width="9" style="178"/>
    <col min="4516" max="4516" width="9" style="178"/>
    <col min="4517" max="4517" width="9" style="178"/>
    <col min="4518" max="4518" width="9" style="178"/>
    <col min="4519" max="4519" width="9" style="178"/>
    <col min="4520" max="4520" width="9" style="178"/>
    <col min="4521" max="4521" width="9" style="178"/>
    <col min="4522" max="4522" width="9" style="178"/>
    <col min="4523" max="4523" width="9" style="178"/>
    <col min="4524" max="4524" width="9" style="178"/>
    <col min="4525" max="4525" width="9" style="178"/>
    <col min="4526" max="4526" width="9" style="178"/>
    <col min="4527" max="4527" width="9" style="178"/>
    <col min="4528" max="4528" width="9" style="178"/>
    <col min="4529" max="4529" width="9" style="178"/>
    <col min="4530" max="4530" width="9" style="178"/>
    <col min="4531" max="4531" width="9" style="178"/>
    <col min="4532" max="4532" width="9" style="178"/>
    <col min="4533" max="4533" width="9" style="178"/>
    <col min="4534" max="4534" width="9" style="178"/>
    <col min="4535" max="4535" width="9" style="178"/>
    <col min="4536" max="4536" width="9" style="178"/>
    <col min="4537" max="4537" width="9" style="178"/>
    <col min="4538" max="4538" width="9" style="178"/>
    <col min="4539" max="4539" width="9" style="178"/>
    <col min="4540" max="4540" width="9" style="178"/>
    <col min="4541" max="4541" width="9" style="178"/>
    <col min="4542" max="4542" width="9" style="178"/>
    <col min="4543" max="4543" width="9" style="178"/>
    <col min="4544" max="4544" width="9" style="178"/>
    <col min="4545" max="4545" width="9" style="178"/>
    <col min="4546" max="4546" width="9" style="178"/>
    <col min="4547" max="4547" width="9" style="178"/>
    <col min="4548" max="4548" width="9" style="178"/>
    <col min="4549" max="4549" width="9" style="178"/>
    <col min="4550" max="4550" width="9" style="178"/>
    <col min="4551" max="4551" width="9" style="178"/>
    <col min="4552" max="4552" width="9" style="178"/>
    <col min="4553" max="4553" width="9" style="178"/>
    <col min="4554" max="4554" width="9" style="178"/>
    <col min="4555" max="4555" width="9" style="178"/>
    <col min="4556" max="4556" width="9" style="178"/>
    <col min="4557" max="4557" width="9" style="178"/>
    <col min="4558" max="4558" width="9" style="178"/>
    <col min="4559" max="4559" width="9" style="178"/>
    <col min="4560" max="4560" width="9" style="178"/>
    <col min="4561" max="4561" width="9" style="178"/>
    <col min="4562" max="4562" width="9" style="178"/>
    <col min="4563" max="4563" width="9" style="178"/>
    <col min="4564" max="4564" width="9" style="178"/>
    <col min="4565" max="4565" width="9" style="178"/>
    <col min="4566" max="4566" width="9" style="178"/>
    <col min="4567" max="4567" width="9" style="178"/>
    <col min="4568" max="4568" width="9" style="178"/>
    <col min="4569" max="4569" width="9" style="178"/>
    <col min="4570" max="4570" width="9" style="178"/>
    <col min="4571" max="4571" width="9" style="178"/>
    <col min="4572" max="4572" width="9" style="178"/>
    <col min="4573" max="4573" width="9" style="178"/>
    <col min="4574" max="4574" width="9" style="178"/>
    <col min="4575" max="4575" width="9" style="178"/>
    <col min="4576" max="4576" width="9" style="178"/>
    <col min="4577" max="4577" width="9" style="178"/>
    <col min="4578" max="4578" width="9" style="178"/>
    <col min="4579" max="4579" width="9" style="178"/>
    <col min="4580" max="4580" width="9" style="178"/>
    <col min="4581" max="4581" width="9" style="178"/>
    <col min="4582" max="4582" width="9" style="178"/>
    <col min="4583" max="4583" width="9" style="178"/>
    <col min="4584" max="4584" width="9" style="178"/>
    <col min="4585" max="4585" width="9" style="178"/>
    <col min="4586" max="4586" width="9" style="178"/>
    <col min="4587" max="4587" width="9" style="178"/>
    <col min="4588" max="4588" width="9" style="178"/>
    <col min="4589" max="4589" width="9" style="178"/>
    <col min="4590" max="4590" width="9" style="178"/>
    <col min="4591" max="4591" width="9" style="178"/>
    <col min="4592" max="4592" width="9" style="178"/>
    <col min="4593" max="4593" width="9" style="178"/>
    <col min="4594" max="4594" width="9" style="178"/>
    <col min="4595" max="4595" width="9" style="178"/>
    <col min="4596" max="4596" width="9" style="178"/>
    <col min="4597" max="4597" width="9" style="178"/>
    <col min="4598" max="4598" width="9" style="178"/>
    <col min="4599" max="4599" width="9" style="178"/>
    <col min="4600" max="4600" width="9" style="178"/>
    <col min="4601" max="4601" width="9" style="178"/>
    <col min="4602" max="4602" width="9" style="178"/>
    <col min="4603" max="4603" width="9" style="178"/>
    <col min="4604" max="4604" width="9" style="178"/>
    <col min="4605" max="4605" width="9" style="178"/>
    <col min="4606" max="4606" width="9" style="178"/>
    <col min="4607" max="4607" width="9" style="178"/>
    <col min="4608" max="4608" width="9" style="178"/>
    <col min="4609" max="4609" width="9" style="178"/>
    <col min="4610" max="4610" width="9" style="178"/>
    <col min="4611" max="4611" width="9" style="178"/>
    <col min="4612" max="4612" width="9" style="178"/>
    <col min="4613" max="4613" width="9" style="178"/>
    <col min="4614" max="4614" width="9" style="178"/>
    <col min="4615" max="4615" width="9" style="178"/>
    <col min="4616" max="4616" width="9" style="178"/>
    <col min="4617" max="4617" width="9" style="178"/>
    <col min="4618" max="4618" width="9" style="178"/>
    <col min="4619" max="4619" width="9" style="178"/>
    <col min="4620" max="4620" width="9" style="178"/>
    <col min="4621" max="4621" width="9" style="178"/>
    <col min="4622" max="4622" width="9" style="178"/>
    <col min="4623" max="4623" width="9" style="178"/>
    <col min="4624" max="4624" width="9" style="178"/>
    <col min="4625" max="4625" width="9" style="178"/>
    <col min="4626" max="4626" width="9" style="178"/>
    <col min="4627" max="4627" width="9" style="178"/>
    <col min="4628" max="4628" width="9" style="178"/>
    <col min="4629" max="4629" width="9" style="178"/>
    <col min="4630" max="4630" width="9" style="178"/>
    <col min="4631" max="4631" width="9" style="178"/>
    <col min="4632" max="4632" width="9" style="178"/>
    <col min="4633" max="4633" width="9" style="178"/>
    <col min="4634" max="4634" width="9" style="178"/>
    <col min="4635" max="4635" width="9" style="178"/>
    <col min="4636" max="4636" width="9" style="178"/>
    <col min="4637" max="4637" width="9" style="178"/>
    <col min="4638" max="4638" width="9" style="178"/>
    <col min="4639" max="4639" width="9" style="178"/>
    <col min="4640" max="4640" width="9" style="178"/>
    <col min="4641" max="4641" width="9" style="178"/>
    <col min="4642" max="4642" width="9" style="178"/>
    <col min="4643" max="4643" width="9" style="178"/>
    <col min="4644" max="4644" width="9" style="178"/>
    <col min="4645" max="4645" width="9" style="178"/>
    <col min="4646" max="4646" width="9" style="178"/>
    <col min="4647" max="4647" width="9" style="178"/>
    <col min="4648" max="4648" width="9" style="178"/>
    <col min="4649" max="4649" width="9" style="178"/>
    <col min="4650" max="4650" width="9" style="178"/>
    <col min="4651" max="4651" width="9" style="178"/>
    <col min="4652" max="4652" width="9" style="178"/>
    <col min="4653" max="4653" width="9" style="178"/>
    <col min="4654" max="4654" width="9" style="178"/>
    <col min="4655" max="4655" width="9" style="178"/>
    <col min="4656" max="4656" width="9" style="178"/>
    <col min="4657" max="4657" width="9" style="178"/>
    <col min="4658" max="4658" width="9" style="178"/>
    <col min="4659" max="4659" width="9" style="178"/>
    <col min="4660" max="4660" width="9" style="178"/>
    <col min="4661" max="4661" width="9" style="178"/>
    <col min="4662" max="4662" width="9" style="178"/>
    <col min="4663" max="4663" width="9" style="178"/>
    <col min="4664" max="4664" width="9" style="178"/>
    <col min="4665" max="4665" width="9" style="178"/>
    <col min="4666" max="4666" width="9" style="178"/>
    <col min="4667" max="4667" width="9" style="178"/>
    <col min="4668" max="4668" width="9" style="178"/>
    <col min="4669" max="4669" width="9" style="178"/>
    <col min="4670" max="4670" width="9" style="178"/>
    <col min="4671" max="4671" width="9" style="178"/>
    <col min="4672" max="4672" width="9" style="178"/>
    <col min="4673" max="4673" width="9" style="178"/>
    <col min="4674" max="4674" width="9" style="178"/>
    <col min="4675" max="4675" width="9" style="178"/>
    <col min="4676" max="4676" width="9" style="178"/>
    <col min="4677" max="4677" width="9" style="178"/>
    <col min="4678" max="4678" width="9" style="178"/>
    <col min="4679" max="4679" width="9" style="178"/>
    <col min="4680" max="4680" width="9" style="178"/>
    <col min="4681" max="4681" width="9" style="178"/>
    <col min="4682" max="4682" width="9" style="178"/>
    <col min="4683" max="4683" width="9" style="178"/>
    <col min="4684" max="4684" width="9" style="178"/>
    <col min="4685" max="4685" width="9" style="178"/>
    <col min="4686" max="4686" width="9" style="178"/>
    <col min="4687" max="4687" width="9" style="178"/>
    <col min="4688" max="4688" width="9" style="178"/>
    <col min="4689" max="4689" width="9" style="178"/>
    <col min="4690" max="4690" width="9" style="178"/>
    <col min="4691" max="4691" width="9" style="178"/>
    <col min="4692" max="4692" width="9" style="178"/>
    <col min="4693" max="4693" width="9" style="178"/>
    <col min="4694" max="4694" width="9" style="178"/>
    <col min="4695" max="4695" width="9" style="178"/>
    <col min="4696" max="4696" width="9" style="178"/>
    <col min="4697" max="4697" width="9" style="178"/>
    <col min="4698" max="4698" width="9" style="178"/>
    <col min="4699" max="4699" width="9" style="178"/>
    <col min="4700" max="4700" width="9" style="178"/>
    <col min="4701" max="4701" width="9" style="178"/>
    <col min="4702" max="4702" width="9" style="178"/>
    <col min="4703" max="4703" width="9" style="178"/>
    <col min="4704" max="4704" width="9" style="178"/>
    <col min="4705" max="4705" width="9" style="178"/>
    <col min="4706" max="4706" width="9" style="178"/>
    <col min="4707" max="4707" width="9" style="178"/>
    <col min="4708" max="4708" width="9" style="178"/>
    <col min="4709" max="4709" width="9" style="178"/>
    <col min="4710" max="4710" width="9" style="178"/>
    <col min="4711" max="4711" width="9" style="178"/>
    <col min="4712" max="4712" width="9" style="178"/>
    <col min="4713" max="4713" width="9" style="178"/>
    <col min="4714" max="4714" width="9" style="178"/>
    <col min="4715" max="4715" width="9" style="178"/>
    <col min="4716" max="4716" width="9" style="178"/>
    <col min="4717" max="4717" width="9" style="178"/>
    <col min="4718" max="4718" width="9" style="178"/>
    <col min="4719" max="4719" width="9" style="178"/>
    <col min="4720" max="4720" width="9" style="178"/>
    <col min="4721" max="4721" width="9" style="178"/>
    <col min="4722" max="4722" width="9" style="178"/>
    <col min="4723" max="4723" width="9" style="178"/>
    <col min="4724" max="4724" width="9" style="178"/>
    <col min="4725" max="4725" width="9" style="178"/>
    <col min="4726" max="4726" width="9" style="178"/>
    <col min="4727" max="4727" width="9" style="178"/>
    <col min="4728" max="4728" width="9" style="178"/>
    <col min="4729" max="4729" width="9" style="178"/>
    <col min="4730" max="4730" width="9" style="178"/>
    <col min="4731" max="4731" width="9" style="178"/>
    <col min="4732" max="4732" width="9" style="178"/>
    <col min="4733" max="4733" width="9" style="178"/>
    <col min="4734" max="4734" width="9" style="178"/>
    <col min="4735" max="4735" width="9" style="178"/>
    <col min="4736" max="4736" width="9" style="178"/>
    <col min="4737" max="4737" width="9" style="178"/>
    <col min="4738" max="4738" width="9" style="178"/>
    <col min="4739" max="4739" width="9" style="178"/>
    <col min="4740" max="4740" width="9" style="178"/>
    <col min="4741" max="4741" width="9" style="178"/>
    <col min="4742" max="4742" width="9" style="178"/>
    <col min="4743" max="4743" width="9" style="178"/>
    <col min="4744" max="4744" width="9" style="178"/>
    <col min="4745" max="4745" width="9" style="178"/>
    <col min="4746" max="4746" width="9" style="178"/>
    <col min="4747" max="4747" width="9" style="178"/>
    <col min="4748" max="4748" width="9" style="178"/>
    <col min="4749" max="4749" width="9" style="178"/>
    <col min="4750" max="4750" width="9" style="178"/>
    <col min="4751" max="4751" width="9" style="178"/>
    <col min="4752" max="4752" width="9" style="178"/>
    <col min="4753" max="4753" width="9" style="178"/>
    <col min="4754" max="4754" width="9" style="178"/>
    <col min="4755" max="4755" width="9" style="178"/>
    <col min="4756" max="4756" width="9" style="178"/>
    <col min="4757" max="4757" width="9" style="178"/>
    <col min="4758" max="4758" width="9" style="178"/>
    <col min="4759" max="4759" width="9" style="178"/>
    <col min="4760" max="4760" width="9" style="178"/>
    <col min="4761" max="4761" width="9" style="178"/>
    <col min="4762" max="4762" width="9" style="178"/>
    <col min="4763" max="4763" width="9" style="178"/>
    <col min="4764" max="4764" width="9" style="178"/>
    <col min="4765" max="4765" width="9" style="178"/>
    <col min="4766" max="4766" width="9" style="178"/>
    <col min="4767" max="4767" width="9" style="178"/>
    <col min="4768" max="4768" width="9" style="178"/>
    <col min="4769" max="4769" width="9" style="178"/>
    <col min="4770" max="4770" width="9" style="178"/>
    <col min="4771" max="4771" width="9" style="178"/>
    <col min="4772" max="4772" width="9" style="178"/>
    <col min="4773" max="4773" width="9" style="178"/>
    <col min="4774" max="4774" width="9" style="178"/>
    <col min="4775" max="4775" width="9" style="178"/>
    <col min="4776" max="4776" width="9" style="178"/>
    <col min="4777" max="4777" width="9" style="178"/>
    <col min="4778" max="4778" width="9" style="178"/>
    <col min="4779" max="4779" width="9" style="178"/>
    <col min="4780" max="4780" width="9" style="178"/>
    <col min="4781" max="4781" width="9" style="178"/>
    <col min="4782" max="4782" width="9" style="178"/>
    <col min="4783" max="4783" width="9" style="178"/>
    <col min="4784" max="4784" width="9" style="178"/>
    <col min="4785" max="4785" width="9" style="178"/>
    <col min="4786" max="4786" width="9" style="178"/>
    <col min="4787" max="4787" width="9" style="178"/>
    <col min="4788" max="4788" width="9" style="178"/>
    <col min="4789" max="4789" width="9" style="178"/>
    <col min="4790" max="4790" width="9" style="178"/>
    <col min="4791" max="4791" width="9" style="178"/>
    <col min="4792" max="4792" width="9" style="178"/>
    <col min="4793" max="4793" width="9" style="178"/>
    <col min="4794" max="4794" width="9" style="178"/>
    <col min="4795" max="4795" width="9" style="178"/>
    <col min="4796" max="4796" width="9" style="178"/>
    <col min="4797" max="4797" width="9" style="178"/>
    <col min="4798" max="4798" width="9" style="178"/>
    <col min="4799" max="4799" width="9" style="178"/>
    <col min="4800" max="4800" width="9" style="178"/>
    <col min="4801" max="4801" width="9" style="178"/>
    <col min="4802" max="4802" width="9" style="178"/>
    <col min="4803" max="4803" width="9" style="178"/>
    <col min="4804" max="4804" width="9" style="178"/>
    <col min="4805" max="4805" width="9" style="178"/>
    <col min="4806" max="4806" width="9" style="178"/>
    <col min="4807" max="4807" width="9" style="178"/>
    <col min="4808" max="4808" width="9" style="178"/>
    <col min="4809" max="4809" width="9" style="178"/>
    <col min="4810" max="4810" width="9" style="178"/>
    <col min="4811" max="4811" width="9" style="178"/>
    <col min="4812" max="4812" width="9" style="178"/>
    <col min="4813" max="4813" width="9" style="178"/>
    <col min="4814" max="4814" width="9" style="178"/>
    <col min="4815" max="4815" width="9" style="178"/>
    <col min="4816" max="4816" width="9" style="178"/>
    <col min="4817" max="4817" width="9" style="178"/>
    <col min="4818" max="4818" width="9" style="178"/>
    <col min="4819" max="4819" width="9" style="178"/>
    <col min="4820" max="4820" width="9" style="178"/>
    <col min="4821" max="4821" width="9" style="178"/>
    <col min="4822" max="4822" width="9" style="178"/>
    <col min="4823" max="4823" width="9" style="178"/>
    <col min="4824" max="4824" width="9" style="178"/>
    <col min="4825" max="4825" width="9" style="178"/>
    <col min="4826" max="4826" width="9" style="178"/>
    <col min="4827" max="4827" width="9" style="178"/>
    <col min="4828" max="4828" width="9" style="178"/>
    <col min="4829" max="4829" width="9" style="178"/>
    <col min="4830" max="4830" width="9" style="178"/>
    <col min="4831" max="4831" width="9" style="178"/>
    <col min="4832" max="4832" width="9" style="178"/>
    <col min="4833" max="4833" width="9" style="178"/>
    <col min="4834" max="4834" width="9" style="178"/>
    <col min="4835" max="4835" width="9" style="178"/>
    <col min="4836" max="4836" width="9" style="178"/>
    <col min="4837" max="4837" width="9" style="178"/>
    <col min="4838" max="4838" width="9" style="178"/>
    <col min="4839" max="4839" width="9" style="178"/>
    <col min="4840" max="4840" width="9" style="178"/>
    <col min="4841" max="4841" width="9" style="178"/>
    <col min="4842" max="4842" width="9" style="178"/>
    <col min="4843" max="4843" width="9" style="178"/>
    <col min="4844" max="4844" width="9" style="178"/>
    <col min="4845" max="4845" width="9" style="178"/>
    <col min="4846" max="4846" width="9" style="178"/>
    <col min="4847" max="4847" width="9" style="178"/>
    <col min="4848" max="4848" width="9" style="178"/>
    <col min="4849" max="4849" width="9" style="178"/>
    <col min="4850" max="4850" width="9" style="178"/>
    <col min="4851" max="4851" width="9" style="178"/>
    <col min="4852" max="4852" width="9" style="178"/>
    <col min="4853" max="4853" width="9" style="178"/>
    <col min="4854" max="4854" width="9" style="178"/>
    <col min="4855" max="4855" width="9" style="178"/>
    <col min="4856" max="4856" width="9" style="178"/>
    <col min="4857" max="4857" width="9" style="178"/>
    <col min="4858" max="4858" width="9" style="178"/>
    <col min="4859" max="4859" width="9" style="178"/>
    <col min="4860" max="4860" width="9" style="178"/>
    <col min="4861" max="4861" width="9" style="178"/>
    <col min="4862" max="4862" width="9" style="178"/>
    <col min="4863" max="4863" width="9" style="178"/>
    <col min="4864" max="4864" width="9" style="178"/>
    <col min="4865" max="4865" width="9" style="178"/>
    <col min="4866" max="4866" width="9" style="178"/>
    <col min="4867" max="4867" width="9" style="178"/>
    <col min="4868" max="4868" width="9" style="178"/>
    <col min="4869" max="4869" width="9" style="178"/>
    <col min="4870" max="4870" width="9" style="178"/>
    <col min="4871" max="4871" width="9" style="178"/>
    <col min="4872" max="4872" width="9" style="178"/>
    <col min="4873" max="4873" width="9" style="178"/>
    <col min="4874" max="4874" width="9" style="178"/>
    <col min="4875" max="4875" width="9" style="178"/>
    <col min="4876" max="4876" width="9" style="178"/>
    <col min="4877" max="4877" width="9" style="178"/>
    <col min="4878" max="4878" width="9" style="178"/>
    <col min="4879" max="4879" width="9" style="178"/>
    <col min="4880" max="4880" width="9" style="178"/>
    <col min="4881" max="4881" width="9" style="178"/>
    <col min="4882" max="4882" width="9" style="178"/>
    <col min="4883" max="4883" width="9" style="178"/>
    <col min="4884" max="4884" width="9" style="178"/>
    <col min="4885" max="4885" width="9" style="178"/>
    <col min="4886" max="4886" width="9" style="178"/>
    <col min="4887" max="4887" width="9" style="178"/>
    <col min="4888" max="4888" width="9" style="178"/>
    <col min="4889" max="4889" width="9" style="178"/>
    <col min="4890" max="4890" width="9" style="178"/>
    <col min="4891" max="4891" width="9" style="178"/>
    <col min="4892" max="4892" width="9" style="178"/>
    <col min="4893" max="4893" width="9" style="178"/>
    <col min="4894" max="4894" width="9" style="178"/>
    <col min="4895" max="4895" width="9" style="178"/>
    <col min="4896" max="4896" width="9" style="178"/>
    <col min="4897" max="4897" width="9" style="178"/>
    <col min="4898" max="4898" width="9" style="178"/>
    <col min="4899" max="4899" width="9" style="178"/>
    <col min="4900" max="4900" width="9" style="178"/>
    <col min="4901" max="4901" width="9" style="178"/>
    <col min="4902" max="4902" width="9" style="178"/>
    <col min="4903" max="4903" width="9" style="178"/>
    <col min="4904" max="4904" width="9" style="178"/>
    <col min="4905" max="4905" width="9" style="178"/>
    <col min="4906" max="4906" width="9" style="178"/>
    <col min="4907" max="4907" width="9" style="178"/>
    <col min="4908" max="4908" width="9" style="178"/>
    <col min="4909" max="4909" width="9" style="178"/>
    <col min="4910" max="4910" width="9" style="178"/>
    <col min="4911" max="4911" width="9" style="178"/>
    <col min="4912" max="4912" width="9" style="178"/>
    <col min="4913" max="4913" width="9" style="178"/>
    <col min="4914" max="4914" width="9" style="178"/>
    <col min="4915" max="4915" width="9" style="178"/>
    <col min="4916" max="4916" width="9" style="178"/>
    <col min="4917" max="4917" width="9" style="178"/>
    <col min="4918" max="4918" width="9" style="178"/>
    <col min="4919" max="4919" width="9" style="178"/>
    <col min="4920" max="4920" width="9" style="178"/>
    <col min="4921" max="4921" width="9" style="178"/>
    <col min="4922" max="4922" width="9" style="178"/>
    <col min="4923" max="4923" width="9" style="178"/>
    <col min="4924" max="4924" width="9" style="178"/>
    <col min="4925" max="4925" width="9" style="178"/>
    <col min="4926" max="4926" width="9" style="178"/>
    <col min="4927" max="4927" width="9" style="178"/>
    <col min="4928" max="4928" width="9" style="178"/>
    <col min="4929" max="4929" width="9" style="178"/>
    <col min="4930" max="4930" width="9" style="178"/>
    <col min="4931" max="4931" width="9" style="178"/>
    <col min="4932" max="4932" width="9" style="178"/>
    <col min="4933" max="4933" width="9" style="178"/>
    <col min="4934" max="4934" width="9" style="178"/>
    <col min="4935" max="4935" width="9" style="178"/>
    <col min="4936" max="4936" width="9" style="178"/>
    <col min="4937" max="4937" width="9" style="178"/>
    <col min="4938" max="4938" width="9" style="178"/>
    <col min="4939" max="4939" width="9" style="178"/>
    <col min="4940" max="4940" width="9" style="178"/>
    <col min="4941" max="4941" width="9" style="178"/>
    <col min="4942" max="4942" width="9" style="178"/>
    <col min="4943" max="4943" width="9" style="178"/>
    <col min="4944" max="4944" width="9" style="178"/>
    <col min="4945" max="4945" width="9" style="178"/>
    <col min="4946" max="4946" width="9" style="178"/>
    <col min="4947" max="4947" width="9" style="178"/>
    <col min="4948" max="4948" width="9" style="178"/>
    <col min="4949" max="4949" width="9" style="178"/>
    <col min="4950" max="4950" width="9" style="178"/>
    <col min="4951" max="4951" width="9" style="178"/>
    <col min="4952" max="4952" width="9" style="178"/>
    <col min="4953" max="4953" width="9" style="178"/>
    <col min="4954" max="4954" width="9" style="178"/>
    <col min="4955" max="4955" width="9" style="178"/>
    <col min="4956" max="4956" width="9" style="178"/>
    <col min="4957" max="4957" width="9" style="178"/>
    <col min="4958" max="4958" width="9" style="178"/>
    <col min="4959" max="4959" width="9" style="178"/>
    <col min="4960" max="4960" width="9" style="178"/>
    <col min="4961" max="4961" width="9" style="178"/>
    <col min="4962" max="4962" width="9" style="178"/>
    <col min="4963" max="4963" width="9" style="178"/>
    <col min="4964" max="4964" width="9" style="178"/>
    <col min="4965" max="4965" width="9" style="178"/>
    <col min="4966" max="4966" width="9" style="178"/>
    <col min="4967" max="4967" width="9" style="178"/>
    <col min="4968" max="4968" width="9" style="178"/>
    <col min="4969" max="4969" width="9" style="178"/>
    <col min="4970" max="4970" width="9" style="178"/>
    <col min="4971" max="4971" width="9" style="178"/>
    <col min="4972" max="4972" width="9" style="178"/>
    <col min="4973" max="4973" width="9" style="178"/>
    <col min="4974" max="4974" width="9" style="178"/>
    <col min="4975" max="4975" width="9" style="178"/>
    <col min="4976" max="4976" width="9" style="178"/>
    <col min="4977" max="4977" width="9" style="178"/>
    <col min="4978" max="4978" width="9" style="178"/>
    <col min="4979" max="4979" width="9" style="178"/>
    <col min="4980" max="4980" width="9" style="178"/>
    <col min="4981" max="4981" width="9" style="178"/>
    <col min="4982" max="4982" width="9" style="178"/>
    <col min="4983" max="4983" width="9" style="178"/>
    <col min="4984" max="4984" width="9" style="178"/>
    <col min="4985" max="4985" width="9" style="178"/>
    <col min="4986" max="4986" width="9" style="178"/>
    <col min="4987" max="4987" width="9" style="178"/>
    <col min="4988" max="4988" width="9" style="178"/>
    <col min="4989" max="4989" width="9" style="178"/>
    <col min="4990" max="4990" width="9" style="178"/>
    <col min="4991" max="4991" width="9" style="178"/>
    <col min="4992" max="4992" width="9" style="178"/>
    <col min="4993" max="4993" width="9" style="178"/>
    <col min="4994" max="4994" width="9" style="178"/>
    <col min="4995" max="4995" width="9" style="178"/>
    <col min="4996" max="4996" width="9" style="178"/>
    <col min="4997" max="4997" width="9" style="178"/>
    <col min="4998" max="4998" width="9" style="178"/>
    <col min="4999" max="4999" width="9" style="178"/>
    <col min="5000" max="5000" width="9" style="178"/>
    <col min="5001" max="5001" width="9" style="178"/>
    <col min="5002" max="5002" width="9" style="178"/>
    <col min="5003" max="5003" width="9" style="178"/>
    <col min="5004" max="5004" width="9" style="178"/>
    <col min="5005" max="5005" width="9" style="178"/>
    <col min="5006" max="5006" width="9" style="178"/>
    <col min="5007" max="5007" width="9" style="178"/>
    <col min="5008" max="5008" width="9" style="178"/>
    <col min="5009" max="5009" width="9" style="178"/>
    <col min="5010" max="5010" width="9" style="178"/>
    <col min="5011" max="5011" width="9" style="178"/>
    <col min="5012" max="5012" width="9" style="178"/>
    <col min="5013" max="5013" width="9" style="178"/>
    <col min="5014" max="5014" width="9" style="178"/>
    <col min="5015" max="5015" width="9" style="178"/>
    <col min="5016" max="5016" width="9" style="178"/>
    <col min="5017" max="5017" width="9" style="178"/>
    <col min="5018" max="5018" width="9" style="178"/>
    <col min="5019" max="5019" width="9" style="178"/>
    <col min="5020" max="5020" width="9" style="178"/>
    <col min="5021" max="5021" width="9" style="178"/>
    <col min="5022" max="5022" width="9" style="178"/>
    <col min="5023" max="5023" width="9" style="178"/>
    <col min="5024" max="5024" width="9" style="178"/>
    <col min="5025" max="5025" width="9" style="178"/>
    <col min="5026" max="5026" width="9" style="178"/>
    <col min="5027" max="5027" width="9" style="178"/>
    <col min="5028" max="5028" width="9" style="178"/>
    <col min="5029" max="5029" width="9" style="178"/>
    <col min="5030" max="5030" width="9" style="178"/>
    <col min="5031" max="5031" width="9" style="178"/>
    <col min="5032" max="5032" width="9" style="178"/>
    <col min="5033" max="5033" width="9" style="178"/>
    <col min="5034" max="5034" width="9" style="178"/>
    <col min="5035" max="5035" width="9" style="178"/>
    <col min="5036" max="5036" width="9" style="178"/>
    <col min="5037" max="5037" width="9" style="178"/>
    <col min="5038" max="5038" width="9" style="178"/>
    <col min="5039" max="5039" width="9" style="178"/>
    <col min="5040" max="5040" width="9" style="178"/>
    <col min="5041" max="5041" width="9" style="178"/>
    <col min="5042" max="5042" width="9" style="178"/>
    <col min="5043" max="5043" width="9" style="178"/>
    <col min="5044" max="5044" width="9" style="178"/>
    <col min="5045" max="5045" width="9" style="178"/>
    <col min="5046" max="5046" width="9" style="178"/>
    <col min="5047" max="5047" width="9" style="178"/>
    <col min="5048" max="5048" width="9" style="178"/>
    <col min="5049" max="5049" width="9" style="178"/>
    <col min="5050" max="5050" width="9" style="178"/>
    <col min="5051" max="5051" width="9" style="178"/>
    <col min="5052" max="5052" width="9" style="178"/>
    <col min="5053" max="5053" width="9" style="178"/>
    <col min="5054" max="5054" width="9" style="178"/>
    <col min="5055" max="5055" width="9" style="178"/>
    <col min="5056" max="5056" width="9" style="178"/>
    <col min="5057" max="5057" width="9" style="178"/>
    <col min="5058" max="5058" width="9" style="178"/>
    <col min="5059" max="5059" width="9" style="178"/>
    <col min="5060" max="5060" width="9" style="178"/>
    <col min="5061" max="5061" width="9" style="178"/>
    <col min="5062" max="5062" width="9" style="178"/>
    <col min="5063" max="5063" width="9" style="178"/>
    <col min="5064" max="5064" width="9" style="178"/>
    <col min="5065" max="5065" width="9" style="178"/>
    <col min="5066" max="5066" width="9" style="178"/>
    <col min="5067" max="5067" width="9" style="178"/>
    <col min="5068" max="5068" width="9" style="178"/>
    <col min="5069" max="5069" width="9" style="178"/>
    <col min="5070" max="5070" width="9" style="178"/>
    <col min="5071" max="5071" width="9" style="178"/>
    <col min="5072" max="5072" width="9" style="178"/>
    <col min="5073" max="5073" width="9" style="178"/>
    <col min="5074" max="5074" width="9" style="178"/>
    <col min="5075" max="5075" width="9" style="178"/>
    <col min="5076" max="5076" width="9" style="178"/>
    <col min="5077" max="5077" width="9" style="178"/>
    <col min="5078" max="5078" width="9" style="178"/>
    <col min="5079" max="5079" width="9" style="178"/>
    <col min="5080" max="5080" width="9" style="178"/>
    <col min="5081" max="5081" width="9" style="178"/>
    <col min="5082" max="5082" width="9" style="178"/>
    <col min="5083" max="5083" width="9" style="178"/>
    <col min="5084" max="5084" width="9" style="178"/>
    <col min="5085" max="5085" width="9" style="178"/>
    <col min="5086" max="5086" width="9" style="178"/>
    <col min="5087" max="5087" width="9" style="178"/>
    <col min="5088" max="5088" width="9" style="178"/>
    <col min="5089" max="5089" width="9" style="178"/>
    <col min="5090" max="5090" width="9" style="178"/>
    <col min="5091" max="5091" width="9" style="178"/>
    <col min="5092" max="5092" width="9" style="178"/>
    <col min="5093" max="5093" width="9" style="178"/>
    <col min="5094" max="5094" width="9" style="178"/>
    <col min="5095" max="5095" width="9" style="178"/>
    <col min="5096" max="5096" width="9" style="178"/>
    <col min="5097" max="5097" width="9" style="178"/>
    <col min="5098" max="5098" width="9" style="178"/>
    <col min="5099" max="5099" width="9" style="178"/>
    <col min="5100" max="5100" width="9" style="178"/>
    <col min="5101" max="5101" width="9" style="178"/>
    <col min="5102" max="5102" width="9" style="178"/>
    <col min="5103" max="5103" width="9" style="178"/>
    <col min="5104" max="5104" width="9" style="178"/>
    <col min="5105" max="5105" width="9" style="178"/>
    <col min="5106" max="5106" width="9" style="178"/>
    <col min="5107" max="5107" width="9" style="178"/>
    <col min="5108" max="5108" width="9" style="178"/>
    <col min="5109" max="5109" width="9" style="178"/>
    <col min="5110" max="5110" width="9" style="178"/>
    <col min="5111" max="5111" width="9" style="178"/>
    <col min="5112" max="5112" width="9" style="178"/>
    <col min="5113" max="5113" width="9" style="178"/>
    <col min="5114" max="5114" width="9" style="178"/>
    <col min="5115" max="5115" width="9" style="178"/>
    <col min="5116" max="5116" width="9" style="178"/>
    <col min="5117" max="5117" width="9" style="178"/>
    <col min="5118" max="5118" width="9" style="178"/>
    <col min="5119" max="5119" width="9" style="178"/>
    <col min="5120" max="5120" width="9" style="178"/>
    <col min="5121" max="5121" width="9" style="178"/>
    <col min="5122" max="5122" width="9" style="178"/>
    <col min="5123" max="5123" width="9" style="178"/>
    <col min="5124" max="5124" width="9" style="178"/>
    <col min="5125" max="5125" width="9" style="178"/>
    <col min="5126" max="5126" width="9" style="178"/>
    <col min="5127" max="5127" width="9" style="178"/>
    <col min="5128" max="5128" width="9" style="178"/>
    <col min="5129" max="5129" width="9" style="178"/>
    <col min="5130" max="5130" width="9" style="178"/>
    <col min="5131" max="5131" width="9" style="178"/>
    <col min="5132" max="5132" width="9" style="178"/>
    <col min="5133" max="5133" width="9" style="178"/>
    <col min="5134" max="5134" width="9" style="178"/>
    <col min="5135" max="5135" width="9" style="178"/>
    <col min="5136" max="5136" width="9" style="178"/>
    <col min="5137" max="5137" width="9" style="178"/>
    <col min="5138" max="5138" width="9" style="178"/>
    <col min="5139" max="5139" width="9" style="178"/>
    <col min="5140" max="5140" width="9" style="178"/>
    <col min="5141" max="5141" width="9" style="178"/>
    <col min="5142" max="5142" width="9" style="178"/>
    <col min="5143" max="5143" width="9" style="178"/>
    <col min="5144" max="5144" width="9" style="178"/>
    <col min="5145" max="5145" width="9" style="178"/>
    <col min="5146" max="5146" width="9" style="178"/>
    <col min="5147" max="5147" width="9" style="178"/>
    <col min="5148" max="5148" width="9" style="178"/>
    <col min="5149" max="5149" width="9" style="178"/>
    <col min="5150" max="5150" width="9" style="178"/>
    <col min="5151" max="5151" width="9" style="178"/>
    <col min="5152" max="5152" width="9" style="178"/>
    <col min="5153" max="5153" width="9" style="178"/>
    <col min="5154" max="5154" width="9" style="178"/>
    <col min="5155" max="5155" width="9" style="178"/>
    <col min="5156" max="5156" width="9" style="178"/>
    <col min="5157" max="5157" width="9" style="178"/>
    <col min="5158" max="5158" width="9" style="178"/>
    <col min="5159" max="5159" width="9" style="178"/>
    <col min="5160" max="5160" width="9" style="178"/>
    <col min="5161" max="5161" width="9" style="178"/>
    <col min="5162" max="5162" width="9" style="178"/>
    <col min="5163" max="5163" width="9" style="178"/>
    <col min="5164" max="5164" width="9" style="178"/>
    <col min="5165" max="5165" width="9" style="178"/>
    <col min="5166" max="5166" width="9" style="178"/>
    <col min="5167" max="5167" width="9" style="178"/>
    <col min="5168" max="5168" width="9" style="178"/>
    <col min="5169" max="5169" width="9" style="178"/>
    <col min="5170" max="5170" width="9" style="178"/>
    <col min="5171" max="5171" width="9" style="178"/>
    <col min="5172" max="5172" width="9" style="178"/>
    <col min="5173" max="5173" width="9" style="178"/>
    <col min="5174" max="5174" width="9" style="178"/>
    <col min="5175" max="5175" width="9" style="178"/>
    <col min="5176" max="5176" width="9" style="178"/>
    <col min="5177" max="5177" width="9" style="178"/>
    <col min="5178" max="5178" width="9" style="178"/>
    <col min="5179" max="5179" width="9" style="178"/>
    <col min="5180" max="5180" width="9" style="178"/>
    <col min="5181" max="5181" width="9" style="178"/>
    <col min="5182" max="5182" width="9" style="178"/>
    <col min="5183" max="5183" width="9" style="178"/>
    <col min="5184" max="5184" width="9" style="178"/>
    <col min="5185" max="5185" width="9" style="178"/>
    <col min="5186" max="5186" width="9" style="178"/>
    <col min="5187" max="5187" width="9" style="178"/>
    <col min="5188" max="5188" width="9" style="178"/>
    <col min="5189" max="5189" width="9" style="178"/>
    <col min="5190" max="5190" width="9" style="178"/>
    <col min="5191" max="5191" width="9" style="178"/>
    <col min="5192" max="5192" width="9" style="178"/>
    <col min="5193" max="5193" width="9" style="178"/>
    <col min="5194" max="5194" width="9" style="178"/>
    <col min="5195" max="5195" width="9" style="178"/>
    <col min="5196" max="5196" width="9" style="178"/>
    <col min="5197" max="5197" width="9" style="178"/>
    <col min="5198" max="5198" width="9" style="178"/>
    <col min="5199" max="5199" width="9" style="178"/>
    <col min="5200" max="5200" width="9" style="178"/>
    <col min="5201" max="5201" width="9" style="178"/>
    <col min="5202" max="5202" width="9" style="178"/>
    <col min="5203" max="5203" width="9" style="178"/>
    <col min="5204" max="5204" width="9" style="178"/>
    <col min="5205" max="5205" width="9" style="178"/>
    <col min="5206" max="5206" width="9" style="178"/>
    <col min="5207" max="5207" width="9" style="178"/>
    <col min="5208" max="5208" width="9" style="178"/>
    <col min="5209" max="5209" width="9" style="178"/>
    <col min="5210" max="5210" width="9" style="178"/>
    <col min="5211" max="5211" width="9" style="178"/>
    <col min="5212" max="5212" width="9" style="178"/>
    <col min="5213" max="5213" width="9" style="178"/>
    <col min="5214" max="5214" width="9" style="178"/>
    <col min="5215" max="5215" width="9" style="178"/>
    <col min="5216" max="5216" width="9" style="178"/>
    <col min="5217" max="5217" width="9" style="178"/>
    <col min="5218" max="5218" width="9" style="178"/>
    <col min="5219" max="5219" width="9" style="178"/>
    <col min="5220" max="5220" width="9" style="178"/>
    <col min="5221" max="5221" width="9" style="178"/>
    <col min="5222" max="5222" width="9" style="178"/>
    <col min="5223" max="5223" width="9" style="178"/>
    <col min="5224" max="5224" width="9" style="178"/>
    <col min="5225" max="5225" width="9" style="178"/>
    <col min="5226" max="5226" width="9" style="178"/>
    <col min="5227" max="5227" width="9" style="178"/>
    <col min="5228" max="5228" width="9" style="178"/>
    <col min="5229" max="5229" width="9" style="178"/>
    <col min="5230" max="5230" width="9" style="178"/>
    <col min="5231" max="5231" width="9" style="178"/>
    <col min="5232" max="5232" width="9" style="178"/>
    <col min="5233" max="5233" width="9" style="178"/>
    <col min="5234" max="5234" width="9" style="178"/>
    <col min="5235" max="5235" width="9" style="178"/>
    <col min="5236" max="5236" width="9" style="178"/>
    <col min="5237" max="5237" width="9" style="178"/>
    <col min="5238" max="5238" width="9" style="178"/>
    <col min="5239" max="5239" width="9" style="178"/>
    <col min="5240" max="5240" width="9" style="178"/>
    <col min="5241" max="5241" width="9" style="178"/>
    <col min="5242" max="5242" width="9" style="178"/>
    <col min="5243" max="5243" width="9" style="178"/>
    <col min="5244" max="5244" width="9" style="178"/>
    <col min="5245" max="5245" width="9" style="178"/>
    <col min="5246" max="5246" width="9" style="178"/>
    <col min="5247" max="5247" width="9" style="178"/>
    <col min="5248" max="5248" width="9" style="178"/>
    <col min="5249" max="5249" width="9" style="178"/>
    <col min="5250" max="5250" width="9" style="178"/>
    <col min="5251" max="5251" width="9" style="178"/>
    <col min="5252" max="5252" width="9" style="178"/>
    <col min="5253" max="5253" width="9" style="178"/>
    <col min="5254" max="5254" width="9" style="178"/>
    <col min="5255" max="5255" width="9" style="178"/>
    <col min="5256" max="5256" width="9" style="178"/>
    <col min="5257" max="5257" width="9" style="178"/>
    <col min="5258" max="5258" width="9" style="178"/>
    <col min="5259" max="5259" width="9" style="178"/>
    <col min="5260" max="5260" width="9" style="178"/>
    <col min="5261" max="5261" width="9" style="178"/>
    <col min="5262" max="5262" width="9" style="178"/>
    <col min="5263" max="5263" width="9" style="178"/>
    <col min="5264" max="5264" width="9" style="178"/>
    <col min="5265" max="5265" width="9" style="178"/>
    <col min="5266" max="5266" width="9" style="178"/>
    <col min="5267" max="5267" width="9" style="178"/>
    <col min="5268" max="5268" width="9" style="178"/>
    <col min="5269" max="5269" width="9" style="178"/>
    <col min="5270" max="5270" width="9" style="178"/>
    <col min="5271" max="5271" width="9" style="178"/>
    <col min="5272" max="5272" width="9" style="178"/>
    <col min="5273" max="5273" width="9" style="178"/>
    <col min="5274" max="5274" width="9" style="178"/>
    <col min="5275" max="5275" width="9" style="178"/>
    <col min="5276" max="5276" width="9" style="178"/>
    <col min="5277" max="5277" width="9" style="178"/>
    <col min="5278" max="5278" width="9" style="178"/>
    <col min="5279" max="5279" width="9" style="178"/>
    <col min="5280" max="5280" width="9" style="178"/>
    <col min="5281" max="5281" width="9" style="178"/>
    <col min="5282" max="5282" width="9" style="178"/>
    <col min="5283" max="5283" width="9" style="178"/>
    <col min="5284" max="5284" width="9" style="178"/>
    <col min="5285" max="5285" width="9" style="178"/>
    <col min="5286" max="5286" width="9" style="178"/>
    <col min="5287" max="5287" width="9" style="178"/>
    <col min="5288" max="5288" width="9" style="178"/>
    <col min="5289" max="5289" width="9" style="178"/>
    <col min="5290" max="5290" width="9" style="178"/>
    <col min="5291" max="5291" width="9" style="178"/>
    <col min="5292" max="5292" width="9" style="178"/>
    <col min="5293" max="5293" width="9" style="178"/>
    <col min="5294" max="5294" width="9" style="178"/>
    <col min="5295" max="5295" width="9" style="178"/>
    <col min="5296" max="5296" width="9" style="178"/>
    <col min="5297" max="5297" width="9" style="178"/>
    <col min="5298" max="5298" width="9" style="178"/>
    <col min="5299" max="5299" width="9" style="178"/>
    <col min="5300" max="5300" width="9" style="178"/>
    <col min="5301" max="5301" width="9" style="178"/>
    <col min="5302" max="5302" width="9" style="178"/>
    <col min="5303" max="5303" width="9" style="178"/>
    <col min="5304" max="5304" width="9" style="178"/>
    <col min="5305" max="5305" width="9" style="178"/>
    <col min="5306" max="5306" width="9" style="178"/>
    <col min="5307" max="5307" width="9" style="178"/>
    <col min="5308" max="5308" width="9" style="178"/>
    <col min="5309" max="5309" width="9" style="178"/>
    <col min="5310" max="5310" width="9" style="178"/>
    <col min="5311" max="5311" width="9" style="178"/>
    <col min="5312" max="5312" width="9" style="178"/>
    <col min="5313" max="5313" width="9" style="178"/>
    <col min="5314" max="5314" width="9" style="178"/>
    <col min="5315" max="5315" width="9" style="178"/>
    <col min="5316" max="5316" width="9" style="178"/>
    <col min="5317" max="5317" width="9" style="178"/>
    <col min="5318" max="5318" width="9" style="178"/>
    <col min="5319" max="5319" width="9" style="178"/>
    <col min="5320" max="5320" width="9" style="178"/>
    <col min="5321" max="5321" width="9" style="178"/>
    <col min="5322" max="5322" width="9" style="178"/>
    <col min="5323" max="5323" width="9" style="178"/>
    <col min="5324" max="5324" width="9" style="178"/>
    <col min="5325" max="5325" width="9" style="178"/>
    <col min="5326" max="5326" width="9" style="178"/>
    <col min="5327" max="5327" width="9" style="178"/>
    <col min="5328" max="5328" width="9" style="178"/>
    <col min="5329" max="5329" width="9" style="178"/>
    <col min="5330" max="5330" width="9" style="178"/>
    <col min="5331" max="5331" width="9" style="178"/>
    <col min="5332" max="5332" width="9" style="178"/>
    <col min="5333" max="5333" width="9" style="178"/>
    <col min="5334" max="5334" width="9" style="178"/>
    <col min="5335" max="5335" width="9" style="178"/>
    <col min="5336" max="5336" width="9" style="178"/>
    <col min="5337" max="5337" width="9" style="178"/>
    <col min="5338" max="5338" width="9" style="178"/>
    <col min="5339" max="5339" width="9" style="178"/>
    <col min="5340" max="5340" width="9" style="178"/>
    <col min="5341" max="5341" width="9" style="178"/>
    <col min="5342" max="5342" width="9" style="178"/>
    <col min="5343" max="5343" width="9" style="178"/>
    <col min="5344" max="5344" width="9" style="178"/>
    <col min="5345" max="5345" width="9" style="178"/>
    <col min="5346" max="5346" width="9" style="178"/>
    <col min="5347" max="5347" width="9" style="178"/>
    <col min="5348" max="5348" width="9" style="178"/>
    <col min="5349" max="5349" width="9" style="178"/>
    <col min="5350" max="5350" width="9" style="178"/>
    <col min="5351" max="5351" width="9" style="178"/>
    <col min="5352" max="5352" width="9" style="178"/>
    <col min="5353" max="5353" width="9" style="178"/>
    <col min="5354" max="5354" width="9" style="178"/>
    <col min="5355" max="5355" width="9" style="178"/>
    <col min="5356" max="5356" width="9" style="178"/>
    <col min="5357" max="5357" width="9" style="178"/>
    <col min="5358" max="5358" width="9" style="178"/>
    <col min="5359" max="5359" width="9" style="178"/>
    <col min="5360" max="5360" width="9" style="178"/>
    <col min="5361" max="5361" width="9" style="178"/>
    <col min="5362" max="5362" width="9" style="178"/>
    <col min="5363" max="5363" width="9" style="178"/>
    <col min="5364" max="5364" width="9" style="178"/>
    <col min="5365" max="5365" width="9" style="178"/>
    <col min="5366" max="5366" width="9" style="178"/>
    <col min="5367" max="5367" width="9" style="178"/>
    <col min="5368" max="5368" width="9" style="178"/>
    <col min="5369" max="5369" width="9" style="178"/>
    <col min="5370" max="5370" width="9" style="178"/>
    <col min="5371" max="5371" width="9" style="178"/>
    <col min="5372" max="5372" width="9" style="178"/>
    <col min="5373" max="5373" width="9" style="178"/>
    <col min="5374" max="5374" width="9" style="178"/>
    <col min="5375" max="5375" width="9" style="178"/>
    <col min="5376" max="5376" width="9" style="178"/>
    <col min="5377" max="5377" width="9" style="178"/>
    <col min="5378" max="5378" width="9" style="178"/>
    <col min="5379" max="5379" width="9" style="178"/>
    <col min="5380" max="5380" width="9" style="178"/>
    <col min="5381" max="5381" width="9" style="178"/>
    <col min="5382" max="5382" width="9" style="178"/>
    <col min="5383" max="5383" width="9" style="178"/>
    <col min="5384" max="5384" width="9" style="178"/>
    <col min="5385" max="5385" width="9" style="178"/>
    <col min="5386" max="5386" width="9" style="178"/>
    <col min="5387" max="5387" width="9" style="178"/>
    <col min="5388" max="5388" width="9" style="178"/>
    <col min="5389" max="5389" width="9" style="178"/>
    <col min="5390" max="5390" width="9" style="178"/>
    <col min="5391" max="5391" width="9" style="178"/>
    <col min="5392" max="5392" width="9" style="178"/>
    <col min="5393" max="5393" width="9" style="178"/>
    <col min="5394" max="5394" width="9" style="178"/>
    <col min="5395" max="5395" width="9" style="178"/>
    <col min="5396" max="5396" width="9" style="178"/>
    <col min="5397" max="5397" width="9" style="178"/>
    <col min="5398" max="5398" width="9" style="178"/>
    <col min="5399" max="5399" width="9" style="178"/>
    <col min="5400" max="5400" width="9" style="178"/>
    <col min="5401" max="5401" width="9" style="178"/>
    <col min="5402" max="5402" width="9" style="178"/>
    <col min="5403" max="5403" width="9" style="178"/>
    <col min="5404" max="5404" width="9" style="178"/>
    <col min="5405" max="5405" width="9" style="178"/>
    <col min="5406" max="5406" width="9" style="178"/>
    <col min="5407" max="5407" width="9" style="178"/>
    <col min="5408" max="5408" width="9" style="178"/>
    <col min="5409" max="5409" width="9" style="178"/>
    <col min="5410" max="5410" width="9" style="178"/>
    <col min="5411" max="5411" width="9" style="178"/>
    <col min="5412" max="5412" width="9" style="178"/>
    <col min="5413" max="5413" width="9" style="178"/>
    <col min="5414" max="5414" width="9" style="178"/>
    <col min="5415" max="5415" width="9" style="178"/>
    <col min="5416" max="5416" width="9" style="178"/>
    <col min="5417" max="5417" width="9" style="178"/>
    <col min="5418" max="5418" width="9" style="178"/>
    <col min="5419" max="5419" width="9" style="178"/>
    <col min="5420" max="5420" width="9" style="178"/>
    <col min="5421" max="5421" width="9" style="178"/>
    <col min="5422" max="5422" width="9" style="178"/>
    <col min="5423" max="5423" width="9" style="178"/>
    <col min="5424" max="5424" width="9" style="178"/>
    <col min="5425" max="5425" width="9" style="178"/>
    <col min="5426" max="5426" width="9" style="178"/>
    <col min="5427" max="5427" width="9" style="178"/>
    <col min="5428" max="5428" width="9" style="178"/>
    <col min="5429" max="5429" width="9" style="178"/>
    <col min="5430" max="5430" width="9" style="178"/>
    <col min="5431" max="5431" width="9" style="178"/>
    <col min="5432" max="5432" width="9" style="178"/>
    <col min="5433" max="5433" width="9" style="178"/>
    <col min="5434" max="5434" width="9" style="178"/>
    <col min="5435" max="5435" width="9" style="178"/>
    <col min="5436" max="5436" width="9" style="178"/>
    <col min="5437" max="5437" width="9" style="178"/>
    <col min="5438" max="5438" width="9" style="178"/>
    <col min="5439" max="5439" width="9" style="178"/>
    <col min="5440" max="5440" width="9" style="178"/>
    <col min="5441" max="5441" width="9" style="178"/>
    <col min="5442" max="5442" width="9" style="178"/>
    <col min="5443" max="5443" width="9" style="178"/>
    <col min="5444" max="5444" width="9" style="178"/>
    <col min="5445" max="5445" width="9" style="178"/>
    <col min="5446" max="5446" width="9" style="178"/>
    <col min="5447" max="5447" width="9" style="178"/>
    <col min="5448" max="5448" width="9" style="178"/>
    <col min="5449" max="5449" width="9" style="178"/>
    <col min="5450" max="5450" width="9" style="178"/>
    <col min="5451" max="5451" width="9" style="178"/>
    <col min="5452" max="5452" width="9" style="178"/>
    <col min="5453" max="5453" width="9" style="178"/>
    <col min="5454" max="5454" width="9" style="178"/>
    <col min="5455" max="5455" width="9" style="178"/>
    <col min="5456" max="5456" width="9" style="178"/>
    <col min="5457" max="5457" width="9" style="178"/>
    <col min="5458" max="5458" width="9" style="178"/>
    <col min="5459" max="5459" width="9" style="178"/>
    <col min="5460" max="5460" width="9" style="178"/>
    <col min="5461" max="5461" width="9" style="178"/>
    <col min="5462" max="5462" width="9" style="178"/>
    <col min="5463" max="5463" width="9" style="178"/>
    <col min="5464" max="5464" width="9" style="178"/>
    <col min="5465" max="5465" width="9" style="178"/>
    <col min="5466" max="5466" width="9" style="178"/>
    <col min="5467" max="5467" width="9" style="178"/>
    <col min="5468" max="5468" width="9" style="178"/>
    <col min="5469" max="5469" width="9" style="178"/>
    <col min="5470" max="5470" width="9" style="178"/>
    <col min="5471" max="5471" width="9" style="178"/>
    <col min="5472" max="5472" width="9" style="178"/>
    <col min="5473" max="5473" width="9" style="178"/>
    <col min="5474" max="5474" width="9" style="178"/>
    <col min="5475" max="5475" width="9" style="178"/>
    <col min="5476" max="5476" width="9" style="178"/>
    <col min="5477" max="5477" width="9" style="178"/>
    <col min="5478" max="5478" width="9" style="178"/>
    <col min="5479" max="5479" width="9" style="178"/>
    <col min="5480" max="5480" width="9" style="178"/>
    <col min="5481" max="5481" width="9" style="178"/>
    <col min="5482" max="5482" width="9" style="178"/>
    <col min="5483" max="5483" width="9" style="178"/>
    <col min="5484" max="5484" width="9" style="178"/>
    <col min="5485" max="5485" width="9" style="178"/>
    <col min="5486" max="5486" width="9" style="178"/>
    <col min="5487" max="5487" width="9" style="178"/>
    <col min="5488" max="5488" width="9" style="178"/>
    <col min="5489" max="5489" width="9" style="178"/>
    <col min="5490" max="5490" width="9" style="178"/>
    <col min="5491" max="5491" width="9" style="178"/>
    <col min="5492" max="5492" width="9" style="178"/>
    <col min="5493" max="5493" width="9" style="178"/>
    <col min="5494" max="5494" width="9" style="178"/>
    <col min="5495" max="5495" width="9" style="178"/>
    <col min="5496" max="5496" width="9" style="178"/>
    <col min="5497" max="5497" width="9" style="178"/>
    <col min="5498" max="5498" width="9" style="178"/>
    <col min="5499" max="5499" width="9" style="178"/>
    <col min="5500" max="5500" width="9" style="178"/>
    <col min="5501" max="5501" width="9" style="178"/>
    <col min="5502" max="5502" width="9" style="178"/>
    <col min="5503" max="5503" width="9" style="178"/>
    <col min="5504" max="5504" width="9" style="178"/>
    <col min="5505" max="5505" width="9" style="178"/>
    <col min="5506" max="5506" width="9" style="178"/>
    <col min="5507" max="5507" width="9" style="178"/>
    <col min="5508" max="5508" width="9" style="178"/>
    <col min="5509" max="5509" width="9" style="178"/>
    <col min="5510" max="5510" width="9" style="178"/>
    <col min="5511" max="5511" width="9" style="178"/>
    <col min="5512" max="5512" width="9" style="178"/>
    <col min="5513" max="5513" width="9" style="178"/>
    <col min="5514" max="5514" width="9" style="178"/>
    <col min="5515" max="5515" width="9" style="178"/>
    <col min="5516" max="5516" width="9" style="178"/>
    <col min="5517" max="5517" width="9" style="178"/>
    <col min="5518" max="5518" width="9" style="178"/>
    <col min="5519" max="5519" width="9" style="178"/>
    <col min="5520" max="5520" width="9" style="178"/>
    <col min="5521" max="5521" width="9" style="178"/>
    <col min="5522" max="5522" width="9" style="178"/>
    <col min="5523" max="5523" width="9" style="178"/>
    <col min="5524" max="5524" width="9" style="178"/>
    <col min="5525" max="5525" width="9" style="178"/>
    <col min="5526" max="5526" width="9" style="178"/>
    <col min="5527" max="5527" width="9" style="178"/>
    <col min="5528" max="5528" width="9" style="178"/>
    <col min="5529" max="5529" width="9" style="178"/>
    <col min="5530" max="5530" width="9" style="178"/>
    <col min="5531" max="5531" width="9" style="178"/>
    <col min="5532" max="5532" width="9" style="178"/>
    <col min="5533" max="5533" width="9" style="178"/>
    <col min="5534" max="5534" width="9" style="178"/>
    <col min="5535" max="5535" width="9" style="178"/>
    <col min="5536" max="5536" width="9" style="178"/>
    <col min="5537" max="5537" width="9" style="178"/>
    <col min="5538" max="5538" width="9" style="178"/>
    <col min="5539" max="5539" width="9" style="178"/>
    <col min="5540" max="5540" width="9" style="178"/>
    <col min="5541" max="5541" width="9" style="178"/>
    <col min="5542" max="5542" width="9" style="178"/>
    <col min="5543" max="5543" width="9" style="178"/>
    <col min="5544" max="5544" width="9" style="178"/>
    <col min="5545" max="5545" width="9" style="178"/>
    <col min="5546" max="5546" width="9" style="178"/>
    <col min="5547" max="5547" width="9" style="178"/>
    <col min="5548" max="5548" width="9" style="178"/>
    <col min="5549" max="5549" width="9" style="178"/>
    <col min="5550" max="5550" width="9" style="178"/>
    <col min="5551" max="5551" width="9" style="178"/>
    <col min="5552" max="5552" width="9" style="178"/>
    <col min="5553" max="5553" width="9" style="178"/>
    <col min="5554" max="5554" width="9" style="178"/>
    <col min="5555" max="5555" width="9" style="178"/>
    <col min="5556" max="5556" width="9" style="178"/>
    <col min="5557" max="5557" width="9" style="178"/>
    <col min="5558" max="5558" width="9" style="178"/>
    <col min="5559" max="5559" width="9" style="178"/>
    <col min="5560" max="5560" width="9" style="178"/>
    <col min="5561" max="5561" width="9" style="178"/>
    <col min="5562" max="5562" width="9" style="178"/>
    <col min="5563" max="5563" width="9" style="178"/>
    <col min="5564" max="5564" width="9" style="178"/>
    <col min="5565" max="5565" width="9" style="178"/>
    <col min="5566" max="5566" width="9" style="178"/>
    <col min="5567" max="5567" width="9" style="178"/>
    <col min="5568" max="5568" width="9" style="178"/>
    <col min="5569" max="5569" width="9" style="178"/>
    <col min="5570" max="5570" width="9" style="178"/>
    <col min="5571" max="5571" width="9" style="178"/>
    <col min="5572" max="5572" width="9" style="178"/>
    <col min="5573" max="5573" width="9" style="178"/>
    <col min="5574" max="5574" width="9" style="178"/>
    <col min="5575" max="5575" width="9" style="178"/>
    <col min="5576" max="5576" width="9" style="178"/>
    <col min="5577" max="5577" width="9" style="178"/>
    <col min="5578" max="5578" width="9" style="178"/>
    <col min="5579" max="5579" width="9" style="178"/>
    <col min="5580" max="5580" width="9" style="178"/>
    <col min="5581" max="5581" width="9" style="178"/>
    <col min="5582" max="5582" width="9" style="178"/>
    <col min="5583" max="5583" width="9" style="178"/>
    <col min="5584" max="5584" width="9" style="178"/>
    <col min="5585" max="5585" width="9" style="178"/>
    <col min="5586" max="5586" width="9" style="178"/>
    <col min="5587" max="5587" width="9" style="178"/>
    <col min="5588" max="5588" width="9" style="178"/>
    <col min="5589" max="5589" width="9" style="178"/>
    <col min="5590" max="5590" width="9" style="178"/>
    <col min="5591" max="5591" width="9" style="178"/>
    <col min="5592" max="5592" width="9" style="178"/>
    <col min="5593" max="5593" width="9" style="178"/>
    <col min="5594" max="5594" width="9" style="178"/>
    <col min="5595" max="5595" width="9" style="178"/>
    <col min="5596" max="5596" width="9" style="178"/>
    <col min="5597" max="5597" width="9" style="178"/>
    <col min="5598" max="5598" width="9" style="178"/>
    <col min="5599" max="5599" width="9" style="178"/>
    <col min="5600" max="5600" width="9" style="178"/>
    <col min="5601" max="5601" width="9" style="178"/>
    <col min="5602" max="5602" width="9" style="178"/>
    <col min="5603" max="5603" width="9" style="178"/>
    <col min="5604" max="5604" width="9" style="178"/>
    <col min="5605" max="5605" width="9" style="178"/>
    <col min="5606" max="5606" width="9" style="178"/>
    <col min="5607" max="5607" width="9" style="178"/>
    <col min="5608" max="5608" width="9" style="178"/>
    <col min="5609" max="5609" width="9" style="178"/>
    <col min="5610" max="5610" width="9" style="178"/>
    <col min="5611" max="5611" width="9" style="178"/>
    <col min="5612" max="5612" width="9" style="178"/>
    <col min="5613" max="5613" width="9" style="178"/>
    <col min="5614" max="5614" width="9" style="178"/>
    <col min="5615" max="5615" width="9" style="178"/>
    <col min="5616" max="5616" width="9" style="178"/>
    <col min="5617" max="5617" width="9" style="178"/>
    <col min="5618" max="5618" width="9" style="178"/>
    <col min="5619" max="5619" width="9" style="178"/>
    <col min="5620" max="5620" width="9" style="178"/>
    <col min="5621" max="5621" width="9" style="178"/>
    <col min="5622" max="5622" width="9" style="178"/>
    <col min="5623" max="5623" width="9" style="178"/>
    <col min="5624" max="5624" width="9" style="178"/>
    <col min="5625" max="5625" width="9" style="178"/>
    <col min="5626" max="5626" width="9" style="178"/>
    <col min="5627" max="5627" width="9" style="178"/>
    <col min="5628" max="5628" width="9" style="178"/>
    <col min="5629" max="5629" width="9" style="178"/>
    <col min="5630" max="5630" width="9" style="178"/>
    <col min="5631" max="5631" width="9" style="178"/>
    <col min="5632" max="5632" width="9" style="178"/>
    <col min="5633" max="5633" width="9" style="178"/>
    <col min="5634" max="5634" width="9" style="178"/>
    <col min="5635" max="5635" width="9" style="178"/>
    <col min="5636" max="5636" width="9" style="178"/>
    <col min="5637" max="5637" width="9" style="178"/>
    <col min="5638" max="5638" width="9" style="178"/>
    <col min="5639" max="5639" width="9" style="178"/>
    <col min="5640" max="5640" width="9" style="178"/>
    <col min="5641" max="5641" width="9" style="178"/>
    <col min="5642" max="5642" width="9" style="178"/>
    <col min="5643" max="5643" width="9" style="178"/>
    <col min="5644" max="5644" width="9" style="178"/>
    <col min="5645" max="5645" width="9" style="178"/>
    <col min="5646" max="5646" width="9" style="178"/>
    <col min="5647" max="5647" width="9" style="178"/>
    <col min="5648" max="5648" width="9" style="178"/>
    <col min="5649" max="5649" width="9" style="178"/>
    <col min="5650" max="5650" width="9" style="178"/>
    <col min="5651" max="5651" width="9" style="178"/>
    <col min="5652" max="5652" width="9" style="178"/>
    <col min="5653" max="5653" width="9" style="178"/>
    <col min="5654" max="5654" width="9" style="178"/>
    <col min="5655" max="5655" width="9" style="178"/>
    <col min="5656" max="5656" width="9" style="178"/>
    <col min="5657" max="5657" width="9" style="178"/>
    <col min="5658" max="5658" width="9" style="178"/>
    <col min="5659" max="5659" width="9" style="178"/>
    <col min="5660" max="5660" width="9" style="178"/>
    <col min="5661" max="5661" width="9" style="178"/>
    <col min="5662" max="5662" width="9" style="178"/>
    <col min="5663" max="5663" width="9" style="178"/>
    <col min="5664" max="5664" width="9" style="178"/>
    <col min="5665" max="5665" width="9" style="178"/>
    <col min="5666" max="5666" width="9" style="178"/>
    <col min="5667" max="5667" width="9" style="178"/>
    <col min="5668" max="5668" width="9" style="178"/>
    <col min="5669" max="5669" width="9" style="178"/>
    <col min="5670" max="5670" width="9" style="178"/>
    <col min="5671" max="5671" width="9" style="178"/>
    <col min="5672" max="5672" width="9" style="178"/>
    <col min="5673" max="5673" width="9" style="178"/>
    <col min="5674" max="5674" width="9" style="178"/>
    <col min="5675" max="5675" width="9" style="178"/>
    <col min="5676" max="5676" width="9" style="178"/>
    <col min="5677" max="5677" width="9" style="178"/>
    <col min="5678" max="5678" width="9" style="178"/>
    <col min="5679" max="5679" width="9" style="178"/>
    <col min="5680" max="5680" width="9" style="178"/>
    <col min="5681" max="5681" width="9" style="178"/>
    <col min="5682" max="5682" width="9" style="178"/>
    <col min="5683" max="5683" width="9" style="178"/>
    <col min="5684" max="5684" width="9" style="178"/>
    <col min="5685" max="5685" width="9" style="178"/>
    <col min="5686" max="5686" width="9" style="178"/>
    <col min="5687" max="5687" width="9" style="178"/>
    <col min="5688" max="5688" width="9" style="178"/>
    <col min="5689" max="5689" width="9" style="178"/>
    <col min="5690" max="5690" width="9" style="178"/>
    <col min="5691" max="5691" width="9" style="178"/>
    <col min="5692" max="5692" width="9" style="178"/>
    <col min="5693" max="5693" width="9" style="178"/>
    <col min="5694" max="5694" width="9" style="178"/>
    <col min="5695" max="5695" width="9" style="178"/>
    <col min="5696" max="5696" width="9" style="178"/>
    <col min="5697" max="5697" width="9" style="178"/>
    <col min="5698" max="5698" width="9" style="178"/>
    <col min="5699" max="5699" width="9" style="178"/>
    <col min="5700" max="5700" width="9" style="178"/>
    <col min="5701" max="5701" width="9" style="178"/>
    <col min="5702" max="5702" width="9" style="178"/>
    <col min="5703" max="5703" width="9" style="178"/>
    <col min="5704" max="5704" width="9" style="178"/>
    <col min="5705" max="5705" width="9" style="178"/>
    <col min="5706" max="5706" width="9" style="178"/>
    <col min="5707" max="5707" width="9" style="178"/>
    <col min="5708" max="5708" width="9" style="178"/>
    <col min="5709" max="5709" width="9" style="178"/>
    <col min="5710" max="5710" width="9" style="178"/>
    <col min="5711" max="5711" width="9" style="178"/>
    <col min="5712" max="5712" width="9" style="178"/>
    <col min="5713" max="5713" width="9" style="178"/>
    <col min="5714" max="5714" width="9" style="178"/>
    <col min="5715" max="5715" width="9" style="178"/>
    <col min="5716" max="5716" width="9" style="178"/>
    <col min="5717" max="5717" width="9" style="178"/>
    <col min="5718" max="5718" width="9" style="178"/>
    <col min="5719" max="5719" width="9" style="178"/>
    <col min="5720" max="5720" width="9" style="178"/>
    <col min="5721" max="5721" width="9" style="178"/>
    <col min="5722" max="5722" width="9" style="178"/>
    <col min="5723" max="5723" width="9" style="178"/>
    <col min="5724" max="5724" width="9" style="178"/>
    <col min="5725" max="5725" width="9" style="178"/>
    <col min="5726" max="5726" width="9" style="178"/>
    <col min="5727" max="5727" width="9" style="178"/>
    <col min="5728" max="5728" width="9" style="178"/>
    <col min="5729" max="5729" width="9" style="178"/>
    <col min="5730" max="5730" width="9" style="178"/>
    <col min="5731" max="5731" width="9" style="178"/>
    <col min="5732" max="5732" width="9" style="178"/>
    <col min="5733" max="5733" width="9" style="178"/>
    <col min="5734" max="5734" width="9" style="178"/>
    <col min="5735" max="5735" width="9" style="178"/>
    <col min="5736" max="5736" width="9" style="178"/>
    <col min="5737" max="5737" width="9" style="178"/>
    <col min="5738" max="5738" width="9" style="178"/>
    <col min="5739" max="5739" width="9" style="178"/>
    <col min="5740" max="5740" width="9" style="178"/>
    <col min="5741" max="5741" width="9" style="178"/>
    <col min="5742" max="5742" width="9" style="178"/>
    <col min="5743" max="5743" width="9" style="178"/>
    <col min="5744" max="5744" width="9" style="178"/>
    <col min="5745" max="5745" width="9" style="178"/>
    <col min="5746" max="5746" width="9" style="178"/>
    <col min="5747" max="5747" width="9" style="178"/>
    <col min="5748" max="5748" width="9" style="178"/>
    <col min="5749" max="5749" width="9" style="178"/>
    <col min="5750" max="5750" width="9" style="178"/>
    <col min="5751" max="5751" width="9" style="178"/>
    <col min="5752" max="5752" width="9" style="178"/>
    <col min="5753" max="5753" width="9" style="178"/>
    <col min="5754" max="5754" width="9" style="178"/>
    <col min="5755" max="5755" width="9" style="178"/>
    <col min="5756" max="5756" width="9" style="178"/>
    <col min="5757" max="5757" width="9" style="178"/>
    <col min="5758" max="5758" width="9" style="178"/>
    <col min="5759" max="5759" width="9" style="178"/>
    <col min="5760" max="5760" width="9" style="178"/>
    <col min="5761" max="5761" width="9" style="178"/>
    <col min="5762" max="5762" width="9" style="178"/>
    <col min="5763" max="5763" width="9" style="178"/>
    <col min="5764" max="5764" width="9" style="178"/>
    <col min="5765" max="5765" width="9" style="178"/>
    <col min="5766" max="5766" width="9" style="178"/>
    <col min="5767" max="5767" width="9" style="178"/>
    <col min="5768" max="5768" width="9" style="178"/>
    <col min="5769" max="5769" width="9" style="178"/>
    <col min="5770" max="5770" width="9" style="178"/>
    <col min="5771" max="5771" width="9" style="178"/>
    <col min="5772" max="5772" width="9" style="178"/>
    <col min="5773" max="5773" width="9" style="178"/>
    <col min="5774" max="5774" width="9" style="178"/>
    <col min="5775" max="5775" width="9" style="178"/>
    <col min="5776" max="5776" width="9" style="178"/>
    <col min="5777" max="5777" width="9" style="178"/>
    <col min="5778" max="5778" width="9" style="178"/>
    <col min="5779" max="5779" width="9" style="178"/>
    <col min="5780" max="5780" width="9" style="178"/>
    <col min="5781" max="5781" width="9" style="178"/>
    <col min="5782" max="5782" width="9" style="178"/>
    <col min="5783" max="5783" width="9" style="178"/>
    <col min="5784" max="5784" width="9" style="178"/>
    <col min="5785" max="5785" width="9" style="178"/>
    <col min="5786" max="5786" width="9" style="178"/>
    <col min="5787" max="5787" width="9" style="178"/>
    <col min="5788" max="5788" width="9" style="178"/>
    <col min="5789" max="5789" width="9" style="178"/>
    <col min="5790" max="5790" width="9" style="178"/>
    <col min="5791" max="5791" width="9" style="178"/>
    <col min="5792" max="5792" width="9" style="178"/>
    <col min="5793" max="5793" width="9" style="178"/>
    <col min="5794" max="5794" width="9" style="178"/>
    <col min="5795" max="5795" width="9" style="178"/>
    <col min="5796" max="5796" width="9" style="178"/>
    <col min="5797" max="5797" width="9" style="178"/>
    <col min="5798" max="5798" width="9" style="178"/>
    <col min="5799" max="5799" width="9" style="178"/>
    <col min="5800" max="5800" width="9" style="178"/>
    <col min="5801" max="5801" width="9" style="178"/>
    <col min="5802" max="5802" width="9" style="178"/>
    <col min="5803" max="5803" width="9" style="178"/>
    <col min="5804" max="5804" width="9" style="178"/>
    <col min="5805" max="5805" width="9" style="178"/>
    <col min="5806" max="5806" width="9" style="178"/>
    <col min="5807" max="5807" width="9" style="178"/>
    <col min="5808" max="5808" width="9" style="178"/>
    <col min="5809" max="5809" width="9" style="178"/>
    <col min="5810" max="5810" width="9" style="178"/>
    <col min="5811" max="5811" width="9" style="178"/>
    <col min="5812" max="5812" width="9" style="178"/>
    <col min="5813" max="5813" width="9" style="178"/>
    <col min="5814" max="5814" width="9" style="178"/>
    <col min="5815" max="5815" width="9" style="178"/>
    <col min="5816" max="5816" width="9" style="178"/>
    <col min="5817" max="5817" width="9" style="178"/>
    <col min="5818" max="5818" width="9" style="178"/>
    <col min="5819" max="5819" width="9" style="178"/>
    <col min="5820" max="5820" width="9" style="178"/>
    <col min="5821" max="5821" width="9" style="178"/>
    <col min="5822" max="5822" width="9" style="178"/>
    <col min="5823" max="5823" width="9" style="178"/>
    <col min="5824" max="5824" width="9" style="178"/>
    <col min="5825" max="5825" width="9" style="178"/>
    <col min="5826" max="5826" width="9" style="178"/>
    <col min="5827" max="5827" width="9" style="178"/>
    <col min="5828" max="5828" width="9" style="178"/>
    <col min="5829" max="5829" width="9" style="178"/>
    <col min="5830" max="5830" width="9" style="178"/>
    <col min="5831" max="5831" width="9" style="178"/>
    <col min="5832" max="5832" width="9" style="178"/>
    <col min="5833" max="5833" width="9" style="178"/>
    <col min="5834" max="5834" width="9" style="178"/>
    <col min="5835" max="5835" width="9" style="178"/>
    <col min="5836" max="5836" width="9" style="178"/>
    <col min="5837" max="5837" width="9" style="178"/>
    <col min="5838" max="5838" width="9" style="178"/>
    <col min="5839" max="5839" width="9" style="178"/>
    <col min="5840" max="5840" width="9" style="178"/>
    <col min="5841" max="5841" width="9" style="178"/>
    <col min="5842" max="5842" width="9" style="178"/>
    <col min="5843" max="5843" width="9" style="178"/>
    <col min="5844" max="5844" width="9" style="178"/>
    <col min="5845" max="5845" width="9" style="178"/>
    <col min="5846" max="5846" width="9" style="178"/>
    <col min="5847" max="5847" width="9" style="178"/>
    <col min="5848" max="5848" width="9" style="178"/>
    <col min="5849" max="5849" width="9" style="178"/>
    <col min="5850" max="5850" width="9" style="178"/>
    <col min="5851" max="5851" width="9" style="178"/>
    <col min="5852" max="5852" width="9" style="178"/>
    <col min="5853" max="5853" width="9" style="178"/>
    <col min="5854" max="5854" width="9" style="178"/>
    <col min="5855" max="5855" width="9" style="178"/>
    <col min="5856" max="5856" width="9" style="178"/>
    <col min="5857" max="5857" width="9" style="178"/>
    <col min="5858" max="5858" width="9" style="178"/>
    <col min="5859" max="5859" width="9" style="178"/>
    <col min="5860" max="5860" width="9" style="178"/>
    <col min="5861" max="5861" width="9" style="178"/>
    <col min="5862" max="5862" width="9" style="178"/>
    <col min="5863" max="5863" width="9" style="178"/>
    <col min="5864" max="5864" width="9" style="178"/>
    <col min="5865" max="5865" width="9" style="178"/>
    <col min="5866" max="5866" width="9" style="178"/>
    <col min="5867" max="5867" width="9" style="178"/>
    <col min="5868" max="5868" width="9" style="178"/>
    <col min="5869" max="5869" width="9" style="178"/>
    <col min="5870" max="5870" width="9" style="178"/>
    <col min="5871" max="5871" width="9" style="178"/>
    <col min="5872" max="5872" width="9" style="178"/>
    <col min="5873" max="5873" width="9" style="178"/>
    <col min="5874" max="5874" width="9" style="178"/>
    <col min="5875" max="5875" width="9" style="178"/>
    <col min="5876" max="5876" width="9" style="178"/>
    <col min="5877" max="5877" width="9" style="178"/>
    <col min="5878" max="5878" width="9" style="178"/>
    <col min="5879" max="5879" width="9" style="178"/>
    <col min="5880" max="5880" width="9" style="178"/>
    <col min="5881" max="5881" width="9" style="178"/>
    <col min="5882" max="5882" width="9" style="178"/>
    <col min="5883" max="5883" width="9" style="178"/>
    <col min="5884" max="5884" width="9" style="178"/>
    <col min="5885" max="5885" width="9" style="178"/>
    <col min="5886" max="5886" width="9" style="178"/>
    <col min="5887" max="5887" width="9" style="178"/>
    <col min="5888" max="5888" width="9" style="178"/>
    <col min="5889" max="5889" width="9" style="178"/>
    <col min="5890" max="5890" width="9" style="178"/>
    <col min="5891" max="5891" width="9" style="178"/>
    <col min="5892" max="5892" width="9" style="178"/>
    <col min="5893" max="5893" width="9" style="178"/>
    <col min="5894" max="5894" width="9" style="178"/>
    <col min="5895" max="5895" width="9" style="178"/>
    <col min="5896" max="5896" width="9" style="178"/>
    <col min="5897" max="5897" width="9" style="178"/>
    <col min="5898" max="5898" width="9" style="178"/>
    <col min="5899" max="5899" width="9" style="178"/>
    <col min="5900" max="5900" width="9" style="178"/>
    <col min="5901" max="5901" width="9" style="178"/>
    <col min="5902" max="5902" width="9" style="178"/>
    <col min="5903" max="5903" width="9" style="178"/>
    <col min="5904" max="5904" width="9" style="178"/>
    <col min="5905" max="5905" width="9" style="178"/>
    <col min="5906" max="5906" width="9" style="178"/>
    <col min="5907" max="5907" width="9" style="178"/>
    <col min="5908" max="5908" width="9" style="178"/>
    <col min="5909" max="5909" width="9" style="178"/>
    <col min="5910" max="5910" width="9" style="178"/>
    <col min="5911" max="5911" width="9" style="178"/>
    <col min="5912" max="5912" width="9" style="178"/>
    <col min="5913" max="5913" width="9" style="178"/>
    <col min="5914" max="5914" width="9" style="178"/>
    <col min="5915" max="5915" width="9" style="178"/>
    <col min="5916" max="5916" width="9" style="178"/>
    <col min="5917" max="5917" width="9" style="178"/>
    <col min="5918" max="5918" width="9" style="178"/>
    <col min="5919" max="5919" width="9" style="178"/>
    <col min="5920" max="5920" width="9" style="178"/>
    <col min="5921" max="5921" width="9" style="178"/>
    <col min="5922" max="5922" width="9" style="178"/>
    <col min="5923" max="5923" width="9" style="178"/>
    <col min="5924" max="5924" width="9" style="178"/>
    <col min="5925" max="5925" width="9" style="178"/>
    <col min="5926" max="5926" width="9" style="178"/>
    <col min="5927" max="5927" width="9" style="178"/>
    <col min="5928" max="5928" width="9" style="178"/>
    <col min="5929" max="5929" width="9" style="178"/>
    <col min="5930" max="5930" width="9" style="178"/>
    <col min="5931" max="5931" width="9" style="178"/>
    <col min="5932" max="5932" width="9" style="178"/>
    <col min="5933" max="5933" width="9" style="178"/>
    <col min="5934" max="5934" width="9" style="178"/>
    <col min="5935" max="5935" width="9" style="178"/>
    <col min="5936" max="5936" width="9" style="178"/>
    <col min="5937" max="5937" width="9" style="178"/>
    <col min="5938" max="5938" width="9" style="178"/>
    <col min="5939" max="5939" width="9" style="178"/>
    <col min="5940" max="5940" width="9" style="178"/>
    <col min="5941" max="5941" width="9" style="178"/>
    <col min="5942" max="5942" width="9" style="178"/>
    <col min="5943" max="5943" width="9" style="178"/>
    <col min="5944" max="5944" width="9" style="178"/>
    <col min="5945" max="5945" width="9" style="178"/>
    <col min="5946" max="5946" width="9" style="178"/>
    <col min="5947" max="5947" width="9" style="178"/>
    <col min="5948" max="5948" width="9" style="178"/>
    <col min="5949" max="5949" width="9" style="178"/>
    <col min="5950" max="5950" width="9" style="178"/>
    <col min="5951" max="5951" width="9" style="178"/>
    <col min="5952" max="5952" width="9" style="178"/>
    <col min="5953" max="5953" width="9" style="178"/>
    <col min="5954" max="5954" width="9" style="178"/>
    <col min="5955" max="5955" width="9" style="178"/>
    <col min="5956" max="5956" width="9" style="178"/>
    <col min="5957" max="5957" width="9" style="178"/>
    <col min="5958" max="5958" width="9" style="178"/>
    <col min="5959" max="5959" width="9" style="178"/>
    <col min="5960" max="5960" width="9" style="178"/>
    <col min="5961" max="5961" width="9" style="178"/>
    <col min="5962" max="5962" width="9" style="178"/>
    <col min="5963" max="5963" width="9" style="178"/>
    <col min="5964" max="5964" width="9" style="178"/>
    <col min="5965" max="5965" width="9" style="178"/>
    <col min="5966" max="5966" width="9" style="178"/>
    <col min="5967" max="5967" width="9" style="178"/>
    <col min="5968" max="5968" width="9" style="178"/>
    <col min="5969" max="5969" width="9" style="178"/>
    <col min="5970" max="5970" width="9" style="178"/>
    <col min="5971" max="5971" width="9" style="178"/>
    <col min="5972" max="5972" width="9" style="178"/>
    <col min="5973" max="5973" width="9" style="178"/>
    <col min="5974" max="5974" width="9" style="178"/>
    <col min="5975" max="5975" width="9" style="178"/>
    <col min="5976" max="5976" width="9" style="178"/>
    <col min="5977" max="5977" width="9" style="178"/>
    <col min="5978" max="5978" width="9" style="178"/>
    <col min="5979" max="5979" width="9" style="178"/>
    <col min="5980" max="5980" width="9" style="178"/>
    <col min="5981" max="5981" width="9" style="178"/>
    <col min="5982" max="5982" width="9" style="178"/>
    <col min="5983" max="5983" width="9" style="178"/>
    <col min="5984" max="5984" width="9" style="178"/>
    <col min="5985" max="5985" width="9" style="178"/>
    <col min="5986" max="5986" width="9" style="178"/>
    <col min="5987" max="5987" width="9" style="178"/>
    <col min="5988" max="5988" width="9" style="178"/>
    <col min="5989" max="5989" width="9" style="178"/>
    <col min="5990" max="5990" width="9" style="178"/>
    <col min="5991" max="5991" width="9" style="178"/>
    <col min="5992" max="5992" width="9" style="178"/>
    <col min="5993" max="5993" width="9" style="178"/>
    <col min="5994" max="5994" width="9" style="178"/>
    <col min="5995" max="5995" width="9" style="178"/>
    <col min="5996" max="5996" width="9" style="178"/>
    <col min="5997" max="5997" width="9" style="178"/>
    <col min="5998" max="5998" width="9" style="178"/>
    <col min="5999" max="5999" width="9" style="178"/>
    <col min="6000" max="6000" width="9" style="178"/>
    <col min="6001" max="6001" width="9" style="178"/>
    <col min="6002" max="6002" width="9" style="178"/>
    <col min="6003" max="6003" width="9" style="178"/>
    <col min="6004" max="6004" width="9" style="178"/>
    <col min="6005" max="6005" width="9" style="178"/>
    <col min="6006" max="6006" width="9" style="178"/>
    <col min="6007" max="6007" width="9" style="178"/>
    <col min="6008" max="6008" width="9" style="178"/>
    <col min="6009" max="6009" width="9" style="178"/>
    <col min="6010" max="6010" width="9" style="178"/>
    <col min="6011" max="6011" width="9" style="178"/>
    <col min="6012" max="6012" width="9" style="178"/>
    <col min="6013" max="6013" width="9" style="178"/>
    <col min="6014" max="6014" width="9" style="178"/>
    <col min="6015" max="6015" width="9" style="178"/>
    <col min="6016" max="6016" width="9" style="178"/>
    <col min="6017" max="6017" width="9" style="178"/>
    <col min="6018" max="6018" width="9" style="178"/>
    <col min="6019" max="6019" width="9" style="178"/>
    <col min="6020" max="6020" width="9" style="178"/>
    <col min="6021" max="6021" width="9" style="178"/>
    <col min="6022" max="6022" width="9" style="178"/>
    <col min="6023" max="6023" width="9" style="178"/>
    <col min="6024" max="6024" width="9" style="178"/>
    <col min="6025" max="6025" width="9" style="178"/>
    <col min="6026" max="6026" width="9" style="178"/>
    <col min="6027" max="6027" width="9" style="178"/>
    <col min="6028" max="6028" width="9" style="178"/>
    <col min="6029" max="6029" width="9" style="178"/>
    <col min="6030" max="6030" width="9" style="178"/>
    <col min="6031" max="6031" width="9" style="178"/>
    <col min="6032" max="6032" width="9" style="178"/>
    <col min="6033" max="6033" width="9" style="178"/>
    <col min="6034" max="6034" width="9" style="178"/>
    <col min="6035" max="6035" width="9" style="178"/>
    <col min="6036" max="6036" width="9" style="178"/>
    <col min="6037" max="6037" width="9" style="178"/>
    <col min="6038" max="6038" width="9" style="178"/>
    <col min="6039" max="6039" width="9" style="178"/>
    <col min="6040" max="6040" width="9" style="178"/>
    <col min="6041" max="6041" width="9" style="178"/>
    <col min="6042" max="6042" width="9" style="178"/>
    <col min="6043" max="6043" width="9" style="178"/>
    <col min="6044" max="6044" width="9" style="178"/>
    <col min="6045" max="6045" width="9" style="178"/>
    <col min="6046" max="6046" width="9" style="178"/>
    <col min="6047" max="6047" width="9" style="178"/>
    <col min="6048" max="6048" width="9" style="178"/>
    <col min="6049" max="6049" width="9" style="178"/>
    <col min="6050" max="6050" width="9" style="178"/>
    <col min="6051" max="6051" width="9" style="178"/>
    <col min="6052" max="6052" width="9" style="178"/>
    <col min="6053" max="6053" width="9" style="178"/>
    <col min="6054" max="6054" width="9" style="178"/>
    <col min="6055" max="6055" width="9" style="178"/>
    <col min="6056" max="6056" width="9" style="178"/>
    <col min="6057" max="6057" width="9" style="178"/>
    <col min="6058" max="6058" width="9" style="178"/>
    <col min="6059" max="6059" width="9" style="178"/>
    <col min="6060" max="6060" width="9" style="178"/>
    <col min="6061" max="6061" width="9" style="178"/>
    <col min="6062" max="6062" width="9" style="178"/>
    <col min="6063" max="6063" width="9" style="178"/>
    <col min="6064" max="6064" width="9" style="178"/>
    <col min="6065" max="6065" width="9" style="178"/>
    <col min="6066" max="6066" width="9" style="178"/>
    <col min="6067" max="6067" width="9" style="178"/>
    <col min="6068" max="6068" width="9" style="178"/>
    <col min="6069" max="6069" width="9" style="178"/>
    <col min="6070" max="6070" width="9" style="178"/>
    <col min="6071" max="6071" width="9" style="178"/>
    <col min="6072" max="6072" width="9" style="178"/>
    <col min="6073" max="6073" width="9" style="178"/>
    <col min="6074" max="6074" width="9" style="178"/>
    <col min="6075" max="6075" width="9" style="178"/>
    <col min="6076" max="6076" width="9" style="178"/>
    <col min="6077" max="6077" width="9" style="178"/>
    <col min="6078" max="6078" width="9" style="178"/>
    <col min="6079" max="6079" width="9" style="178"/>
    <col min="6080" max="6080" width="9" style="178"/>
    <col min="6081" max="6081" width="9" style="178"/>
    <col min="6082" max="6082" width="9" style="178"/>
    <col min="6083" max="6083" width="9" style="178"/>
    <col min="6084" max="6084" width="9" style="178"/>
    <col min="6085" max="6085" width="9" style="178"/>
    <col min="6086" max="6086" width="9" style="178"/>
    <col min="6087" max="6087" width="9" style="178"/>
    <col min="6088" max="6088" width="9" style="178"/>
    <col min="6089" max="6089" width="9" style="178"/>
    <col min="6090" max="6090" width="9" style="178"/>
    <col min="6091" max="6091" width="9" style="178"/>
    <col min="6092" max="6092" width="9" style="178"/>
    <col min="6093" max="6093" width="9" style="178"/>
    <col min="6094" max="6094" width="9" style="178"/>
    <col min="6095" max="6095" width="9" style="178"/>
    <col min="6096" max="6096" width="9" style="178"/>
    <col min="6097" max="6097" width="9" style="178"/>
    <col min="6098" max="6098" width="9" style="178"/>
    <col min="6099" max="6099" width="9" style="178"/>
    <col min="6100" max="6100" width="9" style="178"/>
    <col min="6101" max="6101" width="9" style="178"/>
    <col min="6102" max="6102" width="9" style="178"/>
    <col min="6103" max="6103" width="9" style="178"/>
    <col min="6104" max="6104" width="9" style="178"/>
    <col min="6105" max="6105" width="9" style="178"/>
    <col min="6106" max="6106" width="9" style="178"/>
    <col min="6107" max="6107" width="9" style="178"/>
    <col min="6108" max="6108" width="9" style="178"/>
    <col min="6109" max="6109" width="9" style="178"/>
    <col min="6110" max="6110" width="9" style="178"/>
    <col min="6111" max="6111" width="9" style="178"/>
    <col min="6112" max="6112" width="9" style="178"/>
    <col min="6113" max="6113" width="9" style="178"/>
    <col min="6114" max="6114" width="9" style="178"/>
    <col min="6115" max="6115" width="9" style="178"/>
    <col min="6116" max="6116" width="9" style="178"/>
    <col min="6117" max="6117" width="9" style="178"/>
    <col min="6118" max="6118" width="9" style="178"/>
    <col min="6119" max="6119" width="9" style="178"/>
    <col min="6120" max="6120" width="9" style="178"/>
    <col min="6121" max="6121" width="9" style="178"/>
    <col min="6122" max="6122" width="9" style="178"/>
    <col min="6123" max="6123" width="9" style="178"/>
    <col min="6124" max="6124" width="9" style="178"/>
    <col min="6125" max="6125" width="9" style="178"/>
    <col min="6126" max="6126" width="9" style="178"/>
    <col min="6127" max="6127" width="9" style="178"/>
    <col min="6128" max="6128" width="9" style="178"/>
    <col min="6129" max="6129" width="9" style="178"/>
    <col min="6130" max="6130" width="9" style="178"/>
    <col min="6131" max="6131" width="9" style="178"/>
    <col min="6132" max="6132" width="9" style="178"/>
    <col min="6133" max="6133" width="9" style="178"/>
    <col min="6134" max="6134" width="9" style="178"/>
    <col min="6135" max="6135" width="9" style="178"/>
    <col min="6136" max="6136" width="9" style="178"/>
    <col min="6137" max="6137" width="9" style="178"/>
    <col min="6138" max="6138" width="9" style="178"/>
    <col min="6139" max="6139" width="9" style="178"/>
    <col min="6140" max="6140" width="9" style="178"/>
    <col min="6141" max="6141" width="9" style="178"/>
    <col min="6142" max="6142" width="9" style="178"/>
    <col min="6143" max="6143" width="9" style="178"/>
    <col min="6144" max="6144" width="9" style="178"/>
    <col min="6145" max="6145" width="9" style="178"/>
    <col min="6146" max="6146" width="9" style="178"/>
    <col min="6147" max="6147" width="9" style="178"/>
    <col min="6148" max="6148" width="9" style="178"/>
    <col min="6149" max="6149" width="9" style="178"/>
    <col min="6150" max="6150" width="9" style="178"/>
    <col min="6151" max="6151" width="9" style="178"/>
    <col min="6152" max="6152" width="9" style="178"/>
    <col min="6153" max="6153" width="9" style="178"/>
    <col min="6154" max="6154" width="9" style="178"/>
    <col min="6155" max="6155" width="9" style="178"/>
    <col min="6156" max="6156" width="9" style="178"/>
    <col min="6157" max="6157" width="9" style="178"/>
    <col min="6158" max="6158" width="9" style="178"/>
    <col min="6159" max="6159" width="9" style="178"/>
    <col min="6160" max="6160" width="9" style="178"/>
    <col min="6161" max="6161" width="9" style="178"/>
    <col min="6162" max="6162" width="9" style="178"/>
    <col min="6163" max="6163" width="9" style="178"/>
    <col min="6164" max="6164" width="9" style="178"/>
    <col min="6165" max="6165" width="9" style="178"/>
    <col min="6166" max="6166" width="9" style="178"/>
    <col min="6167" max="6167" width="9" style="178"/>
    <col min="6168" max="6168" width="9" style="178"/>
    <col min="6169" max="6169" width="9" style="178"/>
    <col min="6170" max="6170" width="9" style="178"/>
    <col min="6171" max="6171" width="9" style="178"/>
    <col min="6172" max="6172" width="9" style="178"/>
    <col min="6173" max="6173" width="9" style="178"/>
    <col min="6174" max="6174" width="9" style="178"/>
    <col min="6175" max="6175" width="9" style="178"/>
    <col min="6176" max="6176" width="9" style="178"/>
    <col min="6177" max="6177" width="9" style="178"/>
    <col min="6178" max="6178" width="9" style="178"/>
    <col min="6179" max="6179" width="9" style="178"/>
    <col min="6180" max="6180" width="9" style="178"/>
    <col min="6181" max="6181" width="9" style="178"/>
    <col min="6182" max="6182" width="9" style="178"/>
    <col min="6183" max="6183" width="9" style="178"/>
    <col min="6184" max="6184" width="9" style="178"/>
    <col min="6185" max="6185" width="9" style="178"/>
    <col min="6186" max="6186" width="9" style="178"/>
    <col min="6187" max="6187" width="9" style="178"/>
    <col min="6188" max="6188" width="9" style="178"/>
    <col min="6189" max="6189" width="9" style="178"/>
    <col min="6190" max="6190" width="9" style="178"/>
    <col min="6191" max="6191" width="9" style="178"/>
    <col min="6192" max="6192" width="9" style="178"/>
    <col min="6193" max="6193" width="9" style="178"/>
    <col min="6194" max="6194" width="9" style="178"/>
    <col min="6195" max="6195" width="9" style="178"/>
    <col min="6196" max="6196" width="9" style="178"/>
    <col min="6197" max="6197" width="9" style="178"/>
    <col min="6198" max="6198" width="9" style="178"/>
    <col min="6199" max="6199" width="9" style="178"/>
    <col min="6200" max="6200" width="9" style="178"/>
    <col min="6201" max="6201" width="9" style="178"/>
    <col min="6202" max="6202" width="9" style="178"/>
    <col min="6203" max="6203" width="9" style="178"/>
    <col min="6204" max="6204" width="9" style="178"/>
    <col min="6205" max="6205" width="9" style="178"/>
    <col min="6206" max="6206" width="9" style="178"/>
    <col min="6207" max="6207" width="9" style="178"/>
    <col min="6208" max="6208" width="9" style="178"/>
    <col min="6209" max="6209" width="9" style="178"/>
    <col min="6210" max="6210" width="9" style="178"/>
    <col min="6211" max="6211" width="9" style="178"/>
    <col min="6212" max="6212" width="9" style="178"/>
    <col min="6213" max="6213" width="9" style="178"/>
    <col min="6214" max="6214" width="9" style="178"/>
    <col min="6215" max="6215" width="9" style="178"/>
    <col min="6216" max="6216" width="9" style="178"/>
    <col min="6217" max="6217" width="9" style="178"/>
    <col min="6218" max="6218" width="9" style="178"/>
    <col min="6219" max="6219" width="9" style="178"/>
    <col min="6220" max="6220" width="9" style="178"/>
    <col min="6221" max="6221" width="9" style="178"/>
    <col min="6222" max="6222" width="9" style="178"/>
    <col min="6223" max="6223" width="9" style="178"/>
    <col min="6224" max="6224" width="9" style="178"/>
    <col min="6225" max="6225" width="9" style="178"/>
    <col min="6226" max="6226" width="9" style="178"/>
    <col min="6227" max="6227" width="9" style="178"/>
    <col min="6228" max="6228" width="9" style="178"/>
    <col min="6229" max="6229" width="9" style="178"/>
    <col min="6230" max="6230" width="9" style="178"/>
    <col min="6231" max="6231" width="9" style="178"/>
    <col min="6232" max="6232" width="9" style="178"/>
    <col min="6233" max="6233" width="9" style="178"/>
    <col min="6234" max="6234" width="9" style="178"/>
    <col min="6235" max="6235" width="9" style="178"/>
    <col min="6236" max="6236" width="9" style="178"/>
    <col min="6237" max="6237" width="9" style="178"/>
    <col min="6238" max="6238" width="9" style="178"/>
    <col min="6239" max="6239" width="9" style="178"/>
    <col min="6240" max="6240" width="9" style="178"/>
    <col min="6241" max="6241" width="9" style="178"/>
    <col min="6242" max="6242" width="9" style="178"/>
    <col min="6243" max="6243" width="9" style="178"/>
    <col min="6244" max="6244" width="9" style="178"/>
    <col min="6245" max="6245" width="9" style="178"/>
    <col min="6246" max="6246" width="9" style="178"/>
    <col min="6247" max="6247" width="9" style="178"/>
    <col min="6248" max="6248" width="9" style="178"/>
    <col min="6249" max="6249" width="9" style="178"/>
    <col min="6250" max="6250" width="9" style="178"/>
    <col min="6251" max="6251" width="9" style="178"/>
    <col min="6252" max="6252" width="9" style="178"/>
    <col min="6253" max="6253" width="9" style="178"/>
    <col min="6254" max="6254" width="9" style="178"/>
    <col min="6255" max="6255" width="9" style="178"/>
    <col min="6256" max="6256" width="9" style="178"/>
    <col min="6257" max="6257" width="9" style="178"/>
    <col min="6258" max="6258" width="9" style="178"/>
    <col min="6259" max="6259" width="9" style="178"/>
    <col min="6260" max="6260" width="9" style="178"/>
    <col min="6261" max="6261" width="9" style="178"/>
    <col min="6262" max="6262" width="9" style="178"/>
    <col min="6263" max="6263" width="9" style="178"/>
    <col min="6264" max="6264" width="9" style="178"/>
    <col min="6265" max="6265" width="9" style="178"/>
    <col min="6266" max="6266" width="9" style="178"/>
    <col min="6267" max="6267" width="9" style="178"/>
    <col min="6268" max="6268" width="9" style="178"/>
    <col min="6269" max="6269" width="9" style="178"/>
    <col min="6270" max="6270" width="9" style="178"/>
    <col min="6271" max="6271" width="9" style="178"/>
    <col min="6272" max="6272" width="9" style="178"/>
    <col min="6273" max="6273" width="9" style="178"/>
    <col min="6274" max="6274" width="9" style="178"/>
    <col min="6275" max="6275" width="9" style="178"/>
    <col min="6276" max="6276" width="9" style="178"/>
    <col min="6277" max="6277" width="9" style="178"/>
    <col min="6278" max="6278" width="9" style="178"/>
    <col min="6279" max="6279" width="9" style="178"/>
    <col min="6280" max="6280" width="9" style="178"/>
    <col min="6281" max="6281" width="9" style="178"/>
    <col min="6282" max="6282" width="9" style="178"/>
    <col min="6283" max="6283" width="9" style="178"/>
    <col min="6284" max="6284" width="9" style="178"/>
    <col min="6285" max="6285" width="9" style="178"/>
    <col min="6286" max="6286" width="9" style="178"/>
    <col min="6287" max="6287" width="9" style="178"/>
    <col min="6288" max="6288" width="9" style="178"/>
    <col min="6289" max="6289" width="9" style="178"/>
    <col min="6290" max="6290" width="9" style="178"/>
    <col min="6291" max="6291" width="9" style="178"/>
    <col min="6292" max="6292" width="9" style="178"/>
    <col min="6293" max="6293" width="9" style="178"/>
    <col min="6294" max="6294" width="9" style="178"/>
    <col min="6295" max="6295" width="9" style="178"/>
    <col min="6296" max="6296" width="9" style="178"/>
    <col min="6297" max="6297" width="9" style="178"/>
    <col min="6298" max="6298" width="9" style="178"/>
    <col min="6299" max="6299" width="9" style="178"/>
    <col min="6300" max="6300" width="9" style="178"/>
    <col min="6301" max="6301" width="9" style="178"/>
    <col min="6302" max="6302" width="9" style="178"/>
    <col min="6303" max="6303" width="9" style="178"/>
    <col min="6304" max="6304" width="9" style="178"/>
    <col min="6305" max="6305" width="9" style="178"/>
    <col min="6306" max="6306" width="9" style="178"/>
    <col min="6307" max="6307" width="9" style="178"/>
    <col min="6308" max="6308" width="9" style="178"/>
    <col min="6309" max="6309" width="9" style="178"/>
    <col min="6310" max="6310" width="9" style="178"/>
    <col min="6311" max="6311" width="9" style="178"/>
    <col min="6312" max="6312" width="9" style="178"/>
    <col min="6313" max="6313" width="9" style="178"/>
    <col min="6314" max="6314" width="9" style="178"/>
    <col min="6315" max="6315" width="9" style="178"/>
    <col min="6316" max="6316" width="9" style="178"/>
    <col min="6317" max="6317" width="9" style="178"/>
    <col min="6318" max="6318" width="9" style="178"/>
    <col min="6319" max="6319" width="9" style="178"/>
    <col min="6320" max="6320" width="9" style="178"/>
    <col min="6321" max="6321" width="9" style="178"/>
    <col min="6322" max="6322" width="9" style="178"/>
    <col min="6323" max="6323" width="9" style="178"/>
    <col min="6324" max="6324" width="9" style="178"/>
    <col min="6325" max="6325" width="9" style="178"/>
    <col min="6326" max="6326" width="9" style="178"/>
    <col min="6327" max="6327" width="9" style="178"/>
    <col min="6328" max="6328" width="9" style="178"/>
    <col min="6329" max="6329" width="9" style="178"/>
    <col min="6330" max="6330" width="9" style="178"/>
    <col min="6331" max="6331" width="9" style="178"/>
    <col min="6332" max="6332" width="9" style="178"/>
    <col min="6333" max="6333" width="9" style="178"/>
    <col min="6334" max="6334" width="9" style="178"/>
    <col min="6335" max="6335" width="9" style="178"/>
    <col min="6336" max="6336" width="9" style="178"/>
    <col min="6337" max="6337" width="9" style="178"/>
    <col min="6338" max="6338" width="9" style="178"/>
    <col min="6339" max="6339" width="9" style="178"/>
    <col min="6340" max="6340" width="9" style="178"/>
    <col min="6341" max="6341" width="9" style="178"/>
    <col min="6342" max="6342" width="9" style="178"/>
    <col min="6343" max="6343" width="9" style="178"/>
    <col min="6344" max="6344" width="9" style="178"/>
    <col min="6345" max="6345" width="9" style="178"/>
    <col min="6346" max="6346" width="9" style="178"/>
    <col min="6347" max="6347" width="9" style="178"/>
    <col min="6348" max="6348" width="9" style="178"/>
    <col min="6349" max="6349" width="9" style="178"/>
    <col min="6350" max="6350" width="9" style="178"/>
    <col min="6351" max="6351" width="9" style="178"/>
    <col min="6352" max="6352" width="9" style="178"/>
    <col min="6353" max="6353" width="9" style="178"/>
    <col min="6354" max="6354" width="9" style="178"/>
    <col min="6355" max="6355" width="9" style="178"/>
    <col min="6356" max="6356" width="9" style="178"/>
    <col min="6357" max="6357" width="9" style="178"/>
    <col min="6358" max="6358" width="9" style="178"/>
    <col min="6359" max="6359" width="9" style="178"/>
    <col min="6360" max="6360" width="9" style="178"/>
    <col min="6361" max="6361" width="9" style="178"/>
    <col min="6362" max="6362" width="9" style="178"/>
    <col min="6363" max="6363" width="9" style="178"/>
    <col min="6364" max="6364" width="9" style="178"/>
    <col min="6365" max="6365" width="9" style="178"/>
    <col min="6366" max="6366" width="9" style="178"/>
    <col min="6367" max="6367" width="9" style="178"/>
    <col min="6368" max="6368" width="9" style="178"/>
    <col min="6369" max="6369" width="9" style="178"/>
    <col min="6370" max="6370" width="9" style="178"/>
    <col min="6371" max="6371" width="9" style="178"/>
    <col min="6372" max="6372" width="9" style="178"/>
    <col min="6373" max="6373" width="9" style="178"/>
    <col min="6374" max="6374" width="9" style="178"/>
    <col min="6375" max="6375" width="9" style="178"/>
    <col min="6376" max="6376" width="9" style="178"/>
    <col min="6377" max="6377" width="9" style="178"/>
    <col min="6378" max="6378" width="9" style="178"/>
    <col min="6379" max="6379" width="9" style="178"/>
    <col min="6380" max="6380" width="9" style="178"/>
    <col min="6381" max="6381" width="9" style="178"/>
    <col min="6382" max="6382" width="9" style="178"/>
    <col min="6383" max="6383" width="9" style="178"/>
    <col min="6384" max="6384" width="9" style="178"/>
    <col min="6385" max="6385" width="9" style="178"/>
    <col min="6386" max="6386" width="9" style="178"/>
    <col min="6387" max="6387" width="9" style="178"/>
    <col min="6388" max="6388" width="9" style="178"/>
    <col min="6389" max="6389" width="9" style="178"/>
    <col min="6390" max="6390" width="9" style="178"/>
    <col min="6391" max="6391" width="9" style="178"/>
    <col min="6392" max="6392" width="9" style="178"/>
    <col min="6393" max="6393" width="9" style="178"/>
    <col min="6394" max="6394" width="9" style="178"/>
    <col min="6395" max="6395" width="9" style="178"/>
    <col min="6396" max="6396" width="9" style="178"/>
    <col min="6397" max="6397" width="9" style="178"/>
    <col min="6398" max="6398" width="9" style="178"/>
    <col min="6399" max="6399" width="9" style="178"/>
    <col min="6400" max="6400" width="9" style="178"/>
    <col min="6401" max="6401" width="9" style="178"/>
    <col min="6402" max="6402" width="9" style="178"/>
    <col min="6403" max="6403" width="9" style="178"/>
    <col min="6404" max="6404" width="9" style="178"/>
    <col min="6405" max="6405" width="9" style="178"/>
    <col min="6406" max="6406" width="9" style="178"/>
    <col min="6407" max="6407" width="9" style="178"/>
    <col min="6408" max="6408" width="9" style="178"/>
    <col min="6409" max="6409" width="9" style="178"/>
    <col min="6410" max="6410" width="9" style="178"/>
    <col min="6411" max="6411" width="9" style="178"/>
    <col min="6412" max="6412" width="9" style="178"/>
    <col min="6413" max="6413" width="9" style="178"/>
    <col min="6414" max="6414" width="9" style="178"/>
    <col min="6415" max="6415" width="9" style="178"/>
    <col min="6416" max="6416" width="9" style="178"/>
    <col min="6417" max="6417" width="9" style="178"/>
    <col min="6418" max="6418" width="9" style="178"/>
    <col min="6419" max="6419" width="9" style="178"/>
    <col min="6420" max="6420" width="9" style="178"/>
    <col min="6421" max="6421" width="9" style="178"/>
    <col min="6422" max="6422" width="9" style="178"/>
    <col min="6423" max="6423" width="9" style="178"/>
    <col min="6424" max="6424" width="9" style="178"/>
    <col min="6425" max="6425" width="9" style="178"/>
    <col min="6426" max="6426" width="9" style="178"/>
    <col min="6427" max="6427" width="9" style="178"/>
    <col min="6428" max="6428" width="9" style="178"/>
    <col min="6429" max="6429" width="9" style="178"/>
    <col min="6430" max="6430" width="9" style="178"/>
    <col min="6431" max="6431" width="9" style="178"/>
    <col min="6432" max="6432" width="9" style="178"/>
    <col min="6433" max="6433" width="9" style="178"/>
    <col min="6434" max="6434" width="9" style="178"/>
    <col min="6435" max="6435" width="9" style="178"/>
    <col min="6436" max="6436" width="9" style="178"/>
    <col min="6437" max="6437" width="9" style="178"/>
    <col min="6438" max="6438" width="9" style="178"/>
    <col min="6439" max="6439" width="9" style="178"/>
    <col min="6440" max="6440" width="9" style="178"/>
    <col min="6441" max="6441" width="9" style="178"/>
    <col min="6442" max="6442" width="9" style="178"/>
    <col min="6443" max="6443" width="9" style="178"/>
    <col min="6444" max="6444" width="9" style="178"/>
    <col min="6445" max="6445" width="9" style="178"/>
    <col min="6446" max="6446" width="9" style="178"/>
    <col min="6447" max="6447" width="9" style="178"/>
    <col min="6448" max="6448" width="9" style="178"/>
    <col min="6449" max="6449" width="9" style="178"/>
    <col min="6450" max="6450" width="9" style="178"/>
    <col min="6451" max="6451" width="9" style="178"/>
    <col min="6452" max="6452" width="9" style="178"/>
    <col min="6453" max="6453" width="9" style="178"/>
    <col min="6454" max="6454" width="9" style="178"/>
    <col min="6455" max="6455" width="9" style="178"/>
    <col min="6456" max="6456" width="9" style="178"/>
    <col min="6457" max="6457" width="9" style="178"/>
    <col min="6458" max="6458" width="9" style="178"/>
    <col min="6459" max="6459" width="9" style="178"/>
    <col min="6460" max="6460" width="9" style="178"/>
    <col min="6461" max="6461" width="9" style="178"/>
    <col min="6462" max="6462" width="9" style="178"/>
    <col min="6463" max="6463" width="9" style="178"/>
    <col min="6464" max="6464" width="9" style="178"/>
    <col min="6465" max="6465" width="9" style="178"/>
    <col min="6466" max="6466" width="9" style="178"/>
    <col min="6467" max="6467" width="9" style="178"/>
    <col min="6468" max="6468" width="9" style="178"/>
    <col min="6469" max="6469" width="9" style="178"/>
    <col min="6470" max="6470" width="9" style="178"/>
    <col min="6471" max="6471" width="9" style="178"/>
    <col min="6472" max="6472" width="9" style="178"/>
    <col min="6473" max="6473" width="9" style="178"/>
    <col min="6474" max="6474" width="9" style="178"/>
    <col min="6475" max="6475" width="9" style="178"/>
    <col min="6476" max="6476" width="9" style="178"/>
    <col min="6477" max="6477" width="9" style="178"/>
    <col min="6478" max="6478" width="9" style="178"/>
    <col min="6479" max="6479" width="9" style="178"/>
    <col min="6480" max="6480" width="9" style="178"/>
    <col min="6481" max="6481" width="9" style="178"/>
    <col min="6482" max="6482" width="9" style="178"/>
    <col min="6483" max="6483" width="9" style="178"/>
    <col min="6484" max="6484" width="9" style="178"/>
    <col min="6485" max="6485" width="9" style="178"/>
    <col min="6486" max="6486" width="9" style="178"/>
    <col min="6487" max="6487" width="9" style="178"/>
    <col min="6488" max="6488" width="9" style="178"/>
    <col min="6489" max="6489" width="9" style="178"/>
    <col min="6490" max="6490" width="9" style="178"/>
    <col min="6491" max="6491" width="9" style="178"/>
    <col min="6492" max="6492" width="9" style="178"/>
    <col min="6493" max="6493" width="9" style="178"/>
    <col min="6494" max="6494" width="9" style="178"/>
    <col min="6495" max="6495" width="9" style="178"/>
    <col min="6496" max="6496" width="9" style="178"/>
    <col min="6497" max="6497" width="9" style="178"/>
    <col min="6498" max="6498" width="9" style="178"/>
    <col min="6499" max="6499" width="9" style="178"/>
    <col min="6500" max="6500" width="9" style="178"/>
    <col min="6501" max="6501" width="9" style="178"/>
    <col min="6502" max="6502" width="9" style="178"/>
    <col min="6503" max="6503" width="9" style="178"/>
    <col min="6504" max="6504" width="9" style="178"/>
    <col min="6505" max="6505" width="9" style="178"/>
    <col min="6506" max="6506" width="9" style="178"/>
    <col min="6507" max="6507" width="9" style="178"/>
    <col min="6508" max="6508" width="9" style="178"/>
    <col min="6509" max="6509" width="9" style="178"/>
    <col min="6510" max="6510" width="9" style="178"/>
    <col min="6511" max="6511" width="9" style="178"/>
    <col min="6512" max="6512" width="9" style="178"/>
    <col min="6513" max="6513" width="9" style="178"/>
    <col min="6514" max="6514" width="9" style="178"/>
    <col min="6515" max="6515" width="9" style="178"/>
    <col min="6516" max="6516" width="9" style="178"/>
    <col min="6517" max="6517" width="9" style="178"/>
    <col min="6518" max="6518" width="9" style="178"/>
    <col min="6519" max="6519" width="9" style="178"/>
    <col min="6520" max="6520" width="9" style="178"/>
    <col min="6521" max="6521" width="9" style="178"/>
    <col min="6522" max="6522" width="9" style="178"/>
    <col min="6523" max="6523" width="9" style="178"/>
    <col min="6524" max="6524" width="9" style="178"/>
    <col min="6525" max="6525" width="9" style="178"/>
    <col min="6526" max="6526" width="9" style="178"/>
    <col min="6527" max="6527" width="9" style="178"/>
    <col min="6528" max="6528" width="9" style="178"/>
    <col min="6529" max="6529" width="9" style="178"/>
    <col min="6530" max="6530" width="9" style="178"/>
    <col min="6531" max="6531" width="9" style="178"/>
    <col min="6532" max="6532" width="9" style="178"/>
    <col min="6533" max="6533" width="9" style="178"/>
    <col min="6534" max="6534" width="9" style="178"/>
    <col min="6535" max="6535" width="9" style="178"/>
    <col min="6536" max="6536" width="9" style="178"/>
    <col min="6537" max="6537" width="9" style="178"/>
    <col min="6538" max="6538" width="9" style="178"/>
    <col min="6539" max="6539" width="9" style="178"/>
    <col min="6540" max="6540" width="9" style="178"/>
    <col min="6541" max="6541" width="9" style="178"/>
    <col min="6542" max="6542" width="9" style="178"/>
    <col min="6543" max="6543" width="9" style="178"/>
    <col min="6544" max="6544" width="9" style="178"/>
    <col min="6545" max="6545" width="9" style="178"/>
    <col min="6546" max="6546" width="9" style="178"/>
    <col min="6547" max="6547" width="9" style="178"/>
    <col min="6548" max="6548" width="9" style="178"/>
    <col min="6549" max="6549" width="9" style="178"/>
    <col min="6550" max="6550" width="9" style="178"/>
    <col min="6551" max="6551" width="9" style="178"/>
    <col min="6552" max="6552" width="9" style="178"/>
    <col min="6553" max="6553" width="9" style="178"/>
    <col min="6554" max="6554" width="9" style="178"/>
    <col min="6555" max="6555" width="9" style="178"/>
    <col min="6556" max="6556" width="9" style="178"/>
    <col min="6557" max="6557" width="9" style="178"/>
    <col min="6558" max="6558" width="9" style="178"/>
    <col min="6559" max="6559" width="9" style="178"/>
    <col min="6560" max="6560" width="9" style="178"/>
    <col min="6561" max="6561" width="9" style="178"/>
    <col min="6562" max="6562" width="9" style="178"/>
    <col min="6563" max="6563" width="9" style="178"/>
    <col min="6564" max="6564" width="9" style="178"/>
    <col min="6565" max="6565" width="9" style="178"/>
    <col min="6566" max="6566" width="9" style="178"/>
    <col min="6567" max="6567" width="9" style="178"/>
    <col min="6568" max="6568" width="9" style="178"/>
    <col min="6569" max="6569" width="9" style="178"/>
    <col min="6570" max="6570" width="9" style="178"/>
    <col min="6571" max="6571" width="9" style="178"/>
    <col min="6572" max="6572" width="9" style="178"/>
    <col min="6573" max="6573" width="9" style="178"/>
    <col min="6574" max="6574" width="9" style="178"/>
    <col min="6575" max="6575" width="9" style="178"/>
    <col min="6576" max="6576" width="9" style="178"/>
    <col min="6577" max="6577" width="9" style="178"/>
    <col min="6578" max="6578" width="9" style="178"/>
    <col min="6579" max="6579" width="9" style="178"/>
    <col min="6580" max="6580" width="9" style="178"/>
    <col min="6581" max="6581" width="9" style="178"/>
    <col min="6582" max="6582" width="9" style="178"/>
    <col min="6583" max="6583" width="9" style="178"/>
    <col min="6584" max="6584" width="9" style="178"/>
    <col min="6585" max="6585" width="9" style="178"/>
    <col min="6586" max="6586" width="9" style="178"/>
    <col min="6587" max="6587" width="9" style="178"/>
    <col min="6588" max="6588" width="9" style="178"/>
    <col min="6589" max="6589" width="9" style="178"/>
    <col min="6590" max="6590" width="9" style="178"/>
    <col min="6591" max="6591" width="9" style="178"/>
    <col min="6592" max="6592" width="9" style="178"/>
    <col min="6593" max="6593" width="9" style="178"/>
    <col min="6594" max="6594" width="9" style="178"/>
    <col min="6595" max="6595" width="9" style="178"/>
    <col min="6596" max="6596" width="9" style="178"/>
    <col min="6597" max="6597" width="9" style="178"/>
    <col min="6598" max="6598" width="9" style="178"/>
    <col min="6599" max="6599" width="9" style="178"/>
    <col min="6600" max="6600" width="9" style="178"/>
    <col min="6601" max="6601" width="9" style="178"/>
    <col min="6602" max="6602" width="9" style="178"/>
    <col min="6603" max="6603" width="9" style="178"/>
    <col min="6604" max="6604" width="9" style="178"/>
    <col min="6605" max="6605" width="9" style="178"/>
    <col min="6606" max="6606" width="9" style="178"/>
    <col min="6607" max="6607" width="9" style="178"/>
    <col min="6608" max="6608" width="9" style="178"/>
    <col min="6609" max="6609" width="9" style="178"/>
    <col min="6610" max="6610" width="9" style="178"/>
    <col min="6611" max="6611" width="9" style="178"/>
    <col min="6612" max="6612" width="9" style="178"/>
    <col min="6613" max="6613" width="9" style="178"/>
    <col min="6614" max="6614" width="9" style="178"/>
    <col min="6615" max="6615" width="9" style="178"/>
    <col min="6616" max="6616" width="9" style="178"/>
    <col min="6617" max="6617" width="9" style="178"/>
    <col min="6618" max="6618" width="9" style="178"/>
    <col min="6619" max="6619" width="9" style="178"/>
    <col min="6620" max="6620" width="9" style="178"/>
    <col min="6621" max="6621" width="9" style="178"/>
    <col min="6622" max="6622" width="9" style="178"/>
    <col min="6623" max="6623" width="9" style="178"/>
    <col min="6624" max="6624" width="9" style="178"/>
    <col min="6625" max="6625" width="9" style="178"/>
    <col min="6626" max="6626" width="9" style="178"/>
    <col min="6627" max="6627" width="9" style="178"/>
    <col min="6628" max="6628" width="9" style="178"/>
    <col min="6629" max="6629" width="9" style="178"/>
    <col min="6630" max="6630" width="9" style="178"/>
    <col min="6631" max="6631" width="9" style="178"/>
    <col min="6632" max="6632" width="9" style="178"/>
    <col min="6633" max="6633" width="9" style="178"/>
    <col min="6634" max="6634" width="9" style="178"/>
    <col min="6635" max="6635" width="9" style="178"/>
    <col min="6636" max="6636" width="9" style="178"/>
    <col min="6637" max="6637" width="9" style="178"/>
    <col min="6638" max="6638" width="9" style="178"/>
    <col min="6639" max="6639" width="9" style="178"/>
    <col min="6640" max="6640" width="9" style="178"/>
    <col min="6641" max="6641" width="9" style="178"/>
    <col min="6642" max="6642" width="9" style="178"/>
    <col min="6643" max="6643" width="9" style="178"/>
    <col min="6644" max="6644" width="9" style="178"/>
    <col min="6645" max="6645" width="9" style="178"/>
    <col min="6646" max="6646" width="9" style="178"/>
    <col min="6647" max="6647" width="9" style="178"/>
    <col min="6648" max="6648" width="9" style="178"/>
    <col min="6649" max="6649" width="9" style="178"/>
    <col min="6650" max="6650" width="9" style="178"/>
    <col min="6651" max="6651" width="9" style="178"/>
    <col min="6652" max="6652" width="9" style="178"/>
    <col min="6653" max="6653" width="9" style="178"/>
    <col min="6654" max="6654" width="9" style="178"/>
    <col min="6655" max="6655" width="9" style="178"/>
    <col min="6656" max="6656" width="9" style="178"/>
    <col min="6657" max="6657" width="9" style="178"/>
    <col min="6658" max="6658" width="9" style="178"/>
    <col min="6659" max="6659" width="9" style="178"/>
    <col min="6660" max="6660" width="9" style="178"/>
    <col min="6661" max="6661" width="9" style="178"/>
    <col min="6662" max="6662" width="9" style="178"/>
    <col min="6663" max="6663" width="9" style="178"/>
    <col min="6664" max="6664" width="9" style="178"/>
    <col min="6665" max="6665" width="9" style="178"/>
    <col min="6666" max="6666" width="9" style="178"/>
    <col min="6667" max="6667" width="9" style="178"/>
    <col min="6668" max="6668" width="9" style="178"/>
    <col min="6669" max="6669" width="9" style="178"/>
    <col min="6670" max="6670" width="9" style="178"/>
    <col min="6671" max="6671" width="9" style="178"/>
    <col min="6672" max="6672" width="9" style="178"/>
    <col min="6673" max="6673" width="9" style="178"/>
    <col min="6674" max="6674" width="9" style="178"/>
    <col min="6675" max="6675" width="9" style="178"/>
    <col min="6676" max="6676" width="9" style="178"/>
    <col min="6677" max="6677" width="9" style="178"/>
    <col min="6678" max="6678" width="9" style="178"/>
    <col min="6679" max="6679" width="9" style="178"/>
    <col min="6680" max="6680" width="9" style="178"/>
    <col min="6681" max="6681" width="9" style="178"/>
    <col min="6682" max="6682" width="9" style="178"/>
    <col min="6683" max="6683" width="9" style="178"/>
    <col min="6684" max="6684" width="9" style="178"/>
    <col min="6685" max="6685" width="9" style="178"/>
    <col min="6686" max="6686" width="9" style="178"/>
    <col min="6687" max="6687" width="9" style="178"/>
    <col min="6688" max="6688" width="9" style="178"/>
    <col min="6689" max="6689" width="9" style="178"/>
    <col min="6690" max="6690" width="9" style="178"/>
    <col min="6691" max="6691" width="9" style="178"/>
    <col min="6692" max="6692" width="9" style="178"/>
    <col min="6693" max="6693" width="9" style="178"/>
    <col min="6694" max="6694" width="9" style="178"/>
    <col min="6695" max="6695" width="9" style="178"/>
    <col min="6696" max="6696" width="9" style="178"/>
    <col min="6697" max="6697" width="9" style="178"/>
    <col min="6698" max="6698" width="9" style="178"/>
    <col min="6699" max="6699" width="9" style="178"/>
    <col min="6700" max="6700" width="9" style="178"/>
    <col min="6701" max="6701" width="9" style="178"/>
    <col min="6702" max="6702" width="9" style="178"/>
    <col min="6703" max="6703" width="9" style="178"/>
    <col min="6704" max="6704" width="9" style="178"/>
    <col min="6705" max="6705" width="9" style="178"/>
    <col min="6706" max="6706" width="9" style="178"/>
    <col min="6707" max="6707" width="9" style="178"/>
    <col min="6708" max="6708" width="9" style="178"/>
    <col min="6709" max="6709" width="9" style="178"/>
    <col min="6710" max="6710" width="9" style="178"/>
    <col min="6711" max="6711" width="9" style="178"/>
    <col min="6712" max="6712" width="9" style="178"/>
    <col min="6713" max="6713" width="9" style="178"/>
    <col min="6714" max="6714" width="9" style="178"/>
    <col min="6715" max="6715" width="9" style="178"/>
    <col min="6716" max="6716" width="9" style="178"/>
    <col min="6717" max="6717" width="9" style="178"/>
    <col min="6718" max="6718" width="9" style="178"/>
    <col min="6719" max="6719" width="9" style="178"/>
    <col min="6720" max="6720" width="9" style="178"/>
    <col min="6721" max="6721" width="9" style="178"/>
    <col min="6722" max="6722" width="9" style="178"/>
    <col min="6723" max="6723" width="9" style="178"/>
    <col min="6724" max="6724" width="9" style="178"/>
    <col min="6725" max="6725" width="9" style="178"/>
    <col min="6726" max="6726" width="9" style="178"/>
    <col min="6727" max="6727" width="9" style="178"/>
    <col min="6728" max="6728" width="9" style="178"/>
    <col min="6729" max="6729" width="9" style="178"/>
    <col min="6730" max="6730" width="9" style="178"/>
    <col min="6731" max="6731" width="9" style="178"/>
    <col min="6732" max="6732" width="9" style="178"/>
    <col min="6733" max="6733" width="9" style="178"/>
    <col min="6734" max="6734" width="9" style="178"/>
    <col min="6735" max="6735" width="9" style="178"/>
    <col min="6736" max="6736" width="9" style="178"/>
    <col min="6737" max="6737" width="9" style="178"/>
    <col min="6738" max="6738" width="9" style="178"/>
    <col min="6739" max="6739" width="9" style="178"/>
    <col min="6740" max="6740" width="9" style="178"/>
    <col min="6741" max="6741" width="9" style="178"/>
    <col min="6742" max="6742" width="9" style="178"/>
    <col min="6743" max="6743" width="9" style="178"/>
    <col min="6744" max="6744" width="9" style="178"/>
    <col min="6745" max="6745" width="9" style="178"/>
    <col min="6746" max="6746" width="9" style="178"/>
    <col min="6747" max="6747" width="9" style="178"/>
    <col min="6748" max="6748" width="9" style="178"/>
    <col min="6749" max="6749" width="9" style="178"/>
    <col min="6750" max="6750" width="9" style="178"/>
    <col min="6751" max="6751" width="9" style="178"/>
    <col min="6752" max="6752" width="9" style="178"/>
    <col min="6753" max="6753" width="9" style="178"/>
    <col min="6754" max="6754" width="9" style="178"/>
    <col min="6755" max="6755" width="9" style="178"/>
    <col min="6756" max="6756" width="9" style="178"/>
    <col min="6757" max="6757" width="9" style="178"/>
    <col min="6758" max="6758" width="9" style="178"/>
    <col min="6759" max="6759" width="9" style="178"/>
    <col min="6760" max="6760" width="9" style="178"/>
    <col min="6761" max="6761" width="9" style="178"/>
    <col min="6762" max="6762" width="9" style="178"/>
    <col min="6763" max="6763" width="9" style="178"/>
    <col min="6764" max="6764" width="9" style="178"/>
    <col min="6765" max="6765" width="9" style="178"/>
    <col min="6766" max="6766" width="9" style="178"/>
    <col min="6767" max="6767" width="9" style="178"/>
    <col min="6768" max="6768" width="9" style="178"/>
    <col min="6769" max="6769" width="9" style="178"/>
    <col min="6770" max="6770" width="9" style="178"/>
    <col min="6771" max="6771" width="9" style="178"/>
    <col min="6772" max="6772" width="9" style="178"/>
    <col min="6773" max="6773" width="9" style="178"/>
    <col min="6774" max="6774" width="9" style="178"/>
    <col min="6775" max="6775" width="9" style="178"/>
    <col min="6776" max="6776" width="9" style="178"/>
    <col min="6777" max="6777" width="9" style="178"/>
    <col min="6778" max="6778" width="9" style="178"/>
    <col min="6779" max="6779" width="9" style="178"/>
    <col min="6780" max="6780" width="9" style="178"/>
    <col min="6781" max="6781" width="9" style="178"/>
    <col min="6782" max="6782" width="9" style="178"/>
    <col min="6783" max="6783" width="9" style="178"/>
    <col min="6784" max="6784" width="9" style="178"/>
    <col min="6785" max="6785" width="9" style="178"/>
    <col min="6786" max="6786" width="9" style="178"/>
    <col min="6787" max="6787" width="9" style="178"/>
    <col min="6788" max="6788" width="9" style="178"/>
    <col min="6789" max="6789" width="9" style="178"/>
    <col min="6790" max="6790" width="9" style="178"/>
    <col min="6791" max="6791" width="9" style="178"/>
    <col min="6792" max="6792" width="9" style="178"/>
    <col min="6793" max="6793" width="9" style="178"/>
    <col min="6794" max="6794" width="9" style="178"/>
    <col min="6795" max="6795" width="9" style="178"/>
    <col min="6796" max="6796" width="9" style="178"/>
    <col min="6797" max="6797" width="9" style="178"/>
    <col min="6798" max="6798" width="9" style="178"/>
    <col min="6799" max="6799" width="9" style="178"/>
    <col min="6800" max="6800" width="9" style="178"/>
    <col min="6801" max="6801" width="9" style="178"/>
    <col min="6802" max="6802" width="9" style="178"/>
    <col min="6803" max="6803" width="9" style="178"/>
    <col min="6804" max="6804" width="9" style="178"/>
    <col min="6805" max="6805" width="9" style="178"/>
    <col min="6806" max="6806" width="9" style="178"/>
    <col min="6807" max="6807" width="9" style="178"/>
    <col min="6808" max="6808" width="9" style="178"/>
    <col min="6809" max="6809" width="9" style="178"/>
    <col min="6810" max="6810" width="9" style="178"/>
    <col min="6811" max="6811" width="9" style="178"/>
    <col min="6812" max="6812" width="9" style="178"/>
    <col min="6813" max="6813" width="9" style="178"/>
    <col min="6814" max="6814" width="9" style="178"/>
    <col min="6815" max="6815" width="9" style="178"/>
    <col min="6816" max="6816" width="9" style="178"/>
    <col min="6817" max="6817" width="9" style="178"/>
    <col min="6818" max="6818" width="9" style="178"/>
    <col min="6819" max="6819" width="9" style="178"/>
    <col min="6820" max="6820" width="9" style="178"/>
    <col min="6821" max="6821" width="9" style="178"/>
    <col min="6822" max="6822" width="9" style="178"/>
    <col min="6823" max="6823" width="9" style="178"/>
    <col min="6824" max="6824" width="9" style="178"/>
    <col min="6825" max="6825" width="9" style="178"/>
    <col min="6826" max="6826" width="9" style="178"/>
    <col min="6827" max="6827" width="9" style="178"/>
    <col min="6828" max="6828" width="9" style="178"/>
    <col min="6829" max="6829" width="9" style="178"/>
    <col min="6830" max="6830" width="9" style="178"/>
    <col min="6831" max="6831" width="9" style="178"/>
    <col min="6832" max="6832" width="9" style="178"/>
    <col min="6833" max="6833" width="9" style="178"/>
    <col min="6834" max="6834" width="9" style="178"/>
    <col min="6835" max="6835" width="9" style="178"/>
    <col min="6836" max="6836" width="9" style="178"/>
    <col min="6837" max="6837" width="9" style="178"/>
    <col min="6838" max="6838" width="9" style="178"/>
    <col min="6839" max="6839" width="9" style="178"/>
    <col min="6840" max="6840" width="9" style="178"/>
    <col min="6841" max="6841" width="9" style="178"/>
    <col min="6842" max="6842" width="9" style="178"/>
    <col min="6843" max="6843" width="9" style="178"/>
    <col min="6844" max="6844" width="9" style="178"/>
    <col min="6845" max="6845" width="9" style="178"/>
    <col min="6846" max="6846" width="9" style="178"/>
    <col min="6847" max="6847" width="9" style="178"/>
    <col min="6848" max="6848" width="9" style="178"/>
    <col min="6849" max="6849" width="9" style="178"/>
    <col min="6850" max="6850" width="9" style="178"/>
    <col min="6851" max="6851" width="9" style="178"/>
    <col min="6852" max="6852" width="9" style="178"/>
    <col min="6853" max="6853" width="9" style="178"/>
    <col min="6854" max="6854" width="9" style="178"/>
    <col min="6855" max="6855" width="9" style="178"/>
    <col min="6856" max="6856" width="9" style="178"/>
    <col min="6857" max="6857" width="9" style="178"/>
    <col min="6858" max="6858" width="9" style="178"/>
    <col min="6859" max="6859" width="9" style="178"/>
    <col min="6860" max="6860" width="9" style="178"/>
    <col min="6861" max="6861" width="9" style="178"/>
    <col min="6862" max="6862" width="9" style="178"/>
    <col min="6863" max="6863" width="9" style="178"/>
    <col min="6864" max="6864" width="9" style="178"/>
    <col min="6865" max="6865" width="9" style="178"/>
    <col min="6866" max="6866" width="9" style="178"/>
    <col min="6867" max="6867" width="9" style="178"/>
    <col min="6868" max="6868" width="9" style="178"/>
    <col min="6869" max="6869" width="9" style="178"/>
    <col min="6870" max="6870" width="9" style="178"/>
    <col min="6871" max="6871" width="9" style="178"/>
    <col min="6872" max="6872" width="9" style="178"/>
    <col min="6873" max="6873" width="9" style="178"/>
    <col min="6874" max="6874" width="9" style="178"/>
    <col min="6875" max="6875" width="9" style="178"/>
    <col min="6876" max="6876" width="9" style="178"/>
    <col min="6877" max="6877" width="9" style="178"/>
    <col min="6878" max="6878" width="9" style="178"/>
    <col min="6879" max="6879" width="9" style="178"/>
    <col min="6880" max="6880" width="9" style="178"/>
    <col min="6881" max="6881" width="9" style="178"/>
    <col min="6882" max="6882" width="9" style="178"/>
    <col min="6883" max="6883" width="9" style="178"/>
    <col min="6884" max="6884" width="9" style="178"/>
    <col min="6885" max="6885" width="9" style="178"/>
    <col min="6886" max="6886" width="9" style="178"/>
    <col min="6887" max="6887" width="9" style="178"/>
    <col min="6888" max="6888" width="9" style="178"/>
    <col min="6889" max="6889" width="9" style="178"/>
    <col min="6890" max="6890" width="9" style="178"/>
    <col min="6891" max="6891" width="9" style="178"/>
    <col min="6892" max="6892" width="9" style="178"/>
    <col min="6893" max="6893" width="9" style="178"/>
    <col min="6894" max="6894" width="9" style="178"/>
    <col min="6895" max="6895" width="9" style="178"/>
    <col min="6896" max="6896" width="9" style="178"/>
    <col min="6897" max="6897" width="9" style="178"/>
    <col min="6898" max="6898" width="9" style="178"/>
    <col min="6899" max="6899" width="9" style="178"/>
    <col min="6900" max="6900" width="9" style="178"/>
    <col min="6901" max="6901" width="9" style="178"/>
    <col min="6902" max="6902" width="9" style="178"/>
    <col min="6903" max="6903" width="9" style="178"/>
    <col min="6904" max="6904" width="9" style="178"/>
    <col min="6905" max="6905" width="9" style="178"/>
    <col min="6906" max="6906" width="9" style="178"/>
    <col min="6907" max="6907" width="9" style="178"/>
    <col min="6908" max="6908" width="9" style="178"/>
    <col min="6909" max="6909" width="9" style="178"/>
    <col min="6910" max="6910" width="9" style="178"/>
    <col min="6911" max="6911" width="9" style="178"/>
    <col min="6912" max="6912" width="9" style="178"/>
    <col min="6913" max="6913" width="9" style="178"/>
    <col min="6914" max="6914" width="9" style="178"/>
    <col min="6915" max="6915" width="9" style="178"/>
    <col min="6916" max="6916" width="9" style="178"/>
    <col min="6917" max="6917" width="9" style="178"/>
    <col min="6918" max="6918" width="9" style="178"/>
    <col min="6919" max="6919" width="9" style="178"/>
    <col min="6920" max="6920" width="9" style="178"/>
    <col min="6921" max="6921" width="9" style="178"/>
    <col min="6922" max="6922" width="9" style="178"/>
    <col min="6923" max="6923" width="9" style="178"/>
    <col min="6924" max="6924" width="9" style="178"/>
    <col min="6925" max="6925" width="9" style="178"/>
    <col min="6926" max="6926" width="9" style="178"/>
    <col min="6927" max="6927" width="9" style="178"/>
    <col min="6928" max="6928" width="9" style="178"/>
    <col min="6929" max="6929" width="9" style="178"/>
    <col min="6930" max="6930" width="9" style="178"/>
    <col min="6931" max="6931" width="9" style="178"/>
    <col min="6932" max="6932" width="9" style="178"/>
    <col min="6933" max="6933" width="9" style="178"/>
    <col min="6934" max="6934" width="9" style="178"/>
    <col min="6935" max="6935" width="9" style="178"/>
    <col min="6936" max="6936" width="9" style="178"/>
    <col min="6937" max="6937" width="9" style="178"/>
    <col min="6938" max="6938" width="9" style="178"/>
    <col min="6939" max="6939" width="9" style="178"/>
    <col min="6940" max="6940" width="9" style="178"/>
    <col min="6941" max="6941" width="9" style="178"/>
    <col min="6942" max="6942" width="9" style="178"/>
    <col min="6943" max="6943" width="9" style="178"/>
    <col min="6944" max="6944" width="9" style="178"/>
    <col min="6945" max="6945" width="9" style="178"/>
    <col min="6946" max="6946" width="9" style="178"/>
    <col min="6947" max="6947" width="9" style="178"/>
    <col min="6948" max="6948" width="9" style="178"/>
    <col min="6949" max="6949" width="9" style="178"/>
    <col min="6950" max="6950" width="9" style="178"/>
    <col min="6951" max="6951" width="9" style="178"/>
    <col min="6952" max="6952" width="9" style="178"/>
    <col min="6953" max="6953" width="9" style="178"/>
    <col min="6954" max="6954" width="9" style="178"/>
    <col min="6955" max="6955" width="9" style="178"/>
    <col min="6956" max="6956" width="9" style="178"/>
    <col min="6957" max="6957" width="9" style="178"/>
    <col min="6958" max="6958" width="9" style="178"/>
    <col min="6959" max="6959" width="9" style="178"/>
    <col min="6960" max="6960" width="9" style="178"/>
    <col min="6961" max="6961" width="9" style="178"/>
    <col min="6962" max="6962" width="9" style="178"/>
    <col min="6963" max="6963" width="9" style="178"/>
    <col min="6964" max="6964" width="9" style="178"/>
    <col min="6965" max="6965" width="9" style="178"/>
    <col min="6966" max="6966" width="9" style="178"/>
    <col min="6967" max="6967" width="9" style="178"/>
    <col min="6968" max="6968" width="9" style="178"/>
    <col min="6969" max="6969" width="9" style="178"/>
    <col min="6970" max="6970" width="9" style="178"/>
    <col min="6971" max="6971" width="9" style="178"/>
    <col min="6972" max="6972" width="9" style="178"/>
    <col min="6973" max="6973" width="9" style="178"/>
    <col min="6974" max="6974" width="9" style="178"/>
    <col min="6975" max="6975" width="9" style="178"/>
    <col min="6976" max="6976" width="9" style="178"/>
    <col min="6977" max="6977" width="9" style="178"/>
    <col min="6978" max="6978" width="9" style="178"/>
    <col min="6979" max="6979" width="9" style="178"/>
    <col min="6980" max="6980" width="9" style="178"/>
    <col min="6981" max="6981" width="9" style="178"/>
    <col min="6982" max="6982" width="9" style="178"/>
    <col min="6983" max="6983" width="9" style="178"/>
    <col min="6984" max="6984" width="9" style="178"/>
    <col min="6985" max="6985" width="9" style="178"/>
    <col min="6986" max="6986" width="9" style="178"/>
    <col min="6987" max="6987" width="9" style="178"/>
    <col min="6988" max="6988" width="9" style="178"/>
    <col min="6989" max="6989" width="9" style="178"/>
    <col min="6990" max="6990" width="9" style="178"/>
    <col min="6991" max="6991" width="9" style="178"/>
    <col min="6992" max="6992" width="9" style="178"/>
    <col min="6993" max="6993" width="9" style="178"/>
    <col min="6994" max="6994" width="9" style="178"/>
    <col min="6995" max="6995" width="9" style="178"/>
    <col min="6996" max="6996" width="9" style="178"/>
    <col min="6997" max="6997" width="9" style="178"/>
    <col min="6998" max="6998" width="9" style="178"/>
    <col min="6999" max="6999" width="9" style="178"/>
    <col min="7000" max="7000" width="9" style="178"/>
    <col min="7001" max="7001" width="9" style="178"/>
    <col min="7002" max="7002" width="9" style="178"/>
    <col min="7003" max="7003" width="9" style="178"/>
    <col min="7004" max="7004" width="9" style="178"/>
    <col min="7005" max="7005" width="9" style="178"/>
    <col min="7006" max="7006" width="9" style="178"/>
    <col min="7007" max="7007" width="9" style="178"/>
    <col min="7008" max="7008" width="9" style="178"/>
    <col min="7009" max="7009" width="9" style="178"/>
    <col min="7010" max="7010" width="9" style="178"/>
    <col min="7011" max="7011" width="9" style="178"/>
    <col min="7012" max="7012" width="9" style="178"/>
    <col min="7013" max="7013" width="9" style="178"/>
    <col min="7014" max="7014" width="9" style="178"/>
    <col min="7015" max="7015" width="9" style="178"/>
    <col min="7016" max="7016" width="9" style="178"/>
    <col min="7017" max="7017" width="9" style="178"/>
    <col min="7018" max="7018" width="9" style="178"/>
    <col min="7019" max="7019" width="9" style="178"/>
    <col min="7020" max="7020" width="9" style="178"/>
    <col min="7021" max="7021" width="9" style="178"/>
    <col min="7022" max="7022" width="9" style="178"/>
    <col min="7023" max="7023" width="9" style="178"/>
    <col min="7024" max="7024" width="9" style="178"/>
    <col min="7025" max="7025" width="9" style="178"/>
    <col min="7026" max="7026" width="9" style="178"/>
    <col min="7027" max="7027" width="9" style="178"/>
    <col min="7028" max="7028" width="9" style="178"/>
    <col min="7029" max="7029" width="9" style="178"/>
    <col min="7030" max="7030" width="9" style="178"/>
    <col min="7031" max="7031" width="9" style="178"/>
    <col min="7032" max="7032" width="9" style="178"/>
    <col min="7033" max="7033" width="9" style="178"/>
    <col min="7034" max="7034" width="9" style="178"/>
    <col min="7035" max="7035" width="9" style="178"/>
    <col min="7036" max="7036" width="9" style="178"/>
    <col min="7037" max="7037" width="9" style="178"/>
    <col min="7038" max="7038" width="9" style="178"/>
    <col min="7039" max="7039" width="9" style="178"/>
    <col min="7040" max="7040" width="9" style="178"/>
    <col min="7041" max="7041" width="9" style="178"/>
    <col min="7042" max="7042" width="9" style="178"/>
    <col min="7043" max="7043" width="9" style="178"/>
    <col min="7044" max="7044" width="9" style="178"/>
    <col min="7045" max="7045" width="9" style="178"/>
    <col min="7046" max="7046" width="9" style="178"/>
    <col min="7047" max="7047" width="9" style="178"/>
    <col min="7048" max="7048" width="9" style="178"/>
    <col min="7049" max="7049" width="9" style="178"/>
    <col min="7050" max="7050" width="9" style="178"/>
    <col min="7051" max="7051" width="9" style="178"/>
    <col min="7052" max="7052" width="9" style="178"/>
    <col min="7053" max="7053" width="9" style="178"/>
    <col min="7054" max="7054" width="9" style="178"/>
    <col min="7055" max="7055" width="9" style="178"/>
    <col min="7056" max="7056" width="9" style="178"/>
    <col min="7057" max="7057" width="9" style="178"/>
    <col min="7058" max="7058" width="9" style="178"/>
    <col min="7059" max="7059" width="9" style="178"/>
    <col min="7060" max="7060" width="9" style="178"/>
    <col min="7061" max="7061" width="9" style="178"/>
    <col min="7062" max="7062" width="9" style="178"/>
    <col min="7063" max="7063" width="9" style="178"/>
    <col min="7064" max="7064" width="9" style="178"/>
    <col min="7065" max="7065" width="9" style="178"/>
    <col min="7066" max="7066" width="9" style="178"/>
    <col min="7067" max="7067" width="9" style="178"/>
    <col min="7068" max="7068" width="9" style="178"/>
    <col min="7069" max="7069" width="9" style="178"/>
    <col min="7070" max="7070" width="9" style="178"/>
    <col min="7071" max="7071" width="9" style="178"/>
    <col min="7072" max="7072" width="9" style="178"/>
    <col min="7073" max="7073" width="9" style="178"/>
    <col min="7074" max="7074" width="9" style="178"/>
    <col min="7075" max="7075" width="9" style="178"/>
    <col min="7076" max="7076" width="9" style="178"/>
    <col min="7077" max="7077" width="9" style="178"/>
    <col min="7078" max="7078" width="9" style="178"/>
    <col min="7079" max="7079" width="9" style="178"/>
    <col min="7080" max="7080" width="9" style="178"/>
    <col min="7081" max="7081" width="9" style="178"/>
    <col min="7082" max="7082" width="9" style="178"/>
    <col min="7083" max="7083" width="9" style="178"/>
    <col min="7084" max="7084" width="9" style="178"/>
    <col min="7085" max="7085" width="9" style="178"/>
    <col min="7086" max="7086" width="9" style="178"/>
    <col min="7087" max="7087" width="9" style="178"/>
    <col min="7088" max="7088" width="9" style="178"/>
    <col min="7089" max="7089" width="9" style="178"/>
    <col min="7090" max="7090" width="9" style="178"/>
    <col min="7091" max="7091" width="9" style="178"/>
    <col min="7092" max="7092" width="9" style="178"/>
    <col min="7093" max="7093" width="9" style="178"/>
    <col min="7094" max="7094" width="9" style="178"/>
    <col min="7095" max="7095" width="9" style="178"/>
    <col min="7096" max="7096" width="9" style="178"/>
    <col min="7097" max="7097" width="9" style="178"/>
    <col min="7098" max="7098" width="9" style="178"/>
    <col min="7099" max="7099" width="9" style="178"/>
    <col min="7100" max="7100" width="9" style="178"/>
    <col min="7101" max="7101" width="9" style="178"/>
    <col min="7102" max="7102" width="9" style="178"/>
    <col min="7103" max="7103" width="9" style="178"/>
    <col min="7104" max="7104" width="9" style="178"/>
    <col min="7105" max="7105" width="9" style="178"/>
    <col min="7106" max="7106" width="9" style="178"/>
    <col min="7107" max="7107" width="9" style="178"/>
    <col min="7108" max="7108" width="9" style="178"/>
    <col min="7109" max="7109" width="9" style="178"/>
    <col min="7110" max="7110" width="9" style="178"/>
    <col min="7111" max="7111" width="9" style="178"/>
    <col min="7112" max="7112" width="9" style="178"/>
    <col min="7113" max="7113" width="9" style="178"/>
    <col min="7114" max="7114" width="9" style="178"/>
    <col min="7115" max="7115" width="9" style="178"/>
    <col min="7116" max="7116" width="9" style="178"/>
    <col min="7117" max="7117" width="9" style="178"/>
    <col min="7118" max="7118" width="9" style="178"/>
    <col min="7119" max="7119" width="9" style="178"/>
    <col min="7120" max="7120" width="9" style="178"/>
    <col min="7121" max="7121" width="9" style="178"/>
    <col min="7122" max="7122" width="9" style="178"/>
    <col min="7123" max="7123" width="9" style="178"/>
    <col min="7124" max="7124" width="9" style="178"/>
    <col min="7125" max="7125" width="9" style="178"/>
    <col min="7126" max="7126" width="9" style="178"/>
    <col min="7127" max="7127" width="9" style="178"/>
    <col min="7128" max="7128" width="9" style="178"/>
    <col min="7129" max="7129" width="9" style="178"/>
    <col min="7130" max="7130" width="9" style="178"/>
    <col min="7131" max="7131" width="9" style="178"/>
    <col min="7132" max="7132" width="9" style="178"/>
    <col min="7133" max="7133" width="9" style="178"/>
    <col min="7134" max="7134" width="9" style="178"/>
    <col min="7135" max="7135" width="9" style="178"/>
    <col min="7136" max="7136" width="9" style="178"/>
    <col min="7137" max="7137" width="9" style="178"/>
    <col min="7138" max="7138" width="9" style="178"/>
    <col min="7139" max="7139" width="9" style="178"/>
    <col min="7140" max="7140" width="9" style="178"/>
    <col min="7141" max="7141" width="9" style="178"/>
    <col min="7142" max="7142" width="9" style="178"/>
    <col min="7143" max="7143" width="9" style="178"/>
    <col min="7144" max="7144" width="9" style="178"/>
    <col min="7145" max="7145" width="9" style="178"/>
    <col min="7146" max="7146" width="9" style="178"/>
    <col min="7147" max="7147" width="9" style="178"/>
    <col min="7148" max="7148" width="9" style="178"/>
    <col min="7149" max="7149" width="9" style="178"/>
    <col min="7150" max="7150" width="9" style="178"/>
    <col min="7151" max="7151" width="9" style="178"/>
    <col min="7152" max="7152" width="9" style="178"/>
    <col min="7153" max="7153" width="9" style="178"/>
    <col min="7154" max="7154" width="9" style="178"/>
    <col min="7155" max="7155" width="9" style="178"/>
    <col min="7156" max="7156" width="9" style="178"/>
    <col min="7157" max="7157" width="9" style="178"/>
    <col min="7158" max="7158" width="9" style="178"/>
    <col min="7159" max="7159" width="9" style="178"/>
    <col min="7160" max="7160" width="9" style="178"/>
    <col min="7161" max="7161" width="9" style="178"/>
    <col min="7162" max="7162" width="9" style="178"/>
    <col min="7163" max="7163" width="9" style="178"/>
    <col min="7164" max="7164" width="9" style="178"/>
    <col min="7165" max="7165" width="9" style="178"/>
    <col min="7166" max="7166" width="9" style="178"/>
    <col min="7167" max="7167" width="9" style="178"/>
    <col min="7168" max="7168" width="9" style="178"/>
    <col min="7169" max="7169" width="9" style="178"/>
    <col min="7170" max="7170" width="9" style="178"/>
    <col min="7171" max="7171" width="9" style="178"/>
    <col min="7172" max="7172" width="9" style="178"/>
    <col min="7173" max="7173" width="9" style="178"/>
    <col min="7174" max="7174" width="9" style="178"/>
    <col min="7175" max="7175" width="9" style="178"/>
    <col min="7176" max="7176" width="9" style="178"/>
    <col min="7177" max="7177" width="9" style="178"/>
    <col min="7178" max="7178" width="9" style="178"/>
    <col min="7179" max="7179" width="9" style="178"/>
    <col min="7180" max="7180" width="9" style="178"/>
    <col min="7181" max="7181" width="9" style="178"/>
    <col min="7182" max="7182" width="9" style="178"/>
    <col min="7183" max="7183" width="9" style="178"/>
    <col min="7184" max="7184" width="9" style="178"/>
    <col min="7185" max="7185" width="9" style="178"/>
    <col min="7186" max="7186" width="9" style="178"/>
    <col min="7187" max="7187" width="9" style="178"/>
    <col min="7188" max="7188" width="9" style="178"/>
    <col min="7189" max="7189" width="9" style="178"/>
    <col min="7190" max="7190" width="9" style="178"/>
    <col min="7191" max="7191" width="9" style="178"/>
    <col min="7192" max="7192" width="9" style="178"/>
    <col min="7193" max="7193" width="9" style="178"/>
    <col min="7194" max="7194" width="9" style="178"/>
    <col min="7195" max="7195" width="9" style="178"/>
    <col min="7196" max="7196" width="9" style="178"/>
    <col min="7197" max="7197" width="9" style="178"/>
    <col min="7198" max="7198" width="9" style="178"/>
    <col min="7199" max="7199" width="9" style="178"/>
    <col min="7200" max="7200" width="9" style="178"/>
    <col min="7201" max="7201" width="9" style="178"/>
    <col min="7202" max="7202" width="9" style="178"/>
    <col min="7203" max="7203" width="9" style="178"/>
    <col min="7204" max="7204" width="9" style="178"/>
    <col min="7205" max="7205" width="9" style="178"/>
    <col min="7206" max="7206" width="9" style="178"/>
    <col min="7207" max="7207" width="9" style="178"/>
    <col min="7208" max="7208" width="9" style="178"/>
    <col min="7209" max="7209" width="9" style="178"/>
    <col min="7210" max="7210" width="9" style="178"/>
    <col min="7211" max="7211" width="9" style="178"/>
    <col min="7212" max="7212" width="9" style="178"/>
    <col min="7213" max="7213" width="9" style="178"/>
    <col min="7214" max="7214" width="9" style="178"/>
    <col min="7215" max="7215" width="9" style="178"/>
    <col min="7216" max="7216" width="9" style="178"/>
    <col min="7217" max="7217" width="9" style="178"/>
    <col min="7218" max="7218" width="9" style="178"/>
    <col min="7219" max="7219" width="9" style="178"/>
    <col min="7220" max="7220" width="9" style="178"/>
    <col min="7221" max="7221" width="9" style="178"/>
    <col min="7222" max="7222" width="9" style="178"/>
    <col min="7223" max="7223" width="9" style="178"/>
    <col min="7224" max="7224" width="9" style="178"/>
    <col min="7225" max="7225" width="9" style="178"/>
    <col min="7226" max="7226" width="9" style="178"/>
    <col min="7227" max="7227" width="9" style="178"/>
    <col min="7228" max="7228" width="9" style="178"/>
    <col min="7229" max="7229" width="9" style="178"/>
    <col min="7230" max="7230" width="9" style="178"/>
    <col min="7231" max="7231" width="9" style="178"/>
    <col min="7232" max="7232" width="9" style="178"/>
    <col min="7233" max="7233" width="9" style="178"/>
    <col min="7234" max="7234" width="9" style="178"/>
    <col min="7235" max="7235" width="9" style="178"/>
    <col min="7236" max="7236" width="9" style="178"/>
    <col min="7237" max="7237" width="9" style="178"/>
    <col min="7238" max="7238" width="9" style="178"/>
    <col min="7239" max="7239" width="9" style="178"/>
    <col min="7240" max="7240" width="9" style="178"/>
    <col min="7241" max="7241" width="9" style="178"/>
    <col min="7242" max="7242" width="9" style="178"/>
    <col min="7243" max="7243" width="9" style="178"/>
    <col min="7244" max="7244" width="9" style="178"/>
    <col min="7245" max="7245" width="9" style="178"/>
    <col min="7246" max="7246" width="9" style="178"/>
    <col min="7247" max="7247" width="9" style="178"/>
    <col min="7248" max="7248" width="9" style="178"/>
    <col min="7249" max="7249" width="9" style="178"/>
    <col min="7250" max="7250" width="9" style="178"/>
    <col min="7251" max="7251" width="9" style="178"/>
    <col min="7252" max="7252" width="9" style="178"/>
    <col min="7253" max="7253" width="9" style="178"/>
    <col min="7254" max="7254" width="9" style="178"/>
    <col min="7255" max="7255" width="9" style="178"/>
    <col min="7256" max="7256" width="9" style="178"/>
    <col min="7257" max="7257" width="9" style="178"/>
    <col min="7258" max="7258" width="9" style="178"/>
    <col min="7259" max="7259" width="9" style="178"/>
    <col min="7260" max="7260" width="9" style="178"/>
    <col min="7261" max="7261" width="9" style="178"/>
    <col min="7262" max="7262" width="9" style="178"/>
    <col min="7263" max="7263" width="9" style="178"/>
    <col min="7264" max="7264" width="9" style="178"/>
    <col min="7265" max="7265" width="9" style="178"/>
    <col min="7266" max="7266" width="9" style="178"/>
    <col min="7267" max="7267" width="9" style="178"/>
    <col min="7268" max="7268" width="9" style="178"/>
    <col min="7269" max="7269" width="9" style="178"/>
    <col min="7270" max="7270" width="9" style="178"/>
    <col min="7271" max="7271" width="9" style="178"/>
    <col min="7272" max="7272" width="9" style="178"/>
    <col min="7273" max="7273" width="9" style="178"/>
    <col min="7274" max="7274" width="9" style="178"/>
    <col min="7275" max="7275" width="9" style="178"/>
    <col min="7276" max="7276" width="9" style="178"/>
    <col min="7277" max="7277" width="9" style="178"/>
    <col min="7278" max="7278" width="9" style="178"/>
    <col min="7279" max="7279" width="9" style="178"/>
    <col min="7280" max="7280" width="9" style="178"/>
    <col min="7281" max="7281" width="9" style="178"/>
    <col min="7282" max="7282" width="9" style="178"/>
    <col min="7283" max="7283" width="9" style="178"/>
    <col min="7284" max="7284" width="9" style="178"/>
    <col min="7285" max="7285" width="9" style="178"/>
    <col min="7286" max="7286" width="9" style="178"/>
    <col min="7287" max="7287" width="9" style="178"/>
    <col min="7288" max="7288" width="9" style="178"/>
    <col min="7289" max="7289" width="9" style="178"/>
    <col min="7290" max="7290" width="9" style="178"/>
    <col min="7291" max="7291" width="9" style="178"/>
    <col min="7292" max="7292" width="9" style="178"/>
    <col min="7293" max="7293" width="9" style="178"/>
    <col min="7294" max="7294" width="9" style="178"/>
    <col min="7295" max="7295" width="9" style="178"/>
    <col min="7296" max="7296" width="9" style="178"/>
    <col min="7297" max="7297" width="9" style="178"/>
    <col min="7298" max="7298" width="9" style="178"/>
    <col min="7299" max="7299" width="9" style="178"/>
    <col min="7300" max="7300" width="9" style="178"/>
    <col min="7301" max="7301" width="9" style="178"/>
    <col min="7302" max="7302" width="9" style="178"/>
    <col min="7303" max="7303" width="9" style="178"/>
    <col min="7304" max="7304" width="9" style="178"/>
    <col min="7305" max="7305" width="9" style="178"/>
    <col min="7306" max="7306" width="9" style="178"/>
    <col min="7307" max="7307" width="9" style="178"/>
    <col min="7308" max="7308" width="9" style="178"/>
    <col min="7309" max="7309" width="9" style="178"/>
    <col min="7310" max="7310" width="9" style="178"/>
    <col min="7311" max="7311" width="9" style="178"/>
    <col min="7312" max="7312" width="9" style="178"/>
    <col min="7313" max="7313" width="9" style="178"/>
    <col min="7314" max="7314" width="9" style="178"/>
    <col min="7315" max="7315" width="9" style="178"/>
    <col min="7316" max="7316" width="9" style="178"/>
    <col min="7317" max="7317" width="9" style="178"/>
    <col min="7318" max="7318" width="9" style="178"/>
    <col min="7319" max="7319" width="9" style="178"/>
    <col min="7320" max="7320" width="9" style="178"/>
    <col min="7321" max="7321" width="9" style="178"/>
    <col min="7322" max="7322" width="9" style="178"/>
    <col min="7323" max="7323" width="9" style="178"/>
    <col min="7324" max="7324" width="9" style="178"/>
    <col min="7325" max="7325" width="9" style="178"/>
    <col min="7326" max="7326" width="9" style="178"/>
    <col min="7327" max="7327" width="9" style="178"/>
    <col min="7328" max="7328" width="9" style="178"/>
    <col min="7329" max="7329" width="9" style="178"/>
    <col min="7330" max="7330" width="9" style="178"/>
    <col min="7331" max="7331" width="9" style="178"/>
    <col min="7332" max="7332" width="9" style="178"/>
    <col min="7333" max="7333" width="9" style="178"/>
    <col min="7334" max="7334" width="9" style="178"/>
    <col min="7335" max="7335" width="9" style="178"/>
    <col min="7336" max="7336" width="9" style="178"/>
    <col min="7337" max="7337" width="9" style="178"/>
    <col min="7338" max="7338" width="9" style="178"/>
    <col min="7339" max="7339" width="9" style="178"/>
    <col min="7340" max="7340" width="9" style="178"/>
    <col min="7341" max="7341" width="9" style="178"/>
    <col min="7342" max="7342" width="9" style="178"/>
    <col min="7343" max="7343" width="9" style="178"/>
    <col min="7344" max="7344" width="9" style="178"/>
    <col min="7345" max="7345" width="9" style="178"/>
    <col min="7346" max="7346" width="9" style="178"/>
    <col min="7347" max="7347" width="9" style="178"/>
    <col min="7348" max="7348" width="9" style="178"/>
    <col min="7349" max="7349" width="9" style="178"/>
    <col min="7350" max="7350" width="9" style="178"/>
    <col min="7351" max="7351" width="9" style="178"/>
    <col min="7352" max="7352" width="9" style="178"/>
    <col min="7353" max="7353" width="9" style="178"/>
    <col min="7354" max="7354" width="9" style="178"/>
    <col min="7355" max="7355" width="9" style="178"/>
    <col min="7356" max="7356" width="9" style="178"/>
    <col min="7357" max="7357" width="9" style="178"/>
    <col min="7358" max="7358" width="9" style="178"/>
    <col min="7359" max="7359" width="9" style="178"/>
    <col min="7360" max="7360" width="9" style="178"/>
    <col min="7361" max="7361" width="9" style="178"/>
    <col min="7362" max="7362" width="9" style="178"/>
    <col min="7363" max="7363" width="9" style="178"/>
    <col min="7364" max="7364" width="9" style="178"/>
    <col min="7365" max="7365" width="9" style="178"/>
    <col min="7366" max="7366" width="9" style="178"/>
    <col min="7367" max="7367" width="9" style="178"/>
    <col min="7368" max="7368" width="9" style="178"/>
    <col min="7369" max="7369" width="9" style="178"/>
    <col min="7370" max="7370" width="9" style="178"/>
    <col min="7371" max="7371" width="9" style="178"/>
    <col min="7372" max="7372" width="9" style="178"/>
    <col min="7373" max="7373" width="9" style="178"/>
    <col min="7374" max="7374" width="9" style="178"/>
    <col min="7375" max="7375" width="9" style="178"/>
    <col min="7376" max="7376" width="9" style="178"/>
    <col min="7377" max="7377" width="9" style="178"/>
    <col min="7378" max="7378" width="9" style="178"/>
    <col min="7379" max="7379" width="9" style="178"/>
    <col min="7380" max="7380" width="9" style="178"/>
    <col min="7381" max="7381" width="9" style="178"/>
    <col min="7382" max="7382" width="9" style="178"/>
    <col min="7383" max="7383" width="9" style="178"/>
    <col min="7384" max="7384" width="9" style="178"/>
    <col min="7385" max="7385" width="9" style="178"/>
    <col min="7386" max="7386" width="9" style="178"/>
    <col min="7387" max="7387" width="9" style="178"/>
    <col min="7388" max="7388" width="9" style="178"/>
    <col min="7389" max="7389" width="9" style="178"/>
    <col min="7390" max="7390" width="9" style="178"/>
    <col min="7391" max="7391" width="9" style="178"/>
    <col min="7392" max="7392" width="9" style="178"/>
    <col min="7393" max="7393" width="9" style="178"/>
    <col min="7394" max="7394" width="9" style="178"/>
    <col min="7395" max="7395" width="9" style="178"/>
    <col min="7396" max="7396" width="9" style="178"/>
    <col min="7397" max="7397" width="9" style="178"/>
    <col min="7398" max="7398" width="9" style="178"/>
    <col min="7399" max="7399" width="9" style="178"/>
    <col min="7400" max="7400" width="9" style="178"/>
    <col min="7401" max="7401" width="9" style="178"/>
    <col min="7402" max="7402" width="9" style="178"/>
    <col min="7403" max="7403" width="9" style="178"/>
    <col min="7404" max="7404" width="9" style="178"/>
    <col min="7405" max="7405" width="9" style="178"/>
    <col min="7406" max="7406" width="9" style="178"/>
    <col min="7407" max="7407" width="9" style="178"/>
    <col min="7408" max="7408" width="9" style="178"/>
    <col min="7409" max="7409" width="9" style="178"/>
    <col min="7410" max="7410" width="9" style="178"/>
    <col min="7411" max="7411" width="9" style="178"/>
    <col min="7412" max="7412" width="9" style="178"/>
    <col min="7413" max="7413" width="9" style="178"/>
    <col min="7414" max="7414" width="9" style="178"/>
    <col min="7415" max="7415" width="9" style="178"/>
    <col min="7416" max="7416" width="9" style="178"/>
    <col min="7417" max="7417" width="9" style="178"/>
    <col min="7418" max="7418" width="9" style="178"/>
    <col min="7419" max="7419" width="9" style="178"/>
    <col min="7420" max="7420" width="9" style="178"/>
    <col min="7421" max="7421" width="9" style="178"/>
    <col min="7422" max="7422" width="9" style="178"/>
    <col min="7423" max="7423" width="9" style="178"/>
    <col min="7424" max="7424" width="9" style="178"/>
    <col min="7425" max="7425" width="9" style="178"/>
    <col min="7426" max="7426" width="9" style="178"/>
    <col min="7427" max="7427" width="9" style="178"/>
    <col min="7428" max="7428" width="9" style="178"/>
    <col min="7429" max="7429" width="9" style="178"/>
    <col min="7430" max="7430" width="9" style="178"/>
    <col min="7431" max="7431" width="9" style="178"/>
    <col min="7432" max="7432" width="9" style="178"/>
    <col min="7433" max="7433" width="9" style="178"/>
    <col min="7434" max="7434" width="9" style="178"/>
    <col min="7435" max="7435" width="9" style="178"/>
    <col min="7436" max="7436" width="9" style="178"/>
    <col min="7437" max="7437" width="9" style="178"/>
    <col min="7438" max="7438" width="9" style="178"/>
    <col min="7439" max="7439" width="9" style="178"/>
    <col min="7440" max="7440" width="9" style="178"/>
    <col min="7441" max="7441" width="9" style="178"/>
    <col min="7442" max="7442" width="9" style="178"/>
    <col min="7443" max="7443" width="9" style="178"/>
    <col min="7444" max="7444" width="9" style="178"/>
    <col min="7445" max="7445" width="9" style="178"/>
    <col min="7446" max="7446" width="9" style="178"/>
    <col min="7447" max="7447" width="9" style="178"/>
    <col min="7448" max="7448" width="9" style="178"/>
    <col min="7449" max="7449" width="9" style="178"/>
    <col min="7450" max="7450" width="9" style="178"/>
    <col min="7451" max="7451" width="9" style="178"/>
    <col min="7452" max="7452" width="9" style="178"/>
    <col min="7453" max="7453" width="9" style="178"/>
    <col min="7454" max="7454" width="9" style="178"/>
    <col min="7455" max="7455" width="9" style="178"/>
    <col min="7456" max="7456" width="9" style="178"/>
    <col min="7457" max="7457" width="9" style="178"/>
    <col min="7458" max="7458" width="9" style="178"/>
    <col min="7459" max="7459" width="9" style="178"/>
    <col min="7460" max="7460" width="9" style="178"/>
    <col min="7461" max="7461" width="9" style="178"/>
    <col min="7462" max="7462" width="9" style="178"/>
    <col min="7463" max="7463" width="9" style="178"/>
    <col min="7464" max="7464" width="9" style="178"/>
    <col min="7465" max="7465" width="9" style="178"/>
    <col min="7466" max="7466" width="9" style="178"/>
    <col min="7467" max="7467" width="9" style="178"/>
    <col min="7468" max="7468" width="9" style="178"/>
    <col min="7469" max="7469" width="9" style="178"/>
    <col min="7470" max="7470" width="9" style="178"/>
    <col min="7471" max="7471" width="9" style="178"/>
    <col min="7472" max="7472" width="9" style="178"/>
    <col min="7473" max="7473" width="9" style="178"/>
    <col min="7474" max="7474" width="9" style="178"/>
    <col min="7475" max="7475" width="9" style="178"/>
    <col min="7476" max="7476" width="9" style="178"/>
    <col min="7477" max="7477" width="9" style="178"/>
    <col min="7478" max="7478" width="9" style="178"/>
    <col min="7479" max="7479" width="9" style="178"/>
    <col min="7480" max="7480" width="9" style="178"/>
    <col min="7481" max="7481" width="9" style="178"/>
    <col min="7482" max="7482" width="9" style="178"/>
    <col min="7483" max="7483" width="9" style="178"/>
    <col min="7484" max="7484" width="9" style="178"/>
    <col min="7485" max="7485" width="9" style="178"/>
    <col min="7486" max="7486" width="9" style="178"/>
    <col min="7487" max="7487" width="9" style="178"/>
    <col min="7488" max="7488" width="9" style="178"/>
    <col min="7489" max="7489" width="9" style="178"/>
    <col min="7490" max="7490" width="9" style="178"/>
    <col min="7491" max="7491" width="9" style="178"/>
    <col min="7492" max="7492" width="9" style="178"/>
    <col min="7493" max="7493" width="9" style="178"/>
    <col min="7494" max="7494" width="9" style="178"/>
    <col min="7495" max="7495" width="9" style="178"/>
    <col min="7496" max="7496" width="9" style="178"/>
    <col min="7497" max="7497" width="9" style="178"/>
    <col min="7498" max="7498" width="9" style="178"/>
    <col min="7499" max="7499" width="9" style="178"/>
    <col min="7500" max="7500" width="9" style="178"/>
    <col min="7501" max="7501" width="9" style="178"/>
    <col min="7502" max="7502" width="9" style="178"/>
    <col min="7503" max="7503" width="9" style="178"/>
    <col min="7504" max="7504" width="9" style="178"/>
    <col min="7505" max="7505" width="9" style="178"/>
    <col min="7506" max="7506" width="9" style="178"/>
    <col min="7507" max="7507" width="9" style="178"/>
    <col min="7508" max="7508" width="9" style="178"/>
    <col min="7509" max="7509" width="9" style="178"/>
    <col min="7510" max="7510" width="9" style="178"/>
    <col min="7511" max="7511" width="9" style="178"/>
    <col min="7512" max="7512" width="9" style="178"/>
    <col min="7513" max="7513" width="9" style="178"/>
    <col min="7514" max="7514" width="9" style="178"/>
    <col min="7515" max="7515" width="9" style="178"/>
    <col min="7516" max="7516" width="9" style="178"/>
    <col min="7517" max="7517" width="9" style="178"/>
    <col min="7518" max="7518" width="9" style="178"/>
    <col min="7519" max="7519" width="9" style="178"/>
    <col min="7520" max="7520" width="9" style="178"/>
    <col min="7521" max="7521" width="9" style="178"/>
    <col min="7522" max="7522" width="9" style="178"/>
    <col min="7523" max="7523" width="9" style="178"/>
    <col min="7524" max="7524" width="9" style="178"/>
    <col min="7525" max="7525" width="9" style="178"/>
    <col min="7526" max="7526" width="9" style="178"/>
    <col min="7527" max="7527" width="9" style="178"/>
    <col min="7528" max="7528" width="9" style="178"/>
    <col min="7529" max="7529" width="9" style="178"/>
    <col min="7530" max="7530" width="9" style="178"/>
    <col min="7531" max="7531" width="9" style="178"/>
    <col min="7532" max="7532" width="9" style="178"/>
    <col min="7533" max="7533" width="9" style="178"/>
    <col min="7534" max="7534" width="9" style="178"/>
    <col min="7535" max="7535" width="9" style="178"/>
    <col min="7536" max="7536" width="9" style="178"/>
    <col min="7537" max="7537" width="9" style="178"/>
    <col min="7538" max="7538" width="9" style="178"/>
    <col min="7539" max="7539" width="9" style="178"/>
    <col min="7540" max="7540" width="9" style="178"/>
    <col min="7541" max="7541" width="9" style="178"/>
    <col min="7542" max="7542" width="9" style="178"/>
    <col min="7543" max="7543" width="9" style="178"/>
    <col min="7544" max="7544" width="9" style="178"/>
    <col min="7545" max="7545" width="9" style="178"/>
    <col min="7546" max="7546" width="9" style="178"/>
    <col min="7547" max="7547" width="9" style="178"/>
    <col min="7548" max="7548" width="9" style="178"/>
    <col min="7549" max="7549" width="9" style="178"/>
    <col min="7550" max="7550" width="9" style="178"/>
    <col min="7551" max="7551" width="9" style="178"/>
    <col min="7552" max="7552" width="9" style="178"/>
    <col min="7553" max="7553" width="9" style="178"/>
    <col min="7554" max="7554" width="9" style="178"/>
    <col min="7555" max="7555" width="9" style="178"/>
    <col min="7556" max="7556" width="9" style="178"/>
    <col min="7557" max="7557" width="9" style="178"/>
    <col min="7558" max="7558" width="9" style="178"/>
    <col min="7559" max="7559" width="9" style="178"/>
    <col min="7560" max="7560" width="9" style="178"/>
    <col min="7561" max="7561" width="9" style="178"/>
    <col min="7562" max="7562" width="9" style="178"/>
    <col min="7563" max="7563" width="9" style="178"/>
    <col min="7564" max="7564" width="9" style="178"/>
    <col min="7565" max="7565" width="9" style="178"/>
    <col min="7566" max="7566" width="9" style="178"/>
    <col min="7567" max="7567" width="9" style="178"/>
    <col min="7568" max="7568" width="9" style="178"/>
    <col min="7569" max="7569" width="9" style="178"/>
    <col min="7570" max="7570" width="9" style="178"/>
    <col min="7571" max="7571" width="9" style="178"/>
    <col min="7572" max="7572" width="9" style="178"/>
    <col min="7573" max="7573" width="9" style="178"/>
    <col min="7574" max="7574" width="9" style="178"/>
    <col min="7575" max="7575" width="9" style="178"/>
    <col min="7576" max="7576" width="9" style="178"/>
    <col min="7577" max="7577" width="9" style="178"/>
    <col min="7578" max="7578" width="9" style="178"/>
    <col min="7579" max="7579" width="9" style="178"/>
    <col min="7580" max="7580" width="9" style="178"/>
    <col min="7581" max="7581" width="9" style="178"/>
    <col min="7582" max="7582" width="9" style="178"/>
    <col min="7583" max="7583" width="9" style="178"/>
    <col min="7584" max="7584" width="9" style="178"/>
    <col min="7585" max="7585" width="9" style="178"/>
    <col min="7586" max="7586" width="9" style="178"/>
    <col min="7587" max="7587" width="9" style="178"/>
    <col min="7588" max="7588" width="9" style="178"/>
    <col min="7589" max="7589" width="9" style="178"/>
    <col min="7590" max="7590" width="9" style="178"/>
    <col min="7591" max="7591" width="9" style="178"/>
    <col min="7592" max="7592" width="9" style="178"/>
    <col min="7593" max="7593" width="9" style="178"/>
    <col min="7594" max="7594" width="9" style="178"/>
    <col min="7595" max="7595" width="9" style="178"/>
    <col min="7596" max="7596" width="9" style="178"/>
    <col min="7597" max="7597" width="9" style="178"/>
    <col min="7598" max="7598" width="9" style="178"/>
    <col min="7599" max="7599" width="9" style="178"/>
    <col min="7600" max="7600" width="9" style="178"/>
    <col min="7601" max="7601" width="9" style="178"/>
    <col min="7602" max="7602" width="9" style="178"/>
    <col min="7603" max="7603" width="9" style="178"/>
    <col min="7604" max="7604" width="9" style="178"/>
    <col min="7605" max="7605" width="9" style="178"/>
    <col min="7606" max="7606" width="9" style="178"/>
    <col min="7607" max="7607" width="9" style="178"/>
    <col min="7608" max="7608" width="9" style="178"/>
    <col min="7609" max="7609" width="9" style="178"/>
    <col min="7610" max="7610" width="9" style="178"/>
    <col min="7611" max="7611" width="9" style="178"/>
    <col min="7612" max="7612" width="9" style="178"/>
    <col min="7613" max="7613" width="9" style="178"/>
    <col min="7614" max="7614" width="9" style="178"/>
    <col min="7615" max="7615" width="9" style="178"/>
    <col min="7616" max="7616" width="9" style="178"/>
    <col min="7617" max="7617" width="9" style="178"/>
    <col min="7618" max="7618" width="9" style="178"/>
    <col min="7619" max="7619" width="9" style="178"/>
    <col min="7620" max="7620" width="9" style="178"/>
    <col min="7621" max="7621" width="9" style="178"/>
    <col min="7622" max="7622" width="9" style="178"/>
    <col min="7623" max="7623" width="9" style="178"/>
    <col min="7624" max="7624" width="9" style="178"/>
    <col min="7625" max="7625" width="9" style="178"/>
    <col min="7626" max="7626" width="9" style="178"/>
    <col min="7627" max="7627" width="9" style="178"/>
    <col min="7628" max="7628" width="9" style="178"/>
    <col min="7629" max="7629" width="9" style="178"/>
    <col min="7630" max="7630" width="9" style="178"/>
    <col min="7631" max="7631" width="9" style="178"/>
    <col min="7632" max="7632" width="9" style="178"/>
    <col min="7633" max="7633" width="9" style="178"/>
    <col min="7634" max="7634" width="9" style="178"/>
    <col min="7635" max="7635" width="9" style="178"/>
    <col min="7636" max="7636" width="9" style="178"/>
    <col min="7637" max="7637" width="9" style="178"/>
    <col min="7638" max="7638" width="9" style="178"/>
    <col min="7639" max="7639" width="9" style="178"/>
    <col min="7640" max="7640" width="9" style="178"/>
    <col min="7641" max="7641" width="9" style="178"/>
    <col min="7642" max="7642" width="9" style="178"/>
    <col min="7643" max="7643" width="9" style="178"/>
    <col min="7644" max="7644" width="9" style="178"/>
    <col min="7645" max="7645" width="9" style="178"/>
    <col min="7646" max="7646" width="9" style="178"/>
    <col min="7647" max="7647" width="9" style="178"/>
    <col min="7648" max="7648" width="9" style="178"/>
    <col min="7649" max="7649" width="9" style="178"/>
    <col min="7650" max="7650" width="9" style="178"/>
    <col min="7651" max="7651" width="9" style="178"/>
    <col min="7652" max="7652" width="9" style="178"/>
    <col min="7653" max="7653" width="9" style="178"/>
    <col min="7654" max="7654" width="9" style="178"/>
    <col min="7655" max="7655" width="9" style="178"/>
    <col min="7656" max="7656" width="9" style="178"/>
    <col min="7657" max="7657" width="9" style="178"/>
    <col min="7658" max="7658" width="9" style="178"/>
    <col min="7659" max="7659" width="9" style="178"/>
    <col min="7660" max="7660" width="9" style="178"/>
    <col min="7661" max="7661" width="9" style="178"/>
    <col min="7662" max="7662" width="9" style="178"/>
    <col min="7663" max="7663" width="9" style="178"/>
    <col min="7664" max="7664" width="9" style="178"/>
    <col min="7665" max="7665" width="9" style="178"/>
    <col min="7666" max="7666" width="9" style="178"/>
    <col min="7667" max="7667" width="9" style="178"/>
    <col min="7668" max="7668" width="9" style="178"/>
    <col min="7669" max="7669" width="9" style="178"/>
    <col min="7670" max="7670" width="9" style="178"/>
    <col min="7671" max="7671" width="9" style="178"/>
    <col min="7672" max="7672" width="9" style="178"/>
    <col min="7673" max="7673" width="9" style="178"/>
    <col min="7674" max="7674" width="9" style="178"/>
    <col min="7675" max="7675" width="9" style="178"/>
    <col min="7676" max="7676" width="9" style="178"/>
    <col min="7677" max="7677" width="9" style="178"/>
    <col min="7678" max="7678" width="9" style="178"/>
    <col min="7679" max="7679" width="9" style="178"/>
    <col min="7680" max="7680" width="9" style="178"/>
    <col min="7681" max="7681" width="9" style="178"/>
    <col min="7682" max="7682" width="9" style="178"/>
    <col min="7683" max="7683" width="9" style="178"/>
    <col min="7684" max="7684" width="9" style="178"/>
    <col min="7685" max="7685" width="9" style="178"/>
    <col min="7686" max="7686" width="9" style="178"/>
    <col min="7687" max="7687" width="9" style="178"/>
    <col min="7688" max="7688" width="9" style="178"/>
    <col min="7689" max="7689" width="9" style="178"/>
    <col min="7690" max="7690" width="9" style="178"/>
    <col min="7691" max="7691" width="9" style="178"/>
    <col min="7692" max="7692" width="9" style="178"/>
    <col min="7693" max="7693" width="9" style="178"/>
    <col min="7694" max="7694" width="9" style="178"/>
    <col min="7695" max="7695" width="9" style="178"/>
    <col min="7696" max="7696" width="9" style="178"/>
    <col min="7697" max="7697" width="9" style="178"/>
    <col min="7698" max="7698" width="9" style="178"/>
    <col min="7699" max="7699" width="9" style="178"/>
    <col min="7700" max="7700" width="9" style="178"/>
    <col min="7701" max="7701" width="9" style="178"/>
    <col min="7702" max="7702" width="9" style="178"/>
    <col min="7703" max="7703" width="9" style="178"/>
    <col min="7704" max="7704" width="9" style="178"/>
    <col min="7705" max="7705" width="9" style="178"/>
    <col min="7706" max="7706" width="9" style="178"/>
    <col min="7707" max="7707" width="9" style="178"/>
    <col min="7708" max="7708" width="9" style="178"/>
    <col min="7709" max="7709" width="9" style="178"/>
    <col min="7710" max="7710" width="9" style="178"/>
    <col min="7711" max="7711" width="9" style="178"/>
    <col min="7712" max="7712" width="9" style="178"/>
    <col min="7713" max="7713" width="9" style="178"/>
    <col min="7714" max="7714" width="9" style="178"/>
    <col min="7715" max="7715" width="9" style="178"/>
    <col min="7716" max="7716" width="9" style="178"/>
    <col min="7717" max="7717" width="9" style="178"/>
    <col min="7718" max="7718" width="9" style="178"/>
    <col min="7719" max="7719" width="9" style="178"/>
    <col min="7720" max="7720" width="9" style="178"/>
    <col min="7721" max="7721" width="9" style="178"/>
    <col min="7722" max="7722" width="9" style="178"/>
    <col min="7723" max="7723" width="9" style="178"/>
    <col min="7724" max="7724" width="9" style="178"/>
    <col min="7725" max="7725" width="9" style="178"/>
    <col min="7726" max="7726" width="9" style="178"/>
    <col min="7727" max="7727" width="9" style="178"/>
    <col min="7728" max="7728" width="9" style="178"/>
    <col min="7729" max="7729" width="9" style="178"/>
    <col min="7730" max="7730" width="9" style="178"/>
    <col min="7731" max="7731" width="9" style="178"/>
    <col min="7732" max="7732" width="9" style="178"/>
    <col min="7733" max="7733" width="9" style="178"/>
    <col min="7734" max="7734" width="9" style="178"/>
    <col min="7735" max="7735" width="9" style="178"/>
    <col min="7736" max="7736" width="9" style="178"/>
    <col min="7737" max="7737" width="9" style="178"/>
    <col min="7738" max="7738" width="9" style="178"/>
    <col min="7739" max="7739" width="9" style="178"/>
    <col min="7740" max="7740" width="9" style="178"/>
    <col min="7741" max="7741" width="9" style="178"/>
    <col min="7742" max="7742" width="9" style="178"/>
    <col min="7743" max="7743" width="9" style="178"/>
    <col min="7744" max="7744" width="9" style="178"/>
    <col min="7745" max="7745" width="9" style="178"/>
    <col min="7746" max="7746" width="9" style="178"/>
    <col min="7747" max="7747" width="9" style="178"/>
    <col min="7748" max="7748" width="9" style="178"/>
    <col min="7749" max="7749" width="9" style="178"/>
    <col min="7750" max="7750" width="9" style="178"/>
    <col min="7751" max="7751" width="9" style="178"/>
    <col min="7752" max="7752" width="9" style="178"/>
    <col min="7753" max="7753" width="9" style="178"/>
    <col min="7754" max="7754" width="9" style="178"/>
    <col min="7755" max="7755" width="9" style="178"/>
    <col min="7756" max="7756" width="9" style="178"/>
    <col min="7757" max="7757" width="9" style="178"/>
    <col min="7758" max="7758" width="9" style="178"/>
    <col min="7759" max="7759" width="9" style="178"/>
    <col min="7760" max="7760" width="9" style="178"/>
    <col min="7761" max="7761" width="9" style="178"/>
    <col min="7762" max="7762" width="9" style="178"/>
    <col min="7763" max="7763" width="9" style="178"/>
    <col min="7764" max="7764" width="9" style="178"/>
    <col min="7765" max="7765" width="9" style="178"/>
    <col min="7766" max="7766" width="9" style="178"/>
    <col min="7767" max="7767" width="9" style="178"/>
    <col min="7768" max="7768" width="9" style="178"/>
    <col min="7769" max="7769" width="9" style="178"/>
    <col min="7770" max="7770" width="9" style="178"/>
    <col min="7771" max="7771" width="9" style="178"/>
    <col min="7772" max="7772" width="9" style="178"/>
    <col min="7773" max="7773" width="9" style="178"/>
    <col min="7774" max="7774" width="9" style="178"/>
    <col min="7775" max="7775" width="9" style="178"/>
    <col min="7776" max="7776" width="9" style="178"/>
    <col min="7777" max="7777" width="9" style="178"/>
    <col min="7778" max="7778" width="9" style="178"/>
    <col min="7779" max="7779" width="9" style="178"/>
    <col min="7780" max="7780" width="9" style="178"/>
    <col min="7781" max="7781" width="9" style="178"/>
    <col min="7782" max="7782" width="9" style="178"/>
    <col min="7783" max="7783" width="9" style="178"/>
    <col min="7784" max="7784" width="9" style="178"/>
    <col min="7785" max="7785" width="9" style="178"/>
    <col min="7786" max="7786" width="9" style="178"/>
    <col min="7787" max="7787" width="9" style="178"/>
    <col min="7788" max="7788" width="9" style="178"/>
    <col min="7789" max="7789" width="9" style="178"/>
    <col min="7790" max="7790" width="9" style="178"/>
    <col min="7791" max="7791" width="9" style="178"/>
    <col min="7792" max="7792" width="9" style="178"/>
    <col min="7793" max="7793" width="9" style="178"/>
    <col min="7794" max="7794" width="9" style="178"/>
    <col min="7795" max="7795" width="9" style="178"/>
    <col min="7796" max="7796" width="9" style="178"/>
    <col min="7797" max="7797" width="9" style="178"/>
    <col min="7798" max="7798" width="9" style="178"/>
    <col min="7799" max="7799" width="9" style="178"/>
    <col min="7800" max="7800" width="9" style="178"/>
    <col min="7801" max="7801" width="9" style="178"/>
    <col min="7802" max="7802" width="9" style="178"/>
    <col min="7803" max="7803" width="9" style="178"/>
    <col min="7804" max="7804" width="9" style="178"/>
    <col min="7805" max="7805" width="9" style="178"/>
    <col min="7806" max="7806" width="9" style="178"/>
    <col min="7807" max="7807" width="9" style="178"/>
    <col min="7808" max="7808" width="9" style="178"/>
    <col min="7809" max="7809" width="9" style="178"/>
    <col min="7810" max="7810" width="9" style="178"/>
    <col min="7811" max="7811" width="9" style="178"/>
    <col min="7812" max="7812" width="9" style="178"/>
    <col min="7813" max="7813" width="9" style="178"/>
    <col min="7814" max="7814" width="9" style="178"/>
    <col min="7815" max="7815" width="9" style="178"/>
    <col min="7816" max="7816" width="9" style="178"/>
    <col min="7817" max="7817" width="9" style="178"/>
    <col min="7818" max="7818" width="9" style="178"/>
    <col min="7819" max="7819" width="9" style="178"/>
    <col min="7820" max="7820" width="9" style="178"/>
    <col min="7821" max="7821" width="9" style="178"/>
    <col min="7822" max="7822" width="9" style="178"/>
    <col min="7823" max="7823" width="9" style="178"/>
    <col min="7824" max="7824" width="9" style="178"/>
    <col min="7825" max="7825" width="9" style="178"/>
    <col min="7826" max="7826" width="9" style="178"/>
    <col min="7827" max="7827" width="9" style="178"/>
    <col min="7828" max="7828" width="9" style="178"/>
    <col min="7829" max="7829" width="9" style="178"/>
    <col min="7830" max="7830" width="9" style="178"/>
    <col min="7831" max="7831" width="9" style="178"/>
    <col min="7832" max="7832" width="9" style="178"/>
    <col min="7833" max="7833" width="9" style="178"/>
    <col min="7834" max="7834" width="9" style="178"/>
    <col min="7835" max="7835" width="9" style="178"/>
    <col min="7836" max="7836" width="9" style="178"/>
    <col min="7837" max="7837" width="9" style="178"/>
    <col min="7838" max="7838" width="9" style="178"/>
    <col min="7839" max="7839" width="9" style="178"/>
    <col min="7840" max="7840" width="9" style="178"/>
    <col min="7841" max="7841" width="9" style="178"/>
    <col min="7842" max="7842" width="9" style="178"/>
    <col min="7843" max="7843" width="9" style="178"/>
    <col min="7844" max="7844" width="9" style="178"/>
    <col min="7845" max="7845" width="9" style="178"/>
    <col min="7846" max="7846" width="9" style="178"/>
    <col min="7847" max="7847" width="9" style="178"/>
    <col min="7848" max="7848" width="9" style="178"/>
    <col min="7849" max="7849" width="9" style="178"/>
    <col min="7850" max="7850" width="9" style="178"/>
    <col min="7851" max="7851" width="9" style="178"/>
    <col min="7852" max="7852" width="9" style="178"/>
    <col min="7853" max="7853" width="9" style="178"/>
    <col min="7854" max="7854" width="9" style="178"/>
    <col min="7855" max="7855" width="9" style="178"/>
    <col min="7856" max="7856" width="9" style="178"/>
    <col min="7857" max="7857" width="9" style="178"/>
    <col min="7858" max="7858" width="9" style="178"/>
    <col min="7859" max="7859" width="9" style="178"/>
    <col min="7860" max="7860" width="9" style="178"/>
    <col min="7861" max="7861" width="9" style="178"/>
    <col min="7862" max="7862" width="9" style="178"/>
    <col min="7863" max="7863" width="9" style="178"/>
    <col min="7864" max="7864" width="9" style="178"/>
    <col min="7865" max="7865" width="9" style="178"/>
    <col min="7866" max="7866" width="9" style="178"/>
    <col min="7867" max="7867" width="9" style="178"/>
    <col min="7868" max="7868" width="9" style="178"/>
    <col min="7869" max="7869" width="9" style="178"/>
    <col min="7870" max="7870" width="9" style="178"/>
    <col min="7871" max="7871" width="9" style="178"/>
    <col min="7872" max="7872" width="9" style="178"/>
    <col min="7873" max="7873" width="9" style="178"/>
    <col min="7874" max="7874" width="9" style="178"/>
    <col min="7875" max="7875" width="9" style="178"/>
    <col min="7876" max="7876" width="9" style="178"/>
    <col min="7877" max="7877" width="9" style="178"/>
    <col min="7878" max="7878" width="9" style="178"/>
    <col min="7879" max="7879" width="9" style="178"/>
    <col min="7880" max="7880" width="9" style="178"/>
    <col min="7881" max="7881" width="9" style="178"/>
    <col min="7882" max="7882" width="9" style="178"/>
    <col min="7883" max="7883" width="9" style="178"/>
    <col min="7884" max="7884" width="9" style="178"/>
    <col min="7885" max="7885" width="9" style="178"/>
    <col min="7886" max="7886" width="9" style="178"/>
    <col min="7887" max="7887" width="9" style="178"/>
    <col min="7888" max="7888" width="9" style="178"/>
    <col min="7889" max="7889" width="9" style="178"/>
    <col min="7890" max="7890" width="9" style="178"/>
    <col min="7891" max="7891" width="9" style="178"/>
    <col min="7892" max="7892" width="9" style="178"/>
    <col min="7893" max="7893" width="9" style="178"/>
    <col min="7894" max="7894" width="9" style="178"/>
    <col min="7895" max="7895" width="9" style="178"/>
    <col min="7896" max="7896" width="9" style="178"/>
    <col min="7897" max="7897" width="9" style="178"/>
    <col min="7898" max="7898" width="9" style="178"/>
    <col min="7899" max="7899" width="9" style="178"/>
    <col min="7900" max="7900" width="9" style="178"/>
    <col min="7901" max="7901" width="9" style="178"/>
    <col min="7902" max="7902" width="9" style="178"/>
    <col min="7903" max="7903" width="9" style="178"/>
    <col min="7904" max="7904" width="9" style="178"/>
    <col min="7905" max="7905" width="9" style="178"/>
    <col min="7906" max="7906" width="9" style="178"/>
    <col min="7907" max="7907" width="9" style="178"/>
    <col min="7908" max="7908" width="9" style="178"/>
    <col min="7909" max="7909" width="9" style="178"/>
    <col min="7910" max="7910" width="9" style="178"/>
    <col min="7911" max="7911" width="9" style="178"/>
    <col min="7912" max="7912" width="9" style="178"/>
    <col min="7913" max="7913" width="9" style="178"/>
    <col min="7914" max="7914" width="9" style="178"/>
    <col min="7915" max="7915" width="9" style="178"/>
    <col min="7916" max="7916" width="9" style="178"/>
    <col min="7917" max="7917" width="9" style="178"/>
    <col min="7918" max="7918" width="9" style="178"/>
    <col min="7919" max="7919" width="9" style="178"/>
    <col min="7920" max="7920" width="9" style="178"/>
    <col min="7921" max="7921" width="9" style="178"/>
    <col min="7922" max="7922" width="9" style="178"/>
    <col min="7923" max="7923" width="9" style="178"/>
    <col min="7924" max="7924" width="9" style="178"/>
    <col min="7925" max="7925" width="9" style="178"/>
    <col min="7926" max="7926" width="9" style="178"/>
    <col min="7927" max="7927" width="9" style="178"/>
    <col min="7928" max="7928" width="9" style="178"/>
    <col min="7929" max="7929" width="9" style="178"/>
    <col min="7930" max="7930" width="9" style="178"/>
    <col min="7931" max="7931" width="9" style="178"/>
    <col min="7932" max="7932" width="9" style="178"/>
    <col min="7933" max="7933" width="9" style="178"/>
    <col min="7934" max="7934" width="9" style="178"/>
    <col min="7935" max="7935" width="9" style="178"/>
    <col min="7936" max="7936" width="9" style="178"/>
    <col min="7937" max="7937" width="9" style="178"/>
    <col min="7938" max="7938" width="9" style="178"/>
    <col min="7939" max="7939" width="9" style="178"/>
    <col min="7940" max="7940" width="9" style="178"/>
    <col min="7941" max="7941" width="9" style="178"/>
    <col min="7942" max="7942" width="9" style="178"/>
    <col min="7943" max="7943" width="9" style="178"/>
    <col min="7944" max="7944" width="9" style="178"/>
    <col min="7945" max="7945" width="9" style="178"/>
    <col min="7946" max="7946" width="9" style="178"/>
    <col min="7947" max="7947" width="9" style="178"/>
    <col min="7948" max="7948" width="9" style="178"/>
    <col min="7949" max="7949" width="9" style="178"/>
    <col min="7950" max="7950" width="9" style="178"/>
    <col min="7951" max="7951" width="9" style="178"/>
    <col min="7952" max="7952" width="9" style="178"/>
    <col min="7953" max="7953" width="9" style="178"/>
    <col min="7954" max="7954" width="9" style="178"/>
    <col min="7955" max="7955" width="9" style="178"/>
    <col min="7956" max="7956" width="9" style="178"/>
    <col min="7957" max="7957" width="9" style="178"/>
    <col min="7958" max="7958" width="9" style="178"/>
    <col min="7959" max="7959" width="9" style="178"/>
    <col min="7960" max="7960" width="9" style="178"/>
    <col min="7961" max="7961" width="9" style="178"/>
    <col min="7962" max="7962" width="9" style="178"/>
    <col min="7963" max="7963" width="9" style="178"/>
    <col min="7964" max="7964" width="9" style="178"/>
    <col min="7965" max="7965" width="9" style="178"/>
    <col min="7966" max="7966" width="9" style="178"/>
    <col min="7967" max="7967" width="9" style="178"/>
    <col min="7968" max="7968" width="9" style="178"/>
    <col min="7969" max="7969" width="9" style="178"/>
    <col min="7970" max="7970" width="9" style="178"/>
    <col min="7971" max="7971" width="9" style="178"/>
    <col min="7972" max="7972" width="9" style="178"/>
    <col min="7973" max="7973" width="9" style="178"/>
    <col min="7974" max="7974" width="9" style="178"/>
    <col min="7975" max="7975" width="9" style="178"/>
    <col min="7976" max="7976" width="9" style="178"/>
    <col min="7977" max="7977" width="9" style="178"/>
    <col min="7978" max="7978" width="9" style="178"/>
    <col min="7979" max="7979" width="9" style="178"/>
    <col min="7980" max="7980" width="9" style="178"/>
    <col min="7981" max="7981" width="9" style="178"/>
    <col min="7982" max="7982" width="9" style="178"/>
    <col min="7983" max="7983" width="9" style="178"/>
    <col min="7984" max="7984" width="9" style="178"/>
    <col min="7985" max="7985" width="9" style="178"/>
    <col min="7986" max="7986" width="9" style="178"/>
    <col min="7987" max="7987" width="9" style="178"/>
    <col min="7988" max="7988" width="9" style="178"/>
    <col min="7989" max="7989" width="9" style="178"/>
    <col min="7990" max="7990" width="9" style="178"/>
    <col min="7991" max="7991" width="9" style="178"/>
    <col min="7992" max="7992" width="9" style="178"/>
    <col min="7993" max="7993" width="9" style="178"/>
    <col min="7994" max="7994" width="9" style="178"/>
    <col min="7995" max="7995" width="9" style="178"/>
    <col min="7996" max="7996" width="9" style="178"/>
    <col min="7997" max="7997" width="9" style="178"/>
    <col min="7998" max="7998" width="9" style="178"/>
    <col min="7999" max="7999" width="9" style="178"/>
    <col min="8000" max="8000" width="9" style="178"/>
    <col min="8001" max="8001" width="9" style="178"/>
    <col min="8002" max="8002" width="9" style="178"/>
    <col min="8003" max="8003" width="9" style="178"/>
    <col min="8004" max="8004" width="9" style="178"/>
    <col min="8005" max="8005" width="9" style="178"/>
    <col min="8006" max="8006" width="9" style="178"/>
    <col min="8007" max="8007" width="9" style="178"/>
    <col min="8008" max="8008" width="9" style="178"/>
    <col min="8009" max="8009" width="9" style="178"/>
    <col min="8010" max="8010" width="9" style="178"/>
    <col min="8011" max="8011" width="9" style="178"/>
    <col min="8012" max="8012" width="9" style="178"/>
    <col min="8013" max="8013" width="9" style="178"/>
    <col min="8014" max="8014" width="9" style="178"/>
    <col min="8015" max="8015" width="9" style="178"/>
    <col min="8016" max="8016" width="9" style="178"/>
    <col min="8017" max="8017" width="9" style="178"/>
    <col min="8018" max="8018" width="9" style="178"/>
    <col min="8019" max="8019" width="9" style="178"/>
    <col min="8020" max="8020" width="9" style="178"/>
    <col min="8021" max="8021" width="9" style="178"/>
    <col min="8022" max="8022" width="9" style="178"/>
    <col min="8023" max="8023" width="9" style="178"/>
    <col min="8024" max="8024" width="9" style="178"/>
    <col min="8025" max="8025" width="9" style="178"/>
    <col min="8026" max="8026" width="9" style="178"/>
    <col min="8027" max="8027" width="9" style="178"/>
    <col min="8028" max="8028" width="9" style="178"/>
    <col min="8029" max="8029" width="9" style="178"/>
    <col min="8030" max="8030" width="9" style="178"/>
    <col min="8031" max="8031" width="9" style="178"/>
    <col min="8032" max="8032" width="9" style="178"/>
    <col min="8033" max="8033" width="9" style="178"/>
    <col min="8034" max="8034" width="9" style="178"/>
    <col min="8035" max="8035" width="9" style="178"/>
    <col min="8036" max="8036" width="9" style="178"/>
    <col min="8037" max="8037" width="9" style="178"/>
    <col min="8038" max="8038" width="9" style="178"/>
    <col min="8039" max="8039" width="9" style="178"/>
    <col min="8040" max="8040" width="9" style="178"/>
    <col min="8041" max="8041" width="9" style="178"/>
    <col min="8042" max="8042" width="9" style="178"/>
    <col min="8043" max="8043" width="9" style="178"/>
    <col min="8044" max="8044" width="9" style="178"/>
    <col min="8045" max="8045" width="9" style="178"/>
    <col min="8046" max="8046" width="9" style="178"/>
    <col min="8047" max="8047" width="9" style="178"/>
    <col min="8048" max="8048" width="9" style="178"/>
    <col min="8049" max="8049" width="9" style="178"/>
    <col min="8050" max="8050" width="9" style="178"/>
    <col min="8051" max="8051" width="9" style="178"/>
    <col min="8052" max="8052" width="9" style="178"/>
    <col min="8053" max="8053" width="9" style="178"/>
    <col min="8054" max="8054" width="9" style="178"/>
    <col min="8055" max="8055" width="9" style="178"/>
    <col min="8056" max="8056" width="9" style="178"/>
    <col min="8057" max="8057" width="9" style="178"/>
    <col min="8058" max="8058" width="9" style="178"/>
    <col min="8059" max="8059" width="9" style="178"/>
    <col min="8060" max="8060" width="9" style="178"/>
    <col min="8061" max="8061" width="9" style="178"/>
    <col min="8062" max="8062" width="9" style="178"/>
    <col min="8063" max="8063" width="9" style="178"/>
    <col min="8064" max="8064" width="9" style="178"/>
    <col min="8065" max="8065" width="9" style="178"/>
    <col min="8066" max="8066" width="9" style="178"/>
    <col min="8067" max="8067" width="9" style="178"/>
    <col min="8068" max="8068" width="9" style="178"/>
    <col min="8069" max="8069" width="9" style="178"/>
    <col min="8070" max="8070" width="9" style="178"/>
    <col min="8071" max="8071" width="9" style="178"/>
    <col min="8072" max="8072" width="9" style="178"/>
    <col min="8073" max="8073" width="9" style="178"/>
    <col min="8074" max="8074" width="9" style="178"/>
    <col min="8075" max="8075" width="9" style="178"/>
    <col min="8076" max="8076" width="9" style="178"/>
    <col min="8077" max="8077" width="9" style="178"/>
    <col min="8078" max="8078" width="9" style="178"/>
    <col min="8079" max="8079" width="9" style="178"/>
    <col min="8080" max="8080" width="9" style="178"/>
    <col min="8081" max="8081" width="9" style="178"/>
    <col min="8082" max="8082" width="9" style="178"/>
    <col min="8083" max="8083" width="9" style="178"/>
    <col min="8084" max="8084" width="9" style="178"/>
    <col min="8085" max="8085" width="9" style="178"/>
    <col min="8086" max="8086" width="9" style="178"/>
    <col min="8087" max="8087" width="9" style="178"/>
    <col min="8088" max="8088" width="9" style="178"/>
    <col min="8089" max="8089" width="9" style="178"/>
    <col min="8090" max="8090" width="9" style="178"/>
    <col min="8091" max="8091" width="9" style="178"/>
    <col min="8092" max="8092" width="9" style="178"/>
    <col min="8093" max="8093" width="9" style="178"/>
    <col min="8094" max="8094" width="9" style="178"/>
    <col min="8095" max="8095" width="9" style="178"/>
    <col min="8096" max="8096" width="9" style="178"/>
    <col min="8097" max="8097" width="9" style="178"/>
    <col min="8098" max="8098" width="9" style="178"/>
    <col min="8099" max="8099" width="9" style="178"/>
    <col min="8100" max="8100" width="9" style="178"/>
    <col min="8101" max="8101" width="9" style="178"/>
    <col min="8102" max="8102" width="9" style="178"/>
    <col min="8103" max="8103" width="9" style="178"/>
    <col min="8104" max="8104" width="9" style="178"/>
    <col min="8105" max="8105" width="9" style="178"/>
    <col min="8106" max="8106" width="9" style="178"/>
    <col min="8107" max="8107" width="9" style="178"/>
    <col min="8108" max="8108" width="9" style="178"/>
    <col min="8109" max="8109" width="9" style="178"/>
    <col min="8110" max="8110" width="9" style="178"/>
    <col min="8111" max="8111" width="9" style="178"/>
    <col min="8112" max="8112" width="9" style="178"/>
    <col min="8113" max="8113" width="9" style="178"/>
    <col min="8114" max="8114" width="9" style="178"/>
    <col min="8115" max="8115" width="9" style="178"/>
    <col min="8116" max="8116" width="9" style="178"/>
    <col min="8117" max="8117" width="9" style="178"/>
    <col min="8118" max="8118" width="9" style="178"/>
    <col min="8119" max="8119" width="9" style="178"/>
    <col min="8120" max="8120" width="9" style="178"/>
    <col min="8121" max="8121" width="9" style="178"/>
    <col min="8122" max="8122" width="9" style="178"/>
    <col min="8123" max="8123" width="9" style="178"/>
    <col min="8124" max="8124" width="9" style="178"/>
    <col min="8125" max="8125" width="9" style="178"/>
    <col min="8126" max="8126" width="9" style="178"/>
    <col min="8127" max="8127" width="9" style="178"/>
    <col min="8128" max="8128" width="9" style="178"/>
    <col min="8129" max="8129" width="9" style="178"/>
    <col min="8130" max="8130" width="9" style="178"/>
    <col min="8131" max="8131" width="9" style="178"/>
    <col min="8132" max="8132" width="9" style="178"/>
    <col min="8133" max="8133" width="9" style="178"/>
    <col min="8134" max="8134" width="9" style="178"/>
    <col min="8135" max="8135" width="9" style="178"/>
    <col min="8136" max="8136" width="9" style="178"/>
    <col min="8137" max="8137" width="9" style="178"/>
    <col min="8138" max="8138" width="9" style="178"/>
    <col min="8139" max="8139" width="9" style="178"/>
    <col min="8140" max="8140" width="9" style="178"/>
    <col min="8141" max="8141" width="9" style="178"/>
    <col min="8142" max="8142" width="9" style="178"/>
    <col min="8143" max="8143" width="9" style="178"/>
    <col min="8144" max="8144" width="9" style="178"/>
    <col min="8145" max="8145" width="9" style="178"/>
    <col min="8146" max="8146" width="9" style="178"/>
    <col min="8147" max="8147" width="9" style="178"/>
    <col min="8148" max="8148" width="9" style="178"/>
    <col min="8149" max="8149" width="9" style="178"/>
    <col min="8150" max="8150" width="9" style="178"/>
    <col min="8151" max="8151" width="9" style="178"/>
    <col min="8152" max="8152" width="9" style="178"/>
    <col min="8153" max="8153" width="9" style="178"/>
    <col min="8154" max="8154" width="9" style="178"/>
    <col min="8155" max="8155" width="9" style="178"/>
    <col min="8156" max="8156" width="9" style="178"/>
    <col min="8157" max="8157" width="9" style="178"/>
    <col min="8158" max="8158" width="9" style="178"/>
    <col min="8159" max="8159" width="9" style="178"/>
    <col min="8160" max="8160" width="9" style="178"/>
    <col min="8161" max="8161" width="9" style="178"/>
    <col min="8162" max="8162" width="9" style="178"/>
    <col min="8163" max="8163" width="9" style="178"/>
    <col min="8164" max="8164" width="9" style="178"/>
    <col min="8165" max="8165" width="9" style="178"/>
    <col min="8166" max="8166" width="9" style="178"/>
    <col min="8167" max="8167" width="9" style="178"/>
    <col min="8168" max="8168" width="9" style="178"/>
    <col min="8169" max="8169" width="9" style="178"/>
    <col min="8170" max="8170" width="9" style="178"/>
    <col min="8171" max="8171" width="9" style="178"/>
    <col min="8172" max="8172" width="9" style="178"/>
    <col min="8173" max="8173" width="9" style="178"/>
    <col min="8174" max="8174" width="9" style="178"/>
    <col min="8175" max="8175" width="9" style="178"/>
    <col min="8176" max="8176" width="9" style="178"/>
    <col min="8177" max="8177" width="9" style="178"/>
    <col min="8178" max="8178" width="9" style="178"/>
    <col min="8179" max="8179" width="9" style="178"/>
    <col min="8180" max="8180" width="9" style="178"/>
    <col min="8181" max="8181" width="9" style="178"/>
    <col min="8182" max="8182" width="9" style="178"/>
    <col min="8183" max="8183" width="9" style="178"/>
    <col min="8184" max="8184" width="9" style="178"/>
    <col min="8185" max="8185" width="9" style="178"/>
    <col min="8186" max="8186" width="9" style="178"/>
    <col min="8187" max="8187" width="9" style="178"/>
    <col min="8188" max="8188" width="9" style="178"/>
    <col min="8189" max="8189" width="9" style="178"/>
    <col min="8190" max="8190" width="9" style="178"/>
    <col min="8191" max="8191" width="9" style="178"/>
    <col min="8192" max="8192" width="9" style="178"/>
    <col min="8193" max="8193" width="9" style="178"/>
    <col min="8194" max="8194" width="9" style="178"/>
    <col min="8195" max="8195" width="9" style="178"/>
    <col min="8196" max="8196" width="9" style="178"/>
    <col min="8197" max="8197" width="9" style="178"/>
    <col min="8198" max="8198" width="9" style="178"/>
    <col min="8199" max="8199" width="9" style="178"/>
    <col min="8200" max="8200" width="9" style="178"/>
    <col min="8201" max="8201" width="9" style="178"/>
    <col min="8202" max="8202" width="9" style="178"/>
    <col min="8203" max="8203" width="9" style="178"/>
    <col min="8204" max="8204" width="9" style="178"/>
    <col min="8205" max="8205" width="9" style="178"/>
    <col min="8206" max="8206" width="9" style="178"/>
    <col min="8207" max="8207" width="9" style="178"/>
    <col min="8208" max="8208" width="9" style="178"/>
    <col min="8209" max="8209" width="9" style="178"/>
    <col min="8210" max="8210" width="9" style="178"/>
    <col min="8211" max="8211" width="9" style="178"/>
    <col min="8212" max="8212" width="9" style="178"/>
    <col min="8213" max="8213" width="9" style="178"/>
    <col min="8214" max="8214" width="9" style="178"/>
    <col min="8215" max="8215" width="9" style="178"/>
    <col min="8216" max="8216" width="9" style="178"/>
    <col min="8217" max="8217" width="9" style="178"/>
    <col min="8218" max="8218" width="9" style="178"/>
    <col min="8219" max="8219" width="9" style="178"/>
    <col min="8220" max="8220" width="9" style="178"/>
    <col min="8221" max="8221" width="9" style="178"/>
    <col min="8222" max="8222" width="9" style="178"/>
    <col min="8223" max="8223" width="9" style="178"/>
    <col min="8224" max="8224" width="9" style="178"/>
    <col min="8225" max="8225" width="9" style="178"/>
    <col min="8226" max="8226" width="9" style="178"/>
    <col min="8227" max="8227" width="9" style="178"/>
    <col min="8228" max="8228" width="9" style="178"/>
    <col min="8229" max="8229" width="9" style="178"/>
    <col min="8230" max="8230" width="9" style="178"/>
    <col min="8231" max="8231" width="9" style="178"/>
    <col min="8232" max="8232" width="9" style="178"/>
    <col min="8233" max="8233" width="9" style="178"/>
    <col min="8234" max="8234" width="9" style="178"/>
    <col min="8235" max="8235" width="9" style="178"/>
    <col min="8236" max="8236" width="9" style="178"/>
    <col min="8237" max="8237" width="9" style="178"/>
    <col min="8238" max="8238" width="9" style="178"/>
    <col min="8239" max="8239" width="9" style="178"/>
    <col min="8240" max="8240" width="9" style="178"/>
    <col min="8241" max="8241" width="9" style="178"/>
    <col min="8242" max="8242" width="9" style="178"/>
    <col min="8243" max="8243" width="9" style="178"/>
    <col min="8244" max="8244" width="9" style="178"/>
    <col min="8245" max="8245" width="9" style="178"/>
    <col min="8246" max="8246" width="9" style="178"/>
    <col min="8247" max="8247" width="9" style="178"/>
    <col min="8248" max="8248" width="9" style="178"/>
    <col min="8249" max="8249" width="9" style="178"/>
    <col min="8250" max="8250" width="9" style="178"/>
    <col min="8251" max="8251" width="9" style="178"/>
    <col min="8252" max="8252" width="9" style="178"/>
    <col min="8253" max="8253" width="9" style="178"/>
    <col min="8254" max="8254" width="9" style="178"/>
    <col min="8255" max="8255" width="9" style="178"/>
    <col min="8256" max="8256" width="9" style="178"/>
    <col min="8257" max="8257" width="9" style="178"/>
    <col min="8258" max="8258" width="9" style="178"/>
    <col min="8259" max="8259" width="9" style="178"/>
    <col min="8260" max="8260" width="9" style="178"/>
    <col min="8261" max="8261" width="9" style="178"/>
    <col min="8262" max="8262" width="9" style="178"/>
    <col min="8263" max="8263" width="9" style="178"/>
    <col min="8264" max="8264" width="9" style="178"/>
    <col min="8265" max="8265" width="9" style="178"/>
    <col min="8266" max="8266" width="9" style="178"/>
    <col min="8267" max="8267" width="9" style="178"/>
    <col min="8268" max="8268" width="9" style="178"/>
    <col min="8269" max="8269" width="9" style="178"/>
    <col min="8270" max="8270" width="9" style="178"/>
    <col min="8271" max="8271" width="9" style="178"/>
    <col min="8272" max="8272" width="9" style="178"/>
    <col min="8273" max="8273" width="9" style="178"/>
    <col min="8274" max="8274" width="9" style="178"/>
    <col min="8275" max="8275" width="9" style="178"/>
    <col min="8276" max="8276" width="9" style="178"/>
    <col min="8277" max="8277" width="9" style="178"/>
    <col min="8278" max="8278" width="9" style="178"/>
    <col min="8279" max="8279" width="9" style="178"/>
    <col min="8280" max="8280" width="9" style="178"/>
    <col min="8281" max="8281" width="9" style="178"/>
    <col min="8282" max="8282" width="9" style="178"/>
    <col min="8283" max="8283" width="9" style="178"/>
    <col min="8284" max="8284" width="9" style="178"/>
    <col min="8285" max="8285" width="9" style="178"/>
    <col min="8286" max="8286" width="9" style="178"/>
    <col min="8287" max="8287" width="9" style="178"/>
    <col min="8288" max="8288" width="9" style="178"/>
    <col min="8289" max="8289" width="9" style="178"/>
    <col min="8290" max="8290" width="9" style="178"/>
    <col min="8291" max="8291" width="9" style="178"/>
    <col min="8292" max="8292" width="9" style="178"/>
    <col min="8293" max="8293" width="9" style="178"/>
    <col min="8294" max="8294" width="9" style="178"/>
    <col min="8295" max="8295" width="9" style="178"/>
    <col min="8296" max="8296" width="9" style="178"/>
    <col min="8297" max="8297" width="9" style="178"/>
    <col min="8298" max="8298" width="9" style="178"/>
    <col min="8299" max="8299" width="9" style="178"/>
    <col min="8300" max="8300" width="9" style="178"/>
    <col min="8301" max="8301" width="9" style="178"/>
    <col min="8302" max="8302" width="9" style="178"/>
    <col min="8303" max="8303" width="9" style="178"/>
    <col min="8304" max="8304" width="9" style="178"/>
    <col min="8305" max="8305" width="9" style="178"/>
    <col min="8306" max="8306" width="9" style="178"/>
    <col min="8307" max="8307" width="9" style="178"/>
    <col min="8308" max="8308" width="9" style="178"/>
    <col min="8309" max="8309" width="9" style="178"/>
    <col min="8310" max="8310" width="9" style="178"/>
    <col min="8311" max="8311" width="9" style="178"/>
    <col min="8312" max="8312" width="9" style="178"/>
    <col min="8313" max="8313" width="9" style="178"/>
    <col min="8314" max="8314" width="9" style="178"/>
    <col min="8315" max="8315" width="9" style="178"/>
    <col min="8316" max="8316" width="9" style="178"/>
    <col min="8317" max="8317" width="9" style="178"/>
    <col min="8318" max="8318" width="9" style="178"/>
    <col min="8319" max="8319" width="9" style="178"/>
    <col min="8320" max="8320" width="9" style="178"/>
    <col min="8321" max="8321" width="9" style="178"/>
    <col min="8322" max="8322" width="9" style="178"/>
    <col min="8323" max="8323" width="9" style="178"/>
    <col min="8324" max="8324" width="9" style="178"/>
    <col min="8325" max="8325" width="9" style="178"/>
    <col min="8326" max="8326" width="9" style="178"/>
    <col min="8327" max="8327" width="9" style="178"/>
    <col min="8328" max="8328" width="9" style="178"/>
    <col min="8329" max="8329" width="9" style="178"/>
    <col min="8330" max="8330" width="9" style="178"/>
    <col min="8331" max="8331" width="9" style="178"/>
    <col min="8332" max="8332" width="9" style="178"/>
    <col min="8333" max="8333" width="9" style="178"/>
    <col min="8334" max="8334" width="9" style="178"/>
    <col min="8335" max="8335" width="9" style="178"/>
    <col min="8336" max="8336" width="9" style="178"/>
    <col min="8337" max="8337" width="9" style="178"/>
    <col min="8338" max="8338" width="9" style="178"/>
    <col min="8339" max="8339" width="9" style="178"/>
    <col min="8340" max="8340" width="9" style="178"/>
    <col min="8341" max="8341" width="9" style="178"/>
    <col min="8342" max="8342" width="9" style="178"/>
    <col min="8343" max="8343" width="9" style="178"/>
    <col min="8344" max="8344" width="9" style="178"/>
    <col min="8345" max="8345" width="9" style="178"/>
    <col min="8346" max="8346" width="9" style="178"/>
    <col min="8347" max="8347" width="9" style="178"/>
    <col min="8348" max="8348" width="9" style="178"/>
    <col min="8349" max="8349" width="9" style="178"/>
    <col min="8350" max="8350" width="9" style="178"/>
    <col min="8351" max="8351" width="9" style="178"/>
    <col min="8352" max="8352" width="9" style="178"/>
    <col min="8353" max="8353" width="9" style="178"/>
    <col min="8354" max="8354" width="9" style="178"/>
    <col min="8355" max="8355" width="9" style="178"/>
    <col min="8356" max="8356" width="9" style="178"/>
    <col min="8357" max="8357" width="9" style="178"/>
    <col min="8358" max="8358" width="9" style="178"/>
    <col min="8359" max="8359" width="9" style="178"/>
    <col min="8360" max="8360" width="9" style="178"/>
    <col min="8361" max="8361" width="9" style="178"/>
    <col min="8362" max="8362" width="9" style="178"/>
    <col min="8363" max="8363" width="9" style="178"/>
    <col min="8364" max="8364" width="9" style="178"/>
    <col min="8365" max="8365" width="9" style="178"/>
    <col min="8366" max="8366" width="9" style="178"/>
    <col min="8367" max="8367" width="9" style="178"/>
    <col min="8368" max="8368" width="9" style="178"/>
    <col min="8369" max="8369" width="9" style="178"/>
    <col min="8370" max="8370" width="9" style="178"/>
    <col min="8371" max="8371" width="9" style="178"/>
    <col min="8372" max="8372" width="9" style="178"/>
    <col min="8373" max="8373" width="9" style="178"/>
    <col min="8374" max="8374" width="9" style="178"/>
    <col min="8375" max="8375" width="9" style="178"/>
    <col min="8376" max="8376" width="9" style="178"/>
    <col min="8377" max="8377" width="9" style="178"/>
    <col min="8378" max="8378" width="9" style="178"/>
    <col min="8379" max="8379" width="9" style="178"/>
    <col min="8380" max="8380" width="9" style="178"/>
    <col min="8381" max="8381" width="9" style="178"/>
    <col min="8382" max="8382" width="9" style="178"/>
    <col min="8383" max="8383" width="9" style="178"/>
    <col min="8384" max="8384" width="9" style="178"/>
    <col min="8385" max="8385" width="9" style="178"/>
    <col min="8386" max="8386" width="9" style="178"/>
    <col min="8387" max="8387" width="9" style="178"/>
    <col min="8388" max="8388" width="9" style="178"/>
    <col min="8389" max="8389" width="9" style="178"/>
    <col min="8390" max="8390" width="9" style="178"/>
    <col min="8391" max="8391" width="9" style="178"/>
    <col min="8392" max="8392" width="9" style="178"/>
    <col min="8393" max="8393" width="9" style="178"/>
    <col min="8394" max="8394" width="9" style="178"/>
    <col min="8395" max="8395" width="9" style="178"/>
    <col min="8396" max="8396" width="9" style="178"/>
    <col min="8397" max="8397" width="9" style="178"/>
    <col min="8398" max="8398" width="9" style="178"/>
    <col min="8399" max="8399" width="9" style="178"/>
    <col min="8400" max="8400" width="9" style="178"/>
    <col min="8401" max="8401" width="9" style="178"/>
    <col min="8402" max="8402" width="9" style="178"/>
    <col min="8403" max="8403" width="9" style="178"/>
    <col min="8404" max="8404" width="9" style="178"/>
    <col min="8405" max="8405" width="9" style="178"/>
    <col min="8406" max="8406" width="9" style="178"/>
    <col min="8407" max="8407" width="9" style="178"/>
    <col min="8408" max="8408" width="9" style="178"/>
    <col min="8409" max="8409" width="9" style="178"/>
    <col min="8410" max="8410" width="9" style="178"/>
    <col min="8411" max="8411" width="9" style="178"/>
    <col min="8412" max="8412" width="9" style="178"/>
    <col min="8413" max="8413" width="9" style="178"/>
    <col min="8414" max="8414" width="9" style="178"/>
    <col min="8415" max="8415" width="9" style="178"/>
    <col min="8416" max="8416" width="9" style="178"/>
    <col min="8417" max="8417" width="9" style="178"/>
    <col min="8418" max="8418" width="9" style="178"/>
    <col min="8419" max="8419" width="9" style="178"/>
    <col min="8420" max="8420" width="9" style="178"/>
    <col min="8421" max="8421" width="9" style="178"/>
    <col min="8422" max="8422" width="9" style="178"/>
    <col min="8423" max="8423" width="9" style="178"/>
    <col min="8424" max="8424" width="9" style="178"/>
    <col min="8425" max="8425" width="9" style="178"/>
    <col min="8426" max="8426" width="9" style="178"/>
    <col min="8427" max="8427" width="9" style="178"/>
    <col min="8428" max="8428" width="9" style="178"/>
    <col min="8429" max="8429" width="9" style="178"/>
    <col min="8430" max="8430" width="9" style="178"/>
    <col min="8431" max="8431" width="9" style="178"/>
    <col min="8432" max="8432" width="9" style="178"/>
    <col min="8433" max="8433" width="9" style="178"/>
    <col min="8434" max="8434" width="9" style="178"/>
    <col min="8435" max="8435" width="9" style="178"/>
    <col min="8436" max="8436" width="9" style="178"/>
    <col min="8437" max="8437" width="9" style="178"/>
    <col min="8438" max="8438" width="9" style="178"/>
    <col min="8439" max="8439" width="9" style="178"/>
    <col min="8440" max="8440" width="9" style="178"/>
    <col min="8441" max="8441" width="9" style="178"/>
    <col min="8442" max="8442" width="9" style="178"/>
    <col min="8443" max="8443" width="9" style="178"/>
    <col min="8444" max="8444" width="9" style="178"/>
    <col min="8445" max="8445" width="9" style="178"/>
    <col min="8446" max="8446" width="9" style="178"/>
    <col min="8447" max="8447" width="9" style="178"/>
    <col min="8448" max="8448" width="9" style="178"/>
    <col min="8449" max="8449" width="9" style="178"/>
    <col min="8450" max="8450" width="9" style="178"/>
    <col min="8451" max="8451" width="9" style="178"/>
    <col min="8452" max="8452" width="9" style="178"/>
    <col min="8453" max="8453" width="9" style="178"/>
    <col min="8454" max="8454" width="9" style="178"/>
    <col min="8455" max="8455" width="9" style="178"/>
    <col min="8456" max="8456" width="9" style="178"/>
    <col min="8457" max="8457" width="9" style="178"/>
    <col min="8458" max="8458" width="9" style="178"/>
    <col min="8459" max="8459" width="9" style="178"/>
    <col min="8460" max="8460" width="9" style="178"/>
    <col min="8461" max="8461" width="9" style="178"/>
    <col min="8462" max="8462" width="9" style="178"/>
    <col min="8463" max="8463" width="9" style="178"/>
    <col min="8464" max="8464" width="9" style="178"/>
    <col min="8465" max="8465" width="9" style="178"/>
    <col min="8466" max="8466" width="9" style="178"/>
    <col min="8467" max="8467" width="9" style="178"/>
    <col min="8468" max="8468" width="9" style="178"/>
    <col min="8469" max="8469" width="9" style="178"/>
    <col min="8470" max="8470" width="9" style="178"/>
    <col min="8471" max="8471" width="9" style="178"/>
    <col min="8472" max="8472" width="9" style="178"/>
    <col min="8473" max="8473" width="9" style="178"/>
    <col min="8474" max="8474" width="9" style="178"/>
    <col min="8475" max="8475" width="9" style="178"/>
    <col min="8476" max="8476" width="9" style="178"/>
    <col min="8477" max="8477" width="9" style="178"/>
    <col min="8478" max="8478" width="9" style="178"/>
    <col min="8479" max="8479" width="9" style="178"/>
    <col min="8480" max="8480" width="9" style="178"/>
    <col min="8481" max="8481" width="9" style="178"/>
    <col min="8482" max="8482" width="9" style="178"/>
    <col min="8483" max="8483" width="9" style="178"/>
    <col min="8484" max="8484" width="9" style="178"/>
    <col min="8485" max="8485" width="9" style="178"/>
    <col min="8486" max="8486" width="9" style="178"/>
    <col min="8487" max="8487" width="9" style="178"/>
    <col min="8488" max="8488" width="9" style="178"/>
    <col min="8489" max="8489" width="9" style="178"/>
    <col min="8490" max="8490" width="9" style="178"/>
    <col min="8491" max="8491" width="9" style="178"/>
    <col min="8492" max="8492" width="9" style="178"/>
    <col min="8493" max="8493" width="9" style="178"/>
    <col min="8494" max="8494" width="9" style="178"/>
    <col min="8495" max="8495" width="9" style="178"/>
    <col min="8496" max="8496" width="9" style="178"/>
    <col min="8497" max="8497" width="9" style="178"/>
    <col min="8498" max="8498" width="9" style="178"/>
    <col min="8499" max="8499" width="9" style="178"/>
    <col min="8500" max="8500" width="9" style="178"/>
    <col min="8501" max="8501" width="9" style="178"/>
    <col min="8502" max="8502" width="9" style="178"/>
    <col min="8503" max="8503" width="9" style="178"/>
    <col min="8504" max="8504" width="9" style="178"/>
    <col min="8505" max="8505" width="9" style="178"/>
    <col min="8506" max="8506" width="9" style="178"/>
    <col min="8507" max="8507" width="9" style="178"/>
    <col min="8508" max="8508" width="9" style="178"/>
    <col min="8509" max="8509" width="9" style="178"/>
    <col min="8510" max="8510" width="9" style="178"/>
    <col min="8511" max="8511" width="9" style="178"/>
    <col min="8512" max="8512" width="9" style="178"/>
    <col min="8513" max="8513" width="9" style="178"/>
    <col min="8514" max="8514" width="9" style="178"/>
    <col min="8515" max="8515" width="9" style="178"/>
    <col min="8516" max="8516" width="9" style="178"/>
    <col min="8517" max="8517" width="9" style="178"/>
    <col min="8518" max="8518" width="9" style="178"/>
    <col min="8519" max="8519" width="9" style="178"/>
    <col min="8520" max="8520" width="9" style="178"/>
    <col min="8521" max="8521" width="9" style="178"/>
    <col min="8522" max="8522" width="9" style="178"/>
    <col min="8523" max="8523" width="9" style="178"/>
    <col min="8524" max="8524" width="9" style="178"/>
    <col min="8525" max="8525" width="9" style="178"/>
    <col min="8526" max="8526" width="9" style="178"/>
    <col min="8527" max="8527" width="9" style="178"/>
    <col min="8528" max="8528" width="9" style="178"/>
    <col min="8529" max="8529" width="9" style="178"/>
    <col min="8530" max="8530" width="9" style="178"/>
    <col min="8531" max="8531" width="9" style="178"/>
    <col min="8532" max="8532" width="9" style="178"/>
    <col min="8533" max="8533" width="9" style="178"/>
    <col min="8534" max="8534" width="9" style="178"/>
    <col min="8535" max="8535" width="9" style="178"/>
    <col min="8536" max="8536" width="9" style="178"/>
    <col min="8537" max="8537" width="9" style="178"/>
    <col min="8538" max="8538" width="9" style="178"/>
    <col min="8539" max="8539" width="9" style="178"/>
    <col min="8540" max="8540" width="9" style="178"/>
    <col min="8541" max="8541" width="9" style="178"/>
    <col min="8542" max="8542" width="9" style="178"/>
    <col min="8543" max="8543" width="9" style="178"/>
    <col min="8544" max="8544" width="9" style="178"/>
    <col min="8545" max="8545" width="9" style="178"/>
    <col min="8546" max="8546" width="9" style="178"/>
    <col min="8547" max="8547" width="9" style="178"/>
    <col min="8548" max="8548" width="9" style="178"/>
    <col min="8549" max="8549" width="9" style="178"/>
    <col min="8550" max="8550" width="9" style="178"/>
    <col min="8551" max="8551" width="9" style="178"/>
    <col min="8552" max="8552" width="9" style="178"/>
    <col min="8553" max="8553" width="9" style="178"/>
    <col min="8554" max="8554" width="9" style="178"/>
    <col min="8555" max="8555" width="9" style="178"/>
    <col min="8556" max="8556" width="9" style="178"/>
    <col min="8557" max="8557" width="9" style="178"/>
    <col min="8558" max="8558" width="9" style="178"/>
    <col min="8559" max="8559" width="9" style="178"/>
    <col min="8560" max="8560" width="9" style="178"/>
    <col min="8561" max="8561" width="9" style="178"/>
    <col min="8562" max="8562" width="9" style="178"/>
    <col min="8563" max="8563" width="9" style="178"/>
    <col min="8564" max="8564" width="9" style="178"/>
    <col min="8565" max="8565" width="9" style="178"/>
    <col min="8566" max="8566" width="9" style="178"/>
    <col min="8567" max="8567" width="9" style="178"/>
    <col min="8568" max="8568" width="9" style="178"/>
    <col min="8569" max="8569" width="9" style="178"/>
    <col min="8570" max="8570" width="9" style="178"/>
    <col min="8571" max="8571" width="9" style="178"/>
    <col min="8572" max="8572" width="9" style="178"/>
    <col min="8573" max="8573" width="9" style="178"/>
    <col min="8574" max="8574" width="9" style="178"/>
    <col min="8575" max="8575" width="9" style="178"/>
    <col min="8576" max="8576" width="9" style="178"/>
    <col min="8577" max="8577" width="9" style="178"/>
    <col min="8578" max="8578" width="9" style="178"/>
    <col min="8579" max="8579" width="9" style="178"/>
    <col min="8580" max="8580" width="9" style="178"/>
    <col min="8581" max="8581" width="9" style="178"/>
    <col min="8582" max="8582" width="9" style="178"/>
    <col min="8583" max="8583" width="9" style="178"/>
    <col min="8584" max="8584" width="9" style="178"/>
    <col min="8585" max="8585" width="9" style="178"/>
    <col min="8586" max="8586" width="9" style="178"/>
    <col min="8587" max="8587" width="9" style="178"/>
    <col min="8588" max="8588" width="9" style="178"/>
    <col min="8589" max="8589" width="9" style="178"/>
    <col min="8590" max="8590" width="9" style="178"/>
    <col min="8591" max="8591" width="9" style="178"/>
    <col min="8592" max="8592" width="9" style="178"/>
    <col min="8593" max="8593" width="9" style="178"/>
    <col min="8594" max="8594" width="9" style="178"/>
    <col min="8595" max="8595" width="9" style="178"/>
    <col min="8596" max="8596" width="9" style="178"/>
    <col min="8597" max="8597" width="9" style="178"/>
    <col min="8598" max="8598" width="9" style="178"/>
    <col min="8599" max="8599" width="9" style="178"/>
    <col min="8600" max="8600" width="9" style="178"/>
    <col min="8601" max="8601" width="9" style="178"/>
    <col min="8602" max="8602" width="9" style="178"/>
    <col min="8603" max="8603" width="9" style="178"/>
    <col min="8604" max="8604" width="9" style="178"/>
    <col min="8605" max="8605" width="9" style="178"/>
    <col min="8606" max="8606" width="9" style="178"/>
    <col min="8607" max="8607" width="9" style="178"/>
    <col min="8608" max="8608" width="9" style="178"/>
    <col min="8609" max="8609" width="9" style="178"/>
    <col min="8610" max="8610" width="9" style="178"/>
    <col min="8611" max="8611" width="9" style="178"/>
    <col min="8612" max="8612" width="9" style="178"/>
    <col min="8613" max="8613" width="9" style="178"/>
    <col min="8614" max="8614" width="9" style="178"/>
    <col min="8615" max="8615" width="9" style="178"/>
    <col min="8616" max="8616" width="9" style="178"/>
    <col min="8617" max="8617" width="9" style="178"/>
    <col min="8618" max="8618" width="9" style="178"/>
    <col min="8619" max="8619" width="9" style="178"/>
    <col min="8620" max="8620" width="9" style="178"/>
    <col min="8621" max="8621" width="9" style="178"/>
    <col min="8622" max="8622" width="9" style="178"/>
    <col min="8623" max="8623" width="9" style="178"/>
    <col min="8624" max="8624" width="9" style="178"/>
    <col min="8625" max="8625" width="9" style="178"/>
    <col min="8626" max="8626" width="9" style="178"/>
    <col min="8627" max="8627" width="9" style="178"/>
    <col min="8628" max="8628" width="9" style="178"/>
    <col min="8629" max="8629" width="9" style="178"/>
    <col min="8630" max="8630" width="9" style="178"/>
    <col min="8631" max="8631" width="9" style="178"/>
    <col min="8632" max="8632" width="9" style="178"/>
    <col min="8633" max="8633" width="9" style="178"/>
    <col min="8634" max="8634" width="9" style="178"/>
    <col min="8635" max="8635" width="9" style="178"/>
    <col min="8636" max="8636" width="9" style="178"/>
    <col min="8637" max="8637" width="9" style="178"/>
    <col min="8638" max="8638" width="9" style="178"/>
    <col min="8639" max="8639" width="9" style="178"/>
    <col min="8640" max="8640" width="9" style="178"/>
    <col min="8641" max="8641" width="9" style="178"/>
    <col min="8642" max="8642" width="9" style="178"/>
    <col min="8643" max="8643" width="9" style="178"/>
    <col min="8644" max="8644" width="9" style="178"/>
    <col min="8645" max="8645" width="9" style="178"/>
    <col min="8646" max="8646" width="9" style="178"/>
    <col min="8647" max="8647" width="9" style="178"/>
    <col min="8648" max="8648" width="9" style="178"/>
    <col min="8649" max="8649" width="9" style="178"/>
    <col min="8650" max="8650" width="9" style="178"/>
    <col min="8651" max="8651" width="9" style="178"/>
    <col min="8652" max="8652" width="9" style="178"/>
    <col min="8653" max="8653" width="9" style="178"/>
    <col min="8654" max="8654" width="9" style="178"/>
    <col min="8655" max="8655" width="9" style="178"/>
    <col min="8656" max="8656" width="9" style="178"/>
    <col min="8657" max="8657" width="9" style="178"/>
    <col min="8658" max="8658" width="9" style="178"/>
    <col min="8659" max="8659" width="9" style="178"/>
    <col min="8660" max="8660" width="9" style="178"/>
    <col min="8661" max="8661" width="9" style="178"/>
    <col min="8662" max="8662" width="9" style="178"/>
    <col min="8663" max="8663" width="9" style="178"/>
    <col min="8664" max="8664" width="9" style="178"/>
    <col min="8665" max="8665" width="9" style="178"/>
    <col min="8666" max="8666" width="9" style="178"/>
    <col min="8667" max="8667" width="9" style="178"/>
    <col min="8668" max="8668" width="9" style="178"/>
    <col min="8669" max="8669" width="9" style="178"/>
    <col min="8670" max="8670" width="9" style="178"/>
    <col min="8671" max="8671" width="9" style="178"/>
    <col min="8672" max="8672" width="9" style="178"/>
    <col min="8673" max="8673" width="9" style="178"/>
    <col min="8674" max="8674" width="9" style="178"/>
    <col min="8675" max="8675" width="9" style="178"/>
    <col min="8676" max="8676" width="9" style="178"/>
    <col min="8677" max="8677" width="9" style="178"/>
    <col min="8678" max="8678" width="9" style="178"/>
    <col min="8679" max="8679" width="9" style="178"/>
    <col min="8680" max="8680" width="9" style="178"/>
    <col min="8681" max="8681" width="9" style="178"/>
    <col min="8682" max="8682" width="9" style="178"/>
    <col min="8683" max="8683" width="9" style="178"/>
    <col min="8684" max="8684" width="9" style="178"/>
    <col min="8685" max="8685" width="9" style="178"/>
    <col min="8686" max="8686" width="9" style="178"/>
    <col min="8687" max="8687" width="9" style="178"/>
    <col min="8688" max="8688" width="9" style="178"/>
    <col min="8689" max="8689" width="9" style="178"/>
    <col min="8690" max="8690" width="9" style="178"/>
    <col min="8691" max="8691" width="9" style="178"/>
    <col min="8692" max="8692" width="9" style="178"/>
    <col min="8693" max="8693" width="9" style="178"/>
    <col min="8694" max="8694" width="9" style="178"/>
    <col min="8695" max="8695" width="9" style="178"/>
    <col min="8696" max="8696" width="9" style="178"/>
    <col min="8697" max="8697" width="9" style="178"/>
    <col min="8698" max="8698" width="9" style="178"/>
    <col min="8699" max="8699" width="9" style="178"/>
    <col min="8700" max="8700" width="9" style="178"/>
    <col min="8701" max="8701" width="9" style="178"/>
    <col min="8702" max="8702" width="9" style="178"/>
    <col min="8703" max="8703" width="9" style="178"/>
    <col min="8704" max="8704" width="9" style="178"/>
    <col min="8705" max="8705" width="9" style="178"/>
    <col min="8706" max="8706" width="9" style="178"/>
    <col min="8707" max="8707" width="9" style="178"/>
    <col min="8708" max="8708" width="9" style="178"/>
    <col min="8709" max="8709" width="9" style="178"/>
    <col min="8710" max="8710" width="9" style="178"/>
    <col min="8711" max="8711" width="9" style="178"/>
    <col min="8712" max="8712" width="9" style="178"/>
    <col min="8713" max="8713" width="9" style="178"/>
    <col min="8714" max="8714" width="9" style="178"/>
    <col min="8715" max="8715" width="9" style="178"/>
    <col min="8716" max="8716" width="9" style="178"/>
    <col min="8717" max="8717" width="9" style="178"/>
    <col min="8718" max="8718" width="9" style="178"/>
    <col min="8719" max="8719" width="9" style="178"/>
    <col min="8720" max="8720" width="9" style="178"/>
    <col min="8721" max="8721" width="9" style="178"/>
    <col min="8722" max="8722" width="9" style="178"/>
    <col min="8723" max="8723" width="9" style="178"/>
    <col min="8724" max="8724" width="9" style="178"/>
    <col min="8725" max="8725" width="9" style="178"/>
    <col min="8726" max="8726" width="9" style="178"/>
    <col min="8727" max="8727" width="9" style="178"/>
    <col min="8728" max="8728" width="9" style="178"/>
    <col min="8729" max="8729" width="9" style="178"/>
    <col min="8730" max="8730" width="9" style="178"/>
    <col min="8731" max="8731" width="9" style="178"/>
    <col min="8732" max="8732" width="9" style="178"/>
    <col min="8733" max="8733" width="9" style="178"/>
    <col min="8734" max="8734" width="9" style="178"/>
    <col min="8735" max="8735" width="9" style="178"/>
    <col min="8736" max="8736" width="9" style="178"/>
    <col min="8737" max="8737" width="9" style="178"/>
    <col min="8738" max="8738" width="9" style="178"/>
    <col min="8739" max="8739" width="9" style="178"/>
    <col min="8740" max="8740" width="9" style="178"/>
    <col min="8741" max="8741" width="9" style="178"/>
    <col min="8742" max="8742" width="9" style="178"/>
    <col min="8743" max="8743" width="9" style="178"/>
    <col min="8744" max="8744" width="9" style="178"/>
    <col min="8745" max="8745" width="9" style="178"/>
    <col min="8746" max="8746" width="9" style="178"/>
    <col min="8747" max="8747" width="9" style="178"/>
    <col min="8748" max="8748" width="9" style="178"/>
    <col min="8749" max="8749" width="9" style="178"/>
    <col min="8750" max="8750" width="9" style="178"/>
    <col min="8751" max="8751" width="9" style="178"/>
    <col min="8752" max="8752" width="9" style="178"/>
    <col min="8753" max="8753" width="9" style="178"/>
    <col min="8754" max="8754" width="9" style="178"/>
    <col min="8755" max="8755" width="9" style="178"/>
    <col min="8756" max="8756" width="9" style="178"/>
    <col min="8757" max="8757" width="9" style="178"/>
    <col min="8758" max="8758" width="9" style="178"/>
    <col min="8759" max="8759" width="9" style="178"/>
    <col min="8760" max="8760" width="9" style="178"/>
    <col min="8761" max="8761" width="9" style="178"/>
    <col min="8762" max="8762" width="9" style="178"/>
    <col min="8763" max="8763" width="9" style="178"/>
    <col min="8764" max="8764" width="9" style="178"/>
    <col min="8765" max="8765" width="9" style="178"/>
    <col min="8766" max="8766" width="9" style="178"/>
    <col min="8767" max="8767" width="9" style="178"/>
    <col min="8768" max="8768" width="9" style="178"/>
    <col min="8769" max="8769" width="9" style="178"/>
    <col min="8770" max="8770" width="9" style="178"/>
    <col min="8771" max="8771" width="9" style="178"/>
    <col min="8772" max="8772" width="9" style="178"/>
    <col min="8773" max="8773" width="9" style="178"/>
    <col min="8774" max="8774" width="9" style="178"/>
    <col min="8775" max="8775" width="9" style="178"/>
    <col min="8776" max="8776" width="9" style="178"/>
    <col min="8777" max="8777" width="9" style="178"/>
    <col min="8778" max="8778" width="9" style="178"/>
    <col min="8779" max="8779" width="9" style="178"/>
    <col min="8780" max="8780" width="9" style="178"/>
    <col min="8781" max="8781" width="9" style="178"/>
    <col min="8782" max="8782" width="9" style="178"/>
    <col min="8783" max="8783" width="9" style="178"/>
    <col min="8784" max="8784" width="9" style="178"/>
    <col min="8785" max="8785" width="9" style="178"/>
    <col min="8786" max="8786" width="9" style="178"/>
    <col min="8787" max="8787" width="9" style="178"/>
    <col min="8788" max="8788" width="9" style="178"/>
    <col min="8789" max="8789" width="9" style="178"/>
    <col min="8790" max="8790" width="9" style="178"/>
    <col min="8791" max="8791" width="9" style="178"/>
    <col min="8792" max="8792" width="9" style="178"/>
    <col min="8793" max="8793" width="9" style="178"/>
    <col min="8794" max="8794" width="9" style="178"/>
    <col min="8795" max="8795" width="9" style="178"/>
    <col min="8796" max="8796" width="9" style="178"/>
    <col min="8797" max="8797" width="9" style="178"/>
    <col min="8798" max="8798" width="9" style="178"/>
    <col min="8799" max="8799" width="9" style="178"/>
    <col min="8800" max="8800" width="9" style="178"/>
    <col min="8801" max="8801" width="9" style="178"/>
    <col min="8802" max="8802" width="9" style="178"/>
    <col min="8803" max="8803" width="9" style="178"/>
    <col min="8804" max="8804" width="9" style="178"/>
    <col min="8805" max="8805" width="9" style="178"/>
    <col min="8806" max="8806" width="9" style="178"/>
    <col min="8807" max="8807" width="9" style="178"/>
    <col min="8808" max="8808" width="9" style="178"/>
    <col min="8809" max="8809" width="9" style="178"/>
    <col min="8810" max="8810" width="9" style="178"/>
    <col min="8811" max="8811" width="9" style="178"/>
    <col min="8812" max="8812" width="9" style="178"/>
    <col min="8813" max="8813" width="9" style="178"/>
    <col min="8814" max="8814" width="9" style="178"/>
    <col min="8815" max="8815" width="9" style="178"/>
    <col min="8816" max="8816" width="9" style="178"/>
    <col min="8817" max="8817" width="9" style="178"/>
    <col min="8818" max="8818" width="9" style="178"/>
    <col min="8819" max="8819" width="9" style="178"/>
    <col min="8820" max="8820" width="9" style="178"/>
    <col min="8821" max="8821" width="9" style="178"/>
    <col min="8822" max="8822" width="9" style="178"/>
    <col min="8823" max="8823" width="9" style="178"/>
    <col min="8824" max="8824" width="9" style="178"/>
    <col min="8825" max="8825" width="9" style="178"/>
    <col min="8826" max="8826" width="9" style="178"/>
    <col min="8827" max="8827" width="9" style="178"/>
    <col min="8828" max="8828" width="9" style="178"/>
    <col min="8829" max="8829" width="9" style="178"/>
    <col min="8830" max="8830" width="9" style="178"/>
    <col min="8831" max="8831" width="9" style="178"/>
    <col min="8832" max="8832" width="9" style="178"/>
    <col min="8833" max="8833" width="9" style="178"/>
    <col min="8834" max="8834" width="9" style="178"/>
    <col min="8835" max="8835" width="9" style="178"/>
    <col min="8836" max="8836" width="9" style="178"/>
    <col min="8837" max="8837" width="9" style="178"/>
    <col min="8838" max="8838" width="9" style="178"/>
    <col min="8839" max="8839" width="9" style="178"/>
    <col min="8840" max="8840" width="9" style="178"/>
    <col min="8841" max="8841" width="9" style="178"/>
    <col min="8842" max="8842" width="9" style="178"/>
    <col min="8843" max="8843" width="9" style="178"/>
    <col min="8844" max="8844" width="9" style="178"/>
    <col min="8845" max="8845" width="9" style="178"/>
    <col min="8846" max="8846" width="9" style="178"/>
    <col min="8847" max="8847" width="9" style="178"/>
    <col min="8848" max="8848" width="9" style="178"/>
    <col min="8849" max="8849" width="9" style="178"/>
    <col min="8850" max="8850" width="9" style="178"/>
    <col min="8851" max="8851" width="9" style="178"/>
    <col min="8852" max="8852" width="9" style="178"/>
    <col min="8853" max="8853" width="9" style="178"/>
    <col min="8854" max="8854" width="9" style="178"/>
    <col min="8855" max="8855" width="9" style="178"/>
    <col min="8856" max="8856" width="9" style="178"/>
    <col min="8857" max="8857" width="9" style="178"/>
    <col min="8858" max="8858" width="9" style="178"/>
    <col min="8859" max="8859" width="9" style="178"/>
    <col min="8860" max="8860" width="9" style="178"/>
    <col min="8861" max="8861" width="9" style="178"/>
    <col min="8862" max="8862" width="9" style="178"/>
    <col min="8863" max="8863" width="9" style="178"/>
    <col min="8864" max="8864" width="9" style="178"/>
    <col min="8865" max="8865" width="9" style="178"/>
    <col min="8866" max="8866" width="9" style="178"/>
    <col min="8867" max="8867" width="9" style="178"/>
    <col min="8868" max="8868" width="9" style="178"/>
    <col min="8869" max="8869" width="9" style="178"/>
    <col min="8870" max="8870" width="9" style="178"/>
    <col min="8871" max="8871" width="9" style="178"/>
    <col min="8872" max="8872" width="9" style="178"/>
    <col min="8873" max="8873" width="9" style="178"/>
    <col min="8874" max="8874" width="9" style="178"/>
    <col min="8875" max="8875" width="9" style="178"/>
    <col min="8876" max="8876" width="9" style="178"/>
    <col min="8877" max="8877" width="9" style="178"/>
    <col min="8878" max="8878" width="9" style="178"/>
    <col min="8879" max="8879" width="9" style="178"/>
    <col min="8880" max="8880" width="9" style="178"/>
    <col min="8881" max="8881" width="9" style="178"/>
    <col min="8882" max="8882" width="9" style="178"/>
    <col min="8883" max="8883" width="9" style="178"/>
    <col min="8884" max="8884" width="9" style="178"/>
    <col min="8885" max="8885" width="9" style="178"/>
    <col min="8886" max="8886" width="9" style="178"/>
    <col min="8887" max="8887" width="9" style="178"/>
    <col min="8888" max="8888" width="9" style="178"/>
    <col min="8889" max="8889" width="9" style="178"/>
    <col min="8890" max="8890" width="9" style="178"/>
    <col min="8891" max="8891" width="9" style="178"/>
    <col min="8892" max="8892" width="9" style="178"/>
    <col min="8893" max="8893" width="9" style="178"/>
    <col min="8894" max="8894" width="9" style="178"/>
    <col min="8895" max="8895" width="9" style="178"/>
    <col min="8896" max="8896" width="9" style="178"/>
    <col min="8897" max="8897" width="9" style="178"/>
    <col min="8898" max="8898" width="9" style="178"/>
    <col min="8899" max="8899" width="9" style="178"/>
    <col min="8900" max="8900" width="9" style="178"/>
    <col min="8901" max="8901" width="9" style="178"/>
    <col min="8902" max="8902" width="9" style="178"/>
    <col min="8903" max="8903" width="9" style="178"/>
    <col min="8904" max="8904" width="9" style="178"/>
    <col min="8905" max="8905" width="9" style="178"/>
    <col min="8906" max="8906" width="9" style="178"/>
    <col min="8907" max="8907" width="9" style="178"/>
    <col min="8908" max="8908" width="9" style="178"/>
    <col min="8909" max="8909" width="9" style="178"/>
    <col min="8910" max="8910" width="9" style="178"/>
    <col min="8911" max="8911" width="9" style="178"/>
    <col min="8912" max="8912" width="9" style="178"/>
    <col min="8913" max="8913" width="9" style="178"/>
    <col min="8914" max="8914" width="9" style="178"/>
    <col min="8915" max="8915" width="9" style="178"/>
    <col min="8916" max="8916" width="9" style="178"/>
    <col min="8917" max="8917" width="9" style="178"/>
    <col min="8918" max="8918" width="9" style="178"/>
    <col min="8919" max="8919" width="9" style="178"/>
    <col min="8920" max="8920" width="9" style="178"/>
    <col min="8921" max="8921" width="9" style="178"/>
    <col min="8922" max="8922" width="9" style="178"/>
    <col min="8923" max="8923" width="9" style="178"/>
    <col min="8924" max="8924" width="9" style="178"/>
    <col min="8925" max="8925" width="9" style="178"/>
    <col min="8926" max="8926" width="9" style="178"/>
    <col min="8927" max="8927" width="9" style="178"/>
    <col min="8928" max="8928" width="9" style="178"/>
    <col min="8929" max="8929" width="9" style="178"/>
    <col min="8930" max="8930" width="9" style="178"/>
    <col min="8931" max="8931" width="9" style="178"/>
    <col min="8932" max="8932" width="9" style="178"/>
    <col min="8933" max="8933" width="9" style="178"/>
    <col min="8934" max="8934" width="9" style="178"/>
    <col min="8935" max="8935" width="9" style="178"/>
    <col min="8936" max="8936" width="9" style="178"/>
    <col min="8937" max="8937" width="9" style="178"/>
    <col min="8938" max="8938" width="9" style="178"/>
    <col min="8939" max="8939" width="9" style="178"/>
    <col min="8940" max="8940" width="9" style="178"/>
    <col min="8941" max="8941" width="9" style="178"/>
    <col min="8942" max="8942" width="9" style="178"/>
    <col min="8943" max="8943" width="9" style="178"/>
    <col min="8944" max="8944" width="9" style="178"/>
    <col min="8945" max="8945" width="9" style="178"/>
    <col min="8946" max="8946" width="9" style="178"/>
    <col min="8947" max="8947" width="9" style="178"/>
    <col min="8948" max="8948" width="9" style="178"/>
    <col min="8949" max="8949" width="9" style="178"/>
    <col min="8950" max="8950" width="9" style="178"/>
    <col min="8951" max="8951" width="9" style="178"/>
    <col min="8952" max="8952" width="9" style="178"/>
    <col min="8953" max="8953" width="9" style="178"/>
    <col min="8954" max="8954" width="9" style="178"/>
    <col min="8955" max="8955" width="9" style="178"/>
    <col min="8956" max="8956" width="9" style="178"/>
    <col min="8957" max="8957" width="9" style="178"/>
    <col min="8958" max="8958" width="9" style="178"/>
    <col min="8959" max="8959" width="9" style="178"/>
    <col min="8960" max="8960" width="9" style="178"/>
    <col min="8961" max="8961" width="9" style="178"/>
    <col min="8962" max="8962" width="9" style="178"/>
    <col min="8963" max="8963" width="9" style="178"/>
    <col min="8964" max="8964" width="9" style="178"/>
    <col min="8965" max="8965" width="9" style="178"/>
    <col min="8966" max="8966" width="9" style="178"/>
    <col min="8967" max="8967" width="9" style="178"/>
    <col min="8968" max="8968" width="9" style="178"/>
    <col min="8969" max="8969" width="9" style="178"/>
    <col min="8970" max="8970" width="9" style="178"/>
    <col min="8971" max="8971" width="9" style="178"/>
    <col min="8972" max="8972" width="9" style="178"/>
    <col min="8973" max="8973" width="9" style="178"/>
    <col min="8974" max="8974" width="9" style="178"/>
    <col min="8975" max="8975" width="9" style="178"/>
    <col min="8976" max="8976" width="9" style="178"/>
    <col min="8977" max="8977" width="9" style="178"/>
    <col min="8978" max="8978" width="9" style="178"/>
    <col min="8979" max="8979" width="9" style="178"/>
    <col min="8980" max="8980" width="9" style="178"/>
    <col min="8981" max="8981" width="9" style="178"/>
    <col min="8982" max="8982" width="9" style="178"/>
    <col min="8983" max="8983" width="9" style="178"/>
    <col min="8984" max="8984" width="9" style="178"/>
    <col min="8985" max="8985" width="9" style="178"/>
    <col min="8986" max="8986" width="9" style="178"/>
    <col min="8987" max="8987" width="9" style="178"/>
    <col min="8988" max="8988" width="9" style="178"/>
    <col min="8989" max="8989" width="9" style="178"/>
    <col min="8990" max="8990" width="9" style="178"/>
    <col min="8991" max="8991" width="9" style="178"/>
    <col min="8992" max="8992" width="9" style="178"/>
    <col min="8993" max="8993" width="9" style="178"/>
    <col min="8994" max="8994" width="9" style="178"/>
    <col min="8995" max="8995" width="9" style="178"/>
    <col min="8996" max="8996" width="9" style="178"/>
    <col min="8997" max="8997" width="9" style="178"/>
    <col min="8998" max="8998" width="9" style="178"/>
    <col min="8999" max="8999" width="9" style="178"/>
    <col min="9000" max="9000" width="9" style="178"/>
    <col min="9001" max="9001" width="9" style="178"/>
    <col min="9002" max="9002" width="9" style="178"/>
    <col min="9003" max="9003" width="9" style="178"/>
    <col min="9004" max="9004" width="9" style="178"/>
    <col min="9005" max="9005" width="9" style="178"/>
    <col min="9006" max="9006" width="9" style="178"/>
    <col min="9007" max="9007" width="9" style="178"/>
    <col min="9008" max="9008" width="9" style="178"/>
    <col min="9009" max="9009" width="9" style="178"/>
    <col min="9010" max="9010" width="9" style="178"/>
    <col min="9011" max="9011" width="9" style="178"/>
    <col min="9012" max="9012" width="9" style="178"/>
    <col min="9013" max="9013" width="9" style="178"/>
    <col min="9014" max="9014" width="9" style="178"/>
    <col min="9015" max="9015" width="9" style="178"/>
    <col min="9016" max="9016" width="9" style="178"/>
    <col min="9017" max="9017" width="9" style="178"/>
    <col min="9018" max="9018" width="9" style="178"/>
    <col min="9019" max="9019" width="9" style="178"/>
    <col min="9020" max="9020" width="9" style="178"/>
    <col min="9021" max="9021" width="9" style="178"/>
    <col min="9022" max="9022" width="9" style="178"/>
    <col min="9023" max="9023" width="9" style="178"/>
    <col min="9024" max="9024" width="9" style="178"/>
    <col min="9025" max="9025" width="9" style="178"/>
    <col min="9026" max="9026" width="9" style="178"/>
    <col min="9027" max="9027" width="9" style="178"/>
    <col min="9028" max="9028" width="9" style="178"/>
    <col min="9029" max="9029" width="9" style="178"/>
    <col min="9030" max="9030" width="9" style="178"/>
    <col min="9031" max="9031" width="9" style="178"/>
    <col min="9032" max="9032" width="9" style="178"/>
    <col min="9033" max="9033" width="9" style="178"/>
    <col min="9034" max="9034" width="9" style="178"/>
    <col min="9035" max="9035" width="9" style="178"/>
    <col min="9036" max="9036" width="9" style="178"/>
    <col min="9037" max="9037" width="9" style="178"/>
    <col min="9038" max="9038" width="9" style="178"/>
    <col min="9039" max="9039" width="9" style="178"/>
    <col min="9040" max="9040" width="9" style="178"/>
    <col min="9041" max="9041" width="9" style="178"/>
    <col min="9042" max="9042" width="9" style="178"/>
    <col min="9043" max="9043" width="9" style="178"/>
    <col min="9044" max="9044" width="9" style="178"/>
    <col min="9045" max="9045" width="9" style="178"/>
    <col min="9046" max="9046" width="9" style="178"/>
    <col min="9047" max="9047" width="9" style="178"/>
    <col min="9048" max="9048" width="9" style="178"/>
    <col min="9049" max="9049" width="9" style="178"/>
    <col min="9050" max="9050" width="9" style="178"/>
    <col min="9051" max="9051" width="9" style="178"/>
    <col min="9052" max="9052" width="9" style="178"/>
    <col min="9053" max="9053" width="9" style="178"/>
    <col min="9054" max="9054" width="9" style="178"/>
    <col min="9055" max="9055" width="9" style="178"/>
    <col min="9056" max="9056" width="9" style="178"/>
    <col min="9057" max="9057" width="9" style="178"/>
    <col min="9058" max="9058" width="9" style="178"/>
    <col min="9059" max="9059" width="9" style="178"/>
    <col min="9060" max="9060" width="9" style="178"/>
    <col min="9061" max="9061" width="9" style="178"/>
    <col min="9062" max="9062" width="9" style="178"/>
    <col min="9063" max="9063" width="9" style="178"/>
    <col min="9064" max="9064" width="9" style="178"/>
    <col min="9065" max="9065" width="9" style="178"/>
    <col min="9066" max="9066" width="9" style="178"/>
    <col min="9067" max="9067" width="9" style="178"/>
    <col min="9068" max="9068" width="9" style="178"/>
    <col min="9069" max="9069" width="9" style="178"/>
    <col min="9070" max="9070" width="9" style="178"/>
    <col min="9071" max="9071" width="9" style="178"/>
    <col min="9072" max="9072" width="9" style="178"/>
    <col min="9073" max="9073" width="9" style="178"/>
    <col min="9074" max="9074" width="9" style="178"/>
    <col min="9075" max="9075" width="9" style="178"/>
    <col min="9076" max="9076" width="9" style="178"/>
    <col min="9077" max="9077" width="9" style="178"/>
    <col min="9078" max="9078" width="9" style="178"/>
    <col min="9079" max="9079" width="9" style="178"/>
    <col min="9080" max="9080" width="9" style="178"/>
    <col min="9081" max="9081" width="9" style="178"/>
    <col min="9082" max="9082" width="9" style="178"/>
    <col min="9083" max="9083" width="9" style="178"/>
    <col min="9084" max="9084" width="9" style="178"/>
    <col min="9085" max="9085" width="9" style="178"/>
    <col min="9086" max="9086" width="9" style="178"/>
    <col min="9087" max="9087" width="9" style="178"/>
    <col min="9088" max="9088" width="9" style="178"/>
    <col min="9089" max="9089" width="9" style="178"/>
    <col min="9090" max="9090" width="9" style="178"/>
    <col min="9091" max="9091" width="9" style="178"/>
    <col min="9092" max="9092" width="9" style="178"/>
    <col min="9093" max="9093" width="9" style="178"/>
    <col min="9094" max="9094" width="9" style="178"/>
    <col min="9095" max="9095" width="9" style="178"/>
    <col min="9096" max="9096" width="9" style="178"/>
    <col min="9097" max="9097" width="9" style="178"/>
    <col min="9098" max="9098" width="9" style="178"/>
    <col min="9099" max="9099" width="9" style="178"/>
    <col min="9100" max="9100" width="9" style="178"/>
    <col min="9101" max="9101" width="9" style="178"/>
    <col min="9102" max="9102" width="9" style="178"/>
    <col min="9103" max="9103" width="9" style="178"/>
    <col min="9104" max="9104" width="9" style="178"/>
    <col min="9105" max="9105" width="9" style="178"/>
    <col min="9106" max="9106" width="9" style="178"/>
    <col min="9107" max="9107" width="9" style="178"/>
    <col min="9108" max="9108" width="9" style="178"/>
    <col min="9109" max="9109" width="9" style="178"/>
    <col min="9110" max="9110" width="9" style="178"/>
    <col min="9111" max="9111" width="9" style="178"/>
    <col min="9112" max="9112" width="9" style="178"/>
    <col min="9113" max="9113" width="9" style="178"/>
    <col min="9114" max="9114" width="9" style="178"/>
    <col min="9115" max="9115" width="9" style="178"/>
    <col min="9116" max="9116" width="9" style="178"/>
    <col min="9117" max="9117" width="9" style="178"/>
    <col min="9118" max="9118" width="9" style="178"/>
    <col min="9119" max="9119" width="9" style="178"/>
    <col min="9120" max="9120" width="9" style="178"/>
    <col min="9121" max="9121" width="9" style="178"/>
    <col min="9122" max="9122" width="9" style="178"/>
    <col min="9123" max="9123" width="9" style="178"/>
    <col min="9124" max="9124" width="9" style="178"/>
    <col min="9125" max="9125" width="9" style="178"/>
    <col min="9126" max="9126" width="9" style="178"/>
    <col min="9127" max="9127" width="9" style="178"/>
    <col min="9128" max="9128" width="9" style="178"/>
    <col min="9129" max="9129" width="9" style="178"/>
    <col min="9130" max="9130" width="9" style="178"/>
    <col min="9131" max="9131" width="9" style="178"/>
    <col min="9132" max="9132" width="9" style="178"/>
    <col min="9133" max="9133" width="9" style="178"/>
    <col min="9134" max="9134" width="9" style="178"/>
    <col min="9135" max="9135" width="9" style="178"/>
    <col min="9136" max="9136" width="9" style="178"/>
    <col min="9137" max="9137" width="9" style="178"/>
    <col min="9138" max="9138" width="9" style="178"/>
    <col min="9139" max="9139" width="9" style="178"/>
    <col min="9140" max="9140" width="9" style="178"/>
    <col min="9141" max="9141" width="9" style="178"/>
    <col min="9142" max="9142" width="9" style="178"/>
    <col min="9143" max="9143" width="9" style="178"/>
    <col min="9144" max="9144" width="9" style="178"/>
    <col min="9145" max="9145" width="9" style="178"/>
    <col min="9146" max="9146" width="9" style="178"/>
    <col min="9147" max="9147" width="9" style="178"/>
    <col min="9148" max="9148" width="9" style="178"/>
    <col min="9149" max="9149" width="9" style="178"/>
    <col min="9150" max="9150" width="9" style="178"/>
    <col min="9151" max="9151" width="9" style="178"/>
    <col min="9152" max="9152" width="9" style="178"/>
    <col min="9153" max="9153" width="9" style="178"/>
    <col min="9154" max="9154" width="9" style="178"/>
    <col min="9155" max="9155" width="9" style="178"/>
    <col min="9156" max="9156" width="9" style="178"/>
    <col min="9157" max="9157" width="9" style="178"/>
    <col min="9158" max="9158" width="9" style="178"/>
    <col min="9159" max="9159" width="9" style="178"/>
    <col min="9160" max="9160" width="9" style="178"/>
    <col min="9161" max="9161" width="9" style="178"/>
    <col min="9162" max="9162" width="9" style="178"/>
    <col min="9163" max="9163" width="9" style="178"/>
    <col min="9164" max="9164" width="9" style="178"/>
    <col min="9165" max="9165" width="9" style="178"/>
    <col min="9166" max="9166" width="9" style="178"/>
    <col min="9167" max="9167" width="9" style="178"/>
    <col min="9168" max="9168" width="9" style="178"/>
    <col min="9169" max="9169" width="9" style="178"/>
    <col min="9170" max="9170" width="9" style="178"/>
    <col min="9171" max="9171" width="9" style="178"/>
    <col min="9172" max="9172" width="9" style="178"/>
    <col min="9173" max="9173" width="9" style="178"/>
    <col min="9174" max="9174" width="9" style="178"/>
    <col min="9175" max="9175" width="9" style="178"/>
    <col min="9176" max="9176" width="9" style="178"/>
    <col min="9177" max="9177" width="9" style="178"/>
    <col min="9178" max="9178" width="9" style="178"/>
    <col min="9179" max="9179" width="9" style="178"/>
    <col min="9180" max="9180" width="9" style="178"/>
    <col min="9181" max="9181" width="9" style="178"/>
    <col min="9182" max="9182" width="9" style="178"/>
    <col min="9183" max="9183" width="9" style="178"/>
    <col min="9184" max="9184" width="9" style="178"/>
    <col min="9185" max="9185" width="9" style="178"/>
    <col min="9186" max="9186" width="9" style="178"/>
    <col min="9187" max="9187" width="9" style="178"/>
    <col min="9188" max="9188" width="9" style="178"/>
    <col min="9189" max="9189" width="9" style="178"/>
    <col min="9190" max="9190" width="9" style="178"/>
    <col min="9191" max="9191" width="9" style="178"/>
    <col min="9192" max="9192" width="9" style="178"/>
    <col min="9193" max="9193" width="9" style="178"/>
    <col min="9194" max="9194" width="9" style="178"/>
    <col min="9195" max="9195" width="9" style="178"/>
    <col min="9196" max="9196" width="9" style="178"/>
    <col min="9197" max="9197" width="9" style="178"/>
    <col min="9198" max="9198" width="9" style="178"/>
    <col min="9199" max="9199" width="9" style="178"/>
    <col min="9200" max="9200" width="9" style="178"/>
    <col min="9201" max="9201" width="9" style="178"/>
    <col min="9202" max="9202" width="9" style="178"/>
    <col min="9203" max="9203" width="9" style="178"/>
    <col min="9204" max="9204" width="9" style="178"/>
    <col min="9205" max="9205" width="9" style="178"/>
    <col min="9206" max="9206" width="9" style="178"/>
    <col min="9207" max="9207" width="9" style="178"/>
    <col min="9208" max="9208" width="9" style="178"/>
    <col min="9209" max="9209" width="9" style="178"/>
    <col min="9210" max="9210" width="9" style="178"/>
    <col min="9211" max="9211" width="9" style="178"/>
    <col min="9212" max="9212" width="9" style="178"/>
    <col min="9213" max="9213" width="9" style="178"/>
    <col min="9214" max="9214" width="9" style="178"/>
    <col min="9215" max="9215" width="9" style="178"/>
    <col min="9216" max="9216" width="9" style="178"/>
    <col min="9217" max="9217" width="9" style="178"/>
    <col min="9218" max="9218" width="9" style="178"/>
    <col min="9219" max="9219" width="9" style="178"/>
    <col min="9220" max="9220" width="9" style="178"/>
    <col min="9221" max="9221" width="9" style="178"/>
    <col min="9222" max="9222" width="9" style="178"/>
    <col min="9223" max="9223" width="9" style="178"/>
    <col min="9224" max="9224" width="9" style="178"/>
    <col min="9225" max="9225" width="9" style="178"/>
    <col min="9226" max="9226" width="9" style="178"/>
    <col min="9227" max="9227" width="9" style="178"/>
    <col min="9228" max="9228" width="9" style="178"/>
    <col min="9229" max="9229" width="9" style="178"/>
    <col min="9230" max="9230" width="9" style="178"/>
    <col min="9231" max="9231" width="9" style="178"/>
    <col min="9232" max="9232" width="9" style="178"/>
    <col min="9233" max="9233" width="9" style="178"/>
    <col min="9234" max="9234" width="9" style="178"/>
    <col min="9235" max="9235" width="9" style="178"/>
    <col min="9236" max="9236" width="9" style="178"/>
    <col min="9237" max="9237" width="9" style="178"/>
    <col min="9238" max="9238" width="9" style="178"/>
    <col min="9239" max="9239" width="9" style="178"/>
    <col min="9240" max="9240" width="9" style="178"/>
    <col min="9241" max="9241" width="9" style="178"/>
    <col min="9242" max="9242" width="9" style="178"/>
    <col min="9243" max="9243" width="9" style="178"/>
    <col min="9244" max="9244" width="9" style="178"/>
    <col min="9245" max="9245" width="9" style="178"/>
    <col min="9246" max="9246" width="9" style="178"/>
    <col min="9247" max="9247" width="9" style="178"/>
    <col min="9248" max="9248" width="9" style="178"/>
    <col min="9249" max="9249" width="9" style="178"/>
    <col min="9250" max="9250" width="9" style="178"/>
    <col min="9251" max="9251" width="9" style="178"/>
    <col min="9252" max="9252" width="9" style="178"/>
    <col min="9253" max="9253" width="9" style="178"/>
    <col min="9254" max="9254" width="9" style="178"/>
    <col min="9255" max="9255" width="9" style="178"/>
    <col min="9256" max="9256" width="9" style="178"/>
    <col min="9257" max="9257" width="9" style="178"/>
    <col min="9258" max="9258" width="9" style="178"/>
    <col min="9259" max="9259" width="9" style="178"/>
    <col min="9260" max="9260" width="9" style="178"/>
    <col min="9261" max="9261" width="9" style="178"/>
    <col min="9262" max="9262" width="9" style="178"/>
    <col min="9263" max="9263" width="9" style="178"/>
    <col min="9264" max="9264" width="9" style="178"/>
    <col min="9265" max="9265" width="9" style="178"/>
    <col min="9266" max="9266" width="9" style="178"/>
    <col min="9267" max="9267" width="9" style="178"/>
    <col min="9268" max="9268" width="9" style="178"/>
    <col min="9269" max="9269" width="9" style="178"/>
    <col min="9270" max="9270" width="9" style="178"/>
    <col min="9271" max="9271" width="9" style="178"/>
    <col min="9272" max="9272" width="9" style="178"/>
    <col min="9273" max="9273" width="9" style="178"/>
    <col min="9274" max="9274" width="9" style="178"/>
    <col min="9275" max="9275" width="9" style="178"/>
    <col min="9276" max="9276" width="9" style="178"/>
    <col min="9277" max="9277" width="9" style="178"/>
    <col min="9278" max="9278" width="9" style="178"/>
    <col min="9279" max="9279" width="9" style="178"/>
    <col min="9280" max="9280" width="9" style="178"/>
    <col min="9281" max="9281" width="9" style="178"/>
    <col min="9282" max="9282" width="9" style="178"/>
    <col min="9283" max="9283" width="9" style="178"/>
    <col min="9284" max="9284" width="9" style="178"/>
    <col min="9285" max="9285" width="9" style="178"/>
    <col min="9286" max="9286" width="9" style="178"/>
    <col min="9287" max="9287" width="9" style="178"/>
    <col min="9288" max="9288" width="9" style="178"/>
    <col min="9289" max="9289" width="9" style="178"/>
    <col min="9290" max="9290" width="9" style="178"/>
    <col min="9291" max="9291" width="9" style="178"/>
    <col min="9292" max="9292" width="9" style="178"/>
    <col min="9293" max="9293" width="9" style="178"/>
    <col min="9294" max="9294" width="9" style="178"/>
    <col min="9295" max="9295" width="9" style="178"/>
    <col min="9296" max="9296" width="9" style="178"/>
    <col min="9297" max="9297" width="9" style="178"/>
    <col min="9298" max="9298" width="9" style="178"/>
    <col min="9299" max="9299" width="9" style="178"/>
    <col min="9300" max="9300" width="9" style="178"/>
    <col min="9301" max="9301" width="9" style="178"/>
    <col min="9302" max="9302" width="9" style="178"/>
    <col min="9303" max="9303" width="9" style="178"/>
    <col min="9304" max="9304" width="9" style="178"/>
    <col min="9305" max="9305" width="9" style="178"/>
    <col min="9306" max="9306" width="9" style="178"/>
    <col min="9307" max="9307" width="9" style="178"/>
    <col min="9308" max="9308" width="9" style="178"/>
    <col min="9309" max="9309" width="9" style="178"/>
    <col min="9310" max="9310" width="9" style="178"/>
    <col min="9311" max="9311" width="9" style="178"/>
    <col min="9312" max="9312" width="9" style="178"/>
    <col min="9313" max="9313" width="9" style="178"/>
    <col min="9314" max="9314" width="9" style="178"/>
    <col min="9315" max="9315" width="9" style="178"/>
    <col min="9316" max="9316" width="9" style="178"/>
    <col min="9317" max="9317" width="9" style="178"/>
    <col min="9318" max="9318" width="9" style="178"/>
    <col min="9319" max="9319" width="9" style="178"/>
    <col min="9320" max="9320" width="9" style="178"/>
    <col min="9321" max="9321" width="9" style="178"/>
    <col min="9322" max="9322" width="9" style="178"/>
    <col min="9323" max="9323" width="9" style="178"/>
    <col min="9324" max="9324" width="9" style="178"/>
    <col min="9325" max="9325" width="9" style="178"/>
    <col min="9326" max="9326" width="9" style="178"/>
    <col min="9327" max="9327" width="9" style="178"/>
    <col min="9328" max="9328" width="9" style="178"/>
    <col min="9329" max="9329" width="9" style="178"/>
    <col min="9330" max="9330" width="9" style="178"/>
    <col min="9331" max="9331" width="9" style="178"/>
    <col min="9332" max="9332" width="9" style="178"/>
    <col min="9333" max="9333" width="9" style="178"/>
    <col min="9334" max="9334" width="9" style="178"/>
    <col min="9335" max="9335" width="9" style="178"/>
    <col min="9336" max="9336" width="9" style="178"/>
    <col min="9337" max="9337" width="9" style="178"/>
    <col min="9338" max="9338" width="9" style="178"/>
    <col min="9339" max="9339" width="9" style="178"/>
    <col min="9340" max="9340" width="9" style="178"/>
    <col min="9341" max="9341" width="9" style="178"/>
    <col min="9342" max="9342" width="9" style="178"/>
    <col min="9343" max="9343" width="9" style="178"/>
    <col min="9344" max="9344" width="9" style="178"/>
    <col min="9345" max="9345" width="9" style="178"/>
    <col min="9346" max="9346" width="9" style="178"/>
    <col min="9347" max="9347" width="9" style="178"/>
    <col min="9348" max="9348" width="9" style="178"/>
    <col min="9349" max="9349" width="9" style="178"/>
    <col min="9350" max="9350" width="9" style="178"/>
    <col min="9351" max="9351" width="9" style="178"/>
    <col min="9352" max="9352" width="9" style="178"/>
    <col min="9353" max="9353" width="9" style="178"/>
    <col min="9354" max="9354" width="9" style="178"/>
    <col min="9355" max="9355" width="9" style="178"/>
    <col min="9356" max="9356" width="9" style="178"/>
    <col min="9357" max="9357" width="9" style="178"/>
    <col min="9358" max="9358" width="9" style="178"/>
    <col min="9359" max="9359" width="9" style="178"/>
    <col min="9360" max="9360" width="9" style="178"/>
    <col min="9361" max="9361" width="9" style="178"/>
    <col min="9362" max="9362" width="9" style="178"/>
    <col min="9363" max="9363" width="9" style="178"/>
    <col min="9364" max="9364" width="9" style="178"/>
    <col min="9365" max="9365" width="9" style="178"/>
    <col min="9366" max="9366" width="9" style="178"/>
    <col min="9367" max="9367" width="9" style="178"/>
    <col min="9368" max="9368" width="9" style="178"/>
    <col min="9369" max="9369" width="9" style="178"/>
    <col min="9370" max="9370" width="9" style="178"/>
    <col min="9371" max="9371" width="9" style="178"/>
    <col min="9372" max="9372" width="9" style="178"/>
    <col min="9373" max="9373" width="9" style="178"/>
    <col min="9374" max="9374" width="9" style="178"/>
    <col min="9375" max="9375" width="9" style="178"/>
    <col min="9376" max="9376" width="9" style="178"/>
    <col min="9377" max="9377" width="9" style="178"/>
    <col min="9378" max="9378" width="9" style="178"/>
    <col min="9379" max="9379" width="9" style="178"/>
    <col min="9380" max="9380" width="9" style="178"/>
    <col min="9381" max="9381" width="9" style="178"/>
    <col min="9382" max="9382" width="9" style="178"/>
    <col min="9383" max="9383" width="9" style="178"/>
    <col min="9384" max="9384" width="9" style="178"/>
    <col min="9385" max="9385" width="9" style="178"/>
    <col min="9386" max="9386" width="9" style="178"/>
    <col min="9387" max="9387" width="9" style="178"/>
    <col min="9388" max="9388" width="9" style="178"/>
    <col min="9389" max="9389" width="9" style="178"/>
    <col min="9390" max="9390" width="9" style="178"/>
    <col min="9391" max="9391" width="9" style="178"/>
    <col min="9392" max="9392" width="9" style="178"/>
    <col min="9393" max="9393" width="9" style="178"/>
    <col min="9394" max="9394" width="9" style="178"/>
    <col min="9395" max="9395" width="9" style="178"/>
    <col min="9396" max="9396" width="9" style="178"/>
    <col min="9397" max="9397" width="9" style="178"/>
    <col min="9398" max="9398" width="9" style="178"/>
    <col min="9399" max="9399" width="9" style="178"/>
    <col min="9400" max="9400" width="9" style="178"/>
    <col min="9401" max="9401" width="9" style="178"/>
    <col min="9402" max="9402" width="9" style="178"/>
    <col min="9403" max="9403" width="9" style="178"/>
    <col min="9404" max="9404" width="9" style="178"/>
    <col min="9405" max="9405" width="9" style="178"/>
    <col min="9406" max="9406" width="9" style="178"/>
    <col min="9407" max="9407" width="9" style="178"/>
    <col min="9408" max="9408" width="9" style="178"/>
    <col min="9409" max="9409" width="9" style="178"/>
    <col min="9410" max="9410" width="9" style="178"/>
    <col min="9411" max="9411" width="9" style="178"/>
    <col min="9412" max="9412" width="9" style="178"/>
    <col min="9413" max="9413" width="9" style="178"/>
    <col min="9414" max="9414" width="9" style="178"/>
    <col min="9415" max="9415" width="9" style="178"/>
    <col min="9416" max="9416" width="9" style="178"/>
    <col min="9417" max="9417" width="9" style="178"/>
    <col min="9418" max="9418" width="9" style="178"/>
    <col min="9419" max="9419" width="9" style="178"/>
    <col min="9420" max="9420" width="9" style="178"/>
    <col min="9421" max="9421" width="9" style="178"/>
    <col min="9422" max="9422" width="9" style="178"/>
    <col min="9423" max="9423" width="9" style="178"/>
    <col min="9424" max="9424" width="9" style="178"/>
    <col min="9425" max="9425" width="9" style="178"/>
    <col min="9426" max="9426" width="9" style="178"/>
    <col min="9427" max="9427" width="9" style="178"/>
    <col min="9428" max="9428" width="9" style="178"/>
    <col min="9429" max="9429" width="9" style="178"/>
    <col min="9430" max="9430" width="9" style="178"/>
    <col min="9431" max="9431" width="9" style="178"/>
    <col min="9432" max="9432" width="9" style="178"/>
    <col min="9433" max="9433" width="9" style="178"/>
    <col min="9434" max="9434" width="9" style="178"/>
    <col min="9435" max="9435" width="9" style="178"/>
    <col min="9436" max="9436" width="9" style="178"/>
    <col min="9437" max="9437" width="9" style="178"/>
    <col min="9438" max="9438" width="9" style="178"/>
    <col min="9439" max="9439" width="9" style="178"/>
    <col min="9440" max="9440" width="9" style="178"/>
    <col min="9441" max="9441" width="9" style="178"/>
    <col min="9442" max="9442" width="9" style="178"/>
    <col min="9443" max="9443" width="9" style="178"/>
    <col min="9444" max="9444" width="9" style="178"/>
    <col min="9445" max="9445" width="9" style="178"/>
    <col min="9446" max="9446" width="9" style="178"/>
    <col min="9447" max="9447" width="9" style="178"/>
    <col min="9448" max="9448" width="9" style="178"/>
    <col min="9449" max="9449" width="9" style="178"/>
    <col min="9450" max="9450" width="9" style="178"/>
    <col min="9451" max="9451" width="9" style="178"/>
    <col min="9452" max="9452" width="9" style="178"/>
    <col min="9453" max="9453" width="9" style="178"/>
    <col min="9454" max="9454" width="9" style="178"/>
    <col min="9455" max="9455" width="9" style="178"/>
    <col min="9456" max="9456" width="9" style="178"/>
    <col min="9457" max="9457" width="9" style="178"/>
    <col min="9458" max="9458" width="9" style="178"/>
    <col min="9459" max="9459" width="9" style="178"/>
    <col min="9460" max="9460" width="9" style="178"/>
    <col min="9461" max="9461" width="9" style="178"/>
    <col min="9462" max="9462" width="9" style="178"/>
    <col min="9463" max="9463" width="9" style="178"/>
    <col min="9464" max="9464" width="9" style="178"/>
    <col min="9465" max="9465" width="9" style="178"/>
    <col min="9466" max="9466" width="9" style="178"/>
    <col min="9467" max="9467" width="9" style="178"/>
    <col min="9468" max="9468" width="9" style="178"/>
    <col min="9469" max="9469" width="9" style="178"/>
    <col min="9470" max="9470" width="9" style="178"/>
    <col min="9471" max="9471" width="9" style="178"/>
    <col min="9472" max="9472" width="9" style="178"/>
    <col min="9473" max="9473" width="9" style="178"/>
    <col min="9474" max="9474" width="9" style="178"/>
    <col min="9475" max="9475" width="9" style="178"/>
    <col min="9476" max="9476" width="9" style="178"/>
    <col min="9477" max="9477" width="9" style="178"/>
    <col min="9478" max="9478" width="9" style="178"/>
    <col min="9479" max="9479" width="9" style="178"/>
    <col min="9480" max="9480" width="9" style="178"/>
    <col min="9481" max="9481" width="9" style="178"/>
    <col min="9482" max="9482" width="9" style="178"/>
    <col min="9483" max="9483" width="9" style="178"/>
    <col min="9484" max="9484" width="9" style="178"/>
    <col min="9485" max="9485" width="9" style="178"/>
    <col min="9486" max="9486" width="9" style="178"/>
    <col min="9487" max="9487" width="9" style="178"/>
    <col min="9488" max="9488" width="9" style="178"/>
    <col min="9489" max="9489" width="9" style="178"/>
    <col min="9490" max="9490" width="9" style="178"/>
    <col min="9491" max="9491" width="9" style="178"/>
    <col min="9492" max="9492" width="9" style="178"/>
    <col min="9493" max="9493" width="9" style="178"/>
    <col min="9494" max="9494" width="9" style="178"/>
    <col min="9495" max="9495" width="9" style="178"/>
    <col min="9496" max="9496" width="9" style="178"/>
    <col min="9497" max="9497" width="9" style="178"/>
    <col min="9498" max="9498" width="9" style="178"/>
    <col min="9499" max="9499" width="9" style="178"/>
    <col min="9500" max="9500" width="9" style="178"/>
    <col min="9501" max="9501" width="9" style="178"/>
    <col min="9502" max="9502" width="9" style="178"/>
    <col min="9503" max="9503" width="9" style="178"/>
    <col min="9504" max="9504" width="9" style="178"/>
    <col min="9505" max="9505" width="9" style="178"/>
    <col min="9506" max="9506" width="9" style="178"/>
    <col min="9507" max="9507" width="9" style="178"/>
    <col min="9508" max="9508" width="9" style="178"/>
    <col min="9509" max="9509" width="9" style="178"/>
    <col min="9510" max="9510" width="9" style="178"/>
    <col min="9511" max="9511" width="9" style="178"/>
    <col min="9512" max="9512" width="9" style="178"/>
    <col min="9513" max="9513" width="9" style="178"/>
    <col min="9514" max="9514" width="9" style="178"/>
    <col min="9515" max="9515" width="9" style="178"/>
    <col min="9516" max="9516" width="9" style="178"/>
    <col min="9517" max="9517" width="9" style="178"/>
    <col min="9518" max="9518" width="9" style="178"/>
    <col min="9519" max="9519" width="9" style="178"/>
    <col min="9520" max="9520" width="9" style="178"/>
    <col min="9521" max="9521" width="9" style="178"/>
    <col min="9522" max="9522" width="9" style="178"/>
    <col min="9523" max="9523" width="9" style="178"/>
    <col min="9524" max="9524" width="9" style="178"/>
    <col min="9525" max="9525" width="9" style="178"/>
    <col min="9526" max="9526" width="9" style="178"/>
    <col min="9527" max="9527" width="9" style="178"/>
    <col min="9528" max="9528" width="9" style="178"/>
    <col min="9529" max="9529" width="9" style="178"/>
    <col min="9530" max="9530" width="9" style="178"/>
    <col min="9531" max="9531" width="9" style="178"/>
    <col min="9532" max="9532" width="9" style="178"/>
    <col min="9533" max="9533" width="9" style="178"/>
    <col min="9534" max="9534" width="9" style="178"/>
    <col min="9535" max="9535" width="9" style="178"/>
    <col min="9536" max="9536" width="9" style="178"/>
    <col min="9537" max="9537" width="9" style="178"/>
    <col min="9538" max="9538" width="9" style="178"/>
    <col min="9539" max="9539" width="9" style="178"/>
    <col min="9540" max="9540" width="9" style="178"/>
    <col min="9541" max="9541" width="9" style="178"/>
    <col min="9542" max="9542" width="9" style="178"/>
    <col min="9543" max="9543" width="9" style="178"/>
    <col min="9544" max="9544" width="9" style="178"/>
    <col min="9545" max="9545" width="9" style="178"/>
    <col min="9546" max="9546" width="9" style="178"/>
    <col min="9547" max="9547" width="9" style="178"/>
    <col min="9548" max="9548" width="9" style="178"/>
    <col min="9549" max="9549" width="9" style="178"/>
    <col min="9550" max="9550" width="9" style="178"/>
    <col min="9551" max="9551" width="9" style="178"/>
    <col min="9552" max="9552" width="9" style="178"/>
    <col min="9553" max="9553" width="9" style="178"/>
    <col min="9554" max="9554" width="9" style="178"/>
    <col min="9555" max="9555" width="9" style="178"/>
    <col min="9556" max="9556" width="9" style="178"/>
    <col min="9557" max="9557" width="9" style="178"/>
    <col min="9558" max="9558" width="9" style="178"/>
    <col min="9559" max="9559" width="9" style="178"/>
    <col min="9560" max="9560" width="9" style="178"/>
    <col min="9561" max="9561" width="9" style="178"/>
    <col min="9562" max="9562" width="9" style="178"/>
    <col min="9563" max="9563" width="9" style="178"/>
    <col min="9564" max="9564" width="9" style="178"/>
    <col min="9565" max="9565" width="9" style="178"/>
    <col min="9566" max="9566" width="9" style="178"/>
    <col min="9567" max="9567" width="9" style="178"/>
    <col min="9568" max="9568" width="9" style="178"/>
    <col min="9569" max="9569" width="9" style="178"/>
    <col min="9570" max="9570" width="9" style="178"/>
    <col min="9571" max="9571" width="9" style="178"/>
    <col min="9572" max="9572" width="9" style="178"/>
    <col min="9573" max="9573" width="9" style="178"/>
    <col min="9574" max="9574" width="9" style="178"/>
    <col min="9575" max="9575" width="9" style="178"/>
    <col min="9576" max="9576" width="9" style="178"/>
    <col min="9577" max="9577" width="9" style="178"/>
    <col min="9578" max="9578" width="9" style="178"/>
    <col min="9579" max="9579" width="9" style="178"/>
    <col min="9580" max="9580" width="9" style="178"/>
    <col min="9581" max="9581" width="9" style="178"/>
    <col min="9582" max="9582" width="9" style="178"/>
    <col min="9583" max="9583" width="9" style="178"/>
    <col min="9584" max="9584" width="9" style="178"/>
    <col min="9585" max="9585" width="9" style="178"/>
    <col min="9586" max="9586" width="9" style="178"/>
    <col min="9587" max="9587" width="9" style="178"/>
    <col min="9588" max="9588" width="9" style="178"/>
    <col min="9589" max="9589" width="9" style="178"/>
    <col min="9590" max="9590" width="9" style="178"/>
    <col min="9591" max="9591" width="9" style="178"/>
    <col min="9592" max="9592" width="9" style="178"/>
    <col min="9593" max="9593" width="9" style="178"/>
    <col min="9594" max="9594" width="9" style="178"/>
    <col min="9595" max="9595" width="9" style="178"/>
    <col min="9596" max="9596" width="9" style="178"/>
    <col min="9597" max="9597" width="9" style="178"/>
    <col min="9598" max="9598" width="9" style="178"/>
    <col min="9599" max="9599" width="9" style="178"/>
    <col min="9600" max="9600" width="9" style="178"/>
    <col min="9601" max="9601" width="9" style="178"/>
    <col min="9602" max="9602" width="9" style="178"/>
    <col min="9603" max="9603" width="9" style="178"/>
    <col min="9604" max="9604" width="9" style="178"/>
    <col min="9605" max="9605" width="9" style="178"/>
    <col min="9606" max="9606" width="9" style="178"/>
    <col min="9607" max="9607" width="9" style="178"/>
    <col min="9608" max="9608" width="9" style="178"/>
    <col min="9609" max="9609" width="9" style="178"/>
    <col min="9610" max="9610" width="9" style="178"/>
    <col min="9611" max="9611" width="9" style="178"/>
    <col min="9612" max="9612" width="9" style="178"/>
    <col min="9613" max="9613" width="9" style="178"/>
    <col min="9614" max="9614" width="9" style="178"/>
    <col min="9615" max="9615" width="9" style="178"/>
    <col min="9616" max="9616" width="9" style="178"/>
    <col min="9617" max="9617" width="9" style="178"/>
    <col min="9618" max="9618" width="9" style="178"/>
    <col min="9619" max="9619" width="9" style="178"/>
    <col min="9620" max="9620" width="9" style="178"/>
    <col min="9621" max="9621" width="9" style="178"/>
    <col min="9622" max="9622" width="9" style="178"/>
    <col min="9623" max="9623" width="9" style="178"/>
    <col min="9624" max="9624" width="9" style="178"/>
    <col min="9625" max="9625" width="9" style="178"/>
    <col min="9626" max="9626" width="9" style="178"/>
    <col min="9627" max="9627" width="9" style="178"/>
    <col min="9628" max="9628" width="9" style="178"/>
    <col min="9629" max="9629" width="9" style="178"/>
    <col min="9630" max="9630" width="9" style="178"/>
    <col min="9631" max="9631" width="9" style="178"/>
    <col min="9632" max="9632" width="9" style="178"/>
    <col min="9633" max="9633" width="9" style="178"/>
    <col min="9634" max="9634" width="9" style="178"/>
    <col min="9635" max="9635" width="9" style="178"/>
    <col min="9636" max="9636" width="9" style="178"/>
    <col min="9637" max="9637" width="9" style="178"/>
    <col min="9638" max="9638" width="9" style="178"/>
    <col min="9639" max="9639" width="9" style="178"/>
    <col min="9640" max="9640" width="9" style="178"/>
    <col min="9641" max="9641" width="9" style="178"/>
    <col min="9642" max="9642" width="9" style="178"/>
    <col min="9643" max="9643" width="9" style="178"/>
    <col min="9644" max="9644" width="9" style="178"/>
    <col min="9645" max="9645" width="9" style="178"/>
    <col min="9646" max="9646" width="9" style="178"/>
    <col min="9647" max="9647" width="9" style="178"/>
    <col min="9648" max="9648" width="9" style="178"/>
    <col min="9649" max="9649" width="9" style="178"/>
    <col min="9650" max="9650" width="9" style="178"/>
    <col min="9651" max="9651" width="9" style="178"/>
    <col min="9652" max="9652" width="9" style="178"/>
    <col min="9653" max="9653" width="9" style="178"/>
    <col min="9654" max="9654" width="9" style="178"/>
    <col min="9655" max="9655" width="9" style="178"/>
    <col min="9656" max="9656" width="9" style="178"/>
    <col min="9657" max="9657" width="9" style="178"/>
    <col min="9658" max="9658" width="9" style="178"/>
    <col min="9659" max="9659" width="9" style="178"/>
    <col min="9660" max="9660" width="9" style="178"/>
    <col min="9661" max="9661" width="9" style="178"/>
    <col min="9662" max="9662" width="9" style="178"/>
    <col min="9663" max="9663" width="9" style="178"/>
    <col min="9664" max="9664" width="9" style="178"/>
    <col min="9665" max="9665" width="9" style="178"/>
    <col min="9666" max="9666" width="9" style="178"/>
    <col min="9667" max="9667" width="9" style="178"/>
    <col min="9668" max="9668" width="9" style="178"/>
    <col min="9669" max="9669" width="9" style="178"/>
    <col min="9670" max="9670" width="9" style="178"/>
    <col min="9671" max="9671" width="9" style="178"/>
    <col min="9672" max="9672" width="9" style="178"/>
    <col min="9673" max="9673" width="9" style="178"/>
    <col min="9674" max="9674" width="9" style="178"/>
    <col min="9675" max="9675" width="9" style="178"/>
    <col min="9676" max="9676" width="9" style="178"/>
    <col min="9677" max="9677" width="9" style="178"/>
    <col min="9678" max="9678" width="9" style="178"/>
    <col min="9679" max="9679" width="9" style="178"/>
    <col min="9680" max="9680" width="9" style="178"/>
    <col min="9681" max="9681" width="9" style="178"/>
    <col min="9682" max="9682" width="9" style="178"/>
    <col min="9683" max="9683" width="9" style="178"/>
    <col min="9684" max="9684" width="9" style="178"/>
    <col min="9685" max="9685" width="9" style="178"/>
    <col min="9686" max="9686" width="9" style="178"/>
    <col min="9687" max="9687" width="9" style="178"/>
    <col min="9688" max="9688" width="9" style="178"/>
    <col min="9689" max="9689" width="9" style="178"/>
    <col min="9690" max="9690" width="9" style="178"/>
    <col min="9691" max="9691" width="9" style="178"/>
    <col min="9692" max="9692" width="9" style="178"/>
    <col min="9693" max="9693" width="9" style="178"/>
    <col min="9694" max="9694" width="9" style="178"/>
    <col min="9695" max="9695" width="9" style="178"/>
    <col min="9696" max="9696" width="9" style="178"/>
    <col min="9697" max="9697" width="9" style="178"/>
    <col min="9698" max="9698" width="9" style="178"/>
    <col min="9699" max="9699" width="9" style="178"/>
    <col min="9700" max="9700" width="9" style="178"/>
    <col min="9701" max="9701" width="9" style="178"/>
    <col min="9702" max="9702" width="9" style="178"/>
    <col min="9703" max="9703" width="9" style="178"/>
    <col min="9704" max="9704" width="9" style="178"/>
    <col min="9705" max="9705" width="9" style="178"/>
    <col min="9706" max="9706" width="9" style="178"/>
    <col min="9707" max="9707" width="9" style="178"/>
    <col min="9708" max="9708" width="9" style="178"/>
    <col min="9709" max="9709" width="9" style="178"/>
    <col min="9710" max="9710" width="9" style="178"/>
    <col min="9711" max="9711" width="9" style="178"/>
    <col min="9712" max="9712" width="9" style="178"/>
    <col min="9713" max="9713" width="9" style="178"/>
    <col min="9714" max="9714" width="9" style="178"/>
    <col min="9715" max="9715" width="9" style="178"/>
    <col min="9716" max="9716" width="9" style="178"/>
    <col min="9717" max="9717" width="9" style="178"/>
    <col min="9718" max="9718" width="9" style="178"/>
    <col min="9719" max="9719" width="9" style="178"/>
    <col min="9720" max="9720" width="9" style="178"/>
    <col min="9721" max="9721" width="9" style="178"/>
    <col min="9722" max="9722" width="9" style="178"/>
    <col min="9723" max="9723" width="9" style="178"/>
    <col min="9724" max="9724" width="9" style="178"/>
    <col min="9725" max="9725" width="9" style="178"/>
    <col min="9726" max="9726" width="9" style="178"/>
    <col min="9727" max="9727" width="9" style="178"/>
    <col min="9728" max="9728" width="9" style="178"/>
    <col min="9729" max="9729" width="9" style="178"/>
    <col min="9730" max="9730" width="9" style="178"/>
    <col min="9731" max="9731" width="9" style="178"/>
    <col min="9732" max="9732" width="9" style="178"/>
    <col min="9733" max="9733" width="9" style="178"/>
    <col min="9734" max="9734" width="9" style="178"/>
    <col min="9735" max="9735" width="9" style="178"/>
    <col min="9736" max="9736" width="9" style="178"/>
    <col min="9737" max="9737" width="9" style="178"/>
    <col min="9738" max="9738" width="9" style="178"/>
    <col min="9739" max="9739" width="9" style="178"/>
    <col min="9740" max="9740" width="9" style="178"/>
    <col min="9741" max="9741" width="9" style="178"/>
    <col min="9742" max="9742" width="9" style="178"/>
    <col min="9743" max="9743" width="9" style="178"/>
    <col min="9744" max="9744" width="9" style="178"/>
    <col min="9745" max="9745" width="9" style="178"/>
    <col min="9746" max="9746" width="9" style="178"/>
    <col min="9747" max="9747" width="9" style="178"/>
    <col min="9748" max="9748" width="9" style="178"/>
    <col min="9749" max="9749" width="9" style="178"/>
    <col min="9750" max="9750" width="9" style="178"/>
    <col min="9751" max="9751" width="9" style="178"/>
    <col min="9752" max="9752" width="9" style="178"/>
    <col min="9753" max="9753" width="9" style="178"/>
    <col min="9754" max="9754" width="9" style="178"/>
    <col min="9755" max="9755" width="9" style="178"/>
    <col min="9756" max="9756" width="9" style="178"/>
    <col min="9757" max="9757" width="9" style="178"/>
    <col min="9758" max="9758" width="9" style="178"/>
    <col min="9759" max="9759" width="9" style="178"/>
    <col min="9760" max="9760" width="9" style="178"/>
    <col min="9761" max="9761" width="9" style="178"/>
    <col min="9762" max="9762" width="9" style="178"/>
    <col min="9763" max="9763" width="9" style="178"/>
    <col min="9764" max="9764" width="9" style="178"/>
    <col min="9765" max="9765" width="9" style="178"/>
    <col min="9766" max="9766" width="9" style="178"/>
    <col min="9767" max="9767" width="9" style="178"/>
    <col min="9768" max="9768" width="9" style="178"/>
    <col min="9769" max="9769" width="9" style="178"/>
    <col min="9770" max="9770" width="9" style="178"/>
    <col min="9771" max="9771" width="9" style="178"/>
    <col min="9772" max="9772" width="9" style="178"/>
    <col min="9773" max="9773" width="9" style="178"/>
    <col min="9774" max="9774" width="9" style="178"/>
    <col min="9775" max="9775" width="9" style="178"/>
    <col min="9776" max="9776" width="9" style="178"/>
    <col min="9777" max="9777" width="9" style="178"/>
    <col min="9778" max="9778" width="9" style="178"/>
    <col min="9779" max="9779" width="9" style="178"/>
    <col min="9780" max="9780" width="9" style="178"/>
    <col min="9781" max="9781" width="9" style="178"/>
    <col min="9782" max="9782" width="9" style="178"/>
    <col min="9783" max="9783" width="9" style="178"/>
    <col min="9784" max="9784" width="9" style="178"/>
    <col min="9785" max="9785" width="9" style="178"/>
    <col min="9786" max="9786" width="9" style="178"/>
    <col min="9787" max="9787" width="9" style="178"/>
    <col min="9788" max="9788" width="9" style="178"/>
    <col min="9789" max="9789" width="9" style="178"/>
    <col min="9790" max="9790" width="9" style="178"/>
    <col min="9791" max="9791" width="9" style="178"/>
    <col min="9792" max="9792" width="9" style="178"/>
    <col min="9793" max="9793" width="9" style="178"/>
    <col min="9794" max="9794" width="9" style="178"/>
    <col min="9795" max="9795" width="9" style="178"/>
    <col min="9796" max="9796" width="9" style="178"/>
    <col min="9797" max="9797" width="9" style="178"/>
    <col min="9798" max="9798" width="9" style="178"/>
    <col min="9799" max="9799" width="9" style="178"/>
    <col min="9800" max="9800" width="9" style="178"/>
    <col min="9801" max="9801" width="9" style="178"/>
    <col min="9802" max="9802" width="9" style="178"/>
    <col min="9803" max="9803" width="9" style="178"/>
    <col min="9804" max="9804" width="9" style="178"/>
    <col min="9805" max="9805" width="9" style="178"/>
    <col min="9806" max="9806" width="9" style="178"/>
    <col min="9807" max="9807" width="9" style="178"/>
    <col min="9808" max="9808" width="9" style="178"/>
    <col min="9809" max="9809" width="9" style="178"/>
    <col min="9810" max="9810" width="9" style="178"/>
    <col min="9811" max="9811" width="9" style="178"/>
    <col min="9812" max="9812" width="9" style="178"/>
    <col min="9813" max="9813" width="9" style="178"/>
    <col min="9814" max="9814" width="9" style="178"/>
    <col min="9815" max="9815" width="9" style="178"/>
    <col min="9816" max="9816" width="9" style="178"/>
    <col min="9817" max="9817" width="9" style="178"/>
    <col min="9818" max="9818" width="9" style="178"/>
    <col min="9819" max="9819" width="9" style="178"/>
    <col min="9820" max="9820" width="9" style="178"/>
    <col min="9821" max="9821" width="9" style="178"/>
    <col min="9822" max="9822" width="9" style="178"/>
    <col min="9823" max="9823" width="9" style="178"/>
    <col min="9824" max="9824" width="9" style="178"/>
    <col min="9825" max="9825" width="9" style="178"/>
    <col min="9826" max="9826" width="9" style="178"/>
    <col min="9827" max="9827" width="9" style="178"/>
    <col min="9828" max="9828" width="9" style="178"/>
    <col min="9829" max="9829" width="9" style="178"/>
    <col min="9830" max="9830" width="9" style="178"/>
    <col min="9831" max="9831" width="9" style="178"/>
    <col min="9832" max="9832" width="9" style="178"/>
    <col min="9833" max="9833" width="9" style="178"/>
    <col min="9834" max="9834" width="9" style="178"/>
    <col min="9835" max="9835" width="9" style="178"/>
    <col min="9836" max="9836" width="9" style="178"/>
    <col min="9837" max="9837" width="9" style="178"/>
    <col min="9838" max="9838" width="9" style="178"/>
    <col min="9839" max="9839" width="9" style="178"/>
    <col min="9840" max="9840" width="9" style="178"/>
    <col min="9841" max="9841" width="9" style="178"/>
    <col min="9842" max="9842" width="9" style="178"/>
    <col min="9843" max="9843" width="9" style="178"/>
    <col min="9844" max="9844" width="9" style="178"/>
    <col min="9845" max="9845" width="9" style="178"/>
    <col min="9846" max="9846" width="9" style="178"/>
    <col min="9847" max="9847" width="9" style="178"/>
    <col min="9848" max="9848" width="9" style="178"/>
    <col min="9849" max="9849" width="9" style="178"/>
    <col min="9850" max="9850" width="9" style="178"/>
    <col min="9851" max="9851" width="9" style="178"/>
    <col min="9852" max="9852" width="9" style="178"/>
    <col min="9853" max="9853" width="9" style="178"/>
    <col min="9854" max="9854" width="9" style="178"/>
    <col min="9855" max="9855" width="9" style="178"/>
    <col min="9856" max="9856" width="9" style="178"/>
    <col min="9857" max="9857" width="9" style="178"/>
    <col min="9858" max="9858" width="9" style="178"/>
    <col min="9859" max="9859" width="9" style="178"/>
    <col min="9860" max="9860" width="9" style="178"/>
    <col min="9861" max="9861" width="9" style="178"/>
    <col min="9862" max="9862" width="9" style="178"/>
    <col min="9863" max="9863" width="9" style="178"/>
    <col min="9864" max="9864" width="9" style="178"/>
    <col min="9865" max="9865" width="9" style="178"/>
    <col min="9866" max="9866" width="9" style="178"/>
    <col min="9867" max="9867" width="9" style="178"/>
    <col min="9868" max="9868" width="9" style="178"/>
    <col min="9869" max="9869" width="9" style="178"/>
    <col min="9870" max="9870" width="9" style="178"/>
    <col min="9871" max="9871" width="9" style="178"/>
    <col min="9872" max="9872" width="9" style="178"/>
    <col min="9873" max="9873" width="9" style="178"/>
    <col min="9874" max="9874" width="9" style="178"/>
    <col min="9875" max="9875" width="9" style="178"/>
    <col min="9876" max="9876" width="9" style="178"/>
    <col min="9877" max="9877" width="9" style="178"/>
    <col min="9878" max="9878" width="9" style="178"/>
    <col min="9879" max="9879" width="9" style="178"/>
    <col min="9880" max="9880" width="9" style="178"/>
    <col min="9881" max="9881" width="9" style="178"/>
    <col min="9882" max="9882" width="9" style="178"/>
    <col min="9883" max="9883" width="9" style="178"/>
    <col min="9884" max="9884" width="9" style="178"/>
    <col min="9885" max="9885" width="9" style="178"/>
    <col min="9886" max="9886" width="9" style="178"/>
    <col min="9887" max="9887" width="9" style="178"/>
    <col min="9888" max="9888" width="9" style="178"/>
    <col min="9889" max="9889" width="9" style="178"/>
    <col min="9890" max="9890" width="9" style="178"/>
    <col min="9891" max="9891" width="9" style="178"/>
    <col min="9892" max="9892" width="9" style="178"/>
    <col min="9893" max="9893" width="9" style="178"/>
    <col min="9894" max="9894" width="9" style="178"/>
    <col min="9895" max="9895" width="9" style="178"/>
    <col min="9896" max="9896" width="9" style="178"/>
    <col min="9897" max="9897" width="9" style="178"/>
    <col min="9898" max="9898" width="9" style="178"/>
    <col min="9899" max="9899" width="9" style="178"/>
    <col min="9900" max="9900" width="9" style="178"/>
    <col min="9901" max="9901" width="9" style="178"/>
    <col min="9902" max="9902" width="9" style="178"/>
    <col min="9903" max="9903" width="9" style="178"/>
    <col min="9904" max="9904" width="9" style="178"/>
    <col min="9905" max="9905" width="9" style="178"/>
    <col min="9906" max="9906" width="9" style="178"/>
    <col min="9907" max="9907" width="9" style="178"/>
    <col min="9908" max="9908" width="9" style="178"/>
    <col min="9909" max="9909" width="9" style="178"/>
    <col min="9910" max="9910" width="9" style="178"/>
    <col min="9911" max="9911" width="9" style="178"/>
    <col min="9912" max="9912" width="9" style="178"/>
    <col min="9913" max="9913" width="9" style="178"/>
    <col min="9914" max="9914" width="9" style="178"/>
    <col min="9915" max="9915" width="9" style="178"/>
    <col min="9916" max="9916" width="9" style="178"/>
    <col min="9917" max="9917" width="9" style="178"/>
    <col min="9918" max="9918" width="9" style="178"/>
    <col min="9919" max="9919" width="9" style="178"/>
    <col min="9920" max="9920" width="9" style="178"/>
    <col min="9921" max="9921" width="9" style="178"/>
    <col min="9922" max="9922" width="9" style="178"/>
    <col min="9923" max="9923" width="9" style="178"/>
    <col min="9924" max="9924" width="9" style="178"/>
    <col min="9925" max="9925" width="9" style="178"/>
    <col min="9926" max="9926" width="9" style="178"/>
    <col min="9927" max="9927" width="9" style="178"/>
    <col min="9928" max="9928" width="9" style="178"/>
    <col min="9929" max="9929" width="9" style="178"/>
    <col min="9930" max="9930" width="9" style="178"/>
    <col min="9931" max="9931" width="9" style="178"/>
    <col min="9932" max="9932" width="9" style="178"/>
    <col min="9933" max="9933" width="9" style="178"/>
    <col min="9934" max="9934" width="9" style="178"/>
    <col min="9935" max="9935" width="9" style="178"/>
    <col min="9936" max="9936" width="9" style="178"/>
    <col min="9937" max="9937" width="9" style="178"/>
    <col min="9938" max="9938" width="9" style="178"/>
    <col min="9939" max="9939" width="9" style="178"/>
    <col min="9940" max="9940" width="9" style="178"/>
    <col min="9941" max="9941" width="9" style="178"/>
    <col min="9942" max="9942" width="9" style="178"/>
    <col min="9943" max="9943" width="9" style="178"/>
    <col min="9944" max="9944" width="9" style="178"/>
    <col min="9945" max="9945" width="9" style="178"/>
    <col min="9946" max="9946" width="9" style="178"/>
    <col min="9947" max="9947" width="9" style="178"/>
    <col min="9948" max="9948" width="9" style="178"/>
    <col min="9949" max="9949" width="9" style="178"/>
    <col min="9950" max="9950" width="9" style="178"/>
    <col min="9951" max="9951" width="9" style="178"/>
    <col min="9952" max="9952" width="9" style="178"/>
    <col min="9953" max="9953" width="9" style="178"/>
    <col min="9954" max="9954" width="9" style="178"/>
    <col min="9955" max="9955" width="9" style="178"/>
    <col min="9956" max="9956" width="9" style="178"/>
    <col min="9957" max="9957" width="9" style="178"/>
    <col min="9958" max="9958" width="9" style="178"/>
    <col min="9959" max="9959" width="9" style="178"/>
    <col min="9960" max="9960" width="9" style="178"/>
    <col min="9961" max="9961" width="9" style="178"/>
    <col min="9962" max="9962" width="9" style="178"/>
    <col min="9963" max="9963" width="9" style="178"/>
    <col min="9964" max="9964" width="9" style="178"/>
    <col min="9965" max="9965" width="9" style="178"/>
    <col min="9966" max="9966" width="9" style="178"/>
    <col min="9967" max="9967" width="9" style="178"/>
    <col min="9968" max="9968" width="9" style="178"/>
    <col min="9969" max="9969" width="9" style="178"/>
    <col min="9970" max="9970" width="9" style="178"/>
    <col min="9971" max="9971" width="9" style="178"/>
    <col min="9972" max="9972" width="9" style="178"/>
    <col min="9973" max="9973" width="9" style="178"/>
    <col min="9974" max="9974" width="9" style="178"/>
    <col min="9975" max="9975" width="9" style="178"/>
    <col min="9976" max="9976" width="9" style="178"/>
    <col min="9977" max="9977" width="9" style="178"/>
    <col min="9978" max="9978" width="9" style="178"/>
    <col min="9979" max="9979" width="9" style="178"/>
    <col min="9980" max="9980" width="9" style="178"/>
    <col min="9981" max="9981" width="9" style="178"/>
    <col min="9982" max="9982" width="9" style="178"/>
    <col min="9983" max="9983" width="9" style="178"/>
    <col min="9984" max="9984" width="9" style="178"/>
    <col min="9985" max="9985" width="9" style="178"/>
    <col min="9986" max="9986" width="9" style="178"/>
    <col min="9987" max="9987" width="9" style="178"/>
    <col min="9988" max="9988" width="9" style="178"/>
    <col min="9989" max="9989" width="9" style="178"/>
    <col min="9990" max="9990" width="9" style="178"/>
    <col min="9991" max="9991" width="9" style="178"/>
    <col min="9992" max="9992" width="9" style="178"/>
    <col min="9993" max="9993" width="9" style="178"/>
    <col min="9994" max="9994" width="9" style="178"/>
    <col min="9995" max="9995" width="9" style="178"/>
    <col min="9996" max="9996" width="9" style="178"/>
    <col min="9997" max="9997" width="9" style="178"/>
    <col min="9998" max="9998" width="9" style="178"/>
    <col min="9999" max="9999" width="9" style="178"/>
    <col min="10000" max="10000" width="9" style="178"/>
    <col min="10001" max="10001" width="9" style="178"/>
    <col min="10002" max="10002" width="9" style="178"/>
    <col min="10003" max="10003" width="9" style="178"/>
    <col min="10004" max="10004" width="9" style="178"/>
    <col min="10005" max="10005" width="9" style="178"/>
    <col min="10006" max="10006" width="9" style="178"/>
    <col min="10007" max="10007" width="9" style="178"/>
    <col min="10008" max="10008" width="9" style="178"/>
    <col min="10009" max="10009" width="9" style="178"/>
    <col min="10010" max="10010" width="9" style="178"/>
    <col min="10011" max="10011" width="9" style="178"/>
    <col min="10012" max="10012" width="9" style="178"/>
    <col min="10013" max="10013" width="9" style="178"/>
    <col min="10014" max="10014" width="9" style="178"/>
    <col min="10015" max="10015" width="9" style="178"/>
    <col min="10016" max="10016" width="9" style="178"/>
    <col min="10017" max="10017" width="9" style="178"/>
    <col min="10018" max="10018" width="9" style="178"/>
    <col min="10019" max="10019" width="9" style="178"/>
    <col min="10020" max="10020" width="9" style="178"/>
    <col min="10021" max="10021" width="9" style="178"/>
    <col min="10022" max="10022" width="9" style="178"/>
    <col min="10023" max="10023" width="9" style="178"/>
    <col min="10024" max="10024" width="9" style="178"/>
    <col min="10025" max="10025" width="9" style="178"/>
    <col min="10026" max="10026" width="9" style="178"/>
    <col min="10027" max="10027" width="9" style="178"/>
    <col min="10028" max="10028" width="9" style="178"/>
    <col min="10029" max="10029" width="9" style="178"/>
    <col min="10030" max="10030" width="9" style="178"/>
    <col min="10031" max="10031" width="9" style="178"/>
    <col min="10032" max="10032" width="9" style="178"/>
    <col min="10033" max="10033" width="9" style="178"/>
    <col min="10034" max="10034" width="9" style="178"/>
    <col min="10035" max="10035" width="9" style="178"/>
    <col min="10036" max="10036" width="9" style="178"/>
    <col min="10037" max="10037" width="9" style="178"/>
    <col min="10038" max="10038" width="9" style="178"/>
    <col min="10039" max="10039" width="9" style="178"/>
    <col min="10040" max="10040" width="9" style="178"/>
    <col min="10041" max="10041" width="9" style="178"/>
    <col min="10042" max="10042" width="9" style="178"/>
    <col min="10043" max="10043" width="9" style="178"/>
    <col min="10044" max="10044" width="9" style="178"/>
    <col min="10045" max="10045" width="9" style="178"/>
    <col min="10046" max="10046" width="9" style="178"/>
    <col min="10047" max="10047" width="9" style="178"/>
    <col min="10048" max="10048" width="9" style="178"/>
    <col min="10049" max="10049" width="9" style="178"/>
    <col min="10050" max="10050" width="9" style="178"/>
    <col min="10051" max="10051" width="9" style="178"/>
    <col min="10052" max="10052" width="9" style="178"/>
    <col min="10053" max="10053" width="9" style="178"/>
    <col min="10054" max="10054" width="9" style="178"/>
    <col min="10055" max="10055" width="9" style="178"/>
    <col min="10056" max="10056" width="9" style="178"/>
    <col min="10057" max="10057" width="9" style="178"/>
    <col min="10058" max="10058" width="9" style="178"/>
    <col min="10059" max="10059" width="9" style="178"/>
    <col min="10060" max="10060" width="9" style="178"/>
    <col min="10061" max="10061" width="9" style="178"/>
    <col min="10062" max="10062" width="9" style="178"/>
    <col min="10063" max="10063" width="9" style="178"/>
    <col min="10064" max="10064" width="9" style="178"/>
    <col min="10065" max="10065" width="9" style="178"/>
    <col min="10066" max="10066" width="9" style="178"/>
    <col min="10067" max="10067" width="9" style="178"/>
    <col min="10068" max="10068" width="9" style="178"/>
    <col min="10069" max="10069" width="9" style="178"/>
    <col min="10070" max="10070" width="9" style="178"/>
    <col min="10071" max="10071" width="9" style="178"/>
    <col min="10072" max="10072" width="9" style="178"/>
    <col min="10073" max="10073" width="9" style="178"/>
    <col min="10074" max="10074" width="9" style="178"/>
    <col min="10075" max="10075" width="9" style="178"/>
    <col min="10076" max="10076" width="9" style="178"/>
    <col min="10077" max="10077" width="9" style="178"/>
    <col min="10078" max="10078" width="9" style="178"/>
    <col min="10079" max="10079" width="9" style="178"/>
    <col min="10080" max="10080" width="9" style="178"/>
    <col min="10081" max="10081" width="9" style="178"/>
    <col min="10082" max="10082" width="9" style="178"/>
    <col min="10083" max="10083" width="9" style="178"/>
    <col min="10084" max="10084" width="9" style="178"/>
    <col min="10085" max="10085" width="9" style="178"/>
    <col min="10086" max="10086" width="9" style="178"/>
    <col min="10087" max="10087" width="9" style="178"/>
    <col min="10088" max="10088" width="9" style="178"/>
    <col min="10089" max="10089" width="9" style="178"/>
    <col min="10090" max="10090" width="9" style="178"/>
    <col min="10091" max="10091" width="9" style="178"/>
    <col min="10092" max="10092" width="9" style="178"/>
    <col min="10093" max="10093" width="9" style="178"/>
    <col min="10094" max="10094" width="9" style="178"/>
    <col min="10095" max="10095" width="9" style="178"/>
    <col min="10096" max="10096" width="9" style="178"/>
    <col min="10097" max="10097" width="9" style="178"/>
    <col min="10098" max="10098" width="9" style="178"/>
    <col min="10099" max="10099" width="9" style="178"/>
    <col min="10100" max="10100" width="9" style="178"/>
    <col min="10101" max="10101" width="9" style="178"/>
    <col min="10102" max="10102" width="9" style="178"/>
    <col min="10103" max="10103" width="9" style="178"/>
    <col min="10104" max="10104" width="9" style="178"/>
    <col min="10105" max="10105" width="9" style="178"/>
    <col min="10106" max="10106" width="9" style="178"/>
    <col min="10107" max="10107" width="9" style="178"/>
    <col min="10108" max="10108" width="9" style="178"/>
    <col min="10109" max="10109" width="9" style="178"/>
    <col min="10110" max="10110" width="9" style="178"/>
    <col min="10111" max="10111" width="9" style="178"/>
    <col min="10112" max="10112" width="9" style="178"/>
    <col min="10113" max="10113" width="9" style="178"/>
    <col min="10114" max="10114" width="9" style="178"/>
    <col min="10115" max="10115" width="9" style="178"/>
    <col min="10116" max="10116" width="9" style="178"/>
    <col min="10117" max="10117" width="9" style="178"/>
    <col min="10118" max="10118" width="9" style="178"/>
    <col min="10119" max="10119" width="9" style="178"/>
    <col min="10120" max="10120" width="9" style="178"/>
    <col min="10121" max="10121" width="9" style="178"/>
    <col min="10122" max="10122" width="9" style="178"/>
    <col min="10123" max="10123" width="9" style="178"/>
    <col min="10124" max="10124" width="9" style="178"/>
    <col min="10125" max="10125" width="9" style="178"/>
    <col min="10126" max="10126" width="9" style="178"/>
    <col min="10127" max="10127" width="9" style="178"/>
    <col min="10128" max="10128" width="9" style="178"/>
    <col min="10129" max="10129" width="9" style="178"/>
    <col min="10130" max="10130" width="9" style="178"/>
    <col min="10131" max="10131" width="9" style="178"/>
    <col min="10132" max="10132" width="9" style="178"/>
    <col min="10133" max="10133" width="9" style="178"/>
    <col min="10134" max="10134" width="9" style="178"/>
    <col min="10135" max="10135" width="9" style="178"/>
    <col min="10136" max="10136" width="9" style="178"/>
    <col min="10137" max="10137" width="9" style="178"/>
    <col min="10138" max="10138" width="9" style="178"/>
    <col min="10139" max="10139" width="9" style="178"/>
    <col min="10140" max="10140" width="9" style="178"/>
    <col min="10141" max="10141" width="9" style="178"/>
    <col min="10142" max="10142" width="9" style="178"/>
    <col min="10143" max="10143" width="9" style="178"/>
    <col min="10144" max="10144" width="9" style="178"/>
    <col min="10145" max="10145" width="9" style="178"/>
    <col min="10146" max="10146" width="9" style="178"/>
    <col min="10147" max="10147" width="9" style="178"/>
    <col min="10148" max="10148" width="9" style="178"/>
    <col min="10149" max="10149" width="9" style="178"/>
    <col min="10150" max="10150" width="9" style="178"/>
    <col min="10151" max="10151" width="9" style="178"/>
    <col min="10152" max="10152" width="9" style="178"/>
    <col min="10153" max="10153" width="9" style="178"/>
    <col min="10154" max="10154" width="9" style="178"/>
    <col min="10155" max="10155" width="9" style="178"/>
    <col min="10156" max="10156" width="9" style="178"/>
    <col min="10157" max="10157" width="9" style="178"/>
    <col min="10158" max="10158" width="9" style="178"/>
    <col min="10159" max="10159" width="9" style="178"/>
    <col min="10160" max="10160" width="9" style="178"/>
    <col min="10161" max="10161" width="9" style="178"/>
    <col min="10162" max="10162" width="9" style="178"/>
    <col min="10163" max="10163" width="9" style="178"/>
    <col min="10164" max="10164" width="9" style="178"/>
    <col min="10165" max="10165" width="9" style="178"/>
    <col min="10166" max="10166" width="9" style="178"/>
    <col min="10167" max="10167" width="9" style="178"/>
    <col min="10168" max="10168" width="9" style="178"/>
    <col min="10169" max="10169" width="9" style="178"/>
    <col min="10170" max="10170" width="9" style="178"/>
    <col min="10171" max="10171" width="9" style="178"/>
    <col min="10172" max="10172" width="9" style="178"/>
    <col min="10173" max="10173" width="9" style="178"/>
    <col min="10174" max="10174" width="9" style="178"/>
    <col min="10175" max="10175" width="9" style="178"/>
    <col min="10176" max="10176" width="9" style="178"/>
    <col min="10177" max="10177" width="9" style="178"/>
    <col min="10178" max="10178" width="9" style="178"/>
    <col min="10179" max="10179" width="9" style="178"/>
    <col min="10180" max="10180" width="9" style="178"/>
    <col min="10181" max="10181" width="9" style="178"/>
    <col min="10182" max="10182" width="9" style="178"/>
    <col min="10183" max="10183" width="9" style="178"/>
    <col min="10184" max="10184" width="9" style="178"/>
    <col min="10185" max="10185" width="9" style="178"/>
    <col min="10186" max="10186" width="9" style="178"/>
    <col min="10187" max="10187" width="9" style="178"/>
    <col min="10188" max="10188" width="9" style="178"/>
    <col min="10189" max="10189" width="9" style="178"/>
    <col min="10190" max="10190" width="9" style="178"/>
    <col min="10191" max="10191" width="9" style="178"/>
    <col min="10192" max="10192" width="9" style="178"/>
    <col min="10193" max="10193" width="9" style="178"/>
    <col min="10194" max="10194" width="9" style="178"/>
    <col min="10195" max="10195" width="9" style="178"/>
    <col min="10196" max="10196" width="9" style="178"/>
    <col min="10197" max="10197" width="9" style="178"/>
    <col min="10198" max="10198" width="9" style="178"/>
    <col min="10199" max="10199" width="9" style="178"/>
    <col min="10200" max="10200" width="9" style="178"/>
    <col min="10201" max="10201" width="9" style="178"/>
    <col min="10202" max="10202" width="9" style="178"/>
    <col min="10203" max="10203" width="9" style="178"/>
    <col min="10204" max="10204" width="9" style="178"/>
    <col min="10205" max="10205" width="9" style="178"/>
    <col min="10206" max="10206" width="9" style="178"/>
    <col min="10207" max="10207" width="9" style="178"/>
    <col min="10208" max="10208" width="9" style="178"/>
    <col min="10209" max="10209" width="9" style="178"/>
    <col min="10210" max="10210" width="9" style="178"/>
    <col min="10211" max="10211" width="9" style="178"/>
    <col min="10212" max="10212" width="9" style="178"/>
    <col min="10213" max="10213" width="9" style="178"/>
    <col min="10214" max="10214" width="9" style="178"/>
    <col min="10215" max="10215" width="9" style="178"/>
    <col min="10216" max="10216" width="9" style="178"/>
    <col min="10217" max="10217" width="9" style="178"/>
    <col min="10218" max="10218" width="9" style="178"/>
    <col min="10219" max="10219" width="9" style="178"/>
    <col min="10220" max="10220" width="9" style="178"/>
    <col min="10221" max="10221" width="9" style="178"/>
    <col min="10222" max="10222" width="9" style="178"/>
    <col min="10223" max="10223" width="9" style="178"/>
    <col min="10224" max="10224" width="9" style="178"/>
    <col min="10225" max="10225" width="9" style="178"/>
    <col min="10226" max="10226" width="9" style="178"/>
    <col min="10227" max="10227" width="9" style="178"/>
    <col min="10228" max="10228" width="9" style="178"/>
    <col min="10229" max="10229" width="9" style="178"/>
    <col min="10230" max="10230" width="9" style="178"/>
    <col min="10231" max="10231" width="9" style="178"/>
    <col min="10232" max="10232" width="9" style="178"/>
    <col min="10233" max="10233" width="9" style="178"/>
    <col min="10234" max="10234" width="9" style="178"/>
    <col min="10235" max="10235" width="9" style="178"/>
    <col min="10236" max="10236" width="9" style="178"/>
    <col min="10237" max="10237" width="9" style="178"/>
    <col min="10238" max="10238" width="9" style="178"/>
    <col min="10239" max="10239" width="9" style="178"/>
    <col min="10240" max="10240" width="9" style="178"/>
    <col min="10241" max="10241" width="9" style="178"/>
    <col min="10242" max="10242" width="9" style="178"/>
    <col min="10243" max="10243" width="9" style="178"/>
    <col min="10244" max="10244" width="9" style="178"/>
    <col min="10245" max="10245" width="9" style="178"/>
    <col min="10246" max="10246" width="9" style="178"/>
    <col min="10247" max="10247" width="9" style="178"/>
    <col min="10248" max="10248" width="9" style="178"/>
    <col min="10249" max="10249" width="9" style="178"/>
    <col min="10250" max="10250" width="9" style="178"/>
    <col min="10251" max="10251" width="9" style="178"/>
    <col min="10252" max="10252" width="9" style="178"/>
    <col min="10253" max="10253" width="9" style="178"/>
    <col min="10254" max="10254" width="9" style="178"/>
    <col min="10255" max="10255" width="9" style="178"/>
    <col min="10256" max="10256" width="9" style="178"/>
    <col min="10257" max="10257" width="9" style="178"/>
    <col min="10258" max="10258" width="9" style="178"/>
    <col min="10259" max="10259" width="9" style="178"/>
    <col min="10260" max="10260" width="9" style="178"/>
    <col min="10261" max="10261" width="9" style="178"/>
    <col min="10262" max="10262" width="9" style="178"/>
    <col min="10263" max="10263" width="9" style="178"/>
    <col min="10264" max="10264" width="9" style="178"/>
    <col min="10265" max="10265" width="9" style="178"/>
    <col min="10266" max="10266" width="9" style="178"/>
    <col min="10267" max="10267" width="9" style="178"/>
    <col min="10268" max="10268" width="9" style="178"/>
    <col min="10269" max="10269" width="9" style="178"/>
    <col min="10270" max="10270" width="9" style="178"/>
    <col min="10271" max="10271" width="9" style="178"/>
    <col min="10272" max="10272" width="9" style="178"/>
    <col min="10273" max="10273" width="9" style="178"/>
    <col min="10274" max="10274" width="9" style="178"/>
    <col min="10275" max="10275" width="9" style="178"/>
    <col min="10276" max="10276" width="9" style="178"/>
    <col min="10277" max="10277" width="9" style="178"/>
    <col min="10278" max="10278" width="9" style="178"/>
    <col min="10279" max="10279" width="9" style="178"/>
    <col min="10280" max="10280" width="9" style="178"/>
    <col min="10281" max="10281" width="9" style="178"/>
    <col min="10282" max="10282" width="9" style="178"/>
    <col min="10283" max="10283" width="9" style="178"/>
    <col min="10284" max="10284" width="9" style="178"/>
    <col min="10285" max="10285" width="9" style="178"/>
    <col min="10286" max="10286" width="9" style="178"/>
    <col min="10287" max="10287" width="9" style="178"/>
    <col min="10288" max="10288" width="9" style="178"/>
    <col min="10289" max="10289" width="9" style="178"/>
    <col min="10290" max="10290" width="9" style="178"/>
    <col min="10291" max="10291" width="9" style="178"/>
    <col min="10292" max="10292" width="9" style="178"/>
    <col min="10293" max="10293" width="9" style="178"/>
    <col min="10294" max="10294" width="9" style="178"/>
    <col min="10295" max="10295" width="9" style="178"/>
    <col min="10296" max="10296" width="9" style="178"/>
    <col min="10297" max="10297" width="9" style="178"/>
    <col min="10298" max="10298" width="9" style="178"/>
    <col min="10299" max="10299" width="9" style="178"/>
    <col min="10300" max="10300" width="9" style="178"/>
    <col min="10301" max="10301" width="9" style="178"/>
    <col min="10302" max="10302" width="9" style="178"/>
    <col min="10303" max="10303" width="9" style="178"/>
    <col min="10304" max="10304" width="9" style="178"/>
    <col min="10305" max="10305" width="9" style="178"/>
    <col min="10306" max="10306" width="9" style="178"/>
    <col min="10307" max="10307" width="9" style="178"/>
    <col min="10308" max="10308" width="9" style="178"/>
    <col min="10309" max="10309" width="9" style="178"/>
    <col min="10310" max="10310" width="9" style="178"/>
    <col min="10311" max="10311" width="9" style="178"/>
    <col min="10312" max="10312" width="9" style="178"/>
    <col min="10313" max="10313" width="9" style="178"/>
    <col min="10314" max="10314" width="9" style="178"/>
    <col min="10315" max="10315" width="9" style="178"/>
    <col min="10316" max="10316" width="9" style="178"/>
    <col min="10317" max="10317" width="9" style="178"/>
    <col min="10318" max="10318" width="9" style="178"/>
    <col min="10319" max="10319" width="9" style="178"/>
    <col min="10320" max="10320" width="9" style="178"/>
    <col min="10321" max="10321" width="9" style="178"/>
    <col min="10322" max="10322" width="9" style="178"/>
    <col min="10323" max="10323" width="9" style="178"/>
    <col min="10324" max="10324" width="9" style="178"/>
    <col min="10325" max="10325" width="9" style="178"/>
    <col min="10326" max="10326" width="9" style="178"/>
    <col min="10327" max="10327" width="9" style="178"/>
    <col min="10328" max="10328" width="9" style="178"/>
    <col min="10329" max="10329" width="9" style="178"/>
    <col min="10330" max="10330" width="9" style="178"/>
    <col min="10331" max="10331" width="9" style="178"/>
    <col min="10332" max="10332" width="9" style="178"/>
    <col min="10333" max="10333" width="9" style="178"/>
    <col min="10334" max="10334" width="9" style="178"/>
    <col min="10335" max="10335" width="9" style="178"/>
    <col min="10336" max="10336" width="9" style="178"/>
    <col min="10337" max="10337" width="9" style="178"/>
    <col min="10338" max="10338" width="9" style="178"/>
    <col min="10339" max="10339" width="9" style="178"/>
    <col min="10340" max="10340" width="9" style="178"/>
    <col min="10341" max="10341" width="9" style="178"/>
    <col min="10342" max="10342" width="9" style="178"/>
    <col min="10343" max="10343" width="9" style="178"/>
    <col min="10344" max="10344" width="9" style="178"/>
    <col min="10345" max="10345" width="9" style="178"/>
    <col min="10346" max="10346" width="9" style="178"/>
    <col min="10347" max="10347" width="9" style="178"/>
    <col min="10348" max="10348" width="9" style="178"/>
    <col min="10349" max="10349" width="9" style="178"/>
    <col min="10350" max="10350" width="9" style="178"/>
    <col min="10351" max="10351" width="9" style="178"/>
    <col min="10352" max="10352" width="9" style="178"/>
    <col min="10353" max="10353" width="9" style="178"/>
    <col min="10354" max="10354" width="9" style="178"/>
    <col min="10355" max="10355" width="9" style="178"/>
    <col min="10356" max="10356" width="9" style="178"/>
    <col min="10357" max="10357" width="9" style="178"/>
    <col min="10358" max="10358" width="9" style="178"/>
    <col min="10359" max="10359" width="9" style="178"/>
    <col min="10360" max="10360" width="9" style="178"/>
    <col min="10361" max="10361" width="9" style="178"/>
    <col min="10362" max="10362" width="9" style="178"/>
    <col min="10363" max="10363" width="9" style="178"/>
    <col min="10364" max="10364" width="9" style="178"/>
    <col min="10365" max="10365" width="9" style="178"/>
    <col min="10366" max="10366" width="9" style="178"/>
    <col min="10367" max="10367" width="9" style="178"/>
    <col min="10368" max="10368" width="9" style="178"/>
    <col min="10369" max="10369" width="9" style="178"/>
    <col min="10370" max="10370" width="9" style="178"/>
    <col min="10371" max="10371" width="9" style="178"/>
    <col min="10372" max="10372" width="9" style="178"/>
    <col min="10373" max="10373" width="9" style="178"/>
    <col min="10374" max="10374" width="9" style="178"/>
    <col min="10375" max="10375" width="9" style="178"/>
    <col min="10376" max="10376" width="9" style="178"/>
    <col min="10377" max="10377" width="9" style="178"/>
    <col min="10378" max="10378" width="9" style="178"/>
    <col min="10379" max="10379" width="9" style="178"/>
    <col min="10380" max="10380" width="9" style="178"/>
    <col min="10381" max="10381" width="9" style="178"/>
    <col min="10382" max="10382" width="9" style="178"/>
    <col min="10383" max="10383" width="9" style="178"/>
    <col min="10384" max="10384" width="9" style="178"/>
    <col min="10385" max="10385" width="9" style="178"/>
    <col min="10386" max="10386" width="9" style="178"/>
    <col min="10387" max="10387" width="9" style="178"/>
    <col min="10388" max="10388" width="9" style="178"/>
    <col min="10389" max="10389" width="9" style="178"/>
    <col min="10390" max="10390" width="9" style="178"/>
    <col min="10391" max="10391" width="9" style="178"/>
    <col min="10392" max="10392" width="9" style="178"/>
    <col min="10393" max="10393" width="9" style="178"/>
    <col min="10394" max="10394" width="9" style="178"/>
    <col min="10395" max="10395" width="9" style="178"/>
    <col min="10396" max="10396" width="9" style="178"/>
    <col min="10397" max="10397" width="9" style="178"/>
    <col min="10398" max="10398" width="9" style="178"/>
    <col min="10399" max="10399" width="9" style="178"/>
    <col min="10400" max="10400" width="9" style="178"/>
    <col min="10401" max="10401" width="9" style="178"/>
    <col min="10402" max="10402" width="9" style="178"/>
    <col min="10403" max="10403" width="9" style="178"/>
    <col min="10404" max="10404" width="9" style="178"/>
    <col min="10405" max="10405" width="9" style="178"/>
    <col min="10406" max="10406" width="9" style="178"/>
    <col min="10407" max="10407" width="9" style="178"/>
    <col min="10408" max="10408" width="9" style="178"/>
    <col min="10409" max="10409" width="9" style="178"/>
    <col min="10410" max="10410" width="9" style="178"/>
    <col min="10411" max="10411" width="9" style="178"/>
    <col min="10412" max="10412" width="9" style="178"/>
    <col min="10413" max="10413" width="9" style="178"/>
    <col min="10414" max="10414" width="9" style="178"/>
    <col min="10415" max="10415" width="9" style="178"/>
    <col min="10416" max="10416" width="9" style="178"/>
    <col min="10417" max="10417" width="9" style="178"/>
    <col min="10418" max="10418" width="9" style="178"/>
    <col min="10419" max="10419" width="9" style="178"/>
    <col min="10420" max="10420" width="9" style="178"/>
    <col min="10421" max="10421" width="9" style="178"/>
    <col min="10422" max="10422" width="9" style="178"/>
    <col min="10423" max="10423" width="9" style="178"/>
    <col min="10424" max="10424" width="9" style="178"/>
    <col min="10425" max="10425" width="9" style="178"/>
    <col min="10426" max="10426" width="9" style="178"/>
    <col min="10427" max="10427" width="9" style="178"/>
    <col min="10428" max="10428" width="9" style="178"/>
    <col min="10429" max="10429" width="9" style="178"/>
    <col min="10430" max="10430" width="9" style="178"/>
    <col min="10431" max="10431" width="9" style="178"/>
    <col min="10432" max="10432" width="9" style="178"/>
    <col min="10433" max="10433" width="9" style="178"/>
    <col min="10434" max="10434" width="9" style="178"/>
    <col min="10435" max="10435" width="9" style="178"/>
    <col min="10436" max="10436" width="9" style="178"/>
    <col min="10437" max="10437" width="9" style="178"/>
    <col min="10438" max="10438" width="9" style="178"/>
    <col min="10439" max="10439" width="9" style="178"/>
    <col min="10440" max="10440" width="9" style="178"/>
    <col min="10441" max="10441" width="9" style="178"/>
    <col min="10442" max="10442" width="9" style="178"/>
    <col min="10443" max="10443" width="9" style="178"/>
    <col min="10444" max="10444" width="9" style="178"/>
    <col min="10445" max="10445" width="9" style="178"/>
    <col min="10446" max="10446" width="9" style="178"/>
    <col min="10447" max="10447" width="9" style="178"/>
    <col min="10448" max="10448" width="9" style="178"/>
    <col min="10449" max="10449" width="9" style="178"/>
    <col min="10450" max="10450" width="9" style="178"/>
    <col min="10451" max="10451" width="9" style="178"/>
    <col min="10452" max="10452" width="9" style="178"/>
    <col min="10453" max="10453" width="9" style="178"/>
    <col min="10454" max="10454" width="9" style="178"/>
    <col min="10455" max="10455" width="9" style="178"/>
    <col min="10456" max="10456" width="9" style="178"/>
    <col min="10457" max="10457" width="9" style="178"/>
    <col min="10458" max="10458" width="9" style="178"/>
    <col min="10459" max="10459" width="9" style="178"/>
    <col min="10460" max="10460" width="9" style="178"/>
    <col min="10461" max="10461" width="9" style="178"/>
    <col min="10462" max="10462" width="9" style="178"/>
    <col min="10463" max="10463" width="9" style="178"/>
    <col min="10464" max="10464" width="9" style="178"/>
    <col min="10465" max="10465" width="9" style="178"/>
    <col min="10466" max="10466" width="9" style="178"/>
    <col min="10467" max="10467" width="9" style="178"/>
    <col min="10468" max="10468" width="9" style="178"/>
    <col min="10469" max="10469" width="9" style="178"/>
    <col min="10470" max="10470" width="9" style="178"/>
    <col min="10471" max="10471" width="9" style="178"/>
    <col min="10472" max="10472" width="9" style="178"/>
    <col min="10473" max="10473" width="9" style="178"/>
    <col min="10474" max="10474" width="9" style="178"/>
    <col min="10475" max="10475" width="9" style="178"/>
    <col min="10476" max="10476" width="9" style="178"/>
    <col min="10477" max="10477" width="9" style="178"/>
    <col min="10478" max="10478" width="9" style="178"/>
    <col min="10479" max="10479" width="9" style="178"/>
    <col min="10480" max="10480" width="9" style="178"/>
    <col min="10481" max="10481" width="9" style="178"/>
    <col min="10482" max="10482" width="9" style="178"/>
    <col min="10483" max="10483" width="9" style="178"/>
    <col min="10484" max="10484" width="9" style="178"/>
    <col min="10485" max="10485" width="9" style="178"/>
    <col min="10486" max="10486" width="9" style="178"/>
    <col min="10487" max="10487" width="9" style="178"/>
    <col min="10488" max="10488" width="9" style="178"/>
    <col min="10489" max="10489" width="9" style="178"/>
    <col min="10490" max="10490" width="9" style="178"/>
    <col min="10491" max="10491" width="9" style="178"/>
    <col min="10492" max="10492" width="9" style="178"/>
    <col min="10493" max="10493" width="9" style="178"/>
    <col min="10494" max="10494" width="9" style="178"/>
    <col min="10495" max="10495" width="9" style="178"/>
    <col min="10496" max="10496" width="9" style="178"/>
    <col min="10497" max="10497" width="9" style="178"/>
    <col min="10498" max="10498" width="9" style="178"/>
    <col min="10499" max="10499" width="9" style="178"/>
    <col min="10500" max="10500" width="9" style="178"/>
    <col min="10501" max="10501" width="9" style="178"/>
    <col min="10502" max="10502" width="9" style="178"/>
    <col min="10503" max="10503" width="9" style="178"/>
    <col min="10504" max="10504" width="9" style="178"/>
    <col min="10505" max="10505" width="9" style="178"/>
    <col min="10506" max="10506" width="9" style="178"/>
    <col min="10507" max="10507" width="9" style="178"/>
    <col min="10508" max="10508" width="9" style="178"/>
    <col min="10509" max="10509" width="9" style="178"/>
    <col min="10510" max="10510" width="9" style="178"/>
    <col min="10511" max="10511" width="9" style="178"/>
    <col min="10512" max="10512" width="9" style="178"/>
    <col min="10513" max="10513" width="9" style="178"/>
    <col min="10514" max="10514" width="9" style="178"/>
    <col min="10515" max="10515" width="9" style="178"/>
    <col min="10516" max="10516" width="9" style="178"/>
    <col min="10517" max="10517" width="9" style="178"/>
    <col min="10518" max="10518" width="9" style="178"/>
    <col min="10519" max="10519" width="9" style="178"/>
    <col min="10520" max="10520" width="9" style="178"/>
    <col min="10521" max="10521" width="9" style="178"/>
    <col min="10522" max="10522" width="9" style="178"/>
    <col min="10523" max="10523" width="9" style="178"/>
    <col min="10524" max="10524" width="9" style="178"/>
    <col min="10525" max="10525" width="9" style="178"/>
    <col min="10526" max="10526" width="9" style="178"/>
    <col min="10527" max="10527" width="9" style="178"/>
    <col min="10528" max="10528" width="9" style="178"/>
    <col min="10529" max="10529" width="9" style="178"/>
    <col min="10530" max="10530" width="9" style="178"/>
    <col min="10531" max="10531" width="9" style="178"/>
    <col min="10532" max="10532" width="9" style="178"/>
    <col min="10533" max="10533" width="9" style="178"/>
    <col min="10534" max="10534" width="9" style="178"/>
    <col min="10535" max="10535" width="9" style="178"/>
    <col min="10536" max="10536" width="9" style="178"/>
    <col min="10537" max="10537" width="9" style="178"/>
    <col min="10538" max="10538" width="9" style="178"/>
    <col min="10539" max="10539" width="9" style="178"/>
    <col min="10540" max="10540" width="9" style="178"/>
    <col min="10541" max="10541" width="9" style="178"/>
    <col min="10542" max="10542" width="9" style="178"/>
    <col min="10543" max="10543" width="9" style="178"/>
    <col min="10544" max="10544" width="9" style="178"/>
    <col min="10545" max="10545" width="9" style="178"/>
    <col min="10546" max="10546" width="9" style="178"/>
    <col min="10547" max="10547" width="9" style="178"/>
    <col min="10548" max="10548" width="9" style="178"/>
    <col min="10549" max="10549" width="9" style="178"/>
    <col min="10550" max="10550" width="9" style="178"/>
    <col min="10551" max="10551" width="9" style="178"/>
    <col min="10552" max="10552" width="9" style="178"/>
    <col min="10553" max="10553" width="9" style="178"/>
    <col min="10554" max="10554" width="9" style="178"/>
    <col min="10555" max="10555" width="9" style="178"/>
    <col min="10556" max="10556" width="9" style="178"/>
    <col min="10557" max="10557" width="9" style="178"/>
    <col min="10558" max="10558" width="9" style="178"/>
    <col min="10559" max="10559" width="9" style="178"/>
    <col min="10560" max="10560" width="9" style="178"/>
    <col min="10561" max="10561" width="9" style="178"/>
    <col min="10562" max="10562" width="9" style="178"/>
    <col min="10563" max="10563" width="9" style="178"/>
    <col min="10564" max="10564" width="9" style="178"/>
    <col min="10565" max="10565" width="9" style="178"/>
    <col min="10566" max="10566" width="9" style="178"/>
    <col min="10567" max="10567" width="9" style="178"/>
    <col min="10568" max="10568" width="9" style="178"/>
    <col min="10569" max="10569" width="9" style="178"/>
    <col min="10570" max="10570" width="9" style="178"/>
    <col min="10571" max="10571" width="9" style="178"/>
    <col min="10572" max="10572" width="9" style="178"/>
    <col min="10573" max="10573" width="9" style="178"/>
    <col min="10574" max="10574" width="9" style="178"/>
    <col min="10575" max="10575" width="9" style="178"/>
    <col min="10576" max="10576" width="9" style="178"/>
    <col min="10577" max="10577" width="9" style="178"/>
    <col min="10578" max="10578" width="9" style="178"/>
    <col min="10579" max="10579" width="9" style="178"/>
    <col min="10580" max="10580" width="9" style="178"/>
    <col min="10581" max="10581" width="9" style="178"/>
    <col min="10582" max="10582" width="9" style="178"/>
    <col min="10583" max="10583" width="9" style="178"/>
    <col min="10584" max="10584" width="9" style="178"/>
    <col min="10585" max="10585" width="9" style="178"/>
    <col min="10586" max="10586" width="9" style="178"/>
    <col min="10587" max="10587" width="9" style="178"/>
    <col min="10588" max="10588" width="9" style="178"/>
    <col min="10589" max="10589" width="9" style="178"/>
    <col min="10590" max="10590" width="9" style="178"/>
    <col min="10591" max="10591" width="9" style="178"/>
    <col min="10592" max="10592" width="9" style="178"/>
    <col min="10593" max="10593" width="9" style="178"/>
    <col min="10594" max="10594" width="9" style="178"/>
    <col min="10595" max="10595" width="9" style="178"/>
    <col min="10596" max="10596" width="9" style="178"/>
    <col min="10597" max="10597" width="9" style="178"/>
    <col min="10598" max="10598" width="9" style="178"/>
    <col min="10599" max="10599" width="9" style="178"/>
    <col min="10600" max="10600" width="9" style="178"/>
    <col min="10601" max="10601" width="9" style="178"/>
    <col min="10602" max="10602" width="9" style="178"/>
    <col min="10603" max="10603" width="9" style="178"/>
    <col min="10604" max="10604" width="9" style="178"/>
    <col min="10605" max="10605" width="9" style="178"/>
    <col min="10606" max="10606" width="9" style="178"/>
    <col min="10607" max="10607" width="9" style="178"/>
    <col min="10608" max="10608" width="9" style="178"/>
    <col min="10609" max="10609" width="9" style="178"/>
    <col min="10610" max="10610" width="9" style="178"/>
    <col min="10611" max="10611" width="9" style="178"/>
    <col min="10612" max="10612" width="9" style="178"/>
    <col min="10613" max="10613" width="9" style="178"/>
    <col min="10614" max="10614" width="9" style="178"/>
    <col min="10615" max="10615" width="9" style="178"/>
    <col min="10616" max="10616" width="9" style="178"/>
    <col min="10617" max="10617" width="9" style="178"/>
    <col min="10618" max="10618" width="9" style="178"/>
    <col min="10619" max="10619" width="9" style="178"/>
    <col min="10620" max="10620" width="9" style="178"/>
    <col min="10621" max="10621" width="9" style="178"/>
    <col min="10622" max="10622" width="9" style="178"/>
    <col min="10623" max="10623" width="9" style="178"/>
    <col min="10624" max="10624" width="9" style="178"/>
    <col min="10625" max="10625" width="9" style="178"/>
    <col min="10626" max="10626" width="9" style="178"/>
    <col min="10627" max="10627" width="9" style="178"/>
    <col min="10628" max="10628" width="9" style="178"/>
    <col min="10629" max="10629" width="9" style="178"/>
    <col min="10630" max="10630" width="9" style="178"/>
    <col min="10631" max="10631" width="9" style="178"/>
    <col min="10632" max="10632" width="9" style="178"/>
    <col min="10633" max="10633" width="9" style="178"/>
    <col min="10634" max="10634" width="9" style="178"/>
    <col min="10635" max="10635" width="9" style="178"/>
    <col min="10636" max="10636" width="9" style="178"/>
    <col min="10637" max="10637" width="9" style="178"/>
    <col min="10638" max="10638" width="9" style="178"/>
    <col min="10639" max="10639" width="9" style="178"/>
    <col min="10640" max="10640" width="9" style="178"/>
    <col min="10641" max="10641" width="9" style="178"/>
    <col min="10642" max="10642" width="9" style="178"/>
    <col min="10643" max="10643" width="9" style="178"/>
    <col min="10644" max="10644" width="9" style="178"/>
    <col min="10645" max="10645" width="9" style="178"/>
    <col min="10646" max="10646" width="9" style="178"/>
    <col min="10647" max="10647" width="9" style="178"/>
    <col min="10648" max="10648" width="9" style="178"/>
    <col min="10649" max="10649" width="9" style="178"/>
    <col min="10650" max="10650" width="9" style="178"/>
    <col min="10651" max="10651" width="9" style="178"/>
    <col min="10652" max="10652" width="9" style="178"/>
    <col min="10653" max="10653" width="9" style="178"/>
    <col min="10654" max="10654" width="9" style="178"/>
    <col min="10655" max="10655" width="9" style="178"/>
    <col min="10656" max="10656" width="9" style="178"/>
    <col min="10657" max="10657" width="9" style="178"/>
    <col min="10658" max="10658" width="9" style="178"/>
    <col min="10659" max="10659" width="9" style="178"/>
    <col min="10660" max="10660" width="9" style="178"/>
    <col min="10661" max="10661" width="9" style="178"/>
    <col min="10662" max="10662" width="9" style="178"/>
    <col min="10663" max="10663" width="9" style="178"/>
    <col min="10664" max="10664" width="9" style="178"/>
    <col min="10665" max="10665" width="9" style="178"/>
    <col min="10666" max="10666" width="9" style="178"/>
    <col min="10667" max="10667" width="9" style="178"/>
    <col min="10668" max="10668" width="9" style="178"/>
    <col min="10669" max="10669" width="9" style="178"/>
    <col min="10670" max="10670" width="9" style="178"/>
    <col min="10671" max="10671" width="9" style="178"/>
    <col min="10672" max="10672" width="9" style="178"/>
    <col min="10673" max="10673" width="9" style="178"/>
    <col min="10674" max="10674" width="9" style="178"/>
    <col min="10675" max="10675" width="9" style="178"/>
    <col min="10676" max="10676" width="9" style="178"/>
    <col min="10677" max="10677" width="9" style="178"/>
    <col min="10678" max="10678" width="9" style="178"/>
    <col min="10679" max="10679" width="9" style="178"/>
    <col min="10680" max="10680" width="9" style="178"/>
    <col min="10681" max="10681" width="9" style="178"/>
    <col min="10682" max="10682" width="9" style="178"/>
    <col min="10683" max="10683" width="9" style="178"/>
    <col min="10684" max="10684" width="9" style="178"/>
    <col min="10685" max="10685" width="9" style="178"/>
    <col min="10686" max="10686" width="9" style="178"/>
    <col min="10687" max="10687" width="9" style="178"/>
    <col min="10688" max="10688" width="9" style="178"/>
    <col min="10689" max="10689" width="9" style="178"/>
    <col min="10690" max="10690" width="9" style="178"/>
    <col min="10691" max="10691" width="9" style="178"/>
    <col min="10692" max="10692" width="9" style="178"/>
    <col min="10693" max="10693" width="9" style="178"/>
    <col min="10694" max="10694" width="9" style="178"/>
    <col min="10695" max="10695" width="9" style="178"/>
    <col min="10696" max="10696" width="9" style="178"/>
    <col min="10697" max="10697" width="9" style="178"/>
    <col min="10698" max="10698" width="9" style="178"/>
    <col min="10699" max="10699" width="9" style="178"/>
    <col min="10700" max="10700" width="9" style="178"/>
    <col min="10701" max="10701" width="9" style="178"/>
    <col min="10702" max="10702" width="9" style="178"/>
    <col min="10703" max="10703" width="9" style="178"/>
    <col min="10704" max="10704" width="9" style="178"/>
    <col min="10705" max="10705" width="9" style="178"/>
    <col min="10706" max="10706" width="9" style="178"/>
    <col min="10707" max="10707" width="9" style="178"/>
    <col min="10708" max="10708" width="9" style="178"/>
    <col min="10709" max="10709" width="9" style="178"/>
    <col min="10710" max="10710" width="9" style="178"/>
    <col min="10711" max="10711" width="9" style="178"/>
    <col min="10712" max="10712" width="9" style="178"/>
    <col min="10713" max="10713" width="9" style="178"/>
    <col min="10714" max="10714" width="9" style="178"/>
    <col min="10715" max="10715" width="9" style="178"/>
    <col min="10716" max="10716" width="9" style="178"/>
    <col min="10717" max="10717" width="9" style="178"/>
    <col min="10718" max="10718" width="9" style="178"/>
    <col min="10719" max="10719" width="9" style="178"/>
    <col min="10720" max="10720" width="9" style="178"/>
    <col min="10721" max="10721" width="9" style="178"/>
    <col min="10722" max="10722" width="9" style="178"/>
    <col min="10723" max="10723" width="9" style="178"/>
    <col min="10724" max="10724" width="9" style="178"/>
    <col min="10725" max="10725" width="9" style="178"/>
    <col min="10726" max="10726" width="9" style="178"/>
    <col min="10727" max="10727" width="9" style="178"/>
    <col min="10728" max="10728" width="9" style="178"/>
    <col min="10729" max="10729" width="9" style="178"/>
    <col min="10730" max="10730" width="9" style="178"/>
    <col min="10731" max="10731" width="9" style="178"/>
    <col min="10732" max="10732" width="9" style="178"/>
    <col min="10733" max="10733" width="9" style="178"/>
    <col min="10734" max="10734" width="9" style="178"/>
    <col min="10735" max="10735" width="9" style="178"/>
    <col min="10736" max="10736" width="9" style="178"/>
    <col min="10737" max="10737" width="9" style="178"/>
    <col min="10738" max="10738" width="9" style="178"/>
    <col min="10739" max="10739" width="9" style="178"/>
    <col min="10740" max="10740" width="9" style="178"/>
    <col min="10741" max="10741" width="9" style="178"/>
    <col min="10742" max="10742" width="9" style="178"/>
    <col min="10743" max="10743" width="9" style="178"/>
    <col min="10744" max="10744" width="9" style="178"/>
    <col min="10745" max="10745" width="9" style="178"/>
    <col min="10746" max="10746" width="9" style="178"/>
    <col min="10747" max="10747" width="9" style="178"/>
    <col min="10748" max="10748" width="9" style="178"/>
    <col min="10749" max="10749" width="9" style="178"/>
    <col min="10750" max="10750" width="9" style="178"/>
    <col min="10751" max="10751" width="9" style="178"/>
    <col min="10752" max="10752" width="9" style="178"/>
    <col min="10753" max="10753" width="9" style="178"/>
    <col min="10754" max="10754" width="9" style="178"/>
    <col min="10755" max="10755" width="9" style="178"/>
    <col min="10756" max="10756" width="9" style="178"/>
    <col min="10757" max="10757" width="9" style="178"/>
    <col min="10758" max="10758" width="9" style="178"/>
    <col min="10759" max="10759" width="9" style="178"/>
    <col min="10760" max="10760" width="9" style="178"/>
    <col min="10761" max="10761" width="9" style="178"/>
    <col min="10762" max="10762" width="9" style="178"/>
    <col min="10763" max="10763" width="9" style="178"/>
    <col min="10764" max="10764" width="9" style="178"/>
    <col min="10765" max="10765" width="9" style="178"/>
    <col min="10766" max="10766" width="9" style="178"/>
    <col min="10767" max="10767" width="9" style="178"/>
    <col min="10768" max="10768" width="9" style="178"/>
    <col min="10769" max="10769" width="9" style="178"/>
    <col min="10770" max="10770" width="9" style="178"/>
    <col min="10771" max="10771" width="9" style="178"/>
    <col min="10772" max="10772" width="9" style="178"/>
    <col min="10773" max="10773" width="9" style="178"/>
    <col min="10774" max="10774" width="9" style="178"/>
    <col min="10775" max="10775" width="9" style="178"/>
    <col min="10776" max="10776" width="9" style="178"/>
    <col min="10777" max="10777" width="9" style="178"/>
    <col min="10778" max="10778" width="9" style="178"/>
    <col min="10779" max="10779" width="9" style="178"/>
    <col min="10780" max="10780" width="9" style="178"/>
    <col min="10781" max="10781" width="9" style="178"/>
    <col min="10782" max="10782" width="9" style="178"/>
    <col min="10783" max="10783" width="9" style="178"/>
    <col min="10784" max="10784" width="9" style="178"/>
    <col min="10785" max="10785" width="9" style="178"/>
    <col min="10786" max="10786" width="9" style="178"/>
    <col min="10787" max="10787" width="9" style="178"/>
    <col min="10788" max="10788" width="9" style="178"/>
    <col min="10789" max="10789" width="9" style="178"/>
    <col min="10790" max="10790" width="9" style="178"/>
    <col min="10791" max="10791" width="9" style="178"/>
    <col min="10792" max="10792" width="9" style="178"/>
    <col min="10793" max="10793" width="9" style="178"/>
    <col min="10794" max="10794" width="9" style="178"/>
    <col min="10795" max="10795" width="9" style="178"/>
    <col min="10796" max="10796" width="9" style="178"/>
    <col min="10797" max="10797" width="9" style="178"/>
    <col min="10798" max="10798" width="9" style="178"/>
    <col min="10799" max="10799" width="9" style="178"/>
    <col min="10800" max="10800" width="9" style="178"/>
    <col min="10801" max="10801" width="9" style="178"/>
    <col min="10802" max="10802" width="9" style="178"/>
    <col min="10803" max="10803" width="9" style="178"/>
    <col min="10804" max="10804" width="9" style="178"/>
    <col min="10805" max="10805" width="9" style="178"/>
    <col min="10806" max="10806" width="9" style="178"/>
    <col min="10807" max="10807" width="9" style="178"/>
    <col min="10808" max="10808" width="9" style="178"/>
    <col min="10809" max="10809" width="9" style="178"/>
    <col min="10810" max="10810" width="9" style="178"/>
    <col min="10811" max="10811" width="9" style="178"/>
    <col min="10812" max="10812" width="9" style="178"/>
    <col min="10813" max="10813" width="9" style="178"/>
    <col min="10814" max="10814" width="9" style="178"/>
    <col min="10815" max="10815" width="9" style="178"/>
    <col min="10816" max="10816" width="9" style="178"/>
    <col min="10817" max="10817" width="9" style="178"/>
    <col min="10818" max="10818" width="9" style="178"/>
    <col min="10819" max="10819" width="9" style="178"/>
    <col min="10820" max="10820" width="9" style="178"/>
    <col min="10821" max="10821" width="9" style="178"/>
    <col min="10822" max="10822" width="9" style="178"/>
    <col min="10823" max="10823" width="9" style="178"/>
    <col min="10824" max="10824" width="9" style="178"/>
    <col min="10825" max="10825" width="9" style="178"/>
    <col min="10826" max="10826" width="9" style="178"/>
    <col min="10827" max="10827" width="9" style="178"/>
    <col min="10828" max="10828" width="9" style="178"/>
    <col min="10829" max="10829" width="9" style="178"/>
    <col min="10830" max="10830" width="9" style="178"/>
    <col min="10831" max="10831" width="9" style="178"/>
    <col min="10832" max="10832" width="9" style="178"/>
    <col min="10833" max="10833" width="9" style="178"/>
    <col min="10834" max="10834" width="9" style="178"/>
    <col min="10835" max="10835" width="9" style="178"/>
    <col min="10836" max="10836" width="9" style="178"/>
    <col min="10837" max="10837" width="9" style="178"/>
    <col min="10838" max="10838" width="9" style="178"/>
    <col min="10839" max="10839" width="9" style="178"/>
    <col min="10840" max="10840" width="9" style="178"/>
    <col min="10841" max="10841" width="9" style="178"/>
    <col min="10842" max="10842" width="9" style="178"/>
    <col min="10843" max="10843" width="9" style="178"/>
    <col min="10844" max="10844" width="9" style="178"/>
    <col min="10845" max="10845" width="9" style="178"/>
    <col min="10846" max="10846" width="9" style="178"/>
    <col min="10847" max="10847" width="9" style="178"/>
    <col min="10848" max="10848" width="9" style="178"/>
    <col min="10849" max="10849" width="9" style="178"/>
    <col min="10850" max="10850" width="9" style="178"/>
    <col min="10851" max="10851" width="9" style="178"/>
    <col min="10852" max="10852" width="9" style="178"/>
    <col min="10853" max="10853" width="9" style="178"/>
    <col min="10854" max="10854" width="9" style="178"/>
    <col min="10855" max="10855" width="9" style="178"/>
    <col min="10856" max="10856" width="9" style="178"/>
    <col min="10857" max="10857" width="9" style="178"/>
    <col min="10858" max="10858" width="9" style="178"/>
    <col min="10859" max="10859" width="9" style="178"/>
    <col min="10860" max="10860" width="9" style="178"/>
    <col min="10861" max="10861" width="9" style="178"/>
    <col min="10862" max="10862" width="9" style="178"/>
    <col min="10863" max="10863" width="9" style="178"/>
    <col min="10864" max="10864" width="9" style="178"/>
    <col min="10865" max="10865" width="9" style="178"/>
    <col min="10866" max="10866" width="9" style="178"/>
    <col min="10867" max="10867" width="9" style="178"/>
    <col min="10868" max="10868" width="9" style="178"/>
    <col min="10869" max="10869" width="9" style="178"/>
    <col min="10870" max="10870" width="9" style="178"/>
    <col min="10871" max="10871" width="9" style="178"/>
    <col min="10872" max="10872" width="9" style="178"/>
    <col min="10873" max="10873" width="9" style="178"/>
    <col min="10874" max="10874" width="9" style="178"/>
    <col min="10875" max="10875" width="9" style="178"/>
    <col min="10876" max="10876" width="9" style="178"/>
    <col min="10877" max="10877" width="9" style="178"/>
    <col min="10878" max="10878" width="9" style="178"/>
    <col min="10879" max="10879" width="9" style="178"/>
    <col min="10880" max="10880" width="9" style="178"/>
    <col min="10881" max="10881" width="9" style="178"/>
    <col min="10882" max="10882" width="9" style="178"/>
    <col min="10883" max="10883" width="9" style="178"/>
    <col min="10884" max="10884" width="9" style="178"/>
    <col min="10885" max="10885" width="9" style="178"/>
    <col min="10886" max="10886" width="9" style="178"/>
    <col min="10887" max="10887" width="9" style="178"/>
    <col min="10888" max="10888" width="9" style="178"/>
    <col min="10889" max="10889" width="9" style="178"/>
    <col min="10890" max="10890" width="9" style="178"/>
    <col min="10891" max="10891" width="9" style="178"/>
    <col min="10892" max="10892" width="9" style="178"/>
    <col min="10893" max="10893" width="9" style="178"/>
    <col min="10894" max="10894" width="9" style="178"/>
    <col min="10895" max="10895" width="9" style="178"/>
    <col min="10896" max="10896" width="9" style="178"/>
    <col min="10897" max="10897" width="9" style="178"/>
    <col min="10898" max="10898" width="9" style="178"/>
    <col min="10899" max="10899" width="9" style="178"/>
    <col min="10900" max="10900" width="9" style="178"/>
    <col min="10901" max="10901" width="9" style="178"/>
    <col min="10902" max="10902" width="9" style="178"/>
    <col min="10903" max="10903" width="9" style="178"/>
    <col min="10904" max="10904" width="9" style="178"/>
    <col min="10905" max="10905" width="9" style="178"/>
    <col min="10906" max="10906" width="9" style="178"/>
    <col min="10907" max="10907" width="9" style="178"/>
    <col min="10908" max="10908" width="9" style="178"/>
    <col min="10909" max="10909" width="9" style="178"/>
    <col min="10910" max="10910" width="9" style="178"/>
    <col min="10911" max="10911" width="9" style="178"/>
    <col min="10912" max="10912" width="9" style="178"/>
    <col min="10913" max="10913" width="9" style="178"/>
    <col min="10914" max="10914" width="9" style="178"/>
    <col min="10915" max="10915" width="9" style="178"/>
    <col min="10916" max="10916" width="9" style="178"/>
    <col min="10917" max="10917" width="9" style="178"/>
    <col min="10918" max="10918" width="9" style="178"/>
    <col min="10919" max="10919" width="9" style="178"/>
    <col min="10920" max="10920" width="9" style="178"/>
    <col min="10921" max="10921" width="9" style="178"/>
    <col min="10922" max="10922" width="9" style="178"/>
    <col min="10923" max="10923" width="9" style="178"/>
    <col min="10924" max="10924" width="9" style="178"/>
    <col min="10925" max="10925" width="9" style="178"/>
    <col min="10926" max="10926" width="9" style="178"/>
    <col min="10927" max="10927" width="9" style="178"/>
    <col min="10928" max="10928" width="9" style="178"/>
    <col min="10929" max="10929" width="9" style="178"/>
    <col min="10930" max="10930" width="9" style="178"/>
    <col min="10931" max="10931" width="9" style="178"/>
    <col min="10932" max="10932" width="9" style="178"/>
    <col min="10933" max="10933" width="9" style="178"/>
    <col min="10934" max="10934" width="9" style="178"/>
    <col min="10935" max="10935" width="9" style="178"/>
    <col min="10936" max="10936" width="9" style="178"/>
    <col min="10937" max="10937" width="9" style="178"/>
    <col min="10938" max="10938" width="9" style="178"/>
    <col min="10939" max="10939" width="9" style="178"/>
    <col min="10940" max="10940" width="9" style="178"/>
    <col min="10941" max="10941" width="9" style="178"/>
    <col min="10942" max="10942" width="9" style="178"/>
    <col min="10943" max="10943" width="9" style="178"/>
    <col min="10944" max="10944" width="9" style="178"/>
    <col min="10945" max="10945" width="9" style="178"/>
    <col min="10946" max="10946" width="9" style="178"/>
    <col min="10947" max="10947" width="9" style="178"/>
    <col min="10948" max="10948" width="9" style="178"/>
    <col min="10949" max="10949" width="9" style="178"/>
    <col min="10950" max="10950" width="9" style="178"/>
    <col min="10951" max="10951" width="9" style="178"/>
    <col min="10952" max="10952" width="9" style="178"/>
    <col min="10953" max="10953" width="9" style="178"/>
    <col min="10954" max="10954" width="9" style="178"/>
    <col min="10955" max="10955" width="9" style="178"/>
    <col min="10956" max="10956" width="9" style="178"/>
    <col min="10957" max="10957" width="9" style="178"/>
    <col min="10958" max="10958" width="9" style="178"/>
    <col min="10959" max="10959" width="9" style="178"/>
    <col min="10960" max="10960" width="9" style="178"/>
    <col min="10961" max="10961" width="9" style="178"/>
    <col min="10962" max="10962" width="9" style="178"/>
    <col min="10963" max="10963" width="9" style="178"/>
    <col min="10964" max="10964" width="9" style="178"/>
    <col min="10965" max="10965" width="9" style="178"/>
    <col min="10966" max="10966" width="9" style="178"/>
    <col min="10967" max="10967" width="9" style="178"/>
    <col min="10968" max="10968" width="9" style="178"/>
    <col min="10969" max="10969" width="9" style="178"/>
    <col min="10970" max="10970" width="9" style="178"/>
    <col min="10971" max="10971" width="9" style="178"/>
    <col min="10972" max="10972" width="9" style="178"/>
    <col min="10973" max="10973" width="9" style="178"/>
    <col min="10974" max="10974" width="9" style="178"/>
    <col min="10975" max="10975" width="9" style="178"/>
    <col min="10976" max="10976" width="9" style="178"/>
    <col min="10977" max="10977" width="9" style="178"/>
    <col min="10978" max="10978" width="9" style="178"/>
    <col min="10979" max="10979" width="9" style="178"/>
    <col min="10980" max="10980" width="9" style="178"/>
    <col min="10981" max="10981" width="9" style="178"/>
    <col min="10982" max="10982" width="9" style="178"/>
    <col min="10983" max="10983" width="9" style="178"/>
    <col min="10984" max="10984" width="9" style="178"/>
    <col min="10985" max="10985" width="9" style="178"/>
    <col min="10986" max="10986" width="9" style="178"/>
    <col min="10987" max="10987" width="9" style="178"/>
    <col min="10988" max="10988" width="9" style="178"/>
    <col min="10989" max="10989" width="9" style="178"/>
    <col min="10990" max="10990" width="9" style="178"/>
    <col min="10991" max="10991" width="9" style="178"/>
    <col min="10992" max="10992" width="9" style="178"/>
    <col min="10993" max="10993" width="9" style="178"/>
    <col min="10994" max="10994" width="9" style="178"/>
    <col min="10995" max="10995" width="9" style="178"/>
    <col min="10996" max="10996" width="9" style="178"/>
    <col min="10997" max="10997" width="9" style="178"/>
    <col min="10998" max="10998" width="9" style="178"/>
    <col min="10999" max="10999" width="9" style="178"/>
    <col min="11000" max="11000" width="9" style="178"/>
    <col min="11001" max="11001" width="9" style="178"/>
    <col min="11002" max="11002" width="9" style="178"/>
    <col min="11003" max="11003" width="9" style="178"/>
    <col min="11004" max="11004" width="9" style="178"/>
    <col min="11005" max="11005" width="9" style="178"/>
    <col min="11006" max="11006" width="9" style="178"/>
    <col min="11007" max="11007" width="9" style="178"/>
    <col min="11008" max="11008" width="9" style="178"/>
    <col min="11009" max="11009" width="9" style="178"/>
    <col min="11010" max="11010" width="9" style="178"/>
    <col min="11011" max="11011" width="9" style="178"/>
    <col min="11012" max="11012" width="9" style="178"/>
    <col min="11013" max="11013" width="9" style="178"/>
    <col min="11014" max="11014" width="9" style="178"/>
    <col min="11015" max="11015" width="9" style="178"/>
    <col min="11016" max="11016" width="9" style="178"/>
    <col min="11017" max="11017" width="9" style="178"/>
    <col min="11018" max="11018" width="9" style="178"/>
    <col min="11019" max="11019" width="9" style="178"/>
    <col min="11020" max="11020" width="9" style="178"/>
    <col min="11021" max="11021" width="9" style="178"/>
    <col min="11022" max="11022" width="9" style="178"/>
    <col min="11023" max="11023" width="9" style="178"/>
    <col min="11024" max="11024" width="9" style="178"/>
    <col min="11025" max="11025" width="9" style="178"/>
    <col min="11026" max="11026" width="9" style="178"/>
    <col min="11027" max="11027" width="9" style="178"/>
    <col min="11028" max="11028" width="9" style="178"/>
    <col min="11029" max="11029" width="9" style="178"/>
    <col min="11030" max="11030" width="9" style="178"/>
    <col min="11031" max="11031" width="9" style="178"/>
    <col min="11032" max="11032" width="9" style="178"/>
    <col min="11033" max="11033" width="9" style="178"/>
    <col min="11034" max="11034" width="9" style="178"/>
    <col min="11035" max="11035" width="9" style="178"/>
    <col min="11036" max="11036" width="9" style="178"/>
    <col min="11037" max="11037" width="9" style="178"/>
    <col min="11038" max="11038" width="9" style="178"/>
    <col min="11039" max="11039" width="9" style="178"/>
    <col min="11040" max="11040" width="9" style="178"/>
    <col min="11041" max="11041" width="9" style="178"/>
    <col min="11042" max="11042" width="9" style="178"/>
    <col min="11043" max="11043" width="9" style="178"/>
    <col min="11044" max="11044" width="9" style="178"/>
    <col min="11045" max="11045" width="9" style="178"/>
    <col min="11046" max="11046" width="9" style="178"/>
    <col min="11047" max="11047" width="9" style="178"/>
    <col min="11048" max="11048" width="9" style="178"/>
    <col min="11049" max="11049" width="9" style="178"/>
    <col min="11050" max="11050" width="9" style="178"/>
    <col min="11051" max="11051" width="9" style="178"/>
    <col min="11052" max="11052" width="9" style="178"/>
    <col min="11053" max="11053" width="9" style="178"/>
    <col min="11054" max="11054" width="9" style="178"/>
    <col min="11055" max="11055" width="9" style="178"/>
    <col min="11056" max="11056" width="9" style="178"/>
    <col min="11057" max="11057" width="9" style="178"/>
    <col min="11058" max="11058" width="9" style="178"/>
    <col min="11059" max="11059" width="9" style="178"/>
    <col min="11060" max="11060" width="9" style="178"/>
    <col min="11061" max="11061" width="9" style="178"/>
    <col min="11062" max="11062" width="9" style="178"/>
    <col min="11063" max="11063" width="9" style="178"/>
    <col min="11064" max="11064" width="9" style="178"/>
    <col min="11065" max="11065" width="9" style="178"/>
    <col min="11066" max="11066" width="9" style="178"/>
    <col min="11067" max="11067" width="9" style="178"/>
    <col min="11068" max="11068" width="9" style="178"/>
    <col min="11069" max="11069" width="9" style="178"/>
    <col min="11070" max="11070" width="9" style="178"/>
    <col min="11071" max="11071" width="9" style="178"/>
    <col min="11072" max="11072" width="9" style="178"/>
    <col min="11073" max="11073" width="9" style="178"/>
    <col min="11074" max="11074" width="9" style="178"/>
    <col min="11075" max="11075" width="9" style="178"/>
    <col min="11076" max="11076" width="9" style="178"/>
    <col min="11077" max="11077" width="9" style="178"/>
    <col min="11078" max="11078" width="9" style="178"/>
    <col min="11079" max="11079" width="9" style="178"/>
    <col min="11080" max="11080" width="9" style="178"/>
    <col min="11081" max="11081" width="9" style="178"/>
    <col min="11082" max="11082" width="9" style="178"/>
    <col min="11083" max="11083" width="9" style="178"/>
    <col min="11084" max="11084" width="9" style="178"/>
    <col min="11085" max="11085" width="9" style="178"/>
    <col min="11086" max="11086" width="9" style="178"/>
    <col min="11087" max="11087" width="9" style="178"/>
    <col min="11088" max="11088" width="9" style="178"/>
    <col min="11089" max="11089" width="9" style="178"/>
    <col min="11090" max="11090" width="9" style="178"/>
    <col min="11091" max="11091" width="9" style="178"/>
    <col min="11092" max="11092" width="9" style="178"/>
    <col min="11093" max="11093" width="9" style="178"/>
    <col min="11094" max="11094" width="9" style="178"/>
    <col min="11095" max="11095" width="9" style="178"/>
    <col min="11096" max="11096" width="9" style="178"/>
    <col min="11097" max="11097" width="9" style="178"/>
    <col min="11098" max="11098" width="9" style="178"/>
    <col min="11099" max="11099" width="9" style="178"/>
    <col min="11100" max="11100" width="9" style="178"/>
    <col min="11101" max="11101" width="9" style="178"/>
    <col min="11102" max="11102" width="9" style="178"/>
    <col min="11103" max="11103" width="9" style="178"/>
    <col min="11104" max="11104" width="9" style="178"/>
    <col min="11105" max="11105" width="9" style="178"/>
    <col min="11106" max="11106" width="9" style="178"/>
    <col min="11107" max="11107" width="9" style="178"/>
    <col min="11108" max="11108" width="9" style="178"/>
    <col min="11109" max="11109" width="9" style="178"/>
    <col min="11110" max="11110" width="9" style="178"/>
    <col min="11111" max="11111" width="9" style="178"/>
    <col min="11112" max="11112" width="9" style="178"/>
    <col min="11113" max="11113" width="9" style="178"/>
    <col min="11114" max="11114" width="9" style="178"/>
    <col min="11115" max="11115" width="9" style="178"/>
    <col min="11116" max="11116" width="9" style="178"/>
    <col min="11117" max="11117" width="9" style="178"/>
    <col min="11118" max="11118" width="9" style="178"/>
    <col min="11119" max="11119" width="9" style="178"/>
    <col min="11120" max="11120" width="9" style="178"/>
    <col min="11121" max="11121" width="9" style="178"/>
    <col min="11122" max="11122" width="9" style="178"/>
    <col min="11123" max="11123" width="9" style="178"/>
    <col min="11124" max="11124" width="9" style="178"/>
    <col min="11125" max="11125" width="9" style="178"/>
    <col min="11126" max="11126" width="9" style="178"/>
    <col min="11127" max="11127" width="9" style="178"/>
    <col min="11128" max="11128" width="9" style="178"/>
    <col min="11129" max="11129" width="9" style="178"/>
    <col min="11130" max="11130" width="9" style="178"/>
    <col min="11131" max="11131" width="9" style="178"/>
    <col min="11132" max="11132" width="9" style="178"/>
    <col min="11133" max="11133" width="9" style="178"/>
    <col min="11134" max="11134" width="9" style="178"/>
    <col min="11135" max="11135" width="9" style="178"/>
    <col min="11136" max="11136" width="9" style="178"/>
    <col min="11137" max="11137" width="9" style="178"/>
    <col min="11138" max="11138" width="9" style="178"/>
    <col min="11139" max="11139" width="9" style="178"/>
    <col min="11140" max="11140" width="9" style="178"/>
    <col min="11141" max="11141" width="9" style="178"/>
    <col min="11142" max="11142" width="9" style="178"/>
    <col min="11143" max="11143" width="9" style="178"/>
    <col min="11144" max="11144" width="9" style="178"/>
    <col min="11145" max="11145" width="9" style="178"/>
    <col min="11146" max="11146" width="9" style="178"/>
    <col min="11147" max="11147" width="9" style="178"/>
    <col min="11148" max="11148" width="9" style="178"/>
    <col min="11149" max="11149" width="9" style="178"/>
    <col min="11150" max="11150" width="9" style="178"/>
    <col min="11151" max="11151" width="9" style="178"/>
    <col min="11152" max="11152" width="9" style="178"/>
    <col min="11153" max="11153" width="9" style="178"/>
    <col min="11154" max="11154" width="9" style="178"/>
    <col min="11155" max="11155" width="9" style="178"/>
    <col min="11156" max="11156" width="9" style="178"/>
    <col min="11157" max="11157" width="9" style="178"/>
    <col min="11158" max="11158" width="9" style="178"/>
    <col min="11159" max="11159" width="9" style="178"/>
    <col min="11160" max="11160" width="9" style="178"/>
    <col min="11161" max="11161" width="9" style="178"/>
    <col min="11162" max="11162" width="9" style="178"/>
    <col min="11163" max="11163" width="9" style="178"/>
    <col min="11164" max="11164" width="9" style="178"/>
    <col min="11165" max="11165" width="9" style="178"/>
    <col min="11166" max="11166" width="9" style="178"/>
    <col min="11167" max="11167" width="9" style="178"/>
    <col min="11168" max="11168" width="9" style="178"/>
    <col min="11169" max="11169" width="9" style="178"/>
    <col min="11170" max="11170" width="9" style="178"/>
    <col min="11171" max="11171" width="9" style="178"/>
    <col min="11172" max="11172" width="9" style="178"/>
    <col min="11173" max="11173" width="9" style="178"/>
    <col min="11174" max="11174" width="9" style="178"/>
    <col min="11175" max="11175" width="9" style="178"/>
    <col min="11176" max="11176" width="9" style="178"/>
    <col min="11177" max="11177" width="9" style="178"/>
    <col min="11178" max="11178" width="9" style="178"/>
    <col min="11179" max="11179" width="9" style="178"/>
    <col min="11180" max="11180" width="9" style="178"/>
    <col min="11181" max="11181" width="9" style="178"/>
    <col min="11182" max="11182" width="9" style="178"/>
    <col min="11183" max="11183" width="9" style="178"/>
    <col min="11184" max="11184" width="9" style="178"/>
    <col min="11185" max="11185" width="9" style="178"/>
    <col min="11186" max="11186" width="9" style="178"/>
    <col min="11187" max="11187" width="9" style="178"/>
    <col min="11188" max="11188" width="9" style="178"/>
    <col min="11189" max="11189" width="9" style="178"/>
    <col min="11190" max="11190" width="9" style="178"/>
    <col min="11191" max="11191" width="9" style="178"/>
    <col min="11192" max="11192" width="9" style="178"/>
    <col min="11193" max="11193" width="9" style="178"/>
    <col min="11194" max="11194" width="9" style="178"/>
    <col min="11195" max="11195" width="9" style="178"/>
    <col min="11196" max="11196" width="9" style="178"/>
    <col min="11197" max="11197" width="9" style="178"/>
    <col min="11198" max="11198" width="9" style="178"/>
    <col min="11199" max="11199" width="9" style="178"/>
    <col min="11200" max="11200" width="9" style="178"/>
    <col min="11201" max="11201" width="9" style="178"/>
    <col min="11202" max="11202" width="9" style="178"/>
    <col min="11203" max="11203" width="9" style="178"/>
    <col min="11204" max="11204" width="9" style="178"/>
    <col min="11205" max="11205" width="9" style="178"/>
    <col min="11206" max="11206" width="9" style="178"/>
    <col min="11207" max="11207" width="9" style="178"/>
    <col min="11208" max="11208" width="9" style="178"/>
    <col min="11209" max="11209" width="9" style="178"/>
    <col min="11210" max="11210" width="9" style="178"/>
    <col min="11211" max="11211" width="9" style="178"/>
    <col min="11212" max="11212" width="9" style="178"/>
    <col min="11213" max="11213" width="9" style="178"/>
    <col min="11214" max="11214" width="9" style="178"/>
    <col min="11215" max="11215" width="9" style="178"/>
    <col min="11216" max="11216" width="9" style="178"/>
    <col min="11217" max="11217" width="9" style="178"/>
    <col min="11218" max="11218" width="9" style="178"/>
    <col min="11219" max="11219" width="9" style="178"/>
    <col min="11220" max="11220" width="9" style="178"/>
    <col min="11221" max="11221" width="9" style="178"/>
    <col min="11222" max="11222" width="9" style="178"/>
    <col min="11223" max="11223" width="9" style="178"/>
    <col min="11224" max="11224" width="9" style="178"/>
    <col min="11225" max="11225" width="9" style="178"/>
    <col min="11226" max="11226" width="9" style="178"/>
    <col min="11227" max="11227" width="9" style="178"/>
    <col min="11228" max="11228" width="9" style="178"/>
    <col min="11229" max="11229" width="9" style="178"/>
    <col min="11230" max="11230" width="9" style="178"/>
    <col min="11231" max="11231" width="9" style="178"/>
    <col min="11232" max="11232" width="9" style="178"/>
    <col min="11233" max="11233" width="9" style="178"/>
    <col min="11234" max="11234" width="9" style="178"/>
    <col min="11235" max="11235" width="9" style="178"/>
    <col min="11236" max="11236" width="9" style="178"/>
    <col min="11237" max="11237" width="9" style="178"/>
    <col min="11238" max="11238" width="9" style="178"/>
    <col min="11239" max="11239" width="9" style="178"/>
    <col min="11240" max="11240" width="9" style="178"/>
    <col min="11241" max="11241" width="9" style="178"/>
    <col min="11242" max="11242" width="9" style="178"/>
    <col min="11243" max="11243" width="9" style="178"/>
    <col min="11244" max="11244" width="9" style="178"/>
    <col min="11245" max="11245" width="9" style="178"/>
    <col min="11246" max="11246" width="9" style="178"/>
    <col min="11247" max="11247" width="9" style="178"/>
    <col min="11248" max="11248" width="9" style="178"/>
    <col min="11249" max="11249" width="9" style="178"/>
    <col min="11250" max="11250" width="9" style="178"/>
    <col min="11251" max="11251" width="9" style="178"/>
    <col min="11252" max="11252" width="9" style="178"/>
    <col min="11253" max="11253" width="9" style="178"/>
    <col min="11254" max="11254" width="9" style="178"/>
    <col min="11255" max="11255" width="9" style="178"/>
    <col min="11256" max="11256" width="9" style="178"/>
    <col min="11257" max="11257" width="9" style="178"/>
    <col min="11258" max="11258" width="9" style="178"/>
    <col min="11259" max="11259" width="9" style="178"/>
    <col min="11260" max="11260" width="9" style="178"/>
    <col min="11261" max="11261" width="9" style="178"/>
    <col min="11262" max="11262" width="9" style="178"/>
    <col min="11263" max="11263" width="9" style="178"/>
    <col min="11264" max="11264" width="9" style="178"/>
    <col min="11265" max="11265" width="9" style="178"/>
    <col min="11266" max="11266" width="9" style="178"/>
    <col min="11267" max="11267" width="9" style="178"/>
    <col min="11268" max="11268" width="9" style="178"/>
    <col min="11269" max="11269" width="9" style="178"/>
    <col min="11270" max="11270" width="9" style="178"/>
    <col min="11271" max="11271" width="9" style="178"/>
    <col min="11272" max="11272" width="9" style="178"/>
    <col min="11273" max="11273" width="9" style="178"/>
    <col min="11274" max="11274" width="9" style="178"/>
    <col min="11275" max="11275" width="9" style="178"/>
    <col min="11276" max="11276" width="9" style="178"/>
    <col min="11277" max="11277" width="9" style="178"/>
    <col min="11278" max="11278" width="9" style="178"/>
    <col min="11279" max="11279" width="9" style="178"/>
    <col min="11280" max="11280" width="9" style="178"/>
    <col min="11281" max="11281" width="9" style="178"/>
    <col min="11282" max="11282" width="9" style="178"/>
    <col min="11283" max="11283" width="9" style="178"/>
    <col min="11284" max="11284" width="9" style="178"/>
    <col min="11285" max="11285" width="9" style="178"/>
    <col min="11286" max="11286" width="9" style="178"/>
    <col min="11287" max="11287" width="9" style="178"/>
    <col min="11288" max="11288" width="9" style="178"/>
    <col min="11289" max="11289" width="9" style="178"/>
    <col min="11290" max="11290" width="9" style="178"/>
    <col min="11291" max="11291" width="9" style="178"/>
    <col min="11292" max="11292" width="9" style="178"/>
    <col min="11293" max="11293" width="9" style="178"/>
    <col min="11294" max="11294" width="9" style="178"/>
    <col min="11295" max="11295" width="9" style="178"/>
    <col min="11296" max="11296" width="9" style="178"/>
    <col min="11297" max="11297" width="9" style="178"/>
    <col min="11298" max="11298" width="9" style="178"/>
    <col min="11299" max="11299" width="9" style="178"/>
    <col min="11300" max="11300" width="9" style="178"/>
    <col min="11301" max="11301" width="9" style="178"/>
    <col min="11302" max="11302" width="9" style="178"/>
    <col min="11303" max="11303" width="9" style="178"/>
    <col min="11304" max="11304" width="9" style="178"/>
    <col min="11305" max="11305" width="9" style="178"/>
    <col min="11306" max="11306" width="9" style="178"/>
    <col min="11307" max="11307" width="9" style="178"/>
    <col min="11308" max="11308" width="9" style="178"/>
    <col min="11309" max="11309" width="9" style="178"/>
    <col min="11310" max="11310" width="9" style="178"/>
    <col min="11311" max="11311" width="9" style="178"/>
    <col min="11312" max="11312" width="9" style="178"/>
    <col min="11313" max="11313" width="9" style="178"/>
    <col min="11314" max="11314" width="9" style="178"/>
    <col min="11315" max="11315" width="9" style="178"/>
    <col min="11316" max="11316" width="9" style="178"/>
    <col min="11317" max="11317" width="9" style="178"/>
    <col min="11318" max="11318" width="9" style="178"/>
    <col min="11319" max="11319" width="9" style="178"/>
    <col min="11320" max="11320" width="9" style="178"/>
    <col min="11321" max="11321" width="9" style="178"/>
    <col min="11322" max="11322" width="9" style="178"/>
    <col min="11323" max="11323" width="9" style="178"/>
    <col min="11324" max="11324" width="9" style="178"/>
    <col min="11325" max="11325" width="9" style="178"/>
    <col min="11326" max="11326" width="9" style="178"/>
    <col min="11327" max="11327" width="9" style="178"/>
    <col min="11328" max="11328" width="9" style="178"/>
    <col min="11329" max="11329" width="9" style="178"/>
    <col min="11330" max="11330" width="9" style="178"/>
    <col min="11331" max="11331" width="9" style="178"/>
    <col min="11332" max="11332" width="9" style="178"/>
    <col min="11333" max="11333" width="9" style="178"/>
    <col min="11334" max="11334" width="9" style="178"/>
    <col min="11335" max="11335" width="9" style="178"/>
    <col min="11336" max="11336" width="9" style="178"/>
    <col min="11337" max="11337" width="9" style="178"/>
    <col min="11338" max="11338" width="9" style="178"/>
    <col min="11339" max="11339" width="9" style="178"/>
    <col min="11340" max="11340" width="9" style="178"/>
    <col min="11341" max="11341" width="9" style="178"/>
    <col min="11342" max="11342" width="9" style="178"/>
    <col min="11343" max="11343" width="9" style="178"/>
    <col min="11344" max="11344" width="9" style="178"/>
    <col min="11345" max="11345" width="9" style="178"/>
    <col min="11346" max="11346" width="9" style="178"/>
    <col min="11347" max="11347" width="9" style="178"/>
    <col min="11348" max="11348" width="9" style="178"/>
    <col min="11349" max="11349" width="9" style="178"/>
    <col min="11350" max="11350" width="9" style="178"/>
    <col min="11351" max="11351" width="9" style="178"/>
    <col min="11352" max="11352" width="9" style="178"/>
    <col min="11353" max="11353" width="9" style="178"/>
    <col min="11354" max="11354" width="9" style="178"/>
    <col min="11355" max="11355" width="9" style="178"/>
    <col min="11356" max="11356" width="9" style="178"/>
    <col min="11357" max="11357" width="9" style="178"/>
    <col min="11358" max="11358" width="9" style="178"/>
    <col min="11359" max="11359" width="9" style="178"/>
    <col min="11360" max="11360" width="9" style="178"/>
    <col min="11361" max="11361" width="9" style="178"/>
    <col min="11362" max="11362" width="9" style="178"/>
    <col min="11363" max="11363" width="9" style="178"/>
    <col min="11364" max="11364" width="9" style="178"/>
    <col min="11365" max="11365" width="9" style="178"/>
    <col min="11366" max="11366" width="9" style="178"/>
    <col min="11367" max="11367" width="9" style="178"/>
    <col min="11368" max="11368" width="9" style="178"/>
    <col min="11369" max="11369" width="9" style="178"/>
    <col min="11370" max="11370" width="9" style="178"/>
    <col min="11371" max="11371" width="9" style="178"/>
    <col min="11372" max="11372" width="9" style="178"/>
    <col min="11373" max="11373" width="9" style="178"/>
    <col min="11374" max="11374" width="9" style="178"/>
    <col min="11375" max="11375" width="9" style="178"/>
    <col min="11376" max="11376" width="9" style="178"/>
    <col min="11377" max="11377" width="9" style="178"/>
    <col min="11378" max="11378" width="9" style="178"/>
    <col min="11379" max="11379" width="9" style="178"/>
    <col min="11380" max="11380" width="9" style="178"/>
    <col min="11381" max="11381" width="9" style="178"/>
    <col min="11382" max="11382" width="9" style="178"/>
    <col min="11383" max="11383" width="9" style="178"/>
    <col min="11384" max="11384" width="9" style="178"/>
    <col min="11385" max="11385" width="9" style="178"/>
    <col min="11386" max="11386" width="9" style="178"/>
    <col min="11387" max="11387" width="9" style="178"/>
    <col min="11388" max="11388" width="9" style="178"/>
    <col min="11389" max="11389" width="9" style="178"/>
    <col min="11390" max="11390" width="9" style="178"/>
    <col min="11391" max="11391" width="9" style="178"/>
    <col min="11392" max="11392" width="9" style="178"/>
    <col min="11393" max="11393" width="9" style="178"/>
    <col min="11394" max="11394" width="9" style="178"/>
    <col min="11395" max="11395" width="9" style="178"/>
    <col min="11396" max="11396" width="9" style="178"/>
    <col min="11397" max="11397" width="9" style="178"/>
    <col min="11398" max="11398" width="9" style="178"/>
    <col min="11399" max="11399" width="9" style="178"/>
    <col min="11400" max="11400" width="9" style="178"/>
    <col min="11401" max="11401" width="9" style="178"/>
    <col min="11402" max="11402" width="9" style="178"/>
    <col min="11403" max="11403" width="9" style="178"/>
    <col min="11404" max="11404" width="9" style="178"/>
    <col min="11405" max="11405" width="9" style="178"/>
    <col min="11406" max="11406" width="9" style="178"/>
    <col min="11407" max="11407" width="9" style="178"/>
    <col min="11408" max="11408" width="9" style="178"/>
    <col min="11409" max="11409" width="9" style="178"/>
    <col min="11410" max="11410" width="9" style="178"/>
    <col min="11411" max="11411" width="9" style="178"/>
    <col min="11412" max="11412" width="9" style="178"/>
    <col min="11413" max="11413" width="9" style="178"/>
    <col min="11414" max="11414" width="9" style="178"/>
    <col min="11415" max="11415" width="9" style="178"/>
    <col min="11416" max="11416" width="9" style="178"/>
    <col min="11417" max="11417" width="9" style="178"/>
    <col min="11418" max="11418" width="9" style="178"/>
    <col min="11419" max="11419" width="9" style="178"/>
    <col min="11420" max="11420" width="9" style="178"/>
    <col min="11421" max="11421" width="9" style="178"/>
    <col min="11422" max="11422" width="9" style="178"/>
    <col min="11423" max="11423" width="9" style="178"/>
    <col min="11424" max="11424" width="9" style="178"/>
    <col min="11425" max="11425" width="9" style="178"/>
    <col min="11426" max="11426" width="9" style="178"/>
    <col min="11427" max="11427" width="9" style="178"/>
    <col min="11428" max="11428" width="9" style="178"/>
    <col min="11429" max="11429" width="9" style="178"/>
    <col min="11430" max="11430" width="9" style="178"/>
    <col min="11431" max="11431" width="9" style="178"/>
    <col min="11432" max="11432" width="9" style="178"/>
    <col min="11433" max="11433" width="9" style="178"/>
    <col min="11434" max="11434" width="9" style="178"/>
    <col min="11435" max="11435" width="9" style="178"/>
    <col min="11436" max="11436" width="9" style="178"/>
    <col min="11437" max="11437" width="9" style="178"/>
    <col min="11438" max="11438" width="9" style="178"/>
    <col min="11439" max="11439" width="9" style="178"/>
    <col min="11440" max="11440" width="9" style="178"/>
    <col min="11441" max="11441" width="9" style="178"/>
    <col min="11442" max="11442" width="9" style="178"/>
    <col min="11443" max="11443" width="9" style="178"/>
    <col min="11444" max="11444" width="9" style="178"/>
    <col min="11445" max="11445" width="9" style="178"/>
    <col min="11446" max="11446" width="9" style="178"/>
    <col min="11447" max="11447" width="9" style="178"/>
    <col min="11448" max="11448" width="9" style="178"/>
    <col min="11449" max="11449" width="9" style="178"/>
    <col min="11450" max="11450" width="9" style="178"/>
    <col min="11451" max="11451" width="9" style="178"/>
    <col min="11452" max="11452" width="9" style="178"/>
    <col min="11453" max="11453" width="9" style="178"/>
    <col min="11454" max="11454" width="9" style="178"/>
    <col min="11455" max="11455" width="9" style="178"/>
    <col min="11456" max="11456" width="9" style="178"/>
    <col min="11457" max="11457" width="9" style="178"/>
    <col min="11458" max="11458" width="9" style="178"/>
    <col min="11459" max="11459" width="9" style="178"/>
    <col min="11460" max="11460" width="9" style="178"/>
    <col min="11461" max="11461" width="9" style="178"/>
    <col min="11462" max="11462" width="9" style="178"/>
    <col min="11463" max="11463" width="9" style="178"/>
    <col min="11464" max="11464" width="9" style="178"/>
    <col min="11465" max="11465" width="9" style="178"/>
    <col min="11466" max="11466" width="9" style="178"/>
    <col min="11467" max="11467" width="9" style="178"/>
    <col min="11468" max="11468" width="9" style="178"/>
    <col min="11469" max="11469" width="9" style="178"/>
    <col min="11470" max="11470" width="9" style="178"/>
    <col min="11471" max="11471" width="9" style="178"/>
    <col min="11472" max="11472" width="9" style="178"/>
    <col min="11473" max="11473" width="9" style="178"/>
    <col min="11474" max="11474" width="9" style="178"/>
    <col min="11475" max="11475" width="9" style="178"/>
    <col min="11476" max="11476" width="9" style="178"/>
    <col min="11477" max="11477" width="9" style="178"/>
    <col min="11478" max="11478" width="9" style="178"/>
    <col min="11479" max="11479" width="9" style="178"/>
    <col min="11480" max="11480" width="9" style="178"/>
    <col min="11481" max="11481" width="9" style="178"/>
    <col min="11482" max="11482" width="9" style="178"/>
    <col min="11483" max="11483" width="9" style="178"/>
    <col min="11484" max="11484" width="9" style="178"/>
    <col min="11485" max="11485" width="9" style="178"/>
    <col min="11486" max="11486" width="9" style="178"/>
    <col min="11487" max="11487" width="9" style="178"/>
    <col min="11488" max="11488" width="9" style="178"/>
    <col min="11489" max="11489" width="9" style="178"/>
    <col min="11490" max="11490" width="9" style="178"/>
    <col min="11491" max="11491" width="9" style="178"/>
    <col min="11492" max="11492" width="9" style="178"/>
    <col min="11493" max="11493" width="9" style="178"/>
    <col min="11494" max="11494" width="9" style="178"/>
    <col min="11495" max="11495" width="9" style="178"/>
    <col min="11496" max="11496" width="9" style="178"/>
    <col min="11497" max="11497" width="9" style="178"/>
    <col min="11498" max="11498" width="9" style="178"/>
    <col min="11499" max="11499" width="9" style="178"/>
    <col min="11500" max="11500" width="9" style="178"/>
    <col min="11501" max="11501" width="9" style="178"/>
    <col min="11502" max="11502" width="9" style="178"/>
    <col min="11503" max="11503" width="9" style="178"/>
    <col min="11504" max="11504" width="9" style="178"/>
    <col min="11505" max="11505" width="9" style="178"/>
    <col min="11506" max="11506" width="9" style="178"/>
    <col min="11507" max="11507" width="9" style="178"/>
    <col min="11508" max="11508" width="9" style="178"/>
    <col min="11509" max="11509" width="9" style="178"/>
    <col min="11510" max="11510" width="9" style="178"/>
    <col min="11511" max="11511" width="9" style="178"/>
    <col min="11512" max="11512" width="9" style="178"/>
    <col min="11513" max="11513" width="9" style="178"/>
    <col min="11514" max="11514" width="9" style="178"/>
    <col min="11515" max="11515" width="9" style="178"/>
    <col min="11516" max="11516" width="9" style="178"/>
    <col min="11517" max="11517" width="9" style="178"/>
    <col min="11518" max="11518" width="9" style="178"/>
    <col min="11519" max="11519" width="9" style="178"/>
    <col min="11520" max="11520" width="9" style="178"/>
    <col min="11521" max="11521" width="9" style="178"/>
    <col min="11522" max="11522" width="9" style="178"/>
    <col min="11523" max="11523" width="9" style="178"/>
    <col min="11524" max="11524" width="9" style="178"/>
    <col min="11525" max="11525" width="9" style="178"/>
    <col min="11526" max="11526" width="9" style="178"/>
    <col min="11527" max="11527" width="9" style="178"/>
    <col min="11528" max="11528" width="9" style="178"/>
    <col min="11529" max="11529" width="9" style="178"/>
    <col min="11530" max="11530" width="9" style="178"/>
    <col min="11531" max="11531" width="9" style="178"/>
    <col min="11532" max="11532" width="9" style="178"/>
    <col min="11533" max="11533" width="9" style="178"/>
    <col min="11534" max="11534" width="9" style="178"/>
    <col min="11535" max="11535" width="9" style="178"/>
    <col min="11536" max="11536" width="9" style="178"/>
    <col min="11537" max="11537" width="9" style="178"/>
    <col min="11538" max="11538" width="9" style="178"/>
    <col min="11539" max="11539" width="9" style="178"/>
    <col min="11540" max="11540" width="9" style="178"/>
    <col min="11541" max="11541" width="9" style="178"/>
    <col min="11542" max="11542" width="9" style="178"/>
    <col min="11543" max="11543" width="9" style="178"/>
    <col min="11544" max="11544" width="9" style="178"/>
    <col min="11545" max="11545" width="9" style="178"/>
    <col min="11546" max="11546" width="9" style="178"/>
    <col min="11547" max="11547" width="9" style="178"/>
    <col min="11548" max="11548" width="9" style="178"/>
    <col min="11549" max="11549" width="9" style="178"/>
    <col min="11550" max="11550" width="9" style="178"/>
    <col min="11551" max="11551" width="9" style="178"/>
    <col min="11552" max="11552" width="9" style="178"/>
    <col min="11553" max="11553" width="9" style="178"/>
    <col min="11554" max="11554" width="9" style="178"/>
    <col min="11555" max="11555" width="9" style="178"/>
    <col min="11556" max="11556" width="9" style="178"/>
    <col min="11557" max="11557" width="9" style="178"/>
    <col min="11558" max="11558" width="9" style="178"/>
    <col min="11559" max="11559" width="9" style="178"/>
    <col min="11560" max="11560" width="9" style="178"/>
    <col min="11561" max="11561" width="9" style="178"/>
    <col min="11562" max="11562" width="9" style="178"/>
    <col min="11563" max="11563" width="9" style="178"/>
    <col min="11564" max="11564" width="9" style="178"/>
    <col min="11565" max="11565" width="9" style="178"/>
    <col min="11566" max="11566" width="9" style="178"/>
    <col min="11567" max="11567" width="9" style="178"/>
    <col min="11568" max="11568" width="9" style="178"/>
    <col min="11569" max="11569" width="9" style="178"/>
    <col min="11570" max="11570" width="9" style="178"/>
    <col min="11571" max="11571" width="9" style="178"/>
    <col min="11572" max="11572" width="9" style="178"/>
    <col min="11573" max="11573" width="9" style="178"/>
    <col min="11574" max="11574" width="9" style="178"/>
    <col min="11575" max="11575" width="9" style="178"/>
    <col min="11576" max="11576" width="9" style="178"/>
    <col min="11577" max="11577" width="9" style="178"/>
    <col min="11578" max="11578" width="9" style="178"/>
    <col min="11579" max="11579" width="9" style="178"/>
    <col min="11580" max="11580" width="9" style="178"/>
    <col min="11581" max="11581" width="9" style="178"/>
    <col min="11582" max="11582" width="9" style="178"/>
    <col min="11583" max="11583" width="9" style="178"/>
    <col min="11584" max="11584" width="9" style="178"/>
    <col min="11585" max="11585" width="9" style="178"/>
    <col min="11586" max="11586" width="9" style="178"/>
    <col min="11587" max="11587" width="9" style="178"/>
    <col min="11588" max="11588" width="9" style="178"/>
    <col min="11589" max="11589" width="9" style="178"/>
    <col min="11590" max="11590" width="9" style="178"/>
    <col min="11591" max="11591" width="9" style="178"/>
    <col min="11592" max="11592" width="9" style="178"/>
    <col min="11593" max="11593" width="9" style="178"/>
    <col min="11594" max="11594" width="9" style="178"/>
    <col min="11595" max="11595" width="9" style="178"/>
    <col min="11596" max="11596" width="9" style="178"/>
    <col min="11597" max="11597" width="9" style="178"/>
    <col min="11598" max="11598" width="9" style="178"/>
    <col min="11599" max="11599" width="9" style="178"/>
    <col min="11600" max="11600" width="9" style="178"/>
    <col min="11601" max="11601" width="9" style="178"/>
    <col min="11602" max="11602" width="9" style="178"/>
    <col min="11603" max="11603" width="9" style="178"/>
    <col min="11604" max="11604" width="9" style="178"/>
    <col min="11605" max="11605" width="9" style="178"/>
    <col min="11606" max="11606" width="9" style="178"/>
    <col min="11607" max="11607" width="9" style="178"/>
    <col min="11608" max="11608" width="9" style="178"/>
    <col min="11609" max="11609" width="9" style="178"/>
    <col min="11610" max="11610" width="9" style="178"/>
    <col min="11611" max="11611" width="9" style="178"/>
    <col min="11612" max="11612" width="9" style="178"/>
    <col min="11613" max="11613" width="9" style="178"/>
    <col min="11614" max="11614" width="9" style="178"/>
    <col min="11615" max="11615" width="9" style="178"/>
    <col min="11616" max="11616" width="9" style="178"/>
    <col min="11617" max="11617" width="9" style="178"/>
    <col min="11618" max="11618" width="9" style="178"/>
    <col min="11619" max="11619" width="9" style="178"/>
    <col min="11620" max="11620" width="9" style="178"/>
    <col min="11621" max="11621" width="9" style="178"/>
    <col min="11622" max="11622" width="9" style="178"/>
    <col min="11623" max="11623" width="9" style="178"/>
    <col min="11624" max="11624" width="9" style="178"/>
    <col min="11625" max="11625" width="9" style="178"/>
    <col min="11626" max="11626" width="9" style="178"/>
    <col min="11627" max="11627" width="9" style="178"/>
    <col min="11628" max="11628" width="9" style="178"/>
    <col min="11629" max="11629" width="9" style="178"/>
    <col min="11630" max="11630" width="9" style="178"/>
    <col min="11631" max="11631" width="9" style="178"/>
    <col min="11632" max="11632" width="9" style="178"/>
    <col min="11633" max="11633" width="9" style="178"/>
    <col min="11634" max="11634" width="9" style="178"/>
    <col min="11635" max="11635" width="9" style="178"/>
    <col min="11636" max="11636" width="9" style="178"/>
    <col min="11637" max="11637" width="9" style="178"/>
    <col min="11638" max="11638" width="9" style="178"/>
    <col min="11639" max="11639" width="9" style="178"/>
    <col min="11640" max="11640" width="9" style="178"/>
    <col min="11641" max="11641" width="9" style="178"/>
    <col min="11642" max="11642" width="9" style="178"/>
    <col min="11643" max="11643" width="9" style="178"/>
    <col min="11644" max="11644" width="9" style="178"/>
    <col min="11645" max="11645" width="9" style="178"/>
    <col min="11646" max="11646" width="9" style="178"/>
    <col min="11647" max="11647" width="9" style="178"/>
    <col min="11648" max="11648" width="9" style="178"/>
    <col min="11649" max="11649" width="9" style="178"/>
    <col min="11650" max="11650" width="9" style="178"/>
    <col min="11651" max="11651" width="9" style="178"/>
    <col min="11652" max="11652" width="9" style="178"/>
    <col min="11653" max="11653" width="9" style="178"/>
    <col min="11654" max="11654" width="9" style="178"/>
    <col min="11655" max="11655" width="9" style="178"/>
    <col min="11656" max="11656" width="9" style="178"/>
    <col min="11657" max="11657" width="9" style="178"/>
    <col min="11658" max="11658" width="9" style="178"/>
    <col min="11659" max="11659" width="9" style="178"/>
    <col min="11660" max="11660" width="9" style="178"/>
    <col min="11661" max="11661" width="9" style="178"/>
    <col min="11662" max="11662" width="9" style="178"/>
    <col min="11663" max="11663" width="9" style="178"/>
    <col min="11664" max="11664" width="9" style="178"/>
    <col min="11665" max="11665" width="9" style="178"/>
    <col min="11666" max="11666" width="9" style="178"/>
    <col min="11667" max="11667" width="9" style="178"/>
    <col min="11668" max="11668" width="9" style="178"/>
    <col min="11669" max="11669" width="9" style="178"/>
    <col min="11670" max="11670" width="9" style="178"/>
    <col min="11671" max="11671" width="9" style="178"/>
    <col min="11672" max="11672" width="9" style="178"/>
    <col min="11673" max="11673" width="9" style="178"/>
    <col min="11674" max="11674" width="9" style="178"/>
    <col min="11675" max="11675" width="9" style="178"/>
    <col min="11676" max="11676" width="9" style="178"/>
    <col min="11677" max="11677" width="9" style="178"/>
    <col min="11678" max="11678" width="9" style="178"/>
    <col min="11679" max="11679" width="9" style="178"/>
    <col min="11680" max="11680" width="9" style="178"/>
    <col min="11681" max="11681" width="9" style="178"/>
    <col min="11682" max="11682" width="9" style="178"/>
    <col min="11683" max="11683" width="9" style="178"/>
    <col min="11684" max="11684" width="9" style="178"/>
    <col min="11685" max="11685" width="9" style="178"/>
    <col min="11686" max="11686" width="9" style="178"/>
    <col min="11687" max="11687" width="9" style="178"/>
    <col min="11688" max="11688" width="9" style="178"/>
    <col min="11689" max="11689" width="9" style="178"/>
    <col min="11690" max="11690" width="9" style="178"/>
    <col min="11691" max="11691" width="9" style="178"/>
    <col min="11692" max="11692" width="9" style="178"/>
    <col min="11693" max="11693" width="9" style="178"/>
    <col min="11694" max="11694" width="9" style="178"/>
    <col min="11695" max="11695" width="9" style="178"/>
    <col min="11696" max="11696" width="9" style="178"/>
    <col min="11697" max="11697" width="9" style="178"/>
    <col min="11698" max="11698" width="9" style="178"/>
    <col min="11699" max="11699" width="9" style="178"/>
    <col min="11700" max="11700" width="9" style="178"/>
    <col min="11701" max="11701" width="9" style="178"/>
    <col min="11702" max="11702" width="9" style="178"/>
    <col min="11703" max="11703" width="9" style="178"/>
    <col min="11704" max="11704" width="9" style="178"/>
    <col min="11705" max="11705" width="9" style="178"/>
    <col min="11706" max="11706" width="9" style="178"/>
    <col min="11707" max="11707" width="9" style="178"/>
    <col min="11708" max="11708" width="9" style="178"/>
    <col min="11709" max="11709" width="9" style="178"/>
    <col min="11710" max="11710" width="9" style="178"/>
    <col min="11711" max="11711" width="9" style="178"/>
    <col min="11712" max="11712" width="9" style="178"/>
    <col min="11713" max="11713" width="9" style="178"/>
    <col min="11714" max="11714" width="9" style="178"/>
    <col min="11715" max="11715" width="9" style="178"/>
    <col min="11716" max="11716" width="9" style="178"/>
    <col min="11717" max="11717" width="9" style="178"/>
    <col min="11718" max="11718" width="9" style="178"/>
    <col min="11719" max="11719" width="9" style="178"/>
    <col min="11720" max="11720" width="9" style="178"/>
    <col min="11721" max="11721" width="9" style="178"/>
    <col min="11722" max="11722" width="9" style="178"/>
    <col min="11723" max="11723" width="9" style="178"/>
    <col min="11724" max="11724" width="9" style="178"/>
    <col min="11725" max="11725" width="9" style="178"/>
    <col min="11726" max="11726" width="9" style="178"/>
    <col min="11727" max="11727" width="9" style="178"/>
    <col min="11728" max="11728" width="9" style="178"/>
    <col min="11729" max="11729" width="9" style="178"/>
    <col min="11730" max="11730" width="9" style="178"/>
    <col min="11731" max="11731" width="9" style="178"/>
    <col min="11732" max="11732" width="9" style="178"/>
    <col min="11733" max="11733" width="9" style="178"/>
    <col min="11734" max="11734" width="9" style="178"/>
    <col min="11735" max="11735" width="9" style="178"/>
    <col min="11736" max="11736" width="9" style="178"/>
    <col min="11737" max="11737" width="9" style="178"/>
    <col min="11738" max="11738" width="9" style="178"/>
    <col min="11739" max="11739" width="9" style="178"/>
    <col min="11740" max="11740" width="9" style="178"/>
    <col min="11741" max="11741" width="9" style="178"/>
    <col min="11742" max="11742" width="9" style="178"/>
    <col min="11743" max="11743" width="9" style="178"/>
    <col min="11744" max="11744" width="9" style="178"/>
    <col min="11745" max="11745" width="9" style="178"/>
    <col min="11746" max="11746" width="9" style="178"/>
    <col min="11747" max="11747" width="9" style="178"/>
    <col min="11748" max="11748" width="9" style="178"/>
    <col min="11749" max="11749" width="9" style="178"/>
    <col min="11750" max="11750" width="9" style="178"/>
    <col min="11751" max="11751" width="9" style="178"/>
    <col min="11752" max="11752" width="9" style="178"/>
    <col min="11753" max="11753" width="9" style="178"/>
    <col min="11754" max="11754" width="9" style="178"/>
    <col min="11755" max="11755" width="9" style="178"/>
    <col min="11756" max="11756" width="9" style="178"/>
    <col min="11757" max="11757" width="9" style="178"/>
    <col min="11758" max="11758" width="9" style="178"/>
    <col min="11759" max="11759" width="9" style="178"/>
    <col min="11760" max="11760" width="9" style="178"/>
    <col min="11761" max="11761" width="9" style="178"/>
    <col min="11762" max="11762" width="9" style="178"/>
    <col min="11763" max="11763" width="9" style="178"/>
    <col min="11764" max="11764" width="9" style="178"/>
    <col min="11765" max="11765" width="9" style="178"/>
    <col min="11766" max="11766" width="9" style="178"/>
    <col min="11767" max="11767" width="9" style="178"/>
    <col min="11768" max="11768" width="9" style="178"/>
    <col min="11769" max="11769" width="9" style="178"/>
    <col min="11770" max="11770" width="9" style="178"/>
    <col min="11771" max="11771" width="9" style="178"/>
    <col min="11772" max="11772" width="9" style="178"/>
    <col min="11773" max="11773" width="9" style="178"/>
    <col min="11774" max="11774" width="9" style="178"/>
    <col min="11775" max="11775" width="9" style="178"/>
    <col min="11776" max="11776" width="9" style="178"/>
    <col min="11777" max="11777" width="9" style="178"/>
    <col min="11778" max="11778" width="9" style="178"/>
    <col min="11779" max="11779" width="9" style="178"/>
    <col min="11780" max="11780" width="9" style="178"/>
    <col min="11781" max="11781" width="9" style="178"/>
    <col min="11782" max="11782" width="9" style="178"/>
    <col min="11783" max="11783" width="9" style="178"/>
    <col min="11784" max="11784" width="9" style="178"/>
    <col min="11785" max="11785" width="9" style="178"/>
    <col min="11786" max="11786" width="9" style="178"/>
    <col min="11787" max="11787" width="9" style="178"/>
    <col min="11788" max="11788" width="9" style="178"/>
    <col min="11789" max="11789" width="9" style="178"/>
    <col min="11790" max="11790" width="9" style="178"/>
    <col min="11791" max="11791" width="9" style="178"/>
    <col min="11792" max="11792" width="9" style="178"/>
    <col min="11793" max="11793" width="9" style="178"/>
    <col min="11794" max="11794" width="9" style="178"/>
    <col min="11795" max="11795" width="9" style="178"/>
    <col min="11796" max="11796" width="9" style="178"/>
    <col min="11797" max="11797" width="9" style="178"/>
    <col min="11798" max="11798" width="9" style="178"/>
    <col min="11799" max="11799" width="9" style="178"/>
    <col min="11800" max="11800" width="9" style="178"/>
    <col min="11801" max="11801" width="9" style="178"/>
    <col min="11802" max="11802" width="9" style="178"/>
    <col min="11803" max="11803" width="9" style="178"/>
    <col min="11804" max="11804" width="9" style="178"/>
    <col min="11805" max="11805" width="9" style="178"/>
    <col min="11806" max="11806" width="9" style="178"/>
    <col min="11807" max="11807" width="9" style="178"/>
    <col min="11808" max="11808" width="9" style="178"/>
    <col min="11809" max="11809" width="9" style="178"/>
    <col min="11810" max="11810" width="9" style="178"/>
    <col min="11811" max="11811" width="9" style="178"/>
    <col min="11812" max="11812" width="9" style="178"/>
    <col min="11813" max="11813" width="9" style="178"/>
    <col min="11814" max="11814" width="9" style="178"/>
    <col min="11815" max="11815" width="9" style="178"/>
    <col min="11816" max="11816" width="9" style="178"/>
    <col min="11817" max="11817" width="9" style="178"/>
    <col min="11818" max="11818" width="9" style="178"/>
    <col min="11819" max="11819" width="9" style="178"/>
    <col min="11820" max="11820" width="9" style="178"/>
    <col min="11821" max="11821" width="9" style="178"/>
    <col min="11822" max="11822" width="9" style="178"/>
    <col min="11823" max="11823" width="9" style="178"/>
    <col min="11824" max="11824" width="9" style="178"/>
    <col min="11825" max="11825" width="9" style="178"/>
    <col min="11826" max="11826" width="9" style="178"/>
    <col min="11827" max="11827" width="9" style="178"/>
    <col min="11828" max="11828" width="9" style="178"/>
    <col min="11829" max="11829" width="9" style="178"/>
    <col min="11830" max="11830" width="9" style="178"/>
    <col min="11831" max="11831" width="9" style="178"/>
    <col min="11832" max="11832" width="9" style="178"/>
    <col min="11833" max="11833" width="9" style="178"/>
    <col min="11834" max="11834" width="9" style="178"/>
    <col min="11835" max="11835" width="9" style="178"/>
    <col min="11836" max="11836" width="9" style="178"/>
    <col min="11837" max="11837" width="9" style="178"/>
    <col min="11838" max="11838" width="9" style="178"/>
    <col min="11839" max="11839" width="9" style="178"/>
    <col min="11840" max="11840" width="9" style="178"/>
    <col min="11841" max="11841" width="9" style="178"/>
    <col min="11842" max="11842" width="9" style="178"/>
    <col min="11843" max="11843" width="9" style="178"/>
    <col min="11844" max="11844" width="9" style="178"/>
    <col min="11845" max="11845" width="9" style="178"/>
    <col min="11846" max="11846" width="9" style="178"/>
    <col min="11847" max="11847" width="9" style="178"/>
    <col min="11848" max="11848" width="9" style="178"/>
    <col min="11849" max="11849" width="9" style="178"/>
    <col min="11850" max="11850" width="9" style="178"/>
    <col min="11851" max="11851" width="9" style="178"/>
    <col min="11852" max="11852" width="9" style="178"/>
    <col min="11853" max="11853" width="9" style="178"/>
    <col min="11854" max="11854" width="9" style="178"/>
    <col min="11855" max="11855" width="9" style="178"/>
    <col min="11856" max="11856" width="9" style="178"/>
    <col min="11857" max="11857" width="9" style="178"/>
    <col min="11858" max="11858" width="9" style="178"/>
    <col min="11859" max="11859" width="9" style="178"/>
    <col min="11860" max="11860" width="9" style="178"/>
    <col min="11861" max="11861" width="9" style="178"/>
    <col min="11862" max="11862" width="9" style="178"/>
    <col min="11863" max="11863" width="9" style="178"/>
    <col min="11864" max="11864" width="9" style="178"/>
    <col min="11865" max="11865" width="9" style="178"/>
    <col min="11866" max="11866" width="9" style="178"/>
    <col min="11867" max="11867" width="9" style="178"/>
    <col min="11868" max="11868" width="9" style="178"/>
    <col min="11869" max="11869" width="9" style="178"/>
    <col min="11870" max="11870" width="9" style="178"/>
    <col min="11871" max="11871" width="9" style="178"/>
    <col min="11872" max="11872" width="9" style="178"/>
    <col min="11873" max="11873" width="9" style="178"/>
    <col min="11874" max="11874" width="9" style="178"/>
    <col min="11875" max="11875" width="9" style="178"/>
    <col min="11876" max="11876" width="9" style="178"/>
    <col min="11877" max="11877" width="9" style="178"/>
    <col min="11878" max="11878" width="9" style="178"/>
    <col min="11879" max="11879" width="9" style="178"/>
    <col min="11880" max="11880" width="9" style="178"/>
    <col min="11881" max="11881" width="9" style="178"/>
    <col min="11882" max="11882" width="9" style="178"/>
    <col min="11883" max="11883" width="9" style="178"/>
    <col min="11884" max="11884" width="9" style="178"/>
    <col min="11885" max="11885" width="9" style="178"/>
    <col min="11886" max="11886" width="9" style="178"/>
    <col min="11887" max="11887" width="9" style="178"/>
    <col min="11888" max="11888" width="9" style="178"/>
    <col min="11889" max="11889" width="9" style="178"/>
    <col min="11890" max="11890" width="9" style="178"/>
    <col min="11891" max="11891" width="9" style="178"/>
    <col min="11892" max="11892" width="9" style="178"/>
    <col min="11893" max="11893" width="9" style="178"/>
    <col min="11894" max="11894" width="9" style="178"/>
    <col min="11895" max="11895" width="9" style="178"/>
    <col min="11896" max="11896" width="9" style="178"/>
    <col min="11897" max="11897" width="9" style="178"/>
    <col min="11898" max="11898" width="9" style="178"/>
    <col min="11899" max="11899" width="9" style="178"/>
    <col min="11900" max="11900" width="9" style="178"/>
    <col min="11901" max="11901" width="9" style="178"/>
    <col min="11902" max="11902" width="9" style="178"/>
    <col min="11903" max="11903" width="9" style="178"/>
    <col min="11904" max="11904" width="9" style="178"/>
    <col min="11905" max="11905" width="9" style="178"/>
    <col min="11906" max="11906" width="9" style="178"/>
    <col min="11907" max="11907" width="9" style="178"/>
    <col min="11908" max="11908" width="9" style="178"/>
    <col min="11909" max="11909" width="9" style="178"/>
    <col min="11910" max="11910" width="9" style="178"/>
    <col min="11911" max="11911" width="9" style="178"/>
    <col min="11912" max="11912" width="9" style="178"/>
    <col min="11913" max="11913" width="9" style="178"/>
    <col min="11914" max="11914" width="9" style="178"/>
    <col min="11915" max="11915" width="9" style="178"/>
    <col min="11916" max="11916" width="9" style="178"/>
    <col min="11917" max="11917" width="9" style="178"/>
    <col min="11918" max="11918" width="9" style="178"/>
    <col min="11919" max="11919" width="9" style="178"/>
    <col min="11920" max="11920" width="9" style="178"/>
    <col min="11921" max="11921" width="9" style="178"/>
    <col min="11922" max="11922" width="9" style="178"/>
    <col min="11923" max="11923" width="9" style="178"/>
    <col min="11924" max="11924" width="9" style="178"/>
    <col min="11925" max="11925" width="9" style="178"/>
    <col min="11926" max="11926" width="9" style="178"/>
    <col min="11927" max="11927" width="9" style="178"/>
    <col min="11928" max="11928" width="9" style="178"/>
    <col min="11929" max="11929" width="9" style="178"/>
    <col min="11930" max="11930" width="9" style="178"/>
    <col min="11931" max="11931" width="9" style="178"/>
    <col min="11932" max="11932" width="9" style="178"/>
    <col min="11933" max="11933" width="9" style="178"/>
    <col min="11934" max="11934" width="9" style="178"/>
    <col min="11935" max="11935" width="9" style="178"/>
    <col min="11936" max="11936" width="9" style="178"/>
    <col min="11937" max="11937" width="9" style="178"/>
    <col min="11938" max="11938" width="9" style="178"/>
    <col min="11939" max="11939" width="9" style="178"/>
    <col min="11940" max="11940" width="9" style="178"/>
    <col min="11941" max="11941" width="9" style="178"/>
    <col min="11942" max="11942" width="9" style="178"/>
    <col min="11943" max="11943" width="9" style="178"/>
    <col min="11944" max="11944" width="9" style="178"/>
    <col min="11945" max="11945" width="9" style="178"/>
    <col min="11946" max="11946" width="9" style="178"/>
    <col min="11947" max="11947" width="9" style="178"/>
    <col min="11948" max="11948" width="9" style="178"/>
    <col min="11949" max="11949" width="9" style="178"/>
    <col min="11950" max="11950" width="9" style="178"/>
    <col min="11951" max="11951" width="9" style="178"/>
    <col min="11952" max="11952" width="9" style="178"/>
    <col min="11953" max="11953" width="9" style="178"/>
    <col min="11954" max="11954" width="9" style="178"/>
    <col min="11955" max="11955" width="9" style="178"/>
    <col min="11956" max="11956" width="9" style="178"/>
    <col min="11957" max="11957" width="9" style="178"/>
    <col min="11958" max="11958" width="9" style="178"/>
    <col min="11959" max="11959" width="9" style="178"/>
    <col min="11960" max="11960" width="9" style="178"/>
    <col min="11961" max="11961" width="9" style="178"/>
    <col min="11962" max="11962" width="9" style="178"/>
    <col min="11963" max="11963" width="9" style="178"/>
    <col min="11964" max="11964" width="9" style="178"/>
    <col min="11965" max="11965" width="9" style="178"/>
    <col min="11966" max="11966" width="9" style="178"/>
    <col min="11967" max="11967" width="9" style="178"/>
    <col min="11968" max="11968" width="9" style="178"/>
    <col min="11969" max="11969" width="9" style="178"/>
    <col min="11970" max="11970" width="9" style="178"/>
    <col min="11971" max="11971" width="9" style="178"/>
    <col min="11972" max="11972" width="9" style="178"/>
    <col min="11973" max="11973" width="9" style="178"/>
    <col min="11974" max="11974" width="9" style="178"/>
    <col min="11975" max="11975" width="9" style="178"/>
    <col min="11976" max="11976" width="9" style="178"/>
    <col min="11977" max="11977" width="9" style="178"/>
    <col min="11978" max="11978" width="9" style="178"/>
    <col min="11979" max="11979" width="9" style="178"/>
    <col min="11980" max="11980" width="9" style="178"/>
    <col min="11981" max="11981" width="9" style="178"/>
    <col min="11982" max="11982" width="9" style="178"/>
    <col min="11983" max="11983" width="9" style="178"/>
    <col min="11984" max="11984" width="9" style="178"/>
    <col min="11985" max="11985" width="9" style="178"/>
    <col min="11986" max="11986" width="9" style="178"/>
    <col min="11987" max="11987" width="9" style="178"/>
    <col min="11988" max="11988" width="9" style="178"/>
    <col min="11989" max="11989" width="9" style="178"/>
    <col min="11990" max="11990" width="9" style="178"/>
    <col min="11991" max="11991" width="9" style="178"/>
    <col min="11992" max="11992" width="9" style="178"/>
    <col min="11993" max="11993" width="9" style="178"/>
    <col min="11994" max="11994" width="9" style="178"/>
    <col min="11995" max="11995" width="9" style="178"/>
    <col min="11996" max="11996" width="9" style="178"/>
    <col min="11997" max="11997" width="9" style="178"/>
    <col min="11998" max="11998" width="9" style="178"/>
    <col min="11999" max="11999" width="9" style="178"/>
    <col min="12000" max="12000" width="9" style="178"/>
    <col min="12001" max="12001" width="9" style="178"/>
    <col min="12002" max="12002" width="9" style="178"/>
    <col min="12003" max="12003" width="9" style="178"/>
    <col min="12004" max="12004" width="9" style="178"/>
    <col min="12005" max="12005" width="9" style="178"/>
    <col min="12006" max="12006" width="9" style="178"/>
    <col min="12007" max="12007" width="9" style="178"/>
    <col min="12008" max="12008" width="9" style="178"/>
    <col min="12009" max="12009" width="9" style="178"/>
    <col min="12010" max="12010" width="9" style="178"/>
    <col min="12011" max="12011" width="9" style="178"/>
    <col min="12012" max="12012" width="9" style="178"/>
    <col min="12013" max="12013" width="9" style="178"/>
    <col min="12014" max="12014" width="9" style="178"/>
    <col min="12015" max="12015" width="9" style="178"/>
    <col min="12016" max="12016" width="9" style="178"/>
    <col min="12017" max="12017" width="9" style="178"/>
    <col min="12018" max="12018" width="9" style="178"/>
    <col min="12019" max="12019" width="9" style="178"/>
    <col min="12020" max="12020" width="9" style="178"/>
    <col min="12021" max="12021" width="9" style="178"/>
    <col min="12022" max="12022" width="9" style="178"/>
    <col min="12023" max="12023" width="9" style="178"/>
    <col min="12024" max="12024" width="9" style="178"/>
    <col min="12025" max="12025" width="9" style="178"/>
    <col min="12026" max="12026" width="9" style="178"/>
    <col min="12027" max="12027" width="9" style="178"/>
    <col min="12028" max="12028" width="9" style="178"/>
    <col min="12029" max="12029" width="9" style="178"/>
    <col min="12030" max="12030" width="9" style="178"/>
    <col min="12031" max="12031" width="9" style="178"/>
    <col min="12032" max="12032" width="9" style="178"/>
    <col min="12033" max="12033" width="9" style="178"/>
    <col min="12034" max="12034" width="9" style="178"/>
    <col min="12035" max="12035" width="9" style="178"/>
    <col min="12036" max="12036" width="9" style="178"/>
    <col min="12037" max="12037" width="9" style="178"/>
    <col min="12038" max="12038" width="9" style="178"/>
    <col min="12039" max="12039" width="9" style="178"/>
    <col min="12040" max="12040" width="9" style="178"/>
    <col min="12041" max="12041" width="9" style="178"/>
    <col min="12042" max="12042" width="9" style="178"/>
    <col min="12043" max="12043" width="9" style="178"/>
    <col min="12044" max="12044" width="9" style="178"/>
    <col min="12045" max="12045" width="9" style="178"/>
    <col min="12046" max="12046" width="9" style="178"/>
    <col min="12047" max="12047" width="9" style="178"/>
    <col min="12048" max="12048" width="9" style="178"/>
    <col min="12049" max="12049" width="9" style="178"/>
    <col min="12050" max="12050" width="9" style="178"/>
    <col min="12051" max="12051" width="9" style="178"/>
    <col min="12052" max="12052" width="9" style="178"/>
    <col min="12053" max="12053" width="9" style="178"/>
    <col min="12054" max="12054" width="9" style="178"/>
    <col min="12055" max="12055" width="9" style="178"/>
    <col min="12056" max="12056" width="9" style="178"/>
    <col min="12057" max="12057" width="9" style="178"/>
    <col min="12058" max="12058" width="9" style="178"/>
    <col min="12059" max="12059" width="9" style="178"/>
    <col min="12060" max="12060" width="9" style="178"/>
    <col min="12061" max="12061" width="9" style="178"/>
    <col min="12062" max="12062" width="9" style="178"/>
    <col min="12063" max="12063" width="9" style="178"/>
    <col min="12064" max="12064" width="9" style="178"/>
    <col min="12065" max="12065" width="9" style="178"/>
    <col min="12066" max="12066" width="9" style="178"/>
    <col min="12067" max="12067" width="9" style="178"/>
    <col min="12068" max="12068" width="9" style="178"/>
    <col min="12069" max="12069" width="9" style="178"/>
    <col min="12070" max="12070" width="9" style="178"/>
    <col min="12071" max="12071" width="9" style="178"/>
    <col min="12072" max="12072" width="9" style="178"/>
    <col min="12073" max="12073" width="9" style="178"/>
    <col min="12074" max="12074" width="9" style="178"/>
    <col min="12075" max="12075" width="9" style="178"/>
    <col min="12076" max="12076" width="9" style="178"/>
    <col min="12077" max="12077" width="9" style="178"/>
    <col min="12078" max="12078" width="9" style="178"/>
    <col min="12079" max="12079" width="9" style="178"/>
    <col min="12080" max="12080" width="9" style="178"/>
    <col min="12081" max="12081" width="9" style="178"/>
    <col min="12082" max="12082" width="9" style="178"/>
    <col min="12083" max="12083" width="9" style="178"/>
    <col min="12084" max="12084" width="9" style="178"/>
    <col min="12085" max="12085" width="9" style="178"/>
    <col min="12086" max="12086" width="9" style="178"/>
    <col min="12087" max="12087" width="9" style="178"/>
    <col min="12088" max="12088" width="9" style="178"/>
    <col min="12089" max="12089" width="9" style="178"/>
    <col min="12090" max="12090" width="9" style="178"/>
    <col min="12091" max="12091" width="9" style="178"/>
    <col min="12092" max="12092" width="9" style="178"/>
    <col min="12093" max="12093" width="9" style="178"/>
    <col min="12094" max="12094" width="9" style="178"/>
    <col min="12095" max="12095" width="9" style="178"/>
    <col min="12096" max="12096" width="9" style="178"/>
    <col min="12097" max="12097" width="9" style="178"/>
    <col min="12098" max="12098" width="9" style="178"/>
    <col min="12099" max="12099" width="9" style="178"/>
    <col min="12100" max="12100" width="9" style="178"/>
    <col min="12101" max="12101" width="9" style="178"/>
    <col min="12102" max="12102" width="9" style="178"/>
    <col min="12103" max="12103" width="9" style="178"/>
    <col min="12104" max="12104" width="9" style="178"/>
    <col min="12105" max="12105" width="9" style="178"/>
    <col min="12106" max="12106" width="9" style="178"/>
    <col min="12107" max="12107" width="9" style="178"/>
    <col min="12108" max="12108" width="9" style="178"/>
    <col min="12109" max="12109" width="9" style="178"/>
    <col min="12110" max="12110" width="9" style="178"/>
    <col min="12111" max="12111" width="9" style="178"/>
    <col min="12112" max="12112" width="9" style="178"/>
    <col min="12113" max="12113" width="9" style="178"/>
    <col min="12114" max="12114" width="9" style="178"/>
    <col min="12115" max="12115" width="9" style="178"/>
    <col min="12116" max="12116" width="9" style="178"/>
    <col min="12117" max="12117" width="9" style="178"/>
    <col min="12118" max="12118" width="9" style="178"/>
    <col min="12119" max="12119" width="9" style="178"/>
    <col min="12120" max="12120" width="9" style="178"/>
    <col min="12121" max="12121" width="9" style="178"/>
    <col min="12122" max="12122" width="9" style="178"/>
    <col min="12123" max="12123" width="9" style="178"/>
    <col min="12124" max="12124" width="9" style="178"/>
    <col min="12125" max="12125" width="9" style="178"/>
    <col min="12126" max="12126" width="9" style="178"/>
    <col min="12127" max="12127" width="9" style="178"/>
    <col min="12128" max="12128" width="9" style="178"/>
    <col min="12129" max="12129" width="9" style="178"/>
    <col min="12130" max="12130" width="9" style="178"/>
    <col min="12131" max="12131" width="9" style="178"/>
    <col min="12132" max="12132" width="9" style="178"/>
    <col min="12133" max="12133" width="9" style="178"/>
    <col min="12134" max="12134" width="9" style="178"/>
    <col min="12135" max="12135" width="9" style="178"/>
    <col min="12136" max="12136" width="9" style="178"/>
    <col min="12137" max="12137" width="9" style="178"/>
    <col min="12138" max="12138" width="9" style="178"/>
    <col min="12139" max="12139" width="9" style="178"/>
    <col min="12140" max="12140" width="9" style="178"/>
    <col min="12141" max="12141" width="9" style="178"/>
    <col min="12142" max="12142" width="9" style="178"/>
    <col min="12143" max="12143" width="9" style="178"/>
    <col min="12144" max="12144" width="9" style="178"/>
    <col min="12145" max="12145" width="9" style="178"/>
    <col min="12146" max="12146" width="9" style="178"/>
    <col min="12147" max="12147" width="9" style="178"/>
    <col min="12148" max="12148" width="9" style="178"/>
    <col min="12149" max="12149" width="9" style="178"/>
    <col min="12150" max="12150" width="9" style="178"/>
    <col min="12151" max="12151" width="9" style="178"/>
    <col min="12152" max="12152" width="9" style="178"/>
    <col min="12153" max="12153" width="9" style="178"/>
    <col min="12154" max="12154" width="9" style="178"/>
    <col min="12155" max="12155" width="9" style="178"/>
    <col min="12156" max="12156" width="9" style="178"/>
    <col min="12157" max="12157" width="9" style="178"/>
    <col min="12158" max="12158" width="9" style="178"/>
    <col min="12159" max="12159" width="9" style="178"/>
    <col min="12160" max="12160" width="9" style="178"/>
    <col min="12161" max="12161" width="9" style="178"/>
    <col min="12162" max="12162" width="9" style="178"/>
    <col min="12163" max="12163" width="9" style="178"/>
    <col min="12164" max="12164" width="9" style="178"/>
    <col min="12165" max="12165" width="9" style="178"/>
    <col min="12166" max="12166" width="9" style="178"/>
    <col min="12167" max="12167" width="9" style="178"/>
    <col min="12168" max="12168" width="9" style="178"/>
    <col min="12169" max="12169" width="9" style="178"/>
    <col min="12170" max="12170" width="9" style="178"/>
    <col min="12171" max="12171" width="9" style="178"/>
    <col min="12172" max="12172" width="9" style="178"/>
    <col min="12173" max="12173" width="9" style="178"/>
    <col min="12174" max="12174" width="9" style="178"/>
    <col min="12175" max="12175" width="9" style="178"/>
    <col min="12176" max="12176" width="9" style="178"/>
    <col min="12177" max="12177" width="9" style="178"/>
    <col min="12178" max="12178" width="9" style="178"/>
    <col min="12179" max="12179" width="9" style="178"/>
    <col min="12180" max="12180" width="9" style="178"/>
    <col min="12181" max="12181" width="9" style="178"/>
    <col min="12182" max="12182" width="9" style="178"/>
    <col min="12183" max="12183" width="9" style="178"/>
    <col min="12184" max="12184" width="9" style="178"/>
    <col min="12185" max="12185" width="9" style="178"/>
    <col min="12186" max="12186" width="9" style="178"/>
    <col min="12187" max="12187" width="9" style="178"/>
    <col min="12188" max="12188" width="9" style="178"/>
    <col min="12189" max="12189" width="9" style="178"/>
    <col min="12190" max="12190" width="9" style="178"/>
    <col min="12191" max="12191" width="9" style="178"/>
    <col min="12192" max="12192" width="9" style="178"/>
    <col min="12193" max="12193" width="9" style="178"/>
    <col min="12194" max="12194" width="9" style="178"/>
    <col min="12195" max="12195" width="9" style="178"/>
    <col min="12196" max="12196" width="9" style="178"/>
    <col min="12197" max="12197" width="9" style="178"/>
    <col min="12198" max="12198" width="9" style="178"/>
    <col min="12199" max="12199" width="9" style="178"/>
    <col min="12200" max="12200" width="9" style="178"/>
    <col min="12201" max="12201" width="9" style="178"/>
    <col min="12202" max="12202" width="9" style="178"/>
    <col min="12203" max="12203" width="9" style="178"/>
    <col min="12204" max="12204" width="9" style="178"/>
    <col min="12205" max="12205" width="9" style="178"/>
    <col min="12206" max="12206" width="9" style="178"/>
    <col min="12207" max="12207" width="9" style="178"/>
    <col min="12208" max="12208" width="9" style="178"/>
    <col min="12209" max="12209" width="9" style="178"/>
    <col min="12210" max="12210" width="9" style="178"/>
    <col min="12211" max="12211" width="9" style="178"/>
    <col min="12212" max="12212" width="9" style="178"/>
    <col min="12213" max="12213" width="9" style="178"/>
    <col min="12214" max="12214" width="9" style="178"/>
    <col min="12215" max="12215" width="9" style="178"/>
    <col min="12216" max="12216" width="9" style="178"/>
    <col min="12217" max="12217" width="9" style="178"/>
    <col min="12218" max="12218" width="9" style="178"/>
    <col min="12219" max="12219" width="9" style="178"/>
    <col min="12220" max="12220" width="9" style="178"/>
    <col min="12221" max="12221" width="9" style="178"/>
    <col min="12222" max="12222" width="9" style="178"/>
    <col min="12223" max="12223" width="9" style="178"/>
    <col min="12224" max="12224" width="9" style="178"/>
    <col min="12225" max="12225" width="9" style="178"/>
    <col min="12226" max="12226" width="9" style="178"/>
    <col min="12227" max="12227" width="9" style="178"/>
    <col min="12228" max="12228" width="9" style="178"/>
    <col min="12229" max="12229" width="9" style="178"/>
    <col min="12230" max="12230" width="9" style="178"/>
    <col min="12231" max="12231" width="9" style="178"/>
    <col min="12232" max="12232" width="9" style="178"/>
    <col min="12233" max="12233" width="9" style="178"/>
    <col min="12234" max="12234" width="9" style="178"/>
    <col min="12235" max="12235" width="9" style="178"/>
    <col min="12236" max="12236" width="9" style="178"/>
    <col min="12237" max="12237" width="9" style="178"/>
    <col min="12238" max="12238" width="9" style="178"/>
    <col min="12239" max="12239" width="9" style="178"/>
    <col min="12240" max="12240" width="9" style="178"/>
    <col min="12241" max="12241" width="9" style="178"/>
    <col min="12242" max="12242" width="9" style="178"/>
    <col min="12243" max="12243" width="9" style="178"/>
    <col min="12244" max="12244" width="9" style="178"/>
    <col min="12245" max="12245" width="9" style="178"/>
    <col min="12246" max="12246" width="9" style="178"/>
    <col min="12247" max="12247" width="9" style="178"/>
    <col min="12248" max="12248" width="9" style="178"/>
    <col min="12249" max="12249" width="9" style="178"/>
    <col min="12250" max="12250" width="9" style="178"/>
    <col min="12251" max="12251" width="9" style="178"/>
    <col min="12252" max="12252" width="9" style="178"/>
    <col min="12253" max="12253" width="9" style="178"/>
    <col min="12254" max="12254" width="9" style="178"/>
    <col min="12255" max="12255" width="9" style="178"/>
    <col min="12256" max="12256" width="9" style="178"/>
    <col min="12257" max="12257" width="9" style="178"/>
    <col min="12258" max="12258" width="9" style="178"/>
    <col min="12259" max="12259" width="9" style="178"/>
    <col min="12260" max="12260" width="9" style="178"/>
    <col min="12261" max="12261" width="9" style="178"/>
    <col min="12262" max="12262" width="9" style="178"/>
    <col min="12263" max="12263" width="9" style="178"/>
    <col min="12264" max="12264" width="9" style="178"/>
    <col min="12265" max="12265" width="9" style="178"/>
    <col min="12266" max="12266" width="9" style="178"/>
    <col min="12267" max="12267" width="9" style="178"/>
    <col min="12268" max="12268" width="9" style="178"/>
    <col min="12269" max="12269" width="9" style="178"/>
    <col min="12270" max="12270" width="9" style="178"/>
    <col min="12271" max="12271" width="9" style="178"/>
    <col min="12272" max="12272" width="9" style="178"/>
    <col min="12273" max="12273" width="9" style="178"/>
    <col min="12274" max="12274" width="9" style="178"/>
    <col min="12275" max="12275" width="9" style="178"/>
    <col min="12276" max="12276" width="9" style="178"/>
    <col min="12277" max="12277" width="9" style="178"/>
    <col min="12278" max="12278" width="9" style="178"/>
    <col min="12279" max="12279" width="9" style="178"/>
    <col min="12280" max="12280" width="9" style="178"/>
    <col min="12281" max="12281" width="9" style="178"/>
    <col min="12282" max="12282" width="9" style="178"/>
    <col min="12283" max="12283" width="9" style="178"/>
    <col min="12284" max="12284" width="9" style="178"/>
    <col min="12285" max="12285" width="9" style="178"/>
    <col min="12286" max="12286" width="9" style="178"/>
    <col min="12287" max="12287" width="9" style="178"/>
    <col min="12288" max="12288" width="9" style="178"/>
    <col min="12289" max="12289" width="9" style="178"/>
    <col min="12290" max="12290" width="9" style="178"/>
    <col min="12291" max="12291" width="9" style="178"/>
    <col min="12292" max="12292" width="9" style="178"/>
    <col min="12293" max="12293" width="9" style="178"/>
    <col min="12294" max="12294" width="9" style="178"/>
    <col min="12295" max="12295" width="9" style="178"/>
    <col min="12296" max="12296" width="9" style="178"/>
    <col min="12297" max="12297" width="9" style="178"/>
    <col min="12298" max="12298" width="9" style="178"/>
    <col min="12299" max="12299" width="9" style="178"/>
    <col min="12300" max="12300" width="9" style="178"/>
    <col min="12301" max="12301" width="9" style="178"/>
    <col min="12302" max="12302" width="9" style="178"/>
    <col min="12303" max="12303" width="9" style="178"/>
    <col min="12304" max="12304" width="9" style="178"/>
    <col min="12305" max="12305" width="9" style="178"/>
    <col min="12306" max="12306" width="9" style="178"/>
    <col min="12307" max="12307" width="9" style="178"/>
    <col min="12308" max="12308" width="9" style="178"/>
    <col min="12309" max="12309" width="9" style="178"/>
    <col min="12310" max="12310" width="9" style="178"/>
    <col min="12311" max="12311" width="9" style="178"/>
    <col min="12312" max="12312" width="9" style="178"/>
    <col min="12313" max="12313" width="9" style="178"/>
    <col min="12314" max="12314" width="9" style="178"/>
    <col min="12315" max="12315" width="9" style="178"/>
    <col min="12316" max="12316" width="9" style="178"/>
    <col min="12317" max="12317" width="9" style="178"/>
    <col min="12318" max="12318" width="9" style="178"/>
    <col min="12319" max="12319" width="9" style="178"/>
    <col min="12320" max="12320" width="9" style="178"/>
    <col min="12321" max="12321" width="9" style="178"/>
    <col min="12322" max="12322" width="9" style="178"/>
    <col min="12323" max="12323" width="9" style="178"/>
    <col min="12324" max="12324" width="9" style="178"/>
    <col min="12325" max="12325" width="9" style="178"/>
    <col min="12326" max="12326" width="9" style="178"/>
    <col min="12327" max="12327" width="9" style="178"/>
    <col min="12328" max="12328" width="9" style="178"/>
    <col min="12329" max="12329" width="9" style="178"/>
    <col min="12330" max="12330" width="9" style="178"/>
    <col min="12331" max="12331" width="9" style="178"/>
    <col min="12332" max="12332" width="9" style="178"/>
    <col min="12333" max="12333" width="9" style="178"/>
    <col min="12334" max="12334" width="9" style="178"/>
    <col min="12335" max="12335" width="9" style="178"/>
    <col min="12336" max="12336" width="9" style="178"/>
    <col min="12337" max="12337" width="9" style="178"/>
    <col min="12338" max="12338" width="9" style="178"/>
    <col min="12339" max="12339" width="9" style="178"/>
    <col min="12340" max="12340" width="9" style="178"/>
    <col min="12341" max="12341" width="9" style="178"/>
    <col min="12342" max="12342" width="9" style="178"/>
    <col min="12343" max="12343" width="9" style="178"/>
    <col min="12344" max="12344" width="9" style="178"/>
    <col min="12345" max="12345" width="9" style="178"/>
    <col min="12346" max="12346" width="9" style="178"/>
    <col min="12347" max="12347" width="9" style="178"/>
    <col min="12348" max="12348" width="9" style="178"/>
    <col min="12349" max="12349" width="9" style="178"/>
    <col min="12350" max="12350" width="9" style="178"/>
    <col min="12351" max="12351" width="9" style="178"/>
    <col min="12352" max="12352" width="9" style="178"/>
    <col min="12353" max="12353" width="9" style="178"/>
    <col min="12354" max="12354" width="9" style="178"/>
    <col min="12355" max="12355" width="9" style="178"/>
    <col min="12356" max="12356" width="9" style="178"/>
    <col min="12357" max="12357" width="9" style="178"/>
    <col min="12358" max="12358" width="9" style="178"/>
    <col min="12359" max="12359" width="9" style="178"/>
    <col min="12360" max="12360" width="9" style="178"/>
    <col min="12361" max="12361" width="9" style="178"/>
    <col min="12362" max="12362" width="9" style="178"/>
    <col min="12363" max="12363" width="9" style="178"/>
    <col min="12364" max="12364" width="9" style="178"/>
    <col min="12365" max="12365" width="9" style="178"/>
    <col min="12366" max="12366" width="9" style="178"/>
    <col min="12367" max="12367" width="9" style="178"/>
    <col min="12368" max="12368" width="9" style="178"/>
    <col min="12369" max="12369" width="9" style="178"/>
    <col min="12370" max="12370" width="9" style="178"/>
    <col min="12371" max="12371" width="9" style="178"/>
    <col min="12372" max="12372" width="9" style="178"/>
    <col min="12373" max="12373" width="9" style="178"/>
    <col min="12374" max="12374" width="9" style="178"/>
    <col min="12375" max="12375" width="9" style="178"/>
    <col min="12376" max="12376" width="9" style="178"/>
    <col min="12377" max="12377" width="9" style="178"/>
    <col min="12378" max="12378" width="9" style="178"/>
    <col min="12379" max="12379" width="9" style="178"/>
    <col min="12380" max="12380" width="9" style="178"/>
    <col min="12381" max="12381" width="9" style="178"/>
    <col min="12382" max="12382" width="9" style="178"/>
    <col min="12383" max="12383" width="9" style="178"/>
    <col min="12384" max="12384" width="9" style="178"/>
    <col min="12385" max="12385" width="9" style="178"/>
    <col min="12386" max="12386" width="9" style="178"/>
    <col min="12387" max="12387" width="9" style="178"/>
    <col min="12388" max="12388" width="9" style="178"/>
    <col min="12389" max="12389" width="9" style="178"/>
    <col min="12390" max="12390" width="9" style="178"/>
    <col min="12391" max="12391" width="9" style="178"/>
    <col min="12392" max="12392" width="9" style="178"/>
    <col min="12393" max="12393" width="9" style="178"/>
    <col min="12394" max="12394" width="9" style="178"/>
    <col min="12395" max="12395" width="9" style="178"/>
    <col min="12396" max="12396" width="9" style="178"/>
    <col min="12397" max="12397" width="9" style="178"/>
    <col min="12398" max="12398" width="9" style="178"/>
    <col min="12399" max="12399" width="9" style="178"/>
    <col min="12400" max="12400" width="9" style="178"/>
    <col min="12401" max="12401" width="9" style="178"/>
    <col min="12402" max="12402" width="9" style="178"/>
    <col min="12403" max="12403" width="9" style="178"/>
    <col min="12404" max="12404" width="9" style="178"/>
    <col min="12405" max="12405" width="9" style="178"/>
    <col min="12406" max="12406" width="9" style="178"/>
    <col min="12407" max="12407" width="9" style="178"/>
    <col min="12408" max="12408" width="9" style="178"/>
    <col min="12409" max="12409" width="9" style="178"/>
    <col min="12410" max="12410" width="9" style="178"/>
    <col min="12411" max="12411" width="9" style="178"/>
    <col min="12412" max="12412" width="9" style="178"/>
    <col min="12413" max="12413" width="9" style="178"/>
    <col min="12414" max="12414" width="9" style="178"/>
    <col min="12415" max="12415" width="9" style="178"/>
    <col min="12416" max="12416" width="9" style="178"/>
    <col min="12417" max="12417" width="9" style="178"/>
    <col min="12418" max="12418" width="9" style="178"/>
    <col min="12419" max="12419" width="9" style="178"/>
    <col min="12420" max="12420" width="9" style="178"/>
    <col min="12421" max="12421" width="9" style="178"/>
    <col min="12422" max="12422" width="9" style="178"/>
    <col min="12423" max="12423" width="9" style="178"/>
    <col min="12424" max="12424" width="9" style="178"/>
    <col min="12425" max="12425" width="9" style="178"/>
    <col min="12426" max="12426" width="9" style="178"/>
    <col min="12427" max="12427" width="9" style="178"/>
    <col min="12428" max="12428" width="9" style="178"/>
    <col min="12429" max="12429" width="9" style="178"/>
    <col min="12430" max="12430" width="9" style="178"/>
    <col min="12431" max="12431" width="9" style="178"/>
    <col min="12432" max="12432" width="9" style="178"/>
    <col min="12433" max="12433" width="9" style="178"/>
    <col min="12434" max="12434" width="9" style="178"/>
    <col min="12435" max="12435" width="9" style="178"/>
    <col min="12436" max="12436" width="9" style="178"/>
    <col min="12437" max="12437" width="9" style="178"/>
    <col min="12438" max="12438" width="9" style="178"/>
    <col min="12439" max="12439" width="9" style="178"/>
    <col min="12440" max="12440" width="9" style="178"/>
    <col min="12441" max="12441" width="9" style="178"/>
    <col min="12442" max="12442" width="9" style="178"/>
    <col min="12443" max="12443" width="9" style="178"/>
    <col min="12444" max="12444" width="9" style="178"/>
    <col min="12445" max="12445" width="9" style="178"/>
    <col min="12446" max="12446" width="9" style="178"/>
    <col min="12447" max="12447" width="9" style="178"/>
    <col min="12448" max="12448" width="9" style="178"/>
    <col min="12449" max="12449" width="9" style="178"/>
    <col min="12450" max="12450" width="9" style="178"/>
    <col min="12451" max="12451" width="9" style="178"/>
    <col min="12452" max="12452" width="9" style="178"/>
    <col min="12453" max="12453" width="9" style="178"/>
    <col min="12454" max="12454" width="9" style="178"/>
    <col min="12455" max="12455" width="9" style="178"/>
    <col min="12456" max="12456" width="9" style="178"/>
    <col min="12457" max="12457" width="9" style="178"/>
    <col min="12458" max="12458" width="9" style="178"/>
    <col min="12459" max="12459" width="9" style="178"/>
    <col min="12460" max="12460" width="9" style="178"/>
    <col min="12461" max="12461" width="9" style="178"/>
    <col min="12462" max="12462" width="9" style="178"/>
    <col min="12463" max="12463" width="9" style="178"/>
    <col min="12464" max="12464" width="9" style="178"/>
    <col min="12465" max="12465" width="9" style="178"/>
    <col min="12466" max="12466" width="9" style="178"/>
    <col min="12467" max="12467" width="9" style="178"/>
    <col min="12468" max="12468" width="9" style="178"/>
    <col min="12469" max="12469" width="9" style="178"/>
    <col min="12470" max="12470" width="9" style="178"/>
    <col min="12471" max="12471" width="9" style="178"/>
    <col min="12472" max="12472" width="9" style="178"/>
    <col min="12473" max="12473" width="9" style="178"/>
    <col min="12474" max="12474" width="9" style="178"/>
    <col min="12475" max="12475" width="9" style="178"/>
    <col min="12476" max="12476" width="9" style="178"/>
    <col min="12477" max="12477" width="9" style="178"/>
    <col min="12478" max="12478" width="9" style="178"/>
    <col min="12479" max="12479" width="9" style="178"/>
    <col min="12480" max="12480" width="9" style="178"/>
    <col min="12481" max="12481" width="9" style="178"/>
    <col min="12482" max="12482" width="9" style="178"/>
    <col min="12483" max="12483" width="9" style="178"/>
    <col min="12484" max="12484" width="9" style="178"/>
    <col min="12485" max="12485" width="9" style="178"/>
    <col min="12486" max="12486" width="9" style="178"/>
    <col min="12487" max="12487" width="9" style="178"/>
    <col min="12488" max="12488" width="9" style="178"/>
    <col min="12489" max="12489" width="9" style="178"/>
    <col min="12490" max="12490" width="9" style="178"/>
    <col min="12491" max="12491" width="9" style="178"/>
    <col min="12492" max="12492" width="9" style="178"/>
    <col min="12493" max="12493" width="9" style="178"/>
    <col min="12494" max="12494" width="9" style="178"/>
    <col min="12495" max="12495" width="9" style="178"/>
    <col min="12496" max="12496" width="9" style="178"/>
    <col min="12497" max="12497" width="9" style="178"/>
    <col min="12498" max="12498" width="9" style="178"/>
    <col min="12499" max="12499" width="9" style="178"/>
    <col min="12500" max="12500" width="9" style="178"/>
    <col min="12501" max="12501" width="9" style="178"/>
    <col min="12502" max="12502" width="9" style="178"/>
    <col min="12503" max="12503" width="9" style="178"/>
    <col min="12504" max="12504" width="9" style="178"/>
    <col min="12505" max="12505" width="9" style="178"/>
    <col min="12506" max="12506" width="9" style="178"/>
    <col min="12507" max="12507" width="9" style="178"/>
    <col min="12508" max="12508" width="9" style="178"/>
    <col min="12509" max="12509" width="9" style="178"/>
    <col min="12510" max="12510" width="9" style="178"/>
    <col min="12511" max="12511" width="9" style="178"/>
    <col min="12512" max="12512" width="9" style="178"/>
    <col min="12513" max="12513" width="9" style="178"/>
    <col min="12514" max="12514" width="9" style="178"/>
    <col min="12515" max="12515" width="9" style="178"/>
    <col min="12516" max="12516" width="9" style="178"/>
    <col min="12517" max="12517" width="9" style="178"/>
    <col min="12518" max="12518" width="9" style="178"/>
    <col min="12519" max="12519" width="9" style="178"/>
    <col min="12520" max="12520" width="9" style="178"/>
    <col min="12521" max="12521" width="9" style="178"/>
    <col min="12522" max="12522" width="9" style="178"/>
    <col min="12523" max="12523" width="9" style="178"/>
    <col min="12524" max="12524" width="9" style="178"/>
    <col min="12525" max="12525" width="9" style="178"/>
    <col min="12526" max="12526" width="9" style="178"/>
    <col min="12527" max="12527" width="9" style="178"/>
    <col min="12528" max="12528" width="9" style="178"/>
    <col min="12529" max="12529" width="9" style="178"/>
    <col min="12530" max="12530" width="9" style="178"/>
    <col min="12531" max="12531" width="9" style="178"/>
    <col min="12532" max="12532" width="9" style="178"/>
    <col min="12533" max="12533" width="9" style="178"/>
    <col min="12534" max="12534" width="9" style="178"/>
    <col min="12535" max="12535" width="9" style="178"/>
    <col min="12536" max="12536" width="9" style="178"/>
    <col min="12537" max="12537" width="9" style="178"/>
    <col min="12538" max="12538" width="9" style="178"/>
    <col min="12539" max="12539" width="9" style="178"/>
    <col min="12540" max="12540" width="9" style="178"/>
    <col min="12541" max="12541" width="9" style="178"/>
    <col min="12542" max="12542" width="9" style="178"/>
    <col min="12543" max="12543" width="9" style="178"/>
    <col min="12544" max="12544" width="9" style="178"/>
    <col min="12545" max="12545" width="9" style="178"/>
    <col min="12546" max="12546" width="9" style="178"/>
    <col min="12547" max="12547" width="9" style="178"/>
    <col min="12548" max="12548" width="9" style="178"/>
    <col min="12549" max="12549" width="9" style="178"/>
    <col min="12550" max="12550" width="9" style="178"/>
    <col min="12551" max="12551" width="9" style="178"/>
    <col min="12552" max="12552" width="9" style="178"/>
    <col min="12553" max="12553" width="9" style="178"/>
    <col min="12554" max="12554" width="9" style="178"/>
    <col min="12555" max="12555" width="9" style="178"/>
    <col min="12556" max="12556" width="9" style="178"/>
    <col min="12557" max="12557" width="9" style="178"/>
    <col min="12558" max="12558" width="9" style="178"/>
    <col min="12559" max="12559" width="9" style="178"/>
    <col min="12560" max="12560" width="9" style="178"/>
    <col min="12561" max="12561" width="9" style="178"/>
    <col min="12562" max="12562" width="9" style="178"/>
    <col min="12563" max="12563" width="9" style="178"/>
    <col min="12564" max="12564" width="9" style="178"/>
    <col min="12565" max="12565" width="9" style="178"/>
    <col min="12566" max="12566" width="9" style="178"/>
    <col min="12567" max="12567" width="9" style="178"/>
    <col min="12568" max="12568" width="9" style="178"/>
    <col min="12569" max="12569" width="9" style="178"/>
    <col min="12570" max="12570" width="9" style="178"/>
    <col min="12571" max="12571" width="9" style="178"/>
    <col min="12572" max="12572" width="9" style="178"/>
    <col min="12573" max="12573" width="9" style="178"/>
    <col min="12574" max="12574" width="9" style="178"/>
    <col min="12575" max="12575" width="9" style="178"/>
    <col min="12576" max="12576" width="9" style="178"/>
    <col min="12577" max="12577" width="9" style="178"/>
    <col min="12578" max="12578" width="9" style="178"/>
    <col min="12579" max="12579" width="9" style="178"/>
    <col min="12580" max="12580" width="9" style="178"/>
    <col min="12581" max="12581" width="9" style="178"/>
    <col min="12582" max="12582" width="9" style="178"/>
    <col min="12583" max="12583" width="9" style="178"/>
    <col min="12584" max="12584" width="9" style="178"/>
    <col min="12585" max="12585" width="9" style="178"/>
    <col min="12586" max="12586" width="9" style="178"/>
    <col min="12587" max="12587" width="9" style="178"/>
    <col min="12588" max="12588" width="9" style="178"/>
    <col min="12589" max="12589" width="9" style="178"/>
    <col min="12590" max="12590" width="9" style="178"/>
    <col min="12591" max="12591" width="9" style="178"/>
    <col min="12592" max="12592" width="9" style="178"/>
    <col min="12593" max="12593" width="9" style="178"/>
    <col min="12594" max="12594" width="9" style="178"/>
    <col min="12595" max="12595" width="9" style="178"/>
    <col min="12596" max="12596" width="9" style="178"/>
    <col min="12597" max="12597" width="9" style="178"/>
    <col min="12598" max="12598" width="9" style="178"/>
    <col min="12599" max="12599" width="9" style="178"/>
    <col min="12600" max="12600" width="9" style="178"/>
    <col min="12601" max="12601" width="9" style="178"/>
    <col min="12602" max="12602" width="9" style="178"/>
    <col min="12603" max="12603" width="9" style="178"/>
    <col min="12604" max="12604" width="9" style="178"/>
    <col min="12605" max="12605" width="9" style="178"/>
    <col min="12606" max="12606" width="9" style="178"/>
    <col min="12607" max="12607" width="9" style="178"/>
    <col min="12608" max="12608" width="9" style="178"/>
    <col min="12609" max="12609" width="9" style="178"/>
    <col min="12610" max="12610" width="9" style="178"/>
    <col min="12611" max="12611" width="9" style="178"/>
    <col min="12612" max="12612" width="9" style="178"/>
    <col min="12613" max="12613" width="9" style="178"/>
    <col min="12614" max="12614" width="9" style="178"/>
    <col min="12615" max="12615" width="9" style="178"/>
    <col min="12616" max="12616" width="9" style="178"/>
    <col min="12617" max="12617" width="9" style="178"/>
    <col min="12618" max="12618" width="9" style="178"/>
    <col min="12619" max="12619" width="9" style="178"/>
    <col min="12620" max="12620" width="9" style="178"/>
    <col min="12621" max="12621" width="9" style="178"/>
    <col min="12622" max="12622" width="9" style="178"/>
    <col min="12623" max="12623" width="9" style="178"/>
    <col min="12624" max="12624" width="9" style="178"/>
    <col min="12625" max="12625" width="9" style="178"/>
    <col min="12626" max="12626" width="9" style="178"/>
    <col min="12627" max="12627" width="9" style="178"/>
    <col min="12628" max="12628" width="9" style="178"/>
    <col min="12629" max="12629" width="9" style="178"/>
    <col min="12630" max="12630" width="9" style="178"/>
    <col min="12631" max="12631" width="9" style="178"/>
    <col min="12632" max="12632" width="9" style="178"/>
    <col min="12633" max="12633" width="9" style="178"/>
    <col min="12634" max="12634" width="9" style="178"/>
    <col min="12635" max="12635" width="9" style="178"/>
    <col min="12636" max="12636" width="9" style="178"/>
    <col min="12637" max="12637" width="9" style="178"/>
    <col min="12638" max="12638" width="9" style="178"/>
    <col min="12639" max="12639" width="9" style="178"/>
    <col min="12640" max="12640" width="9" style="178"/>
    <col min="12641" max="12641" width="9" style="178"/>
    <col min="12642" max="12642" width="9" style="178"/>
    <col min="12643" max="12643" width="9" style="178"/>
    <col min="12644" max="12644" width="9" style="178"/>
    <col min="12645" max="12645" width="9" style="178"/>
    <col min="12646" max="12646" width="9" style="178"/>
    <col min="12647" max="12647" width="9" style="178"/>
    <col min="12648" max="12648" width="9" style="178"/>
    <col min="12649" max="12649" width="9" style="178"/>
    <col min="12650" max="12650" width="9" style="178"/>
    <col min="12651" max="12651" width="9" style="178"/>
    <col min="12652" max="12652" width="9" style="178"/>
    <col min="12653" max="12653" width="9" style="178"/>
    <col min="12654" max="12654" width="9" style="178"/>
    <col min="12655" max="12655" width="9" style="178"/>
    <col min="12656" max="12656" width="9" style="178"/>
    <col min="12657" max="12657" width="9" style="178"/>
    <col min="12658" max="12658" width="9" style="178"/>
    <col min="12659" max="12659" width="9" style="178"/>
    <col min="12660" max="12660" width="9" style="178"/>
    <col min="12661" max="12661" width="9" style="178"/>
    <col min="12662" max="12662" width="9" style="178"/>
    <col min="12663" max="12663" width="9" style="178"/>
    <col min="12664" max="12664" width="9" style="178"/>
    <col min="12665" max="12665" width="9" style="178"/>
    <col min="12666" max="12666" width="9" style="178"/>
    <col min="12667" max="12667" width="9" style="178"/>
    <col min="12668" max="12668" width="9" style="178"/>
    <col min="12669" max="12669" width="9" style="178"/>
    <col min="12670" max="12670" width="9" style="178"/>
    <col min="12671" max="12671" width="9" style="178"/>
    <col min="12672" max="12672" width="9" style="178"/>
    <col min="12673" max="12673" width="9" style="178"/>
    <col min="12674" max="12674" width="9" style="178"/>
    <col min="12675" max="12675" width="9" style="178"/>
    <col min="12676" max="12676" width="9" style="178"/>
    <col min="12677" max="12677" width="9" style="178"/>
    <col min="12678" max="12678" width="9" style="178"/>
    <col min="12679" max="12679" width="9" style="178"/>
    <col min="12680" max="12680" width="9" style="178"/>
    <col min="12681" max="12681" width="9" style="178"/>
    <col min="12682" max="12682" width="9" style="178"/>
    <col min="12683" max="12683" width="9" style="178"/>
    <col min="12684" max="12684" width="9" style="178"/>
    <col min="12685" max="12685" width="9" style="178"/>
    <col min="12686" max="12686" width="9" style="178"/>
    <col min="12687" max="12687" width="9" style="178"/>
    <col min="12688" max="12688" width="9" style="178"/>
    <col min="12689" max="12689" width="9" style="178"/>
    <col min="12690" max="12690" width="9" style="178"/>
    <col min="12691" max="12691" width="9" style="178"/>
    <col min="12692" max="12692" width="9" style="178"/>
    <col min="12693" max="12693" width="9" style="178"/>
    <col min="12694" max="12694" width="9" style="178"/>
    <col min="12695" max="12695" width="9" style="178"/>
    <col min="12696" max="12696" width="9" style="178"/>
    <col min="12697" max="12697" width="9" style="178"/>
    <col min="12698" max="12698" width="9" style="178"/>
    <col min="12699" max="12699" width="9" style="178"/>
    <col min="12700" max="12700" width="9" style="178"/>
    <col min="12701" max="12701" width="9" style="178"/>
    <col min="12702" max="12702" width="9" style="178"/>
    <col min="12703" max="12703" width="9" style="178"/>
    <col min="12704" max="12704" width="9" style="178"/>
    <col min="12705" max="12705" width="9" style="178"/>
    <col min="12706" max="12706" width="9" style="178"/>
    <col min="12707" max="12707" width="9" style="178"/>
    <col min="12708" max="12708" width="9" style="178"/>
    <col min="12709" max="12709" width="9" style="178"/>
    <col min="12710" max="12710" width="9" style="178"/>
    <col min="12711" max="12711" width="9" style="178"/>
    <col min="12712" max="12712" width="9" style="178"/>
    <col min="12713" max="12713" width="9" style="178"/>
    <col min="12714" max="12714" width="9" style="178"/>
    <col min="12715" max="12715" width="9" style="178"/>
    <col min="12716" max="12716" width="9" style="178"/>
    <col min="12717" max="12717" width="9" style="178"/>
    <col min="12718" max="12718" width="9" style="178"/>
    <col min="12719" max="12719" width="9" style="178"/>
    <col min="12720" max="12720" width="9" style="178"/>
    <col min="12721" max="12721" width="9" style="178"/>
    <col min="12722" max="12722" width="9" style="178"/>
    <col min="12723" max="12723" width="9" style="178"/>
    <col min="12724" max="12724" width="9" style="178"/>
    <col min="12725" max="12725" width="9" style="178"/>
    <col min="12726" max="12726" width="9" style="178"/>
    <col min="12727" max="12727" width="9" style="178"/>
    <col min="12728" max="12728" width="9" style="178"/>
    <col min="12729" max="12729" width="9" style="178"/>
    <col min="12730" max="12730" width="9" style="178"/>
    <col min="12731" max="12731" width="9" style="178"/>
    <col min="12732" max="12732" width="9" style="178"/>
    <col min="12733" max="12733" width="9" style="178"/>
    <col min="12734" max="12734" width="9" style="178"/>
    <col min="12735" max="12735" width="9" style="178"/>
    <col min="12736" max="12736" width="9" style="178"/>
    <col min="12737" max="12737" width="9" style="178"/>
    <col min="12738" max="12738" width="9" style="178"/>
    <col min="12739" max="12739" width="9" style="178"/>
    <col min="12740" max="12740" width="9" style="178"/>
    <col min="12741" max="12741" width="9" style="178"/>
    <col min="12742" max="12742" width="9" style="178"/>
    <col min="12743" max="12743" width="9" style="178"/>
    <col min="12744" max="12744" width="9" style="178"/>
    <col min="12745" max="12745" width="9" style="178"/>
    <col min="12746" max="12746" width="9" style="178"/>
    <col min="12747" max="12747" width="9" style="178"/>
    <col min="12748" max="12748" width="9" style="178"/>
    <col min="12749" max="12749" width="9" style="178"/>
    <col min="12750" max="12750" width="9" style="178"/>
    <col min="12751" max="12751" width="9" style="178"/>
    <col min="12752" max="12752" width="9" style="178"/>
    <col min="12753" max="12753" width="9" style="178"/>
    <col min="12754" max="12754" width="9" style="178"/>
    <col min="12755" max="12755" width="9" style="178"/>
    <col min="12756" max="12756" width="9" style="178"/>
    <col min="12757" max="12757" width="9" style="178"/>
    <col min="12758" max="12758" width="9" style="178"/>
    <col min="12759" max="12759" width="9" style="178"/>
    <col min="12760" max="12760" width="9" style="178"/>
    <col min="12761" max="12761" width="9" style="178"/>
    <col min="12762" max="12762" width="9" style="178"/>
    <col min="12763" max="12763" width="9" style="178"/>
    <col min="12764" max="12764" width="9" style="178"/>
    <col min="12765" max="12765" width="9" style="178"/>
    <col min="12766" max="12766" width="9" style="178"/>
    <col min="12767" max="12767" width="9" style="178"/>
    <col min="12768" max="12768" width="9" style="178"/>
    <col min="12769" max="12769" width="9" style="178"/>
    <col min="12770" max="12770" width="9" style="178"/>
    <col min="12771" max="12771" width="9" style="178"/>
    <col min="12772" max="12772" width="9" style="178"/>
    <col min="12773" max="12773" width="9" style="178"/>
    <col min="12774" max="12774" width="9" style="178"/>
    <col min="12775" max="12775" width="9" style="178"/>
    <col min="12776" max="12776" width="9" style="178"/>
    <col min="12777" max="12777" width="9" style="178"/>
    <col min="12778" max="12778" width="9" style="178"/>
    <col min="12779" max="12779" width="9" style="178"/>
    <col min="12780" max="12780" width="9" style="178"/>
    <col min="12781" max="12781" width="9" style="178"/>
    <col min="12782" max="12782" width="9" style="178"/>
    <col min="12783" max="12783" width="9" style="178"/>
    <col min="12784" max="12784" width="9" style="178"/>
    <col min="12785" max="12785" width="9" style="178"/>
    <col min="12786" max="12786" width="9" style="178"/>
    <col min="12787" max="12787" width="9" style="178"/>
    <col min="12788" max="12788" width="9" style="178"/>
    <col min="12789" max="12789" width="9" style="178"/>
    <col min="12790" max="12790" width="9" style="178"/>
    <col min="12791" max="12791" width="9" style="178"/>
    <col min="12792" max="12792" width="9" style="178"/>
    <col min="12793" max="12793" width="9" style="178"/>
    <col min="12794" max="12794" width="9" style="178"/>
    <col min="12795" max="12795" width="9" style="178"/>
    <col min="12796" max="12796" width="9" style="178"/>
    <col min="12797" max="12797" width="9" style="178"/>
    <col min="12798" max="12798" width="9" style="178"/>
    <col min="12799" max="12799" width="9" style="178"/>
    <col min="12800" max="12800" width="9" style="178"/>
    <col min="12801" max="12801" width="9" style="178"/>
    <col min="12802" max="12802" width="9" style="178"/>
    <col min="12803" max="12803" width="9" style="178"/>
    <col min="12804" max="12804" width="9" style="178"/>
    <col min="12805" max="12805" width="9" style="178"/>
    <col min="12806" max="12806" width="9" style="178"/>
    <col min="12807" max="12807" width="9" style="178"/>
    <col min="12808" max="12808" width="9" style="178"/>
    <col min="12809" max="12809" width="9" style="178"/>
    <col min="12810" max="12810" width="9" style="178"/>
    <col min="12811" max="12811" width="9" style="178"/>
    <col min="12812" max="12812" width="9" style="178"/>
    <col min="12813" max="12813" width="9" style="178"/>
    <col min="12814" max="12814" width="9" style="178"/>
    <col min="12815" max="12815" width="9" style="178"/>
    <col min="12816" max="12816" width="9" style="178"/>
    <col min="12817" max="12817" width="9" style="178"/>
    <col min="12818" max="12818" width="9" style="178"/>
    <col min="12819" max="12819" width="9" style="178"/>
    <col min="12820" max="12820" width="9" style="178"/>
    <col min="12821" max="12821" width="9" style="178"/>
    <col min="12822" max="12822" width="9" style="178"/>
    <col min="12823" max="12823" width="9" style="178"/>
    <col min="12824" max="12824" width="9" style="178"/>
    <col min="12825" max="12825" width="9" style="178"/>
    <col min="12826" max="12826" width="9" style="178"/>
    <col min="12827" max="12827" width="9" style="178"/>
    <col min="12828" max="12828" width="9" style="178"/>
    <col min="12829" max="12829" width="9" style="178"/>
    <col min="12830" max="12830" width="9" style="178"/>
    <col min="12831" max="12831" width="9" style="178"/>
    <col min="12832" max="12832" width="9" style="178"/>
    <col min="12833" max="12833" width="9" style="178"/>
    <col min="12834" max="12834" width="9" style="178"/>
    <col min="12835" max="12835" width="9" style="178"/>
    <col min="12836" max="12836" width="9" style="178"/>
    <col min="12837" max="12837" width="9" style="178"/>
    <col min="12838" max="12838" width="9" style="178"/>
    <col min="12839" max="12839" width="9" style="178"/>
    <col min="12840" max="12840" width="9" style="178"/>
    <col min="12841" max="12841" width="9" style="178"/>
    <col min="12842" max="12842" width="9" style="178"/>
    <col min="12843" max="12843" width="9" style="178"/>
    <col min="12844" max="12844" width="9" style="178"/>
    <col min="12845" max="12845" width="9" style="178"/>
    <col min="12846" max="12846" width="9" style="178"/>
    <col min="12847" max="12847" width="9" style="178"/>
    <col min="12848" max="12848" width="9" style="178"/>
    <col min="12849" max="12849" width="9" style="178"/>
    <col min="12850" max="12850" width="9" style="178"/>
    <col min="12851" max="12851" width="9" style="178"/>
    <col min="12852" max="12852" width="9" style="178"/>
    <col min="12853" max="12853" width="9" style="178"/>
    <col min="12854" max="12854" width="9" style="178"/>
    <col min="12855" max="12855" width="9" style="178"/>
    <col min="12856" max="12856" width="9" style="178"/>
    <col min="12857" max="12857" width="9" style="178"/>
    <col min="12858" max="12858" width="9" style="178"/>
    <col min="12859" max="12859" width="9" style="178"/>
    <col min="12860" max="12860" width="9" style="178"/>
    <col min="12861" max="12861" width="9" style="178"/>
    <col min="12862" max="12862" width="9" style="178"/>
    <col min="12863" max="12863" width="9" style="178"/>
    <col min="12864" max="12864" width="9" style="178"/>
    <col min="12865" max="12865" width="9" style="178"/>
    <col min="12866" max="12866" width="9" style="178"/>
    <col min="12867" max="12867" width="9" style="178"/>
    <col min="12868" max="12868" width="9" style="178"/>
    <col min="12869" max="12869" width="9" style="178"/>
    <col min="12870" max="12870" width="9" style="178"/>
    <col min="12871" max="12871" width="9" style="178"/>
    <col min="12872" max="12872" width="9" style="178"/>
    <col min="12873" max="12873" width="9" style="178"/>
    <col min="12874" max="12874" width="9" style="178"/>
    <col min="12875" max="12875" width="9" style="178"/>
    <col min="12876" max="12876" width="9" style="178"/>
    <col min="12877" max="12877" width="9" style="178"/>
    <col min="12878" max="12878" width="9" style="178"/>
    <col min="12879" max="12879" width="9" style="178"/>
    <col min="12880" max="12880" width="9" style="178"/>
    <col min="12881" max="12881" width="9" style="178"/>
    <col min="12882" max="12882" width="9" style="178"/>
    <col min="12883" max="12883" width="9" style="178"/>
    <col min="12884" max="12884" width="9" style="178"/>
    <col min="12885" max="12885" width="9" style="178"/>
    <col min="12886" max="12886" width="9" style="178"/>
    <col min="12887" max="12887" width="9" style="178"/>
    <col min="12888" max="12888" width="9" style="178"/>
    <col min="12889" max="12889" width="9" style="178"/>
    <col min="12890" max="12890" width="9" style="178"/>
    <col min="12891" max="12891" width="9" style="178"/>
    <col min="12892" max="12892" width="9" style="178"/>
    <col min="12893" max="12893" width="9" style="178"/>
    <col min="12894" max="12894" width="9" style="178"/>
    <col min="12895" max="12895" width="9" style="178"/>
    <col min="12896" max="12896" width="9" style="178"/>
    <col min="12897" max="12897" width="9" style="178"/>
    <col min="12898" max="12898" width="9" style="178"/>
    <col min="12899" max="12899" width="9" style="178"/>
    <col min="12900" max="12900" width="9" style="178"/>
    <col min="12901" max="12901" width="9" style="178"/>
    <col min="12902" max="12902" width="9" style="178"/>
    <col min="12903" max="12903" width="9" style="178"/>
    <col min="12904" max="12904" width="9" style="178"/>
    <col min="12905" max="12905" width="9" style="178"/>
    <col min="12906" max="12906" width="9" style="178"/>
    <col min="12907" max="12907" width="9" style="178"/>
    <col min="12908" max="12908" width="9" style="178"/>
    <col min="12909" max="12909" width="9" style="178"/>
    <col min="12910" max="12910" width="9" style="178"/>
    <col min="12911" max="12911" width="9" style="178"/>
    <col min="12912" max="12912" width="9" style="178"/>
    <col min="12913" max="12913" width="9" style="178"/>
    <col min="12914" max="12914" width="9" style="178"/>
    <col min="12915" max="12915" width="9" style="178"/>
    <col min="12916" max="12916" width="9" style="178"/>
    <col min="12917" max="12917" width="9" style="178"/>
    <col min="12918" max="12918" width="9" style="178"/>
    <col min="12919" max="12919" width="9" style="178"/>
    <col min="12920" max="12920" width="9" style="178"/>
    <col min="12921" max="12921" width="9" style="178"/>
    <col min="12922" max="12922" width="9" style="178"/>
    <col min="12923" max="12923" width="9" style="178"/>
    <col min="12924" max="12924" width="9" style="178"/>
    <col min="12925" max="12925" width="9" style="178"/>
    <col min="12926" max="12926" width="9" style="178"/>
    <col min="12927" max="12927" width="9" style="178"/>
    <col min="12928" max="12928" width="9" style="178"/>
    <col min="12929" max="12929" width="9" style="178"/>
    <col min="12930" max="12930" width="9" style="178"/>
    <col min="12931" max="12931" width="9" style="178"/>
    <col min="12932" max="12932" width="9" style="178"/>
    <col min="12933" max="12933" width="9" style="178"/>
    <col min="12934" max="12934" width="9" style="178"/>
    <col min="12935" max="12935" width="9" style="178"/>
    <col min="12936" max="12936" width="9" style="178"/>
    <col min="12937" max="12937" width="9" style="178"/>
    <col min="12938" max="12938" width="9" style="178"/>
    <col min="12939" max="12939" width="9" style="178"/>
    <col min="12940" max="12940" width="9" style="178"/>
    <col min="12941" max="12941" width="9" style="178"/>
    <col min="12942" max="12942" width="9" style="178"/>
    <col min="12943" max="12943" width="9" style="178"/>
    <col min="12944" max="12944" width="9" style="178"/>
    <col min="12945" max="12945" width="9" style="178"/>
    <col min="12946" max="12946" width="9" style="178"/>
    <col min="12947" max="12947" width="9" style="178"/>
    <col min="12948" max="12948" width="9" style="178"/>
    <col min="12949" max="12949" width="9" style="178"/>
    <col min="12950" max="12950" width="9" style="178"/>
    <col min="12951" max="12951" width="9" style="178"/>
    <col min="12952" max="12952" width="9" style="178"/>
    <col min="12953" max="12953" width="9" style="178"/>
    <col min="12954" max="12954" width="9" style="178"/>
    <col min="12955" max="12955" width="9" style="178"/>
    <col min="12956" max="12956" width="9" style="178"/>
    <col min="12957" max="12957" width="9" style="178"/>
    <col min="12958" max="12958" width="9" style="178"/>
    <col min="12959" max="12959" width="9" style="178"/>
    <col min="12960" max="12960" width="9" style="178"/>
    <col min="12961" max="12961" width="9" style="178"/>
    <col min="12962" max="12962" width="9" style="178"/>
    <col min="12963" max="12963" width="9" style="178"/>
    <col min="12964" max="12964" width="9" style="178"/>
    <col min="12965" max="12965" width="9" style="178"/>
    <col min="12966" max="12966" width="9" style="178"/>
    <col min="12967" max="12967" width="9" style="178"/>
    <col min="12968" max="12968" width="9" style="178"/>
    <col min="12969" max="12969" width="9" style="178"/>
    <col min="12970" max="12970" width="9" style="178"/>
    <col min="12971" max="12971" width="9" style="178"/>
    <col min="12972" max="12972" width="9" style="178"/>
    <col min="12973" max="12973" width="9" style="178"/>
    <col min="12974" max="12974" width="9" style="178"/>
    <col min="12975" max="12975" width="9" style="178"/>
    <col min="12976" max="12976" width="9" style="178"/>
    <col min="12977" max="12977" width="9" style="178"/>
    <col min="12978" max="12978" width="9" style="178"/>
    <col min="12979" max="12979" width="9" style="178"/>
    <col min="12980" max="12980" width="9" style="178"/>
    <col min="12981" max="12981" width="9" style="178"/>
    <col min="12982" max="12982" width="9" style="178"/>
    <col min="12983" max="12983" width="9" style="178"/>
    <col min="12984" max="12984" width="9" style="178"/>
    <col min="12985" max="12985" width="9" style="178"/>
    <col min="12986" max="12986" width="9" style="178"/>
    <col min="12987" max="12987" width="9" style="178"/>
    <col min="12988" max="12988" width="9" style="178"/>
    <col min="12989" max="12989" width="9" style="178"/>
    <col min="12990" max="12990" width="9" style="178"/>
    <col min="12991" max="12991" width="9" style="178"/>
    <col min="12992" max="12992" width="9" style="178"/>
    <col min="12993" max="12993" width="9" style="178"/>
    <col min="12994" max="12994" width="9" style="178"/>
    <col min="12995" max="12995" width="9" style="178"/>
    <col min="12996" max="12996" width="9" style="178"/>
    <col min="12997" max="12997" width="9" style="178"/>
    <col min="12998" max="12998" width="9" style="178"/>
    <col min="12999" max="12999" width="9" style="178"/>
    <col min="13000" max="13000" width="9" style="178"/>
    <col min="13001" max="13001" width="9" style="178"/>
    <col min="13002" max="13002" width="9" style="178"/>
    <col min="13003" max="13003" width="9" style="178"/>
    <col min="13004" max="13004" width="9" style="178"/>
    <col min="13005" max="13005" width="9" style="178"/>
    <col min="13006" max="13006" width="9" style="178"/>
    <col min="13007" max="13007" width="9" style="178"/>
    <col min="13008" max="13008" width="9" style="178"/>
    <col min="13009" max="13009" width="9" style="178"/>
    <col min="13010" max="13010" width="9" style="178"/>
    <col min="13011" max="13011" width="9" style="178"/>
    <col min="13012" max="13012" width="9" style="178"/>
    <col min="13013" max="13013" width="9" style="178"/>
    <col min="13014" max="13014" width="9" style="178"/>
    <col min="13015" max="13015" width="9" style="178"/>
    <col min="13016" max="13016" width="9" style="178"/>
    <col min="13017" max="13017" width="9" style="178"/>
    <col min="13018" max="13018" width="9" style="178"/>
    <col min="13019" max="13019" width="9" style="178"/>
    <col min="13020" max="13020" width="9" style="178"/>
    <col min="13021" max="13021" width="9" style="178"/>
    <col min="13022" max="13022" width="9" style="178"/>
    <col min="13023" max="13023" width="9" style="178"/>
    <col min="13024" max="13024" width="9" style="178"/>
    <col min="13025" max="13025" width="9" style="178"/>
    <col min="13026" max="13026" width="9" style="178"/>
    <col min="13027" max="13027" width="9" style="178"/>
    <col min="13028" max="13028" width="9" style="178"/>
    <col min="13029" max="13029" width="9" style="178"/>
    <col min="13030" max="13030" width="9" style="178"/>
    <col min="13031" max="13031" width="9" style="178"/>
    <col min="13032" max="13032" width="9" style="178"/>
    <col min="13033" max="13033" width="9" style="178"/>
    <col min="13034" max="13034" width="9" style="178"/>
    <col min="13035" max="13035" width="9" style="178"/>
    <col min="13036" max="13036" width="9" style="178"/>
    <col min="13037" max="13037" width="9" style="178"/>
    <col min="13038" max="13038" width="9" style="178"/>
    <col min="13039" max="13039" width="9" style="178"/>
    <col min="13040" max="13040" width="9" style="178"/>
    <col min="13041" max="13041" width="9" style="178"/>
    <col min="13042" max="13042" width="9" style="178"/>
    <col min="13043" max="13043" width="9" style="178"/>
    <col min="13044" max="13044" width="9" style="178"/>
    <col min="13045" max="13045" width="9" style="178"/>
    <col min="13046" max="13046" width="9" style="178"/>
    <col min="13047" max="13047" width="9" style="178"/>
    <col min="13048" max="13048" width="9" style="178"/>
    <col min="13049" max="13049" width="9" style="178"/>
    <col min="13050" max="13050" width="9" style="178"/>
    <col min="13051" max="13051" width="9" style="178"/>
    <col min="13052" max="13052" width="9" style="178"/>
    <col min="13053" max="13053" width="9" style="178"/>
    <col min="13054" max="13054" width="9" style="178"/>
    <col min="13055" max="13055" width="9" style="178"/>
    <col min="13056" max="13056" width="9" style="178"/>
    <col min="13057" max="13057" width="9" style="178"/>
    <col min="13058" max="13058" width="9" style="178"/>
    <col min="13059" max="13059" width="9" style="178"/>
    <col min="13060" max="13060" width="9" style="178"/>
    <col min="13061" max="13061" width="9" style="178"/>
    <col min="13062" max="13062" width="9" style="178"/>
    <col min="13063" max="13063" width="9" style="178"/>
    <col min="13064" max="13064" width="9" style="178"/>
    <col min="13065" max="13065" width="9" style="178"/>
    <col min="13066" max="13066" width="9" style="178"/>
    <col min="13067" max="13067" width="9" style="178"/>
    <col min="13068" max="13068" width="9" style="178"/>
    <col min="13069" max="13069" width="9" style="178"/>
    <col min="13070" max="13070" width="9" style="178"/>
    <col min="13071" max="13071" width="9" style="178"/>
    <col min="13072" max="13072" width="9" style="178"/>
    <col min="13073" max="13073" width="9" style="178"/>
    <col min="13074" max="13074" width="9" style="178"/>
    <col min="13075" max="13075" width="9" style="178"/>
    <col min="13076" max="13076" width="9" style="178"/>
    <col min="13077" max="13077" width="9" style="178"/>
    <col min="13078" max="13078" width="9" style="178"/>
    <col min="13079" max="13079" width="9" style="178"/>
    <col min="13080" max="13080" width="9" style="178"/>
    <col min="13081" max="13081" width="9" style="178"/>
    <col min="13082" max="13082" width="9" style="178"/>
    <col min="13083" max="13083" width="9" style="178"/>
    <col min="13084" max="13084" width="9" style="178"/>
    <col min="13085" max="13085" width="9" style="178"/>
    <col min="13086" max="13086" width="9" style="178"/>
    <col min="13087" max="13087" width="9" style="178"/>
    <col min="13088" max="13088" width="9" style="178"/>
    <col min="13089" max="13089" width="9" style="178"/>
    <col min="13090" max="13090" width="9" style="178"/>
    <col min="13091" max="13091" width="9" style="178"/>
    <col min="13092" max="13092" width="9" style="178"/>
    <col min="13093" max="13093" width="9" style="178"/>
    <col min="13094" max="13094" width="9" style="178"/>
    <col min="13095" max="13095" width="9" style="178"/>
    <col min="13096" max="13096" width="9" style="178"/>
    <col min="13097" max="13097" width="9" style="178"/>
    <col min="13098" max="13098" width="9" style="178"/>
    <col min="13099" max="13099" width="9" style="178"/>
    <col min="13100" max="13100" width="9" style="178"/>
    <col min="13101" max="13101" width="9" style="178"/>
    <col min="13102" max="13102" width="9" style="178"/>
    <col min="13103" max="13103" width="9" style="178"/>
    <col min="13104" max="13104" width="9" style="178"/>
    <col min="13105" max="13105" width="9" style="178"/>
    <col min="13106" max="13106" width="9" style="178"/>
    <col min="13107" max="13107" width="9" style="178"/>
    <col min="13108" max="13108" width="9" style="178"/>
    <col min="13109" max="13109" width="9" style="178"/>
    <col min="13110" max="13110" width="9" style="178"/>
    <col min="13111" max="13111" width="9" style="178"/>
    <col min="13112" max="13112" width="9" style="178"/>
    <col min="13113" max="13113" width="9" style="178"/>
    <col min="13114" max="13114" width="9" style="178"/>
    <col min="13115" max="13115" width="9" style="178"/>
    <col min="13116" max="13116" width="9" style="178"/>
    <col min="13117" max="13117" width="9" style="178"/>
    <col min="13118" max="13118" width="9" style="178"/>
    <col min="13119" max="13119" width="9" style="178"/>
    <col min="13120" max="13120" width="9" style="178"/>
    <col min="13121" max="13121" width="9" style="178"/>
    <col min="13122" max="13122" width="9" style="178"/>
    <col min="13123" max="13123" width="9" style="178"/>
    <col min="13124" max="13124" width="9" style="178"/>
    <col min="13125" max="13125" width="9" style="178"/>
    <col min="13126" max="13126" width="9" style="178"/>
    <col min="13127" max="13127" width="9" style="178"/>
    <col min="13128" max="13128" width="9" style="178"/>
    <col min="13129" max="13129" width="9" style="178"/>
    <col min="13130" max="13130" width="9" style="178"/>
    <col min="13131" max="13131" width="9" style="178"/>
    <col min="13132" max="13132" width="9" style="178"/>
    <col min="13133" max="13133" width="9" style="178"/>
    <col min="13134" max="13134" width="9" style="178"/>
    <col min="13135" max="13135" width="9" style="178"/>
    <col min="13136" max="13136" width="9" style="178"/>
    <col min="13137" max="13137" width="9" style="178"/>
    <col min="13138" max="13138" width="9" style="178"/>
    <col min="13139" max="13139" width="9" style="178"/>
    <col min="13140" max="13140" width="9" style="178"/>
    <col min="13141" max="13141" width="9" style="178"/>
    <col min="13142" max="13142" width="9" style="178"/>
    <col min="13143" max="13143" width="9" style="178"/>
    <col min="13144" max="13144" width="9" style="178"/>
    <col min="13145" max="13145" width="9" style="178"/>
    <col min="13146" max="13146" width="9" style="178"/>
    <col min="13147" max="13147" width="9" style="178"/>
    <col min="13148" max="13148" width="9" style="178"/>
    <col min="13149" max="13149" width="9" style="178"/>
    <col min="13150" max="13150" width="9" style="178"/>
    <col min="13151" max="13151" width="9" style="178"/>
    <col min="13152" max="13152" width="9" style="178"/>
    <col min="13153" max="13153" width="9" style="178"/>
    <col min="13154" max="13154" width="9" style="178"/>
    <col min="13155" max="13155" width="9" style="178"/>
    <col min="13156" max="13156" width="9" style="178"/>
    <col min="13157" max="13157" width="9" style="178"/>
    <col min="13158" max="13158" width="9" style="178"/>
    <col min="13159" max="13159" width="9" style="178"/>
    <col min="13160" max="13160" width="9" style="178"/>
    <col min="13161" max="13161" width="9" style="178"/>
    <col min="13162" max="13162" width="9" style="178"/>
    <col min="13163" max="13163" width="9" style="178"/>
    <col min="13164" max="13164" width="9" style="178"/>
    <col min="13165" max="13165" width="9" style="178"/>
    <col min="13166" max="13166" width="9" style="178"/>
    <col min="13167" max="13167" width="9" style="178"/>
    <col min="13168" max="13168" width="9" style="178"/>
    <col min="13169" max="13169" width="9" style="178"/>
    <col min="13170" max="13170" width="9" style="178"/>
    <col min="13171" max="13171" width="9" style="178"/>
    <col min="13172" max="13172" width="9" style="178"/>
    <col min="13173" max="13173" width="9" style="178"/>
    <col min="13174" max="13174" width="9" style="178"/>
    <col min="13175" max="13175" width="9" style="178"/>
    <col min="13176" max="13176" width="9" style="178"/>
    <col min="13177" max="13177" width="9" style="178"/>
    <col min="13178" max="13178" width="9" style="178"/>
    <col min="13179" max="13179" width="9" style="178"/>
    <col min="13180" max="13180" width="9" style="178"/>
    <col min="13181" max="13181" width="9" style="178"/>
    <col min="13182" max="13182" width="9" style="178"/>
    <col min="13183" max="13183" width="9" style="178"/>
    <col min="13184" max="13184" width="9" style="178"/>
    <col min="13185" max="13185" width="9" style="178"/>
    <col min="13186" max="13186" width="9" style="178"/>
    <col min="13187" max="13187" width="9" style="178"/>
    <col min="13188" max="13188" width="9" style="178"/>
    <col min="13189" max="13189" width="9" style="178"/>
    <col min="13190" max="13190" width="9" style="178"/>
    <col min="13191" max="13191" width="9" style="178"/>
    <col min="13192" max="13192" width="9" style="178"/>
    <col min="13193" max="13193" width="9" style="178"/>
    <col min="13194" max="13194" width="9" style="178"/>
    <col min="13195" max="13195" width="9" style="178"/>
    <col min="13196" max="13196" width="9" style="178"/>
    <col min="13197" max="13197" width="9" style="178"/>
    <col min="13198" max="13198" width="9" style="178"/>
    <col min="13199" max="13199" width="9" style="178"/>
    <col min="13200" max="13200" width="9" style="178"/>
    <col min="13201" max="13201" width="9" style="178"/>
    <col min="13202" max="13202" width="9" style="178"/>
    <col min="13203" max="13203" width="9" style="178"/>
    <col min="13204" max="13204" width="9" style="178"/>
    <col min="13205" max="13205" width="9" style="178"/>
    <col min="13206" max="13206" width="9" style="178"/>
    <col min="13207" max="13207" width="9" style="178"/>
    <col min="13208" max="13208" width="9" style="178"/>
    <col min="13209" max="13209" width="9" style="178"/>
    <col min="13210" max="13210" width="9" style="178"/>
    <col min="13211" max="13211" width="9" style="178"/>
    <col min="13212" max="13212" width="9" style="178"/>
    <col min="13213" max="13213" width="9" style="178"/>
    <col min="13214" max="13214" width="9" style="178"/>
    <col min="13215" max="13215" width="9" style="178"/>
    <col min="13216" max="13216" width="9" style="178"/>
    <col min="13217" max="13217" width="9" style="178"/>
    <col min="13218" max="13218" width="9" style="178"/>
    <col min="13219" max="13219" width="9" style="178"/>
    <col min="13220" max="13220" width="9" style="178"/>
    <col min="13221" max="13221" width="9" style="178"/>
    <col min="13222" max="13222" width="9" style="178"/>
    <col min="13223" max="13223" width="9" style="178"/>
    <col min="13224" max="13224" width="9" style="178"/>
    <col min="13225" max="13225" width="9" style="178"/>
    <col min="13226" max="13226" width="9" style="178"/>
    <col min="13227" max="13227" width="9" style="178"/>
    <col min="13228" max="13228" width="9" style="178"/>
    <col min="13229" max="13229" width="9" style="178"/>
    <col min="13230" max="13230" width="9" style="178"/>
    <col min="13231" max="13231" width="9" style="178"/>
    <col min="13232" max="13232" width="9" style="178"/>
    <col min="13233" max="13233" width="9" style="178"/>
    <col min="13234" max="13234" width="9" style="178"/>
    <col min="13235" max="13235" width="9" style="178"/>
    <col min="13236" max="13236" width="9" style="178"/>
    <col min="13237" max="13237" width="9" style="178"/>
    <col min="13238" max="13238" width="9" style="178"/>
    <col min="13239" max="13239" width="9" style="178"/>
    <col min="13240" max="13240" width="9" style="178"/>
    <col min="13241" max="13241" width="9" style="178"/>
    <col min="13242" max="13242" width="9" style="178"/>
    <col min="13243" max="13243" width="9" style="178"/>
    <col min="13244" max="13244" width="9" style="178"/>
    <col min="13245" max="13245" width="9" style="178"/>
    <col min="13246" max="13246" width="9" style="178"/>
    <col min="13247" max="13247" width="9" style="178"/>
    <col min="13248" max="13248" width="9" style="178"/>
    <col min="13249" max="13249" width="9" style="178"/>
    <col min="13250" max="13250" width="9" style="178"/>
    <col min="13251" max="13251" width="9" style="178"/>
    <col min="13252" max="13252" width="9" style="178"/>
    <col min="13253" max="13253" width="9" style="178"/>
    <col min="13254" max="13254" width="9" style="178"/>
    <col min="13255" max="13255" width="9" style="178"/>
    <col min="13256" max="13256" width="9" style="178"/>
    <col min="13257" max="13257" width="9" style="178"/>
    <col min="13258" max="13258" width="9" style="178"/>
    <col min="13259" max="13259" width="9" style="178"/>
    <col min="13260" max="13260" width="9" style="178"/>
    <col min="13261" max="13261" width="9" style="178"/>
    <col min="13262" max="13262" width="9" style="178"/>
    <col min="13263" max="13263" width="9" style="178"/>
    <col min="13264" max="13264" width="9" style="178"/>
    <col min="13265" max="13265" width="9" style="178"/>
    <col min="13266" max="13266" width="9" style="178"/>
    <col min="13267" max="13267" width="9" style="178"/>
    <col min="13268" max="13268" width="9" style="178"/>
    <col min="13269" max="13269" width="9" style="178"/>
    <col min="13270" max="13270" width="9" style="178"/>
    <col min="13271" max="13271" width="9" style="178"/>
    <col min="13272" max="13272" width="9" style="178"/>
    <col min="13273" max="13273" width="9" style="178"/>
    <col min="13274" max="13274" width="9" style="178"/>
    <col min="13275" max="13275" width="9" style="178"/>
    <col min="13276" max="13276" width="9" style="178"/>
    <col min="13277" max="13277" width="9" style="178"/>
    <col min="13278" max="13278" width="9" style="178"/>
    <col min="13279" max="13279" width="9" style="178"/>
    <col min="13280" max="13280" width="9" style="178"/>
    <col min="13281" max="13281" width="9" style="178"/>
    <col min="13282" max="13282" width="9" style="178"/>
    <col min="13283" max="13283" width="9" style="178"/>
    <col min="13284" max="13284" width="9" style="178"/>
    <col min="13285" max="13285" width="9" style="178"/>
    <col min="13286" max="13286" width="9" style="178"/>
    <col min="13287" max="13287" width="9" style="178"/>
    <col min="13288" max="13288" width="9" style="178"/>
    <col min="13289" max="13289" width="9" style="178"/>
    <col min="13290" max="13290" width="9" style="178"/>
    <col min="13291" max="13291" width="9" style="178"/>
    <col min="13292" max="13292" width="9" style="178"/>
    <col min="13293" max="13293" width="9" style="178"/>
    <col min="13294" max="13294" width="9" style="178"/>
    <col min="13295" max="13295" width="9" style="178"/>
    <col min="13296" max="13296" width="9" style="178"/>
    <col min="13297" max="13297" width="9" style="178"/>
    <col min="13298" max="13298" width="9" style="178"/>
    <col min="13299" max="13299" width="9" style="178"/>
    <col min="13300" max="13300" width="9" style="178"/>
    <col min="13301" max="13301" width="9" style="178"/>
    <col min="13302" max="13302" width="9" style="178"/>
    <col min="13303" max="13303" width="9" style="178"/>
    <col min="13304" max="13304" width="9" style="178"/>
    <col min="13305" max="13305" width="9" style="178"/>
    <col min="13306" max="13306" width="9" style="178"/>
    <col min="13307" max="13307" width="9" style="178"/>
    <col min="13308" max="13308" width="9" style="178"/>
    <col min="13309" max="13309" width="9" style="178"/>
    <col min="13310" max="13310" width="9" style="178"/>
    <col min="13311" max="13311" width="9" style="178"/>
    <col min="13312" max="13312" width="9" style="178"/>
    <col min="13313" max="13313" width="9" style="178"/>
    <col min="13314" max="13314" width="9" style="178"/>
    <col min="13315" max="13315" width="9" style="178"/>
    <col min="13316" max="13316" width="9" style="178"/>
    <col min="13317" max="13317" width="9" style="178"/>
    <col min="13318" max="13318" width="9" style="178"/>
    <col min="13319" max="13319" width="9" style="178"/>
    <col min="13320" max="13320" width="9" style="178"/>
    <col min="13321" max="13321" width="9" style="178"/>
    <col min="13322" max="13322" width="9" style="178"/>
    <col min="13323" max="13323" width="9" style="178"/>
    <col min="13324" max="13324" width="9" style="178"/>
    <col min="13325" max="13325" width="9" style="178"/>
    <col min="13326" max="13326" width="9" style="178"/>
    <col min="13327" max="13327" width="9" style="178"/>
    <col min="13328" max="13328" width="9" style="178"/>
    <col min="13329" max="13329" width="9" style="178"/>
    <col min="13330" max="13330" width="9" style="178"/>
    <col min="13331" max="13331" width="9" style="178"/>
    <col min="13332" max="13332" width="9" style="178"/>
    <col min="13333" max="13333" width="9" style="178"/>
    <col min="13334" max="13334" width="9" style="178"/>
    <col min="13335" max="13335" width="9" style="178"/>
    <col min="13336" max="13336" width="9" style="178"/>
    <col min="13337" max="13337" width="9" style="178"/>
    <col min="13338" max="13338" width="9" style="178"/>
    <col min="13339" max="13339" width="9" style="178"/>
    <col min="13340" max="13340" width="9" style="178"/>
    <col min="13341" max="13341" width="9" style="178"/>
    <col min="13342" max="13342" width="9" style="178"/>
    <col min="13343" max="13343" width="9" style="178"/>
    <col min="13344" max="13344" width="9" style="178"/>
    <col min="13345" max="13345" width="9" style="178"/>
    <col min="13346" max="13346" width="9" style="178"/>
    <col min="13347" max="13347" width="9" style="178"/>
    <col min="13348" max="13348" width="9" style="178"/>
    <col min="13349" max="13349" width="9" style="178"/>
    <col min="13350" max="13350" width="9" style="178"/>
    <col min="13351" max="13351" width="9" style="178"/>
    <col min="13352" max="13352" width="9" style="178"/>
    <col min="13353" max="13353" width="9" style="178"/>
    <col min="13354" max="13354" width="9" style="178"/>
    <col min="13355" max="13355" width="9" style="178"/>
    <col min="13356" max="13356" width="9" style="178"/>
    <col min="13357" max="13357" width="9" style="178"/>
    <col min="13358" max="13358" width="9" style="178"/>
    <col min="13359" max="13359" width="9" style="178"/>
    <col min="13360" max="13360" width="9" style="178"/>
    <col min="13361" max="13361" width="9" style="178"/>
    <col min="13362" max="13362" width="9" style="178"/>
    <col min="13363" max="13363" width="9" style="178"/>
    <col min="13364" max="13364" width="9" style="178"/>
    <col min="13365" max="13365" width="9" style="178"/>
    <col min="13366" max="13366" width="9" style="178"/>
    <col min="13367" max="13367" width="9" style="178"/>
    <col min="13368" max="13368" width="9" style="178"/>
    <col min="13369" max="13369" width="9" style="178"/>
    <col min="13370" max="13370" width="9" style="178"/>
    <col min="13371" max="13371" width="9" style="178"/>
    <col min="13372" max="13372" width="9" style="178"/>
    <col min="13373" max="13373" width="9" style="178"/>
    <col min="13374" max="13374" width="9" style="178"/>
    <col min="13375" max="13375" width="9" style="178"/>
    <col min="13376" max="13376" width="9" style="178"/>
    <col min="13377" max="13377" width="9" style="178"/>
    <col min="13378" max="13378" width="9" style="178"/>
    <col min="13379" max="13379" width="9" style="178"/>
    <col min="13380" max="13380" width="9" style="178"/>
    <col min="13381" max="13381" width="9" style="178"/>
    <col min="13382" max="13382" width="9" style="178"/>
    <col min="13383" max="13383" width="9" style="178"/>
    <col min="13384" max="13384" width="9" style="178"/>
    <col min="13385" max="13385" width="9" style="178"/>
    <col min="13386" max="13386" width="9" style="178"/>
    <col min="13387" max="13387" width="9" style="178"/>
    <col min="13388" max="13388" width="9" style="178"/>
    <col min="13389" max="13389" width="9" style="178"/>
    <col min="13390" max="13390" width="9" style="178"/>
    <col min="13391" max="13391" width="9" style="178"/>
    <col min="13392" max="13392" width="9" style="178"/>
    <col min="13393" max="13393" width="9" style="178"/>
    <col min="13394" max="13394" width="9" style="178"/>
    <col min="13395" max="13395" width="9" style="178"/>
    <col min="13396" max="13396" width="9" style="178"/>
    <col min="13397" max="13397" width="9" style="178"/>
    <col min="13398" max="13398" width="9" style="178"/>
    <col min="13399" max="13399" width="9" style="178"/>
    <col min="13400" max="13400" width="9" style="178"/>
    <col min="13401" max="13401" width="9" style="178"/>
    <col min="13402" max="13402" width="9" style="178"/>
    <col min="13403" max="13403" width="9" style="178"/>
    <col min="13404" max="13404" width="9" style="178"/>
    <col min="13405" max="13405" width="9" style="178"/>
    <col min="13406" max="13406" width="9" style="178"/>
    <col min="13407" max="13407" width="9" style="178"/>
    <col min="13408" max="13408" width="9" style="178"/>
    <col min="13409" max="13409" width="9" style="178"/>
    <col min="13410" max="13410" width="9" style="178"/>
    <col min="13411" max="13411" width="9" style="178"/>
    <col min="13412" max="13412" width="9" style="178"/>
    <col min="13413" max="13413" width="9" style="178"/>
    <col min="13414" max="13414" width="9" style="178"/>
    <col min="13415" max="13415" width="9" style="178"/>
    <col min="13416" max="13416" width="9" style="178"/>
    <col min="13417" max="13417" width="9" style="178"/>
    <col min="13418" max="13418" width="9" style="178"/>
    <col min="13419" max="13419" width="9" style="178"/>
    <col min="13420" max="13420" width="9" style="178"/>
    <col min="13421" max="13421" width="9" style="178"/>
    <col min="13422" max="13422" width="9" style="178"/>
    <col min="13423" max="13423" width="9" style="178"/>
    <col min="13424" max="13424" width="9" style="178"/>
    <col min="13425" max="13425" width="9" style="178"/>
    <col min="13426" max="13426" width="9" style="178"/>
    <col min="13427" max="13427" width="9" style="178"/>
    <col min="13428" max="13428" width="9" style="178"/>
    <col min="13429" max="13429" width="9" style="178"/>
    <col min="13430" max="13430" width="9" style="178"/>
    <col min="13431" max="13431" width="9" style="178"/>
    <col min="13432" max="13432" width="9" style="178"/>
    <col min="13433" max="13433" width="9" style="178"/>
    <col min="13434" max="13434" width="9" style="178"/>
    <col min="13435" max="13435" width="9" style="178"/>
    <col min="13436" max="13436" width="9" style="178"/>
    <col min="13437" max="13437" width="9" style="178"/>
    <col min="13438" max="13438" width="9" style="178"/>
    <col min="13439" max="13439" width="9" style="178"/>
    <col min="13440" max="13440" width="9" style="178"/>
    <col min="13441" max="13441" width="9" style="178"/>
    <col min="13442" max="13442" width="9" style="178"/>
    <col min="13443" max="13443" width="9" style="178"/>
    <col min="13444" max="13444" width="9" style="178"/>
    <col min="13445" max="13445" width="9" style="178"/>
    <col min="13446" max="13446" width="9" style="178"/>
    <col min="13447" max="13447" width="9" style="178"/>
    <col min="13448" max="13448" width="9" style="178"/>
    <col min="13449" max="13449" width="9" style="178"/>
    <col min="13450" max="13450" width="9" style="178"/>
    <col min="13451" max="13451" width="9" style="178"/>
    <col min="13452" max="13452" width="9" style="178"/>
    <col min="13453" max="13453" width="9" style="178"/>
    <col min="13454" max="13454" width="9" style="178"/>
    <col min="13455" max="13455" width="9" style="178"/>
    <col min="13456" max="13456" width="9" style="178"/>
    <col min="13457" max="13457" width="9" style="178"/>
    <col min="13458" max="13458" width="9" style="178"/>
    <col min="13459" max="13459" width="9" style="178"/>
    <col min="13460" max="13460" width="9" style="178"/>
    <col min="13461" max="13461" width="9" style="178"/>
    <col min="13462" max="13462" width="9" style="178"/>
    <col min="13463" max="13463" width="9" style="178"/>
    <col min="13464" max="13464" width="9" style="178"/>
    <col min="13465" max="13465" width="9" style="178"/>
    <col min="13466" max="13466" width="9" style="178"/>
    <col min="13467" max="13467" width="9" style="178"/>
    <col min="13468" max="13468" width="9" style="178"/>
    <col min="13469" max="13469" width="9" style="178"/>
    <col min="13470" max="13470" width="9" style="178"/>
    <col min="13471" max="13471" width="9" style="178"/>
    <col min="13472" max="13472" width="9" style="178"/>
    <col min="13473" max="13473" width="9" style="178"/>
    <col min="13474" max="13474" width="9" style="178"/>
    <col min="13475" max="13475" width="9" style="178"/>
    <col min="13476" max="13476" width="9" style="178"/>
    <col min="13477" max="13477" width="9" style="178"/>
    <col min="13478" max="13478" width="9" style="178"/>
    <col min="13479" max="13479" width="9" style="178"/>
    <col min="13480" max="13480" width="9" style="178"/>
    <col min="13481" max="13481" width="9" style="178"/>
    <col min="13482" max="13482" width="9" style="178"/>
    <col min="13483" max="13483" width="9" style="178"/>
    <col min="13484" max="13484" width="9" style="178"/>
    <col min="13485" max="13485" width="9" style="178"/>
    <col min="13486" max="13486" width="9" style="178"/>
    <col min="13487" max="13487" width="9" style="178"/>
    <col min="13488" max="13488" width="9" style="178"/>
    <col min="13489" max="13489" width="9" style="178"/>
    <col min="13490" max="13490" width="9" style="178"/>
    <col min="13491" max="13491" width="9" style="178"/>
    <col min="13492" max="13492" width="9" style="178"/>
    <col min="13493" max="13493" width="9" style="178"/>
    <col min="13494" max="13494" width="9" style="178"/>
    <col min="13495" max="13495" width="9" style="178"/>
    <col min="13496" max="13496" width="9" style="178"/>
    <col min="13497" max="13497" width="9" style="178"/>
    <col min="13498" max="13498" width="9" style="178"/>
    <col min="13499" max="13499" width="9" style="178"/>
    <col min="13500" max="13500" width="9" style="178"/>
    <col min="13501" max="13501" width="9" style="178"/>
    <col min="13502" max="13502" width="9" style="178"/>
    <col min="13503" max="13503" width="9" style="178"/>
    <col min="13504" max="13504" width="9" style="178"/>
    <col min="13505" max="13505" width="9" style="178"/>
    <col min="13506" max="13506" width="9" style="178"/>
    <col min="13507" max="13507" width="9" style="178"/>
    <col min="13508" max="13508" width="9" style="178"/>
    <col min="13509" max="13509" width="9" style="178"/>
    <col min="13510" max="13510" width="9" style="178"/>
    <col min="13511" max="13511" width="9" style="178"/>
    <col min="13512" max="13512" width="9" style="178"/>
    <col min="13513" max="13513" width="9" style="178"/>
    <col min="13514" max="13514" width="9" style="178"/>
    <col min="13515" max="13515" width="9" style="178"/>
    <col min="13516" max="13516" width="9" style="178"/>
    <col min="13517" max="13517" width="9" style="178"/>
    <col min="13518" max="13518" width="9" style="178"/>
    <col min="13519" max="13519" width="9" style="178"/>
    <col min="13520" max="13520" width="9" style="178"/>
    <col min="13521" max="13521" width="9" style="178"/>
    <col min="13522" max="13522" width="9" style="178"/>
    <col min="13523" max="13523" width="9" style="178"/>
    <col min="13524" max="13524" width="9" style="178"/>
    <col min="13525" max="13525" width="9" style="178"/>
    <col min="13526" max="13526" width="9" style="178"/>
    <col min="13527" max="13527" width="9" style="178"/>
    <col min="13528" max="13528" width="9" style="178"/>
    <col min="13529" max="13529" width="9" style="178"/>
    <col min="13530" max="13530" width="9" style="178"/>
    <col min="13531" max="13531" width="9" style="178"/>
    <col min="13532" max="13532" width="9" style="178"/>
    <col min="13533" max="13533" width="9" style="178"/>
    <col min="13534" max="13534" width="9" style="178"/>
    <col min="13535" max="13535" width="9" style="178"/>
    <col min="13536" max="13536" width="9" style="178"/>
    <col min="13537" max="13537" width="9" style="178"/>
    <col min="13538" max="13538" width="9" style="178"/>
    <col min="13539" max="13539" width="9" style="178"/>
    <col min="13540" max="13540" width="9" style="178"/>
    <col min="13541" max="13541" width="9" style="178"/>
    <col min="13542" max="13542" width="9" style="178"/>
    <col min="13543" max="13543" width="9" style="178"/>
    <col min="13544" max="13544" width="9" style="178"/>
    <col min="13545" max="13545" width="9" style="178"/>
    <col min="13546" max="13546" width="9" style="178"/>
    <col min="13547" max="13547" width="9" style="178"/>
    <col min="13548" max="13548" width="9" style="178"/>
    <col min="13549" max="13549" width="9" style="178"/>
    <col min="13550" max="13550" width="9" style="178"/>
    <col min="13551" max="13551" width="9" style="178"/>
    <col min="13552" max="13552" width="9" style="178"/>
    <col min="13553" max="13553" width="9" style="178"/>
    <col min="13554" max="13554" width="9" style="178"/>
    <col min="13555" max="13555" width="9" style="178"/>
    <col min="13556" max="13556" width="9" style="178"/>
    <col min="13557" max="13557" width="9" style="178"/>
    <col min="13558" max="13558" width="9" style="178"/>
    <col min="13559" max="13559" width="9" style="178"/>
    <col min="13560" max="13560" width="9" style="178"/>
    <col min="13561" max="13561" width="9" style="178"/>
    <col min="13562" max="13562" width="9" style="178"/>
    <col min="13563" max="13563" width="9" style="178"/>
    <col min="13564" max="13564" width="9" style="178"/>
    <col min="13565" max="13565" width="9" style="178"/>
    <col min="13566" max="13566" width="9" style="178"/>
    <col min="13567" max="13567" width="9" style="178"/>
    <col min="13568" max="13568" width="9" style="178"/>
    <col min="13569" max="13569" width="9" style="178"/>
    <col min="13570" max="13570" width="9" style="178"/>
    <col min="13571" max="13571" width="9" style="178"/>
    <col min="13572" max="13572" width="9" style="178"/>
    <col min="13573" max="13573" width="9" style="178"/>
    <col min="13574" max="13574" width="9" style="178"/>
    <col min="13575" max="13575" width="9" style="178"/>
    <col min="13576" max="13576" width="9" style="178"/>
    <col min="13577" max="13577" width="9" style="178"/>
    <col min="13578" max="13578" width="9" style="178"/>
    <col min="13579" max="13579" width="9" style="178"/>
    <col min="13580" max="13580" width="9" style="178"/>
    <col min="13581" max="13581" width="9" style="178"/>
    <col min="13582" max="13582" width="9" style="178"/>
    <col min="13583" max="13583" width="9" style="178"/>
    <col min="13584" max="13584" width="9" style="178"/>
    <col min="13585" max="13585" width="9" style="178"/>
    <col min="13586" max="13586" width="9" style="178"/>
    <col min="13587" max="13587" width="9" style="178"/>
    <col min="13588" max="13588" width="9" style="178"/>
    <col min="13589" max="13589" width="9" style="178"/>
    <col min="13590" max="13590" width="9" style="178"/>
    <col min="13591" max="13591" width="9" style="178"/>
    <col min="13592" max="13592" width="9" style="178"/>
    <col min="13593" max="13593" width="9" style="178"/>
    <col min="13594" max="13594" width="9" style="178"/>
    <col min="13595" max="13595" width="9" style="178"/>
    <col min="13596" max="13596" width="9" style="178"/>
    <col min="13597" max="13597" width="9" style="178"/>
    <col min="13598" max="13598" width="9" style="178"/>
    <col min="13599" max="13599" width="9" style="178"/>
    <col min="13600" max="13600" width="9" style="178"/>
    <col min="13601" max="13601" width="9" style="178"/>
    <col min="13602" max="13602" width="9" style="178"/>
    <col min="13603" max="13603" width="9" style="178"/>
    <col min="13604" max="13604" width="9" style="178"/>
    <col min="13605" max="13605" width="9" style="178"/>
    <col min="13606" max="13606" width="9" style="178"/>
    <col min="13607" max="13607" width="9" style="178"/>
    <col min="13608" max="13608" width="9" style="178"/>
    <col min="13609" max="13609" width="9" style="178"/>
    <col min="13610" max="13610" width="9" style="178"/>
    <col min="13611" max="13611" width="9" style="178"/>
    <col min="13612" max="13612" width="9" style="178"/>
    <col min="13613" max="13613" width="9" style="178"/>
    <col min="13614" max="13614" width="9" style="178"/>
    <col min="13615" max="13615" width="9" style="178"/>
    <col min="13616" max="13616" width="9" style="178"/>
    <col min="13617" max="13617" width="9" style="178"/>
    <col min="13618" max="13618" width="9" style="178"/>
    <col min="13619" max="13619" width="9" style="178"/>
    <col min="13620" max="13620" width="9" style="178"/>
    <col min="13621" max="13621" width="9" style="178"/>
    <col min="13622" max="13622" width="9" style="178"/>
    <col min="13623" max="13623" width="9" style="178"/>
    <col min="13624" max="13624" width="9" style="178"/>
    <col min="13625" max="13625" width="9" style="178"/>
    <col min="13626" max="13626" width="9" style="178"/>
    <col min="13627" max="13627" width="9" style="178"/>
    <col min="13628" max="13628" width="9" style="178"/>
    <col min="13629" max="13629" width="9" style="178"/>
    <col min="13630" max="13630" width="9" style="178"/>
    <col min="13631" max="13631" width="9" style="178"/>
    <col min="13632" max="13632" width="9" style="178"/>
    <col min="13633" max="13633" width="9" style="178"/>
    <col min="13634" max="13634" width="9" style="178"/>
    <col min="13635" max="13635" width="9" style="178"/>
    <col min="13636" max="13636" width="9" style="178"/>
    <col min="13637" max="13637" width="9" style="178"/>
    <col min="13638" max="13638" width="9" style="178"/>
    <col min="13639" max="13639" width="9" style="178"/>
    <col min="13640" max="13640" width="9" style="178"/>
    <col min="13641" max="13641" width="9" style="178"/>
    <col min="13642" max="13642" width="9" style="178"/>
    <col min="13643" max="13643" width="9" style="178"/>
    <col min="13644" max="13644" width="9" style="178"/>
    <col min="13645" max="13645" width="9" style="178"/>
    <col min="13646" max="13646" width="9" style="178"/>
    <col min="13647" max="13647" width="9" style="178"/>
    <col min="13648" max="13648" width="9" style="178"/>
    <col min="13649" max="13649" width="9" style="178"/>
    <col min="13650" max="13650" width="9" style="178"/>
    <col min="13651" max="13651" width="9" style="178"/>
    <col min="13652" max="13652" width="9" style="178"/>
    <col min="13653" max="13653" width="9" style="178"/>
    <col min="13654" max="13654" width="9" style="178"/>
    <col min="13655" max="13655" width="9" style="178"/>
    <col min="13656" max="13656" width="9" style="178"/>
    <col min="13657" max="13657" width="9" style="178"/>
    <col min="13658" max="13658" width="9" style="178"/>
    <col min="13659" max="13659" width="9" style="178"/>
    <col min="13660" max="13660" width="9" style="178"/>
    <col min="13661" max="13661" width="9" style="178"/>
    <col min="13662" max="13662" width="9" style="178"/>
    <col min="13663" max="13663" width="9" style="178"/>
    <col min="13664" max="13664" width="9" style="178"/>
    <col min="13665" max="13665" width="9" style="178"/>
    <col min="13666" max="13666" width="9" style="178"/>
    <col min="13667" max="13667" width="9" style="178"/>
    <col min="13668" max="13668" width="9" style="178"/>
    <col min="13669" max="13669" width="9" style="178"/>
    <col min="13670" max="13670" width="9" style="178"/>
    <col min="13671" max="13671" width="9" style="178"/>
    <col min="13672" max="13672" width="9" style="178"/>
    <col min="13673" max="13673" width="9" style="178"/>
    <col min="13674" max="13674" width="9" style="178"/>
    <col min="13675" max="13675" width="9" style="178"/>
    <col min="13676" max="13676" width="9" style="178"/>
    <col min="13677" max="13677" width="9" style="178"/>
    <col min="13678" max="13678" width="9" style="178"/>
    <col min="13679" max="13679" width="9" style="178"/>
    <col min="13680" max="13680" width="9" style="178"/>
    <col min="13681" max="13681" width="9" style="178"/>
    <col min="13682" max="13682" width="9" style="178"/>
    <col min="13683" max="13683" width="9" style="178"/>
    <col min="13684" max="13684" width="9" style="178"/>
    <col min="13685" max="13685" width="9" style="178"/>
    <col min="13686" max="13686" width="9" style="178"/>
    <col min="13687" max="13687" width="9" style="178"/>
    <col min="13688" max="13688" width="9" style="178"/>
    <col min="13689" max="13689" width="9" style="178"/>
    <col min="13690" max="13690" width="9" style="178"/>
    <col min="13691" max="13691" width="9" style="178"/>
    <col min="13692" max="13692" width="9" style="178"/>
    <col min="13693" max="13693" width="9" style="178"/>
    <col min="13694" max="13694" width="9" style="178"/>
    <col min="13695" max="13695" width="9" style="178"/>
    <col min="13696" max="13696" width="9" style="178"/>
    <col min="13697" max="13697" width="9" style="178"/>
    <col min="13698" max="13698" width="9" style="178"/>
    <col min="13699" max="13699" width="9" style="178"/>
    <col min="13700" max="13700" width="9" style="178"/>
    <col min="13701" max="13701" width="9" style="178"/>
    <col min="13702" max="13702" width="9" style="178"/>
    <col min="13703" max="13703" width="9" style="178"/>
    <col min="13704" max="13704" width="9" style="178"/>
    <col min="13705" max="13705" width="9" style="178"/>
    <col min="13706" max="13706" width="9" style="178"/>
    <col min="13707" max="13707" width="9" style="178"/>
    <col min="13708" max="13708" width="9" style="178"/>
    <col min="13709" max="13709" width="9" style="178"/>
    <col min="13710" max="13710" width="9" style="178"/>
    <col min="13711" max="13711" width="9" style="178"/>
    <col min="13712" max="13712" width="9" style="178"/>
    <col min="13713" max="13713" width="9" style="178"/>
    <col min="13714" max="13714" width="9" style="178"/>
    <col min="13715" max="13715" width="9" style="178"/>
    <col min="13716" max="13716" width="9" style="178"/>
    <col min="13717" max="13717" width="9" style="178"/>
    <col min="13718" max="13718" width="9" style="178"/>
    <col min="13719" max="13719" width="9" style="178"/>
    <col min="13720" max="13720" width="9" style="178"/>
    <col min="13721" max="13721" width="9" style="178"/>
    <col min="13722" max="13722" width="9" style="178"/>
    <col min="13723" max="13723" width="9" style="178"/>
    <col min="13724" max="13724" width="9" style="178"/>
    <col min="13725" max="13725" width="9" style="178"/>
    <col min="13726" max="13726" width="9" style="178"/>
    <col min="13727" max="13727" width="9" style="178"/>
    <col min="13728" max="13728" width="9" style="178"/>
    <col min="13729" max="13729" width="9" style="178"/>
    <col min="13730" max="13730" width="9" style="178"/>
    <col min="13731" max="13731" width="9" style="178"/>
    <col min="13732" max="13732" width="9" style="178"/>
    <col min="13733" max="13733" width="9" style="178"/>
    <col min="13734" max="13734" width="9" style="178"/>
    <col min="13735" max="13735" width="9" style="178"/>
    <col min="13736" max="13736" width="9" style="178"/>
    <col min="13737" max="13737" width="9" style="178"/>
    <col min="13738" max="13738" width="9" style="178"/>
    <col min="13739" max="13739" width="9" style="178"/>
    <col min="13740" max="13740" width="9" style="178"/>
    <col min="13741" max="13741" width="9" style="178"/>
    <col min="13742" max="13742" width="9" style="178"/>
    <col min="13743" max="13743" width="9" style="178"/>
    <col min="13744" max="13744" width="9" style="178"/>
    <col min="13745" max="13745" width="9" style="178"/>
    <col min="13746" max="13746" width="9" style="178"/>
    <col min="13747" max="13747" width="9" style="178"/>
    <col min="13748" max="13748" width="9" style="178"/>
    <col min="13749" max="13749" width="9" style="178"/>
    <col min="13750" max="13750" width="9" style="178"/>
    <col min="13751" max="13751" width="9" style="178"/>
    <col min="13752" max="13752" width="9" style="178"/>
    <col min="13753" max="13753" width="9" style="178"/>
    <col min="13754" max="13754" width="9" style="178"/>
    <col min="13755" max="13755" width="9" style="178"/>
    <col min="13756" max="13756" width="9" style="178"/>
    <col min="13757" max="13757" width="9" style="178"/>
    <col min="13758" max="13758" width="9" style="178"/>
    <col min="13759" max="13759" width="9" style="178"/>
    <col min="13760" max="13760" width="9" style="178"/>
    <col min="13761" max="13761" width="9" style="178"/>
    <col min="13762" max="13762" width="9" style="178"/>
    <col min="13763" max="13763" width="9" style="178"/>
    <col min="13764" max="13764" width="9" style="178"/>
    <col min="13765" max="13765" width="9" style="178"/>
    <col min="13766" max="13766" width="9" style="178"/>
    <col min="13767" max="13767" width="9" style="178"/>
    <col min="13768" max="13768" width="9" style="178"/>
    <col min="13769" max="13769" width="9" style="178"/>
    <col min="13770" max="13770" width="9" style="178"/>
    <col min="13771" max="13771" width="9" style="178"/>
    <col min="13772" max="13772" width="9" style="178"/>
    <col min="13773" max="13773" width="9" style="178"/>
    <col min="13774" max="13774" width="9" style="178"/>
    <col min="13775" max="13775" width="9" style="178"/>
    <col min="13776" max="13776" width="9" style="178"/>
    <col min="13777" max="13777" width="9" style="178"/>
    <col min="13778" max="13778" width="9" style="178"/>
    <col min="13779" max="13779" width="9" style="178"/>
    <col min="13780" max="13780" width="9" style="178"/>
    <col min="13781" max="13781" width="9" style="178"/>
    <col min="13782" max="13782" width="9" style="178"/>
    <col min="13783" max="13783" width="9" style="178"/>
    <col min="13784" max="13784" width="9" style="178"/>
    <col min="13785" max="13785" width="9" style="178"/>
    <col min="13786" max="13786" width="9" style="178"/>
    <col min="13787" max="13787" width="9" style="178"/>
    <col min="13788" max="13788" width="9" style="178"/>
    <col min="13789" max="13789" width="9" style="178"/>
    <col min="13790" max="13790" width="9" style="178"/>
    <col min="13791" max="13791" width="9" style="178"/>
    <col min="13792" max="13792" width="9" style="178"/>
    <col min="13793" max="13793" width="9" style="178"/>
    <col min="13794" max="13794" width="9" style="178"/>
    <col min="13795" max="13795" width="9" style="178"/>
    <col min="13796" max="13796" width="9" style="178"/>
    <col min="13797" max="13797" width="9" style="178"/>
    <col min="13798" max="13798" width="9" style="178"/>
    <col min="13799" max="13799" width="9" style="178"/>
    <col min="13800" max="13800" width="9" style="178"/>
    <col min="13801" max="13801" width="9" style="178"/>
    <col min="13802" max="13802" width="9" style="178"/>
    <col min="13803" max="13803" width="9" style="178"/>
    <col min="13804" max="13804" width="9" style="178"/>
    <col min="13805" max="13805" width="9" style="178"/>
    <col min="13806" max="13806" width="9" style="178"/>
    <col min="13807" max="13807" width="9" style="178"/>
    <col min="13808" max="13808" width="9" style="178"/>
    <col min="13809" max="13809" width="9" style="178"/>
    <col min="13810" max="13810" width="9" style="178"/>
    <col min="13811" max="13811" width="9" style="178"/>
    <col min="13812" max="13812" width="9" style="178"/>
    <col min="13813" max="13813" width="9" style="178"/>
    <col min="13814" max="13814" width="9" style="178"/>
    <col min="13815" max="13815" width="9" style="178"/>
    <col min="13816" max="13816" width="9" style="178"/>
    <col min="13817" max="13817" width="9" style="178"/>
    <col min="13818" max="13818" width="9" style="178"/>
    <col min="13819" max="13819" width="9" style="178"/>
    <col min="13820" max="13820" width="9" style="178"/>
    <col min="13821" max="13821" width="9" style="178"/>
    <col min="13822" max="13822" width="9" style="178"/>
    <col min="13823" max="13823" width="9" style="178"/>
    <col min="13824" max="13824" width="9" style="178"/>
    <col min="13825" max="13825" width="9" style="178"/>
    <col min="13826" max="13826" width="9" style="178"/>
    <col min="13827" max="13827" width="9" style="178"/>
    <col min="13828" max="13828" width="9" style="178"/>
    <col min="13829" max="13829" width="9" style="178"/>
    <col min="13830" max="13830" width="9" style="178"/>
    <col min="13831" max="13831" width="9" style="178"/>
    <col min="13832" max="13832" width="9" style="178"/>
    <col min="13833" max="13833" width="9" style="178"/>
    <col min="13834" max="13834" width="9" style="178"/>
    <col min="13835" max="13835" width="9" style="178"/>
    <col min="13836" max="13836" width="9" style="178"/>
    <col min="13837" max="13837" width="9" style="178"/>
    <col min="13838" max="13838" width="9" style="178"/>
    <col min="13839" max="13839" width="9" style="178"/>
    <col min="13840" max="13840" width="9" style="178"/>
    <col min="13841" max="13841" width="9" style="178"/>
    <col min="13842" max="13842" width="9" style="178"/>
    <col min="13843" max="13843" width="9" style="178"/>
    <col min="13844" max="13844" width="9" style="178"/>
    <col min="13845" max="13845" width="9" style="178"/>
    <col min="13846" max="13846" width="9" style="178"/>
    <col min="13847" max="13847" width="9" style="178"/>
    <col min="13848" max="13848" width="9" style="178"/>
    <col min="13849" max="13849" width="9" style="178"/>
    <col min="13850" max="13850" width="9" style="178"/>
    <col min="13851" max="13851" width="9" style="178"/>
    <col min="13852" max="13852" width="9" style="178"/>
    <col min="13853" max="13853" width="9" style="178"/>
    <col min="13854" max="13854" width="9" style="178"/>
    <col min="13855" max="13855" width="9" style="178"/>
    <col min="13856" max="13856" width="9" style="178"/>
    <col min="13857" max="13857" width="9" style="178"/>
    <col min="13858" max="13858" width="9" style="178"/>
    <col min="13859" max="13859" width="9" style="178"/>
    <col min="13860" max="13860" width="9" style="178"/>
    <col min="13861" max="13861" width="9" style="178"/>
    <col min="13862" max="13862" width="9" style="178"/>
    <col min="13863" max="13863" width="9" style="178"/>
    <col min="13864" max="13864" width="9" style="178"/>
    <col min="13865" max="13865" width="9" style="178"/>
    <col min="13866" max="13866" width="9" style="178"/>
    <col min="13867" max="13867" width="9" style="178"/>
    <col min="13868" max="13868" width="9" style="178"/>
    <col min="13869" max="13869" width="9" style="178"/>
    <col min="13870" max="13870" width="9" style="178"/>
    <col min="13871" max="13871" width="9" style="178"/>
    <col min="13872" max="13872" width="9" style="178"/>
    <col min="13873" max="13873" width="9" style="178"/>
    <col min="13874" max="13874" width="9" style="178"/>
    <col min="13875" max="13875" width="9" style="178"/>
    <col min="13876" max="13876" width="9" style="178"/>
    <col min="13877" max="13877" width="9" style="178"/>
    <col min="13878" max="13878" width="9" style="178"/>
    <col min="13879" max="13879" width="9" style="178"/>
    <col min="13880" max="13880" width="9" style="178"/>
    <col min="13881" max="13881" width="9" style="178"/>
    <col min="13882" max="13882" width="9" style="178"/>
    <col min="13883" max="13883" width="9" style="178"/>
    <col min="13884" max="13884" width="9" style="178"/>
    <col min="13885" max="13885" width="9" style="178"/>
    <col min="13886" max="13886" width="9" style="178"/>
    <col min="13887" max="13887" width="9" style="178"/>
    <col min="13888" max="13888" width="9" style="178"/>
    <col min="13889" max="13889" width="9" style="178"/>
    <col min="13890" max="13890" width="9" style="178"/>
    <col min="13891" max="13891" width="9" style="178"/>
    <col min="13892" max="13892" width="9" style="178"/>
    <col min="13893" max="13893" width="9" style="178"/>
    <col min="13894" max="13894" width="9" style="178"/>
    <col min="13895" max="13895" width="9" style="178"/>
    <col min="13896" max="13896" width="9" style="178"/>
    <col min="13897" max="13897" width="9" style="178"/>
    <col min="13898" max="13898" width="9" style="178"/>
    <col min="13899" max="13899" width="9" style="178"/>
    <col min="13900" max="13900" width="9" style="178"/>
    <col min="13901" max="13901" width="9" style="178"/>
    <col min="13902" max="13902" width="9" style="178"/>
    <col min="13903" max="13903" width="9" style="178"/>
    <col min="13904" max="13904" width="9" style="178"/>
    <col min="13905" max="13905" width="9" style="178"/>
    <col min="13906" max="13906" width="9" style="178"/>
    <col min="13907" max="13907" width="9" style="178"/>
    <col min="13908" max="13908" width="9" style="178"/>
    <col min="13909" max="13909" width="9" style="178"/>
    <col min="13910" max="13910" width="9" style="178"/>
    <col min="13911" max="13911" width="9" style="178"/>
    <col min="13912" max="13912" width="9" style="178"/>
    <col min="13913" max="13913" width="9" style="178"/>
    <col min="13914" max="13914" width="9" style="178"/>
    <col min="13915" max="13915" width="9" style="178"/>
    <col min="13916" max="13916" width="9" style="178"/>
    <col min="13917" max="13917" width="9" style="178"/>
    <col min="13918" max="13918" width="9" style="178"/>
    <col min="13919" max="13919" width="9" style="178"/>
    <col min="13920" max="13920" width="9" style="178"/>
    <col min="13921" max="13921" width="9" style="178"/>
    <col min="13922" max="13922" width="9" style="178"/>
    <col min="13923" max="13923" width="9" style="178"/>
    <col min="13924" max="13924" width="9" style="178"/>
    <col min="13925" max="13925" width="9" style="178"/>
    <col min="13926" max="13926" width="9" style="178"/>
    <col min="13927" max="13927" width="9" style="178"/>
    <col min="13928" max="13928" width="9" style="178"/>
    <col min="13929" max="13929" width="9" style="178"/>
    <col min="13930" max="13930" width="9" style="178"/>
    <col min="13931" max="13931" width="9" style="178"/>
    <col min="13932" max="13932" width="9" style="178"/>
    <col min="13933" max="13933" width="9" style="178"/>
    <col min="13934" max="13934" width="9" style="178"/>
    <col min="13935" max="13935" width="9" style="178"/>
    <col min="13936" max="13936" width="9" style="178"/>
    <col min="13937" max="13937" width="9" style="178"/>
    <col min="13938" max="13938" width="9" style="178"/>
    <col min="13939" max="13939" width="9" style="178"/>
    <col min="13940" max="13940" width="9" style="178"/>
    <col min="13941" max="13941" width="9" style="178"/>
    <col min="13942" max="13942" width="9" style="178"/>
    <col min="13943" max="13943" width="9" style="178"/>
    <col min="13944" max="13944" width="9" style="178"/>
    <col min="13945" max="13945" width="9" style="178"/>
    <col min="13946" max="13946" width="9" style="178"/>
    <col min="13947" max="13947" width="9" style="178"/>
    <col min="13948" max="13948" width="9" style="178"/>
    <col min="13949" max="13949" width="9" style="178"/>
    <col min="13950" max="13950" width="9" style="178"/>
    <col min="13951" max="13951" width="9" style="178"/>
    <col min="13952" max="13952" width="9" style="178"/>
    <col min="13953" max="13953" width="9" style="178"/>
    <col min="13954" max="13954" width="9" style="178"/>
    <col min="13955" max="13955" width="9" style="178"/>
    <col min="13956" max="13956" width="9" style="178"/>
    <col min="13957" max="13957" width="9" style="178"/>
    <col min="13958" max="13958" width="9" style="178"/>
    <col min="13959" max="13959" width="9" style="178"/>
    <col min="13960" max="13960" width="9" style="178"/>
    <col min="13961" max="13961" width="9" style="178"/>
    <col min="13962" max="13962" width="9" style="178"/>
    <col min="13963" max="13963" width="9" style="178"/>
    <col min="13964" max="13964" width="9" style="178"/>
    <col min="13965" max="13965" width="9" style="178"/>
    <col min="13966" max="13966" width="9" style="178"/>
    <col min="13967" max="13967" width="9" style="178"/>
    <col min="13968" max="13968" width="9" style="178"/>
    <col min="13969" max="13969" width="9" style="178"/>
    <col min="13970" max="13970" width="9" style="178"/>
    <col min="13971" max="13971" width="9" style="178"/>
    <col min="13972" max="13972" width="9" style="178"/>
    <col min="13973" max="13973" width="9" style="178"/>
    <col min="13974" max="13974" width="9" style="178"/>
    <col min="13975" max="13975" width="9" style="178"/>
    <col min="13976" max="13976" width="9" style="178"/>
    <col min="13977" max="13977" width="9" style="178"/>
    <col min="13978" max="13978" width="9" style="178"/>
    <col min="13979" max="13979" width="9" style="178"/>
    <col min="13980" max="13980" width="9" style="178"/>
    <col min="13981" max="13981" width="9" style="178"/>
    <col min="13982" max="13982" width="9" style="178"/>
    <col min="13983" max="13983" width="9" style="178"/>
    <col min="13984" max="13984" width="9" style="178"/>
    <col min="13985" max="13985" width="9" style="178"/>
    <col min="13986" max="13986" width="9" style="178"/>
    <col min="13987" max="13987" width="9" style="178"/>
    <col min="13988" max="13988" width="9" style="178"/>
    <col min="13989" max="13989" width="9" style="178"/>
    <col min="13990" max="13990" width="9" style="178"/>
    <col min="13991" max="13991" width="9" style="178"/>
    <col min="13992" max="13992" width="9" style="178"/>
    <col min="13993" max="13993" width="9" style="178"/>
    <col min="13994" max="13994" width="9" style="178"/>
    <col min="13995" max="13995" width="9" style="178"/>
    <col min="13996" max="13996" width="9" style="178"/>
    <col min="13997" max="13997" width="9" style="178"/>
    <col min="13998" max="13998" width="9" style="178"/>
    <col min="13999" max="13999" width="9" style="178"/>
    <col min="14000" max="14000" width="9" style="178"/>
    <col min="14001" max="14001" width="9" style="178"/>
    <col min="14002" max="14002" width="9" style="178"/>
    <col min="14003" max="14003" width="9" style="178"/>
    <col min="14004" max="14004" width="9" style="178"/>
    <col min="14005" max="14005" width="9" style="178"/>
    <col min="14006" max="14006" width="9" style="178"/>
    <col min="14007" max="14007" width="9" style="178"/>
    <col min="14008" max="14008" width="9" style="178"/>
    <col min="14009" max="14009" width="9" style="178"/>
    <col min="14010" max="14010" width="9" style="178"/>
    <col min="14011" max="14011" width="9" style="178"/>
    <col min="14012" max="14012" width="9" style="178"/>
    <col min="14013" max="14013" width="9" style="178"/>
    <col min="14014" max="14014" width="9" style="178"/>
    <col min="14015" max="14015" width="9" style="178"/>
    <col min="14016" max="14016" width="9" style="178"/>
    <col min="14017" max="14017" width="9" style="178"/>
    <col min="14018" max="14018" width="9" style="178"/>
    <col min="14019" max="14019" width="9" style="178"/>
    <col min="14020" max="14020" width="9" style="178"/>
    <col min="14021" max="14021" width="9" style="178"/>
    <col min="14022" max="14022" width="9" style="178"/>
    <col min="14023" max="14023" width="9" style="178"/>
    <col min="14024" max="14024" width="9" style="178"/>
    <col min="14025" max="14025" width="9" style="178"/>
    <col min="14026" max="14026" width="9" style="178"/>
    <col min="14027" max="14027" width="9" style="178"/>
    <col min="14028" max="14028" width="9" style="178"/>
    <col min="14029" max="14029" width="9" style="178"/>
    <col min="14030" max="14030" width="9" style="178"/>
    <col min="14031" max="14031" width="9" style="178"/>
    <col min="14032" max="14032" width="9" style="178"/>
    <col min="14033" max="14033" width="9" style="178"/>
    <col min="14034" max="14034" width="9" style="178"/>
    <col min="14035" max="14035" width="9" style="178"/>
    <col min="14036" max="14036" width="9" style="178"/>
    <col min="14037" max="14037" width="9" style="178"/>
    <col min="14038" max="14038" width="9" style="178"/>
    <col min="14039" max="14039" width="9" style="178"/>
    <col min="14040" max="14040" width="9" style="178"/>
    <col min="14041" max="14041" width="9" style="178"/>
    <col min="14042" max="14042" width="9" style="178"/>
    <col min="14043" max="14043" width="9" style="178"/>
    <col min="14044" max="14044" width="9" style="178"/>
    <col min="14045" max="14045" width="9" style="178"/>
    <col min="14046" max="14046" width="9" style="178"/>
    <col min="14047" max="14047" width="9" style="178"/>
    <col min="14048" max="14048" width="9" style="178"/>
    <col min="14049" max="14049" width="9" style="178"/>
    <col min="14050" max="14050" width="9" style="178"/>
    <col min="14051" max="14051" width="9" style="178"/>
    <col min="14052" max="14052" width="9" style="178"/>
    <col min="14053" max="14053" width="9" style="178"/>
    <col min="14054" max="14054" width="9" style="178"/>
    <col min="14055" max="14055" width="9" style="178"/>
    <col min="14056" max="14056" width="9" style="178"/>
    <col min="14057" max="14057" width="9" style="178"/>
    <col min="14058" max="14058" width="9" style="178"/>
    <col min="14059" max="14059" width="9" style="178"/>
    <col min="14060" max="14060" width="9" style="178"/>
    <col min="14061" max="14061" width="9" style="178"/>
    <col min="14062" max="14062" width="9" style="178"/>
    <col min="14063" max="14063" width="9" style="178"/>
    <col min="14064" max="14064" width="9" style="178"/>
    <col min="14065" max="14065" width="9" style="178"/>
    <col min="14066" max="14066" width="9" style="178"/>
    <col min="14067" max="14067" width="9" style="178"/>
    <col min="14068" max="14068" width="9" style="178"/>
    <col min="14069" max="14069" width="9" style="178"/>
    <col min="14070" max="14070" width="9" style="178"/>
    <col min="14071" max="14071" width="9" style="178"/>
    <col min="14072" max="14072" width="9" style="178"/>
    <col min="14073" max="14073" width="9" style="178"/>
    <col min="14074" max="14074" width="9" style="178"/>
    <col min="14075" max="14075" width="9" style="178"/>
    <col min="14076" max="14076" width="9" style="178"/>
    <col min="14077" max="14077" width="9" style="178"/>
    <col min="14078" max="14078" width="9" style="178"/>
    <col min="14079" max="14079" width="9" style="178"/>
    <col min="14080" max="14080" width="9" style="178"/>
    <col min="14081" max="14081" width="9" style="178"/>
    <col min="14082" max="14082" width="9" style="178"/>
    <col min="14083" max="14083" width="9" style="178"/>
    <col min="14084" max="14084" width="9" style="178"/>
    <col min="14085" max="14085" width="9" style="178"/>
    <col min="14086" max="14086" width="9" style="178"/>
    <col min="14087" max="14087" width="9" style="178"/>
    <col min="14088" max="14088" width="9" style="178"/>
    <col min="14089" max="14089" width="9" style="178"/>
    <col min="14090" max="14090" width="9" style="178"/>
    <col min="14091" max="14091" width="9" style="178"/>
    <col min="14092" max="14092" width="9" style="178"/>
    <col min="14093" max="14093" width="9" style="178"/>
    <col min="14094" max="14094" width="9" style="178"/>
    <col min="14095" max="14095" width="9" style="178"/>
    <col min="14096" max="14096" width="9" style="178"/>
    <col min="14097" max="14097" width="9" style="178"/>
    <col min="14098" max="14098" width="9" style="178"/>
    <col min="14099" max="14099" width="9" style="178"/>
    <col min="14100" max="14100" width="9" style="178"/>
    <col min="14101" max="14101" width="9" style="178"/>
    <col min="14102" max="14102" width="9" style="178"/>
    <col min="14103" max="14103" width="9" style="178"/>
    <col min="14104" max="14104" width="9" style="178"/>
    <col min="14105" max="14105" width="9" style="178"/>
    <col min="14106" max="14106" width="9" style="178"/>
    <col min="14107" max="14107" width="9" style="178"/>
    <col min="14108" max="14108" width="9" style="178"/>
    <col min="14109" max="14109" width="9" style="178"/>
    <col min="14110" max="14110" width="9" style="178"/>
    <col min="14111" max="14111" width="9" style="178"/>
    <col min="14112" max="14112" width="9" style="178"/>
    <col min="14113" max="14113" width="9" style="178"/>
    <col min="14114" max="14114" width="9" style="178"/>
    <col min="14115" max="14115" width="9" style="178"/>
    <col min="14116" max="14116" width="9" style="178"/>
    <col min="14117" max="14117" width="9" style="178"/>
    <col min="14118" max="14118" width="9" style="178"/>
    <col min="14119" max="14119" width="9" style="178"/>
    <col min="14120" max="14120" width="9" style="178"/>
    <col min="14121" max="14121" width="9" style="178"/>
    <col min="14122" max="14122" width="9" style="178"/>
    <col min="14123" max="14123" width="9" style="178"/>
    <col min="14124" max="14124" width="9" style="178"/>
    <col min="14125" max="14125" width="9" style="178"/>
    <col min="14126" max="14126" width="9" style="178"/>
    <col min="14127" max="14127" width="9" style="178"/>
    <col min="14128" max="14128" width="9" style="178"/>
    <col min="14129" max="14129" width="9" style="178"/>
    <col min="14130" max="14130" width="9" style="178"/>
    <col min="14131" max="14131" width="9" style="178"/>
    <col min="14132" max="14132" width="9" style="178"/>
    <col min="14133" max="14133" width="9" style="178"/>
    <col min="14134" max="14134" width="9" style="178"/>
    <col min="14135" max="14135" width="9" style="178"/>
    <col min="14136" max="14136" width="9" style="178"/>
    <col min="14137" max="14137" width="9" style="178"/>
    <col min="14138" max="14138" width="9" style="178"/>
    <col min="14139" max="14139" width="9" style="178"/>
    <col min="14140" max="14140" width="9" style="178"/>
    <col min="14141" max="14141" width="9" style="178"/>
    <col min="14142" max="14142" width="9" style="178"/>
    <col min="14143" max="14143" width="9" style="178"/>
    <col min="14144" max="14144" width="9" style="178"/>
    <col min="14145" max="14145" width="9" style="178"/>
    <col min="14146" max="14146" width="9" style="178"/>
    <col min="14147" max="14147" width="9" style="178"/>
    <col min="14148" max="14148" width="9" style="178"/>
    <col min="14149" max="14149" width="9" style="178"/>
    <col min="14150" max="14150" width="9" style="178"/>
    <col min="14151" max="14151" width="9" style="178"/>
    <col min="14152" max="14152" width="9" style="178"/>
    <col min="14153" max="14153" width="9" style="178"/>
    <col min="14154" max="14154" width="9" style="178"/>
    <col min="14155" max="14155" width="9" style="178"/>
    <col min="14156" max="14156" width="9" style="178"/>
    <col min="14157" max="14157" width="9" style="178"/>
    <col min="14158" max="14158" width="9" style="178"/>
    <col min="14159" max="14159" width="9" style="178"/>
    <col min="14160" max="14160" width="9" style="178"/>
    <col min="14161" max="14161" width="9" style="178"/>
    <col min="14162" max="14162" width="9" style="178"/>
    <col min="14163" max="14163" width="9" style="178"/>
    <col min="14164" max="14164" width="9" style="178"/>
    <col min="14165" max="14165" width="9" style="178"/>
    <col min="14166" max="14166" width="9" style="178"/>
    <col min="14167" max="14167" width="9" style="178"/>
    <col min="14168" max="14168" width="9" style="178"/>
    <col min="14169" max="14169" width="9" style="178"/>
    <col min="14170" max="14170" width="9" style="178"/>
    <col min="14171" max="14171" width="9" style="178"/>
    <col min="14172" max="14172" width="9" style="178"/>
    <col min="14173" max="14173" width="9" style="178"/>
    <col min="14174" max="14174" width="9" style="178"/>
    <col min="14175" max="14175" width="9" style="178"/>
    <col min="14176" max="14176" width="9" style="178"/>
    <col min="14177" max="14177" width="9" style="178"/>
    <col min="14178" max="14178" width="9" style="178"/>
    <col min="14179" max="14179" width="9" style="178"/>
    <col min="14180" max="14180" width="9" style="178"/>
    <col min="14181" max="14181" width="9" style="178"/>
    <col min="14182" max="14182" width="9" style="178"/>
    <col min="14183" max="14183" width="9" style="178"/>
    <col min="14184" max="14184" width="9" style="178"/>
    <col min="14185" max="14185" width="9" style="178"/>
    <col min="14186" max="14186" width="9" style="178"/>
    <col min="14187" max="14187" width="9" style="178"/>
    <col min="14188" max="14188" width="9" style="178"/>
    <col min="14189" max="14189" width="9" style="178"/>
    <col min="14190" max="14190" width="9" style="178"/>
    <col min="14191" max="14191" width="9" style="178"/>
    <col min="14192" max="14192" width="9" style="178"/>
    <col min="14193" max="14193" width="9" style="178"/>
    <col min="14194" max="14194" width="9" style="178"/>
    <col min="14195" max="14195" width="9" style="178"/>
    <col min="14196" max="14196" width="9" style="178"/>
    <col min="14197" max="14197" width="9" style="178"/>
    <col min="14198" max="14198" width="9" style="178"/>
    <col min="14199" max="14199" width="9" style="178"/>
    <col min="14200" max="14200" width="9" style="178"/>
    <col min="14201" max="14201" width="9" style="178"/>
    <col min="14202" max="14202" width="9" style="178"/>
    <col min="14203" max="14203" width="9" style="178"/>
    <col min="14204" max="14204" width="9" style="178"/>
    <col min="14205" max="14205" width="9" style="178"/>
    <col min="14206" max="14206" width="9" style="178"/>
    <col min="14207" max="14207" width="9" style="178"/>
    <col min="14208" max="14208" width="9" style="178"/>
    <col min="14209" max="14209" width="9" style="178"/>
    <col min="14210" max="14210" width="9" style="178"/>
    <col min="14211" max="14211" width="9" style="178"/>
    <col min="14212" max="14212" width="9" style="178"/>
    <col min="14213" max="14213" width="9" style="178"/>
    <col min="14214" max="14214" width="9" style="178"/>
    <col min="14215" max="14215" width="9" style="178"/>
    <col min="14216" max="14216" width="9" style="178"/>
    <col min="14217" max="14217" width="9" style="178"/>
    <col min="14218" max="14218" width="9" style="178"/>
    <col min="14219" max="14219" width="9" style="178"/>
    <col min="14220" max="14220" width="9" style="178"/>
    <col min="14221" max="14221" width="9" style="178"/>
    <col min="14222" max="14222" width="9" style="178"/>
    <col min="14223" max="14223" width="9" style="178"/>
    <col min="14224" max="14224" width="9" style="178"/>
    <col min="14225" max="14225" width="9" style="178"/>
    <col min="14226" max="14226" width="9" style="178"/>
    <col min="14227" max="14227" width="9" style="178"/>
    <col min="14228" max="14228" width="9" style="178"/>
    <col min="14229" max="14229" width="9" style="178"/>
    <col min="14230" max="14230" width="9" style="178"/>
    <col min="14231" max="14231" width="9" style="178"/>
    <col min="14232" max="14232" width="9" style="178"/>
    <col min="14233" max="14233" width="9" style="178"/>
    <col min="14234" max="14234" width="9" style="178"/>
    <col min="14235" max="14235" width="9" style="178"/>
    <col min="14236" max="14236" width="9" style="178"/>
    <col min="14237" max="14237" width="9" style="178"/>
    <col min="14238" max="14238" width="9" style="178"/>
    <col min="14239" max="14239" width="9" style="178"/>
    <col min="14240" max="14240" width="9" style="178"/>
    <col min="14241" max="14241" width="9" style="178"/>
    <col min="14242" max="14242" width="9" style="178"/>
    <col min="14243" max="14243" width="9" style="178"/>
    <col min="14244" max="14244" width="9" style="178"/>
    <col min="14245" max="14245" width="9" style="178"/>
    <col min="14246" max="14246" width="9" style="178"/>
    <col min="14247" max="14247" width="9" style="178"/>
    <col min="14248" max="14248" width="9" style="178"/>
    <col min="14249" max="14249" width="9" style="178"/>
    <col min="14250" max="14250" width="9" style="178"/>
    <col min="14251" max="14251" width="9" style="178"/>
    <col min="14252" max="14252" width="9" style="178"/>
    <col min="14253" max="14253" width="9" style="178"/>
    <col min="14254" max="14254" width="9" style="178"/>
    <col min="14255" max="14255" width="9" style="178"/>
    <col min="14256" max="14256" width="9" style="178"/>
    <col min="14257" max="14257" width="9" style="178"/>
    <col min="14258" max="14258" width="9" style="178"/>
    <col min="14259" max="14259" width="9" style="178"/>
    <col min="14260" max="14260" width="9" style="178"/>
    <col min="14261" max="14261" width="9" style="178"/>
    <col min="14262" max="14262" width="9" style="178"/>
    <col min="14263" max="14263" width="9" style="178"/>
    <col min="14264" max="14264" width="9" style="178"/>
    <col min="14265" max="14265" width="9" style="178"/>
    <col min="14266" max="14266" width="9" style="178"/>
    <col min="14267" max="14267" width="9" style="178"/>
    <col min="14268" max="14268" width="9" style="178"/>
    <col min="14269" max="14269" width="9" style="178"/>
    <col min="14270" max="14270" width="9" style="178"/>
    <col min="14271" max="14271" width="9" style="178"/>
    <col min="14272" max="14272" width="9" style="178"/>
    <col min="14273" max="14273" width="9" style="178"/>
    <col min="14274" max="14274" width="9" style="178"/>
    <col min="14275" max="14275" width="9" style="178"/>
    <col min="14276" max="14276" width="9" style="178"/>
    <col min="14277" max="14277" width="9" style="178"/>
    <col min="14278" max="14278" width="9" style="178"/>
    <col min="14279" max="14279" width="9" style="178"/>
    <col min="14280" max="14280" width="9" style="178"/>
    <col min="14281" max="14281" width="9" style="178"/>
    <col min="14282" max="14282" width="9" style="178"/>
    <col min="14283" max="14283" width="9" style="178"/>
    <col min="14284" max="14284" width="9" style="178"/>
    <col min="14285" max="14285" width="9" style="178"/>
    <col min="14286" max="14286" width="9" style="178"/>
    <col min="14287" max="14287" width="9" style="178"/>
    <col min="14288" max="14288" width="9" style="178"/>
    <col min="14289" max="14289" width="9" style="178"/>
    <col min="14290" max="14290" width="9" style="178"/>
    <col min="14291" max="14291" width="9" style="178"/>
    <col min="14292" max="14292" width="9" style="178"/>
    <col min="14293" max="14293" width="9" style="178"/>
    <col min="14294" max="14294" width="9" style="178"/>
    <col min="14295" max="14295" width="9" style="178"/>
    <col min="14296" max="14296" width="9" style="178"/>
    <col min="14297" max="14297" width="9" style="178"/>
    <col min="14298" max="14298" width="9" style="178"/>
    <col min="14299" max="14299" width="9" style="178"/>
    <col min="14300" max="14300" width="9" style="178"/>
    <col min="14301" max="14301" width="9" style="178"/>
    <col min="14302" max="14302" width="9" style="178"/>
    <col min="14303" max="14303" width="9" style="178"/>
    <col min="14304" max="14304" width="9" style="178"/>
    <col min="14305" max="14305" width="9" style="178"/>
    <col min="14306" max="14306" width="9" style="178"/>
    <col min="14307" max="14307" width="9" style="178"/>
    <col min="14308" max="14308" width="9" style="178"/>
    <col min="14309" max="14309" width="9" style="178"/>
    <col min="14310" max="14310" width="9" style="178"/>
    <col min="14311" max="14311" width="9" style="178"/>
    <col min="14312" max="14312" width="9" style="178"/>
    <col min="14313" max="14313" width="9" style="178"/>
    <col min="14314" max="14314" width="9" style="178"/>
    <col min="14315" max="14315" width="9" style="178"/>
    <col min="14316" max="14316" width="9" style="178"/>
    <col min="14317" max="14317" width="9" style="178"/>
    <col min="14318" max="14318" width="9" style="178"/>
    <col min="14319" max="14319" width="9" style="178"/>
    <col min="14320" max="14320" width="9" style="178"/>
    <col min="14321" max="14321" width="9" style="178"/>
    <col min="14322" max="14322" width="9" style="178"/>
    <col min="14323" max="14323" width="9" style="178"/>
    <col min="14324" max="14324" width="9" style="178"/>
    <col min="14325" max="14325" width="9" style="178"/>
    <col min="14326" max="14326" width="9" style="178"/>
    <col min="14327" max="14327" width="9" style="178"/>
    <col min="14328" max="14328" width="9" style="178"/>
    <col min="14329" max="14329" width="9" style="178"/>
    <col min="14330" max="14330" width="9" style="178"/>
    <col min="14331" max="14331" width="9" style="178"/>
    <col min="14332" max="14332" width="9" style="178"/>
    <col min="14333" max="14333" width="9" style="178"/>
    <col min="14334" max="14334" width="9" style="178"/>
    <col min="14335" max="14335" width="9" style="178"/>
    <col min="14336" max="14336" width="9" style="178"/>
    <col min="14337" max="14337" width="9" style="178"/>
    <col min="14338" max="14338" width="9" style="178"/>
    <col min="14339" max="14339" width="9" style="178"/>
    <col min="14340" max="14340" width="9" style="178"/>
    <col min="14341" max="14341" width="9" style="178"/>
    <col min="14342" max="14342" width="9" style="178"/>
    <col min="14343" max="14343" width="9" style="178"/>
    <col min="14344" max="14344" width="9" style="178"/>
    <col min="14345" max="14345" width="9" style="178"/>
    <col min="14346" max="14346" width="9" style="178"/>
    <col min="14347" max="14347" width="9" style="178"/>
    <col min="14348" max="14348" width="9" style="178"/>
    <col min="14349" max="14349" width="9" style="178"/>
    <col min="14350" max="14350" width="9" style="178"/>
    <col min="14351" max="14351" width="9" style="178"/>
    <col min="14352" max="14352" width="9" style="178"/>
    <col min="14353" max="14353" width="9" style="178"/>
    <col min="14354" max="14354" width="9" style="178"/>
    <col min="14355" max="14355" width="9" style="178"/>
    <col min="14356" max="14356" width="9" style="178"/>
    <col min="14357" max="14357" width="9" style="178"/>
    <col min="14358" max="14358" width="9" style="178"/>
    <col min="14359" max="14359" width="9" style="178"/>
    <col min="14360" max="14360" width="9" style="178"/>
    <col min="14361" max="14361" width="9" style="178"/>
    <col min="14362" max="14362" width="9" style="178"/>
    <col min="14363" max="14363" width="9" style="178"/>
    <col min="14364" max="14364" width="9" style="178"/>
    <col min="14365" max="14365" width="9" style="178"/>
    <col min="14366" max="14366" width="9" style="178"/>
    <col min="14367" max="14367" width="9" style="178"/>
    <col min="14368" max="14368" width="9" style="178"/>
    <col min="14369" max="14369" width="9" style="178"/>
    <col min="14370" max="14370" width="9" style="178"/>
    <col min="14371" max="14371" width="9" style="178"/>
    <col min="14372" max="14372" width="9" style="178"/>
    <col min="14373" max="14373" width="9" style="178"/>
    <col min="14374" max="14374" width="9" style="178"/>
    <col min="14375" max="14375" width="9" style="178"/>
    <col min="14376" max="14376" width="9" style="178"/>
    <col min="14377" max="14377" width="9" style="178"/>
    <col min="14378" max="14378" width="9" style="178"/>
    <col min="14379" max="14379" width="9" style="178"/>
    <col min="14380" max="14380" width="9" style="178"/>
    <col min="14381" max="14381" width="9" style="178"/>
    <col min="14382" max="14382" width="9" style="178"/>
    <col min="14383" max="14383" width="9" style="178"/>
    <col min="14384" max="14384" width="9" style="178"/>
    <col min="14385" max="14385" width="9" style="178"/>
    <col min="14386" max="14386" width="9" style="178"/>
    <col min="14387" max="14387" width="9" style="178"/>
    <col min="14388" max="14388" width="9" style="178"/>
    <col min="14389" max="14389" width="9" style="178"/>
    <col min="14390" max="14390" width="9" style="178"/>
    <col min="14391" max="14391" width="9" style="178"/>
    <col min="14392" max="14392" width="9" style="178"/>
    <col min="14393" max="14393" width="9" style="178"/>
    <col min="14394" max="14394" width="9" style="178"/>
    <col min="14395" max="14395" width="9" style="178"/>
    <col min="14396" max="14396" width="9" style="178"/>
    <col min="14397" max="14397" width="9" style="178"/>
    <col min="14398" max="14398" width="9" style="178"/>
    <col min="14399" max="14399" width="9" style="178"/>
    <col min="14400" max="14400" width="9" style="178"/>
    <col min="14401" max="14401" width="9" style="178"/>
    <col min="14402" max="14402" width="9" style="178"/>
    <col min="14403" max="14403" width="9" style="178"/>
    <col min="14404" max="14404" width="9" style="178"/>
    <col min="14405" max="14405" width="9" style="178"/>
    <col min="14406" max="14406" width="9" style="178"/>
    <col min="14407" max="14407" width="9" style="178"/>
    <col min="14408" max="14408" width="9" style="178"/>
    <col min="14409" max="14409" width="9" style="178"/>
    <col min="14410" max="14410" width="9" style="178"/>
    <col min="14411" max="14411" width="9" style="178"/>
    <col min="14412" max="14412" width="9" style="178"/>
    <col min="14413" max="14413" width="9" style="178"/>
    <col min="14414" max="14414" width="9" style="178"/>
    <col min="14415" max="14415" width="9" style="178"/>
    <col min="14416" max="14416" width="9" style="178"/>
    <col min="14417" max="14417" width="9" style="178"/>
    <col min="14418" max="14418" width="9" style="178"/>
    <col min="14419" max="14419" width="9" style="178"/>
    <col min="14420" max="14420" width="9" style="178"/>
    <col min="14421" max="14421" width="9" style="178"/>
    <col min="14422" max="14422" width="9" style="178"/>
    <col min="14423" max="14423" width="9" style="178"/>
    <col min="14424" max="14424" width="9" style="178"/>
    <col min="14425" max="14425" width="9" style="178"/>
    <col min="14426" max="14426" width="9" style="178"/>
    <col min="14427" max="14427" width="9" style="178"/>
    <col min="14428" max="14428" width="9" style="178"/>
    <col min="14429" max="14429" width="9" style="178"/>
    <col min="14430" max="14430" width="9" style="178"/>
    <col min="14431" max="14431" width="9" style="178"/>
    <col min="14432" max="14432" width="9" style="178"/>
    <col min="14433" max="14433" width="9" style="178"/>
    <col min="14434" max="14434" width="9" style="178"/>
    <col min="14435" max="14435" width="9" style="178"/>
    <col min="14436" max="14436" width="9" style="178"/>
    <col min="14437" max="14437" width="9" style="178"/>
    <col min="14438" max="14438" width="9" style="178"/>
    <col min="14439" max="14439" width="9" style="178"/>
    <col min="14440" max="14440" width="9" style="178"/>
    <col min="14441" max="14441" width="9" style="178"/>
    <col min="14442" max="14442" width="9" style="178"/>
    <col min="14443" max="14443" width="9" style="178"/>
    <col min="14444" max="14444" width="9" style="178"/>
    <col min="14445" max="14445" width="9" style="178"/>
    <col min="14446" max="14446" width="9" style="178"/>
    <col min="14447" max="14447" width="9" style="178"/>
    <col min="14448" max="14448" width="9" style="178"/>
    <col min="14449" max="14449" width="9" style="178"/>
    <col min="14450" max="14450" width="9" style="178"/>
    <col min="14451" max="14451" width="9" style="178"/>
    <col min="14452" max="14452" width="9" style="178"/>
    <col min="14453" max="14453" width="9" style="178"/>
    <col min="14454" max="14454" width="9" style="178"/>
    <col min="14455" max="14455" width="9" style="178"/>
    <col min="14456" max="14456" width="9" style="178"/>
    <col min="14457" max="14457" width="9" style="178"/>
    <col min="14458" max="14458" width="9" style="178"/>
    <col min="14459" max="14459" width="9" style="178"/>
    <col min="14460" max="14460" width="9" style="178"/>
    <col min="14461" max="14461" width="9" style="178"/>
    <col min="14462" max="14462" width="9" style="178"/>
    <col min="14463" max="14463" width="9" style="178"/>
    <col min="14464" max="14464" width="9" style="178"/>
    <col min="14465" max="14465" width="9" style="178"/>
    <col min="14466" max="14466" width="9" style="178"/>
    <col min="14467" max="14467" width="9" style="178"/>
    <col min="14468" max="14468" width="9" style="178"/>
    <col min="14469" max="14469" width="9" style="178"/>
    <col min="14470" max="14470" width="9" style="178"/>
    <col min="14471" max="14471" width="9" style="178"/>
    <col min="14472" max="14472" width="9" style="178"/>
    <col min="14473" max="14473" width="9" style="178"/>
    <col min="14474" max="14474" width="9" style="178"/>
    <col min="14475" max="14475" width="9" style="178"/>
    <col min="14476" max="14476" width="9" style="178"/>
    <col min="14477" max="14477" width="9" style="178"/>
    <col min="14478" max="14478" width="9" style="178"/>
    <col min="14479" max="14479" width="9" style="178"/>
    <col min="14480" max="14480" width="9" style="178"/>
    <col min="14481" max="14481" width="9" style="178"/>
    <col min="14482" max="14482" width="9" style="178"/>
    <col min="14483" max="14483" width="9" style="178"/>
    <col min="14484" max="14484" width="9" style="178"/>
    <col min="14485" max="14485" width="9" style="178"/>
    <col min="14486" max="14486" width="9" style="178"/>
    <col min="14487" max="14487" width="9" style="178"/>
    <col min="14488" max="14488" width="9" style="178"/>
    <col min="14489" max="14489" width="9" style="178"/>
    <col min="14490" max="14490" width="9" style="178"/>
    <col min="14491" max="14491" width="9" style="178"/>
    <col min="14492" max="14492" width="9" style="178"/>
    <col min="14493" max="14493" width="9" style="178"/>
    <col min="14494" max="14494" width="9" style="178"/>
    <col min="14495" max="14495" width="9" style="178"/>
    <col min="14496" max="14496" width="9" style="178"/>
    <col min="14497" max="14497" width="9" style="178"/>
    <col min="14498" max="14498" width="9" style="178"/>
    <col min="14499" max="14499" width="9" style="178"/>
    <col min="14500" max="14500" width="9" style="178"/>
    <col min="14501" max="14501" width="9" style="178"/>
    <col min="14502" max="14502" width="9" style="178"/>
    <col min="14503" max="14503" width="9" style="178"/>
    <col min="14504" max="14504" width="9" style="178"/>
    <col min="14505" max="14505" width="9" style="178"/>
    <col min="14506" max="14506" width="9" style="178"/>
    <col min="14507" max="14507" width="9" style="178"/>
    <col min="14508" max="14508" width="9" style="178"/>
    <col min="14509" max="14509" width="9" style="178"/>
    <col min="14510" max="14510" width="9" style="178"/>
    <col min="14511" max="14511" width="9" style="178"/>
    <col min="14512" max="14512" width="9" style="178"/>
    <col min="14513" max="14513" width="9" style="178"/>
    <col min="14514" max="14514" width="9" style="178"/>
    <col min="14515" max="14515" width="9" style="178"/>
    <col min="14516" max="14516" width="9" style="178"/>
    <col min="14517" max="14517" width="9" style="178"/>
    <col min="14518" max="14518" width="9" style="178"/>
    <col min="14519" max="14519" width="9" style="178"/>
    <col min="14520" max="14520" width="9" style="178"/>
    <col min="14521" max="14521" width="9" style="178"/>
    <col min="14522" max="14522" width="9" style="178"/>
    <col min="14523" max="14523" width="9" style="178"/>
    <col min="14524" max="14524" width="9" style="178"/>
    <col min="14525" max="14525" width="9" style="178"/>
    <col min="14526" max="14526" width="9" style="178"/>
    <col min="14527" max="14527" width="9" style="178"/>
    <col min="14528" max="14528" width="9" style="178"/>
    <col min="14529" max="14529" width="9" style="178"/>
    <col min="14530" max="14530" width="9" style="178"/>
    <col min="14531" max="14531" width="9" style="178"/>
    <col min="14532" max="14532" width="9" style="178"/>
    <col min="14533" max="14533" width="9" style="178"/>
    <col min="14534" max="14534" width="9" style="178"/>
    <col min="14535" max="14535" width="9" style="178"/>
    <col min="14536" max="14536" width="9" style="178"/>
    <col min="14537" max="14537" width="9" style="178"/>
    <col min="14538" max="14538" width="9" style="178"/>
    <col min="14539" max="14539" width="9" style="178"/>
    <col min="14540" max="14540" width="9" style="178"/>
    <col min="14541" max="14541" width="9" style="178"/>
    <col min="14542" max="14542" width="9" style="178"/>
    <col min="14543" max="14543" width="9" style="178"/>
    <col min="14544" max="14544" width="9" style="178"/>
    <col min="14545" max="14545" width="9" style="178"/>
    <col min="14546" max="14546" width="9" style="178"/>
    <col min="14547" max="14547" width="9" style="178"/>
    <col min="14548" max="14548" width="9" style="178"/>
    <col min="14549" max="14549" width="9" style="178"/>
    <col min="14550" max="14550" width="9" style="178"/>
    <col min="14551" max="14551" width="9" style="178"/>
    <col min="14552" max="14552" width="9" style="178"/>
    <col min="14553" max="14553" width="9" style="178"/>
    <col min="14554" max="14554" width="9" style="178"/>
    <col min="14555" max="14555" width="9" style="178"/>
    <col min="14556" max="14556" width="9" style="178"/>
    <col min="14557" max="14557" width="9" style="178"/>
    <col min="14558" max="14558" width="9" style="178"/>
    <col min="14559" max="14559" width="9" style="178"/>
    <col min="14560" max="14560" width="9" style="178"/>
    <col min="14561" max="14561" width="9" style="178"/>
    <col min="14562" max="14562" width="9" style="178"/>
    <col min="14563" max="14563" width="9" style="178"/>
    <col min="14564" max="14564" width="9" style="178"/>
    <col min="14565" max="14565" width="9" style="178"/>
    <col min="14566" max="14566" width="9" style="178"/>
    <col min="14567" max="14567" width="9" style="178"/>
    <col min="14568" max="14568" width="9" style="178"/>
    <col min="14569" max="14569" width="9" style="178"/>
    <col min="14570" max="14570" width="9" style="178"/>
    <col min="14571" max="14571" width="9" style="178"/>
    <col min="14572" max="14572" width="9" style="178"/>
    <col min="14573" max="14573" width="9" style="178"/>
    <col min="14574" max="14574" width="9" style="178"/>
    <col min="14575" max="14575" width="9" style="178"/>
    <col min="14576" max="14576" width="9" style="178"/>
    <col min="14577" max="14577" width="9" style="178"/>
    <col min="14578" max="14578" width="9" style="178"/>
    <col min="14579" max="14579" width="9" style="178"/>
    <col min="14580" max="14580" width="9" style="178"/>
    <col min="14581" max="14581" width="9" style="178"/>
    <col min="14582" max="14582" width="9" style="178"/>
    <col min="14583" max="14583" width="9" style="178"/>
    <col min="14584" max="14584" width="9" style="178"/>
    <col min="14585" max="14585" width="9" style="178"/>
    <col min="14586" max="14586" width="9" style="178"/>
    <col min="14587" max="14587" width="9" style="178"/>
    <col min="14588" max="14588" width="9" style="178"/>
    <col min="14589" max="14589" width="9" style="178"/>
    <col min="14590" max="14590" width="9" style="178"/>
    <col min="14591" max="14591" width="9" style="178"/>
    <col min="14592" max="14592" width="9" style="178"/>
    <col min="14593" max="14593" width="9" style="178"/>
    <col min="14594" max="14594" width="9" style="178"/>
    <col min="14595" max="14595" width="9" style="178"/>
    <col min="14596" max="14596" width="9" style="178"/>
    <col min="14597" max="14597" width="9" style="178"/>
    <col min="14598" max="14598" width="9" style="178"/>
    <col min="14599" max="14599" width="9" style="178"/>
    <col min="14600" max="14600" width="9" style="178"/>
    <col min="14601" max="14601" width="9" style="178"/>
    <col min="14602" max="14602" width="9" style="178"/>
    <col min="14603" max="14603" width="9" style="178"/>
    <col min="14604" max="14604" width="9" style="178"/>
    <col min="14605" max="14605" width="9" style="178"/>
    <col min="14606" max="14606" width="9" style="178"/>
    <col min="14607" max="14607" width="9" style="178"/>
    <col min="14608" max="14608" width="9" style="178"/>
    <col min="14609" max="14609" width="9" style="178"/>
    <col min="14610" max="14610" width="9" style="178"/>
    <col min="14611" max="14611" width="9" style="178"/>
    <col min="14612" max="14612" width="9" style="178"/>
    <col min="14613" max="14613" width="9" style="178"/>
    <col min="14614" max="14614" width="9" style="178"/>
    <col min="14615" max="14615" width="9" style="178"/>
    <col min="14616" max="14616" width="9" style="178"/>
    <col min="14617" max="14617" width="9" style="178"/>
    <col min="14618" max="14618" width="9" style="178"/>
    <col min="14619" max="14619" width="9" style="178"/>
    <col min="14620" max="14620" width="9" style="178"/>
    <col min="14621" max="14621" width="9" style="178"/>
    <col min="14622" max="14622" width="9" style="178"/>
    <col min="14623" max="14623" width="9" style="178"/>
    <col min="14624" max="14624" width="9" style="178"/>
    <col min="14625" max="14625" width="9" style="178"/>
    <col min="14626" max="14626" width="9" style="178"/>
    <col min="14627" max="14627" width="9" style="178"/>
    <col min="14628" max="14628" width="9" style="178"/>
    <col min="14629" max="14629" width="9" style="178"/>
    <col min="14630" max="14630" width="9" style="178"/>
    <col min="14631" max="14631" width="9" style="178"/>
    <col min="14632" max="14632" width="9" style="178"/>
    <col min="14633" max="14633" width="9" style="178"/>
    <col min="14634" max="14634" width="9" style="178"/>
    <col min="14635" max="14635" width="9" style="178"/>
    <col min="14636" max="14636" width="9" style="178"/>
    <col min="14637" max="14637" width="9" style="178"/>
    <col min="14638" max="14638" width="9" style="178"/>
    <col min="14639" max="14639" width="9" style="178"/>
    <col min="14640" max="14640" width="9" style="178"/>
    <col min="14641" max="14641" width="9" style="178"/>
    <col min="14642" max="14642" width="9" style="178"/>
    <col min="14643" max="14643" width="9" style="178"/>
    <col min="14644" max="14644" width="9" style="178"/>
    <col min="14645" max="14645" width="9" style="178"/>
    <col min="14646" max="14646" width="9" style="178"/>
    <col min="14647" max="14647" width="9" style="178"/>
    <col min="14648" max="14648" width="9" style="178"/>
    <col min="14649" max="14649" width="9" style="178"/>
    <col min="14650" max="14650" width="9" style="178"/>
    <col min="14651" max="14651" width="9" style="178"/>
    <col min="14652" max="14652" width="9" style="178"/>
    <col min="14653" max="14653" width="9" style="178"/>
    <col min="14654" max="14654" width="9" style="178"/>
    <col min="14655" max="14655" width="9" style="178"/>
    <col min="14656" max="14656" width="9" style="178"/>
    <col min="14657" max="14657" width="9" style="178"/>
    <col min="14658" max="14658" width="9" style="178"/>
    <col min="14659" max="14659" width="9" style="178"/>
    <col min="14660" max="14660" width="9" style="178"/>
    <col min="14661" max="14661" width="9" style="178"/>
    <col min="14662" max="14662" width="9" style="178"/>
    <col min="14663" max="14663" width="9" style="178"/>
    <col min="14664" max="14664" width="9" style="178"/>
    <col min="14665" max="14665" width="9" style="178"/>
    <col min="14666" max="14666" width="9" style="178"/>
    <col min="14667" max="14667" width="9" style="178"/>
    <col min="14668" max="14668" width="9" style="178"/>
    <col min="14669" max="14669" width="9" style="178"/>
    <col min="14670" max="14670" width="9" style="178"/>
    <col min="14671" max="14671" width="9" style="178"/>
    <col min="14672" max="14672" width="9" style="178"/>
    <col min="14673" max="14673" width="9" style="178"/>
    <col min="14674" max="14674" width="9" style="178"/>
    <col min="14675" max="14675" width="9" style="178"/>
    <col min="14676" max="14676" width="9" style="178"/>
    <col min="14677" max="14677" width="9" style="178"/>
    <col min="14678" max="14678" width="9" style="178"/>
    <col min="14679" max="14679" width="9" style="178"/>
    <col min="14680" max="14680" width="9" style="178"/>
    <col min="14681" max="14681" width="9" style="178"/>
    <col min="14682" max="14682" width="9" style="178"/>
    <col min="14683" max="14683" width="9" style="178"/>
    <col min="14684" max="14684" width="9" style="178"/>
    <col min="14685" max="14685" width="9" style="178"/>
    <col min="14686" max="14686" width="9" style="178"/>
    <col min="14687" max="14687" width="9" style="178"/>
    <col min="14688" max="14688" width="9" style="178"/>
    <col min="14689" max="14689" width="9" style="178"/>
    <col min="14690" max="14690" width="9" style="178"/>
    <col min="14691" max="14691" width="9" style="178"/>
    <col min="14692" max="14692" width="9" style="178"/>
    <col min="14693" max="14693" width="9" style="178"/>
    <col min="14694" max="14694" width="9" style="178"/>
    <col min="14695" max="14695" width="9" style="178"/>
    <col min="14696" max="14696" width="9" style="178"/>
    <col min="14697" max="14697" width="9" style="178"/>
    <col min="14698" max="14698" width="9" style="178"/>
    <col min="14699" max="14699" width="9" style="178"/>
    <col min="14700" max="14700" width="9" style="178"/>
    <col min="14701" max="14701" width="9" style="178"/>
    <col min="14702" max="14702" width="9" style="178"/>
    <col min="14703" max="14703" width="9" style="178"/>
    <col min="14704" max="14704" width="9" style="178"/>
    <col min="14705" max="14705" width="9" style="178"/>
    <col min="14706" max="14706" width="9" style="178"/>
    <col min="14707" max="14707" width="9" style="178"/>
    <col min="14708" max="14708" width="9" style="178"/>
    <col min="14709" max="14709" width="9" style="178"/>
    <col min="14710" max="14710" width="9" style="178"/>
    <col min="14711" max="14711" width="9" style="178"/>
    <col min="14712" max="14712" width="9" style="178"/>
    <col min="14713" max="14713" width="9" style="178"/>
    <col min="14714" max="14714" width="9" style="178"/>
    <col min="14715" max="14715" width="9" style="178"/>
    <col min="14716" max="14716" width="9" style="178"/>
    <col min="14717" max="14717" width="9" style="178"/>
    <col min="14718" max="14718" width="9" style="178"/>
    <col min="14719" max="14719" width="9" style="178"/>
    <col min="14720" max="14720" width="9" style="178"/>
    <col min="14721" max="14721" width="9" style="178"/>
    <col min="14722" max="14722" width="9" style="178"/>
    <col min="14723" max="14723" width="9" style="178"/>
    <col min="14724" max="14724" width="9" style="178"/>
    <col min="14725" max="14725" width="9" style="178"/>
    <col min="14726" max="14726" width="9" style="178"/>
    <col min="14727" max="14727" width="9" style="178"/>
    <col min="14728" max="14728" width="9" style="178"/>
    <col min="14729" max="14729" width="9" style="178"/>
    <col min="14730" max="14730" width="9" style="178"/>
    <col min="14731" max="14731" width="9" style="178"/>
    <col min="14732" max="14732" width="9" style="178"/>
    <col min="14733" max="14733" width="9" style="178"/>
    <col min="14734" max="14734" width="9" style="178"/>
    <col min="14735" max="14735" width="9" style="178"/>
    <col min="14736" max="14736" width="9" style="178"/>
    <col min="14737" max="14737" width="9" style="178"/>
    <col min="14738" max="14738" width="9" style="178"/>
    <col min="14739" max="14739" width="9" style="178"/>
    <col min="14740" max="14740" width="9" style="178"/>
    <col min="14741" max="14741" width="9" style="178"/>
    <col min="14742" max="14742" width="9" style="178"/>
    <col min="14743" max="14743" width="9" style="178"/>
    <col min="14744" max="14744" width="9" style="178"/>
    <col min="14745" max="14745" width="9" style="178"/>
    <col min="14746" max="14746" width="9" style="178"/>
    <col min="14747" max="14747" width="9" style="178"/>
    <col min="14748" max="14748" width="9" style="178"/>
    <col min="14749" max="14749" width="9" style="178"/>
    <col min="14750" max="14750" width="9" style="178"/>
    <col min="14751" max="14751" width="9" style="178"/>
    <col min="14752" max="14752" width="9" style="178"/>
    <col min="14753" max="14753" width="9" style="178"/>
    <col min="14754" max="14754" width="9" style="178"/>
    <col min="14755" max="14755" width="9" style="178"/>
    <col min="14756" max="14756" width="9" style="178"/>
    <col min="14757" max="14757" width="9" style="178"/>
    <col min="14758" max="14758" width="9" style="178"/>
    <col min="14759" max="14759" width="9" style="178"/>
    <col min="14760" max="14760" width="9" style="178"/>
    <col min="14761" max="14761" width="9" style="178"/>
    <col min="14762" max="14762" width="9" style="178"/>
    <col min="14763" max="14763" width="9" style="178"/>
    <col min="14764" max="14764" width="9" style="178"/>
    <col min="14765" max="14765" width="9" style="178"/>
    <col min="14766" max="14766" width="9" style="178"/>
    <col min="14767" max="14767" width="9" style="178"/>
    <col min="14768" max="14768" width="9" style="178"/>
    <col min="14769" max="14769" width="9" style="178"/>
    <col min="14770" max="14770" width="9" style="178"/>
    <col min="14771" max="14771" width="9" style="178"/>
    <col min="14772" max="14772" width="9" style="178"/>
    <col min="14773" max="14773" width="9" style="178"/>
    <col min="14774" max="14774" width="9" style="178"/>
    <col min="14775" max="14775" width="9" style="178"/>
    <col min="14776" max="14776" width="9" style="178"/>
    <col min="14777" max="14777" width="9" style="178"/>
    <col min="14778" max="14778" width="9" style="178"/>
    <col min="14779" max="14779" width="9" style="178"/>
    <col min="14780" max="14780" width="9" style="178"/>
    <col min="14781" max="14781" width="9" style="178"/>
    <col min="14782" max="14782" width="9" style="178"/>
    <col min="14783" max="14783" width="9" style="178"/>
    <col min="14784" max="14784" width="9" style="178"/>
    <col min="14785" max="14785" width="9" style="178"/>
    <col min="14786" max="14786" width="9" style="178"/>
    <col min="14787" max="14787" width="9" style="178"/>
    <col min="14788" max="14788" width="9" style="178"/>
    <col min="14789" max="14789" width="9" style="178"/>
    <col min="14790" max="14790" width="9" style="178"/>
    <col min="14791" max="14791" width="9" style="178"/>
    <col min="14792" max="14792" width="9" style="178"/>
    <col min="14793" max="14793" width="9" style="178"/>
    <col min="14794" max="14794" width="9" style="178"/>
    <col min="14795" max="14795" width="9" style="178"/>
    <col min="14796" max="14796" width="9" style="178"/>
    <col min="14797" max="14797" width="9" style="178"/>
    <col min="14798" max="14798" width="9" style="178"/>
    <col min="14799" max="14799" width="9" style="178"/>
    <col min="14800" max="14800" width="9" style="178"/>
    <col min="14801" max="14801" width="9" style="178"/>
    <col min="14802" max="14802" width="9" style="178"/>
    <col min="14803" max="14803" width="9" style="178"/>
    <col min="14804" max="14804" width="9" style="178"/>
    <col min="14805" max="14805" width="9" style="178"/>
    <col min="14806" max="14806" width="9" style="178"/>
    <col min="14807" max="14807" width="9" style="178"/>
    <col min="14808" max="14808" width="9" style="178"/>
    <col min="14809" max="14809" width="9" style="178"/>
    <col min="14810" max="14810" width="9" style="178"/>
    <col min="14811" max="14811" width="9" style="178"/>
    <col min="14812" max="14812" width="9" style="178"/>
    <col min="14813" max="14813" width="9" style="178"/>
    <col min="14814" max="14814" width="9" style="178"/>
    <col min="14815" max="14815" width="9" style="178"/>
    <col min="14816" max="14816" width="9" style="178"/>
    <col min="14817" max="14817" width="9" style="178"/>
    <col min="14818" max="14818" width="9" style="178"/>
    <col min="14819" max="14819" width="9" style="178"/>
    <col min="14820" max="14820" width="9" style="178"/>
    <col min="14821" max="14821" width="9" style="178"/>
    <col min="14822" max="14822" width="9" style="178"/>
    <col min="14823" max="14823" width="9" style="178"/>
    <col min="14824" max="14824" width="9" style="178"/>
    <col min="14825" max="14825" width="9" style="178"/>
    <col min="14826" max="14826" width="9" style="178"/>
    <col min="14827" max="14827" width="9" style="178"/>
    <col min="14828" max="14828" width="9" style="178"/>
    <col min="14829" max="14829" width="9" style="178"/>
    <col min="14830" max="14830" width="9" style="178"/>
    <col min="14831" max="14831" width="9" style="178"/>
    <col min="14832" max="14832" width="9" style="178"/>
    <col min="14833" max="14833" width="9" style="178"/>
    <col min="14834" max="14834" width="9" style="178"/>
    <col min="14835" max="14835" width="9" style="178"/>
    <col min="14836" max="14836" width="9" style="178"/>
    <col min="14837" max="14837" width="9" style="178"/>
    <col min="14838" max="14838" width="9" style="178"/>
    <col min="14839" max="14839" width="9" style="178"/>
    <col min="14840" max="14840" width="9" style="178"/>
    <col min="14841" max="14841" width="9" style="178"/>
    <col min="14842" max="14842" width="9" style="178"/>
    <col min="14843" max="14843" width="9" style="178"/>
    <col min="14844" max="14844" width="9" style="178"/>
    <col min="14845" max="14845" width="9" style="178"/>
    <col min="14846" max="14846" width="9" style="178"/>
    <col min="14847" max="14847" width="9" style="178"/>
    <col min="14848" max="14848" width="9" style="178"/>
    <col min="14849" max="14849" width="9" style="178"/>
    <col min="14850" max="14850" width="9" style="178"/>
    <col min="14851" max="14851" width="9" style="178"/>
    <col min="14852" max="14852" width="9" style="178"/>
    <col min="14853" max="14853" width="9" style="178"/>
    <col min="14854" max="14854" width="9" style="178"/>
    <col min="14855" max="14855" width="9" style="178"/>
    <col min="14856" max="14856" width="9" style="178"/>
    <col min="14857" max="14857" width="9" style="178"/>
    <col min="14858" max="14858" width="9" style="178"/>
    <col min="14859" max="14859" width="9" style="178"/>
    <col min="14860" max="14860" width="9" style="178"/>
    <col min="14861" max="14861" width="9" style="178"/>
    <col min="14862" max="14862" width="9" style="178"/>
    <col min="14863" max="14863" width="9" style="178"/>
    <col min="14864" max="14864" width="9" style="178"/>
    <col min="14865" max="14865" width="9" style="178"/>
    <col min="14866" max="14866" width="9" style="178"/>
    <col min="14867" max="14867" width="9" style="178"/>
    <col min="14868" max="14868" width="9" style="178"/>
    <col min="14869" max="14869" width="9" style="178"/>
    <col min="14870" max="14870" width="9" style="178"/>
    <col min="14871" max="14871" width="9" style="178"/>
    <col min="14872" max="14872" width="9" style="178"/>
    <col min="14873" max="14873" width="9" style="178"/>
    <col min="14874" max="14874" width="9" style="178"/>
    <col min="14875" max="14875" width="9" style="178"/>
    <col min="14876" max="14876" width="9" style="178"/>
    <col min="14877" max="14877" width="9" style="178"/>
    <col min="14878" max="14878" width="9" style="178"/>
    <col min="14879" max="14879" width="9" style="178"/>
    <col min="14880" max="14880" width="9" style="178"/>
    <col min="14881" max="14881" width="9" style="178"/>
    <col min="14882" max="14882" width="9" style="178"/>
    <col min="14883" max="14883" width="9" style="178"/>
    <col min="14884" max="14884" width="9" style="178"/>
    <col min="14885" max="14885" width="9" style="178"/>
    <col min="14886" max="14886" width="9" style="178"/>
    <col min="14887" max="14887" width="9" style="178"/>
    <col min="14888" max="14888" width="9" style="178"/>
    <col min="14889" max="14889" width="9" style="178"/>
    <col min="14890" max="14890" width="9" style="178"/>
    <col min="14891" max="14891" width="9" style="178"/>
    <col min="14892" max="14892" width="9" style="178"/>
    <col min="14893" max="14893" width="9" style="178"/>
    <col min="14894" max="14894" width="9" style="178"/>
    <col min="14895" max="14895" width="9" style="178"/>
    <col min="14896" max="14896" width="9" style="178"/>
    <col min="14897" max="14897" width="9" style="178"/>
    <col min="14898" max="14898" width="9" style="178"/>
    <col min="14899" max="14899" width="9" style="178"/>
    <col min="14900" max="14900" width="9" style="178"/>
    <col min="14901" max="14901" width="9" style="178"/>
    <col min="14902" max="14902" width="9" style="178"/>
    <col min="14903" max="14903" width="9" style="178"/>
    <col min="14904" max="14904" width="9" style="178"/>
    <col min="14905" max="14905" width="9" style="178"/>
    <col min="14906" max="14906" width="9" style="178"/>
    <col min="14907" max="14907" width="9" style="178"/>
    <col min="14908" max="14908" width="9" style="178"/>
    <col min="14909" max="14909" width="9" style="178"/>
    <col min="14910" max="14910" width="9" style="178"/>
    <col min="14911" max="14911" width="9" style="178"/>
    <col min="14912" max="14912" width="9" style="178"/>
    <col min="14913" max="14913" width="9" style="178"/>
    <col min="14914" max="14914" width="9" style="178"/>
    <col min="14915" max="14915" width="9" style="178"/>
    <col min="14916" max="14916" width="9" style="178"/>
    <col min="14917" max="14917" width="9" style="178"/>
    <col min="14918" max="14918" width="9" style="178"/>
    <col min="14919" max="14919" width="9" style="178"/>
    <col min="14920" max="14920" width="9" style="178"/>
    <col min="14921" max="14921" width="9" style="178"/>
    <col min="14922" max="14922" width="9" style="178"/>
    <col min="14923" max="14923" width="9" style="178"/>
    <col min="14924" max="14924" width="9" style="178"/>
    <col min="14925" max="14925" width="9" style="178"/>
    <col min="14926" max="14926" width="9" style="178"/>
    <col min="14927" max="14927" width="9" style="178"/>
    <col min="14928" max="14928" width="9" style="178"/>
    <col min="14929" max="14929" width="9" style="178"/>
    <col min="14930" max="14930" width="9" style="178"/>
    <col min="14931" max="14931" width="9" style="178"/>
    <col min="14932" max="14932" width="9" style="178"/>
    <col min="14933" max="14933" width="9" style="178"/>
    <col min="14934" max="14934" width="9" style="178"/>
    <col min="14935" max="14935" width="9" style="178"/>
    <col min="14936" max="14936" width="9" style="178"/>
    <col min="14937" max="14937" width="9" style="178"/>
    <col min="14938" max="14938" width="9" style="178"/>
    <col min="14939" max="14939" width="9" style="178"/>
    <col min="14940" max="14940" width="9" style="178"/>
    <col min="14941" max="14941" width="9" style="178"/>
    <col min="14942" max="14942" width="9" style="178"/>
    <col min="14943" max="14943" width="9" style="178"/>
    <col min="14944" max="14944" width="9" style="178"/>
    <col min="14945" max="14945" width="9" style="178"/>
    <col min="14946" max="14946" width="9" style="178"/>
    <col min="14947" max="14947" width="9" style="178"/>
    <col min="14948" max="14948" width="9" style="178"/>
    <col min="14949" max="14949" width="9" style="178"/>
    <col min="14950" max="14950" width="9" style="178"/>
    <col min="14951" max="14951" width="9" style="178"/>
    <col min="14952" max="14952" width="9" style="178"/>
    <col min="14953" max="14953" width="9" style="178"/>
    <col min="14954" max="14954" width="9" style="178"/>
    <col min="14955" max="14955" width="9" style="178"/>
    <col min="14956" max="14956" width="9" style="178"/>
    <col min="14957" max="14957" width="9" style="178"/>
    <col min="14958" max="14958" width="9" style="178"/>
    <col min="14959" max="14959" width="9" style="178"/>
    <col min="14960" max="14960" width="9" style="178"/>
    <col min="14961" max="14961" width="9" style="178"/>
    <col min="14962" max="14962" width="9" style="178"/>
    <col min="14963" max="14963" width="9" style="178"/>
    <col min="14964" max="14964" width="9" style="178"/>
    <col min="14965" max="14965" width="9" style="178"/>
    <col min="14966" max="14966" width="9" style="178"/>
    <col min="14967" max="14967" width="9" style="178"/>
    <col min="14968" max="14968" width="9" style="178"/>
    <col min="14969" max="14969" width="9" style="178"/>
    <col min="14970" max="14970" width="9" style="178"/>
    <col min="14971" max="14971" width="9" style="178"/>
    <col min="14972" max="14972" width="9" style="178"/>
    <col min="14973" max="14973" width="9" style="178"/>
    <col min="14974" max="14974" width="9" style="178"/>
    <col min="14975" max="14975" width="9" style="178"/>
    <col min="14976" max="14976" width="9" style="178"/>
    <col min="14977" max="14977" width="9" style="178"/>
    <col min="14978" max="14978" width="9" style="178"/>
    <col min="14979" max="14979" width="9" style="178"/>
    <col min="14980" max="14980" width="9" style="178"/>
    <col min="14981" max="14981" width="9" style="178"/>
    <col min="14982" max="14982" width="9" style="178"/>
    <col min="14983" max="14983" width="9" style="178"/>
    <col min="14984" max="14984" width="9" style="178"/>
    <col min="14985" max="14985" width="9" style="178"/>
    <col min="14986" max="14986" width="9" style="178"/>
    <col min="14987" max="14987" width="9" style="178"/>
    <col min="14988" max="14988" width="9" style="178"/>
    <col min="14989" max="14989" width="9" style="178"/>
    <col min="14990" max="14990" width="9" style="178"/>
    <col min="14991" max="14991" width="9" style="178"/>
    <col min="14992" max="14992" width="9" style="178"/>
    <col min="14993" max="14993" width="9" style="178"/>
    <col min="14994" max="14994" width="9" style="178"/>
    <col min="14995" max="14995" width="9" style="178"/>
    <col min="14996" max="14996" width="9" style="178"/>
    <col min="14997" max="14997" width="9" style="178"/>
    <col min="14998" max="14998" width="9" style="178"/>
    <col min="14999" max="14999" width="9" style="178"/>
    <col min="15000" max="15000" width="9" style="178"/>
    <col min="15001" max="15001" width="9" style="178"/>
    <col min="15002" max="15002" width="9" style="178"/>
    <col min="15003" max="15003" width="9" style="178"/>
    <col min="15004" max="15004" width="9" style="178"/>
    <col min="15005" max="15005" width="9" style="178"/>
    <col min="15006" max="15006" width="9" style="178"/>
    <col min="15007" max="15007" width="9" style="178"/>
    <col min="15008" max="15008" width="9" style="178"/>
    <col min="15009" max="15009" width="9" style="178"/>
    <col min="15010" max="15010" width="9" style="178"/>
    <col min="15011" max="15011" width="9" style="178"/>
    <col min="15012" max="15012" width="9" style="178"/>
    <col min="15013" max="15013" width="9" style="178"/>
    <col min="15014" max="15014" width="9" style="178"/>
    <col min="15015" max="15015" width="9" style="178"/>
    <col min="15016" max="15016" width="9" style="178"/>
    <col min="15017" max="15017" width="9" style="178"/>
    <col min="15018" max="15018" width="9" style="178"/>
    <col min="15019" max="15019" width="9" style="178"/>
    <col min="15020" max="15020" width="9" style="178"/>
    <col min="15021" max="15021" width="9" style="178"/>
    <col min="15022" max="15022" width="9" style="178"/>
    <col min="15023" max="15023" width="9" style="178"/>
    <col min="15024" max="15024" width="9" style="178"/>
    <col min="15025" max="15025" width="9" style="178"/>
    <col min="15026" max="15026" width="9" style="178"/>
    <col min="15027" max="15027" width="9" style="178"/>
    <col min="15028" max="15028" width="9" style="178"/>
    <col min="15029" max="15029" width="9" style="178"/>
    <col min="15030" max="15030" width="9" style="178"/>
    <col min="15031" max="15031" width="9" style="178"/>
    <col min="15032" max="15032" width="9" style="178"/>
    <col min="15033" max="15033" width="9" style="178"/>
    <col min="15034" max="15034" width="9" style="178"/>
    <col min="15035" max="15035" width="9" style="178"/>
    <col min="15036" max="15036" width="9" style="178"/>
    <col min="15037" max="15037" width="9" style="178"/>
    <col min="15038" max="15038" width="9" style="178"/>
    <col min="15039" max="15039" width="9" style="178"/>
    <col min="15040" max="15040" width="9" style="178"/>
    <col min="15041" max="15041" width="9" style="178"/>
    <col min="15042" max="15042" width="9" style="178"/>
    <col min="15043" max="15043" width="9" style="178"/>
    <col min="15044" max="15044" width="9" style="178"/>
    <col min="15045" max="15045" width="9" style="178"/>
    <col min="15046" max="15046" width="9" style="178"/>
    <col min="15047" max="15047" width="9" style="178"/>
    <col min="15048" max="15048" width="9" style="178"/>
    <col min="15049" max="15049" width="9" style="178"/>
    <col min="15050" max="15050" width="9" style="178"/>
    <col min="15051" max="15051" width="9" style="178"/>
    <col min="15052" max="15052" width="9" style="178"/>
    <col min="15053" max="15053" width="9" style="178"/>
    <col min="15054" max="15054" width="9" style="178"/>
    <col min="15055" max="15055" width="9" style="178"/>
    <col min="15056" max="15056" width="9" style="178"/>
    <col min="15057" max="15057" width="9" style="178"/>
    <col min="15058" max="15058" width="9" style="178"/>
    <col min="15059" max="15059" width="9" style="178"/>
    <col min="15060" max="15060" width="9" style="178"/>
    <col min="15061" max="15061" width="9" style="178"/>
    <col min="15062" max="15062" width="9" style="178"/>
    <col min="15063" max="15063" width="9" style="178"/>
    <col min="15064" max="15064" width="9" style="178"/>
    <col min="15065" max="15065" width="9" style="178"/>
    <col min="15066" max="15066" width="9" style="178"/>
    <col min="15067" max="15067" width="9" style="178"/>
    <col min="15068" max="15068" width="9" style="178"/>
    <col min="15069" max="15069" width="9" style="178"/>
    <col min="15070" max="15070" width="9" style="178"/>
    <col min="15071" max="15071" width="9" style="178"/>
    <col min="15072" max="15072" width="9" style="178"/>
    <col min="15073" max="15073" width="9" style="178"/>
    <col min="15074" max="15074" width="9" style="178"/>
    <col min="15075" max="15075" width="9" style="178"/>
    <col min="15076" max="15076" width="9" style="178"/>
    <col min="15077" max="15077" width="9" style="178"/>
    <col min="15078" max="15078" width="9" style="178"/>
    <col min="15079" max="15079" width="9" style="178"/>
    <col min="15080" max="15080" width="9" style="178"/>
    <col min="15081" max="15081" width="9" style="178"/>
    <col min="15082" max="15082" width="9" style="178"/>
    <col min="15083" max="15083" width="9" style="178"/>
    <col min="15084" max="15084" width="9" style="178"/>
    <col min="15085" max="15085" width="9" style="178"/>
    <col min="15086" max="15086" width="9" style="178"/>
    <col min="15087" max="15087" width="9" style="178"/>
    <col min="15088" max="15088" width="9" style="178"/>
    <col min="15089" max="15089" width="9" style="178"/>
    <col min="15090" max="15090" width="9" style="178"/>
    <col min="15091" max="15091" width="9" style="178"/>
    <col min="15092" max="15092" width="9" style="178"/>
    <col min="15093" max="15093" width="9" style="178"/>
    <col min="15094" max="15094" width="9" style="178"/>
    <col min="15095" max="15095" width="9" style="178"/>
    <col min="15096" max="15096" width="9" style="178"/>
    <col min="15097" max="15097" width="9" style="178"/>
    <col min="15098" max="15098" width="9" style="178"/>
    <col min="15099" max="15099" width="9" style="178"/>
    <col min="15100" max="15100" width="9" style="178"/>
    <col min="15101" max="15101" width="9" style="178"/>
    <col min="15102" max="15102" width="9" style="178"/>
    <col min="15103" max="15103" width="9" style="178"/>
    <col min="15104" max="15104" width="9" style="178"/>
    <col min="15105" max="15105" width="9" style="178"/>
    <col min="15106" max="15106" width="9" style="178"/>
    <col min="15107" max="15107" width="9" style="178"/>
    <col min="15108" max="15108" width="9" style="178"/>
    <col min="15109" max="15109" width="9" style="178"/>
    <col min="15110" max="15110" width="9" style="178"/>
    <col min="15111" max="15111" width="9" style="178"/>
    <col min="15112" max="15112" width="9" style="178"/>
    <col min="15113" max="15113" width="9" style="178"/>
    <col min="15114" max="15114" width="9" style="178"/>
    <col min="15115" max="15115" width="9" style="178"/>
    <col min="15116" max="15116" width="9" style="178"/>
    <col min="15117" max="15117" width="9" style="178"/>
    <col min="15118" max="15118" width="9" style="178"/>
    <col min="15119" max="15119" width="9" style="178"/>
    <col min="15120" max="15120" width="9" style="178"/>
    <col min="15121" max="15121" width="9" style="178"/>
    <col min="15122" max="15122" width="9" style="178"/>
    <col min="15123" max="15123" width="9" style="178"/>
    <col min="15124" max="15124" width="9" style="178"/>
    <col min="15125" max="15125" width="9" style="178"/>
    <col min="15126" max="15126" width="9" style="178"/>
    <col min="15127" max="15127" width="9" style="178"/>
    <col min="15128" max="15128" width="9" style="178"/>
    <col min="15129" max="15129" width="9" style="178"/>
    <col min="15130" max="15130" width="9" style="178"/>
    <col min="15131" max="15131" width="9" style="178"/>
    <col min="15132" max="15132" width="9" style="178"/>
    <col min="15133" max="15133" width="9" style="178"/>
    <col min="15134" max="15134" width="9" style="178"/>
    <col min="15135" max="15135" width="9" style="178"/>
    <col min="15136" max="15136" width="9" style="178"/>
    <col min="15137" max="15137" width="9" style="178"/>
    <col min="15138" max="15138" width="9" style="178"/>
    <col min="15139" max="15139" width="9" style="178"/>
    <col min="15140" max="15140" width="9" style="178"/>
    <col min="15141" max="15141" width="9" style="178"/>
    <col min="15142" max="15142" width="9" style="178"/>
    <col min="15143" max="15143" width="9" style="178"/>
    <col min="15144" max="15144" width="9" style="178"/>
    <col min="15145" max="15145" width="9" style="178"/>
    <col min="15146" max="15146" width="9" style="178"/>
    <col min="15147" max="15147" width="9" style="178"/>
    <col min="15148" max="15148" width="9" style="178"/>
    <col min="15149" max="15149" width="9" style="178"/>
    <col min="15150" max="15150" width="9" style="178"/>
    <col min="15151" max="15151" width="9" style="178"/>
    <col min="15152" max="15152" width="9" style="178"/>
    <col min="15153" max="15153" width="9" style="178"/>
    <col min="15154" max="15154" width="9" style="178"/>
    <col min="15155" max="15155" width="9" style="178"/>
    <col min="15156" max="15156" width="9" style="178"/>
    <col min="15157" max="15157" width="9" style="178"/>
    <col min="15158" max="15158" width="9" style="178"/>
    <col min="15159" max="15159" width="9" style="178"/>
    <col min="15160" max="15160" width="9" style="178"/>
    <col min="15161" max="15161" width="9" style="178"/>
    <col min="15162" max="15162" width="9" style="178"/>
    <col min="15163" max="15163" width="9" style="178"/>
    <col min="15164" max="15164" width="9" style="178"/>
    <col min="15165" max="15165" width="9" style="178"/>
    <col min="15166" max="15166" width="9" style="178"/>
    <col min="15167" max="15167" width="9" style="178"/>
    <col min="15168" max="15168" width="9" style="178"/>
    <col min="15169" max="15169" width="9" style="178"/>
    <col min="15170" max="15170" width="9" style="178"/>
    <col min="15171" max="15171" width="9" style="178"/>
    <col min="15172" max="15172" width="9" style="178"/>
    <col min="15173" max="15173" width="9" style="178"/>
    <col min="15174" max="15174" width="9" style="178"/>
    <col min="15175" max="15175" width="9" style="178"/>
    <col min="15176" max="15176" width="9" style="178"/>
    <col min="15177" max="15177" width="9" style="178"/>
    <col min="15178" max="15178" width="9" style="178"/>
    <col min="15179" max="15179" width="9" style="178"/>
    <col min="15180" max="15180" width="9" style="178"/>
    <col min="15181" max="15181" width="9" style="178"/>
    <col min="15182" max="15182" width="9" style="178"/>
    <col min="15183" max="15183" width="9" style="178"/>
    <col min="15184" max="15184" width="9" style="178"/>
    <col min="15185" max="15185" width="9" style="178"/>
    <col min="15186" max="15186" width="9" style="178"/>
    <col min="15187" max="15187" width="9" style="178"/>
    <col min="15188" max="15188" width="9" style="178"/>
    <col min="15189" max="15189" width="9" style="178"/>
    <col min="15190" max="15190" width="9" style="178"/>
    <col min="15191" max="15191" width="9" style="178"/>
    <col min="15192" max="15192" width="9" style="178"/>
    <col min="15193" max="15193" width="9" style="178"/>
    <col min="15194" max="15194" width="9" style="178"/>
    <col min="15195" max="15195" width="9" style="178"/>
    <col min="15196" max="15196" width="9" style="178"/>
    <col min="15197" max="15197" width="9" style="178"/>
    <col min="15198" max="15198" width="9" style="178"/>
    <col min="15199" max="15199" width="9" style="178"/>
    <col min="15200" max="15200" width="9" style="178"/>
    <col min="15201" max="15201" width="9" style="178"/>
    <col min="15202" max="15202" width="9" style="178"/>
    <col min="15203" max="15203" width="9" style="178"/>
    <col min="15204" max="15204" width="9" style="178"/>
    <col min="15205" max="15205" width="9" style="178"/>
    <col min="15206" max="15206" width="9" style="178"/>
    <col min="15207" max="15207" width="9" style="178"/>
    <col min="15208" max="15208" width="9" style="178"/>
    <col min="15209" max="15209" width="9" style="178"/>
    <col min="15210" max="15210" width="9" style="178"/>
    <col min="15211" max="15211" width="9" style="178"/>
    <col min="15212" max="15212" width="9" style="178"/>
    <col min="15213" max="15213" width="9" style="178"/>
    <col min="15214" max="15214" width="9" style="178"/>
    <col min="15215" max="15215" width="9" style="178"/>
    <col min="15216" max="15216" width="9" style="178"/>
    <col min="15217" max="15217" width="9" style="178"/>
    <col min="15218" max="15218" width="9" style="178"/>
    <col min="15219" max="15219" width="9" style="178"/>
    <col min="15220" max="15220" width="9" style="178"/>
    <col min="15221" max="15221" width="9" style="178"/>
    <col min="15222" max="15222" width="9" style="178"/>
    <col min="15223" max="15223" width="9" style="178"/>
    <col min="15224" max="15224" width="9" style="178"/>
    <col min="15225" max="15225" width="9" style="178"/>
    <col min="15226" max="15226" width="9" style="178"/>
    <col min="15227" max="15227" width="9" style="178"/>
    <col min="15228" max="15228" width="9" style="178"/>
    <col min="15229" max="15229" width="9" style="178"/>
    <col min="15230" max="15230" width="9" style="178"/>
    <col min="15231" max="15231" width="9" style="178"/>
    <col min="15232" max="15232" width="9" style="178"/>
    <col min="15233" max="15233" width="9" style="178"/>
    <col min="15234" max="15234" width="9" style="178"/>
    <col min="15235" max="15235" width="9" style="178"/>
    <col min="15236" max="15236" width="9" style="178"/>
    <col min="15237" max="15237" width="9" style="178"/>
    <col min="15238" max="15238" width="9" style="178"/>
    <col min="15239" max="15239" width="9" style="178"/>
    <col min="15240" max="15240" width="9" style="178"/>
    <col min="15241" max="15241" width="9" style="178"/>
    <col min="15242" max="15242" width="9" style="178"/>
    <col min="15243" max="15243" width="9" style="178"/>
    <col min="15244" max="15244" width="9" style="178"/>
    <col min="15245" max="15245" width="9" style="178"/>
    <col min="15246" max="15246" width="9" style="178"/>
    <col min="15247" max="15247" width="9" style="178"/>
    <col min="15248" max="15248" width="9" style="178"/>
    <col min="15249" max="15249" width="9" style="178"/>
    <col min="15250" max="15250" width="9" style="178"/>
    <col min="15251" max="15251" width="9" style="178"/>
    <col min="15252" max="15252" width="9" style="178"/>
    <col min="15253" max="15253" width="9" style="178"/>
    <col min="15254" max="15254" width="9" style="178"/>
    <col min="15255" max="15255" width="9" style="178"/>
    <col min="15256" max="15256" width="9" style="178"/>
    <col min="15257" max="15257" width="9" style="178"/>
    <col min="15258" max="15258" width="9" style="178"/>
    <col min="15259" max="15259" width="9" style="178"/>
    <col min="15260" max="15260" width="9" style="178"/>
    <col min="15261" max="15261" width="9" style="178"/>
    <col min="15262" max="15262" width="9" style="178"/>
    <col min="15263" max="15263" width="9" style="178"/>
    <col min="15264" max="15264" width="9" style="178"/>
    <col min="15265" max="15265" width="9" style="178"/>
    <col min="15266" max="15266" width="9" style="178"/>
    <col min="15267" max="15267" width="9" style="178"/>
    <col min="15268" max="15268" width="9" style="178"/>
    <col min="15269" max="15269" width="9" style="178"/>
    <col min="15270" max="15270" width="9" style="178"/>
    <col min="15271" max="15271" width="9" style="178"/>
    <col min="15272" max="15272" width="9" style="178"/>
    <col min="15273" max="15273" width="9" style="178"/>
    <col min="15274" max="15274" width="9" style="178"/>
    <col min="15275" max="15275" width="9" style="178"/>
    <col min="15276" max="15276" width="9" style="178"/>
    <col min="15277" max="15277" width="9" style="178"/>
    <col min="15278" max="15278" width="9" style="178"/>
    <col min="15279" max="15279" width="9" style="178"/>
    <col min="15280" max="15280" width="9" style="178"/>
    <col min="15281" max="15281" width="9" style="178"/>
    <col min="15282" max="15282" width="9" style="178"/>
    <col min="15283" max="15283" width="9" style="178"/>
    <col min="15284" max="15284" width="9" style="178"/>
    <col min="15285" max="15285" width="9" style="178"/>
    <col min="15286" max="15286" width="9" style="178"/>
    <col min="15287" max="15287" width="9" style="178"/>
    <col min="15288" max="15288" width="9" style="178"/>
    <col min="15289" max="15289" width="9" style="178"/>
    <col min="15290" max="15290" width="9" style="178"/>
    <col min="15291" max="15291" width="9" style="178"/>
    <col min="15292" max="15292" width="9" style="178"/>
    <col min="15293" max="15293" width="9" style="178"/>
    <col min="15294" max="15294" width="9" style="178"/>
    <col min="15295" max="15295" width="9" style="178"/>
    <col min="15296" max="15296" width="9" style="178"/>
    <col min="15297" max="15297" width="9" style="178"/>
    <col min="15298" max="15298" width="9" style="178"/>
    <col min="15299" max="15299" width="9" style="178"/>
    <col min="15300" max="15300" width="9" style="178"/>
    <col min="15301" max="15301" width="9" style="178"/>
    <col min="15302" max="15302" width="9" style="178"/>
    <col min="15303" max="15303" width="9" style="178"/>
    <col min="15304" max="15304" width="9" style="178"/>
    <col min="15305" max="15305" width="9" style="178"/>
    <col min="15306" max="15306" width="9" style="178"/>
    <col min="15307" max="15307" width="9" style="178"/>
    <col min="15308" max="15308" width="9" style="178"/>
    <col min="15309" max="15309" width="9" style="178"/>
    <col min="15310" max="15310" width="9" style="178"/>
    <col min="15311" max="15311" width="9" style="178"/>
    <col min="15312" max="15312" width="9" style="178"/>
    <col min="15313" max="15313" width="9" style="178"/>
    <col min="15314" max="15314" width="9" style="178"/>
    <col min="15315" max="15315" width="9" style="178"/>
    <col min="15316" max="15316" width="9" style="178"/>
    <col min="15317" max="15317" width="9" style="178"/>
    <col min="15318" max="15318" width="9" style="178"/>
    <col min="15319" max="15319" width="9" style="178"/>
    <col min="15320" max="15320" width="9" style="178"/>
    <col min="15321" max="15321" width="9" style="178"/>
    <col min="15322" max="15322" width="9" style="178"/>
    <col min="15323" max="15323" width="9" style="178"/>
    <col min="15324" max="15324" width="9" style="178"/>
    <col min="15325" max="15325" width="9" style="178"/>
    <col min="15326" max="15326" width="9" style="178"/>
    <col min="15327" max="15327" width="9" style="178"/>
    <col min="15328" max="15328" width="9" style="178"/>
    <col min="15329" max="15329" width="9" style="178"/>
    <col min="15330" max="15330" width="9" style="178"/>
    <col min="15331" max="15331" width="9" style="178"/>
    <col min="15332" max="15332" width="9" style="178"/>
    <col min="15333" max="15333" width="9" style="178"/>
    <col min="15334" max="15334" width="9" style="178"/>
    <col min="15335" max="15335" width="9" style="178"/>
    <col min="15336" max="15336" width="9" style="178"/>
    <col min="15337" max="15337" width="9" style="178"/>
    <col min="15338" max="15338" width="9" style="178"/>
    <col min="15339" max="15339" width="9" style="178"/>
    <col min="15340" max="15340" width="9" style="178"/>
    <col min="15341" max="15341" width="9" style="178"/>
    <col min="15342" max="15342" width="9" style="178"/>
    <col min="15343" max="15343" width="9" style="178"/>
    <col min="15344" max="15344" width="9" style="178"/>
    <col min="15345" max="15345" width="9" style="178"/>
    <col min="15346" max="15346" width="9" style="178"/>
    <col min="15347" max="15347" width="9" style="178"/>
    <col min="15348" max="15348" width="9" style="178"/>
    <col min="15349" max="15349" width="9" style="178"/>
    <col min="15350" max="15350" width="9" style="178"/>
    <col min="15351" max="15351" width="9" style="178"/>
    <col min="15352" max="15352" width="9" style="178"/>
    <col min="15353" max="15353" width="9" style="178"/>
    <col min="15354" max="15354" width="9" style="178"/>
    <col min="15355" max="15355" width="9" style="178"/>
    <col min="15356" max="15356" width="9" style="178"/>
    <col min="15357" max="15357" width="9" style="178"/>
    <col min="15358" max="15358" width="9" style="178"/>
    <col min="15359" max="15359" width="9" style="178"/>
    <col min="15360" max="15360" width="9" style="178"/>
    <col min="15361" max="15361" width="9" style="178"/>
    <col min="15362" max="15362" width="9" style="178"/>
    <col min="15363" max="15363" width="9" style="178"/>
    <col min="15364" max="15364" width="9" style="178"/>
    <col min="15365" max="15365" width="9" style="178"/>
    <col min="15366" max="15366" width="9" style="178"/>
    <col min="15367" max="15367" width="9" style="178"/>
    <col min="15368" max="15368" width="9" style="178"/>
    <col min="15369" max="15369" width="9" style="178"/>
    <col min="15370" max="15370" width="9" style="178"/>
    <col min="15371" max="15371" width="9" style="178"/>
    <col min="15372" max="15372" width="9" style="178"/>
    <col min="15373" max="15373" width="9" style="178"/>
    <col min="15374" max="15374" width="9" style="178"/>
    <col min="15375" max="15375" width="9" style="178"/>
    <col min="15376" max="15376" width="9" style="178"/>
    <col min="15377" max="15377" width="9" style="178"/>
    <col min="15378" max="15378" width="9" style="178"/>
    <col min="15379" max="15379" width="9" style="178"/>
    <col min="15380" max="15380" width="9" style="178"/>
    <col min="15381" max="15381" width="9" style="178"/>
    <col min="15382" max="15382" width="9" style="178"/>
    <col min="15383" max="15383" width="9" style="178"/>
    <col min="15384" max="15384" width="9" style="178"/>
    <col min="15385" max="15385" width="9" style="178"/>
    <col min="15386" max="15386" width="9" style="178"/>
    <col min="15387" max="15387" width="9" style="178"/>
    <col min="15388" max="15388" width="9" style="178"/>
    <col min="15389" max="15389" width="9" style="178"/>
    <col min="15390" max="15390" width="9" style="178"/>
    <col min="15391" max="15391" width="9" style="178"/>
    <col min="15392" max="15392" width="9" style="178"/>
    <col min="15393" max="15393" width="9" style="178"/>
    <col min="15394" max="15394" width="9" style="178"/>
    <col min="15395" max="15395" width="9" style="178"/>
    <col min="15396" max="15396" width="9" style="178"/>
    <col min="15397" max="15397" width="9" style="178"/>
    <col min="15398" max="15398" width="9" style="178"/>
    <col min="15399" max="15399" width="9" style="178"/>
    <col min="15400" max="15400" width="9" style="178"/>
    <col min="15401" max="15401" width="9" style="178"/>
    <col min="15402" max="15402" width="9" style="178"/>
    <col min="15403" max="15403" width="9" style="178"/>
    <col min="15404" max="15404" width="9" style="178"/>
    <col min="15405" max="15405" width="9" style="178"/>
    <col min="15406" max="15406" width="9" style="178"/>
    <col min="15407" max="15407" width="9" style="178"/>
    <col min="15408" max="15408" width="9" style="178"/>
    <col min="15409" max="15409" width="9" style="178"/>
    <col min="15410" max="15410" width="9" style="178"/>
    <col min="15411" max="15411" width="9" style="178"/>
    <col min="15412" max="15412" width="9" style="178"/>
    <col min="15413" max="15413" width="9" style="178"/>
    <col min="15414" max="15414" width="9" style="178"/>
    <col min="15415" max="15415" width="9" style="178"/>
    <col min="15416" max="15416" width="9" style="178"/>
    <col min="15417" max="15417" width="9" style="178"/>
    <col min="15418" max="15418" width="9" style="178"/>
    <col min="15419" max="15419" width="9" style="178"/>
    <col min="15420" max="15420" width="9" style="178"/>
    <col min="15421" max="15421" width="9" style="178"/>
    <col min="15422" max="15422" width="9" style="178"/>
    <col min="15423" max="15423" width="9" style="178"/>
    <col min="15424" max="15424" width="9" style="178"/>
    <col min="15425" max="15425" width="9" style="178"/>
    <col min="15426" max="15426" width="9" style="178"/>
    <col min="15427" max="15427" width="9" style="178"/>
    <col min="15428" max="15428" width="9" style="178"/>
    <col min="15429" max="15429" width="9" style="178"/>
    <col min="15430" max="15430" width="9" style="178"/>
    <col min="15431" max="15431" width="9" style="178"/>
    <col min="15432" max="15432" width="9" style="178"/>
    <col min="15433" max="15433" width="9" style="178"/>
    <col min="15434" max="15434" width="9" style="178"/>
    <col min="15435" max="15435" width="9" style="178"/>
    <col min="15436" max="15436" width="9" style="178"/>
    <col min="15437" max="15437" width="9" style="178"/>
    <col min="15438" max="15438" width="9" style="178"/>
    <col min="15439" max="15439" width="9" style="178"/>
    <col min="15440" max="15440" width="9" style="178"/>
    <col min="15441" max="15441" width="9" style="178"/>
    <col min="15442" max="15442" width="9" style="178"/>
    <col min="15443" max="15443" width="9" style="178"/>
    <col min="15444" max="15444" width="9" style="178"/>
    <col min="15445" max="15445" width="9" style="178"/>
    <col min="15446" max="15446" width="9" style="178"/>
    <col min="15447" max="15447" width="9" style="178"/>
    <col min="15448" max="15448" width="9" style="178"/>
    <col min="15449" max="15449" width="9" style="178"/>
    <col min="15450" max="15450" width="9" style="178"/>
    <col min="15451" max="15451" width="9" style="178"/>
    <col min="15452" max="15452" width="9" style="178"/>
    <col min="15453" max="15453" width="9" style="178"/>
    <col min="15454" max="15454" width="9" style="178"/>
    <col min="15455" max="15455" width="9" style="178"/>
    <col min="15456" max="15456" width="9" style="178"/>
    <col min="15457" max="15457" width="9" style="178"/>
    <col min="15458" max="15458" width="9" style="178"/>
    <col min="15459" max="15459" width="9" style="178"/>
    <col min="15460" max="15460" width="9" style="178"/>
    <col min="15461" max="15461" width="9" style="178"/>
    <col min="15462" max="15462" width="9" style="178"/>
    <col min="15463" max="15463" width="9" style="178"/>
    <col min="15464" max="15464" width="9" style="178"/>
    <col min="15465" max="15465" width="9" style="178"/>
    <col min="15466" max="15466" width="9" style="178"/>
    <col min="15467" max="15467" width="9" style="178"/>
    <col min="15468" max="15468" width="9" style="178"/>
    <col min="15469" max="15469" width="9" style="178"/>
    <col min="15470" max="15470" width="9" style="178"/>
    <col min="15471" max="15471" width="9" style="178"/>
    <col min="15472" max="15472" width="9" style="178"/>
    <col min="15473" max="15473" width="9" style="178"/>
    <col min="15474" max="15474" width="9" style="178"/>
    <col min="15475" max="15475" width="9" style="178"/>
    <col min="15476" max="15476" width="9" style="178"/>
    <col min="15477" max="15477" width="9" style="178"/>
    <col min="15478" max="15478" width="9" style="178"/>
    <col min="15479" max="15479" width="9" style="178"/>
    <col min="15480" max="15480" width="9" style="178"/>
    <col min="15481" max="15481" width="9" style="178"/>
    <col min="15482" max="15482" width="9" style="178"/>
    <col min="15483" max="15483" width="9" style="178"/>
    <col min="15484" max="15484" width="9" style="178"/>
    <col min="15485" max="15485" width="9" style="178"/>
    <col min="15486" max="15486" width="9" style="178"/>
    <col min="15487" max="15487" width="9" style="178"/>
    <col min="15488" max="15488" width="9" style="178"/>
    <col min="15489" max="15489" width="9" style="178"/>
    <col min="15490" max="15490" width="9" style="178"/>
    <col min="15491" max="15491" width="9" style="178"/>
    <col min="15492" max="15492" width="9" style="178"/>
    <col min="15493" max="15493" width="9" style="178"/>
    <col min="15494" max="15494" width="9" style="178"/>
    <col min="15495" max="15495" width="9" style="178"/>
    <col min="15496" max="15496" width="9" style="178"/>
    <col min="15497" max="15497" width="9" style="178"/>
    <col min="15498" max="15498" width="9" style="178"/>
    <col min="15499" max="15499" width="9" style="178"/>
    <col min="15500" max="15500" width="9" style="178"/>
    <col min="15501" max="15501" width="9" style="178"/>
    <col min="15502" max="15502" width="9" style="178"/>
    <col min="15503" max="15503" width="9" style="178"/>
    <col min="15504" max="15504" width="9" style="178"/>
    <col min="15505" max="15505" width="9" style="178"/>
    <col min="15506" max="15506" width="9" style="178"/>
    <col min="15507" max="15507" width="9" style="178"/>
    <col min="15508" max="15508" width="9" style="178"/>
    <col min="15509" max="15509" width="9" style="178"/>
    <col min="15510" max="15510" width="9" style="178"/>
    <col min="15511" max="15511" width="9" style="178"/>
    <col min="15512" max="15512" width="9" style="178"/>
    <col min="15513" max="15513" width="9" style="178"/>
    <col min="15514" max="15514" width="9" style="178"/>
    <col min="15515" max="15515" width="9" style="178"/>
    <col min="15516" max="15516" width="9" style="178"/>
    <col min="15517" max="15517" width="9" style="178"/>
    <col min="15518" max="15518" width="9" style="178"/>
    <col min="15519" max="15519" width="9" style="178"/>
    <col min="15520" max="15520" width="9" style="178"/>
    <col min="15521" max="15521" width="9" style="178"/>
    <col min="15522" max="15522" width="9" style="178"/>
    <col min="15523" max="15523" width="9" style="178"/>
    <col min="15524" max="15524" width="9" style="178"/>
    <col min="15525" max="15525" width="9" style="178"/>
    <col min="15526" max="15526" width="9" style="178"/>
    <col min="15527" max="15527" width="9" style="178"/>
    <col min="15528" max="15528" width="9" style="178"/>
    <col min="15529" max="15529" width="9" style="178"/>
    <col min="15530" max="15530" width="9" style="178"/>
    <col min="15531" max="15531" width="9" style="178"/>
    <col min="15532" max="15532" width="9" style="178"/>
    <col min="15533" max="15533" width="9" style="178"/>
    <col min="15534" max="15534" width="9" style="178"/>
    <col min="15535" max="15535" width="9" style="178"/>
    <col min="15536" max="15536" width="9" style="178"/>
    <col min="15537" max="15537" width="9" style="178"/>
    <col min="15538" max="15538" width="9" style="178"/>
    <col min="15539" max="15539" width="9" style="178"/>
    <col min="15540" max="15540" width="9" style="178"/>
    <col min="15541" max="15541" width="9" style="178"/>
    <col min="15542" max="15542" width="9" style="178"/>
    <col min="15543" max="15543" width="9" style="178"/>
    <col min="15544" max="15544" width="9" style="178"/>
    <col min="15545" max="15545" width="9" style="178"/>
    <col min="15546" max="15546" width="9" style="178"/>
    <col min="15547" max="15547" width="9" style="178"/>
    <col min="15548" max="15548" width="9" style="178"/>
    <col min="15549" max="15549" width="9" style="178"/>
    <col min="15550" max="15550" width="9" style="178"/>
    <col min="15551" max="15551" width="9" style="178"/>
    <col min="15552" max="15552" width="9" style="178"/>
    <col min="15553" max="15553" width="9" style="178"/>
    <col min="15554" max="15554" width="9" style="178"/>
    <col min="15555" max="15555" width="9" style="178"/>
    <col min="15556" max="15556" width="9" style="178"/>
    <col min="15557" max="15557" width="9" style="178"/>
    <col min="15558" max="15558" width="9" style="178"/>
    <col min="15559" max="15559" width="9" style="178"/>
    <col min="15560" max="15560" width="9" style="178"/>
    <col min="15561" max="15561" width="9" style="178"/>
    <col min="15562" max="15562" width="9" style="178"/>
    <col min="15563" max="15563" width="9" style="178"/>
    <col min="15564" max="15564" width="9" style="178"/>
    <col min="15565" max="15565" width="9" style="178"/>
    <col min="15566" max="15566" width="9" style="178"/>
    <col min="15567" max="15567" width="9" style="178"/>
    <col min="15568" max="15568" width="9" style="178"/>
    <col min="15569" max="15569" width="9" style="178"/>
    <col min="15570" max="15570" width="9" style="178"/>
    <col min="15571" max="15571" width="9" style="178"/>
    <col min="15572" max="15572" width="9" style="178"/>
    <col min="15573" max="15573" width="9" style="178"/>
    <col min="15574" max="15574" width="9" style="178"/>
    <col min="15575" max="15575" width="9" style="178"/>
    <col min="15576" max="15576" width="9" style="178"/>
    <col min="15577" max="15577" width="9" style="178"/>
    <col min="15578" max="15578" width="9" style="178"/>
    <col min="15579" max="15579" width="9" style="178"/>
    <col min="15580" max="15580" width="9" style="178"/>
    <col min="15581" max="15581" width="9" style="178"/>
    <col min="15582" max="15582" width="9" style="178"/>
    <col min="15583" max="15583" width="9" style="178"/>
    <col min="15584" max="15584" width="9" style="178"/>
    <col min="15585" max="15585" width="9" style="178"/>
    <col min="15586" max="15586" width="9" style="178"/>
    <col min="15587" max="15587" width="9" style="178"/>
    <col min="15588" max="15588" width="9" style="178"/>
    <col min="15589" max="15589" width="9" style="178"/>
    <col min="15590" max="15590" width="9" style="178"/>
    <col min="15591" max="15591" width="9" style="178"/>
    <col min="15592" max="15592" width="9" style="178"/>
    <col min="15593" max="15593" width="9" style="178"/>
    <col min="15594" max="15594" width="9" style="178"/>
    <col min="15595" max="15595" width="9" style="178"/>
    <col min="15596" max="15596" width="9" style="178"/>
    <col min="15597" max="15597" width="9" style="178"/>
    <col min="15598" max="15598" width="9" style="178"/>
    <col min="15599" max="15599" width="9" style="178"/>
    <col min="15600" max="15600" width="9" style="178"/>
    <col min="15601" max="15601" width="9" style="178"/>
    <col min="15602" max="15602" width="9" style="178"/>
    <col min="15603" max="15603" width="9" style="178"/>
    <col min="15604" max="15604" width="9" style="178"/>
    <col min="15605" max="15605" width="9" style="178"/>
    <col min="15606" max="15606" width="9" style="178"/>
    <col min="15607" max="15607" width="9" style="178"/>
    <col min="15608" max="15608" width="9" style="178"/>
    <col min="15609" max="15609" width="9" style="178"/>
    <col min="15610" max="15610" width="9" style="178"/>
    <col min="15611" max="15611" width="9" style="178"/>
    <col min="15612" max="15612" width="9" style="178"/>
    <col min="15613" max="15613" width="9" style="178"/>
    <col min="15614" max="15614" width="9" style="178"/>
    <col min="15615" max="15615" width="9" style="178"/>
    <col min="15616" max="15616" width="9" style="178"/>
    <col min="15617" max="15617" width="9" style="178"/>
    <col min="15618" max="15618" width="9" style="178"/>
    <col min="15619" max="15619" width="9" style="178"/>
    <col min="15620" max="15620" width="9" style="178"/>
    <col min="15621" max="15621" width="9" style="178"/>
    <col min="15622" max="15622" width="9" style="178"/>
    <col min="15623" max="15623" width="9" style="178"/>
    <col min="15624" max="15624" width="9" style="178"/>
    <col min="15625" max="15625" width="9" style="178"/>
    <col min="15626" max="15626" width="9" style="178"/>
    <col min="15627" max="15627" width="9" style="178"/>
    <col min="15628" max="15628" width="9" style="178"/>
    <col min="15629" max="15629" width="9" style="178"/>
    <col min="15630" max="15630" width="9" style="178"/>
    <col min="15631" max="15631" width="9" style="178"/>
    <col min="15632" max="15632" width="9" style="178"/>
    <col min="15633" max="15633" width="9" style="178"/>
    <col min="15634" max="15634" width="9" style="178"/>
    <col min="15635" max="15635" width="9" style="178"/>
    <col min="15636" max="15636" width="9" style="178"/>
    <col min="15637" max="15637" width="9" style="178"/>
    <col min="15638" max="15638" width="9" style="178"/>
    <col min="15639" max="15639" width="9" style="178"/>
    <col min="15640" max="15640" width="9" style="178"/>
    <col min="15641" max="15641" width="9" style="178"/>
    <col min="15642" max="15642" width="9" style="178"/>
    <col min="15643" max="15643" width="9" style="178"/>
    <col min="15644" max="15644" width="9" style="178"/>
    <col min="15645" max="15645" width="9" style="178"/>
    <col min="15646" max="15646" width="9" style="178"/>
    <col min="15647" max="15647" width="9" style="178"/>
    <col min="15648" max="15648" width="9" style="178"/>
    <col min="15649" max="15649" width="9" style="178"/>
    <col min="15650" max="15650" width="9" style="178"/>
    <col min="15651" max="15651" width="9" style="178"/>
    <col min="15652" max="15652" width="9" style="178"/>
    <col min="15653" max="15653" width="9" style="178"/>
    <col min="15654" max="15654" width="9" style="178"/>
    <col min="15655" max="15655" width="9" style="178"/>
    <col min="15656" max="15656" width="9" style="178"/>
    <col min="15657" max="15657" width="9" style="178"/>
    <col min="15658" max="15658" width="9" style="178"/>
    <col min="15659" max="15659" width="9" style="178"/>
    <col min="15660" max="15660" width="9" style="178"/>
    <col min="15661" max="15661" width="9" style="178"/>
    <col min="15662" max="15662" width="9" style="178"/>
    <col min="15663" max="15663" width="9" style="178"/>
    <col min="15664" max="15664" width="9" style="178"/>
    <col min="15665" max="15665" width="9" style="178"/>
    <col min="15666" max="15666" width="9" style="178"/>
    <col min="15667" max="15667" width="9" style="178"/>
    <col min="15668" max="15668" width="9" style="178"/>
    <col min="15669" max="15669" width="9" style="178"/>
    <col min="15670" max="15670" width="9" style="178"/>
    <col min="15671" max="15671" width="9" style="178"/>
    <col min="15672" max="15672" width="9" style="178"/>
    <col min="15673" max="15673" width="9" style="178"/>
    <col min="15674" max="15674" width="9" style="178"/>
    <col min="15675" max="15675" width="9" style="178"/>
    <col min="15676" max="15676" width="9" style="178"/>
    <col min="15677" max="15677" width="9" style="178"/>
    <col min="15678" max="15678" width="9" style="178"/>
    <col min="15679" max="15679" width="9" style="178"/>
    <col min="15680" max="15680" width="9" style="178"/>
    <col min="15681" max="15681" width="9" style="178"/>
    <col min="15682" max="15682" width="9" style="178"/>
    <col min="15683" max="15683" width="9" style="178"/>
    <col min="15684" max="15684" width="9" style="178"/>
    <col min="15685" max="15685" width="9" style="178"/>
    <col min="15686" max="15686" width="9" style="178"/>
    <col min="15687" max="15687" width="9" style="178"/>
    <col min="15688" max="15688" width="9" style="178"/>
    <col min="15689" max="15689" width="9" style="178"/>
    <col min="15690" max="15690" width="9" style="178"/>
    <col min="15691" max="15691" width="9" style="178"/>
    <col min="15692" max="15692" width="9" style="178"/>
    <col min="15693" max="15693" width="9" style="178"/>
    <col min="15694" max="15694" width="9" style="178"/>
    <col min="15695" max="15695" width="9" style="178"/>
    <col min="15696" max="15696" width="9" style="178"/>
    <col min="15697" max="15697" width="9" style="178"/>
    <col min="15698" max="15698" width="9" style="178"/>
    <col min="15699" max="15699" width="9" style="178"/>
    <col min="15700" max="15700" width="9" style="178"/>
    <col min="15701" max="15701" width="9" style="178"/>
    <col min="15702" max="15702" width="9" style="178"/>
    <col min="15703" max="15703" width="9" style="178"/>
    <col min="15704" max="15704" width="9" style="178"/>
    <col min="15705" max="15705" width="9" style="178"/>
    <col min="15706" max="15706" width="9" style="178"/>
    <col min="15707" max="15707" width="9" style="178"/>
    <col min="15708" max="15708" width="9" style="178"/>
    <col min="15709" max="15709" width="9" style="178"/>
    <col min="15710" max="15710" width="9" style="178"/>
    <col min="15711" max="15711" width="9" style="178"/>
    <col min="15712" max="15712" width="9" style="178"/>
    <col min="15713" max="15713" width="9" style="178"/>
    <col min="15714" max="15714" width="9" style="178"/>
    <col min="15715" max="15715" width="9" style="178"/>
    <col min="15716" max="15716" width="9" style="178"/>
    <col min="15717" max="15717" width="9" style="178"/>
    <col min="15718" max="15718" width="9" style="178"/>
    <col min="15719" max="15719" width="9" style="178"/>
    <col min="15720" max="15720" width="9" style="178"/>
    <col min="15721" max="15721" width="9" style="178"/>
    <col min="15722" max="15722" width="9" style="178"/>
    <col min="15723" max="15723" width="9" style="178"/>
    <col min="15724" max="15724" width="9" style="178"/>
    <col min="15725" max="15725" width="9" style="178"/>
    <col min="15726" max="15726" width="9" style="178"/>
    <col min="15727" max="15727" width="9" style="178"/>
    <col min="15728" max="15728" width="9" style="178"/>
    <col min="15729" max="15729" width="9" style="178"/>
    <col min="15730" max="15730" width="9" style="178"/>
    <col min="15731" max="15731" width="9" style="178"/>
    <col min="15732" max="15732" width="9" style="178"/>
    <col min="15733" max="15733" width="9" style="178"/>
    <col min="15734" max="15734" width="9" style="178"/>
    <col min="15735" max="15735" width="9" style="178"/>
    <col min="15736" max="15736" width="9" style="178"/>
    <col min="15737" max="15737" width="9" style="178"/>
    <col min="15738" max="15738" width="9" style="178"/>
    <col min="15739" max="15739" width="9" style="178"/>
    <col min="15740" max="15740" width="9" style="178"/>
    <col min="15741" max="15741" width="9" style="178"/>
    <col min="15742" max="15742" width="9" style="178"/>
    <col min="15743" max="15743" width="9" style="178"/>
    <col min="15744" max="15744" width="9" style="178"/>
    <col min="15745" max="15745" width="9" style="178"/>
    <col min="15746" max="15746" width="9" style="178"/>
    <col min="15747" max="15747" width="9" style="178"/>
    <col min="15748" max="15748" width="9" style="178"/>
    <col min="15749" max="15749" width="9" style="178"/>
    <col min="15750" max="15750" width="9" style="178"/>
    <col min="15751" max="15751" width="9" style="178"/>
    <col min="15752" max="15752" width="9" style="178"/>
    <col min="15753" max="15753" width="9" style="178"/>
    <col min="15754" max="15754" width="9" style="178"/>
    <col min="15755" max="15755" width="9" style="178"/>
    <col min="15756" max="15756" width="9" style="178"/>
    <col min="15757" max="15757" width="9" style="178"/>
    <col min="15758" max="15758" width="9" style="178"/>
    <col min="15759" max="15759" width="9" style="178"/>
    <col min="15760" max="15760" width="9" style="178"/>
    <col min="15761" max="15761" width="9" style="178"/>
    <col min="15762" max="15762" width="9" style="178"/>
    <col min="15763" max="15763" width="9" style="178"/>
    <col min="15764" max="15764" width="9" style="178"/>
    <col min="15765" max="15765" width="9" style="178"/>
    <col min="15766" max="15766" width="9" style="178"/>
    <col min="15767" max="15767" width="9" style="178"/>
    <col min="15768" max="15768" width="9" style="178"/>
    <col min="15769" max="15769" width="9" style="178"/>
    <col min="15770" max="15770" width="9" style="178"/>
    <col min="15771" max="15771" width="9" style="178"/>
    <col min="15772" max="15772" width="9" style="178"/>
    <col min="15773" max="15773" width="9" style="178"/>
    <col min="15774" max="15774" width="9" style="178"/>
    <col min="15775" max="15775" width="9" style="178"/>
    <col min="15776" max="15776" width="9" style="178"/>
    <col min="15777" max="15777" width="9" style="178"/>
    <col min="15778" max="15778" width="9" style="178"/>
    <col min="15779" max="15779" width="9" style="178"/>
    <col min="15780" max="15780" width="9" style="178"/>
    <col min="15781" max="15781" width="9" style="178"/>
    <col min="15782" max="15782" width="9" style="178"/>
    <col min="15783" max="15783" width="9" style="178"/>
    <col min="15784" max="15784" width="9" style="178"/>
    <col min="15785" max="15785" width="9" style="178"/>
    <col min="15786" max="15786" width="9" style="178"/>
    <col min="15787" max="15787" width="9" style="178"/>
    <col min="15788" max="15788" width="9" style="178"/>
    <col min="15789" max="15789" width="9" style="178"/>
    <col min="15790" max="15790" width="9" style="178"/>
    <col min="15791" max="15791" width="9" style="178"/>
    <col min="15792" max="15792" width="9" style="178"/>
    <col min="15793" max="15793" width="9" style="178"/>
    <col min="15794" max="15794" width="9" style="178"/>
    <col min="15795" max="15795" width="9" style="178"/>
    <col min="15796" max="15796" width="9" style="178"/>
    <col min="15797" max="15797" width="9" style="178"/>
    <col min="15798" max="15798" width="9" style="178"/>
    <col min="15799" max="15799" width="9" style="178"/>
    <col min="15800" max="15800" width="9" style="178"/>
    <col min="15801" max="15801" width="9" style="178"/>
    <col min="15802" max="15802" width="9" style="178"/>
    <col min="15803" max="15803" width="9" style="178"/>
    <col min="15804" max="15804" width="9" style="178"/>
    <col min="15805" max="15805" width="9" style="178"/>
    <col min="15806" max="15806" width="9" style="178"/>
    <col min="15807" max="15807" width="9" style="178"/>
    <col min="15808" max="15808" width="9" style="178"/>
    <col min="15809" max="15809" width="9" style="178"/>
    <col min="15810" max="15810" width="9" style="178"/>
    <col min="15811" max="15811" width="9" style="178"/>
    <col min="15812" max="15812" width="9" style="178"/>
    <col min="15813" max="15813" width="9" style="178"/>
    <col min="15814" max="15814" width="9" style="178"/>
    <col min="15815" max="15815" width="9" style="178"/>
    <col min="15816" max="15816" width="9" style="178"/>
    <col min="15817" max="15817" width="9" style="178"/>
    <col min="15818" max="15818" width="9" style="178"/>
    <col min="15819" max="15819" width="9" style="178"/>
    <col min="15820" max="15820" width="9" style="178"/>
    <col min="15821" max="15821" width="9" style="178"/>
    <col min="15822" max="15822" width="9" style="178"/>
    <col min="15823" max="15823" width="9" style="178"/>
    <col min="15824" max="15824" width="9" style="178"/>
    <col min="15825" max="15825" width="9" style="178"/>
    <col min="15826" max="15826" width="9" style="178"/>
    <col min="15827" max="15827" width="9" style="178"/>
    <col min="15828" max="15828" width="9" style="178"/>
    <col min="15829" max="15829" width="9" style="178"/>
    <col min="15830" max="15830" width="9" style="178"/>
    <col min="15831" max="15831" width="9" style="178"/>
    <col min="15832" max="15832" width="9" style="178"/>
    <col min="15833" max="15833" width="9" style="178"/>
    <col min="15834" max="15834" width="9" style="178"/>
    <col min="15835" max="15835" width="9" style="178"/>
    <col min="15836" max="15836" width="9" style="178"/>
    <col min="15837" max="15837" width="9" style="178"/>
    <col min="15838" max="15838" width="9" style="178"/>
    <col min="15839" max="15839" width="9" style="178"/>
    <col min="15840" max="15840" width="9" style="178"/>
    <col min="15841" max="15841" width="9" style="178"/>
    <col min="15842" max="15842" width="9" style="178"/>
    <col min="15843" max="15843" width="9" style="178"/>
    <col min="15844" max="15844" width="9" style="178"/>
    <col min="15845" max="15845" width="9" style="178"/>
    <col min="15846" max="15846" width="9" style="178"/>
    <col min="15847" max="15847" width="9" style="178"/>
    <col min="15848" max="15848" width="9" style="178"/>
    <col min="15849" max="15849" width="9" style="178"/>
    <col min="15850" max="15850" width="9" style="178"/>
    <col min="15851" max="15851" width="9" style="178"/>
    <col min="15852" max="15852" width="9" style="178"/>
    <col min="15853" max="15853" width="9" style="178"/>
    <col min="15854" max="15854" width="9" style="178"/>
    <col min="15855" max="15855" width="9" style="178"/>
    <col min="15856" max="15856" width="9" style="178"/>
    <col min="15857" max="15857" width="9" style="178"/>
    <col min="15858" max="15858" width="9" style="178"/>
    <col min="15859" max="15859" width="9" style="178"/>
    <col min="15860" max="15860" width="9" style="178"/>
    <col min="15861" max="15861" width="9" style="178"/>
    <col min="15862" max="15862" width="9" style="178"/>
    <col min="15863" max="15863" width="9" style="178"/>
    <col min="15864" max="15864" width="9" style="178"/>
    <col min="15865" max="15865" width="9" style="178"/>
    <col min="15866" max="15866" width="9" style="178"/>
    <col min="15867" max="15867" width="9" style="178"/>
    <col min="15868" max="15868" width="9" style="178"/>
    <col min="15869" max="15869" width="9" style="178"/>
    <col min="15870" max="15870" width="9" style="178"/>
    <col min="15871" max="15871" width="9" style="178"/>
    <col min="15872" max="15872" width="9" style="178"/>
    <col min="15873" max="15873" width="9" style="178"/>
    <col min="15874" max="15874" width="9" style="178"/>
    <col min="15875" max="15875" width="9" style="178"/>
    <col min="15876" max="15876" width="9" style="178"/>
    <col min="15877" max="15877" width="9" style="178"/>
    <col min="15878" max="15878" width="9" style="178"/>
    <col min="15879" max="15879" width="9" style="178"/>
    <col min="15880" max="15880" width="9" style="178"/>
    <col min="15881" max="15881" width="9" style="178"/>
    <col min="15882" max="15882" width="9" style="178"/>
    <col min="15883" max="15883" width="9" style="178"/>
    <col min="15884" max="15884" width="9" style="178"/>
    <col min="15885" max="15885" width="9" style="178"/>
    <col min="15886" max="15886" width="9" style="178"/>
    <col min="15887" max="15887" width="9" style="178"/>
    <col min="15888" max="15888" width="9" style="178"/>
    <col min="15889" max="15889" width="9" style="178"/>
    <col min="15890" max="15890" width="9" style="178"/>
    <col min="15891" max="15891" width="9" style="178"/>
    <col min="15892" max="15892" width="9" style="178"/>
    <col min="15893" max="15893" width="9" style="178"/>
    <col min="15894" max="15894" width="9" style="178"/>
    <col min="15895" max="15895" width="9" style="178"/>
    <col min="15896" max="15896" width="9" style="178"/>
    <col min="15897" max="15897" width="9" style="178"/>
    <col min="15898" max="15898" width="9" style="178"/>
    <col min="15899" max="15899" width="9" style="178"/>
    <col min="15900" max="15900" width="9" style="178"/>
    <col min="15901" max="15901" width="9" style="178"/>
    <col min="15902" max="15902" width="9" style="178"/>
    <col min="15903" max="15903" width="9" style="178"/>
    <col min="15904" max="15904" width="9" style="178"/>
    <col min="15905" max="15905" width="9" style="178"/>
    <col min="15906" max="15906" width="9" style="178"/>
    <col min="15907" max="15907" width="9" style="178"/>
    <col min="15908" max="15908" width="9" style="178"/>
    <col min="15909" max="15909" width="9" style="178"/>
    <col min="15910" max="15910" width="9" style="178"/>
    <col min="15911" max="15911" width="9" style="178"/>
    <col min="15912" max="15912" width="9" style="178"/>
    <col min="15913" max="15913" width="9" style="178"/>
    <col min="15914" max="15914" width="9" style="178"/>
    <col min="15915" max="15915" width="9" style="178"/>
    <col min="15916" max="15916" width="9" style="178"/>
    <col min="15917" max="15917" width="9" style="178"/>
    <col min="15918" max="15918" width="9" style="178"/>
    <col min="15919" max="15919" width="9" style="178"/>
    <col min="15920" max="15920" width="9" style="178"/>
    <col min="15921" max="15921" width="9" style="178"/>
    <col min="15922" max="15922" width="9" style="178"/>
    <col min="15923" max="15923" width="9" style="178"/>
    <col min="15924" max="15924" width="9" style="178"/>
    <col min="15925" max="15925" width="9" style="178"/>
    <col min="15926" max="15926" width="9" style="178"/>
    <col min="15927" max="15927" width="9" style="178"/>
    <col min="15928" max="15928" width="9" style="178"/>
    <col min="15929" max="15929" width="9" style="178"/>
    <col min="15930" max="15930" width="9" style="178"/>
    <col min="15931" max="15931" width="9" style="178"/>
    <col min="15932" max="15932" width="9" style="178"/>
    <col min="15933" max="15933" width="9" style="178"/>
    <col min="15934" max="15934" width="9" style="178"/>
    <col min="15935" max="15935" width="9" style="178"/>
    <col min="15936" max="15936" width="9" style="178"/>
    <col min="15937" max="15937" width="9" style="178"/>
    <col min="15938" max="15938" width="9" style="178"/>
    <col min="15939" max="15939" width="9" style="178"/>
    <col min="15940" max="15940" width="9" style="178"/>
    <col min="15941" max="15941" width="9" style="178"/>
    <col min="15942" max="15942" width="9" style="178"/>
    <col min="15943" max="15943" width="9" style="178"/>
    <col min="15944" max="15944" width="9" style="178"/>
    <col min="15945" max="15945" width="9" style="178"/>
    <col min="15946" max="15946" width="9" style="178"/>
    <col min="15947" max="15947" width="9" style="178"/>
    <col min="15948" max="15948" width="9" style="178"/>
    <col min="15949" max="15949" width="9" style="178"/>
    <col min="15950" max="15950" width="9" style="178"/>
    <col min="15951" max="15951" width="9" style="178"/>
    <col min="15952" max="15952" width="9" style="178"/>
    <col min="15953" max="15953" width="9" style="178"/>
    <col min="15954" max="15954" width="9" style="178"/>
    <col min="15955" max="15955" width="9" style="178"/>
    <col min="15956" max="15956" width="9" style="178"/>
    <col min="15957" max="15957" width="9" style="178"/>
    <col min="15958" max="15958" width="9" style="178"/>
    <col min="15959" max="15959" width="9" style="178"/>
    <col min="15960" max="15960" width="9" style="178"/>
    <col min="15961" max="15961" width="9" style="178"/>
    <col min="15962" max="15962" width="9" style="178"/>
    <col min="15963" max="15963" width="9" style="178"/>
    <col min="15964" max="15964" width="9" style="178"/>
    <col min="15965" max="15965" width="9" style="178"/>
    <col min="15966" max="15966" width="9" style="178"/>
    <col min="15967" max="15967" width="9" style="178"/>
    <col min="15968" max="15968" width="9" style="178"/>
    <col min="15969" max="15969" width="9" style="178"/>
    <col min="15970" max="15970" width="9" style="178"/>
    <col min="15971" max="15971" width="9" style="178"/>
    <col min="15972" max="15972" width="9" style="178"/>
    <col min="15973" max="15973" width="9" style="178"/>
    <col min="15974" max="15974" width="9" style="178"/>
    <col min="15975" max="15975" width="9" style="178"/>
    <col min="15976" max="15976" width="9" style="178"/>
    <col min="15977" max="15977" width="9" style="178"/>
    <col min="15978" max="15978" width="9" style="178"/>
    <col min="15979" max="15979" width="9" style="178"/>
    <col min="15980" max="15980" width="9" style="178"/>
    <col min="15981" max="15981" width="9" style="178"/>
    <col min="15982" max="15982" width="9" style="178"/>
    <col min="15983" max="15983" width="9" style="178"/>
    <col min="15984" max="15984" width="9" style="178"/>
    <col min="15985" max="15985" width="9" style="178"/>
    <col min="15986" max="15986" width="9" style="178"/>
    <col min="15987" max="15987" width="9" style="178"/>
    <col min="15988" max="15988" width="9" style="178"/>
    <col min="15989" max="15989" width="9" style="178"/>
    <col min="15990" max="15990" width="9" style="178"/>
    <col min="15991" max="15991" width="9" style="178"/>
    <col min="15992" max="15992" width="9" style="178"/>
    <col min="15993" max="15993" width="9" style="178"/>
    <col min="15994" max="15994" width="9" style="178"/>
    <col min="15995" max="15995" width="9" style="178"/>
    <col min="15996" max="15996" width="9" style="178"/>
    <col min="15997" max="15997" width="9" style="178"/>
    <col min="15998" max="15998" width="9" style="178"/>
    <col min="15999" max="15999" width="9" style="178"/>
    <col min="16000" max="16000" width="9" style="178"/>
    <col min="16001" max="16001" width="9" style="178"/>
    <col min="16002" max="16002" width="9" style="178"/>
    <col min="16003" max="16003" width="9" style="178"/>
    <col min="16004" max="16004" width="9" style="178"/>
    <col min="16005" max="16005" width="9" style="178"/>
    <col min="16006" max="16006" width="9" style="178"/>
    <col min="16007" max="16007" width="9" style="178"/>
    <col min="16008" max="16008" width="9" style="178"/>
    <col min="16009" max="16009" width="9" style="178"/>
    <col min="16010" max="16010" width="9" style="178"/>
    <col min="16011" max="16011" width="9" style="178"/>
    <col min="16012" max="16012" width="9" style="178"/>
    <col min="16013" max="16013" width="9" style="178"/>
    <col min="16014" max="16014" width="9" style="178"/>
    <col min="16015" max="16015" width="9" style="178"/>
    <col min="16016" max="16016" width="9" style="178"/>
    <col min="16017" max="16017" width="9" style="178"/>
    <col min="16018" max="16018" width="9" style="178"/>
    <col min="16019" max="16019" width="9" style="178"/>
    <col min="16020" max="16020" width="9" style="178"/>
    <col min="16021" max="16021" width="9" style="178"/>
    <col min="16022" max="16022" width="9" style="178"/>
    <col min="16023" max="16023" width="9" style="178"/>
    <col min="16024" max="16024" width="9" style="178"/>
    <col min="16025" max="16025" width="9" style="178"/>
    <col min="16026" max="16026" width="9" style="178"/>
    <col min="16027" max="16027" width="9" style="178"/>
    <col min="16028" max="16028" width="9" style="178"/>
    <col min="16029" max="16029" width="9" style="178"/>
    <col min="16030" max="16030" width="9" style="178"/>
    <col min="16031" max="16031" width="9" style="178"/>
    <col min="16032" max="16032" width="9" style="178"/>
    <col min="16033" max="16033" width="9" style="178"/>
    <col min="16034" max="16034" width="9" style="178"/>
    <col min="16035" max="16035" width="9" style="178"/>
    <col min="16036" max="16036" width="9" style="178"/>
    <col min="16037" max="16037" width="9" style="178"/>
    <col min="16038" max="16038" width="9" style="178"/>
    <col min="16039" max="16039" width="9" style="178"/>
    <col min="16040" max="16040" width="9" style="178"/>
    <col min="16041" max="16041" width="9" style="178"/>
    <col min="16042" max="16042" width="9" style="178"/>
    <col min="16043" max="16043" width="9" style="178"/>
    <col min="16044" max="16044" width="9" style="178"/>
    <col min="16045" max="16045" width="9" style="178"/>
    <col min="16046" max="16046" width="9" style="178"/>
    <col min="16047" max="16047" width="9" style="178"/>
    <col min="16048" max="16048" width="9" style="178"/>
    <col min="16049" max="16049" width="9" style="178"/>
    <col min="16050" max="16050" width="9" style="178"/>
    <col min="16051" max="16051" width="9" style="178"/>
    <col min="16052" max="16052" width="9" style="178"/>
    <col min="16053" max="16053" width="9" style="178"/>
    <col min="16054" max="16054" width="9" style="178"/>
    <col min="16055" max="16055" width="9" style="178"/>
    <col min="16056" max="16056" width="9" style="178"/>
    <col min="16057" max="16057" width="9" style="178"/>
    <col min="16058" max="16058" width="9" style="178"/>
    <col min="16059" max="16059" width="9" style="178"/>
    <col min="16060" max="16060" width="9" style="178"/>
    <col min="16061" max="16061" width="9" style="178"/>
    <col min="16062" max="16062" width="9" style="178"/>
    <col min="16063" max="16063" width="9" style="178"/>
    <col min="16064" max="16064" width="9" style="178"/>
    <col min="16065" max="16065" width="9" style="178"/>
    <col min="16066" max="16066" width="9" style="178"/>
    <col min="16067" max="16067" width="9" style="178"/>
    <col min="16068" max="16068" width="9" style="178"/>
    <col min="16069" max="16069" width="9" style="178"/>
    <col min="16070" max="16070" width="9" style="178"/>
    <col min="16071" max="16071" width="9" style="178"/>
    <col min="16072" max="16072" width="9" style="178"/>
    <col min="16073" max="16073" width="9" style="178"/>
    <col min="16074" max="16074" width="9" style="178"/>
    <col min="16075" max="16075" width="9" style="178"/>
    <col min="16076" max="16076" width="9" style="178"/>
    <col min="16077" max="16077" width="9" style="178"/>
    <col min="16078" max="16078" width="9" style="178"/>
    <col min="16079" max="16079" width="9" style="178"/>
    <col min="16080" max="16080" width="9" style="178"/>
    <col min="16081" max="16081" width="9" style="178"/>
    <col min="16082" max="16082" width="9" style="178"/>
    <col min="16083" max="16083" width="9" style="178"/>
    <col min="16084" max="16084" width="9" style="178"/>
    <col min="16085" max="16085" width="9" style="178"/>
    <col min="16086" max="16086" width="9" style="178"/>
    <col min="16087" max="16087" width="9" style="178"/>
    <col min="16088" max="16088" width="9" style="178"/>
    <col min="16089" max="16089" width="9" style="178"/>
    <col min="16090" max="16090" width="9" style="178"/>
    <col min="16091" max="16091" width="9" style="178"/>
    <col min="16092" max="16092" width="9" style="178"/>
    <col min="16093" max="16093" width="9" style="178"/>
    <col min="16094" max="16094" width="9" style="178"/>
    <col min="16095" max="16095" width="9" style="178"/>
    <col min="16096" max="16096" width="9" style="178"/>
    <col min="16097" max="16097" width="9" style="178"/>
    <col min="16098" max="16098" width="9" style="178"/>
    <col min="16099" max="16099" width="9" style="178"/>
    <col min="16100" max="16100" width="9" style="178"/>
    <col min="16101" max="16101" width="9" style="178"/>
    <col min="16102" max="16102" width="9" style="178"/>
    <col min="16103" max="16103" width="9" style="178"/>
    <col min="16104" max="16104" width="9" style="178"/>
    <col min="16105" max="16105" width="9" style="178"/>
    <col min="16106" max="16106" width="9" style="178"/>
    <col min="16107" max="16107" width="9" style="178"/>
    <col min="16108" max="16108" width="9" style="178"/>
    <col min="16109" max="16109" width="9" style="178"/>
    <col min="16110" max="16110" width="9" style="178"/>
    <col min="16111" max="16111" width="9" style="178"/>
    <col min="16112" max="16112" width="9" style="178"/>
    <col min="16113" max="16113" width="9" style="178"/>
    <col min="16114" max="16114" width="9" style="178"/>
    <col min="16115" max="16115" width="9" style="178"/>
    <col min="16116" max="16116" width="9" style="178"/>
    <col min="16117" max="16117" width="9" style="178"/>
    <col min="16118" max="16118" width="9" style="178"/>
    <col min="16119" max="16119" width="9" style="178"/>
    <col min="16120" max="16120" width="9" style="178"/>
    <col min="16121" max="16121" width="9" style="178"/>
    <col min="16122" max="16122" width="9" style="178"/>
    <col min="16123" max="16123" width="9" style="178"/>
    <col min="16124" max="16124" width="9" style="178"/>
    <col min="16125" max="16125" width="9" style="178"/>
    <col min="16126" max="16126" width="9" style="178"/>
    <col min="16127" max="16127" width="9" style="178"/>
    <col min="16128" max="16128" width="9" style="178"/>
    <col min="16129" max="16129" width="9" style="178"/>
    <col min="16130" max="16130" width="9" style="178"/>
    <col min="16131" max="16131" width="9" style="178"/>
    <col min="16132" max="16132" width="9" style="178"/>
    <col min="16133" max="16133" width="9" style="178"/>
    <col min="16134" max="16134" width="9" style="178"/>
    <col min="16135" max="16135" width="9" style="178"/>
    <col min="16136" max="16136" width="9" style="178"/>
    <col min="16137" max="16137" width="9" style="178"/>
    <col min="16138" max="16138" width="9" style="178"/>
    <col min="16139" max="16139" width="9" style="178"/>
    <col min="16140" max="16140" width="9" style="178"/>
    <col min="16141" max="16141" width="9" style="178"/>
    <col min="16142" max="16142" width="9" style="178"/>
    <col min="16143" max="16143" width="9" style="178"/>
    <col min="16144" max="16144" width="9" style="178"/>
    <col min="16145" max="16145" width="9" style="178"/>
    <col min="16146" max="16146" width="9" style="178"/>
    <col min="16147" max="16147" width="9" style="178"/>
    <col min="16148" max="16148" width="9" style="178"/>
    <col min="16149" max="16149" width="9" style="178"/>
    <col min="16150" max="16150" width="9" style="178"/>
    <col min="16151" max="16151" width="9" style="178"/>
    <col min="16152" max="16152" width="9" style="178"/>
    <col min="16153" max="16153" width="9" style="178"/>
    <col min="16154" max="16154" width="9" style="178"/>
    <col min="16155" max="16155" width="9" style="178"/>
    <col min="16156" max="16156" width="9" style="178"/>
    <col min="16157" max="16157" width="9" style="178"/>
    <col min="16158" max="16158" width="9" style="178"/>
    <col min="16159" max="16159" width="9" style="178"/>
    <col min="16160" max="16160" width="9" style="178"/>
    <col min="16161" max="16161" width="9" style="178"/>
    <col min="16162" max="16162" width="9" style="178"/>
    <col min="16163" max="16163" width="9" style="178"/>
    <col min="16164" max="16164" width="9" style="178"/>
    <col min="16165" max="16165" width="9" style="178"/>
    <col min="16166" max="16166" width="9" style="178"/>
    <col min="16167" max="16167" width="9" style="178"/>
    <col min="16168" max="16168" width="9" style="178"/>
    <col min="16169" max="16169" width="9" style="178"/>
    <col min="16170" max="16170" width="9" style="178"/>
    <col min="16171" max="16171" width="9" style="178"/>
    <col min="16172" max="16172" width="9" style="178"/>
    <col min="16173" max="16173" width="9" style="178"/>
    <col min="16174" max="16174" width="9" style="178"/>
    <col min="16175" max="16175" width="9" style="178"/>
    <col min="16176" max="16176" width="9" style="178"/>
    <col min="16177" max="16177" width="9" style="178"/>
    <col min="16178" max="16178" width="9" style="178"/>
    <col min="16179" max="16179" width="9" style="178"/>
    <col min="16180" max="16180" width="9" style="178"/>
    <col min="16181" max="16181" width="9" style="178"/>
    <col min="16182" max="16182" width="9" style="178"/>
    <col min="16183" max="16183" width="9" style="178"/>
    <col min="16184" max="16184" width="9" style="178"/>
    <col min="16185" max="16185" width="9" style="178"/>
    <col min="16186" max="16186" width="9" style="178"/>
    <col min="16187" max="16187" width="9" style="178"/>
    <col min="16188" max="16188" width="9" style="178"/>
    <col min="16189" max="16189" width="9" style="178"/>
    <col min="16190" max="16190" width="9" style="178"/>
    <col min="16191" max="16191" width="9" style="178"/>
    <col min="16192" max="16192" width="9" style="178"/>
    <col min="16193" max="16193" width="9" style="178"/>
    <col min="16194" max="16194" width="9" style="178"/>
    <col min="16195" max="16195" width="9" style="178"/>
    <col min="16196" max="16196" width="9" style="178"/>
    <col min="16197" max="16197" width="9" style="178"/>
    <col min="16198" max="16198" width="9" style="178"/>
    <col min="16199" max="16199" width="9" style="178"/>
    <col min="16200" max="16200" width="9" style="178"/>
    <col min="16201" max="16201" width="9" style="178"/>
    <col min="16202" max="16202" width="9" style="178"/>
    <col min="16203" max="16203" width="9" style="178"/>
    <col min="16204" max="16204" width="9" style="178"/>
    <col min="16205" max="16205" width="9" style="178"/>
    <col min="16206" max="16206" width="9" style="178"/>
    <col min="16207" max="16207" width="9" style="178"/>
    <col min="16208" max="16208" width="9" style="178"/>
    <col min="16209" max="16209" width="9" style="178"/>
    <col min="16210" max="16210" width="9" style="178"/>
    <col min="16211" max="16211" width="9" style="178"/>
    <col min="16212" max="16212" width="9" style="178"/>
    <col min="16213" max="16213" width="9" style="178"/>
    <col min="16214" max="16214" width="9" style="178"/>
    <col min="16215" max="16215" width="9" style="178"/>
    <col min="16216" max="16216" width="9" style="178"/>
    <col min="16217" max="16217" width="9" style="178"/>
    <col min="16218" max="16218" width="9" style="178"/>
    <col min="16219" max="16219" width="9" style="178"/>
    <col min="16220" max="16220" width="9" style="178"/>
    <col min="16221" max="16221" width="9" style="178"/>
    <col min="16222" max="16222" width="9" style="178"/>
    <col min="16223" max="16223" width="9" style="178"/>
    <col min="16224" max="16224" width="9" style="178"/>
    <col min="16225" max="16225" width="9" style="178"/>
    <col min="16226" max="16226" width="9" style="178"/>
    <col min="16227" max="16227" width="9" style="178"/>
    <col min="16228" max="16228" width="9" style="178"/>
    <col min="16229" max="16229" width="9" style="178"/>
    <col min="16230" max="16230" width="9" style="178"/>
    <col min="16231" max="16231" width="9" style="178"/>
    <col min="16232" max="16232" width="9" style="178"/>
    <col min="16233" max="16233" width="9" style="178"/>
    <col min="16234" max="16234" width="9" style="178"/>
    <col min="16235" max="16235" width="9" style="178"/>
    <col min="16236" max="16236" width="9" style="178"/>
    <col min="16237" max="16237" width="9" style="178"/>
    <col min="16238" max="16238" width="9" style="178"/>
    <col min="16239" max="16239" width="9" style="178"/>
    <col min="16240" max="16240" width="9" style="178"/>
    <col min="16241" max="16241" width="9" style="178"/>
    <col min="16242" max="16242" width="9" style="178"/>
    <col min="16243" max="16243" width="9" style="178"/>
    <col min="16244" max="16244" width="9" style="178"/>
    <col min="16245" max="16245" width="9" style="178"/>
    <col min="16246" max="16246" width="9" style="178"/>
    <col min="16247" max="16247" width="9" style="178"/>
    <col min="16248" max="16248" width="9" style="178"/>
    <col min="16249" max="16249" width="9" style="178"/>
    <col min="16250" max="16250" width="9" style="178"/>
    <col min="16251" max="16251" width="9" style="178"/>
    <col min="16252" max="16252" width="9" style="178"/>
    <col min="16253" max="16253" width="9" style="178"/>
    <col min="16254" max="16254" width="9" style="178"/>
    <col min="16255" max="16255" width="9" style="178"/>
    <col min="16256" max="16256" width="9" style="178"/>
    <col min="16257" max="16257" width="9" style="178"/>
    <col min="16258" max="16258" width="9" style="178"/>
    <col min="16259" max="16259" width="9" style="178"/>
    <col min="16260" max="16260" width="9" style="178"/>
    <col min="16261" max="16261" width="9" style="178"/>
    <col min="16262" max="16262" width="9" style="178"/>
    <col min="16263" max="16263" width="9" style="178"/>
    <col min="16264" max="16264" width="9" style="178"/>
    <col min="16265" max="16265" width="9" style="178"/>
    <col min="16266" max="16266" width="9" style="178"/>
    <col min="16267" max="16267" width="9" style="178"/>
    <col min="16268" max="16268" width="9" style="178"/>
    <col min="16269" max="16269" width="9" style="178"/>
    <col min="16270" max="16270" width="9" style="178"/>
    <col min="16271" max="16271" width="9" style="178"/>
    <col min="16272" max="16272" width="9" style="178"/>
    <col min="16273" max="16273" width="9" style="178"/>
    <col min="16274" max="16274" width="9" style="178"/>
    <col min="16275" max="16275" width="9" style="178"/>
    <col min="16276" max="16276" width="9" style="178"/>
    <col min="16277" max="16277" width="9" style="178"/>
    <col min="16278" max="16278" width="9" style="178"/>
    <col min="16279" max="16279" width="9" style="178"/>
    <col min="16280" max="16280" width="9" style="178"/>
    <col min="16281" max="16281" width="9" style="178"/>
    <col min="16282" max="16282" width="9" style="178"/>
    <col min="16283" max="16283" width="9" style="178"/>
    <col min="16284" max="16284" width="9" style="178"/>
    <col min="16285" max="16285" width="9" style="178"/>
    <col min="16286" max="16286" width="9" style="178"/>
    <col min="16287" max="16287" width="9" style="178"/>
    <col min="16288" max="16288" width="9" style="178"/>
    <col min="16289" max="16289" width="9" style="178"/>
    <col min="16290" max="16290" width="9" style="178"/>
    <col min="16291" max="16291" width="9" style="178"/>
    <col min="16292" max="16292" width="9" style="178"/>
    <col min="16293" max="16293" width="9" style="178"/>
    <col min="16294" max="16294" width="9" style="178"/>
    <col min="16295" max="16295" width="9" style="178"/>
    <col min="16296" max="16296" width="9" style="178"/>
    <col min="16297" max="16297" width="9" style="178"/>
    <col min="16298" max="16298" width="9" style="178"/>
    <col min="16299" max="16299" width="9" style="178"/>
    <col min="16300" max="16300" width="9" style="178"/>
    <col min="16301" max="16301" width="9" style="178"/>
    <col min="16302" max="16302" width="9" style="178"/>
    <col min="16303" max="16303" width="9" style="178"/>
    <col min="16304" max="16304" width="9" style="178"/>
    <col min="16305" max="16305" width="9" style="178"/>
    <col min="16306" max="16306" width="9" style="178"/>
    <col min="16307" max="16307" width="9" style="178"/>
    <col min="16308" max="16308" width="9" style="178"/>
    <col min="16309" max="16309" width="9" style="178"/>
    <col min="16310" max="16310" width="9" style="178"/>
    <col min="16311" max="16311" width="9" style="178"/>
    <col min="16312" max="16312" width="9" style="178"/>
    <col min="16313" max="16313" width="9" style="178"/>
    <col min="16314" max="16314" width="9" style="178"/>
    <col min="16315" max="16315" width="9" style="178"/>
    <col min="16316" max="16316" width="9" style="178"/>
    <col min="16317" max="16317" width="9" style="178"/>
    <col min="16318" max="16318" width="9" style="178"/>
    <col min="16319" max="16319" width="9" style="178"/>
    <col min="16320" max="16320" width="9" style="178"/>
    <col min="16321" max="16321" width="9" style="178"/>
    <col min="16322" max="16322" width="9" style="178"/>
    <col min="16323" max="16323" width="9" style="178"/>
    <col min="16324" max="16324" width="9" style="178"/>
    <col min="16325" max="16325" width="9" style="178"/>
    <col min="16326" max="16326" width="9" style="178"/>
    <col min="16327" max="16327" width="9" style="178"/>
    <col min="16328" max="16328" width="9" style="178"/>
    <col min="16329" max="16329" width="9" style="178"/>
    <col min="16330" max="16330" width="9" style="178"/>
    <col min="16331" max="16331" width="9" style="178"/>
    <col min="16332" max="16332" width="9" style="178"/>
    <col min="16333" max="16333" width="9" style="178"/>
    <col min="16334" max="16334" width="9" style="178"/>
    <col min="16335" max="16335" width="9" style="178"/>
    <col min="16336" max="16336" width="9" style="178"/>
    <col min="16337" max="16337" width="9" style="178"/>
    <col min="16338" max="16338" width="9" style="178"/>
    <col min="16339" max="16339" width="9" style="178"/>
    <col min="16340" max="16340" width="9" style="178"/>
    <col min="16341" max="16341" width="9" style="178"/>
    <col min="16342" max="16342" width="9" style="178"/>
    <col min="16343" max="16343" width="9" style="178"/>
    <col min="16344" max="16344" width="9" style="178"/>
    <col min="16345" max="16345" width="9" style="178"/>
    <col min="16346" max="16346" width="9" style="178"/>
    <col min="16347" max="16347" width="9" style="178"/>
    <col min="16348" max="16348" width="9" style="178"/>
    <col min="16349" max="16349" width="9" style="178"/>
    <col min="16350" max="16350" width="9" style="178"/>
    <col min="16351" max="16351" width="9" style="178"/>
    <col min="16352" max="16352" width="9" style="178"/>
    <col min="16353" max="16353" width="9" style="178"/>
    <col min="16354" max="16354" width="9" style="178"/>
    <col min="16355" max="16355" width="9" style="178"/>
    <col min="16356" max="16356" width="9" style="178"/>
    <col min="16357" max="16357" width="9" style="178"/>
    <col min="16358" max="16358" width="9" style="178"/>
    <col min="16359" max="16359" width="9" style="178"/>
    <col min="16360" max="16360" width="9" style="178"/>
    <col min="16361" max="16361" width="9" style="178"/>
    <col min="16362" max="16362" width="9" style="178"/>
    <col min="16363" max="16363" width="9" style="178"/>
    <col min="16364" max="16364" width="9" style="178"/>
    <col min="16365" max="16365" width="9" style="178"/>
    <col min="16366" max="16366" width="9" style="178"/>
    <col min="16367" max="16367" width="9" style="178"/>
    <col min="16368" max="16368" width="9" style="178"/>
    <col min="16369" max="16369" width="9" style="178"/>
    <col min="16370" max="16370" width="9" style="178"/>
    <col min="16371" max="16371" width="9" style="178"/>
    <col min="16372" max="16372" width="9" style="178"/>
    <col min="16373" max="16373" width="9" style="178"/>
    <col min="16374" max="16374" width="9" style="178"/>
    <col min="16375" max="16375" width="9" style="178"/>
    <col min="16376" max="16376" width="9" style="178"/>
    <col min="16377" max="16377" width="9" style="178"/>
    <col min="16378" max="16378" width="9" style="178"/>
    <col min="16379" max="16379" width="9" style="178"/>
    <col min="16380" max="16380" width="9" style="178"/>
    <col min="16381" max="16381" width="9" style="178"/>
    <col min="16382" max="16382" width="9" style="178"/>
    <col min="16383" max="16383" width="9" style="178"/>
    <col min="16384" max="16384" width="9" style="178"/>
  </cols>
  <sheetData>
    <row r="1" ht="18.95" customHeight="1" spans="1:16">
      <c r="A1" s="13" t="s">
        <v>0</v>
      </c>
      <c r="B1" s="13" t="s">
        <v>1</v>
      </c>
      <c r="C1" s="13" t="s">
        <v>2</v>
      </c>
      <c r="D1" s="14" t="s">
        <v>3</v>
      </c>
      <c r="E1" s="14" t="s">
        <v>4</v>
      </c>
      <c r="F1" s="115" t="s">
        <v>5</v>
      </c>
      <c r="G1" s="115" t="s">
        <v>6</v>
      </c>
      <c r="H1" s="115" t="s">
        <v>7</v>
      </c>
      <c r="I1" s="115" t="s">
        <v>8</v>
      </c>
      <c r="J1" s="115" t="s">
        <v>9</v>
      </c>
      <c r="K1" s="115" t="s">
        <v>10</v>
      </c>
      <c r="L1" s="115" t="s">
        <v>11</v>
      </c>
      <c r="M1" s="115" t="s">
        <v>12</v>
      </c>
      <c r="N1" s="115" t="s">
        <v>13</v>
      </c>
      <c r="O1" s="179" t="s">
        <v>14</v>
      </c>
      <c r="P1" s="179" t="s">
        <v>15</v>
      </c>
    </row>
    <row r="2" ht="14.25" spans="1:16">
      <c r="A2" s="13">
        <v>1</v>
      </c>
      <c r="B2" s="15">
        <v>1</v>
      </c>
      <c r="C2" s="16">
        <v>1</v>
      </c>
      <c r="D2" s="17" t="s">
        <v>16</v>
      </c>
      <c r="E2" s="17" t="s">
        <v>17</v>
      </c>
      <c r="F2" s="15">
        <v>95.5</v>
      </c>
      <c r="G2" s="15">
        <v>86.5</v>
      </c>
      <c r="H2" s="15">
        <v>96.5</v>
      </c>
      <c r="I2" s="15">
        <v>39.5</v>
      </c>
      <c r="J2" s="15"/>
      <c r="K2" s="15">
        <v>31</v>
      </c>
      <c r="L2" s="15"/>
      <c r="M2" s="15">
        <v>51</v>
      </c>
      <c r="N2" s="15"/>
      <c r="O2" s="15">
        <v>278.5</v>
      </c>
      <c r="P2" s="15">
        <v>400</v>
      </c>
    </row>
    <row r="3" ht="14.25" spans="1:16">
      <c r="A3" s="13">
        <v>2</v>
      </c>
      <c r="B3" s="15">
        <v>1</v>
      </c>
      <c r="C3" s="16">
        <v>2</v>
      </c>
      <c r="D3" s="17" t="s">
        <v>18</v>
      </c>
      <c r="E3" s="17" t="s">
        <v>19</v>
      </c>
      <c r="F3" s="15">
        <v>97.5</v>
      </c>
      <c r="G3" s="15">
        <v>101.5</v>
      </c>
      <c r="H3" s="15">
        <v>83.5</v>
      </c>
      <c r="I3" s="15">
        <v>32</v>
      </c>
      <c r="J3" s="15"/>
      <c r="K3" s="15">
        <v>36</v>
      </c>
      <c r="L3" s="15"/>
      <c r="M3" s="15">
        <v>59.5</v>
      </c>
      <c r="N3" s="15"/>
      <c r="O3" s="15">
        <v>282.5</v>
      </c>
      <c r="P3" s="15">
        <v>410</v>
      </c>
    </row>
    <row r="4" ht="14.25" spans="1:16">
      <c r="A4" s="13">
        <v>3</v>
      </c>
      <c r="B4" s="15">
        <v>1</v>
      </c>
      <c r="C4" s="16">
        <v>4</v>
      </c>
      <c r="D4" s="17" t="s">
        <v>20</v>
      </c>
      <c r="E4" s="17" t="s">
        <v>21</v>
      </c>
      <c r="F4" s="15">
        <v>83</v>
      </c>
      <c r="G4" s="15">
        <v>96.5</v>
      </c>
      <c r="H4" s="15">
        <v>90.5</v>
      </c>
      <c r="I4" s="15">
        <v>56.5</v>
      </c>
      <c r="J4" s="15"/>
      <c r="K4" s="15">
        <v>34</v>
      </c>
      <c r="L4" s="15"/>
      <c r="M4" s="15">
        <v>51</v>
      </c>
      <c r="N4" s="15"/>
      <c r="O4" s="15">
        <v>270</v>
      </c>
      <c r="P4" s="15">
        <v>411.5</v>
      </c>
    </row>
    <row r="5" ht="14.25" spans="1:16">
      <c r="A5" s="13">
        <v>4</v>
      </c>
      <c r="B5" s="15">
        <v>1</v>
      </c>
      <c r="C5" s="16">
        <v>5</v>
      </c>
      <c r="D5" s="17" t="s">
        <v>22</v>
      </c>
      <c r="E5" s="17" t="s">
        <v>23</v>
      </c>
      <c r="F5" s="15">
        <v>92.5</v>
      </c>
      <c r="G5" s="15">
        <v>114.5</v>
      </c>
      <c r="H5" s="15">
        <v>71.75</v>
      </c>
      <c r="I5" s="15">
        <v>48.5</v>
      </c>
      <c r="J5" s="15"/>
      <c r="K5" s="15">
        <v>39.5</v>
      </c>
      <c r="L5" s="15"/>
      <c r="M5" s="15">
        <v>47</v>
      </c>
      <c r="N5" s="15"/>
      <c r="O5" s="15">
        <v>278.75</v>
      </c>
      <c r="P5" s="15">
        <v>413.75</v>
      </c>
    </row>
    <row r="6" ht="14.25" spans="1:16">
      <c r="A6" s="13">
        <v>5</v>
      </c>
      <c r="B6" s="15">
        <v>1</v>
      </c>
      <c r="C6" s="16">
        <v>6</v>
      </c>
      <c r="D6" s="17" t="s">
        <v>24</v>
      </c>
      <c r="E6" s="17" t="s">
        <v>25</v>
      </c>
      <c r="F6" s="15">
        <v>111</v>
      </c>
      <c r="G6" s="15">
        <v>107.5</v>
      </c>
      <c r="H6" s="15">
        <v>83.5</v>
      </c>
      <c r="I6" s="15">
        <v>48.5</v>
      </c>
      <c r="J6" s="15"/>
      <c r="K6" s="15">
        <v>43.5</v>
      </c>
      <c r="L6" s="15"/>
      <c r="M6" s="15">
        <v>54</v>
      </c>
      <c r="N6" s="15"/>
      <c r="O6" s="15">
        <v>302</v>
      </c>
      <c r="P6" s="15">
        <v>448</v>
      </c>
    </row>
    <row r="7" ht="14.25" spans="1:16">
      <c r="A7" s="13">
        <v>6</v>
      </c>
      <c r="B7" s="15">
        <v>1</v>
      </c>
      <c r="C7" s="16">
        <v>7</v>
      </c>
      <c r="D7" s="17" t="s">
        <v>26</v>
      </c>
      <c r="E7" s="17" t="s">
        <v>27</v>
      </c>
      <c r="F7" s="15">
        <v>99.5</v>
      </c>
      <c r="G7" s="15">
        <v>96.5</v>
      </c>
      <c r="H7" s="15">
        <v>109.75</v>
      </c>
      <c r="I7" s="15">
        <v>57</v>
      </c>
      <c r="J7" s="15"/>
      <c r="K7" s="15">
        <v>53.5</v>
      </c>
      <c r="L7" s="15"/>
      <c r="M7" s="15">
        <v>62</v>
      </c>
      <c r="N7" s="15"/>
      <c r="O7" s="15">
        <v>305.75</v>
      </c>
      <c r="P7" s="15">
        <v>478.25</v>
      </c>
    </row>
    <row r="8" ht="14.25" spans="1:16">
      <c r="A8" s="13">
        <v>7</v>
      </c>
      <c r="B8" s="15">
        <v>1</v>
      </c>
      <c r="C8" s="16">
        <v>8</v>
      </c>
      <c r="D8" s="17" t="s">
        <v>28</v>
      </c>
      <c r="E8" s="17" t="s">
        <v>29</v>
      </c>
      <c r="F8" s="15">
        <v>101.5</v>
      </c>
      <c r="G8" s="15">
        <v>114</v>
      </c>
      <c r="H8" s="15">
        <v>114</v>
      </c>
      <c r="I8" s="15">
        <v>69.5</v>
      </c>
      <c r="J8" s="15"/>
      <c r="K8" s="15">
        <v>55.5</v>
      </c>
      <c r="L8" s="15"/>
      <c r="M8" s="15">
        <v>65</v>
      </c>
      <c r="N8" s="15"/>
      <c r="O8" s="15">
        <v>329.5</v>
      </c>
      <c r="P8" s="15">
        <v>519.5</v>
      </c>
    </row>
    <row r="9" ht="14.25" spans="1:16">
      <c r="A9" s="13">
        <v>8</v>
      </c>
      <c r="B9" s="15">
        <v>1</v>
      </c>
      <c r="C9" s="16">
        <v>9</v>
      </c>
      <c r="D9" s="17" t="s">
        <v>30</v>
      </c>
      <c r="E9" s="17" t="s">
        <v>31</v>
      </c>
      <c r="F9" s="15">
        <v>100.5</v>
      </c>
      <c r="G9" s="15">
        <v>90.5</v>
      </c>
      <c r="H9" s="15">
        <v>119</v>
      </c>
      <c r="I9" s="15">
        <v>45.5</v>
      </c>
      <c r="J9" s="15"/>
      <c r="K9" s="15">
        <v>49</v>
      </c>
      <c r="L9" s="15"/>
      <c r="M9" s="15">
        <v>65.25</v>
      </c>
      <c r="N9" s="15"/>
      <c r="O9" s="15">
        <v>310</v>
      </c>
      <c r="P9" s="15">
        <v>469.75</v>
      </c>
    </row>
    <row r="10" ht="14.25" spans="1:16">
      <c r="A10" s="13">
        <v>9</v>
      </c>
      <c r="B10" s="15">
        <v>1</v>
      </c>
      <c r="C10" s="16">
        <v>10</v>
      </c>
      <c r="D10" s="17" t="s">
        <v>32</v>
      </c>
      <c r="E10" s="17" t="s">
        <v>33</v>
      </c>
      <c r="F10" s="15">
        <v>98.5</v>
      </c>
      <c r="G10" s="15">
        <v>94.5</v>
      </c>
      <c r="H10" s="15">
        <v>98.5</v>
      </c>
      <c r="I10" s="15">
        <v>66.5</v>
      </c>
      <c r="J10" s="15"/>
      <c r="K10" s="15">
        <v>30</v>
      </c>
      <c r="L10" s="15"/>
      <c r="M10" s="15">
        <v>56.5</v>
      </c>
      <c r="N10" s="15"/>
      <c r="O10" s="15">
        <v>291.5</v>
      </c>
      <c r="P10" s="15">
        <v>444.5</v>
      </c>
    </row>
    <row r="11" ht="14.25" spans="1:16">
      <c r="A11" s="13">
        <v>10</v>
      </c>
      <c r="B11" s="15">
        <v>1</v>
      </c>
      <c r="C11" s="16">
        <v>11</v>
      </c>
      <c r="D11" s="17" t="s">
        <v>34</v>
      </c>
      <c r="E11" s="17" t="s">
        <v>35</v>
      </c>
      <c r="F11" s="15">
        <v>104.5</v>
      </c>
      <c r="G11" s="15">
        <v>75</v>
      </c>
      <c r="H11" s="15">
        <v>85.75</v>
      </c>
      <c r="I11" s="15">
        <v>21</v>
      </c>
      <c r="J11" s="15"/>
      <c r="K11" s="15">
        <v>40</v>
      </c>
      <c r="L11" s="15"/>
      <c r="M11" s="15">
        <v>44</v>
      </c>
      <c r="N11" s="15"/>
      <c r="O11" s="15">
        <v>265.25</v>
      </c>
      <c r="P11" s="15">
        <v>370.25</v>
      </c>
    </row>
    <row r="12" ht="14.25" spans="1:16">
      <c r="A12" s="13">
        <v>11</v>
      </c>
      <c r="B12" s="15">
        <v>1</v>
      </c>
      <c r="C12" s="16">
        <v>12</v>
      </c>
      <c r="D12" s="17" t="s">
        <v>36</v>
      </c>
      <c r="E12" s="17" t="s">
        <v>37</v>
      </c>
      <c r="F12" s="15">
        <v>87.5</v>
      </c>
      <c r="G12" s="15">
        <v>98.5</v>
      </c>
      <c r="H12" s="15">
        <v>85.5</v>
      </c>
      <c r="I12" s="15">
        <v>55</v>
      </c>
      <c r="J12" s="15"/>
      <c r="K12" s="15">
        <v>44</v>
      </c>
      <c r="L12" s="15"/>
      <c r="M12" s="15">
        <v>57</v>
      </c>
      <c r="N12" s="15"/>
      <c r="O12" s="15">
        <v>271.5</v>
      </c>
      <c r="P12" s="15">
        <v>427.5</v>
      </c>
    </row>
    <row r="13" ht="14.25" spans="1:16">
      <c r="A13" s="13">
        <v>12</v>
      </c>
      <c r="B13" s="15">
        <v>1</v>
      </c>
      <c r="C13" s="16">
        <v>13</v>
      </c>
      <c r="D13" s="17" t="s">
        <v>38</v>
      </c>
      <c r="E13" s="17" t="s">
        <v>39</v>
      </c>
      <c r="F13" s="15">
        <v>98</v>
      </c>
      <c r="G13" s="15">
        <v>85</v>
      </c>
      <c r="H13" s="15">
        <v>104</v>
      </c>
      <c r="I13" s="15">
        <v>39</v>
      </c>
      <c r="J13" s="15"/>
      <c r="K13" s="15">
        <v>48.5</v>
      </c>
      <c r="L13" s="15"/>
      <c r="M13" s="15">
        <v>46.5</v>
      </c>
      <c r="N13" s="15"/>
      <c r="O13" s="15">
        <v>287</v>
      </c>
      <c r="P13" s="15">
        <v>421</v>
      </c>
    </row>
    <row r="14" ht="14.25" spans="1:16">
      <c r="A14" s="13">
        <v>13</v>
      </c>
      <c r="B14" s="15">
        <v>1</v>
      </c>
      <c r="C14" s="16">
        <v>14</v>
      </c>
      <c r="D14" s="17" t="s">
        <v>40</v>
      </c>
      <c r="E14" s="17" t="s">
        <v>41</v>
      </c>
      <c r="F14" s="15">
        <v>111</v>
      </c>
      <c r="G14" s="15">
        <v>119.5</v>
      </c>
      <c r="H14" s="15">
        <v>106.5</v>
      </c>
      <c r="I14" s="15">
        <v>63.5</v>
      </c>
      <c r="J14" s="15"/>
      <c r="K14" s="15">
        <v>59.5</v>
      </c>
      <c r="L14" s="15"/>
      <c r="M14" s="15">
        <v>58.5</v>
      </c>
      <c r="N14" s="15"/>
      <c r="O14" s="15">
        <v>337</v>
      </c>
      <c r="P14" s="15">
        <v>518.5</v>
      </c>
    </row>
    <row r="15" ht="14.25" spans="1:16">
      <c r="A15" s="13">
        <v>14</v>
      </c>
      <c r="B15" s="15">
        <v>1</v>
      </c>
      <c r="C15" s="16">
        <v>15</v>
      </c>
      <c r="D15" s="17" t="s">
        <v>42</v>
      </c>
      <c r="E15" s="17" t="s">
        <v>43</v>
      </c>
      <c r="F15" s="15">
        <v>104</v>
      </c>
      <c r="G15" s="15">
        <v>112</v>
      </c>
      <c r="H15" s="15">
        <v>107.5</v>
      </c>
      <c r="I15" s="15">
        <v>56.5</v>
      </c>
      <c r="J15" s="15"/>
      <c r="K15" s="15">
        <v>56.5</v>
      </c>
      <c r="L15" s="15"/>
      <c r="M15" s="15">
        <v>66.5</v>
      </c>
      <c r="N15" s="15"/>
      <c r="O15" s="15">
        <v>323.5</v>
      </c>
      <c r="P15" s="15">
        <v>503</v>
      </c>
    </row>
    <row r="16" ht="14.25" spans="1:16">
      <c r="A16" s="13">
        <v>15</v>
      </c>
      <c r="B16" s="15">
        <v>1</v>
      </c>
      <c r="C16" s="16">
        <v>17</v>
      </c>
      <c r="D16" s="17" t="s">
        <v>44</v>
      </c>
      <c r="E16" s="17" t="s">
        <v>45</v>
      </c>
      <c r="F16" s="15">
        <v>95.5</v>
      </c>
      <c r="G16" s="15">
        <v>124.5</v>
      </c>
      <c r="H16" s="15">
        <v>91.25</v>
      </c>
      <c r="I16" s="15">
        <v>71</v>
      </c>
      <c r="J16" s="15"/>
      <c r="K16" s="15">
        <v>40</v>
      </c>
      <c r="L16" s="15"/>
      <c r="M16" s="15">
        <v>57</v>
      </c>
      <c r="N16" s="15"/>
      <c r="O16" s="15">
        <v>311.25</v>
      </c>
      <c r="P16" s="15">
        <v>479.25</v>
      </c>
    </row>
    <row r="17" ht="14.25" spans="1:16">
      <c r="A17" s="13">
        <v>16</v>
      </c>
      <c r="B17" s="15">
        <v>1</v>
      </c>
      <c r="C17" s="16">
        <v>18</v>
      </c>
      <c r="D17" s="17" t="s">
        <v>46</v>
      </c>
      <c r="E17" s="17" t="s">
        <v>47</v>
      </c>
      <c r="F17" s="15">
        <v>97.5</v>
      </c>
      <c r="G17" s="15">
        <v>87</v>
      </c>
      <c r="H17" s="15">
        <v>86</v>
      </c>
      <c r="I17" s="15">
        <v>52</v>
      </c>
      <c r="J17" s="15"/>
      <c r="K17" s="15">
        <v>40.5</v>
      </c>
      <c r="L17" s="15"/>
      <c r="M17" s="15">
        <v>54.5</v>
      </c>
      <c r="N17" s="15"/>
      <c r="O17" s="15">
        <v>270.5</v>
      </c>
      <c r="P17" s="15">
        <v>417.5</v>
      </c>
    </row>
    <row r="18" ht="14.25" spans="1:16">
      <c r="A18" s="13">
        <v>17</v>
      </c>
      <c r="B18" s="15">
        <v>1</v>
      </c>
      <c r="C18" s="16">
        <v>19</v>
      </c>
      <c r="D18" s="17" t="s">
        <v>48</v>
      </c>
      <c r="E18" s="17" t="s">
        <v>49</v>
      </c>
      <c r="F18" s="15">
        <v>106</v>
      </c>
      <c r="G18" s="15">
        <v>89</v>
      </c>
      <c r="H18" s="15">
        <v>98.75</v>
      </c>
      <c r="I18" s="15">
        <v>57</v>
      </c>
      <c r="J18" s="15"/>
      <c r="K18" s="15">
        <v>41.5</v>
      </c>
      <c r="L18" s="15"/>
      <c r="M18" s="15">
        <v>52</v>
      </c>
      <c r="N18" s="15"/>
      <c r="O18" s="15">
        <v>293.75</v>
      </c>
      <c r="P18" s="15">
        <v>444.25</v>
      </c>
    </row>
    <row r="19" ht="14.25" spans="1:16">
      <c r="A19" s="13">
        <v>18</v>
      </c>
      <c r="B19" s="15">
        <v>1</v>
      </c>
      <c r="C19" s="16">
        <v>20</v>
      </c>
      <c r="D19" s="17" t="s">
        <v>50</v>
      </c>
      <c r="E19" s="17" t="s">
        <v>51</v>
      </c>
      <c r="F19" s="15">
        <v>104.5</v>
      </c>
      <c r="G19" s="15">
        <v>94.5</v>
      </c>
      <c r="H19" s="15">
        <v>88.25</v>
      </c>
      <c r="I19" s="15">
        <v>62</v>
      </c>
      <c r="J19" s="15"/>
      <c r="K19" s="15">
        <v>39</v>
      </c>
      <c r="L19" s="15"/>
      <c r="M19" s="15">
        <v>56</v>
      </c>
      <c r="N19" s="15"/>
      <c r="O19" s="15">
        <v>287.25</v>
      </c>
      <c r="P19" s="15">
        <v>444.25</v>
      </c>
    </row>
    <row r="20" ht="14.25" spans="1:16">
      <c r="A20" s="13">
        <v>19</v>
      </c>
      <c r="B20" s="15">
        <v>1</v>
      </c>
      <c r="C20" s="16">
        <v>21</v>
      </c>
      <c r="D20" s="17" t="s">
        <v>52</v>
      </c>
      <c r="E20" s="17" t="s">
        <v>53</v>
      </c>
      <c r="F20" s="15">
        <v>85.5</v>
      </c>
      <c r="G20" s="15">
        <v>125</v>
      </c>
      <c r="H20" s="15">
        <v>87.5</v>
      </c>
      <c r="I20" s="15">
        <v>55</v>
      </c>
      <c r="J20" s="15"/>
      <c r="K20" s="15">
        <v>39.5</v>
      </c>
      <c r="L20" s="15"/>
      <c r="M20" s="15">
        <v>61</v>
      </c>
      <c r="N20" s="15"/>
      <c r="O20" s="15">
        <v>298</v>
      </c>
      <c r="P20" s="15">
        <v>453.5</v>
      </c>
    </row>
    <row r="21" ht="14.25" spans="1:16">
      <c r="A21" s="13">
        <v>20</v>
      </c>
      <c r="B21" s="15">
        <v>1</v>
      </c>
      <c r="C21" s="16">
        <v>22</v>
      </c>
      <c r="D21" s="17" t="s">
        <v>54</v>
      </c>
      <c r="E21" s="17" t="s">
        <v>55</v>
      </c>
      <c r="F21" s="15">
        <v>93.5</v>
      </c>
      <c r="G21" s="15">
        <v>96.5</v>
      </c>
      <c r="H21" s="15">
        <v>93.25</v>
      </c>
      <c r="I21" s="15">
        <v>46.5</v>
      </c>
      <c r="J21" s="15"/>
      <c r="K21" s="15">
        <v>27.5</v>
      </c>
      <c r="L21" s="15"/>
      <c r="M21" s="15">
        <v>50.5</v>
      </c>
      <c r="N21" s="15"/>
      <c r="O21" s="15">
        <v>283.25</v>
      </c>
      <c r="P21" s="15">
        <v>407.75</v>
      </c>
    </row>
    <row r="22" ht="14.25" spans="1:16">
      <c r="A22" s="13">
        <v>21</v>
      </c>
      <c r="B22" s="15">
        <v>1</v>
      </c>
      <c r="C22" s="16">
        <v>23</v>
      </c>
      <c r="D22" s="17" t="s">
        <v>56</v>
      </c>
      <c r="E22" s="17" t="s">
        <v>57</v>
      </c>
      <c r="F22" s="15">
        <v>91</v>
      </c>
      <c r="G22" s="15">
        <v>64</v>
      </c>
      <c r="H22" s="15">
        <v>113.25</v>
      </c>
      <c r="I22" s="15">
        <v>43</v>
      </c>
      <c r="J22" s="15"/>
      <c r="K22" s="15">
        <v>39</v>
      </c>
      <c r="L22" s="15"/>
      <c r="M22" s="15">
        <v>55</v>
      </c>
      <c r="N22" s="15"/>
      <c r="O22" s="15">
        <v>268.25</v>
      </c>
      <c r="P22" s="15">
        <v>405.25</v>
      </c>
    </row>
    <row r="23" ht="14.25" spans="1:16">
      <c r="A23" s="13">
        <v>22</v>
      </c>
      <c r="B23" s="15">
        <v>1</v>
      </c>
      <c r="C23" s="16">
        <v>24</v>
      </c>
      <c r="D23" s="17" t="s">
        <v>58</v>
      </c>
      <c r="E23" s="17" t="s">
        <v>59</v>
      </c>
      <c r="F23" s="15">
        <v>91.25</v>
      </c>
      <c r="G23" s="15">
        <v>102</v>
      </c>
      <c r="H23" s="15">
        <v>87</v>
      </c>
      <c r="I23" s="15">
        <v>43</v>
      </c>
      <c r="J23" s="15"/>
      <c r="K23" s="15">
        <v>38.5</v>
      </c>
      <c r="L23" s="15"/>
      <c r="M23" s="15">
        <v>51</v>
      </c>
      <c r="N23" s="15"/>
      <c r="O23" s="15">
        <v>280.25</v>
      </c>
      <c r="P23" s="15">
        <v>412.75</v>
      </c>
    </row>
    <row r="24" ht="14.25" spans="1:16">
      <c r="A24" s="13">
        <v>23</v>
      </c>
      <c r="B24" s="15">
        <v>1</v>
      </c>
      <c r="C24" s="16">
        <v>25</v>
      </c>
      <c r="D24" s="17" t="s">
        <v>60</v>
      </c>
      <c r="E24" s="17" t="s">
        <v>61</v>
      </c>
      <c r="F24" s="15">
        <v>102</v>
      </c>
      <c r="G24" s="15">
        <v>103</v>
      </c>
      <c r="H24" s="15">
        <v>95</v>
      </c>
      <c r="I24" s="15">
        <v>32.5</v>
      </c>
      <c r="J24" s="15"/>
      <c r="K24" s="15">
        <v>29</v>
      </c>
      <c r="L24" s="15"/>
      <c r="M24" s="15">
        <v>58</v>
      </c>
      <c r="N24" s="15"/>
      <c r="O24" s="15">
        <v>300</v>
      </c>
      <c r="P24" s="15">
        <v>419.5</v>
      </c>
    </row>
    <row r="25" ht="14.25" spans="1:16">
      <c r="A25" s="13">
        <v>24</v>
      </c>
      <c r="B25" s="15">
        <v>1</v>
      </c>
      <c r="C25" s="16">
        <v>26</v>
      </c>
      <c r="D25" s="17" t="s">
        <v>62</v>
      </c>
      <c r="E25" s="17" t="s">
        <v>63</v>
      </c>
      <c r="F25" s="15">
        <v>104.25</v>
      </c>
      <c r="G25" s="15">
        <v>94.5</v>
      </c>
      <c r="H25" s="15">
        <v>102.5</v>
      </c>
      <c r="I25" s="15">
        <v>51</v>
      </c>
      <c r="J25" s="15"/>
      <c r="K25" s="15">
        <v>32.5</v>
      </c>
      <c r="L25" s="15"/>
      <c r="M25" s="15">
        <v>64</v>
      </c>
      <c r="N25" s="15"/>
      <c r="O25" s="15">
        <v>301.25</v>
      </c>
      <c r="P25" s="15">
        <v>448.75</v>
      </c>
    </row>
    <row r="26" ht="14.25" spans="1:16">
      <c r="A26" s="13">
        <v>25</v>
      </c>
      <c r="B26" s="15">
        <v>1</v>
      </c>
      <c r="C26" s="16">
        <v>27</v>
      </c>
      <c r="D26" s="17" t="s">
        <v>64</v>
      </c>
      <c r="E26" s="17" t="s">
        <v>65</v>
      </c>
      <c r="F26" s="15">
        <v>111</v>
      </c>
      <c r="G26" s="15">
        <v>107.5</v>
      </c>
      <c r="H26" s="15">
        <v>91</v>
      </c>
      <c r="I26" s="15">
        <v>56</v>
      </c>
      <c r="J26" s="15"/>
      <c r="K26" s="15">
        <v>38</v>
      </c>
      <c r="L26" s="15"/>
      <c r="M26" s="15">
        <v>57</v>
      </c>
      <c r="N26" s="15"/>
      <c r="O26" s="15">
        <v>309.5</v>
      </c>
      <c r="P26" s="15">
        <v>460.5</v>
      </c>
    </row>
    <row r="27" ht="14.25" spans="1:16">
      <c r="A27" s="13">
        <v>26</v>
      </c>
      <c r="B27" s="15">
        <v>1</v>
      </c>
      <c r="C27" s="16">
        <v>28</v>
      </c>
      <c r="D27" s="17" t="s">
        <v>66</v>
      </c>
      <c r="E27" s="17" t="s">
        <v>67</v>
      </c>
      <c r="F27" s="15">
        <v>95.5</v>
      </c>
      <c r="G27" s="15">
        <v>115</v>
      </c>
      <c r="H27" s="15">
        <v>109.5</v>
      </c>
      <c r="I27" s="15">
        <v>56.5</v>
      </c>
      <c r="J27" s="15"/>
      <c r="K27" s="15">
        <v>34</v>
      </c>
      <c r="L27" s="15"/>
      <c r="M27" s="15">
        <v>52.5</v>
      </c>
      <c r="N27" s="15"/>
      <c r="O27" s="15">
        <v>320</v>
      </c>
      <c r="P27" s="15">
        <v>463</v>
      </c>
    </row>
    <row r="28" ht="14.25" spans="1:16">
      <c r="A28" s="13">
        <v>27</v>
      </c>
      <c r="B28" s="15">
        <v>1</v>
      </c>
      <c r="C28" s="16">
        <v>29</v>
      </c>
      <c r="D28" s="17" t="s">
        <v>68</v>
      </c>
      <c r="E28" s="17" t="s">
        <v>69</v>
      </c>
      <c r="F28" s="15">
        <v>108</v>
      </c>
      <c r="G28" s="15">
        <v>108</v>
      </c>
      <c r="H28" s="15">
        <v>121.75</v>
      </c>
      <c r="I28" s="15">
        <v>48</v>
      </c>
      <c r="J28" s="15"/>
      <c r="K28" s="15">
        <v>49.5</v>
      </c>
      <c r="L28" s="15"/>
      <c r="M28" s="15">
        <v>57.5</v>
      </c>
      <c r="N28" s="15"/>
      <c r="O28" s="15">
        <v>337.75</v>
      </c>
      <c r="P28" s="15">
        <v>492.75</v>
      </c>
    </row>
    <row r="29" ht="14.25" spans="1:16">
      <c r="A29" s="13">
        <v>28</v>
      </c>
      <c r="B29" s="15">
        <v>1</v>
      </c>
      <c r="C29" s="16">
        <v>30</v>
      </c>
      <c r="D29" s="17" t="s">
        <v>70</v>
      </c>
      <c r="E29" s="17" t="s">
        <v>71</v>
      </c>
      <c r="F29" s="15">
        <v>109.5</v>
      </c>
      <c r="G29" s="15">
        <v>113</v>
      </c>
      <c r="H29" s="15">
        <v>117.5</v>
      </c>
      <c r="I29" s="15">
        <v>50.5</v>
      </c>
      <c r="J29" s="15"/>
      <c r="K29" s="15">
        <v>48</v>
      </c>
      <c r="L29" s="15"/>
      <c r="M29" s="15">
        <v>66</v>
      </c>
      <c r="N29" s="15"/>
      <c r="O29" s="15">
        <v>340</v>
      </c>
      <c r="P29" s="15">
        <v>504.5</v>
      </c>
    </row>
    <row r="30" ht="14.25" spans="1:16">
      <c r="A30" s="13">
        <v>29</v>
      </c>
      <c r="B30" s="15">
        <v>1</v>
      </c>
      <c r="C30" s="16">
        <v>31</v>
      </c>
      <c r="D30" s="17" t="s">
        <v>72</v>
      </c>
      <c r="E30" s="17" t="s">
        <v>73</v>
      </c>
      <c r="F30" s="15">
        <v>105.5</v>
      </c>
      <c r="G30" s="15">
        <v>120.5</v>
      </c>
      <c r="H30" s="15">
        <v>92</v>
      </c>
      <c r="I30" s="15">
        <v>50.5</v>
      </c>
      <c r="J30" s="15"/>
      <c r="K30" s="15">
        <v>36</v>
      </c>
      <c r="L30" s="15"/>
      <c r="M30" s="15">
        <v>50.5</v>
      </c>
      <c r="N30" s="15"/>
      <c r="O30" s="15">
        <v>318</v>
      </c>
      <c r="P30" s="15">
        <v>455</v>
      </c>
    </row>
    <row r="31" ht="14.25" spans="1:16">
      <c r="A31" s="13">
        <v>30</v>
      </c>
      <c r="B31" s="15">
        <v>1</v>
      </c>
      <c r="C31" s="16">
        <v>32</v>
      </c>
      <c r="D31" s="17" t="s">
        <v>74</v>
      </c>
      <c r="E31" s="17" t="s">
        <v>75</v>
      </c>
      <c r="F31" s="15">
        <v>94</v>
      </c>
      <c r="G31" s="15">
        <v>95</v>
      </c>
      <c r="H31" s="15">
        <v>81</v>
      </c>
      <c r="I31" s="15">
        <v>64.5</v>
      </c>
      <c r="J31" s="15"/>
      <c r="K31" s="15">
        <v>32</v>
      </c>
      <c r="L31" s="15"/>
      <c r="M31" s="15">
        <v>49</v>
      </c>
      <c r="N31" s="15"/>
      <c r="O31" s="15">
        <v>270</v>
      </c>
      <c r="P31" s="15">
        <v>415.5</v>
      </c>
    </row>
    <row r="32" ht="14.25" spans="1:16">
      <c r="A32" s="13">
        <v>31</v>
      </c>
      <c r="B32" s="15">
        <v>1</v>
      </c>
      <c r="C32" s="16">
        <v>33</v>
      </c>
      <c r="D32" s="17" t="s">
        <v>76</v>
      </c>
      <c r="E32" s="17" t="s">
        <v>77</v>
      </c>
      <c r="F32" s="15">
        <v>101.75</v>
      </c>
      <c r="G32" s="15">
        <v>114.5</v>
      </c>
      <c r="H32" s="15">
        <v>94</v>
      </c>
      <c r="I32" s="15">
        <v>41.5</v>
      </c>
      <c r="J32" s="15"/>
      <c r="K32" s="15">
        <v>36</v>
      </c>
      <c r="L32" s="15"/>
      <c r="M32" s="15">
        <v>56</v>
      </c>
      <c r="N32" s="15"/>
      <c r="O32" s="15">
        <v>310.25</v>
      </c>
      <c r="P32" s="15">
        <v>443.75</v>
      </c>
    </row>
    <row r="33" ht="14.25" spans="1:16">
      <c r="A33" s="13">
        <v>32</v>
      </c>
      <c r="B33" s="15">
        <v>1</v>
      </c>
      <c r="C33" s="16">
        <v>34</v>
      </c>
      <c r="D33" s="17" t="s">
        <v>78</v>
      </c>
      <c r="E33" s="17" t="s">
        <v>79</v>
      </c>
      <c r="F33" s="15">
        <v>100.5</v>
      </c>
      <c r="G33" s="15">
        <v>113</v>
      </c>
      <c r="H33" s="15">
        <v>95.5</v>
      </c>
      <c r="I33" s="15">
        <v>47.5</v>
      </c>
      <c r="J33" s="15"/>
      <c r="K33" s="15">
        <v>34</v>
      </c>
      <c r="L33" s="15"/>
      <c r="M33" s="15">
        <v>57</v>
      </c>
      <c r="N33" s="15"/>
      <c r="O33" s="15">
        <v>309</v>
      </c>
      <c r="P33" s="15">
        <v>447.5</v>
      </c>
    </row>
    <row r="34" ht="14.25" spans="1:16">
      <c r="A34" s="13">
        <v>33</v>
      </c>
      <c r="B34" s="15">
        <v>1</v>
      </c>
      <c r="C34" s="16">
        <v>35</v>
      </c>
      <c r="D34" s="17" t="s">
        <v>80</v>
      </c>
      <c r="E34" s="17" t="s">
        <v>81</v>
      </c>
      <c r="F34" s="15">
        <v>85</v>
      </c>
      <c r="G34" s="15">
        <v>77.5</v>
      </c>
      <c r="H34" s="15">
        <v>83</v>
      </c>
      <c r="I34" s="15">
        <v>65.5</v>
      </c>
      <c r="J34" s="15"/>
      <c r="K34" s="15">
        <v>40</v>
      </c>
      <c r="L34" s="15"/>
      <c r="M34" s="15">
        <v>39.25</v>
      </c>
      <c r="N34" s="15"/>
      <c r="O34" s="15">
        <v>245.5</v>
      </c>
      <c r="P34" s="15">
        <v>390.25</v>
      </c>
    </row>
    <row r="35" ht="14.25" spans="1:16">
      <c r="A35" s="13">
        <v>34</v>
      </c>
      <c r="B35" s="15">
        <v>1</v>
      </c>
      <c r="C35" s="16">
        <v>36</v>
      </c>
      <c r="D35" s="17" t="s">
        <v>82</v>
      </c>
      <c r="E35" s="17" t="s">
        <v>83</v>
      </c>
      <c r="F35" s="15">
        <v>105.5</v>
      </c>
      <c r="G35" s="15">
        <v>102.5</v>
      </c>
      <c r="H35" s="15">
        <v>102</v>
      </c>
      <c r="I35" s="15">
        <v>49</v>
      </c>
      <c r="J35" s="15"/>
      <c r="K35" s="15">
        <v>47</v>
      </c>
      <c r="L35" s="15"/>
      <c r="M35" s="15">
        <v>59</v>
      </c>
      <c r="N35" s="15"/>
      <c r="O35" s="15">
        <v>310</v>
      </c>
      <c r="P35" s="15">
        <v>465</v>
      </c>
    </row>
    <row r="36" ht="14.25" spans="1:16">
      <c r="A36" s="13">
        <v>35</v>
      </c>
      <c r="B36" s="15">
        <v>1</v>
      </c>
      <c r="C36" s="16">
        <v>37</v>
      </c>
      <c r="D36" s="17" t="s">
        <v>84</v>
      </c>
      <c r="E36" s="17" t="s">
        <v>85</v>
      </c>
      <c r="F36" s="15">
        <v>105.5</v>
      </c>
      <c r="G36" s="15">
        <v>97.5</v>
      </c>
      <c r="H36" s="15">
        <v>108.5</v>
      </c>
      <c r="I36" s="15">
        <v>57</v>
      </c>
      <c r="J36" s="15"/>
      <c r="K36" s="15">
        <v>41</v>
      </c>
      <c r="L36" s="15"/>
      <c r="M36" s="15">
        <v>54.5</v>
      </c>
      <c r="N36" s="15"/>
      <c r="O36" s="15">
        <v>311.5</v>
      </c>
      <c r="P36" s="15">
        <v>464</v>
      </c>
    </row>
    <row r="37" ht="14.25" spans="1:16">
      <c r="A37" s="13">
        <v>36</v>
      </c>
      <c r="B37" s="15">
        <v>1</v>
      </c>
      <c r="C37" s="16">
        <v>38</v>
      </c>
      <c r="D37" s="17" t="s">
        <v>86</v>
      </c>
      <c r="E37" s="17" t="s">
        <v>87</v>
      </c>
      <c r="F37" s="15">
        <v>94.5</v>
      </c>
      <c r="G37" s="15">
        <v>121.5</v>
      </c>
      <c r="H37" s="15">
        <v>87</v>
      </c>
      <c r="I37" s="15">
        <v>37.5</v>
      </c>
      <c r="J37" s="15"/>
      <c r="K37" s="15">
        <v>52.5</v>
      </c>
      <c r="L37" s="15"/>
      <c r="M37" s="15">
        <v>51</v>
      </c>
      <c r="N37" s="15"/>
      <c r="O37" s="15">
        <v>303</v>
      </c>
      <c r="P37" s="15">
        <v>444</v>
      </c>
    </row>
    <row r="38" ht="14.25" spans="1:16">
      <c r="A38" s="13">
        <v>37</v>
      </c>
      <c r="B38" s="15">
        <v>1</v>
      </c>
      <c r="C38" s="16">
        <v>39</v>
      </c>
      <c r="D38" s="17" t="s">
        <v>88</v>
      </c>
      <c r="E38" s="17" t="s">
        <v>89</v>
      </c>
      <c r="F38" s="15">
        <v>103.5</v>
      </c>
      <c r="G38" s="15">
        <v>99</v>
      </c>
      <c r="H38" s="15">
        <v>53</v>
      </c>
      <c r="I38" s="15">
        <v>60.5</v>
      </c>
      <c r="J38" s="15"/>
      <c r="K38" s="15">
        <v>44</v>
      </c>
      <c r="L38" s="15"/>
      <c r="M38" s="15">
        <v>57.5</v>
      </c>
      <c r="N38" s="15"/>
      <c r="O38" s="15">
        <v>255.5</v>
      </c>
      <c r="P38" s="15">
        <v>417.5</v>
      </c>
    </row>
    <row r="39" ht="14.25" spans="1:16">
      <c r="A39" s="13">
        <v>38</v>
      </c>
      <c r="B39" s="15">
        <v>1</v>
      </c>
      <c r="C39" s="16">
        <v>40</v>
      </c>
      <c r="D39" s="17" t="s">
        <v>90</v>
      </c>
      <c r="E39" s="17" t="s">
        <v>91</v>
      </c>
      <c r="F39" s="15">
        <v>102.5</v>
      </c>
      <c r="G39" s="15">
        <v>92</v>
      </c>
      <c r="H39" s="15">
        <v>80</v>
      </c>
      <c r="I39" s="15">
        <v>46</v>
      </c>
      <c r="J39" s="15"/>
      <c r="K39" s="15">
        <v>41.5</v>
      </c>
      <c r="L39" s="15"/>
      <c r="M39" s="15">
        <v>48</v>
      </c>
      <c r="N39" s="15"/>
      <c r="O39" s="15">
        <v>274.5</v>
      </c>
      <c r="P39" s="15">
        <v>410</v>
      </c>
    </row>
    <row r="40" ht="14.25" spans="1:16">
      <c r="A40" s="13">
        <v>39</v>
      </c>
      <c r="B40" s="15">
        <v>1</v>
      </c>
      <c r="C40" s="16">
        <v>41</v>
      </c>
      <c r="D40" s="17" t="s">
        <v>92</v>
      </c>
      <c r="E40" s="17" t="s">
        <v>93</v>
      </c>
      <c r="F40" s="15">
        <v>112</v>
      </c>
      <c r="G40" s="15">
        <v>110.5</v>
      </c>
      <c r="H40" s="15">
        <v>106.25</v>
      </c>
      <c r="I40" s="15">
        <v>65.5</v>
      </c>
      <c r="J40" s="15"/>
      <c r="K40" s="15">
        <v>47.5</v>
      </c>
      <c r="L40" s="15"/>
      <c r="M40" s="15">
        <v>67.5</v>
      </c>
      <c r="N40" s="15"/>
      <c r="O40" s="15">
        <v>328.75</v>
      </c>
      <c r="P40" s="15">
        <v>509.25</v>
      </c>
    </row>
    <row r="41" ht="14.25" spans="1:16">
      <c r="A41" s="13">
        <v>40</v>
      </c>
      <c r="B41" s="15">
        <v>1</v>
      </c>
      <c r="C41" s="16">
        <v>42</v>
      </c>
      <c r="D41" s="17" t="s">
        <v>94</v>
      </c>
      <c r="E41" s="17" t="s">
        <v>95</v>
      </c>
      <c r="F41" s="15">
        <v>93</v>
      </c>
      <c r="G41" s="15">
        <v>106</v>
      </c>
      <c r="H41" s="15">
        <v>91.5</v>
      </c>
      <c r="I41" s="15">
        <v>67.5</v>
      </c>
      <c r="J41" s="15"/>
      <c r="K41" s="15">
        <v>41.5</v>
      </c>
      <c r="L41" s="15"/>
      <c r="M41" s="15">
        <v>61.5</v>
      </c>
      <c r="N41" s="15"/>
      <c r="O41" s="15">
        <v>290.5</v>
      </c>
      <c r="P41" s="15">
        <v>461</v>
      </c>
    </row>
    <row r="42" ht="14.25" spans="1:16">
      <c r="A42" s="13">
        <v>41</v>
      </c>
      <c r="B42" s="15">
        <v>1</v>
      </c>
      <c r="C42" s="16">
        <v>43</v>
      </c>
      <c r="D42" s="17" t="s">
        <v>96</v>
      </c>
      <c r="E42" s="17" t="s">
        <v>97</v>
      </c>
      <c r="F42" s="15">
        <v>109.5</v>
      </c>
      <c r="G42" s="15">
        <v>111</v>
      </c>
      <c r="H42" s="15">
        <v>100.25</v>
      </c>
      <c r="I42" s="15">
        <v>54.5</v>
      </c>
      <c r="J42" s="15"/>
      <c r="K42" s="15">
        <v>33.5</v>
      </c>
      <c r="L42" s="15"/>
      <c r="M42" s="15">
        <v>61</v>
      </c>
      <c r="N42" s="15"/>
      <c r="O42" s="15">
        <v>320.75</v>
      </c>
      <c r="P42" s="15">
        <v>469.75</v>
      </c>
    </row>
    <row r="43" ht="14.25" spans="1:16">
      <c r="A43" s="13">
        <v>42</v>
      </c>
      <c r="B43" s="15">
        <v>1</v>
      </c>
      <c r="C43" s="16">
        <v>44</v>
      </c>
      <c r="D43" s="17" t="s">
        <v>98</v>
      </c>
      <c r="E43" s="17" t="s">
        <v>99</v>
      </c>
      <c r="F43" s="15">
        <v>95.5</v>
      </c>
      <c r="G43" s="15">
        <v>84.5</v>
      </c>
      <c r="H43" s="15">
        <v>83.5</v>
      </c>
      <c r="I43" s="15">
        <v>50.5</v>
      </c>
      <c r="J43" s="15"/>
      <c r="K43" s="15">
        <v>53</v>
      </c>
      <c r="L43" s="15"/>
      <c r="M43" s="15">
        <v>44.5</v>
      </c>
      <c r="N43" s="15"/>
      <c r="O43" s="15">
        <v>263.5</v>
      </c>
      <c r="P43" s="15">
        <v>411.5</v>
      </c>
    </row>
    <row r="44" ht="14.25" spans="1:16">
      <c r="A44" s="13">
        <v>43</v>
      </c>
      <c r="B44" s="15">
        <v>1</v>
      </c>
      <c r="C44" s="16">
        <v>45</v>
      </c>
      <c r="D44" s="17" t="s">
        <v>100</v>
      </c>
      <c r="E44" s="17" t="s">
        <v>101</v>
      </c>
      <c r="F44" s="15">
        <v>89.5</v>
      </c>
      <c r="G44" s="15">
        <v>104</v>
      </c>
      <c r="H44" s="15">
        <v>85.5</v>
      </c>
      <c r="I44" s="15">
        <v>65</v>
      </c>
      <c r="J44" s="15"/>
      <c r="K44" s="15">
        <v>47</v>
      </c>
      <c r="L44" s="15"/>
      <c r="M44" s="15">
        <v>46</v>
      </c>
      <c r="N44" s="15"/>
      <c r="O44" s="15">
        <v>279</v>
      </c>
      <c r="P44" s="15">
        <v>437</v>
      </c>
    </row>
    <row r="45" ht="14.25" spans="1:16">
      <c r="A45" s="13">
        <v>44</v>
      </c>
      <c r="B45" s="15">
        <v>1</v>
      </c>
      <c r="C45" s="16">
        <v>46</v>
      </c>
      <c r="D45" s="17" t="s">
        <v>102</v>
      </c>
      <c r="E45" s="17" t="s">
        <v>103</v>
      </c>
      <c r="F45" s="15">
        <v>105.5</v>
      </c>
      <c r="G45" s="15">
        <v>112</v>
      </c>
      <c r="H45" s="15">
        <v>85.5</v>
      </c>
      <c r="I45" s="15">
        <v>46.5</v>
      </c>
      <c r="J45" s="15"/>
      <c r="K45" s="15">
        <v>33.5</v>
      </c>
      <c r="L45" s="15"/>
      <c r="M45" s="15">
        <v>62.5</v>
      </c>
      <c r="N45" s="15"/>
      <c r="O45" s="15">
        <v>303</v>
      </c>
      <c r="P45" s="15">
        <v>445.5</v>
      </c>
    </row>
    <row r="46" ht="14.25" spans="1:16">
      <c r="A46" s="13">
        <v>45</v>
      </c>
      <c r="B46" s="15">
        <v>1</v>
      </c>
      <c r="C46" s="16">
        <v>47</v>
      </c>
      <c r="D46" s="17" t="s">
        <v>104</v>
      </c>
      <c r="E46" s="17" t="s">
        <v>105</v>
      </c>
      <c r="F46" s="15">
        <v>112.25</v>
      </c>
      <c r="G46" s="15">
        <v>97.5</v>
      </c>
      <c r="H46" s="15">
        <v>101.5</v>
      </c>
      <c r="I46" s="15">
        <v>38</v>
      </c>
      <c r="J46" s="15"/>
      <c r="K46" s="15">
        <v>39</v>
      </c>
      <c r="L46" s="15"/>
      <c r="M46" s="15">
        <v>63.5</v>
      </c>
      <c r="N46" s="15"/>
      <c r="O46" s="15">
        <v>311.25</v>
      </c>
      <c r="P46" s="15">
        <v>451.75</v>
      </c>
    </row>
    <row r="47" ht="14.25" spans="1:16">
      <c r="A47" s="13">
        <v>46</v>
      </c>
      <c r="B47" s="15">
        <v>1</v>
      </c>
      <c r="C47" s="16">
        <v>48</v>
      </c>
      <c r="D47" s="17" t="s">
        <v>106</v>
      </c>
      <c r="E47" s="17" t="s">
        <v>107</v>
      </c>
      <c r="F47" s="15">
        <v>103.5</v>
      </c>
      <c r="G47" s="15">
        <v>99</v>
      </c>
      <c r="H47" s="15">
        <v>92</v>
      </c>
      <c r="I47" s="15">
        <v>59</v>
      </c>
      <c r="J47" s="15"/>
      <c r="K47" s="15">
        <v>49.5</v>
      </c>
      <c r="L47" s="15"/>
      <c r="M47" s="15">
        <v>61</v>
      </c>
      <c r="N47" s="15"/>
      <c r="O47" s="15">
        <v>294.5</v>
      </c>
      <c r="P47" s="15">
        <v>464</v>
      </c>
    </row>
    <row r="48" ht="14.25" spans="1:16">
      <c r="A48" s="13">
        <v>47</v>
      </c>
      <c r="B48" s="15">
        <v>1</v>
      </c>
      <c r="C48" s="16">
        <v>49</v>
      </c>
      <c r="D48" s="17" t="s">
        <v>108</v>
      </c>
      <c r="E48" s="17" t="s">
        <v>109</v>
      </c>
      <c r="F48" s="15">
        <v>99.5</v>
      </c>
      <c r="G48" s="15">
        <v>108.5</v>
      </c>
      <c r="H48" s="15">
        <v>77.5</v>
      </c>
      <c r="I48" s="15">
        <v>44</v>
      </c>
      <c r="J48" s="15"/>
      <c r="K48" s="15">
        <v>42.5</v>
      </c>
      <c r="L48" s="15"/>
      <c r="M48" s="15">
        <v>51.25</v>
      </c>
      <c r="N48" s="15"/>
      <c r="O48" s="15">
        <v>285.5</v>
      </c>
      <c r="P48" s="15">
        <v>423.25</v>
      </c>
    </row>
    <row r="49" s="176" customFormat="1" ht="14.25" spans="1:16">
      <c r="A49" s="13">
        <v>48</v>
      </c>
      <c r="B49" s="15">
        <v>1</v>
      </c>
      <c r="C49" s="16">
        <v>50</v>
      </c>
      <c r="D49" s="17" t="s">
        <v>110</v>
      </c>
      <c r="E49" s="17" t="s">
        <v>111</v>
      </c>
      <c r="F49" s="15">
        <v>90</v>
      </c>
      <c r="G49" s="15">
        <v>85</v>
      </c>
      <c r="H49" s="15">
        <v>97</v>
      </c>
      <c r="I49" s="15">
        <v>38.5</v>
      </c>
      <c r="J49" s="15"/>
      <c r="K49" s="15">
        <v>44</v>
      </c>
      <c r="L49" s="15"/>
      <c r="M49" s="15">
        <v>59</v>
      </c>
      <c r="N49" s="15"/>
      <c r="O49" s="15">
        <v>272</v>
      </c>
      <c r="P49" s="15">
        <v>413.5</v>
      </c>
    </row>
    <row r="50" s="176" customFormat="1" ht="14.25" spans="1:16">
      <c r="A50" s="13">
        <v>49</v>
      </c>
      <c r="B50" s="15">
        <v>1</v>
      </c>
      <c r="C50" s="16">
        <v>51</v>
      </c>
      <c r="D50" s="17" t="s">
        <v>112</v>
      </c>
      <c r="E50" s="17" t="s">
        <v>113</v>
      </c>
      <c r="F50" s="15">
        <v>101.5</v>
      </c>
      <c r="G50" s="15">
        <v>85</v>
      </c>
      <c r="H50" s="15">
        <v>93</v>
      </c>
      <c r="I50" s="15">
        <v>30</v>
      </c>
      <c r="J50" s="15"/>
      <c r="K50" s="15">
        <v>38.5</v>
      </c>
      <c r="L50" s="15"/>
      <c r="M50" s="15">
        <v>46</v>
      </c>
      <c r="N50" s="15"/>
      <c r="O50" s="15">
        <v>279.5</v>
      </c>
      <c r="P50" s="15">
        <v>394</v>
      </c>
    </row>
    <row r="51" s="176" customFormat="1" ht="14.25" spans="1:16">
      <c r="A51" s="13">
        <v>50</v>
      </c>
      <c r="B51" s="15">
        <v>1</v>
      </c>
      <c r="C51" s="16">
        <v>52</v>
      </c>
      <c r="D51" s="17" t="s">
        <v>114</v>
      </c>
      <c r="E51" s="17" t="s">
        <v>115</v>
      </c>
      <c r="F51" s="15">
        <v>95</v>
      </c>
      <c r="G51" s="15">
        <v>77</v>
      </c>
      <c r="H51" s="15">
        <v>105.5</v>
      </c>
      <c r="I51" s="15">
        <v>47</v>
      </c>
      <c r="J51" s="15"/>
      <c r="K51" s="15">
        <v>47</v>
      </c>
      <c r="L51" s="15"/>
      <c r="M51" s="15">
        <v>51.5</v>
      </c>
      <c r="N51" s="15"/>
      <c r="O51" s="15">
        <v>277.5</v>
      </c>
      <c r="P51" s="15">
        <v>423</v>
      </c>
    </row>
    <row r="52" ht="14.25" spans="1:16">
      <c r="A52" s="13">
        <v>51</v>
      </c>
      <c r="B52" s="15">
        <v>1</v>
      </c>
      <c r="C52" s="16">
        <v>53</v>
      </c>
      <c r="D52" s="17" t="s">
        <v>116</v>
      </c>
      <c r="E52" s="17" t="s">
        <v>117</v>
      </c>
      <c r="F52" s="15">
        <v>91</v>
      </c>
      <c r="G52" s="15">
        <v>50</v>
      </c>
      <c r="H52" s="15">
        <v>74</v>
      </c>
      <c r="I52" s="15">
        <v>27</v>
      </c>
      <c r="J52" s="15"/>
      <c r="K52" s="15">
        <v>22</v>
      </c>
      <c r="L52" s="15"/>
      <c r="M52" s="15">
        <v>46</v>
      </c>
      <c r="N52" s="15"/>
      <c r="O52" s="15">
        <v>215</v>
      </c>
      <c r="P52" s="15">
        <v>310</v>
      </c>
    </row>
    <row r="53" ht="14.25" spans="1:16">
      <c r="A53" s="13">
        <v>52</v>
      </c>
      <c r="B53" s="15">
        <v>1</v>
      </c>
      <c r="C53" s="16">
        <v>54</v>
      </c>
      <c r="D53" s="17" t="s">
        <v>118</v>
      </c>
      <c r="E53" s="17" t="s">
        <v>119</v>
      </c>
      <c r="F53" s="15">
        <v>99.5</v>
      </c>
      <c r="G53" s="15">
        <v>100.5</v>
      </c>
      <c r="H53" s="15">
        <v>109</v>
      </c>
      <c r="I53" s="15">
        <v>54.5</v>
      </c>
      <c r="J53" s="15"/>
      <c r="K53" s="15">
        <v>38.5</v>
      </c>
      <c r="L53" s="15"/>
      <c r="M53" s="15">
        <v>56.5</v>
      </c>
      <c r="N53" s="15"/>
      <c r="O53" s="15">
        <v>309</v>
      </c>
      <c r="P53" s="15">
        <v>458.5</v>
      </c>
    </row>
    <row r="54" ht="14.25" spans="1:16">
      <c r="A54" s="13">
        <v>53</v>
      </c>
      <c r="B54" s="15">
        <v>1</v>
      </c>
      <c r="C54" s="16">
        <v>55</v>
      </c>
      <c r="D54" s="17" t="s">
        <v>120</v>
      </c>
      <c r="E54" s="17" t="s">
        <v>121</v>
      </c>
      <c r="F54" s="15">
        <v>98.25</v>
      </c>
      <c r="G54" s="15">
        <v>50</v>
      </c>
      <c r="H54" s="15">
        <v>94.5</v>
      </c>
      <c r="I54" s="15">
        <v>27.5</v>
      </c>
      <c r="J54" s="15"/>
      <c r="K54" s="15">
        <v>36</v>
      </c>
      <c r="L54" s="15"/>
      <c r="M54" s="15">
        <v>59</v>
      </c>
      <c r="N54" s="15"/>
      <c r="O54" s="15">
        <v>242.75</v>
      </c>
      <c r="P54" s="15">
        <v>365.25</v>
      </c>
    </row>
    <row r="55" ht="14.25" spans="1:16">
      <c r="A55" s="13">
        <v>54</v>
      </c>
      <c r="B55" s="15">
        <v>1</v>
      </c>
      <c r="C55" s="16">
        <v>56</v>
      </c>
      <c r="D55" s="17" t="s">
        <v>122</v>
      </c>
      <c r="E55" s="17" t="s">
        <v>123</v>
      </c>
      <c r="F55" s="15">
        <v>85</v>
      </c>
      <c r="G55" s="15">
        <v>98.5</v>
      </c>
      <c r="H55" s="15">
        <v>88</v>
      </c>
      <c r="I55" s="15">
        <v>35</v>
      </c>
      <c r="J55" s="15"/>
      <c r="K55" s="15">
        <v>42</v>
      </c>
      <c r="L55" s="15"/>
      <c r="M55" s="15">
        <v>55.5</v>
      </c>
      <c r="N55" s="15"/>
      <c r="O55" s="15">
        <v>271.5</v>
      </c>
      <c r="P55" s="15">
        <v>404</v>
      </c>
    </row>
    <row r="56" ht="14.25" spans="1:16">
      <c r="A56" s="13">
        <v>55</v>
      </c>
      <c r="B56" s="15">
        <v>1</v>
      </c>
      <c r="C56" s="16">
        <v>57</v>
      </c>
      <c r="D56" s="17" t="s">
        <v>124</v>
      </c>
      <c r="E56" s="17" t="s">
        <v>125</v>
      </c>
      <c r="F56" s="15">
        <v>101</v>
      </c>
      <c r="G56" s="15">
        <v>72.5</v>
      </c>
      <c r="H56" s="15">
        <v>87.5</v>
      </c>
      <c r="I56" s="15">
        <v>40</v>
      </c>
      <c r="J56" s="15"/>
      <c r="K56" s="15">
        <v>36</v>
      </c>
      <c r="L56" s="15"/>
      <c r="M56" s="15">
        <v>46.5</v>
      </c>
      <c r="N56" s="15"/>
      <c r="O56" s="15">
        <v>261</v>
      </c>
      <c r="P56" s="15">
        <v>383.5</v>
      </c>
    </row>
    <row r="57" ht="14.25" spans="1:16">
      <c r="A57" s="13">
        <v>56</v>
      </c>
      <c r="B57" s="15">
        <v>1</v>
      </c>
      <c r="C57" s="16">
        <v>58</v>
      </c>
      <c r="D57" s="17" t="s">
        <v>126</v>
      </c>
      <c r="E57" s="17" t="s">
        <v>127</v>
      </c>
      <c r="F57" s="15">
        <v>91</v>
      </c>
      <c r="G57" s="15">
        <v>86</v>
      </c>
      <c r="H57" s="15">
        <v>84.25</v>
      </c>
      <c r="I57" s="15">
        <v>36.5</v>
      </c>
      <c r="J57" s="15"/>
      <c r="K57" s="15">
        <v>33</v>
      </c>
      <c r="L57" s="15"/>
      <c r="M57" s="15">
        <v>47.75</v>
      </c>
      <c r="N57" s="15"/>
      <c r="O57" s="15">
        <v>261.25</v>
      </c>
      <c r="P57" s="15">
        <v>378.5</v>
      </c>
    </row>
    <row r="58" ht="14.25" spans="1:16">
      <c r="A58" s="13">
        <v>57</v>
      </c>
      <c r="B58" s="15">
        <v>1</v>
      </c>
      <c r="C58" s="16">
        <v>59</v>
      </c>
      <c r="D58" s="17" t="s">
        <v>128</v>
      </c>
      <c r="E58" s="17" t="s">
        <v>129</v>
      </c>
      <c r="F58" s="15">
        <v>104</v>
      </c>
      <c r="G58" s="15">
        <v>103.5</v>
      </c>
      <c r="H58" s="15">
        <v>115.25</v>
      </c>
      <c r="I58" s="15">
        <v>46.5</v>
      </c>
      <c r="J58" s="15"/>
      <c r="K58" s="15">
        <v>31</v>
      </c>
      <c r="L58" s="15"/>
      <c r="M58" s="15">
        <v>47.25</v>
      </c>
      <c r="N58" s="15"/>
      <c r="O58" s="15">
        <v>322.75</v>
      </c>
      <c r="P58" s="15">
        <v>447.5</v>
      </c>
    </row>
    <row r="59" ht="14.25" spans="1:16">
      <c r="A59" s="13">
        <v>58</v>
      </c>
      <c r="B59" s="15">
        <v>1</v>
      </c>
      <c r="C59" s="16">
        <v>60</v>
      </c>
      <c r="D59" s="17" t="s">
        <v>130</v>
      </c>
      <c r="E59" s="17" t="s">
        <v>131</v>
      </c>
      <c r="F59" s="15">
        <v>101</v>
      </c>
      <c r="G59" s="15">
        <v>106</v>
      </c>
      <c r="H59" s="15">
        <v>77.5</v>
      </c>
      <c r="I59" s="15">
        <v>35</v>
      </c>
      <c r="J59" s="15"/>
      <c r="K59" s="15">
        <v>47.5</v>
      </c>
      <c r="L59" s="15"/>
      <c r="M59" s="15">
        <v>48.5</v>
      </c>
      <c r="N59" s="15"/>
      <c r="O59" s="15">
        <v>284.5</v>
      </c>
      <c r="P59" s="15">
        <v>415.5</v>
      </c>
    </row>
    <row r="60" ht="14.25" spans="1:16">
      <c r="A60" s="13">
        <v>59</v>
      </c>
      <c r="B60" s="15">
        <v>1</v>
      </c>
      <c r="C60" s="16">
        <v>61</v>
      </c>
      <c r="D60" s="17" t="s">
        <v>132</v>
      </c>
      <c r="E60" s="17" t="s">
        <v>133</v>
      </c>
      <c r="F60" s="15">
        <v>98</v>
      </c>
      <c r="G60" s="15">
        <v>79.5</v>
      </c>
      <c r="H60" s="15">
        <v>64.25</v>
      </c>
      <c r="I60" s="15">
        <v>20.5</v>
      </c>
      <c r="J60" s="15"/>
      <c r="K60" s="15">
        <v>33</v>
      </c>
      <c r="L60" s="15"/>
      <c r="M60" s="15">
        <v>41.5</v>
      </c>
      <c r="N60" s="15"/>
      <c r="O60" s="15">
        <v>241.75</v>
      </c>
      <c r="P60" s="15">
        <v>336.75</v>
      </c>
    </row>
    <row r="61" ht="14.25" spans="1:16">
      <c r="A61" s="13">
        <v>60</v>
      </c>
      <c r="B61" s="15">
        <v>1</v>
      </c>
      <c r="C61" s="16">
        <v>62</v>
      </c>
      <c r="D61" s="17" t="s">
        <v>134</v>
      </c>
      <c r="E61" s="17" t="s">
        <v>135</v>
      </c>
      <c r="F61" s="15">
        <v>99</v>
      </c>
      <c r="G61" s="15">
        <v>86</v>
      </c>
      <c r="H61" s="15">
        <v>90</v>
      </c>
      <c r="I61" s="15">
        <v>34.5</v>
      </c>
      <c r="J61" s="15"/>
      <c r="K61" s="15">
        <v>41.5</v>
      </c>
      <c r="L61" s="15"/>
      <c r="M61" s="15">
        <v>56.5</v>
      </c>
      <c r="N61" s="15"/>
      <c r="O61" s="15">
        <v>275</v>
      </c>
      <c r="P61" s="15">
        <v>407.5</v>
      </c>
    </row>
    <row r="62" ht="14.25" spans="1:16">
      <c r="A62" s="13">
        <v>61</v>
      </c>
      <c r="B62" s="15">
        <v>1</v>
      </c>
      <c r="C62" s="16">
        <v>63</v>
      </c>
      <c r="D62" s="17" t="s">
        <v>136</v>
      </c>
      <c r="E62" s="17" t="s">
        <v>137</v>
      </c>
      <c r="F62" s="15">
        <v>95</v>
      </c>
      <c r="G62" s="15">
        <v>97.5</v>
      </c>
      <c r="H62" s="15">
        <v>93.5</v>
      </c>
      <c r="I62" s="15">
        <v>62</v>
      </c>
      <c r="J62" s="15"/>
      <c r="K62" s="15">
        <v>42</v>
      </c>
      <c r="L62" s="15"/>
      <c r="M62" s="15">
        <v>50.5</v>
      </c>
      <c r="N62" s="15"/>
      <c r="O62" s="15">
        <v>286</v>
      </c>
      <c r="P62" s="15">
        <v>440.5</v>
      </c>
    </row>
    <row r="63" ht="14.25" spans="1:16">
      <c r="A63" s="13">
        <v>62</v>
      </c>
      <c r="B63" s="15">
        <v>1</v>
      </c>
      <c r="C63" s="16">
        <v>64</v>
      </c>
      <c r="D63" s="17" t="s">
        <v>138</v>
      </c>
      <c r="E63" s="17" t="s">
        <v>139</v>
      </c>
      <c r="F63" s="15">
        <v>98.5</v>
      </c>
      <c r="G63" s="15">
        <v>111.5</v>
      </c>
      <c r="H63" s="15">
        <v>86.5</v>
      </c>
      <c r="I63" s="15">
        <v>58</v>
      </c>
      <c r="J63" s="15"/>
      <c r="K63" s="15">
        <v>46</v>
      </c>
      <c r="L63" s="15"/>
      <c r="M63" s="15">
        <v>39</v>
      </c>
      <c r="N63" s="15"/>
      <c r="O63" s="15">
        <v>296.5</v>
      </c>
      <c r="P63" s="15">
        <v>439.5</v>
      </c>
    </row>
    <row r="64" ht="14.25" spans="1:16">
      <c r="A64" s="13">
        <v>63</v>
      </c>
      <c r="B64" s="15">
        <v>1</v>
      </c>
      <c r="C64" s="16">
        <v>65</v>
      </c>
      <c r="D64" s="17" t="s">
        <v>140</v>
      </c>
      <c r="E64" s="17" t="s">
        <v>141</v>
      </c>
      <c r="F64" s="15">
        <v>101</v>
      </c>
      <c r="G64" s="15">
        <v>91</v>
      </c>
      <c r="H64" s="15">
        <v>90.75</v>
      </c>
      <c r="I64" s="15">
        <v>34.5</v>
      </c>
      <c r="J64" s="15"/>
      <c r="K64" s="15">
        <v>42.5</v>
      </c>
      <c r="L64" s="15"/>
      <c r="M64" s="15">
        <v>56.75</v>
      </c>
      <c r="N64" s="15"/>
      <c r="O64" s="15">
        <v>282.75</v>
      </c>
      <c r="P64" s="15">
        <v>416.5</v>
      </c>
    </row>
    <row r="65" ht="14.25" spans="1:16">
      <c r="A65" s="13">
        <v>64</v>
      </c>
      <c r="B65" s="15">
        <v>2</v>
      </c>
      <c r="C65" s="16">
        <v>1</v>
      </c>
      <c r="D65" s="17" t="s">
        <v>142</v>
      </c>
      <c r="E65" s="17" t="s">
        <v>143</v>
      </c>
      <c r="F65" s="15">
        <v>112.5</v>
      </c>
      <c r="G65" s="15">
        <v>84</v>
      </c>
      <c r="H65" s="15">
        <v>103.75</v>
      </c>
      <c r="I65" s="15">
        <v>42</v>
      </c>
      <c r="J65" s="15"/>
      <c r="K65" s="15"/>
      <c r="L65" s="15"/>
      <c r="M65" s="15">
        <v>49.5</v>
      </c>
      <c r="N65" s="15">
        <v>54</v>
      </c>
      <c r="O65" s="15">
        <v>300.25</v>
      </c>
      <c r="P65" s="15">
        <v>445.75</v>
      </c>
    </row>
    <row r="66" ht="14.25" spans="1:16">
      <c r="A66" s="13">
        <v>65</v>
      </c>
      <c r="B66" s="15">
        <v>2</v>
      </c>
      <c r="C66" s="16">
        <v>2</v>
      </c>
      <c r="D66" s="17" t="s">
        <v>144</v>
      </c>
      <c r="E66" s="17" t="s">
        <v>145</v>
      </c>
      <c r="F66" s="15">
        <v>99.5</v>
      </c>
      <c r="G66" s="15">
        <v>91</v>
      </c>
      <c r="H66" s="15">
        <v>92.5</v>
      </c>
      <c r="I66" s="15">
        <v>53.5</v>
      </c>
      <c r="J66" s="15"/>
      <c r="K66" s="15"/>
      <c r="L66" s="15"/>
      <c r="M66" s="15">
        <v>57</v>
      </c>
      <c r="N66" s="15">
        <v>47</v>
      </c>
      <c r="O66" s="15">
        <v>283</v>
      </c>
      <c r="P66" s="15">
        <v>440.5</v>
      </c>
    </row>
    <row r="67" ht="14.25" spans="1:16">
      <c r="A67" s="13">
        <v>66</v>
      </c>
      <c r="B67" s="15">
        <v>2</v>
      </c>
      <c r="C67" s="16">
        <v>3</v>
      </c>
      <c r="D67" s="17" t="s">
        <v>146</v>
      </c>
      <c r="E67" s="17" t="s">
        <v>147</v>
      </c>
      <c r="F67" s="15">
        <v>103.5</v>
      </c>
      <c r="G67" s="15">
        <v>84</v>
      </c>
      <c r="H67" s="15">
        <v>100.25</v>
      </c>
      <c r="I67" s="15">
        <v>35</v>
      </c>
      <c r="J67" s="15"/>
      <c r="K67" s="15"/>
      <c r="L67" s="15"/>
      <c r="M67" s="15">
        <v>61.5</v>
      </c>
      <c r="N67" s="15">
        <v>52.5</v>
      </c>
      <c r="O67" s="15">
        <v>287.75</v>
      </c>
      <c r="P67" s="15">
        <v>436.75</v>
      </c>
    </row>
    <row r="68" ht="14.25" spans="1:16">
      <c r="A68" s="13">
        <v>67</v>
      </c>
      <c r="B68" s="15">
        <v>2</v>
      </c>
      <c r="C68" s="16">
        <v>4</v>
      </c>
      <c r="D68" s="17" t="s">
        <v>148</v>
      </c>
      <c r="E68" s="17" t="s">
        <v>149</v>
      </c>
      <c r="F68" s="15">
        <v>103.5</v>
      </c>
      <c r="G68" s="15">
        <v>100</v>
      </c>
      <c r="H68" s="15">
        <v>89.5</v>
      </c>
      <c r="I68" s="15">
        <v>28.5</v>
      </c>
      <c r="J68" s="15"/>
      <c r="K68" s="15"/>
      <c r="L68" s="15"/>
      <c r="M68" s="15">
        <v>50.5</v>
      </c>
      <c r="N68" s="15">
        <v>42.5</v>
      </c>
      <c r="O68" s="15">
        <v>293</v>
      </c>
      <c r="P68" s="15">
        <v>414.5</v>
      </c>
    </row>
    <row r="69" ht="14.25" spans="1:16">
      <c r="A69" s="13">
        <v>68</v>
      </c>
      <c r="B69" s="15">
        <v>2</v>
      </c>
      <c r="C69" s="16">
        <v>5</v>
      </c>
      <c r="D69" s="17" t="s">
        <v>150</v>
      </c>
      <c r="E69" s="17" t="s">
        <v>151</v>
      </c>
      <c r="F69" s="15">
        <v>98</v>
      </c>
      <c r="G69" s="15">
        <v>91.5</v>
      </c>
      <c r="H69" s="15">
        <v>112</v>
      </c>
      <c r="I69" s="15">
        <v>49</v>
      </c>
      <c r="J69" s="15"/>
      <c r="K69" s="15"/>
      <c r="L69" s="15"/>
      <c r="M69" s="15">
        <v>68.5</v>
      </c>
      <c r="N69" s="15">
        <v>57</v>
      </c>
      <c r="O69" s="15">
        <v>301.5</v>
      </c>
      <c r="P69" s="15">
        <v>476</v>
      </c>
    </row>
    <row r="70" ht="14.25" spans="1:16">
      <c r="A70" s="13">
        <v>69</v>
      </c>
      <c r="B70" s="15">
        <v>2</v>
      </c>
      <c r="C70" s="16">
        <v>6</v>
      </c>
      <c r="D70" s="17" t="s">
        <v>152</v>
      </c>
      <c r="E70" s="17" t="s">
        <v>153</v>
      </c>
      <c r="F70" s="15">
        <v>95.5</v>
      </c>
      <c r="G70" s="15">
        <v>80</v>
      </c>
      <c r="H70" s="15">
        <v>94.25</v>
      </c>
      <c r="I70" s="15">
        <v>38</v>
      </c>
      <c r="J70" s="15"/>
      <c r="K70" s="15"/>
      <c r="L70" s="15"/>
      <c r="M70" s="15">
        <v>59.5</v>
      </c>
      <c r="N70" s="15">
        <v>37.5</v>
      </c>
      <c r="O70" s="15">
        <v>269.75</v>
      </c>
      <c r="P70" s="15">
        <v>404.75</v>
      </c>
    </row>
    <row r="71" ht="14.25" spans="1:16">
      <c r="A71" s="13">
        <v>70</v>
      </c>
      <c r="B71" s="15">
        <v>2</v>
      </c>
      <c r="C71" s="16">
        <v>7</v>
      </c>
      <c r="D71" s="17" t="s">
        <v>154</v>
      </c>
      <c r="E71" s="17" t="s">
        <v>155</v>
      </c>
      <c r="F71" s="15">
        <v>94.5</v>
      </c>
      <c r="G71" s="15">
        <v>111</v>
      </c>
      <c r="H71" s="15">
        <v>106.5</v>
      </c>
      <c r="I71" s="15">
        <v>50.5</v>
      </c>
      <c r="J71" s="15"/>
      <c r="K71" s="15"/>
      <c r="L71" s="15"/>
      <c r="M71" s="15">
        <v>62</v>
      </c>
      <c r="N71" s="15">
        <v>50.5</v>
      </c>
      <c r="O71" s="15">
        <v>312</v>
      </c>
      <c r="P71" s="15">
        <v>475</v>
      </c>
    </row>
    <row r="72" ht="14.25" spans="1:16">
      <c r="A72" s="13">
        <v>71</v>
      </c>
      <c r="B72" s="15">
        <v>2</v>
      </c>
      <c r="C72" s="16">
        <v>8</v>
      </c>
      <c r="D72" s="17" t="s">
        <v>156</v>
      </c>
      <c r="E72" s="17" t="s">
        <v>157</v>
      </c>
      <c r="F72" s="15">
        <v>102</v>
      </c>
      <c r="G72" s="15">
        <v>97</v>
      </c>
      <c r="H72" s="15">
        <v>86.5</v>
      </c>
      <c r="I72" s="15">
        <v>67.5</v>
      </c>
      <c r="J72" s="15"/>
      <c r="K72" s="15"/>
      <c r="L72" s="15"/>
      <c r="M72" s="15">
        <v>52</v>
      </c>
      <c r="N72" s="15">
        <v>59</v>
      </c>
      <c r="O72" s="15">
        <v>285.5</v>
      </c>
      <c r="P72" s="15">
        <v>464</v>
      </c>
    </row>
    <row r="73" ht="14.25" spans="1:16">
      <c r="A73" s="13">
        <v>72</v>
      </c>
      <c r="B73" s="15">
        <v>2</v>
      </c>
      <c r="C73" s="16">
        <v>9</v>
      </c>
      <c r="D73" s="17" t="s">
        <v>158</v>
      </c>
      <c r="E73" s="17" t="s">
        <v>159</v>
      </c>
      <c r="F73" s="15">
        <v>104</v>
      </c>
      <c r="G73" s="15">
        <v>117</v>
      </c>
      <c r="H73" s="15">
        <v>104.75</v>
      </c>
      <c r="I73" s="15">
        <v>61</v>
      </c>
      <c r="J73" s="15"/>
      <c r="K73" s="15"/>
      <c r="L73" s="15"/>
      <c r="M73" s="15">
        <v>69</v>
      </c>
      <c r="N73" s="15">
        <v>58</v>
      </c>
      <c r="O73" s="15">
        <v>325.75</v>
      </c>
      <c r="P73" s="15">
        <v>513.75</v>
      </c>
    </row>
    <row r="74" ht="14.25" spans="1:16">
      <c r="A74" s="13">
        <v>73</v>
      </c>
      <c r="B74" s="15">
        <v>2</v>
      </c>
      <c r="C74" s="16">
        <v>10</v>
      </c>
      <c r="D74" s="17" t="s">
        <v>160</v>
      </c>
      <c r="E74" s="17" t="s">
        <v>161</v>
      </c>
      <c r="F74" s="15">
        <v>99</v>
      </c>
      <c r="G74" s="15">
        <v>95</v>
      </c>
      <c r="H74" s="15">
        <v>92.5</v>
      </c>
      <c r="I74" s="15">
        <v>41.5</v>
      </c>
      <c r="J74" s="15"/>
      <c r="K74" s="15"/>
      <c r="L74" s="15"/>
      <c r="M74" s="15">
        <v>58</v>
      </c>
      <c r="N74" s="15">
        <v>40.5</v>
      </c>
      <c r="O74" s="15">
        <v>286.5</v>
      </c>
      <c r="P74" s="15">
        <v>426.5</v>
      </c>
    </row>
    <row r="75" ht="14.25" spans="1:16">
      <c r="A75" s="13">
        <v>74</v>
      </c>
      <c r="B75" s="15">
        <v>2</v>
      </c>
      <c r="C75" s="16">
        <v>11</v>
      </c>
      <c r="D75" s="17" t="s">
        <v>162</v>
      </c>
      <c r="E75" s="17" t="s">
        <v>121</v>
      </c>
      <c r="F75" s="15">
        <v>92.5</v>
      </c>
      <c r="G75" s="15">
        <v>96</v>
      </c>
      <c r="H75" s="15">
        <v>92</v>
      </c>
      <c r="I75" s="15">
        <v>47.5</v>
      </c>
      <c r="J75" s="15"/>
      <c r="K75" s="15"/>
      <c r="L75" s="15"/>
      <c r="M75" s="15">
        <v>53</v>
      </c>
      <c r="N75" s="15">
        <v>47.5</v>
      </c>
      <c r="O75" s="15">
        <v>280.5</v>
      </c>
      <c r="P75" s="15">
        <v>428.5</v>
      </c>
    </row>
    <row r="76" ht="14.25" spans="1:16">
      <c r="A76" s="13">
        <v>75</v>
      </c>
      <c r="B76" s="15">
        <v>2</v>
      </c>
      <c r="C76" s="16">
        <v>12</v>
      </c>
      <c r="D76" s="17" t="s">
        <v>163</v>
      </c>
      <c r="E76" s="17" t="s">
        <v>164</v>
      </c>
      <c r="F76" s="15">
        <v>95.5</v>
      </c>
      <c r="G76" s="15">
        <v>107.5</v>
      </c>
      <c r="H76" s="15">
        <v>113</v>
      </c>
      <c r="I76" s="15">
        <v>50</v>
      </c>
      <c r="J76" s="15"/>
      <c r="K76" s="15"/>
      <c r="L76" s="15"/>
      <c r="M76" s="15">
        <v>65.25</v>
      </c>
      <c r="N76" s="15">
        <v>67</v>
      </c>
      <c r="O76" s="15">
        <v>316</v>
      </c>
      <c r="P76" s="15">
        <v>498.25</v>
      </c>
    </row>
    <row r="77" ht="14.25" spans="1:16">
      <c r="A77" s="13">
        <v>76</v>
      </c>
      <c r="B77" s="15">
        <v>2</v>
      </c>
      <c r="C77" s="16">
        <v>13</v>
      </c>
      <c r="D77" s="17" t="s">
        <v>165</v>
      </c>
      <c r="E77" s="17" t="s">
        <v>166</v>
      </c>
      <c r="F77" s="15">
        <v>100.5</v>
      </c>
      <c r="G77" s="15">
        <v>105</v>
      </c>
      <c r="H77" s="15">
        <v>108.5</v>
      </c>
      <c r="I77" s="15">
        <v>58.5</v>
      </c>
      <c r="J77" s="15"/>
      <c r="K77" s="15"/>
      <c r="L77" s="15"/>
      <c r="M77" s="15">
        <v>47</v>
      </c>
      <c r="N77" s="15">
        <v>64</v>
      </c>
      <c r="O77" s="15">
        <v>314</v>
      </c>
      <c r="P77" s="15">
        <v>483.5</v>
      </c>
    </row>
    <row r="78" ht="14.25" spans="1:16">
      <c r="A78" s="13">
        <v>77</v>
      </c>
      <c r="B78" s="15">
        <v>2</v>
      </c>
      <c r="C78" s="16">
        <v>14</v>
      </c>
      <c r="D78" s="17" t="s">
        <v>167</v>
      </c>
      <c r="E78" s="17" t="s">
        <v>168</v>
      </c>
      <c r="F78" s="15">
        <v>108</v>
      </c>
      <c r="G78" s="15">
        <v>92</v>
      </c>
      <c r="H78" s="15">
        <v>105.75</v>
      </c>
      <c r="I78" s="15">
        <v>64.5</v>
      </c>
      <c r="J78" s="15"/>
      <c r="K78" s="15"/>
      <c r="L78" s="15"/>
      <c r="M78" s="15">
        <v>69.5</v>
      </c>
      <c r="N78" s="15">
        <v>47.5</v>
      </c>
      <c r="O78" s="15">
        <v>305.75</v>
      </c>
      <c r="P78" s="15">
        <v>487.25</v>
      </c>
    </row>
    <row r="79" ht="14.25" spans="1:16">
      <c r="A79" s="13">
        <v>78</v>
      </c>
      <c r="B79" s="15">
        <v>2</v>
      </c>
      <c r="C79" s="16">
        <v>15</v>
      </c>
      <c r="D79" s="17" t="s">
        <v>169</v>
      </c>
      <c r="E79" s="17" t="s">
        <v>170</v>
      </c>
      <c r="F79" s="15">
        <v>91.5</v>
      </c>
      <c r="G79" s="15">
        <v>105.5</v>
      </c>
      <c r="H79" s="15">
        <v>107</v>
      </c>
      <c r="I79" s="15">
        <v>44.5</v>
      </c>
      <c r="J79" s="15"/>
      <c r="K79" s="15"/>
      <c r="L79" s="15"/>
      <c r="M79" s="15">
        <v>55</v>
      </c>
      <c r="N79" s="15">
        <v>55.75</v>
      </c>
      <c r="O79" s="15">
        <v>304</v>
      </c>
      <c r="P79" s="15">
        <v>459.25</v>
      </c>
    </row>
    <row r="80" ht="14.25" spans="1:16">
      <c r="A80" s="13">
        <v>79</v>
      </c>
      <c r="B80" s="15">
        <v>2</v>
      </c>
      <c r="C80" s="16">
        <v>16</v>
      </c>
      <c r="D80" s="17" t="s">
        <v>171</v>
      </c>
      <c r="E80" s="17" t="s">
        <v>172</v>
      </c>
      <c r="F80" s="15">
        <v>95</v>
      </c>
      <c r="G80" s="15">
        <v>54.5</v>
      </c>
      <c r="H80" s="15">
        <v>93</v>
      </c>
      <c r="I80" s="15">
        <v>23</v>
      </c>
      <c r="J80" s="15"/>
      <c r="K80" s="15"/>
      <c r="L80" s="15"/>
      <c r="M80" s="15">
        <v>46</v>
      </c>
      <c r="N80" s="15">
        <v>32</v>
      </c>
      <c r="O80" s="15">
        <v>242.5</v>
      </c>
      <c r="P80" s="15">
        <v>343.5</v>
      </c>
    </row>
    <row r="81" ht="14.25" spans="1:16">
      <c r="A81" s="13">
        <v>80</v>
      </c>
      <c r="B81" s="15">
        <v>2</v>
      </c>
      <c r="C81" s="16">
        <v>17</v>
      </c>
      <c r="D81" s="17" t="s">
        <v>173</v>
      </c>
      <c r="E81" s="17" t="s">
        <v>174</v>
      </c>
      <c r="F81" s="15">
        <v>102.5</v>
      </c>
      <c r="G81" s="15">
        <v>96</v>
      </c>
      <c r="H81" s="15">
        <v>92.5</v>
      </c>
      <c r="I81" s="15">
        <v>31.5</v>
      </c>
      <c r="J81" s="15"/>
      <c r="K81" s="15"/>
      <c r="L81" s="15"/>
      <c r="M81" s="15">
        <v>58</v>
      </c>
      <c r="N81" s="15">
        <v>43.5</v>
      </c>
      <c r="O81" s="15">
        <v>291</v>
      </c>
      <c r="P81" s="15">
        <v>424</v>
      </c>
    </row>
    <row r="82" ht="14.25" spans="1:16">
      <c r="A82" s="13">
        <v>81</v>
      </c>
      <c r="B82" s="15">
        <v>2</v>
      </c>
      <c r="C82" s="16">
        <v>18</v>
      </c>
      <c r="D82" s="17" t="s">
        <v>175</v>
      </c>
      <c r="E82" s="17" t="s">
        <v>176</v>
      </c>
      <c r="F82" s="15">
        <v>93.75</v>
      </c>
      <c r="G82" s="15">
        <v>89.5</v>
      </c>
      <c r="H82" s="15">
        <v>98.75</v>
      </c>
      <c r="I82" s="15">
        <v>53.5</v>
      </c>
      <c r="J82" s="15"/>
      <c r="K82" s="15"/>
      <c r="L82" s="15"/>
      <c r="M82" s="15">
        <v>49.5</v>
      </c>
      <c r="N82" s="15">
        <v>46.5</v>
      </c>
      <c r="O82" s="15">
        <v>282</v>
      </c>
      <c r="P82" s="15">
        <v>431.5</v>
      </c>
    </row>
    <row r="83" ht="14.25" spans="1:16">
      <c r="A83" s="13">
        <v>82</v>
      </c>
      <c r="B83" s="15">
        <v>2</v>
      </c>
      <c r="C83" s="16">
        <v>19</v>
      </c>
      <c r="D83" s="17" t="s">
        <v>177</v>
      </c>
      <c r="E83" s="17" t="s">
        <v>178</v>
      </c>
      <c r="F83" s="15">
        <v>98</v>
      </c>
      <c r="G83" s="15">
        <v>107</v>
      </c>
      <c r="H83" s="15">
        <v>111</v>
      </c>
      <c r="I83" s="15">
        <v>66.5</v>
      </c>
      <c r="J83" s="15"/>
      <c r="K83" s="15"/>
      <c r="L83" s="15"/>
      <c r="M83" s="15">
        <v>54</v>
      </c>
      <c r="N83" s="15">
        <v>58</v>
      </c>
      <c r="O83" s="15">
        <v>316</v>
      </c>
      <c r="P83" s="15">
        <v>494.5</v>
      </c>
    </row>
    <row r="84" ht="14.25" spans="1:16">
      <c r="A84" s="13">
        <v>83</v>
      </c>
      <c r="B84" s="15">
        <v>2</v>
      </c>
      <c r="C84" s="16">
        <v>20</v>
      </c>
      <c r="D84" s="17" t="s">
        <v>179</v>
      </c>
      <c r="E84" s="17" t="s">
        <v>180</v>
      </c>
      <c r="F84" s="15">
        <v>103.5</v>
      </c>
      <c r="G84" s="15">
        <v>87.5</v>
      </c>
      <c r="H84" s="15">
        <v>87.25</v>
      </c>
      <c r="I84" s="15">
        <v>41</v>
      </c>
      <c r="J84" s="15"/>
      <c r="K84" s="15"/>
      <c r="L84" s="15"/>
      <c r="M84" s="15">
        <v>45</v>
      </c>
      <c r="N84" s="15">
        <v>53</v>
      </c>
      <c r="O84" s="15">
        <v>278.25</v>
      </c>
      <c r="P84" s="15">
        <v>417.25</v>
      </c>
    </row>
    <row r="85" ht="14.25" spans="1:16">
      <c r="A85" s="13">
        <v>84</v>
      </c>
      <c r="B85" s="15">
        <v>2</v>
      </c>
      <c r="C85" s="16">
        <v>21</v>
      </c>
      <c r="D85" s="17" t="s">
        <v>181</v>
      </c>
      <c r="E85" s="17" t="s">
        <v>182</v>
      </c>
      <c r="F85" s="15">
        <v>104.5</v>
      </c>
      <c r="G85" s="15">
        <v>102.5</v>
      </c>
      <c r="H85" s="15">
        <v>96</v>
      </c>
      <c r="I85" s="15">
        <v>53</v>
      </c>
      <c r="J85" s="15"/>
      <c r="K85" s="15"/>
      <c r="L85" s="15"/>
      <c r="M85" s="15">
        <v>65.25</v>
      </c>
      <c r="N85" s="15">
        <v>56</v>
      </c>
      <c r="O85" s="15">
        <v>303</v>
      </c>
      <c r="P85" s="15">
        <v>477.25</v>
      </c>
    </row>
    <row r="86" ht="14.25" spans="1:16">
      <c r="A86" s="13">
        <v>85</v>
      </c>
      <c r="B86" s="15">
        <v>2</v>
      </c>
      <c r="C86" s="16">
        <v>22</v>
      </c>
      <c r="D86" s="17" t="s">
        <v>183</v>
      </c>
      <c r="E86" s="17" t="s">
        <v>184</v>
      </c>
      <c r="F86" s="15">
        <v>94.5</v>
      </c>
      <c r="G86" s="15">
        <v>88.5</v>
      </c>
      <c r="H86" s="15">
        <v>74.25</v>
      </c>
      <c r="I86" s="15">
        <v>38.5</v>
      </c>
      <c r="J86" s="15"/>
      <c r="K86" s="15"/>
      <c r="L86" s="15"/>
      <c r="M86" s="15">
        <v>47.5</v>
      </c>
      <c r="N86" s="15">
        <v>57</v>
      </c>
      <c r="O86" s="15">
        <v>257.25</v>
      </c>
      <c r="P86" s="15">
        <v>400.25</v>
      </c>
    </row>
    <row r="87" ht="14.25" spans="1:16">
      <c r="A87" s="13">
        <v>86</v>
      </c>
      <c r="B87" s="15">
        <v>2</v>
      </c>
      <c r="C87" s="16">
        <v>23</v>
      </c>
      <c r="D87" s="17" t="s">
        <v>185</v>
      </c>
      <c r="E87" s="17" t="s">
        <v>186</v>
      </c>
      <c r="F87" s="15">
        <v>100.5</v>
      </c>
      <c r="G87" s="15">
        <v>95.5</v>
      </c>
      <c r="H87" s="15">
        <v>121</v>
      </c>
      <c r="I87" s="15">
        <v>47.5</v>
      </c>
      <c r="J87" s="15"/>
      <c r="K87" s="15"/>
      <c r="L87" s="15"/>
      <c r="M87" s="15">
        <v>64</v>
      </c>
      <c r="N87" s="15">
        <v>46</v>
      </c>
      <c r="O87" s="15">
        <v>317</v>
      </c>
      <c r="P87" s="15">
        <v>474.5</v>
      </c>
    </row>
    <row r="88" ht="14.25" spans="1:16">
      <c r="A88" s="13">
        <v>87</v>
      </c>
      <c r="B88" s="15">
        <v>2</v>
      </c>
      <c r="C88" s="16">
        <v>24</v>
      </c>
      <c r="D88" s="17" t="s">
        <v>187</v>
      </c>
      <c r="E88" s="17" t="s">
        <v>188</v>
      </c>
      <c r="F88" s="15">
        <v>107</v>
      </c>
      <c r="G88" s="15">
        <v>92</v>
      </c>
      <c r="H88" s="15">
        <v>97</v>
      </c>
      <c r="I88" s="15">
        <v>60.5</v>
      </c>
      <c r="J88" s="15"/>
      <c r="K88" s="15"/>
      <c r="L88" s="15"/>
      <c r="M88" s="15">
        <v>68.5</v>
      </c>
      <c r="N88" s="15">
        <v>50</v>
      </c>
      <c r="O88" s="15">
        <v>296</v>
      </c>
      <c r="P88" s="15">
        <v>475</v>
      </c>
    </row>
    <row r="89" ht="14.25" spans="1:16">
      <c r="A89" s="13">
        <v>88</v>
      </c>
      <c r="B89" s="15">
        <v>2</v>
      </c>
      <c r="C89" s="16">
        <v>25</v>
      </c>
      <c r="D89" s="17" t="s">
        <v>189</v>
      </c>
      <c r="E89" s="17" t="s">
        <v>190</v>
      </c>
      <c r="F89" s="15">
        <v>103.5</v>
      </c>
      <c r="G89" s="15">
        <v>88</v>
      </c>
      <c r="H89" s="15">
        <v>75.5</v>
      </c>
      <c r="I89" s="15">
        <v>61</v>
      </c>
      <c r="J89" s="15"/>
      <c r="K89" s="15"/>
      <c r="L89" s="15"/>
      <c r="M89" s="15">
        <v>47.75</v>
      </c>
      <c r="N89" s="15">
        <v>59.75</v>
      </c>
      <c r="O89" s="15">
        <v>267</v>
      </c>
      <c r="P89" s="15">
        <v>435.5</v>
      </c>
    </row>
    <row r="90" ht="14.25" spans="1:16">
      <c r="A90" s="13">
        <v>89</v>
      </c>
      <c r="B90" s="15">
        <v>2</v>
      </c>
      <c r="C90" s="16">
        <v>26</v>
      </c>
      <c r="D90" s="17" t="s">
        <v>191</v>
      </c>
      <c r="E90" s="17" t="s">
        <v>192</v>
      </c>
      <c r="F90" s="15">
        <v>106.5</v>
      </c>
      <c r="G90" s="15">
        <v>89</v>
      </c>
      <c r="H90" s="15">
        <v>110.25</v>
      </c>
      <c r="I90" s="15">
        <v>58.5</v>
      </c>
      <c r="J90" s="15"/>
      <c r="K90" s="15"/>
      <c r="L90" s="15"/>
      <c r="M90" s="15">
        <v>52.5</v>
      </c>
      <c r="N90" s="15">
        <v>50</v>
      </c>
      <c r="O90" s="15">
        <v>305.75</v>
      </c>
      <c r="P90" s="15">
        <v>466.75</v>
      </c>
    </row>
    <row r="91" ht="14.25" spans="1:16">
      <c r="A91" s="13">
        <v>90</v>
      </c>
      <c r="B91" s="15">
        <v>2</v>
      </c>
      <c r="C91" s="16">
        <v>27</v>
      </c>
      <c r="D91" s="17" t="s">
        <v>193</v>
      </c>
      <c r="E91" s="17" t="s">
        <v>194</v>
      </c>
      <c r="F91" s="15">
        <v>106</v>
      </c>
      <c r="G91" s="15">
        <v>109</v>
      </c>
      <c r="H91" s="15">
        <v>122</v>
      </c>
      <c r="I91" s="15">
        <v>43</v>
      </c>
      <c r="J91" s="15"/>
      <c r="K91" s="15"/>
      <c r="L91" s="15"/>
      <c r="M91" s="15">
        <v>57.5</v>
      </c>
      <c r="N91" s="15">
        <v>38.5</v>
      </c>
      <c r="O91" s="15">
        <v>337</v>
      </c>
      <c r="P91" s="15">
        <v>476</v>
      </c>
    </row>
    <row r="92" ht="14.25" spans="1:16">
      <c r="A92" s="13">
        <v>91</v>
      </c>
      <c r="B92" s="15">
        <v>2</v>
      </c>
      <c r="C92" s="16">
        <v>28</v>
      </c>
      <c r="D92" s="17" t="s">
        <v>195</v>
      </c>
      <c r="E92" s="17" t="s">
        <v>196</v>
      </c>
      <c r="F92" s="15">
        <v>81.5</v>
      </c>
      <c r="G92" s="15">
        <v>90.5</v>
      </c>
      <c r="H92" s="15">
        <v>98</v>
      </c>
      <c r="I92" s="15">
        <v>39</v>
      </c>
      <c r="J92" s="15"/>
      <c r="K92" s="15"/>
      <c r="L92" s="15"/>
      <c r="M92" s="15">
        <v>44.5</v>
      </c>
      <c r="N92" s="15">
        <v>44.5</v>
      </c>
      <c r="O92" s="15">
        <v>270</v>
      </c>
      <c r="P92" s="15">
        <v>398</v>
      </c>
    </row>
    <row r="93" ht="14.25" spans="1:16">
      <c r="A93" s="13">
        <v>92</v>
      </c>
      <c r="B93" s="15">
        <v>2</v>
      </c>
      <c r="C93" s="16">
        <v>29</v>
      </c>
      <c r="D93" s="17" t="s">
        <v>197</v>
      </c>
      <c r="E93" s="17" t="s">
        <v>198</v>
      </c>
      <c r="F93" s="15">
        <v>94.5</v>
      </c>
      <c r="G93" s="15">
        <v>105</v>
      </c>
      <c r="H93" s="15">
        <v>115.5</v>
      </c>
      <c r="I93" s="15">
        <v>70.5</v>
      </c>
      <c r="J93" s="15"/>
      <c r="K93" s="15"/>
      <c r="L93" s="15"/>
      <c r="M93" s="15">
        <v>64.5</v>
      </c>
      <c r="N93" s="15">
        <v>66</v>
      </c>
      <c r="O93" s="15">
        <v>315</v>
      </c>
      <c r="P93" s="15">
        <v>516</v>
      </c>
    </row>
    <row r="94" ht="14.25" spans="1:16">
      <c r="A94" s="13">
        <v>93</v>
      </c>
      <c r="B94" s="15">
        <v>2</v>
      </c>
      <c r="C94" s="16">
        <v>30</v>
      </c>
      <c r="D94" s="17" t="s">
        <v>199</v>
      </c>
      <c r="E94" s="17" t="s">
        <v>200</v>
      </c>
      <c r="F94" s="15">
        <v>102</v>
      </c>
      <c r="G94" s="15">
        <v>107</v>
      </c>
      <c r="H94" s="15">
        <v>99.5</v>
      </c>
      <c r="I94" s="15">
        <v>56.5</v>
      </c>
      <c r="J94" s="15"/>
      <c r="K94" s="15"/>
      <c r="L94" s="15"/>
      <c r="M94" s="15">
        <v>45.5</v>
      </c>
      <c r="N94" s="15">
        <v>55.5</v>
      </c>
      <c r="O94" s="15">
        <v>308.5</v>
      </c>
      <c r="P94" s="15">
        <v>466</v>
      </c>
    </row>
    <row r="95" ht="14.25" spans="1:16">
      <c r="A95" s="13">
        <v>94</v>
      </c>
      <c r="B95" s="15">
        <v>2</v>
      </c>
      <c r="C95" s="16">
        <v>31</v>
      </c>
      <c r="D95" s="17" t="s">
        <v>201</v>
      </c>
      <c r="E95" s="17" t="s">
        <v>202</v>
      </c>
      <c r="F95" s="15">
        <v>96.5</v>
      </c>
      <c r="G95" s="15">
        <v>100.5</v>
      </c>
      <c r="H95" s="15">
        <v>101.5</v>
      </c>
      <c r="I95" s="15">
        <v>47</v>
      </c>
      <c r="J95" s="15"/>
      <c r="K95" s="15"/>
      <c r="L95" s="15"/>
      <c r="M95" s="15">
        <v>46.5</v>
      </c>
      <c r="N95" s="15">
        <v>59.5</v>
      </c>
      <c r="O95" s="15">
        <v>298.5</v>
      </c>
      <c r="P95" s="15">
        <v>451.5</v>
      </c>
    </row>
    <row r="96" ht="14.25" spans="1:16">
      <c r="A96" s="13">
        <v>95</v>
      </c>
      <c r="B96" s="15">
        <v>2</v>
      </c>
      <c r="C96" s="16">
        <v>32</v>
      </c>
      <c r="D96" s="17" t="s">
        <v>203</v>
      </c>
      <c r="E96" s="17" t="s">
        <v>204</v>
      </c>
      <c r="F96" s="15">
        <v>96</v>
      </c>
      <c r="G96" s="15">
        <v>102.5</v>
      </c>
      <c r="H96" s="15">
        <v>94.75</v>
      </c>
      <c r="I96" s="15">
        <v>64.5</v>
      </c>
      <c r="J96" s="15"/>
      <c r="K96" s="15"/>
      <c r="L96" s="15"/>
      <c r="M96" s="15">
        <v>55</v>
      </c>
      <c r="N96" s="15">
        <v>63</v>
      </c>
      <c r="O96" s="15">
        <v>293.25</v>
      </c>
      <c r="P96" s="15">
        <v>475.75</v>
      </c>
    </row>
    <row r="97" ht="14.25" spans="1:16">
      <c r="A97" s="13">
        <v>96</v>
      </c>
      <c r="B97" s="15">
        <v>2</v>
      </c>
      <c r="C97" s="16">
        <v>33</v>
      </c>
      <c r="D97" s="17" t="s">
        <v>205</v>
      </c>
      <c r="E97" s="17" t="s">
        <v>206</v>
      </c>
      <c r="F97" s="15">
        <v>91.5</v>
      </c>
      <c r="G97" s="15">
        <v>95</v>
      </c>
      <c r="H97" s="15">
        <v>105.5</v>
      </c>
      <c r="I97" s="15">
        <v>39</v>
      </c>
      <c r="J97" s="15"/>
      <c r="K97" s="15"/>
      <c r="L97" s="15"/>
      <c r="M97" s="15">
        <v>55</v>
      </c>
      <c r="N97" s="15">
        <v>55.5</v>
      </c>
      <c r="O97" s="15">
        <v>292</v>
      </c>
      <c r="P97" s="15">
        <v>441.5</v>
      </c>
    </row>
    <row r="98" ht="14.25" spans="1:16">
      <c r="A98" s="13">
        <v>97</v>
      </c>
      <c r="B98" s="15">
        <v>2</v>
      </c>
      <c r="C98" s="16">
        <v>34</v>
      </c>
      <c r="D98" s="17" t="s">
        <v>207</v>
      </c>
      <c r="E98" s="17" t="s">
        <v>208</v>
      </c>
      <c r="F98" s="15">
        <v>104</v>
      </c>
      <c r="G98" s="15">
        <v>88.5</v>
      </c>
      <c r="H98" s="15">
        <v>100.25</v>
      </c>
      <c r="I98" s="15">
        <v>47</v>
      </c>
      <c r="J98" s="15"/>
      <c r="K98" s="15"/>
      <c r="L98" s="15"/>
      <c r="M98" s="15">
        <v>48</v>
      </c>
      <c r="N98" s="15">
        <v>42</v>
      </c>
      <c r="O98" s="15">
        <v>292.75</v>
      </c>
      <c r="P98" s="15">
        <v>429.75</v>
      </c>
    </row>
    <row r="99" ht="14.25" spans="1:16">
      <c r="A99" s="13">
        <v>98</v>
      </c>
      <c r="B99" s="15">
        <v>2</v>
      </c>
      <c r="C99" s="16">
        <v>35</v>
      </c>
      <c r="D99" s="17" t="s">
        <v>209</v>
      </c>
      <c r="E99" s="17" t="s">
        <v>210</v>
      </c>
      <c r="F99" s="15">
        <v>95.75</v>
      </c>
      <c r="G99" s="15">
        <v>59.5</v>
      </c>
      <c r="H99" s="15">
        <v>64.5</v>
      </c>
      <c r="I99" s="15">
        <v>18.5</v>
      </c>
      <c r="J99" s="15"/>
      <c r="K99" s="15"/>
      <c r="L99" s="15"/>
      <c r="M99" s="15">
        <v>56.5</v>
      </c>
      <c r="N99" s="15">
        <v>40.5</v>
      </c>
      <c r="O99" s="15">
        <v>219.75</v>
      </c>
      <c r="P99" s="15">
        <v>335.25</v>
      </c>
    </row>
    <row r="100" ht="14.25" spans="1:16">
      <c r="A100" s="13">
        <v>99</v>
      </c>
      <c r="B100" s="15">
        <v>2</v>
      </c>
      <c r="C100" s="16">
        <v>36</v>
      </c>
      <c r="D100" s="17" t="s">
        <v>211</v>
      </c>
      <c r="E100" s="17" t="s">
        <v>212</v>
      </c>
      <c r="F100" s="15">
        <v>98</v>
      </c>
      <c r="G100" s="15">
        <v>114</v>
      </c>
      <c r="H100" s="15">
        <v>77.5</v>
      </c>
      <c r="I100" s="15">
        <v>42</v>
      </c>
      <c r="J100" s="15"/>
      <c r="K100" s="15"/>
      <c r="L100" s="15"/>
      <c r="M100" s="15">
        <v>49.5</v>
      </c>
      <c r="N100" s="15">
        <v>56.5</v>
      </c>
      <c r="O100" s="15">
        <v>289.5</v>
      </c>
      <c r="P100" s="15">
        <v>437.5</v>
      </c>
    </row>
    <row r="101" ht="14.25" spans="1:16">
      <c r="A101" s="13">
        <v>100</v>
      </c>
      <c r="B101" s="15">
        <v>2</v>
      </c>
      <c r="C101" s="16">
        <v>37</v>
      </c>
      <c r="D101" s="17" t="s">
        <v>213</v>
      </c>
      <c r="E101" s="17" t="s">
        <v>214</v>
      </c>
      <c r="F101" s="15">
        <v>90</v>
      </c>
      <c r="G101" s="15">
        <v>66</v>
      </c>
      <c r="H101" s="15">
        <v>63.75</v>
      </c>
      <c r="I101" s="15">
        <v>49</v>
      </c>
      <c r="J101" s="15"/>
      <c r="K101" s="15"/>
      <c r="L101" s="15"/>
      <c r="M101" s="15">
        <v>50.5</v>
      </c>
      <c r="N101" s="15">
        <v>59</v>
      </c>
      <c r="O101" s="15">
        <v>219.75</v>
      </c>
      <c r="P101" s="15">
        <v>378.25</v>
      </c>
    </row>
    <row r="102" ht="14.25" spans="1:16">
      <c r="A102" s="13">
        <v>101</v>
      </c>
      <c r="B102" s="15">
        <v>2</v>
      </c>
      <c r="C102" s="16">
        <v>38</v>
      </c>
      <c r="D102" s="17" t="s">
        <v>215</v>
      </c>
      <c r="E102" s="17" t="s">
        <v>216</v>
      </c>
      <c r="F102" s="15">
        <v>94.5</v>
      </c>
      <c r="G102" s="15">
        <v>93</v>
      </c>
      <c r="H102" s="15">
        <v>105.5</v>
      </c>
      <c r="I102" s="15">
        <v>46</v>
      </c>
      <c r="J102" s="15"/>
      <c r="K102" s="15"/>
      <c r="L102" s="15"/>
      <c r="M102" s="15">
        <v>54</v>
      </c>
      <c r="N102" s="15">
        <v>55.5</v>
      </c>
      <c r="O102" s="15">
        <v>293</v>
      </c>
      <c r="P102" s="15">
        <v>448.5</v>
      </c>
    </row>
    <row r="103" ht="14.25" spans="1:16">
      <c r="A103" s="13">
        <v>102</v>
      </c>
      <c r="B103" s="15">
        <v>2</v>
      </c>
      <c r="C103" s="16">
        <v>39</v>
      </c>
      <c r="D103" s="17" t="s">
        <v>217</v>
      </c>
      <c r="E103" s="17" t="s">
        <v>218</v>
      </c>
      <c r="F103" s="15">
        <v>91.5</v>
      </c>
      <c r="G103" s="15">
        <v>84.5</v>
      </c>
      <c r="H103" s="15">
        <v>91.5</v>
      </c>
      <c r="I103" s="15">
        <v>37</v>
      </c>
      <c r="J103" s="15"/>
      <c r="K103" s="15"/>
      <c r="L103" s="15"/>
      <c r="M103" s="15">
        <v>49.5</v>
      </c>
      <c r="N103" s="15">
        <v>33</v>
      </c>
      <c r="O103" s="15">
        <v>267.5</v>
      </c>
      <c r="P103" s="15">
        <v>387</v>
      </c>
    </row>
    <row r="104" ht="14.25" spans="1:16">
      <c r="A104" s="13">
        <v>103</v>
      </c>
      <c r="B104" s="15">
        <v>2</v>
      </c>
      <c r="C104" s="16">
        <v>40</v>
      </c>
      <c r="D104" s="17" t="s">
        <v>219</v>
      </c>
      <c r="E104" s="17" t="s">
        <v>220</v>
      </c>
      <c r="F104" s="15">
        <v>104</v>
      </c>
      <c r="G104" s="15">
        <v>75</v>
      </c>
      <c r="H104" s="15">
        <v>93</v>
      </c>
      <c r="I104" s="15">
        <v>41</v>
      </c>
      <c r="J104" s="15"/>
      <c r="K104" s="15"/>
      <c r="L104" s="15"/>
      <c r="M104" s="15">
        <v>49.5</v>
      </c>
      <c r="N104" s="15">
        <v>43.5</v>
      </c>
      <c r="O104" s="15">
        <v>272</v>
      </c>
      <c r="P104" s="15">
        <v>406</v>
      </c>
    </row>
    <row r="105" ht="14.25" spans="1:16">
      <c r="A105" s="13">
        <v>104</v>
      </c>
      <c r="B105" s="15">
        <v>2</v>
      </c>
      <c r="C105" s="16">
        <v>41</v>
      </c>
      <c r="D105" s="17" t="s">
        <v>221</v>
      </c>
      <c r="E105" s="17" t="s">
        <v>222</v>
      </c>
      <c r="F105" s="15">
        <v>96</v>
      </c>
      <c r="G105" s="15">
        <v>45.5</v>
      </c>
      <c r="H105" s="15">
        <v>99.25</v>
      </c>
      <c r="I105" s="15">
        <v>28</v>
      </c>
      <c r="J105" s="15"/>
      <c r="K105" s="15"/>
      <c r="L105" s="15"/>
      <c r="M105" s="15">
        <v>48.5</v>
      </c>
      <c r="N105" s="15">
        <v>57</v>
      </c>
      <c r="O105" s="15">
        <v>240.75</v>
      </c>
      <c r="P105" s="15">
        <v>374.25</v>
      </c>
    </row>
    <row r="106" ht="14.25" spans="1:16">
      <c r="A106" s="13">
        <v>105</v>
      </c>
      <c r="B106" s="15">
        <v>2</v>
      </c>
      <c r="C106" s="16">
        <v>43</v>
      </c>
      <c r="D106" s="17" t="s">
        <v>223</v>
      </c>
      <c r="E106" s="17" t="s">
        <v>224</v>
      </c>
      <c r="F106" s="15">
        <v>101.5</v>
      </c>
      <c r="G106" s="15">
        <v>99.5</v>
      </c>
      <c r="H106" s="15">
        <v>98</v>
      </c>
      <c r="I106" s="15">
        <v>58.5</v>
      </c>
      <c r="J106" s="15"/>
      <c r="K106" s="15"/>
      <c r="L106" s="15"/>
      <c r="M106" s="15">
        <v>64.75</v>
      </c>
      <c r="N106" s="15">
        <v>46.5</v>
      </c>
      <c r="O106" s="15">
        <v>299</v>
      </c>
      <c r="P106" s="15">
        <v>468.75</v>
      </c>
    </row>
    <row r="107" ht="14.25" spans="1:16">
      <c r="A107" s="13">
        <v>106</v>
      </c>
      <c r="B107" s="15">
        <v>2</v>
      </c>
      <c r="C107" s="16">
        <v>44</v>
      </c>
      <c r="D107" s="17" t="s">
        <v>225</v>
      </c>
      <c r="E107" s="17" t="s">
        <v>226</v>
      </c>
      <c r="F107" s="15">
        <v>113.5</v>
      </c>
      <c r="G107" s="15">
        <v>94.5</v>
      </c>
      <c r="H107" s="15">
        <v>95.75</v>
      </c>
      <c r="I107" s="15">
        <v>36.5</v>
      </c>
      <c r="J107" s="15"/>
      <c r="K107" s="15"/>
      <c r="L107" s="15"/>
      <c r="M107" s="15">
        <v>62</v>
      </c>
      <c r="N107" s="15">
        <v>57</v>
      </c>
      <c r="O107" s="15">
        <v>303.75</v>
      </c>
      <c r="P107" s="15">
        <v>459.25</v>
      </c>
    </row>
    <row r="108" ht="14.25" spans="1:16">
      <c r="A108" s="13">
        <v>107</v>
      </c>
      <c r="B108" s="15">
        <v>2</v>
      </c>
      <c r="C108" s="16">
        <v>46</v>
      </c>
      <c r="D108" s="17" t="s">
        <v>227</v>
      </c>
      <c r="E108" s="17" t="s">
        <v>228</v>
      </c>
      <c r="F108" s="15">
        <v>98.25</v>
      </c>
      <c r="G108" s="15">
        <v>71.5</v>
      </c>
      <c r="H108" s="15">
        <v>122</v>
      </c>
      <c r="I108" s="15">
        <v>33.5</v>
      </c>
      <c r="J108" s="15"/>
      <c r="K108" s="15"/>
      <c r="L108" s="15"/>
      <c r="M108" s="15">
        <v>53</v>
      </c>
      <c r="N108" s="15">
        <v>40</v>
      </c>
      <c r="O108" s="15">
        <v>291.75</v>
      </c>
      <c r="P108" s="15">
        <v>418.25</v>
      </c>
    </row>
    <row r="109" ht="14.25" spans="1:16">
      <c r="A109" s="13">
        <v>108</v>
      </c>
      <c r="B109" s="15">
        <v>2</v>
      </c>
      <c r="C109" s="16">
        <v>47</v>
      </c>
      <c r="D109" s="17" t="s">
        <v>229</v>
      </c>
      <c r="E109" s="17" t="s">
        <v>230</v>
      </c>
      <c r="F109" s="15">
        <v>98.5</v>
      </c>
      <c r="G109" s="15">
        <v>63</v>
      </c>
      <c r="H109" s="15">
        <v>116.25</v>
      </c>
      <c r="I109" s="15">
        <v>35</v>
      </c>
      <c r="J109" s="15"/>
      <c r="K109" s="15"/>
      <c r="L109" s="15"/>
      <c r="M109" s="15">
        <v>55.5</v>
      </c>
      <c r="N109" s="15">
        <v>47.5</v>
      </c>
      <c r="O109" s="15">
        <v>277.75</v>
      </c>
      <c r="P109" s="15">
        <v>415.75</v>
      </c>
    </row>
    <row r="110" ht="14.25" spans="1:16">
      <c r="A110" s="13">
        <v>109</v>
      </c>
      <c r="B110" s="15">
        <v>2</v>
      </c>
      <c r="C110" s="16">
        <v>48</v>
      </c>
      <c r="D110" s="17" t="s">
        <v>231</v>
      </c>
      <c r="E110" s="17" t="s">
        <v>232</v>
      </c>
      <c r="F110" s="15">
        <v>103.5</v>
      </c>
      <c r="G110" s="15">
        <v>92.5</v>
      </c>
      <c r="H110" s="15">
        <v>77.5</v>
      </c>
      <c r="I110" s="15">
        <v>38</v>
      </c>
      <c r="J110" s="15"/>
      <c r="K110" s="15"/>
      <c r="L110" s="15"/>
      <c r="M110" s="15">
        <v>53.5</v>
      </c>
      <c r="N110" s="15">
        <v>43</v>
      </c>
      <c r="O110" s="15">
        <v>273.5</v>
      </c>
      <c r="P110" s="15">
        <v>408</v>
      </c>
    </row>
    <row r="111" ht="14.25" spans="1:16">
      <c r="A111" s="13">
        <v>110</v>
      </c>
      <c r="B111" s="15">
        <v>2</v>
      </c>
      <c r="C111" s="16">
        <v>49</v>
      </c>
      <c r="D111" s="17" t="s">
        <v>233</v>
      </c>
      <c r="E111" s="17" t="s">
        <v>234</v>
      </c>
      <c r="F111" s="15">
        <v>95.75</v>
      </c>
      <c r="G111" s="15">
        <v>116.5</v>
      </c>
      <c r="H111" s="15">
        <v>89.75</v>
      </c>
      <c r="I111" s="15">
        <v>45</v>
      </c>
      <c r="J111" s="15"/>
      <c r="K111" s="15"/>
      <c r="L111" s="15"/>
      <c r="M111" s="15">
        <v>60</v>
      </c>
      <c r="N111" s="15">
        <v>53</v>
      </c>
      <c r="O111" s="15">
        <v>302</v>
      </c>
      <c r="P111" s="15">
        <v>460</v>
      </c>
    </row>
    <row r="112" ht="14.25" spans="1:16">
      <c r="A112" s="13">
        <v>111</v>
      </c>
      <c r="B112" s="15">
        <v>2</v>
      </c>
      <c r="C112" s="16">
        <v>50</v>
      </c>
      <c r="D112" s="17" t="s">
        <v>235</v>
      </c>
      <c r="E112" s="17" t="s">
        <v>236</v>
      </c>
      <c r="F112" s="15">
        <v>99</v>
      </c>
      <c r="G112" s="15">
        <v>98</v>
      </c>
      <c r="H112" s="15">
        <v>86.25</v>
      </c>
      <c r="I112" s="15">
        <v>43</v>
      </c>
      <c r="J112" s="15"/>
      <c r="K112" s="15"/>
      <c r="L112" s="15"/>
      <c r="M112" s="15">
        <v>63</v>
      </c>
      <c r="N112" s="15">
        <v>39</v>
      </c>
      <c r="O112" s="15">
        <v>283.25</v>
      </c>
      <c r="P112" s="15">
        <v>428.25</v>
      </c>
    </row>
    <row r="113" ht="14.25" spans="1:16">
      <c r="A113" s="13">
        <v>112</v>
      </c>
      <c r="B113" s="15">
        <v>3</v>
      </c>
      <c r="C113" s="16">
        <v>1</v>
      </c>
      <c r="D113" s="17" t="s">
        <v>237</v>
      </c>
      <c r="E113" s="17" t="s">
        <v>238</v>
      </c>
      <c r="F113" s="15">
        <v>93</v>
      </c>
      <c r="G113" s="15">
        <v>103</v>
      </c>
      <c r="H113" s="15">
        <v>118.25</v>
      </c>
      <c r="I113" s="15">
        <v>50</v>
      </c>
      <c r="J113" s="15"/>
      <c r="K113" s="15">
        <v>21.5</v>
      </c>
      <c r="L113" s="15">
        <v>39.5</v>
      </c>
      <c r="M113" s="15"/>
      <c r="N113" s="15"/>
      <c r="O113" s="15">
        <v>314.25</v>
      </c>
      <c r="P113" s="15">
        <v>425.25</v>
      </c>
    </row>
    <row r="114" ht="14.25" spans="1:16">
      <c r="A114" s="13">
        <v>113</v>
      </c>
      <c r="B114" s="15">
        <v>3</v>
      </c>
      <c r="C114" s="16">
        <v>2</v>
      </c>
      <c r="D114" s="17" t="s">
        <v>239</v>
      </c>
      <c r="E114" s="17" t="s">
        <v>240</v>
      </c>
      <c r="F114" s="15">
        <v>75</v>
      </c>
      <c r="G114" s="15">
        <v>82</v>
      </c>
      <c r="H114" s="15">
        <v>73.25</v>
      </c>
      <c r="I114" s="15">
        <v>34.5</v>
      </c>
      <c r="J114" s="15"/>
      <c r="K114" s="15">
        <v>35.5</v>
      </c>
      <c r="L114" s="15">
        <v>37.5</v>
      </c>
      <c r="M114" s="15"/>
      <c r="N114" s="15"/>
      <c r="O114" s="15">
        <v>230.25</v>
      </c>
      <c r="P114" s="15">
        <v>337.75</v>
      </c>
    </row>
    <row r="115" ht="14.25" spans="1:16">
      <c r="A115" s="13">
        <v>114</v>
      </c>
      <c r="B115" s="15">
        <v>3</v>
      </c>
      <c r="C115" s="16">
        <v>3</v>
      </c>
      <c r="D115" s="17" t="s">
        <v>241</v>
      </c>
      <c r="E115" s="17" t="s">
        <v>242</v>
      </c>
      <c r="F115" s="15">
        <v>89.5</v>
      </c>
      <c r="G115" s="15">
        <v>89.5</v>
      </c>
      <c r="H115" s="15">
        <v>85.75</v>
      </c>
      <c r="I115" s="15">
        <v>48.5</v>
      </c>
      <c r="J115" s="15"/>
      <c r="K115" s="15">
        <v>32</v>
      </c>
      <c r="L115" s="15">
        <v>46</v>
      </c>
      <c r="M115" s="15"/>
      <c r="N115" s="15"/>
      <c r="O115" s="15">
        <v>264.75</v>
      </c>
      <c r="P115" s="15">
        <v>391.25</v>
      </c>
    </row>
    <row r="116" ht="14.25" spans="1:16">
      <c r="A116" s="13">
        <v>115</v>
      </c>
      <c r="B116" s="15">
        <v>3</v>
      </c>
      <c r="C116" s="16">
        <v>4</v>
      </c>
      <c r="D116" s="17" t="s">
        <v>243</v>
      </c>
      <c r="E116" s="17" t="s">
        <v>244</v>
      </c>
      <c r="F116" s="15">
        <v>90.5</v>
      </c>
      <c r="G116" s="15">
        <v>69.5</v>
      </c>
      <c r="H116" s="15">
        <v>92.5</v>
      </c>
      <c r="I116" s="15">
        <v>40</v>
      </c>
      <c r="J116" s="15"/>
      <c r="K116" s="15">
        <v>22</v>
      </c>
      <c r="L116" s="15">
        <v>42.5</v>
      </c>
      <c r="M116" s="15"/>
      <c r="N116" s="15"/>
      <c r="O116" s="15">
        <v>252.5</v>
      </c>
      <c r="P116" s="15">
        <v>357</v>
      </c>
    </row>
    <row r="117" ht="14.25" spans="1:16">
      <c r="A117" s="13">
        <v>116</v>
      </c>
      <c r="B117" s="15">
        <v>3</v>
      </c>
      <c r="C117" s="16">
        <v>5</v>
      </c>
      <c r="D117" s="17" t="s">
        <v>245</v>
      </c>
      <c r="E117" s="17" t="s">
        <v>246</v>
      </c>
      <c r="F117" s="15">
        <v>98.5</v>
      </c>
      <c r="G117" s="15">
        <v>79</v>
      </c>
      <c r="H117" s="15">
        <v>100.5</v>
      </c>
      <c r="I117" s="15">
        <v>50.5</v>
      </c>
      <c r="J117" s="15"/>
      <c r="K117" s="15">
        <v>56</v>
      </c>
      <c r="L117" s="15">
        <v>55</v>
      </c>
      <c r="M117" s="15"/>
      <c r="N117" s="15"/>
      <c r="O117" s="15">
        <v>278</v>
      </c>
      <c r="P117" s="15">
        <v>439.5</v>
      </c>
    </row>
    <row r="118" ht="14.25" spans="1:16">
      <c r="A118" s="13">
        <v>117</v>
      </c>
      <c r="B118" s="15">
        <v>3</v>
      </c>
      <c r="C118" s="16">
        <v>6</v>
      </c>
      <c r="D118" s="17" t="s">
        <v>247</v>
      </c>
      <c r="E118" s="17" t="s">
        <v>248</v>
      </c>
      <c r="F118" s="15">
        <v>99</v>
      </c>
      <c r="G118" s="15">
        <v>82.5</v>
      </c>
      <c r="H118" s="15">
        <v>100.75</v>
      </c>
      <c r="I118" s="15">
        <v>53</v>
      </c>
      <c r="J118" s="15"/>
      <c r="K118" s="15">
        <v>47</v>
      </c>
      <c r="L118" s="15">
        <v>53.5</v>
      </c>
      <c r="M118" s="15"/>
      <c r="N118" s="15"/>
      <c r="O118" s="15">
        <v>282.25</v>
      </c>
      <c r="P118" s="15">
        <v>435.75</v>
      </c>
    </row>
    <row r="119" ht="14.25" spans="1:16">
      <c r="A119" s="13">
        <v>118</v>
      </c>
      <c r="B119" s="15">
        <v>3</v>
      </c>
      <c r="C119" s="16">
        <v>7</v>
      </c>
      <c r="D119" s="17" t="s">
        <v>249</v>
      </c>
      <c r="E119" s="17" t="s">
        <v>250</v>
      </c>
      <c r="F119" s="15">
        <v>101</v>
      </c>
      <c r="G119" s="15">
        <v>102</v>
      </c>
      <c r="H119" s="15">
        <v>128.25</v>
      </c>
      <c r="I119" s="15">
        <v>44.5</v>
      </c>
      <c r="J119" s="15"/>
      <c r="K119" s="15">
        <v>43.5</v>
      </c>
      <c r="L119" s="15">
        <v>57</v>
      </c>
      <c r="M119" s="15"/>
      <c r="N119" s="15"/>
      <c r="O119" s="15">
        <v>331.25</v>
      </c>
      <c r="P119" s="15">
        <v>476.25</v>
      </c>
    </row>
    <row r="120" ht="14.25" spans="1:16">
      <c r="A120" s="13">
        <v>119</v>
      </c>
      <c r="B120" s="15">
        <v>3</v>
      </c>
      <c r="C120" s="16">
        <v>8</v>
      </c>
      <c r="D120" s="17" t="s">
        <v>251</v>
      </c>
      <c r="E120" s="17" t="s">
        <v>252</v>
      </c>
      <c r="F120" s="15">
        <v>92.25</v>
      </c>
      <c r="G120" s="15">
        <v>104.5</v>
      </c>
      <c r="H120" s="15">
        <v>69.25</v>
      </c>
      <c r="I120" s="15">
        <v>48.5</v>
      </c>
      <c r="J120" s="15"/>
      <c r="K120" s="15">
        <v>30</v>
      </c>
      <c r="L120" s="15">
        <v>52</v>
      </c>
      <c r="M120" s="15"/>
      <c r="N120" s="15"/>
      <c r="O120" s="15">
        <v>266</v>
      </c>
      <c r="P120" s="15">
        <v>396.5</v>
      </c>
    </row>
    <row r="121" ht="14.25" spans="1:16">
      <c r="A121" s="13">
        <v>120</v>
      </c>
      <c r="B121" s="15">
        <v>3</v>
      </c>
      <c r="C121" s="16">
        <v>9</v>
      </c>
      <c r="D121" s="17" t="s">
        <v>253</v>
      </c>
      <c r="E121" s="17" t="s">
        <v>254</v>
      </c>
      <c r="F121" s="15">
        <v>98</v>
      </c>
      <c r="G121" s="15">
        <v>95</v>
      </c>
      <c r="H121" s="15">
        <v>82</v>
      </c>
      <c r="I121" s="15">
        <v>51.5</v>
      </c>
      <c r="J121" s="15"/>
      <c r="K121" s="15">
        <v>24</v>
      </c>
      <c r="L121" s="15">
        <v>33</v>
      </c>
      <c r="M121" s="15"/>
      <c r="N121" s="15"/>
      <c r="O121" s="15">
        <v>275</v>
      </c>
      <c r="P121" s="15">
        <v>383.5</v>
      </c>
    </row>
    <row r="122" ht="14.25" spans="1:16">
      <c r="A122" s="13">
        <v>121</v>
      </c>
      <c r="B122" s="15">
        <v>3</v>
      </c>
      <c r="C122" s="16">
        <v>10</v>
      </c>
      <c r="D122" s="17" t="s">
        <v>255</v>
      </c>
      <c r="E122" s="17" t="s">
        <v>256</v>
      </c>
      <c r="F122" s="15">
        <v>107</v>
      </c>
      <c r="G122" s="15">
        <v>109.5</v>
      </c>
      <c r="H122" s="15">
        <v>98.5</v>
      </c>
      <c r="I122" s="15">
        <v>47</v>
      </c>
      <c r="J122" s="15"/>
      <c r="K122" s="15">
        <v>40</v>
      </c>
      <c r="L122" s="15">
        <v>48.5</v>
      </c>
      <c r="M122" s="15"/>
      <c r="N122" s="15"/>
      <c r="O122" s="15">
        <v>315</v>
      </c>
      <c r="P122" s="15">
        <v>450.5</v>
      </c>
    </row>
    <row r="123" ht="14.25" spans="1:16">
      <c r="A123" s="13">
        <v>122</v>
      </c>
      <c r="B123" s="15">
        <v>3</v>
      </c>
      <c r="C123" s="16">
        <v>11</v>
      </c>
      <c r="D123" s="17" t="s">
        <v>257</v>
      </c>
      <c r="E123" s="17" t="s">
        <v>258</v>
      </c>
      <c r="F123" s="15">
        <v>91.25</v>
      </c>
      <c r="G123" s="15">
        <v>83.5</v>
      </c>
      <c r="H123" s="15">
        <v>77.75</v>
      </c>
      <c r="I123" s="15">
        <v>41.5</v>
      </c>
      <c r="J123" s="15"/>
      <c r="K123" s="15">
        <v>50</v>
      </c>
      <c r="L123" s="15">
        <v>36.5</v>
      </c>
      <c r="M123" s="15"/>
      <c r="N123" s="15"/>
      <c r="O123" s="15">
        <v>252.5</v>
      </c>
      <c r="P123" s="15">
        <v>380.5</v>
      </c>
    </row>
    <row r="124" ht="14.25" spans="1:16">
      <c r="A124" s="13">
        <v>123</v>
      </c>
      <c r="B124" s="15">
        <v>3</v>
      </c>
      <c r="C124" s="16">
        <v>12</v>
      </c>
      <c r="D124" s="17" t="s">
        <v>259</v>
      </c>
      <c r="E124" s="17" t="s">
        <v>260</v>
      </c>
      <c r="F124" s="15">
        <v>93.5</v>
      </c>
      <c r="G124" s="15">
        <v>90</v>
      </c>
      <c r="H124" s="15">
        <v>102</v>
      </c>
      <c r="I124" s="15">
        <v>38</v>
      </c>
      <c r="J124" s="15"/>
      <c r="K124" s="15">
        <v>33.5</v>
      </c>
      <c r="L124" s="15">
        <v>40</v>
      </c>
      <c r="M124" s="15"/>
      <c r="N124" s="15"/>
      <c r="O124" s="15">
        <v>285.5</v>
      </c>
      <c r="P124" s="15">
        <v>397</v>
      </c>
    </row>
    <row r="125" ht="14.25" spans="1:16">
      <c r="A125" s="13">
        <v>124</v>
      </c>
      <c r="B125" s="15">
        <v>3</v>
      </c>
      <c r="C125" s="16">
        <v>13</v>
      </c>
      <c r="D125" s="17" t="s">
        <v>261</v>
      </c>
      <c r="E125" s="17" t="s">
        <v>262</v>
      </c>
      <c r="F125" s="15">
        <v>92.75</v>
      </c>
      <c r="G125" s="15">
        <v>76</v>
      </c>
      <c r="H125" s="15">
        <v>113.25</v>
      </c>
      <c r="I125" s="15">
        <v>48</v>
      </c>
      <c r="J125" s="15"/>
      <c r="K125" s="15">
        <v>41</v>
      </c>
      <c r="L125" s="15">
        <v>34.5</v>
      </c>
      <c r="M125" s="15"/>
      <c r="N125" s="15"/>
      <c r="O125" s="15">
        <v>282</v>
      </c>
      <c r="P125" s="15">
        <v>405.5</v>
      </c>
    </row>
    <row r="126" ht="14.25" spans="1:16">
      <c r="A126" s="13">
        <v>125</v>
      </c>
      <c r="B126" s="15">
        <v>3</v>
      </c>
      <c r="C126" s="16">
        <v>14</v>
      </c>
      <c r="D126" s="17" t="s">
        <v>263</v>
      </c>
      <c r="E126" s="17" t="s">
        <v>264</v>
      </c>
      <c r="F126" s="15">
        <v>100</v>
      </c>
      <c r="G126" s="15">
        <v>97.5</v>
      </c>
      <c r="H126" s="15">
        <v>85.75</v>
      </c>
      <c r="I126" s="15">
        <v>47.5</v>
      </c>
      <c r="J126" s="15"/>
      <c r="K126" s="15">
        <v>45</v>
      </c>
      <c r="L126" s="15">
        <v>47</v>
      </c>
      <c r="M126" s="15"/>
      <c r="N126" s="15"/>
      <c r="O126" s="15">
        <v>283.25</v>
      </c>
      <c r="P126" s="15">
        <v>422.75</v>
      </c>
    </row>
    <row r="127" ht="14.25" spans="1:16">
      <c r="A127" s="13">
        <v>126</v>
      </c>
      <c r="B127" s="15">
        <v>3</v>
      </c>
      <c r="C127" s="16">
        <v>15</v>
      </c>
      <c r="D127" s="17" t="s">
        <v>265</v>
      </c>
      <c r="E127" s="17" t="s">
        <v>266</v>
      </c>
      <c r="F127" s="15">
        <v>91.5</v>
      </c>
      <c r="G127" s="15">
        <v>124</v>
      </c>
      <c r="H127" s="15">
        <v>114.5</v>
      </c>
      <c r="I127" s="15">
        <v>70.5</v>
      </c>
      <c r="J127" s="15"/>
      <c r="K127" s="15">
        <v>20.5</v>
      </c>
      <c r="L127" s="15">
        <v>53</v>
      </c>
      <c r="M127" s="15"/>
      <c r="N127" s="15"/>
      <c r="O127" s="15">
        <v>330</v>
      </c>
      <c r="P127" s="15">
        <v>474</v>
      </c>
    </row>
    <row r="128" ht="14.25" spans="1:16">
      <c r="A128" s="13">
        <v>127</v>
      </c>
      <c r="B128" s="15">
        <v>3</v>
      </c>
      <c r="C128" s="16">
        <v>16</v>
      </c>
      <c r="D128" s="17" t="s">
        <v>267</v>
      </c>
      <c r="E128" s="17" t="s">
        <v>268</v>
      </c>
      <c r="F128" s="15">
        <v>100.5</v>
      </c>
      <c r="G128" s="15">
        <v>96.5</v>
      </c>
      <c r="H128" s="15">
        <v>84.5</v>
      </c>
      <c r="I128" s="15">
        <v>43</v>
      </c>
      <c r="J128" s="15"/>
      <c r="K128" s="15">
        <v>63.5</v>
      </c>
      <c r="L128" s="15">
        <v>62.5</v>
      </c>
      <c r="M128" s="15"/>
      <c r="N128" s="15"/>
      <c r="O128" s="15">
        <v>281.5</v>
      </c>
      <c r="P128" s="15">
        <v>450.5</v>
      </c>
    </row>
    <row r="129" ht="14.25" spans="1:16">
      <c r="A129" s="13">
        <v>128</v>
      </c>
      <c r="B129" s="15">
        <v>3</v>
      </c>
      <c r="C129" s="16">
        <v>17</v>
      </c>
      <c r="D129" s="17" t="s">
        <v>269</v>
      </c>
      <c r="E129" s="17" t="s">
        <v>270</v>
      </c>
      <c r="F129" s="15">
        <v>103.5</v>
      </c>
      <c r="G129" s="15">
        <v>105</v>
      </c>
      <c r="H129" s="15">
        <v>112</v>
      </c>
      <c r="I129" s="15">
        <v>67</v>
      </c>
      <c r="J129" s="15"/>
      <c r="K129" s="15">
        <v>45</v>
      </c>
      <c r="L129" s="15">
        <v>62.5</v>
      </c>
      <c r="M129" s="15"/>
      <c r="N129" s="15"/>
      <c r="O129" s="15">
        <v>320.5</v>
      </c>
      <c r="P129" s="15">
        <v>495</v>
      </c>
    </row>
    <row r="130" ht="14.25" spans="1:16">
      <c r="A130" s="13">
        <v>129</v>
      </c>
      <c r="B130" s="15">
        <v>3</v>
      </c>
      <c r="C130" s="16">
        <v>18</v>
      </c>
      <c r="D130" s="17" t="s">
        <v>271</v>
      </c>
      <c r="E130" s="17" t="s">
        <v>272</v>
      </c>
      <c r="F130" s="15">
        <v>98</v>
      </c>
      <c r="G130" s="15">
        <v>99</v>
      </c>
      <c r="H130" s="15">
        <v>84</v>
      </c>
      <c r="I130" s="15">
        <v>60.5</v>
      </c>
      <c r="J130" s="15"/>
      <c r="K130" s="15">
        <v>43</v>
      </c>
      <c r="L130" s="15">
        <v>55.5</v>
      </c>
      <c r="M130" s="15"/>
      <c r="N130" s="15"/>
      <c r="O130" s="15">
        <v>281</v>
      </c>
      <c r="P130" s="15">
        <v>440</v>
      </c>
    </row>
    <row r="131" ht="14.25" spans="1:16">
      <c r="A131" s="13">
        <v>130</v>
      </c>
      <c r="B131" s="15">
        <v>3</v>
      </c>
      <c r="C131" s="16">
        <v>19</v>
      </c>
      <c r="D131" s="17" t="s">
        <v>273</v>
      </c>
      <c r="E131" s="17" t="s">
        <v>274</v>
      </c>
      <c r="F131" s="15">
        <v>87.5</v>
      </c>
      <c r="G131" s="15">
        <v>123.5</v>
      </c>
      <c r="H131" s="15">
        <v>84.25</v>
      </c>
      <c r="I131" s="15">
        <v>48.5</v>
      </c>
      <c r="J131" s="15"/>
      <c r="K131" s="15">
        <v>33.5</v>
      </c>
      <c r="L131" s="15">
        <v>47.5</v>
      </c>
      <c r="M131" s="15"/>
      <c r="N131" s="15"/>
      <c r="O131" s="15">
        <v>295.25</v>
      </c>
      <c r="P131" s="15">
        <v>424.75</v>
      </c>
    </row>
    <row r="132" ht="14.25" spans="1:16">
      <c r="A132" s="13">
        <v>131</v>
      </c>
      <c r="B132" s="15">
        <v>3</v>
      </c>
      <c r="C132" s="16">
        <v>20</v>
      </c>
      <c r="D132" s="17" t="s">
        <v>275</v>
      </c>
      <c r="E132" s="17" t="s">
        <v>276</v>
      </c>
      <c r="F132" s="15">
        <v>78.75</v>
      </c>
      <c r="G132" s="15">
        <v>95.5</v>
      </c>
      <c r="H132" s="15">
        <v>73.5</v>
      </c>
      <c r="I132" s="15">
        <v>41</v>
      </c>
      <c r="J132" s="15"/>
      <c r="K132" s="15">
        <v>32</v>
      </c>
      <c r="L132" s="15">
        <v>55</v>
      </c>
      <c r="M132" s="15"/>
      <c r="N132" s="15"/>
      <c r="O132" s="15">
        <v>247.75</v>
      </c>
      <c r="P132" s="15">
        <v>375.75</v>
      </c>
    </row>
    <row r="133" ht="14.25" spans="1:16">
      <c r="A133" s="13">
        <v>132</v>
      </c>
      <c r="B133" s="15">
        <v>3</v>
      </c>
      <c r="C133" s="16">
        <v>21</v>
      </c>
      <c r="D133" s="17" t="s">
        <v>277</v>
      </c>
      <c r="E133" s="17" t="s">
        <v>278</v>
      </c>
      <c r="F133" s="15">
        <v>94.5</v>
      </c>
      <c r="G133" s="15">
        <v>103.5</v>
      </c>
      <c r="H133" s="15">
        <v>104</v>
      </c>
      <c r="I133" s="15">
        <v>47.5</v>
      </c>
      <c r="J133" s="15"/>
      <c r="K133" s="15">
        <v>44.5</v>
      </c>
      <c r="L133" s="15">
        <v>45</v>
      </c>
      <c r="M133" s="15"/>
      <c r="N133" s="15"/>
      <c r="O133" s="15">
        <v>302</v>
      </c>
      <c r="P133" s="15">
        <v>439</v>
      </c>
    </row>
    <row r="134" ht="14.25" spans="1:16">
      <c r="A134" s="13">
        <v>133</v>
      </c>
      <c r="B134" s="15">
        <v>3</v>
      </c>
      <c r="C134" s="16">
        <v>22</v>
      </c>
      <c r="D134" s="17" t="s">
        <v>279</v>
      </c>
      <c r="E134" s="17" t="s">
        <v>280</v>
      </c>
      <c r="F134" s="15">
        <v>94</v>
      </c>
      <c r="G134" s="15">
        <v>80</v>
      </c>
      <c r="H134" s="15">
        <v>96.5</v>
      </c>
      <c r="I134" s="15">
        <v>35</v>
      </c>
      <c r="J134" s="15"/>
      <c r="K134" s="15">
        <v>33.5</v>
      </c>
      <c r="L134" s="15">
        <v>51.5</v>
      </c>
      <c r="M134" s="15"/>
      <c r="N134" s="15"/>
      <c r="O134" s="15">
        <v>270.5</v>
      </c>
      <c r="P134" s="15">
        <v>390.5</v>
      </c>
    </row>
    <row r="135" ht="14.25" spans="1:16">
      <c r="A135" s="13">
        <v>134</v>
      </c>
      <c r="B135" s="15">
        <v>3</v>
      </c>
      <c r="C135" s="16">
        <v>23</v>
      </c>
      <c r="D135" s="17" t="s">
        <v>281</v>
      </c>
      <c r="E135" s="17" t="s">
        <v>282</v>
      </c>
      <c r="F135" s="15">
        <v>93.25</v>
      </c>
      <c r="G135" s="15">
        <v>112.5</v>
      </c>
      <c r="H135" s="15">
        <v>105</v>
      </c>
      <c r="I135" s="15">
        <v>67</v>
      </c>
      <c r="J135" s="15"/>
      <c r="K135" s="15">
        <v>29.5</v>
      </c>
      <c r="L135" s="15">
        <v>49.5</v>
      </c>
      <c r="M135" s="15"/>
      <c r="N135" s="15"/>
      <c r="O135" s="15">
        <v>310.75</v>
      </c>
      <c r="P135" s="15">
        <v>456.75</v>
      </c>
    </row>
    <row r="136" ht="14.25" spans="1:16">
      <c r="A136" s="13">
        <v>135</v>
      </c>
      <c r="B136" s="15">
        <v>3</v>
      </c>
      <c r="C136" s="16">
        <v>24</v>
      </c>
      <c r="D136" s="17" t="s">
        <v>283</v>
      </c>
      <c r="E136" s="17" t="s">
        <v>284</v>
      </c>
      <c r="F136" s="15">
        <v>95</v>
      </c>
      <c r="G136" s="15">
        <v>119.5</v>
      </c>
      <c r="H136" s="15">
        <v>105.5</v>
      </c>
      <c r="I136" s="15">
        <v>58.5</v>
      </c>
      <c r="J136" s="15"/>
      <c r="K136" s="15">
        <v>44.5</v>
      </c>
      <c r="L136" s="15">
        <v>52.25</v>
      </c>
      <c r="M136" s="15"/>
      <c r="N136" s="15"/>
      <c r="O136" s="15">
        <v>320</v>
      </c>
      <c r="P136" s="15">
        <v>475.25</v>
      </c>
    </row>
    <row r="137" ht="14.25" spans="1:16">
      <c r="A137" s="13">
        <v>136</v>
      </c>
      <c r="B137" s="15">
        <v>3</v>
      </c>
      <c r="C137" s="16">
        <v>25</v>
      </c>
      <c r="D137" s="17" t="s">
        <v>285</v>
      </c>
      <c r="E137" s="17" t="s">
        <v>286</v>
      </c>
      <c r="F137" s="15">
        <v>97.5</v>
      </c>
      <c r="G137" s="15">
        <v>92.5</v>
      </c>
      <c r="H137" s="15">
        <v>95</v>
      </c>
      <c r="I137" s="15">
        <v>35.5</v>
      </c>
      <c r="J137" s="15"/>
      <c r="K137" s="15">
        <v>32.5</v>
      </c>
      <c r="L137" s="15">
        <v>53.5</v>
      </c>
      <c r="M137" s="15"/>
      <c r="N137" s="15"/>
      <c r="O137" s="15">
        <v>285</v>
      </c>
      <c r="P137" s="15">
        <v>406.5</v>
      </c>
    </row>
    <row r="138" ht="14.25" spans="1:16">
      <c r="A138" s="13">
        <v>137</v>
      </c>
      <c r="B138" s="15">
        <v>3</v>
      </c>
      <c r="C138" s="16">
        <v>26</v>
      </c>
      <c r="D138" s="17" t="s">
        <v>287</v>
      </c>
      <c r="E138" s="17" t="s">
        <v>288</v>
      </c>
      <c r="F138" s="15">
        <v>94</v>
      </c>
      <c r="G138" s="15">
        <v>140</v>
      </c>
      <c r="H138" s="15">
        <v>109</v>
      </c>
      <c r="I138" s="15">
        <v>74</v>
      </c>
      <c r="J138" s="15"/>
      <c r="K138" s="15">
        <v>52.5</v>
      </c>
      <c r="L138" s="15">
        <v>47.5</v>
      </c>
      <c r="M138" s="15"/>
      <c r="N138" s="15"/>
      <c r="O138" s="15">
        <v>343</v>
      </c>
      <c r="P138" s="15">
        <v>517</v>
      </c>
    </row>
    <row r="139" ht="14.25" spans="1:16">
      <c r="A139" s="13">
        <v>138</v>
      </c>
      <c r="B139" s="15">
        <v>3</v>
      </c>
      <c r="C139" s="16">
        <v>27</v>
      </c>
      <c r="D139" s="17" t="s">
        <v>289</v>
      </c>
      <c r="E139" s="17" t="s">
        <v>290</v>
      </c>
      <c r="F139" s="15">
        <v>96.75</v>
      </c>
      <c r="G139" s="15">
        <v>114.5</v>
      </c>
      <c r="H139" s="15">
        <v>97</v>
      </c>
      <c r="I139" s="15">
        <v>59</v>
      </c>
      <c r="J139" s="15"/>
      <c r="K139" s="15">
        <v>31.5</v>
      </c>
      <c r="L139" s="15">
        <v>48</v>
      </c>
      <c r="M139" s="15"/>
      <c r="N139" s="15"/>
      <c r="O139" s="15">
        <v>308.25</v>
      </c>
      <c r="P139" s="15">
        <v>446.75</v>
      </c>
    </row>
    <row r="140" ht="14.25" spans="1:16">
      <c r="A140" s="13">
        <v>139</v>
      </c>
      <c r="B140" s="15">
        <v>3</v>
      </c>
      <c r="C140" s="16">
        <v>28</v>
      </c>
      <c r="D140" s="17" t="s">
        <v>291</v>
      </c>
      <c r="E140" s="17" t="s">
        <v>292</v>
      </c>
      <c r="F140" s="15">
        <v>95.5</v>
      </c>
      <c r="G140" s="15">
        <v>107.5</v>
      </c>
      <c r="H140" s="15">
        <v>101.5</v>
      </c>
      <c r="I140" s="15">
        <v>66</v>
      </c>
      <c r="J140" s="15"/>
      <c r="K140" s="15">
        <v>48.5</v>
      </c>
      <c r="L140" s="15">
        <v>48.5</v>
      </c>
      <c r="M140" s="15"/>
      <c r="N140" s="15"/>
      <c r="O140" s="15">
        <v>304.5</v>
      </c>
      <c r="P140" s="15">
        <v>467.5</v>
      </c>
    </row>
    <row r="141" ht="14.25" spans="1:16">
      <c r="A141" s="13">
        <v>140</v>
      </c>
      <c r="B141" s="15">
        <v>3</v>
      </c>
      <c r="C141" s="16">
        <v>29</v>
      </c>
      <c r="D141" s="17" t="s">
        <v>293</v>
      </c>
      <c r="E141" s="17" t="s">
        <v>294</v>
      </c>
      <c r="F141" s="15">
        <v>100</v>
      </c>
      <c r="G141" s="15">
        <v>117</v>
      </c>
      <c r="H141" s="15">
        <v>70.75</v>
      </c>
      <c r="I141" s="15">
        <v>64</v>
      </c>
      <c r="J141" s="15"/>
      <c r="K141" s="15">
        <v>52</v>
      </c>
      <c r="L141" s="15">
        <v>57.5</v>
      </c>
      <c r="M141" s="15"/>
      <c r="N141" s="15"/>
      <c r="O141" s="15">
        <v>287.75</v>
      </c>
      <c r="P141" s="15">
        <v>461.25</v>
      </c>
    </row>
    <row r="142" ht="14.25" spans="1:16">
      <c r="A142" s="13">
        <v>141</v>
      </c>
      <c r="B142" s="15">
        <v>3</v>
      </c>
      <c r="C142" s="16">
        <v>30</v>
      </c>
      <c r="D142" s="17" t="s">
        <v>295</v>
      </c>
      <c r="E142" s="17" t="s">
        <v>296</v>
      </c>
      <c r="F142" s="15">
        <v>98.5</v>
      </c>
      <c r="G142" s="15">
        <v>82.5</v>
      </c>
      <c r="H142" s="15">
        <v>114</v>
      </c>
      <c r="I142" s="15">
        <v>37.5</v>
      </c>
      <c r="J142" s="15"/>
      <c r="K142" s="15">
        <v>40</v>
      </c>
      <c r="L142" s="15">
        <v>56.5</v>
      </c>
      <c r="M142" s="15"/>
      <c r="N142" s="15"/>
      <c r="O142" s="15">
        <v>295</v>
      </c>
      <c r="P142" s="15">
        <v>429</v>
      </c>
    </row>
    <row r="143" ht="14.25" spans="1:16">
      <c r="A143" s="13">
        <v>142</v>
      </c>
      <c r="B143" s="15">
        <v>3</v>
      </c>
      <c r="C143" s="16">
        <v>31</v>
      </c>
      <c r="D143" s="17" t="s">
        <v>297</v>
      </c>
      <c r="E143" s="17" t="s">
        <v>298</v>
      </c>
      <c r="F143" s="15">
        <v>102.5</v>
      </c>
      <c r="G143" s="15">
        <v>118.5</v>
      </c>
      <c r="H143" s="15">
        <v>113</v>
      </c>
      <c r="I143" s="15">
        <v>82.5</v>
      </c>
      <c r="J143" s="15"/>
      <c r="K143" s="15">
        <v>51.5</v>
      </c>
      <c r="L143" s="15">
        <v>43.5</v>
      </c>
      <c r="M143" s="15"/>
      <c r="N143" s="15"/>
      <c r="O143" s="15">
        <v>334</v>
      </c>
      <c r="P143" s="15">
        <v>511.5</v>
      </c>
    </row>
    <row r="144" ht="14.25" spans="1:16">
      <c r="A144" s="13">
        <v>143</v>
      </c>
      <c r="B144" s="15">
        <v>3</v>
      </c>
      <c r="C144" s="16">
        <v>32</v>
      </c>
      <c r="D144" s="17" t="s">
        <v>299</v>
      </c>
      <c r="E144" s="17" t="s">
        <v>300</v>
      </c>
      <c r="F144" s="15">
        <v>100.5</v>
      </c>
      <c r="G144" s="15">
        <v>86.5</v>
      </c>
      <c r="H144" s="15">
        <v>84</v>
      </c>
      <c r="I144" s="15">
        <v>65.5</v>
      </c>
      <c r="J144" s="15"/>
      <c r="K144" s="15">
        <v>40.5</v>
      </c>
      <c r="L144" s="15">
        <v>47.5</v>
      </c>
      <c r="M144" s="15"/>
      <c r="N144" s="15"/>
      <c r="O144" s="15">
        <v>271</v>
      </c>
      <c r="P144" s="15">
        <v>424.5</v>
      </c>
    </row>
    <row r="145" ht="14.25" spans="1:16">
      <c r="A145" s="13">
        <v>144</v>
      </c>
      <c r="B145" s="15">
        <v>3</v>
      </c>
      <c r="C145" s="16">
        <v>33</v>
      </c>
      <c r="D145" s="17" t="s">
        <v>301</v>
      </c>
      <c r="E145" s="17" t="s">
        <v>302</v>
      </c>
      <c r="F145" s="15">
        <v>110</v>
      </c>
      <c r="G145" s="15">
        <v>104.5</v>
      </c>
      <c r="H145" s="15">
        <v>103</v>
      </c>
      <c r="I145" s="15">
        <v>63.5</v>
      </c>
      <c r="J145" s="15"/>
      <c r="K145" s="15">
        <v>44</v>
      </c>
      <c r="L145" s="15">
        <v>58</v>
      </c>
      <c r="M145" s="15"/>
      <c r="N145" s="15"/>
      <c r="O145" s="15">
        <v>317.5</v>
      </c>
      <c r="P145" s="15">
        <v>483</v>
      </c>
    </row>
    <row r="146" s="176" customFormat="1" ht="14.25" spans="1:16">
      <c r="A146" s="13">
        <v>145</v>
      </c>
      <c r="B146" s="15">
        <v>3</v>
      </c>
      <c r="C146" s="16">
        <v>34</v>
      </c>
      <c r="D146" s="17" t="s">
        <v>303</v>
      </c>
      <c r="E146" s="17" t="s">
        <v>304</v>
      </c>
      <c r="F146" s="15">
        <v>96</v>
      </c>
      <c r="G146" s="15">
        <v>82</v>
      </c>
      <c r="H146" s="15">
        <v>97.25</v>
      </c>
      <c r="I146" s="15">
        <v>39</v>
      </c>
      <c r="J146" s="15"/>
      <c r="K146" s="15">
        <v>34</v>
      </c>
      <c r="L146" s="15">
        <v>48.5</v>
      </c>
      <c r="M146" s="15"/>
      <c r="N146" s="15"/>
      <c r="O146" s="15">
        <v>275.25</v>
      </c>
      <c r="P146" s="15">
        <v>396.75</v>
      </c>
    </row>
    <row r="147" s="176" customFormat="1" ht="14.25" spans="1:16">
      <c r="A147" s="13">
        <v>146</v>
      </c>
      <c r="B147" s="15">
        <v>3</v>
      </c>
      <c r="C147" s="16">
        <v>35</v>
      </c>
      <c r="D147" s="17" t="s">
        <v>305</v>
      </c>
      <c r="E147" s="17" t="s">
        <v>306</v>
      </c>
      <c r="F147" s="15">
        <v>84.25</v>
      </c>
      <c r="G147" s="15">
        <v>101</v>
      </c>
      <c r="H147" s="15">
        <v>93</v>
      </c>
      <c r="I147" s="15">
        <v>43.5</v>
      </c>
      <c r="J147" s="15"/>
      <c r="K147" s="15">
        <v>37.5</v>
      </c>
      <c r="L147" s="15">
        <v>43</v>
      </c>
      <c r="M147" s="15"/>
      <c r="N147" s="15"/>
      <c r="O147" s="15">
        <v>278.25</v>
      </c>
      <c r="P147" s="15">
        <v>402.25</v>
      </c>
    </row>
    <row r="148" s="176" customFormat="1" ht="14.25" spans="1:16">
      <c r="A148" s="13">
        <v>147</v>
      </c>
      <c r="B148" s="15">
        <v>3</v>
      </c>
      <c r="C148" s="16">
        <v>36</v>
      </c>
      <c r="D148" s="17" t="s">
        <v>307</v>
      </c>
      <c r="E148" s="17" t="s">
        <v>308</v>
      </c>
      <c r="F148" s="15">
        <v>100</v>
      </c>
      <c r="G148" s="15">
        <v>107</v>
      </c>
      <c r="H148" s="15">
        <v>75.5</v>
      </c>
      <c r="I148" s="15">
        <v>42.5</v>
      </c>
      <c r="J148" s="15"/>
      <c r="K148" s="15">
        <v>42.5</v>
      </c>
      <c r="L148" s="15">
        <v>56</v>
      </c>
      <c r="M148" s="15"/>
      <c r="N148" s="15"/>
      <c r="O148" s="15">
        <v>282.5</v>
      </c>
      <c r="P148" s="15">
        <v>423.5</v>
      </c>
    </row>
    <row r="149" ht="14.25" spans="1:16">
      <c r="A149" s="13">
        <v>148</v>
      </c>
      <c r="B149" s="15">
        <v>3</v>
      </c>
      <c r="C149" s="16">
        <v>37</v>
      </c>
      <c r="D149" s="17" t="s">
        <v>309</v>
      </c>
      <c r="E149" s="17" t="s">
        <v>310</v>
      </c>
      <c r="F149" s="15">
        <v>85.75</v>
      </c>
      <c r="G149" s="15">
        <v>75.5</v>
      </c>
      <c r="H149" s="15">
        <v>83</v>
      </c>
      <c r="I149" s="15">
        <v>49.5</v>
      </c>
      <c r="J149" s="15"/>
      <c r="K149" s="15">
        <v>33.5</v>
      </c>
      <c r="L149" s="15">
        <v>64</v>
      </c>
      <c r="M149" s="15"/>
      <c r="N149" s="15"/>
      <c r="O149" s="15">
        <v>244.25</v>
      </c>
      <c r="P149" s="15">
        <v>391.25</v>
      </c>
    </row>
    <row r="150" ht="14.25" spans="1:16">
      <c r="A150" s="13">
        <v>149</v>
      </c>
      <c r="B150" s="15">
        <v>3</v>
      </c>
      <c r="C150" s="16">
        <v>38</v>
      </c>
      <c r="D150" s="17" t="s">
        <v>311</v>
      </c>
      <c r="E150" s="17" t="s">
        <v>312</v>
      </c>
      <c r="F150" s="15">
        <v>96.5</v>
      </c>
      <c r="G150" s="15">
        <v>113.5</v>
      </c>
      <c r="H150" s="15">
        <v>110.5</v>
      </c>
      <c r="I150" s="15">
        <v>46</v>
      </c>
      <c r="J150" s="15"/>
      <c r="K150" s="15">
        <v>47</v>
      </c>
      <c r="L150" s="15">
        <v>49</v>
      </c>
      <c r="M150" s="15"/>
      <c r="N150" s="15"/>
      <c r="O150" s="15">
        <v>320.5</v>
      </c>
      <c r="P150" s="15">
        <v>462.5</v>
      </c>
    </row>
    <row r="151" ht="14.25" spans="1:16">
      <c r="A151" s="13">
        <v>150</v>
      </c>
      <c r="B151" s="15">
        <v>3</v>
      </c>
      <c r="C151" s="16">
        <v>39</v>
      </c>
      <c r="D151" s="17" t="s">
        <v>313</v>
      </c>
      <c r="E151" s="17" t="s">
        <v>314</v>
      </c>
      <c r="F151" s="15">
        <v>93.5</v>
      </c>
      <c r="G151" s="15">
        <v>71</v>
      </c>
      <c r="H151" s="15">
        <v>89.5</v>
      </c>
      <c r="I151" s="15">
        <v>29</v>
      </c>
      <c r="J151" s="15"/>
      <c r="K151" s="15">
        <v>36</v>
      </c>
      <c r="L151" s="15">
        <v>59.5</v>
      </c>
      <c r="M151" s="15"/>
      <c r="N151" s="15"/>
      <c r="O151" s="15">
        <v>254</v>
      </c>
      <c r="P151" s="15">
        <v>378.5</v>
      </c>
    </row>
    <row r="152" ht="14.25" spans="1:16">
      <c r="A152" s="13">
        <v>151</v>
      </c>
      <c r="B152" s="15">
        <v>3</v>
      </c>
      <c r="C152" s="16">
        <v>40</v>
      </c>
      <c r="D152" s="17" t="s">
        <v>315</v>
      </c>
      <c r="E152" s="17" t="s">
        <v>316</v>
      </c>
      <c r="F152" s="15">
        <v>92.75</v>
      </c>
      <c r="G152" s="15">
        <v>96.5</v>
      </c>
      <c r="H152" s="15">
        <v>98.5</v>
      </c>
      <c r="I152" s="15">
        <v>46.5</v>
      </c>
      <c r="J152" s="15"/>
      <c r="K152" s="15">
        <v>31.5</v>
      </c>
      <c r="L152" s="15">
        <v>36.5</v>
      </c>
      <c r="M152" s="15"/>
      <c r="N152" s="15"/>
      <c r="O152" s="15">
        <v>287.75</v>
      </c>
      <c r="P152" s="15">
        <v>402.25</v>
      </c>
    </row>
    <row r="153" ht="14.25" spans="1:16">
      <c r="A153" s="13">
        <v>152</v>
      </c>
      <c r="B153" s="15">
        <v>3</v>
      </c>
      <c r="C153" s="16">
        <v>41</v>
      </c>
      <c r="D153" s="17" t="s">
        <v>317</v>
      </c>
      <c r="E153" s="17" t="s">
        <v>318</v>
      </c>
      <c r="F153" s="15">
        <v>94.5</v>
      </c>
      <c r="G153" s="15">
        <v>94</v>
      </c>
      <c r="H153" s="15">
        <v>105</v>
      </c>
      <c r="I153" s="15">
        <v>49</v>
      </c>
      <c r="J153" s="15"/>
      <c r="K153" s="15">
        <v>43</v>
      </c>
      <c r="L153" s="15">
        <v>52</v>
      </c>
      <c r="M153" s="15"/>
      <c r="N153" s="15"/>
      <c r="O153" s="15">
        <v>293.5</v>
      </c>
      <c r="P153" s="15">
        <v>437.5</v>
      </c>
    </row>
    <row r="154" ht="14.25" spans="1:16">
      <c r="A154" s="13">
        <v>153</v>
      </c>
      <c r="B154" s="15">
        <v>3</v>
      </c>
      <c r="C154" s="16">
        <v>42</v>
      </c>
      <c r="D154" s="17" t="s">
        <v>319</v>
      </c>
      <c r="E154" s="17" t="s">
        <v>320</v>
      </c>
      <c r="F154" s="15">
        <v>91.25</v>
      </c>
      <c r="G154" s="15">
        <v>67.5</v>
      </c>
      <c r="H154" s="15">
        <v>95</v>
      </c>
      <c r="I154" s="15">
        <v>26</v>
      </c>
      <c r="J154" s="15"/>
      <c r="K154" s="15">
        <v>30</v>
      </c>
      <c r="L154" s="15">
        <v>58.75</v>
      </c>
      <c r="M154" s="15"/>
      <c r="N154" s="15"/>
      <c r="O154" s="15">
        <v>253.75</v>
      </c>
      <c r="P154" s="15">
        <v>368.5</v>
      </c>
    </row>
    <row r="155" ht="14.25" spans="1:16">
      <c r="A155" s="13">
        <v>154</v>
      </c>
      <c r="B155" s="15">
        <v>3</v>
      </c>
      <c r="C155" s="16">
        <v>43</v>
      </c>
      <c r="D155" s="17" t="s">
        <v>321</v>
      </c>
      <c r="E155" s="17" t="s">
        <v>322</v>
      </c>
      <c r="F155" s="15">
        <v>99</v>
      </c>
      <c r="G155" s="15">
        <v>105.5</v>
      </c>
      <c r="H155" s="15">
        <v>77.5</v>
      </c>
      <c r="I155" s="15">
        <v>25</v>
      </c>
      <c r="J155" s="15"/>
      <c r="K155" s="15">
        <v>21</v>
      </c>
      <c r="L155" s="15">
        <v>31.5</v>
      </c>
      <c r="M155" s="15"/>
      <c r="N155" s="15"/>
      <c r="O155" s="15">
        <v>282</v>
      </c>
      <c r="P155" s="15">
        <v>359.5</v>
      </c>
    </row>
    <row r="156" ht="14.25" spans="1:16">
      <c r="A156" s="13">
        <v>155</v>
      </c>
      <c r="B156" s="15">
        <v>3</v>
      </c>
      <c r="C156" s="16">
        <v>44</v>
      </c>
      <c r="D156" s="17" t="s">
        <v>323</v>
      </c>
      <c r="E156" s="17" t="s">
        <v>324</v>
      </c>
      <c r="F156" s="15">
        <v>97</v>
      </c>
      <c r="G156" s="15">
        <v>95</v>
      </c>
      <c r="H156" s="15">
        <v>98.5</v>
      </c>
      <c r="I156" s="15">
        <v>36</v>
      </c>
      <c r="J156" s="15"/>
      <c r="K156" s="15">
        <v>28</v>
      </c>
      <c r="L156" s="15">
        <v>60.5</v>
      </c>
      <c r="M156" s="15"/>
      <c r="N156" s="15"/>
      <c r="O156" s="15">
        <v>290.5</v>
      </c>
      <c r="P156" s="15">
        <v>415</v>
      </c>
    </row>
    <row r="157" ht="14.25" spans="1:16">
      <c r="A157" s="13">
        <v>156</v>
      </c>
      <c r="B157" s="15">
        <v>3</v>
      </c>
      <c r="C157" s="16">
        <v>45</v>
      </c>
      <c r="D157" s="17" t="s">
        <v>325</v>
      </c>
      <c r="E157" s="17" t="s">
        <v>326</v>
      </c>
      <c r="F157" s="15">
        <v>89</v>
      </c>
      <c r="G157" s="15">
        <v>94.5</v>
      </c>
      <c r="H157" s="15">
        <v>84.5</v>
      </c>
      <c r="I157" s="15">
        <v>75.5</v>
      </c>
      <c r="J157" s="15"/>
      <c r="K157" s="15">
        <v>59</v>
      </c>
      <c r="L157" s="15">
        <v>48</v>
      </c>
      <c r="M157" s="15"/>
      <c r="N157" s="15"/>
      <c r="O157" s="15">
        <v>268</v>
      </c>
      <c r="P157" s="15">
        <v>450.5</v>
      </c>
    </row>
    <row r="158" ht="14.25" spans="1:16">
      <c r="A158" s="13">
        <v>157</v>
      </c>
      <c r="B158" s="15">
        <v>3</v>
      </c>
      <c r="C158" s="16">
        <v>46</v>
      </c>
      <c r="D158" s="17" t="s">
        <v>327</v>
      </c>
      <c r="E158" s="17" t="s">
        <v>328</v>
      </c>
      <c r="F158" s="15">
        <v>99.25</v>
      </c>
      <c r="G158" s="15">
        <v>69.5</v>
      </c>
      <c r="H158" s="15">
        <v>87.5</v>
      </c>
      <c r="I158" s="15">
        <v>45</v>
      </c>
      <c r="J158" s="15"/>
      <c r="K158" s="15">
        <v>21</v>
      </c>
      <c r="L158" s="15">
        <v>54.5</v>
      </c>
      <c r="M158" s="15"/>
      <c r="N158" s="15"/>
      <c r="O158" s="15">
        <v>256.25</v>
      </c>
      <c r="P158" s="15">
        <v>376.75</v>
      </c>
    </row>
    <row r="159" ht="14.25" spans="1:16">
      <c r="A159" s="13">
        <v>158</v>
      </c>
      <c r="B159" s="15">
        <v>3</v>
      </c>
      <c r="C159" s="16">
        <v>47</v>
      </c>
      <c r="D159" s="17" t="s">
        <v>329</v>
      </c>
      <c r="E159" s="17" t="s">
        <v>330</v>
      </c>
      <c r="F159" s="15">
        <v>94</v>
      </c>
      <c r="G159" s="15">
        <v>112.5</v>
      </c>
      <c r="H159" s="15">
        <v>100.5</v>
      </c>
      <c r="I159" s="15">
        <v>53.5</v>
      </c>
      <c r="J159" s="15"/>
      <c r="K159" s="15">
        <v>53</v>
      </c>
      <c r="L159" s="15">
        <v>53.5</v>
      </c>
      <c r="M159" s="15"/>
      <c r="N159" s="15"/>
      <c r="O159" s="15">
        <v>307</v>
      </c>
      <c r="P159" s="15">
        <v>467</v>
      </c>
    </row>
    <row r="160" ht="14.25" spans="1:16">
      <c r="A160" s="13">
        <v>159</v>
      </c>
      <c r="B160" s="15">
        <v>3</v>
      </c>
      <c r="C160" s="16">
        <v>48</v>
      </c>
      <c r="D160" s="17" t="s">
        <v>331</v>
      </c>
      <c r="E160" s="17" t="s">
        <v>332</v>
      </c>
      <c r="F160" s="15">
        <v>96.5</v>
      </c>
      <c r="G160" s="15">
        <v>106</v>
      </c>
      <c r="H160" s="15">
        <v>96.75</v>
      </c>
      <c r="I160" s="15">
        <v>63.5</v>
      </c>
      <c r="J160" s="15"/>
      <c r="K160" s="15">
        <v>47.5</v>
      </c>
      <c r="L160" s="15">
        <v>42</v>
      </c>
      <c r="M160" s="15"/>
      <c r="N160" s="15"/>
      <c r="O160" s="15">
        <v>299.25</v>
      </c>
      <c r="P160" s="15">
        <v>452.25</v>
      </c>
    </row>
    <row r="161" ht="14.25" spans="1:16">
      <c r="A161" s="13">
        <v>160</v>
      </c>
      <c r="B161" s="15">
        <v>3</v>
      </c>
      <c r="C161" s="16">
        <v>49</v>
      </c>
      <c r="D161" s="17" t="s">
        <v>333</v>
      </c>
      <c r="E161" s="17" t="s">
        <v>334</v>
      </c>
      <c r="F161" s="15">
        <v>89</v>
      </c>
      <c r="G161" s="15">
        <v>65.5</v>
      </c>
      <c r="H161" s="15">
        <v>87</v>
      </c>
      <c r="I161" s="15">
        <v>23.5</v>
      </c>
      <c r="J161" s="15"/>
      <c r="K161" s="15">
        <v>36</v>
      </c>
      <c r="L161" s="15">
        <v>30.5</v>
      </c>
      <c r="M161" s="15"/>
      <c r="N161" s="15"/>
      <c r="O161" s="15">
        <v>241.5</v>
      </c>
      <c r="P161" s="15">
        <v>331.5</v>
      </c>
    </row>
    <row r="162" ht="14.25" spans="1:16">
      <c r="A162" s="13">
        <v>161</v>
      </c>
      <c r="B162" s="15">
        <v>4</v>
      </c>
      <c r="C162" s="16">
        <v>2</v>
      </c>
      <c r="D162" s="17" t="s">
        <v>335</v>
      </c>
      <c r="E162" s="17" t="s">
        <v>336</v>
      </c>
      <c r="F162" s="15">
        <v>77.5</v>
      </c>
      <c r="G162" s="15">
        <v>88</v>
      </c>
      <c r="H162" s="15">
        <v>71</v>
      </c>
      <c r="I162" s="15">
        <v>36</v>
      </c>
      <c r="J162" s="15"/>
      <c r="K162" s="15">
        <v>32</v>
      </c>
      <c r="L162" s="15">
        <v>52</v>
      </c>
      <c r="M162" s="15"/>
      <c r="N162" s="15"/>
      <c r="O162" s="15">
        <v>236.5</v>
      </c>
      <c r="P162" s="15">
        <v>356.5</v>
      </c>
    </row>
    <row r="163" ht="14.25" spans="1:16">
      <c r="A163" s="13">
        <v>162</v>
      </c>
      <c r="B163" s="15">
        <v>4</v>
      </c>
      <c r="C163" s="16">
        <v>3</v>
      </c>
      <c r="D163" s="17" t="s">
        <v>337</v>
      </c>
      <c r="E163" s="17" t="s">
        <v>338</v>
      </c>
      <c r="F163" s="15">
        <v>106.5</v>
      </c>
      <c r="G163" s="15">
        <v>94</v>
      </c>
      <c r="H163" s="15">
        <v>91.75</v>
      </c>
      <c r="I163" s="15">
        <v>52</v>
      </c>
      <c r="J163" s="15"/>
      <c r="K163" s="15">
        <v>39.5</v>
      </c>
      <c r="L163" s="15">
        <v>49</v>
      </c>
      <c r="M163" s="15"/>
      <c r="N163" s="15"/>
      <c r="O163" s="15">
        <v>292.25</v>
      </c>
      <c r="P163" s="15">
        <v>432.75</v>
      </c>
    </row>
    <row r="164" ht="14.25" spans="1:16">
      <c r="A164" s="13">
        <v>163</v>
      </c>
      <c r="B164" s="15">
        <v>4</v>
      </c>
      <c r="C164" s="16">
        <v>4</v>
      </c>
      <c r="D164" s="17" t="s">
        <v>339</v>
      </c>
      <c r="E164" s="17" t="s">
        <v>340</v>
      </c>
      <c r="F164" s="15">
        <v>91.5</v>
      </c>
      <c r="G164" s="15">
        <v>88.5</v>
      </c>
      <c r="H164" s="15">
        <v>74</v>
      </c>
      <c r="I164" s="15">
        <v>35</v>
      </c>
      <c r="J164" s="15"/>
      <c r="K164" s="15">
        <v>33</v>
      </c>
      <c r="L164" s="15">
        <v>57.5</v>
      </c>
      <c r="M164" s="15"/>
      <c r="N164" s="15"/>
      <c r="O164" s="15">
        <v>254</v>
      </c>
      <c r="P164" s="15">
        <v>379.5</v>
      </c>
    </row>
    <row r="165" ht="14.25" spans="1:16">
      <c r="A165" s="13">
        <v>164</v>
      </c>
      <c r="B165" s="15">
        <v>4</v>
      </c>
      <c r="C165" s="16">
        <v>5</v>
      </c>
      <c r="D165" s="17" t="s">
        <v>341</v>
      </c>
      <c r="E165" s="17" t="s">
        <v>342</v>
      </c>
      <c r="F165" s="15">
        <v>83</v>
      </c>
      <c r="G165" s="15">
        <v>62.5</v>
      </c>
      <c r="H165" s="15">
        <v>87.5</v>
      </c>
      <c r="I165" s="15">
        <v>23.5</v>
      </c>
      <c r="J165" s="15"/>
      <c r="K165" s="15">
        <v>40</v>
      </c>
      <c r="L165" s="15">
        <v>51</v>
      </c>
      <c r="M165" s="15"/>
      <c r="N165" s="15"/>
      <c r="O165" s="15">
        <v>233</v>
      </c>
      <c r="P165" s="15">
        <v>347.5</v>
      </c>
    </row>
    <row r="166" ht="14.25" spans="1:16">
      <c r="A166" s="13">
        <v>165</v>
      </c>
      <c r="B166" s="15">
        <v>4</v>
      </c>
      <c r="C166" s="16">
        <v>6</v>
      </c>
      <c r="D166" s="17" t="s">
        <v>343</v>
      </c>
      <c r="E166" s="17" t="s">
        <v>344</v>
      </c>
      <c r="F166" s="15">
        <v>84</v>
      </c>
      <c r="G166" s="15">
        <v>83</v>
      </c>
      <c r="H166" s="15">
        <v>54.5</v>
      </c>
      <c r="I166" s="15">
        <v>28</v>
      </c>
      <c r="J166" s="15"/>
      <c r="K166" s="15">
        <v>28</v>
      </c>
      <c r="L166" s="15">
        <v>49.5</v>
      </c>
      <c r="M166" s="15"/>
      <c r="N166" s="15"/>
      <c r="O166" s="15">
        <v>221.5</v>
      </c>
      <c r="P166" s="15">
        <v>327</v>
      </c>
    </row>
    <row r="167" ht="14.25" spans="1:16">
      <c r="A167" s="13">
        <v>166</v>
      </c>
      <c r="B167" s="15">
        <v>4</v>
      </c>
      <c r="C167" s="16">
        <v>7</v>
      </c>
      <c r="D167" s="17" t="s">
        <v>345</v>
      </c>
      <c r="E167" s="17" t="s">
        <v>346</v>
      </c>
      <c r="F167" s="15">
        <v>78</v>
      </c>
      <c r="G167" s="15">
        <v>98</v>
      </c>
      <c r="H167" s="15">
        <v>88.75</v>
      </c>
      <c r="I167" s="15">
        <v>40</v>
      </c>
      <c r="J167" s="15"/>
      <c r="K167" s="15">
        <v>32</v>
      </c>
      <c r="L167" s="15">
        <v>43</v>
      </c>
      <c r="M167" s="15"/>
      <c r="N167" s="15"/>
      <c r="O167" s="15">
        <v>264.75</v>
      </c>
      <c r="P167" s="15">
        <v>379.75</v>
      </c>
    </row>
    <row r="168" ht="14.25" spans="1:16">
      <c r="A168" s="13">
        <v>167</v>
      </c>
      <c r="B168" s="15">
        <v>4</v>
      </c>
      <c r="C168" s="16">
        <v>8</v>
      </c>
      <c r="D168" s="17" t="s">
        <v>347</v>
      </c>
      <c r="E168" s="17" t="s">
        <v>348</v>
      </c>
      <c r="F168" s="15">
        <v>87.5</v>
      </c>
      <c r="G168" s="15">
        <v>101.5</v>
      </c>
      <c r="H168" s="15">
        <v>101.5</v>
      </c>
      <c r="I168" s="15">
        <v>44</v>
      </c>
      <c r="J168" s="15"/>
      <c r="K168" s="15">
        <v>40</v>
      </c>
      <c r="L168" s="15">
        <v>61.5</v>
      </c>
      <c r="M168" s="15"/>
      <c r="N168" s="15"/>
      <c r="O168" s="15">
        <v>290.5</v>
      </c>
      <c r="P168" s="15">
        <v>436</v>
      </c>
    </row>
    <row r="169" ht="14.25" spans="1:16">
      <c r="A169" s="13">
        <v>168</v>
      </c>
      <c r="B169" s="15">
        <v>4</v>
      </c>
      <c r="C169" s="16">
        <v>9</v>
      </c>
      <c r="D169" s="17" t="s">
        <v>349</v>
      </c>
      <c r="E169" s="17" t="s">
        <v>350</v>
      </c>
      <c r="F169" s="15">
        <v>95.25</v>
      </c>
      <c r="G169" s="15">
        <v>89.5</v>
      </c>
      <c r="H169" s="15">
        <v>80.75</v>
      </c>
      <c r="I169" s="15">
        <v>54.5</v>
      </c>
      <c r="J169" s="15"/>
      <c r="K169" s="15">
        <v>48.5</v>
      </c>
      <c r="L169" s="15">
        <v>64.5</v>
      </c>
      <c r="M169" s="15"/>
      <c r="N169" s="15"/>
      <c r="O169" s="15">
        <v>265.5</v>
      </c>
      <c r="P169" s="15">
        <v>433</v>
      </c>
    </row>
    <row r="170" ht="14.25" spans="1:16">
      <c r="A170" s="13">
        <v>169</v>
      </c>
      <c r="B170" s="15">
        <v>4</v>
      </c>
      <c r="C170" s="16">
        <v>10</v>
      </c>
      <c r="D170" s="17" t="s">
        <v>351</v>
      </c>
      <c r="E170" s="17" t="s">
        <v>352</v>
      </c>
      <c r="F170" s="15">
        <v>96</v>
      </c>
      <c r="G170" s="15">
        <v>106.5</v>
      </c>
      <c r="H170" s="15">
        <v>96.5</v>
      </c>
      <c r="I170" s="15">
        <v>60</v>
      </c>
      <c r="J170" s="15"/>
      <c r="K170" s="15">
        <v>50.5</v>
      </c>
      <c r="L170" s="15">
        <v>61</v>
      </c>
      <c r="M170" s="15"/>
      <c r="N170" s="15"/>
      <c r="O170" s="15">
        <v>299</v>
      </c>
      <c r="P170" s="15">
        <v>470.5</v>
      </c>
    </row>
    <row r="171" ht="14.25" spans="1:16">
      <c r="A171" s="13">
        <v>170</v>
      </c>
      <c r="B171" s="15">
        <v>4</v>
      </c>
      <c r="C171" s="16">
        <v>11</v>
      </c>
      <c r="D171" s="17" t="s">
        <v>353</v>
      </c>
      <c r="E171" s="17" t="s">
        <v>354</v>
      </c>
      <c r="F171" s="15">
        <v>92.5</v>
      </c>
      <c r="G171" s="15">
        <v>106.5</v>
      </c>
      <c r="H171" s="15">
        <v>109.75</v>
      </c>
      <c r="I171" s="15">
        <v>38.5</v>
      </c>
      <c r="J171" s="15"/>
      <c r="K171" s="15">
        <v>45.5</v>
      </c>
      <c r="L171" s="15">
        <v>53</v>
      </c>
      <c r="M171" s="15"/>
      <c r="N171" s="15"/>
      <c r="O171" s="15">
        <v>308.75</v>
      </c>
      <c r="P171" s="15">
        <v>445.75</v>
      </c>
    </row>
    <row r="172" ht="14.25" spans="1:16">
      <c r="A172" s="13">
        <v>171</v>
      </c>
      <c r="B172" s="15">
        <v>4</v>
      </c>
      <c r="C172" s="16">
        <v>12</v>
      </c>
      <c r="D172" s="17" t="s">
        <v>355</v>
      </c>
      <c r="E172" s="17" t="s">
        <v>356</v>
      </c>
      <c r="F172" s="15">
        <v>101</v>
      </c>
      <c r="G172" s="15">
        <v>109</v>
      </c>
      <c r="H172" s="15">
        <v>97.5</v>
      </c>
      <c r="I172" s="15">
        <v>44.5</v>
      </c>
      <c r="J172" s="15"/>
      <c r="K172" s="15">
        <v>45</v>
      </c>
      <c r="L172" s="15">
        <v>64.5</v>
      </c>
      <c r="M172" s="15"/>
      <c r="N172" s="15"/>
      <c r="O172" s="15">
        <v>307.5</v>
      </c>
      <c r="P172" s="15">
        <v>461.5</v>
      </c>
    </row>
    <row r="173" ht="14.25" spans="1:16">
      <c r="A173" s="13">
        <v>172</v>
      </c>
      <c r="B173" s="15">
        <v>4</v>
      </c>
      <c r="C173" s="16">
        <v>13</v>
      </c>
      <c r="D173" s="17" t="s">
        <v>357</v>
      </c>
      <c r="E173" s="17" t="s">
        <v>358</v>
      </c>
      <c r="F173" s="15">
        <v>105.5</v>
      </c>
      <c r="G173" s="15">
        <v>121</v>
      </c>
      <c r="H173" s="15">
        <v>110.75</v>
      </c>
      <c r="I173" s="15">
        <v>49.5</v>
      </c>
      <c r="J173" s="15"/>
      <c r="K173" s="15">
        <v>37</v>
      </c>
      <c r="L173" s="15">
        <v>60</v>
      </c>
      <c r="M173" s="15"/>
      <c r="N173" s="15"/>
      <c r="O173" s="15">
        <v>337.25</v>
      </c>
      <c r="P173" s="15">
        <v>483.75</v>
      </c>
    </row>
    <row r="174" ht="14.25" spans="1:16">
      <c r="A174" s="13">
        <v>173</v>
      </c>
      <c r="B174" s="15">
        <v>4</v>
      </c>
      <c r="C174" s="16">
        <v>14</v>
      </c>
      <c r="D174" s="17" t="s">
        <v>359</v>
      </c>
      <c r="E174" s="17" t="s">
        <v>360</v>
      </c>
      <c r="F174" s="15">
        <v>106.5</v>
      </c>
      <c r="G174" s="15">
        <v>106</v>
      </c>
      <c r="H174" s="15">
        <v>109.5</v>
      </c>
      <c r="I174" s="15">
        <v>43.5</v>
      </c>
      <c r="J174" s="15"/>
      <c r="K174" s="15">
        <v>37.5</v>
      </c>
      <c r="L174" s="15">
        <v>59.5</v>
      </c>
      <c r="M174" s="15"/>
      <c r="N174" s="15"/>
      <c r="O174" s="15">
        <v>322</v>
      </c>
      <c r="P174" s="15">
        <v>462.5</v>
      </c>
    </row>
    <row r="175" ht="14.25" spans="1:16">
      <c r="A175" s="13">
        <v>174</v>
      </c>
      <c r="B175" s="15">
        <v>4</v>
      </c>
      <c r="C175" s="16">
        <v>15</v>
      </c>
      <c r="D175" s="17" t="s">
        <v>361</v>
      </c>
      <c r="E175" s="17" t="s">
        <v>362</v>
      </c>
      <c r="F175" s="15">
        <v>98</v>
      </c>
      <c r="G175" s="15">
        <v>94</v>
      </c>
      <c r="H175" s="15">
        <v>94.5</v>
      </c>
      <c r="I175" s="15">
        <v>52</v>
      </c>
      <c r="J175" s="15"/>
      <c r="K175" s="15">
        <v>33.5</v>
      </c>
      <c r="L175" s="15">
        <v>51.5</v>
      </c>
      <c r="M175" s="15"/>
      <c r="N175" s="15"/>
      <c r="O175" s="15">
        <v>286.5</v>
      </c>
      <c r="P175" s="15">
        <v>423.5</v>
      </c>
    </row>
    <row r="176" ht="14.25" spans="1:16">
      <c r="A176" s="13">
        <v>175</v>
      </c>
      <c r="B176" s="15">
        <v>4</v>
      </c>
      <c r="C176" s="16">
        <v>16</v>
      </c>
      <c r="D176" s="17" t="s">
        <v>363</v>
      </c>
      <c r="E176" s="17" t="s">
        <v>364</v>
      </c>
      <c r="F176" s="15">
        <v>97.75</v>
      </c>
      <c r="G176" s="15">
        <v>103.5</v>
      </c>
      <c r="H176" s="15">
        <v>94.5</v>
      </c>
      <c r="I176" s="15">
        <v>57.5</v>
      </c>
      <c r="J176" s="15"/>
      <c r="K176" s="15">
        <v>47.5</v>
      </c>
      <c r="L176" s="15">
        <v>48.5</v>
      </c>
      <c r="M176" s="15"/>
      <c r="N176" s="15"/>
      <c r="O176" s="15">
        <v>295.75</v>
      </c>
      <c r="P176" s="15">
        <v>449.25</v>
      </c>
    </row>
    <row r="177" ht="14.25" spans="1:16">
      <c r="A177" s="13">
        <v>176</v>
      </c>
      <c r="B177" s="15">
        <v>4</v>
      </c>
      <c r="C177" s="16">
        <v>17</v>
      </c>
      <c r="D177" s="17" t="s">
        <v>365</v>
      </c>
      <c r="E177" s="17" t="s">
        <v>366</v>
      </c>
      <c r="F177" s="15">
        <v>89.5</v>
      </c>
      <c r="G177" s="15">
        <v>118</v>
      </c>
      <c r="H177" s="15">
        <v>98</v>
      </c>
      <c r="I177" s="15">
        <v>52.5</v>
      </c>
      <c r="J177" s="15"/>
      <c r="K177" s="15">
        <v>45</v>
      </c>
      <c r="L177" s="15">
        <v>55.5</v>
      </c>
      <c r="M177" s="15"/>
      <c r="N177" s="15"/>
      <c r="O177" s="15">
        <v>305.5</v>
      </c>
      <c r="P177" s="15">
        <v>458.5</v>
      </c>
    </row>
    <row r="178" ht="14.25" spans="1:16">
      <c r="A178" s="13">
        <v>177</v>
      </c>
      <c r="B178" s="15">
        <v>4</v>
      </c>
      <c r="C178" s="16">
        <v>18</v>
      </c>
      <c r="D178" s="17" t="s">
        <v>367</v>
      </c>
      <c r="E178" s="17" t="s">
        <v>368</v>
      </c>
      <c r="F178" s="15">
        <v>98</v>
      </c>
      <c r="G178" s="15">
        <v>86</v>
      </c>
      <c r="H178" s="15">
        <v>99.5</v>
      </c>
      <c r="I178" s="15">
        <v>56</v>
      </c>
      <c r="J178" s="15"/>
      <c r="K178" s="15">
        <v>50</v>
      </c>
      <c r="L178" s="15">
        <v>57</v>
      </c>
      <c r="M178" s="15"/>
      <c r="N178" s="15"/>
      <c r="O178" s="15">
        <v>283.5</v>
      </c>
      <c r="P178" s="15">
        <v>446.5</v>
      </c>
    </row>
    <row r="179" ht="14.25" spans="1:16">
      <c r="A179" s="13">
        <v>178</v>
      </c>
      <c r="B179" s="15">
        <v>4</v>
      </c>
      <c r="C179" s="16">
        <v>19</v>
      </c>
      <c r="D179" s="17" t="s">
        <v>369</v>
      </c>
      <c r="E179" s="17" t="s">
        <v>370</v>
      </c>
      <c r="F179" s="15">
        <v>95.75</v>
      </c>
      <c r="G179" s="15">
        <v>110.5</v>
      </c>
      <c r="H179" s="15">
        <v>107</v>
      </c>
      <c r="I179" s="15">
        <v>60</v>
      </c>
      <c r="J179" s="15"/>
      <c r="K179" s="15">
        <v>54</v>
      </c>
      <c r="L179" s="15">
        <v>53.5</v>
      </c>
      <c r="M179" s="15"/>
      <c r="N179" s="15"/>
      <c r="O179" s="15">
        <v>313.25</v>
      </c>
      <c r="P179" s="15">
        <v>480.75</v>
      </c>
    </row>
    <row r="180" ht="14.25" spans="1:16">
      <c r="A180" s="13">
        <v>179</v>
      </c>
      <c r="B180" s="15">
        <v>4</v>
      </c>
      <c r="C180" s="16">
        <v>20</v>
      </c>
      <c r="D180" s="17" t="s">
        <v>371</v>
      </c>
      <c r="E180" s="17" t="s">
        <v>372</v>
      </c>
      <c r="F180" s="15">
        <v>104</v>
      </c>
      <c r="G180" s="15">
        <v>101.5</v>
      </c>
      <c r="H180" s="15">
        <v>96.75</v>
      </c>
      <c r="I180" s="15">
        <v>44</v>
      </c>
      <c r="J180" s="15"/>
      <c r="K180" s="15">
        <v>40.5</v>
      </c>
      <c r="L180" s="15">
        <v>43.5</v>
      </c>
      <c r="M180" s="15"/>
      <c r="N180" s="15"/>
      <c r="O180" s="15">
        <v>302.25</v>
      </c>
      <c r="P180" s="15">
        <v>430.25</v>
      </c>
    </row>
    <row r="181" ht="14.25" spans="1:16">
      <c r="A181" s="13">
        <v>180</v>
      </c>
      <c r="B181" s="15">
        <v>4</v>
      </c>
      <c r="C181" s="16">
        <v>21</v>
      </c>
      <c r="D181" s="17" t="s">
        <v>373</v>
      </c>
      <c r="E181" s="17" t="s">
        <v>374</v>
      </c>
      <c r="F181" s="15">
        <v>100.5</v>
      </c>
      <c r="G181" s="15">
        <v>111.5</v>
      </c>
      <c r="H181" s="15">
        <v>91</v>
      </c>
      <c r="I181" s="15">
        <v>47</v>
      </c>
      <c r="J181" s="15"/>
      <c r="K181" s="15">
        <v>39.5</v>
      </c>
      <c r="L181" s="15">
        <v>40.5</v>
      </c>
      <c r="M181" s="15"/>
      <c r="N181" s="15"/>
      <c r="O181" s="15">
        <v>303</v>
      </c>
      <c r="P181" s="15">
        <v>430</v>
      </c>
    </row>
    <row r="182" ht="14.25" spans="1:16">
      <c r="A182" s="13">
        <v>181</v>
      </c>
      <c r="B182" s="15">
        <v>4</v>
      </c>
      <c r="C182" s="16">
        <v>22</v>
      </c>
      <c r="D182" s="17" t="s">
        <v>375</v>
      </c>
      <c r="E182" s="17" t="s">
        <v>376</v>
      </c>
      <c r="F182" s="15">
        <v>107</v>
      </c>
      <c r="G182" s="15">
        <v>114.5</v>
      </c>
      <c r="H182" s="15">
        <v>108</v>
      </c>
      <c r="I182" s="15">
        <v>56.5</v>
      </c>
      <c r="J182" s="15"/>
      <c r="K182" s="15">
        <v>39</v>
      </c>
      <c r="L182" s="15">
        <v>52.5</v>
      </c>
      <c r="M182" s="15"/>
      <c r="N182" s="15"/>
      <c r="O182" s="15">
        <v>329.5</v>
      </c>
      <c r="P182" s="15">
        <v>477.5</v>
      </c>
    </row>
    <row r="183" ht="14.25" spans="1:16">
      <c r="A183" s="13">
        <v>182</v>
      </c>
      <c r="B183" s="15">
        <v>4</v>
      </c>
      <c r="C183" s="16">
        <v>23</v>
      </c>
      <c r="D183" s="17" t="s">
        <v>377</v>
      </c>
      <c r="E183" s="17" t="s">
        <v>378</v>
      </c>
      <c r="F183" s="15">
        <v>104.5</v>
      </c>
      <c r="G183" s="15">
        <v>122.5</v>
      </c>
      <c r="H183" s="15">
        <v>98.5</v>
      </c>
      <c r="I183" s="15">
        <v>49.5</v>
      </c>
      <c r="J183" s="15"/>
      <c r="K183" s="15">
        <v>35</v>
      </c>
      <c r="L183" s="15">
        <v>48</v>
      </c>
      <c r="M183" s="15"/>
      <c r="N183" s="15"/>
      <c r="O183" s="15">
        <v>325.5</v>
      </c>
      <c r="P183" s="15">
        <v>458</v>
      </c>
    </row>
    <row r="184" ht="14.25" spans="1:16">
      <c r="A184" s="13">
        <v>183</v>
      </c>
      <c r="B184" s="15">
        <v>4</v>
      </c>
      <c r="C184" s="16">
        <v>24</v>
      </c>
      <c r="D184" s="17" t="s">
        <v>379</v>
      </c>
      <c r="E184" s="17" t="s">
        <v>380</v>
      </c>
      <c r="F184" s="15">
        <v>89.25</v>
      </c>
      <c r="G184" s="15">
        <v>106.5</v>
      </c>
      <c r="H184" s="15">
        <v>99.25</v>
      </c>
      <c r="I184" s="15">
        <v>71</v>
      </c>
      <c r="J184" s="15"/>
      <c r="K184" s="15">
        <v>21</v>
      </c>
      <c r="L184" s="15">
        <v>51.75</v>
      </c>
      <c r="M184" s="15"/>
      <c r="N184" s="15"/>
      <c r="O184" s="15">
        <v>295</v>
      </c>
      <c r="P184" s="15">
        <v>438.75</v>
      </c>
    </row>
    <row r="185" ht="14.25" spans="1:16">
      <c r="A185" s="13">
        <v>184</v>
      </c>
      <c r="B185" s="15">
        <v>4</v>
      </c>
      <c r="C185" s="16">
        <v>25</v>
      </c>
      <c r="D185" s="17" t="s">
        <v>381</v>
      </c>
      <c r="E185" s="17" t="s">
        <v>382</v>
      </c>
      <c r="F185" s="15">
        <v>96.5</v>
      </c>
      <c r="G185" s="15">
        <v>111.5</v>
      </c>
      <c r="H185" s="15">
        <v>102.75</v>
      </c>
      <c r="I185" s="15">
        <v>58</v>
      </c>
      <c r="J185" s="15"/>
      <c r="K185" s="15">
        <v>64.5</v>
      </c>
      <c r="L185" s="15">
        <v>57.5</v>
      </c>
      <c r="M185" s="15"/>
      <c r="N185" s="15"/>
      <c r="O185" s="15">
        <v>310.75</v>
      </c>
      <c r="P185" s="15">
        <v>490.75</v>
      </c>
    </row>
    <row r="186" ht="14.25" spans="1:16">
      <c r="A186" s="13">
        <v>185</v>
      </c>
      <c r="B186" s="15">
        <v>4</v>
      </c>
      <c r="C186" s="16">
        <v>26</v>
      </c>
      <c r="D186" s="17" t="s">
        <v>383</v>
      </c>
      <c r="E186" s="17" t="s">
        <v>384</v>
      </c>
      <c r="F186" s="15">
        <v>116</v>
      </c>
      <c r="G186" s="15">
        <v>114.5</v>
      </c>
      <c r="H186" s="15">
        <v>106</v>
      </c>
      <c r="I186" s="15">
        <v>65.5</v>
      </c>
      <c r="J186" s="15"/>
      <c r="K186" s="15">
        <v>39.5</v>
      </c>
      <c r="L186" s="15">
        <v>58.5</v>
      </c>
      <c r="M186" s="15"/>
      <c r="N186" s="15"/>
      <c r="O186" s="15">
        <v>336.5</v>
      </c>
      <c r="P186" s="15">
        <v>500</v>
      </c>
    </row>
    <row r="187" ht="14.25" spans="1:16">
      <c r="A187" s="13">
        <v>186</v>
      </c>
      <c r="B187" s="15">
        <v>4</v>
      </c>
      <c r="C187" s="16">
        <v>27</v>
      </c>
      <c r="D187" s="17" t="s">
        <v>385</v>
      </c>
      <c r="E187" s="17" t="s">
        <v>386</v>
      </c>
      <c r="F187" s="15">
        <v>106.5</v>
      </c>
      <c r="G187" s="15">
        <v>108</v>
      </c>
      <c r="H187" s="15">
        <v>108.75</v>
      </c>
      <c r="I187" s="15">
        <v>59.5</v>
      </c>
      <c r="J187" s="15"/>
      <c r="K187" s="15">
        <v>45</v>
      </c>
      <c r="L187" s="15">
        <v>53.25</v>
      </c>
      <c r="M187" s="15"/>
      <c r="N187" s="15"/>
      <c r="O187" s="15">
        <v>323.25</v>
      </c>
      <c r="P187" s="15">
        <v>481</v>
      </c>
    </row>
    <row r="188" ht="14.25" spans="1:16">
      <c r="A188" s="13">
        <v>187</v>
      </c>
      <c r="B188" s="15">
        <v>4</v>
      </c>
      <c r="C188" s="16">
        <v>29</v>
      </c>
      <c r="D188" s="17" t="s">
        <v>387</v>
      </c>
      <c r="E188" s="17" t="s">
        <v>388</v>
      </c>
      <c r="F188" s="15">
        <v>99</v>
      </c>
      <c r="G188" s="15">
        <v>106</v>
      </c>
      <c r="H188" s="15">
        <v>69.5</v>
      </c>
      <c r="I188" s="15">
        <v>51</v>
      </c>
      <c r="J188" s="15"/>
      <c r="K188" s="15">
        <v>35.5</v>
      </c>
      <c r="L188" s="15">
        <v>55.5</v>
      </c>
      <c r="M188" s="15"/>
      <c r="N188" s="15"/>
      <c r="O188" s="15">
        <v>274.5</v>
      </c>
      <c r="P188" s="15">
        <v>416.5</v>
      </c>
    </row>
    <row r="189" ht="14.25" spans="1:16">
      <c r="A189" s="13">
        <v>188</v>
      </c>
      <c r="B189" s="15">
        <v>4</v>
      </c>
      <c r="C189" s="16">
        <v>30</v>
      </c>
      <c r="D189" s="17" t="s">
        <v>389</v>
      </c>
      <c r="E189" s="17" t="s">
        <v>390</v>
      </c>
      <c r="F189" s="15">
        <v>100.5</v>
      </c>
      <c r="G189" s="15">
        <v>108</v>
      </c>
      <c r="H189" s="15">
        <v>100.25</v>
      </c>
      <c r="I189" s="15">
        <v>44.5</v>
      </c>
      <c r="J189" s="15"/>
      <c r="K189" s="15">
        <v>45.5</v>
      </c>
      <c r="L189" s="15">
        <v>52</v>
      </c>
      <c r="M189" s="15"/>
      <c r="N189" s="15"/>
      <c r="O189" s="15">
        <v>308.75</v>
      </c>
      <c r="P189" s="15">
        <v>450.75</v>
      </c>
    </row>
    <row r="190" ht="14.25" spans="1:16">
      <c r="A190" s="13">
        <v>189</v>
      </c>
      <c r="B190" s="15">
        <v>4</v>
      </c>
      <c r="C190" s="16">
        <v>31</v>
      </c>
      <c r="D190" s="17" t="s">
        <v>391</v>
      </c>
      <c r="E190" s="17" t="s">
        <v>392</v>
      </c>
      <c r="F190" s="15">
        <v>91</v>
      </c>
      <c r="G190" s="15">
        <v>106</v>
      </c>
      <c r="H190" s="15">
        <v>100.75</v>
      </c>
      <c r="I190" s="15">
        <v>32</v>
      </c>
      <c r="J190" s="15"/>
      <c r="K190" s="15">
        <v>39.5</v>
      </c>
      <c r="L190" s="15">
        <v>32</v>
      </c>
      <c r="M190" s="15"/>
      <c r="N190" s="15"/>
      <c r="O190" s="15">
        <v>297.75</v>
      </c>
      <c r="P190" s="15">
        <v>401.25</v>
      </c>
    </row>
    <row r="191" ht="14.25" spans="1:16">
      <c r="A191" s="13">
        <v>190</v>
      </c>
      <c r="B191" s="15">
        <v>4</v>
      </c>
      <c r="C191" s="16">
        <v>32</v>
      </c>
      <c r="D191" s="17" t="s">
        <v>393</v>
      </c>
      <c r="E191" s="17" t="s">
        <v>394</v>
      </c>
      <c r="F191" s="15">
        <v>85</v>
      </c>
      <c r="G191" s="15">
        <v>91</v>
      </c>
      <c r="H191" s="15">
        <v>99</v>
      </c>
      <c r="I191" s="15">
        <v>30</v>
      </c>
      <c r="J191" s="15"/>
      <c r="K191" s="15">
        <v>28.5</v>
      </c>
      <c r="L191" s="15">
        <v>49</v>
      </c>
      <c r="M191" s="15"/>
      <c r="N191" s="15"/>
      <c r="O191" s="15">
        <v>275</v>
      </c>
      <c r="P191" s="15">
        <v>382.5</v>
      </c>
    </row>
    <row r="192" ht="14.25" spans="1:16">
      <c r="A192" s="13">
        <v>191</v>
      </c>
      <c r="B192" s="15">
        <v>4</v>
      </c>
      <c r="C192" s="16">
        <v>33</v>
      </c>
      <c r="D192" s="17" t="s">
        <v>395</v>
      </c>
      <c r="E192" s="17" t="s">
        <v>396</v>
      </c>
      <c r="F192" s="15">
        <v>95.5</v>
      </c>
      <c r="G192" s="15">
        <v>103.5</v>
      </c>
      <c r="H192" s="15">
        <v>98.75</v>
      </c>
      <c r="I192" s="15">
        <v>46.5</v>
      </c>
      <c r="J192" s="15"/>
      <c r="K192" s="15">
        <v>34</v>
      </c>
      <c r="L192" s="15">
        <v>57</v>
      </c>
      <c r="M192" s="15"/>
      <c r="N192" s="15"/>
      <c r="O192" s="15">
        <v>297.75</v>
      </c>
      <c r="P192" s="15">
        <v>435.25</v>
      </c>
    </row>
    <row r="193" ht="14.25" spans="1:16">
      <c r="A193" s="13">
        <v>192</v>
      </c>
      <c r="B193" s="15">
        <v>4</v>
      </c>
      <c r="C193" s="16">
        <v>34</v>
      </c>
      <c r="D193" s="17" t="s">
        <v>397</v>
      </c>
      <c r="E193" s="17" t="s">
        <v>398</v>
      </c>
      <c r="F193" s="15">
        <v>84.5</v>
      </c>
      <c r="G193" s="15">
        <v>86</v>
      </c>
      <c r="H193" s="15">
        <v>70</v>
      </c>
      <c r="I193" s="15">
        <v>54.5</v>
      </c>
      <c r="J193" s="15"/>
      <c r="K193" s="15">
        <v>24</v>
      </c>
      <c r="L193" s="15">
        <v>46</v>
      </c>
      <c r="M193" s="15"/>
      <c r="N193" s="15"/>
      <c r="O193" s="15">
        <v>240.5</v>
      </c>
      <c r="P193" s="15">
        <v>365</v>
      </c>
    </row>
    <row r="194" ht="14.25" spans="1:16">
      <c r="A194" s="13">
        <v>193</v>
      </c>
      <c r="B194" s="15">
        <v>4</v>
      </c>
      <c r="C194" s="16">
        <v>35</v>
      </c>
      <c r="D194" s="17" t="s">
        <v>399</v>
      </c>
      <c r="E194" s="17" t="s">
        <v>400</v>
      </c>
      <c r="F194" s="15">
        <v>102.75</v>
      </c>
      <c r="G194" s="15">
        <v>96</v>
      </c>
      <c r="H194" s="15">
        <v>92</v>
      </c>
      <c r="I194" s="15">
        <v>44</v>
      </c>
      <c r="J194" s="15"/>
      <c r="K194" s="15">
        <v>34</v>
      </c>
      <c r="L194" s="15">
        <v>54</v>
      </c>
      <c r="M194" s="15"/>
      <c r="N194" s="15"/>
      <c r="O194" s="15">
        <v>290.75</v>
      </c>
      <c r="P194" s="15">
        <v>422.75</v>
      </c>
    </row>
    <row r="195" ht="14.25" spans="1:16">
      <c r="A195" s="13">
        <v>194</v>
      </c>
      <c r="B195" s="15">
        <v>4</v>
      </c>
      <c r="C195" s="16">
        <v>37</v>
      </c>
      <c r="D195" s="17" t="s">
        <v>401</v>
      </c>
      <c r="E195" s="17" t="s">
        <v>402</v>
      </c>
      <c r="F195" s="15">
        <v>104.75</v>
      </c>
      <c r="G195" s="15">
        <v>74.5</v>
      </c>
      <c r="H195" s="15">
        <v>104</v>
      </c>
      <c r="I195" s="15">
        <v>41.5</v>
      </c>
      <c r="J195" s="15"/>
      <c r="K195" s="15">
        <v>27</v>
      </c>
      <c r="L195" s="15">
        <v>53.5</v>
      </c>
      <c r="M195" s="15"/>
      <c r="N195" s="15"/>
      <c r="O195" s="15">
        <v>283.25</v>
      </c>
      <c r="P195" s="15">
        <v>405.25</v>
      </c>
    </row>
    <row r="196" ht="14.25" spans="1:16">
      <c r="A196" s="13">
        <v>195</v>
      </c>
      <c r="B196" s="15">
        <v>4</v>
      </c>
      <c r="C196" s="16">
        <v>38</v>
      </c>
      <c r="D196" s="17" t="s">
        <v>403</v>
      </c>
      <c r="E196" s="17" t="s">
        <v>404</v>
      </c>
      <c r="F196" s="15">
        <v>89</v>
      </c>
      <c r="G196" s="15">
        <v>95</v>
      </c>
      <c r="H196" s="15">
        <v>92.5</v>
      </c>
      <c r="I196" s="15">
        <v>57.5</v>
      </c>
      <c r="J196" s="15"/>
      <c r="K196" s="15">
        <v>53.5</v>
      </c>
      <c r="L196" s="15">
        <v>49.75</v>
      </c>
      <c r="M196" s="15"/>
      <c r="N196" s="15"/>
      <c r="O196" s="15">
        <v>276.5</v>
      </c>
      <c r="P196" s="15">
        <v>437.25</v>
      </c>
    </row>
    <row r="197" ht="14.25" spans="1:16">
      <c r="A197" s="13">
        <v>196</v>
      </c>
      <c r="B197" s="15">
        <v>4</v>
      </c>
      <c r="C197" s="16">
        <v>39</v>
      </c>
      <c r="D197" s="17" t="s">
        <v>405</v>
      </c>
      <c r="E197" s="17" t="s">
        <v>406</v>
      </c>
      <c r="F197" s="15">
        <v>102.5</v>
      </c>
      <c r="G197" s="15">
        <v>106.5</v>
      </c>
      <c r="H197" s="15">
        <v>104.5</v>
      </c>
      <c r="I197" s="15">
        <v>47.5</v>
      </c>
      <c r="J197" s="15"/>
      <c r="K197" s="15">
        <v>32.5</v>
      </c>
      <c r="L197" s="15">
        <v>48</v>
      </c>
      <c r="M197" s="15"/>
      <c r="N197" s="15"/>
      <c r="O197" s="15">
        <v>313.5</v>
      </c>
      <c r="P197" s="15">
        <v>441.5</v>
      </c>
    </row>
    <row r="198" ht="14.25" spans="1:16">
      <c r="A198" s="13">
        <v>197</v>
      </c>
      <c r="B198" s="15">
        <v>4</v>
      </c>
      <c r="C198" s="16">
        <v>40</v>
      </c>
      <c r="D198" s="17" t="s">
        <v>407</v>
      </c>
      <c r="E198" s="17" t="s">
        <v>408</v>
      </c>
      <c r="F198" s="15">
        <v>95.5</v>
      </c>
      <c r="G198" s="15">
        <v>83</v>
      </c>
      <c r="H198" s="15">
        <v>70.25</v>
      </c>
      <c r="I198" s="15">
        <v>44</v>
      </c>
      <c r="J198" s="15"/>
      <c r="K198" s="15">
        <v>32.5</v>
      </c>
      <c r="L198" s="15">
        <v>50.5</v>
      </c>
      <c r="M198" s="15"/>
      <c r="N198" s="15"/>
      <c r="O198" s="15">
        <v>248.75</v>
      </c>
      <c r="P198" s="15">
        <v>375.75</v>
      </c>
    </row>
    <row r="199" ht="14.25" spans="1:16">
      <c r="A199" s="13">
        <v>198</v>
      </c>
      <c r="B199" s="15">
        <v>4</v>
      </c>
      <c r="C199" s="16">
        <v>41</v>
      </c>
      <c r="D199" s="17" t="s">
        <v>409</v>
      </c>
      <c r="E199" s="17" t="s">
        <v>410</v>
      </c>
      <c r="F199" s="15">
        <v>89</v>
      </c>
      <c r="G199" s="15">
        <v>106.5</v>
      </c>
      <c r="H199" s="15">
        <v>88.5</v>
      </c>
      <c r="I199" s="15">
        <v>58.5</v>
      </c>
      <c r="J199" s="15"/>
      <c r="K199" s="15">
        <v>47.5</v>
      </c>
      <c r="L199" s="15">
        <v>41.5</v>
      </c>
      <c r="M199" s="15"/>
      <c r="N199" s="15"/>
      <c r="O199" s="15">
        <v>284</v>
      </c>
      <c r="P199" s="15">
        <v>431.5</v>
      </c>
    </row>
    <row r="200" ht="14.25" spans="1:16">
      <c r="A200" s="13">
        <v>199</v>
      </c>
      <c r="B200" s="15">
        <v>4</v>
      </c>
      <c r="C200" s="16">
        <v>42</v>
      </c>
      <c r="D200" s="17" t="s">
        <v>411</v>
      </c>
      <c r="E200" s="17" t="s">
        <v>412</v>
      </c>
      <c r="F200" s="15">
        <v>91.5</v>
      </c>
      <c r="G200" s="15">
        <v>109.5</v>
      </c>
      <c r="H200" s="15">
        <v>119.25</v>
      </c>
      <c r="I200" s="15">
        <v>59</v>
      </c>
      <c r="J200" s="15"/>
      <c r="K200" s="15">
        <v>47</v>
      </c>
      <c r="L200" s="15">
        <v>54.5</v>
      </c>
      <c r="M200" s="15"/>
      <c r="N200" s="15"/>
      <c r="O200" s="15">
        <v>320.25</v>
      </c>
      <c r="P200" s="15">
        <v>480.75</v>
      </c>
    </row>
    <row r="201" ht="14.25" spans="1:16">
      <c r="A201" s="13">
        <v>200</v>
      </c>
      <c r="B201" s="15">
        <v>4</v>
      </c>
      <c r="C201" s="16">
        <v>43</v>
      </c>
      <c r="D201" s="17" t="s">
        <v>413</v>
      </c>
      <c r="E201" s="17" t="s">
        <v>414</v>
      </c>
      <c r="F201" s="15">
        <v>100.75</v>
      </c>
      <c r="G201" s="15">
        <v>74.5</v>
      </c>
      <c r="H201" s="15">
        <v>86</v>
      </c>
      <c r="I201" s="15">
        <v>17</v>
      </c>
      <c r="J201" s="15"/>
      <c r="K201" s="15">
        <v>25.5</v>
      </c>
      <c r="L201" s="15">
        <v>45</v>
      </c>
      <c r="M201" s="15"/>
      <c r="N201" s="15"/>
      <c r="O201" s="15">
        <v>261.25</v>
      </c>
      <c r="P201" s="15">
        <v>348.75</v>
      </c>
    </row>
    <row r="202" ht="14.25" spans="1:16">
      <c r="A202" s="13">
        <v>201</v>
      </c>
      <c r="B202" s="15">
        <v>4</v>
      </c>
      <c r="C202" s="16">
        <v>44</v>
      </c>
      <c r="D202" s="17" t="s">
        <v>415</v>
      </c>
      <c r="E202" s="17" t="s">
        <v>416</v>
      </c>
      <c r="F202" s="15">
        <v>106.5</v>
      </c>
      <c r="G202" s="15">
        <v>106.5</v>
      </c>
      <c r="H202" s="15">
        <v>103</v>
      </c>
      <c r="I202" s="15">
        <v>36</v>
      </c>
      <c r="J202" s="15"/>
      <c r="K202" s="15">
        <v>35.5</v>
      </c>
      <c r="L202" s="15">
        <v>44</v>
      </c>
      <c r="M202" s="15"/>
      <c r="N202" s="15"/>
      <c r="O202" s="15">
        <v>316</v>
      </c>
      <c r="P202" s="15">
        <v>431.5</v>
      </c>
    </row>
    <row r="203" ht="14.25" spans="1:16">
      <c r="A203" s="13">
        <v>202</v>
      </c>
      <c r="B203" s="15">
        <v>4</v>
      </c>
      <c r="C203" s="16">
        <v>45</v>
      </c>
      <c r="D203" s="17" t="s">
        <v>417</v>
      </c>
      <c r="E203" s="17" t="s">
        <v>418</v>
      </c>
      <c r="F203" s="15">
        <v>101</v>
      </c>
      <c r="G203" s="15">
        <v>111</v>
      </c>
      <c r="H203" s="15">
        <v>107.5</v>
      </c>
      <c r="I203" s="15">
        <v>50.5</v>
      </c>
      <c r="J203" s="15"/>
      <c r="K203" s="15">
        <v>43</v>
      </c>
      <c r="L203" s="15">
        <v>45.5</v>
      </c>
      <c r="M203" s="15"/>
      <c r="N203" s="15"/>
      <c r="O203" s="15">
        <v>319.5</v>
      </c>
      <c r="P203" s="15">
        <v>458.5</v>
      </c>
    </row>
    <row r="204" ht="14.25" spans="1:16">
      <c r="A204" s="13">
        <v>203</v>
      </c>
      <c r="B204" s="15">
        <v>4</v>
      </c>
      <c r="C204" s="16">
        <v>46</v>
      </c>
      <c r="D204" s="17" t="s">
        <v>419</v>
      </c>
      <c r="E204" s="17" t="s">
        <v>420</v>
      </c>
      <c r="F204" s="15">
        <v>89.5</v>
      </c>
      <c r="G204" s="15">
        <v>111</v>
      </c>
      <c r="H204" s="15">
        <v>77.5</v>
      </c>
      <c r="I204" s="15">
        <v>44.5</v>
      </c>
      <c r="J204" s="15"/>
      <c r="K204" s="15">
        <v>41.5</v>
      </c>
      <c r="L204" s="15">
        <v>50</v>
      </c>
      <c r="M204" s="15"/>
      <c r="N204" s="15"/>
      <c r="O204" s="15">
        <v>278</v>
      </c>
      <c r="P204" s="15">
        <v>414</v>
      </c>
    </row>
    <row r="205" ht="14.25" spans="1:16">
      <c r="A205" s="13">
        <v>204</v>
      </c>
      <c r="B205" s="15">
        <v>4</v>
      </c>
      <c r="C205" s="16">
        <v>47</v>
      </c>
      <c r="D205" s="17" t="s">
        <v>421</v>
      </c>
      <c r="E205" s="17" t="s">
        <v>422</v>
      </c>
      <c r="F205" s="15">
        <v>106</v>
      </c>
      <c r="G205" s="15">
        <v>90</v>
      </c>
      <c r="H205" s="15">
        <v>94.5</v>
      </c>
      <c r="I205" s="15">
        <v>40</v>
      </c>
      <c r="J205" s="15"/>
      <c r="K205" s="15">
        <v>27</v>
      </c>
      <c r="L205" s="15">
        <v>45.5</v>
      </c>
      <c r="M205" s="15"/>
      <c r="N205" s="15"/>
      <c r="O205" s="15">
        <v>290.5</v>
      </c>
      <c r="P205" s="15">
        <v>403</v>
      </c>
    </row>
    <row r="206" ht="14.25" spans="1:16">
      <c r="A206" s="13">
        <v>205</v>
      </c>
      <c r="B206" s="15">
        <v>5</v>
      </c>
      <c r="C206" s="16">
        <v>1</v>
      </c>
      <c r="D206" s="17" t="s">
        <v>423</v>
      </c>
      <c r="E206" s="17" t="s">
        <v>424</v>
      </c>
      <c r="F206" s="15">
        <v>98</v>
      </c>
      <c r="G206" s="15">
        <v>130.5</v>
      </c>
      <c r="H206" s="15">
        <v>114.5</v>
      </c>
      <c r="I206" s="15">
        <v>55.5</v>
      </c>
      <c r="J206" s="15"/>
      <c r="K206" s="15">
        <v>52</v>
      </c>
      <c r="L206" s="15">
        <v>54</v>
      </c>
      <c r="M206" s="15"/>
      <c r="N206" s="15"/>
      <c r="O206" s="15">
        <v>343</v>
      </c>
      <c r="P206" s="15">
        <v>504.5</v>
      </c>
    </row>
    <row r="207" ht="14.25" spans="1:16">
      <c r="A207" s="13">
        <v>206</v>
      </c>
      <c r="B207" s="15">
        <v>5</v>
      </c>
      <c r="C207" s="16">
        <v>2</v>
      </c>
      <c r="D207" s="17" t="s">
        <v>425</v>
      </c>
      <c r="E207" s="17" t="s">
        <v>426</v>
      </c>
      <c r="F207" s="15">
        <v>93</v>
      </c>
      <c r="G207" s="15">
        <v>99</v>
      </c>
      <c r="H207" s="15">
        <v>81.5</v>
      </c>
      <c r="I207" s="15">
        <v>19</v>
      </c>
      <c r="J207" s="15"/>
      <c r="K207" s="15">
        <v>21</v>
      </c>
      <c r="L207" s="15">
        <v>57</v>
      </c>
      <c r="M207" s="15"/>
      <c r="N207" s="15"/>
      <c r="O207" s="15">
        <v>273.5</v>
      </c>
      <c r="P207" s="15">
        <v>370.5</v>
      </c>
    </row>
    <row r="208" ht="14.25" spans="1:16">
      <c r="A208" s="13">
        <v>207</v>
      </c>
      <c r="B208" s="15">
        <v>5</v>
      </c>
      <c r="C208" s="16">
        <v>4</v>
      </c>
      <c r="D208" s="17" t="s">
        <v>427</v>
      </c>
      <c r="E208" s="17" t="s">
        <v>428</v>
      </c>
      <c r="F208" s="15">
        <v>84.5</v>
      </c>
      <c r="G208" s="15">
        <v>96</v>
      </c>
      <c r="H208" s="15">
        <v>101.75</v>
      </c>
      <c r="I208" s="15">
        <v>34.5</v>
      </c>
      <c r="J208" s="15"/>
      <c r="K208" s="15">
        <v>24.5</v>
      </c>
      <c r="L208" s="15">
        <v>46.5</v>
      </c>
      <c r="M208" s="15"/>
      <c r="N208" s="15"/>
      <c r="O208" s="15">
        <v>282.25</v>
      </c>
      <c r="P208" s="15">
        <v>387.75</v>
      </c>
    </row>
    <row r="209" ht="14.25" spans="1:16">
      <c r="A209" s="13">
        <v>208</v>
      </c>
      <c r="B209" s="15">
        <v>5</v>
      </c>
      <c r="C209" s="16">
        <v>5</v>
      </c>
      <c r="D209" s="17" t="s">
        <v>429</v>
      </c>
      <c r="E209" s="17" t="s">
        <v>430</v>
      </c>
      <c r="F209" s="15">
        <v>98.5</v>
      </c>
      <c r="G209" s="15">
        <v>120</v>
      </c>
      <c r="H209" s="15">
        <v>95.5</v>
      </c>
      <c r="I209" s="15">
        <v>51</v>
      </c>
      <c r="J209" s="15"/>
      <c r="K209" s="15">
        <v>39.5</v>
      </c>
      <c r="L209" s="15">
        <v>53</v>
      </c>
      <c r="M209" s="15"/>
      <c r="N209" s="15"/>
      <c r="O209" s="15">
        <v>314</v>
      </c>
      <c r="P209" s="15">
        <v>457.5</v>
      </c>
    </row>
    <row r="210" ht="14.25" spans="1:16">
      <c r="A210" s="13">
        <v>209</v>
      </c>
      <c r="B210" s="15">
        <v>5</v>
      </c>
      <c r="C210" s="16">
        <v>6</v>
      </c>
      <c r="D210" s="17" t="s">
        <v>431</v>
      </c>
      <c r="E210" s="17" t="s">
        <v>432</v>
      </c>
      <c r="F210" s="15">
        <v>88</v>
      </c>
      <c r="G210" s="15">
        <v>116</v>
      </c>
      <c r="H210" s="15">
        <v>116.25</v>
      </c>
      <c r="I210" s="15">
        <v>53</v>
      </c>
      <c r="J210" s="15"/>
      <c r="K210" s="15">
        <v>45</v>
      </c>
      <c r="L210" s="15">
        <v>46</v>
      </c>
      <c r="M210" s="15"/>
      <c r="N210" s="15"/>
      <c r="O210" s="15">
        <v>320.25</v>
      </c>
      <c r="P210" s="15">
        <v>464.25</v>
      </c>
    </row>
    <row r="211" ht="14.25" spans="1:16">
      <c r="A211" s="13">
        <v>210</v>
      </c>
      <c r="B211" s="15">
        <v>5</v>
      </c>
      <c r="C211" s="16">
        <v>7</v>
      </c>
      <c r="D211" s="17" t="s">
        <v>433</v>
      </c>
      <c r="E211" s="17" t="s">
        <v>434</v>
      </c>
      <c r="F211" s="15">
        <v>107.5</v>
      </c>
      <c r="G211" s="15">
        <v>115.5</v>
      </c>
      <c r="H211" s="15">
        <v>96.75</v>
      </c>
      <c r="I211" s="15">
        <v>64</v>
      </c>
      <c r="J211" s="15"/>
      <c r="K211" s="15">
        <v>49</v>
      </c>
      <c r="L211" s="15">
        <v>49.5</v>
      </c>
      <c r="M211" s="15"/>
      <c r="N211" s="15"/>
      <c r="O211" s="15">
        <v>319.75</v>
      </c>
      <c r="P211" s="15">
        <v>482.25</v>
      </c>
    </row>
    <row r="212" ht="14.25" spans="1:16">
      <c r="A212" s="13">
        <v>211</v>
      </c>
      <c r="B212" s="15">
        <v>5</v>
      </c>
      <c r="C212" s="16">
        <v>8</v>
      </c>
      <c r="D212" s="17" t="s">
        <v>435</v>
      </c>
      <c r="E212" s="17" t="s">
        <v>436</v>
      </c>
      <c r="F212" s="15">
        <v>97</v>
      </c>
      <c r="G212" s="15">
        <v>120.5</v>
      </c>
      <c r="H212" s="15">
        <v>89</v>
      </c>
      <c r="I212" s="15">
        <v>66.5</v>
      </c>
      <c r="J212" s="15"/>
      <c r="K212" s="15">
        <v>46</v>
      </c>
      <c r="L212" s="15">
        <v>50</v>
      </c>
      <c r="M212" s="15"/>
      <c r="N212" s="15"/>
      <c r="O212" s="15">
        <v>306.5</v>
      </c>
      <c r="P212" s="15">
        <v>469</v>
      </c>
    </row>
    <row r="213" ht="14.25" spans="1:16">
      <c r="A213" s="13">
        <v>212</v>
      </c>
      <c r="B213" s="15">
        <v>5</v>
      </c>
      <c r="C213" s="16">
        <v>9</v>
      </c>
      <c r="D213" s="17" t="s">
        <v>437</v>
      </c>
      <c r="E213" s="17" t="s">
        <v>438</v>
      </c>
      <c r="F213" s="15">
        <v>91.5</v>
      </c>
      <c r="G213" s="15">
        <v>98</v>
      </c>
      <c r="H213" s="15">
        <v>100.5</v>
      </c>
      <c r="I213" s="15">
        <v>35.5</v>
      </c>
      <c r="J213" s="15"/>
      <c r="K213" s="15">
        <v>50</v>
      </c>
      <c r="L213" s="15">
        <v>41.5</v>
      </c>
      <c r="M213" s="15"/>
      <c r="N213" s="15"/>
      <c r="O213" s="15">
        <v>290</v>
      </c>
      <c r="P213" s="15">
        <v>417</v>
      </c>
    </row>
    <row r="214" ht="14.25" spans="1:16">
      <c r="A214" s="13">
        <v>213</v>
      </c>
      <c r="B214" s="15">
        <v>5</v>
      </c>
      <c r="C214" s="16">
        <v>10</v>
      </c>
      <c r="D214" s="17" t="s">
        <v>439</v>
      </c>
      <c r="E214" s="17" t="s">
        <v>440</v>
      </c>
      <c r="F214" s="15">
        <v>107</v>
      </c>
      <c r="G214" s="15">
        <v>112.5</v>
      </c>
      <c r="H214" s="15">
        <v>90.5</v>
      </c>
      <c r="I214" s="15">
        <v>47</v>
      </c>
      <c r="J214" s="15"/>
      <c r="K214" s="15">
        <v>39</v>
      </c>
      <c r="L214" s="15">
        <v>63.5</v>
      </c>
      <c r="M214" s="15"/>
      <c r="N214" s="15"/>
      <c r="O214" s="15">
        <v>310</v>
      </c>
      <c r="P214" s="15">
        <v>459.5</v>
      </c>
    </row>
    <row r="215" ht="14.25" spans="1:16">
      <c r="A215" s="13">
        <v>214</v>
      </c>
      <c r="B215" s="15">
        <v>5</v>
      </c>
      <c r="C215" s="16">
        <v>11</v>
      </c>
      <c r="D215" s="17" t="s">
        <v>441</v>
      </c>
      <c r="E215" s="17" t="s">
        <v>442</v>
      </c>
      <c r="F215" s="15">
        <v>94.5</v>
      </c>
      <c r="G215" s="15">
        <v>104</v>
      </c>
      <c r="H215" s="15">
        <v>110</v>
      </c>
      <c r="I215" s="15">
        <v>40.5</v>
      </c>
      <c r="J215" s="15"/>
      <c r="K215" s="15">
        <v>28.5</v>
      </c>
      <c r="L215" s="15">
        <v>55.5</v>
      </c>
      <c r="M215" s="15"/>
      <c r="N215" s="15"/>
      <c r="O215" s="15">
        <v>308.5</v>
      </c>
      <c r="P215" s="15">
        <v>433</v>
      </c>
    </row>
    <row r="216" ht="14.25" spans="1:16">
      <c r="A216" s="13">
        <v>215</v>
      </c>
      <c r="B216" s="15">
        <v>5</v>
      </c>
      <c r="C216" s="16">
        <v>12</v>
      </c>
      <c r="D216" s="17" t="s">
        <v>443</v>
      </c>
      <c r="E216" s="17" t="s">
        <v>444</v>
      </c>
      <c r="F216" s="15">
        <v>97.5</v>
      </c>
      <c r="G216" s="15">
        <v>116</v>
      </c>
      <c r="H216" s="15">
        <v>74.5</v>
      </c>
      <c r="I216" s="15">
        <v>47.5</v>
      </c>
      <c r="J216" s="15"/>
      <c r="K216" s="15">
        <v>40</v>
      </c>
      <c r="L216" s="15">
        <v>44.5</v>
      </c>
      <c r="M216" s="15"/>
      <c r="N216" s="15"/>
      <c r="O216" s="15">
        <v>288</v>
      </c>
      <c r="P216" s="15">
        <v>420</v>
      </c>
    </row>
    <row r="217" ht="14.25" spans="1:16">
      <c r="A217" s="13">
        <v>216</v>
      </c>
      <c r="B217" s="15">
        <v>5</v>
      </c>
      <c r="C217" s="16">
        <v>13</v>
      </c>
      <c r="D217" s="17" t="s">
        <v>445</v>
      </c>
      <c r="E217" s="17" t="s">
        <v>446</v>
      </c>
      <c r="F217" s="15">
        <v>104</v>
      </c>
      <c r="G217" s="15">
        <v>79</v>
      </c>
      <c r="H217" s="15">
        <v>71.75</v>
      </c>
      <c r="I217" s="15">
        <v>22</v>
      </c>
      <c r="J217" s="15"/>
      <c r="K217" s="15">
        <v>26.5</v>
      </c>
      <c r="L217" s="15">
        <v>44.5</v>
      </c>
      <c r="M217" s="15"/>
      <c r="N217" s="15"/>
      <c r="O217" s="15">
        <v>254.75</v>
      </c>
      <c r="P217" s="15">
        <v>347.75</v>
      </c>
    </row>
    <row r="218" ht="14.25" spans="1:16">
      <c r="A218" s="13">
        <v>217</v>
      </c>
      <c r="B218" s="15">
        <v>5</v>
      </c>
      <c r="C218" s="16">
        <v>14</v>
      </c>
      <c r="D218" s="17" t="s">
        <v>447</v>
      </c>
      <c r="E218" s="17" t="s">
        <v>448</v>
      </c>
      <c r="F218" s="15">
        <v>102</v>
      </c>
      <c r="G218" s="15">
        <v>99.5</v>
      </c>
      <c r="H218" s="15">
        <v>101.5</v>
      </c>
      <c r="I218" s="15">
        <v>41</v>
      </c>
      <c r="J218" s="15"/>
      <c r="K218" s="15">
        <v>55.5</v>
      </c>
      <c r="L218" s="15">
        <v>46.5</v>
      </c>
      <c r="M218" s="15"/>
      <c r="N218" s="15"/>
      <c r="O218" s="15">
        <v>303</v>
      </c>
      <c r="P218" s="15">
        <v>446</v>
      </c>
    </row>
    <row r="219" ht="14.25" spans="1:16">
      <c r="A219" s="13">
        <v>218</v>
      </c>
      <c r="B219" s="15">
        <v>5</v>
      </c>
      <c r="C219" s="16">
        <v>15</v>
      </c>
      <c r="D219" s="17" t="s">
        <v>449</v>
      </c>
      <c r="E219" s="17" t="s">
        <v>450</v>
      </c>
      <c r="F219" s="15">
        <v>90.5</v>
      </c>
      <c r="G219" s="15">
        <v>105</v>
      </c>
      <c r="H219" s="15">
        <v>94</v>
      </c>
      <c r="I219" s="15">
        <v>60.5</v>
      </c>
      <c r="J219" s="15"/>
      <c r="K219" s="15">
        <v>55</v>
      </c>
      <c r="L219" s="15">
        <v>50</v>
      </c>
      <c r="M219" s="15"/>
      <c r="N219" s="15"/>
      <c r="O219" s="15">
        <v>289.5</v>
      </c>
      <c r="P219" s="15">
        <v>455</v>
      </c>
    </row>
    <row r="220" ht="14.25" spans="1:16">
      <c r="A220" s="13">
        <v>219</v>
      </c>
      <c r="B220" s="15">
        <v>5</v>
      </c>
      <c r="C220" s="16">
        <v>16</v>
      </c>
      <c r="D220" s="17" t="s">
        <v>451</v>
      </c>
      <c r="E220" s="17" t="s">
        <v>452</v>
      </c>
      <c r="F220" s="15">
        <v>82</v>
      </c>
      <c r="G220" s="15">
        <v>114.5</v>
      </c>
      <c r="H220" s="15">
        <v>92.5</v>
      </c>
      <c r="I220" s="15">
        <v>63</v>
      </c>
      <c r="J220" s="15"/>
      <c r="K220" s="15">
        <v>35.5</v>
      </c>
      <c r="L220" s="15">
        <v>46.5</v>
      </c>
      <c r="M220" s="15"/>
      <c r="N220" s="15"/>
      <c r="O220" s="15">
        <v>289</v>
      </c>
      <c r="P220" s="15">
        <v>434</v>
      </c>
    </row>
    <row r="221" ht="14.25" spans="1:16">
      <c r="A221" s="13">
        <v>220</v>
      </c>
      <c r="B221" s="15">
        <v>5</v>
      </c>
      <c r="C221" s="16">
        <v>17</v>
      </c>
      <c r="D221" s="17" t="s">
        <v>453</v>
      </c>
      <c r="E221" s="17" t="s">
        <v>454</v>
      </c>
      <c r="F221" s="15">
        <v>103.5</v>
      </c>
      <c r="G221" s="15">
        <v>69</v>
      </c>
      <c r="H221" s="15">
        <v>78</v>
      </c>
      <c r="I221" s="15">
        <v>36.5</v>
      </c>
      <c r="J221" s="15"/>
      <c r="K221" s="15">
        <v>40</v>
      </c>
      <c r="L221" s="15">
        <v>40.5</v>
      </c>
      <c r="M221" s="15"/>
      <c r="N221" s="15"/>
      <c r="O221" s="15">
        <v>250.5</v>
      </c>
      <c r="P221" s="15">
        <v>367.5</v>
      </c>
    </row>
    <row r="222" ht="14.25" spans="1:16">
      <c r="A222" s="13">
        <v>221</v>
      </c>
      <c r="B222" s="15">
        <v>5</v>
      </c>
      <c r="C222" s="16">
        <v>18</v>
      </c>
      <c r="D222" s="17" t="s">
        <v>455</v>
      </c>
      <c r="E222" s="17" t="s">
        <v>456</v>
      </c>
      <c r="F222" s="15">
        <v>105</v>
      </c>
      <c r="G222" s="15">
        <v>122.5</v>
      </c>
      <c r="H222" s="15">
        <v>64.5</v>
      </c>
      <c r="I222" s="15">
        <v>65</v>
      </c>
      <c r="J222" s="15"/>
      <c r="K222" s="15">
        <v>45</v>
      </c>
      <c r="L222" s="15">
        <v>51.5</v>
      </c>
      <c r="M222" s="15"/>
      <c r="N222" s="15"/>
      <c r="O222" s="15">
        <v>292</v>
      </c>
      <c r="P222" s="15">
        <v>453.5</v>
      </c>
    </row>
    <row r="223" ht="14.25" spans="1:16">
      <c r="A223" s="13">
        <v>222</v>
      </c>
      <c r="B223" s="15">
        <v>5</v>
      </c>
      <c r="C223" s="16">
        <v>19</v>
      </c>
      <c r="D223" s="17" t="s">
        <v>457</v>
      </c>
      <c r="E223" s="17" t="s">
        <v>458</v>
      </c>
      <c r="F223" s="15">
        <v>97.5</v>
      </c>
      <c r="G223" s="15">
        <v>110.5</v>
      </c>
      <c r="H223" s="15">
        <v>88.75</v>
      </c>
      <c r="I223" s="15">
        <v>51.5</v>
      </c>
      <c r="J223" s="15"/>
      <c r="K223" s="15">
        <v>48</v>
      </c>
      <c r="L223" s="15">
        <v>58</v>
      </c>
      <c r="M223" s="15"/>
      <c r="N223" s="15"/>
      <c r="O223" s="15">
        <v>296.75</v>
      </c>
      <c r="P223" s="15">
        <v>454.25</v>
      </c>
    </row>
    <row r="224" ht="14.25" spans="1:16">
      <c r="A224" s="13">
        <v>223</v>
      </c>
      <c r="B224" s="15">
        <v>5</v>
      </c>
      <c r="C224" s="16">
        <v>20</v>
      </c>
      <c r="D224" s="17" t="s">
        <v>459</v>
      </c>
      <c r="E224" s="17" t="s">
        <v>460</v>
      </c>
      <c r="F224" s="15">
        <v>109</v>
      </c>
      <c r="G224" s="15">
        <v>109</v>
      </c>
      <c r="H224" s="15">
        <v>97.5</v>
      </c>
      <c r="I224" s="15">
        <v>59.5</v>
      </c>
      <c r="J224" s="15"/>
      <c r="K224" s="15">
        <v>44</v>
      </c>
      <c r="L224" s="15">
        <v>49.25</v>
      </c>
      <c r="M224" s="15"/>
      <c r="N224" s="15"/>
      <c r="O224" s="15">
        <v>315.5</v>
      </c>
      <c r="P224" s="15">
        <v>468.25</v>
      </c>
    </row>
    <row r="225" ht="14.25" spans="1:16">
      <c r="A225" s="13">
        <v>224</v>
      </c>
      <c r="B225" s="15">
        <v>5</v>
      </c>
      <c r="C225" s="16">
        <v>21</v>
      </c>
      <c r="D225" s="17" t="s">
        <v>461</v>
      </c>
      <c r="E225" s="17" t="s">
        <v>462</v>
      </c>
      <c r="F225" s="15">
        <v>93</v>
      </c>
      <c r="G225" s="15">
        <v>103.5</v>
      </c>
      <c r="H225" s="15">
        <v>114.75</v>
      </c>
      <c r="I225" s="15">
        <v>46</v>
      </c>
      <c r="J225" s="15"/>
      <c r="K225" s="15">
        <v>40.5</v>
      </c>
      <c r="L225" s="15">
        <v>45</v>
      </c>
      <c r="M225" s="15"/>
      <c r="N225" s="15"/>
      <c r="O225" s="15">
        <v>311.25</v>
      </c>
      <c r="P225" s="15">
        <v>442.75</v>
      </c>
    </row>
    <row r="226" ht="14.25" spans="1:16">
      <c r="A226" s="13">
        <v>225</v>
      </c>
      <c r="B226" s="15">
        <v>5</v>
      </c>
      <c r="C226" s="16">
        <v>22</v>
      </c>
      <c r="D226" s="17" t="s">
        <v>463</v>
      </c>
      <c r="E226" s="17" t="s">
        <v>464</v>
      </c>
      <c r="F226" s="15">
        <v>94.5</v>
      </c>
      <c r="G226" s="15">
        <v>126.5</v>
      </c>
      <c r="H226" s="15">
        <v>98.5</v>
      </c>
      <c r="I226" s="15">
        <v>58</v>
      </c>
      <c r="J226" s="15"/>
      <c r="K226" s="15">
        <v>39.5</v>
      </c>
      <c r="L226" s="15">
        <v>57</v>
      </c>
      <c r="M226" s="15"/>
      <c r="N226" s="15"/>
      <c r="O226" s="15">
        <v>319.5</v>
      </c>
      <c r="P226" s="15">
        <v>474</v>
      </c>
    </row>
    <row r="227" ht="14.25" spans="1:16">
      <c r="A227" s="13">
        <v>226</v>
      </c>
      <c r="B227" s="15">
        <v>5</v>
      </c>
      <c r="C227" s="16">
        <v>23</v>
      </c>
      <c r="D227" s="17" t="s">
        <v>465</v>
      </c>
      <c r="E227" s="17" t="s">
        <v>466</v>
      </c>
      <c r="F227" s="15">
        <v>84</v>
      </c>
      <c r="G227" s="15">
        <v>104.5</v>
      </c>
      <c r="H227" s="15">
        <v>84.5</v>
      </c>
      <c r="I227" s="15">
        <v>43.5</v>
      </c>
      <c r="J227" s="15"/>
      <c r="K227" s="15">
        <v>36.5</v>
      </c>
      <c r="L227" s="15">
        <v>46</v>
      </c>
      <c r="M227" s="15"/>
      <c r="N227" s="15"/>
      <c r="O227" s="15">
        <v>273</v>
      </c>
      <c r="P227" s="15">
        <v>399</v>
      </c>
    </row>
    <row r="228" ht="14.25" spans="1:16">
      <c r="A228" s="13">
        <v>227</v>
      </c>
      <c r="B228" s="15">
        <v>5</v>
      </c>
      <c r="C228" s="16">
        <v>24</v>
      </c>
      <c r="D228" s="17" t="s">
        <v>467</v>
      </c>
      <c r="E228" s="17" t="s">
        <v>468</v>
      </c>
      <c r="F228" s="15">
        <v>105.25</v>
      </c>
      <c r="G228" s="15">
        <v>122.5</v>
      </c>
      <c r="H228" s="15">
        <v>113</v>
      </c>
      <c r="I228" s="15">
        <v>76</v>
      </c>
      <c r="J228" s="15"/>
      <c r="K228" s="15">
        <v>47.5</v>
      </c>
      <c r="L228" s="15">
        <v>48.5</v>
      </c>
      <c r="M228" s="15"/>
      <c r="N228" s="15"/>
      <c r="O228" s="15">
        <v>340.75</v>
      </c>
      <c r="P228" s="15">
        <v>512.75</v>
      </c>
    </row>
    <row r="229" ht="14.25" spans="1:16">
      <c r="A229" s="13">
        <v>228</v>
      </c>
      <c r="B229" s="15">
        <v>5</v>
      </c>
      <c r="C229" s="16">
        <v>25</v>
      </c>
      <c r="D229" s="17" t="s">
        <v>469</v>
      </c>
      <c r="E229" s="17" t="s">
        <v>470</v>
      </c>
      <c r="F229" s="15">
        <v>101</v>
      </c>
      <c r="G229" s="15">
        <v>101.5</v>
      </c>
      <c r="H229" s="15">
        <v>97</v>
      </c>
      <c r="I229" s="15">
        <v>50.5</v>
      </c>
      <c r="J229" s="15"/>
      <c r="K229" s="15">
        <v>43</v>
      </c>
      <c r="L229" s="15">
        <v>67</v>
      </c>
      <c r="M229" s="15"/>
      <c r="N229" s="15"/>
      <c r="O229" s="15">
        <v>299.5</v>
      </c>
      <c r="P229" s="15">
        <v>460</v>
      </c>
    </row>
    <row r="230" ht="14.25" spans="1:16">
      <c r="A230" s="13">
        <v>229</v>
      </c>
      <c r="B230" s="15">
        <v>5</v>
      </c>
      <c r="C230" s="16">
        <v>26</v>
      </c>
      <c r="D230" s="17" t="s">
        <v>471</v>
      </c>
      <c r="E230" s="17" t="s">
        <v>472</v>
      </c>
      <c r="F230" s="15">
        <v>101</v>
      </c>
      <c r="G230" s="15">
        <v>109.5</v>
      </c>
      <c r="H230" s="15">
        <v>113</v>
      </c>
      <c r="I230" s="15">
        <v>75.5</v>
      </c>
      <c r="J230" s="15"/>
      <c r="K230" s="15">
        <v>48</v>
      </c>
      <c r="L230" s="15">
        <v>49</v>
      </c>
      <c r="M230" s="15"/>
      <c r="N230" s="15"/>
      <c r="O230" s="15">
        <v>323.5</v>
      </c>
      <c r="P230" s="15">
        <v>496</v>
      </c>
    </row>
    <row r="231" ht="14.25" spans="1:16">
      <c r="A231" s="13">
        <v>230</v>
      </c>
      <c r="B231" s="15">
        <v>5</v>
      </c>
      <c r="C231" s="16">
        <v>27</v>
      </c>
      <c r="D231" s="17" t="s">
        <v>473</v>
      </c>
      <c r="E231" s="17" t="s">
        <v>474</v>
      </c>
      <c r="F231" s="15">
        <v>98</v>
      </c>
      <c r="G231" s="15">
        <v>119</v>
      </c>
      <c r="H231" s="15">
        <v>84.25</v>
      </c>
      <c r="I231" s="15">
        <v>61.5</v>
      </c>
      <c r="J231" s="15"/>
      <c r="K231" s="15">
        <v>34.5</v>
      </c>
      <c r="L231" s="15">
        <v>50.5</v>
      </c>
      <c r="M231" s="15"/>
      <c r="N231" s="15"/>
      <c r="O231" s="15">
        <v>301.25</v>
      </c>
      <c r="P231" s="15">
        <v>447.75</v>
      </c>
    </row>
    <row r="232" ht="14.25" spans="1:16">
      <c r="A232" s="13">
        <v>231</v>
      </c>
      <c r="B232" s="15">
        <v>5</v>
      </c>
      <c r="C232" s="16">
        <v>28</v>
      </c>
      <c r="D232" s="17" t="s">
        <v>475</v>
      </c>
      <c r="E232" s="17" t="s">
        <v>476</v>
      </c>
      <c r="F232" s="15">
        <v>106.5</v>
      </c>
      <c r="G232" s="15">
        <v>119.5</v>
      </c>
      <c r="H232" s="15">
        <v>111.5</v>
      </c>
      <c r="I232" s="15">
        <v>56</v>
      </c>
      <c r="J232" s="15"/>
      <c r="K232" s="15">
        <v>37.5</v>
      </c>
      <c r="L232" s="15">
        <v>46</v>
      </c>
      <c r="M232" s="15"/>
      <c r="N232" s="15"/>
      <c r="O232" s="15">
        <v>337.5</v>
      </c>
      <c r="P232" s="15">
        <v>477</v>
      </c>
    </row>
    <row r="233" ht="14.25" spans="1:16">
      <c r="A233" s="13">
        <v>232</v>
      </c>
      <c r="B233" s="15">
        <v>5</v>
      </c>
      <c r="C233" s="16">
        <v>29</v>
      </c>
      <c r="D233" s="17" t="s">
        <v>477</v>
      </c>
      <c r="E233" s="17" t="s">
        <v>478</v>
      </c>
      <c r="F233" s="15">
        <v>76</v>
      </c>
      <c r="G233" s="15">
        <v>111</v>
      </c>
      <c r="H233" s="15">
        <v>82.25</v>
      </c>
      <c r="I233" s="15">
        <v>29.5</v>
      </c>
      <c r="J233" s="15"/>
      <c r="K233" s="15">
        <v>25</v>
      </c>
      <c r="L233" s="15">
        <v>36</v>
      </c>
      <c r="M233" s="15"/>
      <c r="N233" s="15"/>
      <c r="O233" s="15">
        <v>269.25</v>
      </c>
      <c r="P233" s="15">
        <v>359.75</v>
      </c>
    </row>
    <row r="234" ht="14.25" spans="1:16">
      <c r="A234" s="13">
        <v>233</v>
      </c>
      <c r="B234" s="15">
        <v>5</v>
      </c>
      <c r="C234" s="16">
        <v>30</v>
      </c>
      <c r="D234" s="17" t="s">
        <v>479</v>
      </c>
      <c r="E234" s="17" t="s">
        <v>480</v>
      </c>
      <c r="F234" s="15">
        <v>100.75</v>
      </c>
      <c r="G234" s="15">
        <v>77.5</v>
      </c>
      <c r="H234" s="15">
        <v>88</v>
      </c>
      <c r="I234" s="15">
        <v>43.5</v>
      </c>
      <c r="J234" s="15"/>
      <c r="K234" s="15">
        <v>53</v>
      </c>
      <c r="L234" s="15">
        <v>55</v>
      </c>
      <c r="M234" s="15"/>
      <c r="N234" s="15"/>
      <c r="O234" s="15">
        <v>266.25</v>
      </c>
      <c r="P234" s="15">
        <v>417.75</v>
      </c>
    </row>
    <row r="235" ht="14.25" spans="1:16">
      <c r="A235" s="13">
        <v>234</v>
      </c>
      <c r="B235" s="15">
        <v>5</v>
      </c>
      <c r="C235" s="16">
        <v>31</v>
      </c>
      <c r="D235" s="17" t="s">
        <v>481</v>
      </c>
      <c r="E235" s="17" t="s">
        <v>482</v>
      </c>
      <c r="F235" s="15">
        <v>90.75</v>
      </c>
      <c r="G235" s="15">
        <v>113.5</v>
      </c>
      <c r="H235" s="15">
        <v>107.5</v>
      </c>
      <c r="I235" s="15">
        <v>44.5</v>
      </c>
      <c r="J235" s="15"/>
      <c r="K235" s="15">
        <v>70</v>
      </c>
      <c r="L235" s="15">
        <v>44.5</v>
      </c>
      <c r="M235" s="15"/>
      <c r="N235" s="15"/>
      <c r="O235" s="15">
        <v>311.75</v>
      </c>
      <c r="P235" s="15">
        <v>470.75</v>
      </c>
    </row>
    <row r="236" ht="14.25" spans="1:16">
      <c r="A236" s="13">
        <v>235</v>
      </c>
      <c r="B236" s="15">
        <v>5</v>
      </c>
      <c r="C236" s="16">
        <v>32</v>
      </c>
      <c r="D236" s="17" t="s">
        <v>483</v>
      </c>
      <c r="E236" s="17" t="s">
        <v>484</v>
      </c>
      <c r="F236" s="15">
        <v>88</v>
      </c>
      <c r="G236" s="15">
        <v>117.5</v>
      </c>
      <c r="H236" s="15">
        <v>95.5</v>
      </c>
      <c r="I236" s="15">
        <v>45</v>
      </c>
      <c r="J236" s="15"/>
      <c r="K236" s="15">
        <v>40.5</v>
      </c>
      <c r="L236" s="15">
        <v>49.5</v>
      </c>
      <c r="M236" s="15"/>
      <c r="N236" s="15"/>
      <c r="O236" s="15">
        <v>301</v>
      </c>
      <c r="P236" s="15">
        <v>436</v>
      </c>
    </row>
    <row r="237" ht="14.25" spans="1:16">
      <c r="A237" s="13">
        <v>236</v>
      </c>
      <c r="B237" s="15">
        <v>5</v>
      </c>
      <c r="C237" s="16">
        <v>33</v>
      </c>
      <c r="D237" s="17" t="s">
        <v>485</v>
      </c>
      <c r="E237" s="17" t="s">
        <v>486</v>
      </c>
      <c r="F237" s="15">
        <v>93</v>
      </c>
      <c r="G237" s="15">
        <v>110</v>
      </c>
      <c r="H237" s="15">
        <v>79.5</v>
      </c>
      <c r="I237" s="15">
        <v>34</v>
      </c>
      <c r="J237" s="15"/>
      <c r="K237" s="15">
        <v>41</v>
      </c>
      <c r="L237" s="15">
        <v>48</v>
      </c>
      <c r="M237" s="15"/>
      <c r="N237" s="15"/>
      <c r="O237" s="15">
        <v>282.5</v>
      </c>
      <c r="P237" s="15">
        <v>405.5</v>
      </c>
    </row>
    <row r="238" ht="14.25" spans="1:16">
      <c r="A238" s="13">
        <v>237</v>
      </c>
      <c r="B238" s="15">
        <v>5</v>
      </c>
      <c r="C238" s="16">
        <v>34</v>
      </c>
      <c r="D238" s="17" t="s">
        <v>487</v>
      </c>
      <c r="E238" s="17" t="s">
        <v>488</v>
      </c>
      <c r="F238" s="15">
        <v>100</v>
      </c>
      <c r="G238" s="15">
        <v>118</v>
      </c>
      <c r="H238" s="15">
        <v>95.75</v>
      </c>
      <c r="I238" s="15">
        <v>61</v>
      </c>
      <c r="J238" s="15"/>
      <c r="K238" s="15">
        <v>54.5</v>
      </c>
      <c r="L238" s="15">
        <v>52</v>
      </c>
      <c r="M238" s="15"/>
      <c r="N238" s="15"/>
      <c r="O238" s="15">
        <v>313.75</v>
      </c>
      <c r="P238" s="15">
        <v>481.25</v>
      </c>
    </row>
    <row r="239" ht="14.25" spans="1:16">
      <c r="A239" s="13">
        <v>238</v>
      </c>
      <c r="B239" s="15">
        <v>5</v>
      </c>
      <c r="C239" s="16">
        <v>35</v>
      </c>
      <c r="D239" s="17" t="s">
        <v>489</v>
      </c>
      <c r="E239" s="17" t="s">
        <v>490</v>
      </c>
      <c r="F239" s="15">
        <v>101</v>
      </c>
      <c r="G239" s="15">
        <v>104.5</v>
      </c>
      <c r="H239" s="15">
        <v>96.5</v>
      </c>
      <c r="I239" s="15">
        <v>54.5</v>
      </c>
      <c r="J239" s="15"/>
      <c r="K239" s="15">
        <v>33</v>
      </c>
      <c r="L239" s="15">
        <v>48.5</v>
      </c>
      <c r="M239" s="15"/>
      <c r="N239" s="15"/>
      <c r="O239" s="15">
        <v>302</v>
      </c>
      <c r="P239" s="15">
        <v>438</v>
      </c>
    </row>
    <row r="240" ht="14.25" spans="1:16">
      <c r="A240" s="13">
        <v>239</v>
      </c>
      <c r="B240" s="15">
        <v>5</v>
      </c>
      <c r="C240" s="16">
        <v>36</v>
      </c>
      <c r="D240" s="17" t="s">
        <v>491</v>
      </c>
      <c r="E240" s="17" t="s">
        <v>492</v>
      </c>
      <c r="F240" s="15">
        <v>94</v>
      </c>
      <c r="G240" s="15">
        <v>93</v>
      </c>
      <c r="H240" s="15">
        <v>111.5</v>
      </c>
      <c r="I240" s="15">
        <v>30</v>
      </c>
      <c r="J240" s="15"/>
      <c r="K240" s="15">
        <v>34.5</v>
      </c>
      <c r="L240" s="15">
        <v>45</v>
      </c>
      <c r="M240" s="15"/>
      <c r="N240" s="15"/>
      <c r="O240" s="15">
        <v>298.5</v>
      </c>
      <c r="P240" s="15">
        <v>408</v>
      </c>
    </row>
    <row r="241" ht="14.25" spans="1:16">
      <c r="A241" s="13">
        <v>240</v>
      </c>
      <c r="B241" s="15">
        <v>5</v>
      </c>
      <c r="C241" s="16">
        <v>37</v>
      </c>
      <c r="D241" s="17" t="s">
        <v>493</v>
      </c>
      <c r="E241" s="17" t="s">
        <v>494</v>
      </c>
      <c r="F241" s="15">
        <v>90.5</v>
      </c>
      <c r="G241" s="15">
        <v>93.5</v>
      </c>
      <c r="H241" s="15">
        <v>79</v>
      </c>
      <c r="I241" s="15">
        <v>38</v>
      </c>
      <c r="J241" s="15"/>
      <c r="K241" s="15">
        <v>34</v>
      </c>
      <c r="L241" s="15">
        <v>45</v>
      </c>
      <c r="M241" s="15"/>
      <c r="N241" s="15"/>
      <c r="O241" s="15">
        <v>263</v>
      </c>
      <c r="P241" s="15">
        <v>380</v>
      </c>
    </row>
    <row r="242" ht="14.25" spans="1:16">
      <c r="A242" s="13">
        <v>241</v>
      </c>
      <c r="B242" s="15">
        <v>5</v>
      </c>
      <c r="C242" s="16">
        <v>38</v>
      </c>
      <c r="D242" s="17" t="s">
        <v>495</v>
      </c>
      <c r="E242" s="17" t="s">
        <v>496</v>
      </c>
      <c r="F242" s="15">
        <v>90.5</v>
      </c>
      <c r="G242" s="15">
        <v>88</v>
      </c>
      <c r="H242" s="15">
        <v>93.5</v>
      </c>
      <c r="I242" s="15">
        <v>49</v>
      </c>
      <c r="J242" s="15"/>
      <c r="K242" s="15">
        <v>47.5</v>
      </c>
      <c r="L242" s="15">
        <v>54</v>
      </c>
      <c r="M242" s="15"/>
      <c r="N242" s="15"/>
      <c r="O242" s="15">
        <v>272</v>
      </c>
      <c r="P242" s="15">
        <v>422.5</v>
      </c>
    </row>
    <row r="243" ht="14.25" spans="1:16">
      <c r="A243" s="13">
        <v>242</v>
      </c>
      <c r="B243" s="15">
        <v>5</v>
      </c>
      <c r="C243" s="16">
        <v>39</v>
      </c>
      <c r="D243" s="17" t="s">
        <v>497</v>
      </c>
      <c r="E243" s="17" t="s">
        <v>498</v>
      </c>
      <c r="F243" s="15">
        <v>90.5</v>
      </c>
      <c r="G243" s="15">
        <v>103</v>
      </c>
      <c r="H243" s="15">
        <v>98</v>
      </c>
      <c r="I243" s="15">
        <v>81.5</v>
      </c>
      <c r="J243" s="15"/>
      <c r="K243" s="15">
        <v>27</v>
      </c>
      <c r="L243" s="15">
        <v>55.5</v>
      </c>
      <c r="M243" s="15"/>
      <c r="N243" s="15"/>
      <c r="O243" s="15">
        <v>291.5</v>
      </c>
      <c r="P243" s="15">
        <v>455.5</v>
      </c>
    </row>
    <row r="244" s="176" customFormat="1" ht="14.25" spans="1:16">
      <c r="A244" s="13">
        <v>243</v>
      </c>
      <c r="B244" s="15">
        <v>5</v>
      </c>
      <c r="C244" s="16">
        <v>40</v>
      </c>
      <c r="D244" s="17" t="s">
        <v>499</v>
      </c>
      <c r="E244" s="17" t="s">
        <v>500</v>
      </c>
      <c r="F244" s="15">
        <v>103</v>
      </c>
      <c r="G244" s="15">
        <v>97.5</v>
      </c>
      <c r="H244" s="15">
        <v>112</v>
      </c>
      <c r="I244" s="15">
        <v>44</v>
      </c>
      <c r="J244" s="15"/>
      <c r="K244" s="15">
        <v>44</v>
      </c>
      <c r="L244" s="15">
        <v>52</v>
      </c>
      <c r="M244" s="15"/>
      <c r="N244" s="15"/>
      <c r="O244" s="15">
        <v>312.5</v>
      </c>
      <c r="P244" s="15">
        <v>452.5</v>
      </c>
    </row>
    <row r="245" s="176" customFormat="1" ht="14.25" spans="1:16">
      <c r="A245" s="13">
        <v>244</v>
      </c>
      <c r="B245" s="15">
        <v>5</v>
      </c>
      <c r="C245" s="16">
        <v>41</v>
      </c>
      <c r="D245" s="17" t="s">
        <v>501</v>
      </c>
      <c r="E245" s="17" t="s">
        <v>502</v>
      </c>
      <c r="F245" s="15">
        <v>101</v>
      </c>
      <c r="G245" s="15">
        <v>91</v>
      </c>
      <c r="H245" s="15">
        <v>91</v>
      </c>
      <c r="I245" s="15">
        <v>40.5</v>
      </c>
      <c r="J245" s="15"/>
      <c r="K245" s="15">
        <v>46</v>
      </c>
      <c r="L245" s="15">
        <v>41</v>
      </c>
      <c r="M245" s="15"/>
      <c r="N245" s="15"/>
      <c r="O245" s="15">
        <v>283</v>
      </c>
      <c r="P245" s="15">
        <v>410.5</v>
      </c>
    </row>
    <row r="246" s="176" customFormat="1" ht="14.25" spans="1:16">
      <c r="A246" s="13">
        <v>245</v>
      </c>
      <c r="B246" s="15">
        <v>5</v>
      </c>
      <c r="C246" s="16">
        <v>42</v>
      </c>
      <c r="D246" s="17" t="s">
        <v>503</v>
      </c>
      <c r="E246" s="17" t="s">
        <v>288</v>
      </c>
      <c r="F246" s="15">
        <v>93.5</v>
      </c>
      <c r="G246" s="15">
        <v>108.25</v>
      </c>
      <c r="H246" s="15">
        <v>81.75</v>
      </c>
      <c r="I246" s="15">
        <v>45.5</v>
      </c>
      <c r="J246" s="15"/>
      <c r="K246" s="15">
        <v>49</v>
      </c>
      <c r="L246" s="15">
        <v>46.5</v>
      </c>
      <c r="M246" s="15"/>
      <c r="N246" s="15"/>
      <c r="O246" s="15">
        <v>283.5</v>
      </c>
      <c r="P246" s="15">
        <v>424.5</v>
      </c>
    </row>
    <row r="247" ht="14.25" spans="1:16">
      <c r="A247" s="13">
        <v>246</v>
      </c>
      <c r="B247" s="15">
        <v>5</v>
      </c>
      <c r="C247" s="16">
        <v>43</v>
      </c>
      <c r="D247" s="17" t="s">
        <v>504</v>
      </c>
      <c r="E247" s="17" t="s">
        <v>505</v>
      </c>
      <c r="F247" s="15">
        <v>97</v>
      </c>
      <c r="G247" s="15">
        <v>112.5</v>
      </c>
      <c r="H247" s="15">
        <v>96</v>
      </c>
      <c r="I247" s="15">
        <v>53</v>
      </c>
      <c r="J247" s="15"/>
      <c r="K247" s="15">
        <v>47.5</v>
      </c>
      <c r="L247" s="15">
        <v>55</v>
      </c>
      <c r="M247" s="15"/>
      <c r="N247" s="15"/>
      <c r="O247" s="15">
        <v>305.5</v>
      </c>
      <c r="P247" s="15">
        <v>461</v>
      </c>
    </row>
    <row r="248" ht="14.25" spans="1:16">
      <c r="A248" s="13">
        <v>247</v>
      </c>
      <c r="B248" s="15">
        <v>5</v>
      </c>
      <c r="C248" s="16">
        <v>44</v>
      </c>
      <c r="D248" s="17" t="s">
        <v>506</v>
      </c>
      <c r="E248" s="17" t="s">
        <v>507</v>
      </c>
      <c r="F248" s="15">
        <v>101</v>
      </c>
      <c r="G248" s="15">
        <v>115</v>
      </c>
      <c r="H248" s="15">
        <v>94.75</v>
      </c>
      <c r="I248" s="15">
        <v>38.5</v>
      </c>
      <c r="J248" s="15"/>
      <c r="K248" s="15">
        <v>42</v>
      </c>
      <c r="L248" s="15">
        <v>45.5</v>
      </c>
      <c r="M248" s="15"/>
      <c r="N248" s="15"/>
      <c r="O248" s="15">
        <v>310.75</v>
      </c>
      <c r="P248" s="15">
        <v>436.75</v>
      </c>
    </row>
    <row r="249" ht="14.25" spans="1:16">
      <c r="A249" s="13">
        <v>248</v>
      </c>
      <c r="B249" s="15">
        <v>5</v>
      </c>
      <c r="C249" s="16">
        <v>45</v>
      </c>
      <c r="D249" s="17" t="s">
        <v>508</v>
      </c>
      <c r="E249" s="17" t="s">
        <v>362</v>
      </c>
      <c r="F249" s="15">
        <v>91</v>
      </c>
      <c r="G249" s="15">
        <v>89.5</v>
      </c>
      <c r="H249" s="15">
        <v>82.75</v>
      </c>
      <c r="I249" s="15">
        <v>48</v>
      </c>
      <c r="J249" s="15"/>
      <c r="K249" s="15">
        <v>30.5</v>
      </c>
      <c r="L249" s="15">
        <v>53.5</v>
      </c>
      <c r="M249" s="15"/>
      <c r="N249" s="15"/>
      <c r="O249" s="15">
        <v>263.25</v>
      </c>
      <c r="P249" s="15">
        <v>395.25</v>
      </c>
    </row>
    <row r="250" ht="14.25" spans="1:16">
      <c r="A250" s="13">
        <v>249</v>
      </c>
      <c r="B250" s="15">
        <v>5</v>
      </c>
      <c r="C250" s="16">
        <v>47</v>
      </c>
      <c r="D250" s="17" t="s">
        <v>509</v>
      </c>
      <c r="E250" s="17" t="s">
        <v>510</v>
      </c>
      <c r="F250" s="15">
        <v>99</v>
      </c>
      <c r="G250" s="15">
        <v>95.5</v>
      </c>
      <c r="H250" s="15">
        <v>81.5</v>
      </c>
      <c r="I250" s="15">
        <v>48</v>
      </c>
      <c r="J250" s="15"/>
      <c r="K250" s="15">
        <v>47.5</v>
      </c>
      <c r="L250" s="15">
        <v>61</v>
      </c>
      <c r="M250" s="15"/>
      <c r="N250" s="15"/>
      <c r="O250" s="15">
        <v>276</v>
      </c>
      <c r="P250" s="15">
        <v>432.5</v>
      </c>
    </row>
    <row r="251" ht="14.25" spans="1:16">
      <c r="A251" s="13">
        <v>250</v>
      </c>
      <c r="B251" s="15">
        <v>5</v>
      </c>
      <c r="C251" s="16">
        <v>48</v>
      </c>
      <c r="D251" s="17" t="s">
        <v>511</v>
      </c>
      <c r="E251" s="17" t="s">
        <v>512</v>
      </c>
      <c r="F251" s="15">
        <v>86.25</v>
      </c>
      <c r="G251" s="15">
        <v>104</v>
      </c>
      <c r="H251" s="15">
        <v>104.25</v>
      </c>
      <c r="I251" s="15">
        <v>37</v>
      </c>
      <c r="J251" s="15"/>
      <c r="K251" s="15">
        <v>40</v>
      </c>
      <c r="L251" s="15">
        <v>59</v>
      </c>
      <c r="M251" s="15"/>
      <c r="N251" s="15"/>
      <c r="O251" s="15">
        <v>294.5</v>
      </c>
      <c r="P251" s="15">
        <v>430.5</v>
      </c>
    </row>
    <row r="252" ht="14.25" spans="1:16">
      <c r="A252" s="13">
        <v>251</v>
      </c>
      <c r="B252" s="15">
        <v>5</v>
      </c>
      <c r="C252" s="16">
        <v>49</v>
      </c>
      <c r="D252" s="17" t="s">
        <v>513</v>
      </c>
      <c r="E252" s="17" t="s">
        <v>514</v>
      </c>
      <c r="F252" s="15">
        <v>102</v>
      </c>
      <c r="G252" s="15">
        <v>97</v>
      </c>
      <c r="H252" s="15">
        <v>115.5</v>
      </c>
      <c r="I252" s="15">
        <v>77.5</v>
      </c>
      <c r="J252" s="15"/>
      <c r="K252" s="15">
        <v>47.5</v>
      </c>
      <c r="L252" s="15">
        <v>48.5</v>
      </c>
      <c r="M252" s="15"/>
      <c r="N252" s="15"/>
      <c r="O252" s="15">
        <v>314.5</v>
      </c>
      <c r="P252" s="15">
        <v>488</v>
      </c>
    </row>
    <row r="253" ht="14.25" spans="1:16">
      <c r="A253" s="13">
        <v>252</v>
      </c>
      <c r="B253" s="15">
        <v>6</v>
      </c>
      <c r="C253" s="16">
        <v>3</v>
      </c>
      <c r="D253" s="17" t="s">
        <v>515</v>
      </c>
      <c r="E253" s="17" t="s">
        <v>516</v>
      </c>
      <c r="F253" s="15">
        <v>100.5</v>
      </c>
      <c r="G253" s="15">
        <v>82.5</v>
      </c>
      <c r="H253" s="15">
        <v>73</v>
      </c>
      <c r="I253" s="15">
        <v>37.5</v>
      </c>
      <c r="J253" s="15"/>
      <c r="K253" s="15"/>
      <c r="L253" s="15">
        <v>53</v>
      </c>
      <c r="M253" s="15"/>
      <c r="N253" s="15">
        <v>46.5</v>
      </c>
      <c r="O253" s="15">
        <v>256</v>
      </c>
      <c r="P253" s="15">
        <v>393</v>
      </c>
    </row>
    <row r="254" ht="14.25" spans="1:16">
      <c r="A254" s="13">
        <v>253</v>
      </c>
      <c r="B254" s="15">
        <v>6</v>
      </c>
      <c r="C254" s="16">
        <v>4</v>
      </c>
      <c r="D254" s="17" t="s">
        <v>517</v>
      </c>
      <c r="E254" s="17" t="s">
        <v>518</v>
      </c>
      <c r="F254" s="15">
        <v>86.5</v>
      </c>
      <c r="G254" s="15">
        <v>87.5</v>
      </c>
      <c r="H254" s="15">
        <v>104.5</v>
      </c>
      <c r="I254" s="15">
        <v>40.5</v>
      </c>
      <c r="J254" s="15"/>
      <c r="K254" s="15"/>
      <c r="L254" s="15">
        <v>48</v>
      </c>
      <c r="M254" s="15"/>
      <c r="N254" s="15">
        <v>53.5</v>
      </c>
      <c r="O254" s="15">
        <v>278.5</v>
      </c>
      <c r="P254" s="15">
        <v>420.5</v>
      </c>
    </row>
    <row r="255" ht="14.25" spans="1:16">
      <c r="A255" s="13">
        <v>254</v>
      </c>
      <c r="B255" s="15">
        <v>6</v>
      </c>
      <c r="C255" s="16">
        <v>5</v>
      </c>
      <c r="D255" s="17" t="s">
        <v>519</v>
      </c>
      <c r="E255" s="17" t="s">
        <v>520</v>
      </c>
      <c r="F255" s="15">
        <v>100</v>
      </c>
      <c r="G255" s="15">
        <v>90</v>
      </c>
      <c r="H255" s="15">
        <v>90.5</v>
      </c>
      <c r="I255" s="15">
        <v>61</v>
      </c>
      <c r="J255" s="15"/>
      <c r="K255" s="15"/>
      <c r="L255" s="15">
        <v>55.5</v>
      </c>
      <c r="M255" s="15"/>
      <c r="N255" s="15">
        <v>56</v>
      </c>
      <c r="O255" s="15">
        <v>280.5</v>
      </c>
      <c r="P255" s="15">
        <v>453</v>
      </c>
    </row>
    <row r="256" ht="14.25" spans="1:16">
      <c r="A256" s="13">
        <v>255</v>
      </c>
      <c r="B256" s="15">
        <v>6</v>
      </c>
      <c r="C256" s="16">
        <v>6</v>
      </c>
      <c r="D256" s="17" t="s">
        <v>521</v>
      </c>
      <c r="E256" s="17" t="s">
        <v>522</v>
      </c>
      <c r="F256" s="15">
        <v>102.5</v>
      </c>
      <c r="G256" s="15">
        <v>55</v>
      </c>
      <c r="H256" s="15">
        <v>101.75</v>
      </c>
      <c r="I256" s="15">
        <v>34</v>
      </c>
      <c r="J256" s="15"/>
      <c r="K256" s="15"/>
      <c r="L256" s="15">
        <v>48.5</v>
      </c>
      <c r="M256" s="15"/>
      <c r="N256" s="15">
        <v>51</v>
      </c>
      <c r="O256" s="15">
        <v>259.25</v>
      </c>
      <c r="P256" s="15">
        <v>392.75</v>
      </c>
    </row>
    <row r="257" ht="14.25" spans="1:16">
      <c r="A257" s="13">
        <v>256</v>
      </c>
      <c r="B257" s="15">
        <v>6</v>
      </c>
      <c r="C257" s="16">
        <v>7</v>
      </c>
      <c r="D257" s="17" t="s">
        <v>523</v>
      </c>
      <c r="E257" s="17" t="s">
        <v>524</v>
      </c>
      <c r="F257" s="15">
        <v>102.5</v>
      </c>
      <c r="G257" s="15">
        <v>95</v>
      </c>
      <c r="H257" s="15">
        <v>105.75</v>
      </c>
      <c r="I257" s="15">
        <v>33</v>
      </c>
      <c r="J257" s="15"/>
      <c r="K257" s="15"/>
      <c r="L257" s="15">
        <v>47.5</v>
      </c>
      <c r="M257" s="15"/>
      <c r="N257" s="15">
        <v>48</v>
      </c>
      <c r="O257" s="15">
        <v>303.25</v>
      </c>
      <c r="P257" s="15">
        <v>431.75</v>
      </c>
    </row>
    <row r="258" ht="14.25" spans="1:16">
      <c r="A258" s="13">
        <v>257</v>
      </c>
      <c r="B258" s="15">
        <v>6</v>
      </c>
      <c r="C258" s="16">
        <v>8</v>
      </c>
      <c r="D258" s="17" t="s">
        <v>525</v>
      </c>
      <c r="E258" s="17" t="s">
        <v>526</v>
      </c>
      <c r="F258" s="15">
        <v>83.5</v>
      </c>
      <c r="G258" s="15">
        <v>80.5</v>
      </c>
      <c r="H258" s="15">
        <v>101.25</v>
      </c>
      <c r="I258" s="15">
        <v>28.5</v>
      </c>
      <c r="J258" s="15"/>
      <c r="K258" s="15"/>
      <c r="L258" s="15">
        <v>46.5</v>
      </c>
      <c r="M258" s="15"/>
      <c r="N258" s="15">
        <v>49</v>
      </c>
      <c r="O258" s="15">
        <v>265.25</v>
      </c>
      <c r="P258" s="15">
        <v>389.25</v>
      </c>
    </row>
    <row r="259" ht="14.25" spans="1:16">
      <c r="A259" s="13">
        <v>258</v>
      </c>
      <c r="B259" s="15">
        <v>6</v>
      </c>
      <c r="C259" s="16">
        <v>9</v>
      </c>
      <c r="D259" s="17" t="s">
        <v>527</v>
      </c>
      <c r="E259" s="17" t="s">
        <v>528</v>
      </c>
      <c r="F259" s="15">
        <v>91.5</v>
      </c>
      <c r="G259" s="15">
        <v>89.5</v>
      </c>
      <c r="H259" s="15">
        <v>84.75</v>
      </c>
      <c r="I259" s="15">
        <v>40.5</v>
      </c>
      <c r="J259" s="15"/>
      <c r="K259" s="15"/>
      <c r="L259" s="15">
        <v>39.25</v>
      </c>
      <c r="M259" s="15"/>
      <c r="N259" s="15">
        <v>39.5</v>
      </c>
      <c r="O259" s="15">
        <v>265.75</v>
      </c>
      <c r="P259" s="15">
        <v>385</v>
      </c>
    </row>
    <row r="260" ht="14.25" spans="1:16">
      <c r="A260" s="13">
        <v>259</v>
      </c>
      <c r="B260" s="15">
        <v>6</v>
      </c>
      <c r="C260" s="16">
        <v>10</v>
      </c>
      <c r="D260" s="17" t="s">
        <v>529</v>
      </c>
      <c r="E260" s="17" t="s">
        <v>530</v>
      </c>
      <c r="F260" s="15">
        <v>91</v>
      </c>
      <c r="G260" s="15">
        <v>80</v>
      </c>
      <c r="H260" s="15">
        <v>56</v>
      </c>
      <c r="I260" s="15">
        <v>47</v>
      </c>
      <c r="J260" s="15"/>
      <c r="K260" s="15"/>
      <c r="L260" s="15">
        <v>28</v>
      </c>
      <c r="M260" s="15"/>
      <c r="N260" s="15">
        <v>44</v>
      </c>
      <c r="O260" s="15">
        <v>227</v>
      </c>
      <c r="P260" s="15">
        <v>346</v>
      </c>
    </row>
    <row r="261" ht="14.25" spans="1:16">
      <c r="A261" s="13">
        <v>260</v>
      </c>
      <c r="B261" s="15">
        <v>6</v>
      </c>
      <c r="C261" s="16">
        <v>12</v>
      </c>
      <c r="D261" s="17" t="s">
        <v>531</v>
      </c>
      <c r="E261" s="17" t="s">
        <v>532</v>
      </c>
      <c r="F261" s="15">
        <v>101</v>
      </c>
      <c r="G261" s="15">
        <v>87</v>
      </c>
      <c r="H261" s="15">
        <v>108.25</v>
      </c>
      <c r="I261" s="15">
        <v>46.5</v>
      </c>
      <c r="J261" s="15"/>
      <c r="K261" s="15"/>
      <c r="L261" s="15">
        <v>45.5</v>
      </c>
      <c r="M261" s="15"/>
      <c r="N261" s="15">
        <v>48</v>
      </c>
      <c r="O261" s="15">
        <v>296.25</v>
      </c>
      <c r="P261" s="15">
        <v>436.25</v>
      </c>
    </row>
    <row r="262" ht="14.25" spans="1:16">
      <c r="A262" s="13">
        <v>261</v>
      </c>
      <c r="B262" s="15">
        <v>6</v>
      </c>
      <c r="C262" s="16">
        <v>13</v>
      </c>
      <c r="D262" s="17" t="s">
        <v>533</v>
      </c>
      <c r="E262" s="17" t="s">
        <v>534</v>
      </c>
      <c r="F262" s="15">
        <v>103</v>
      </c>
      <c r="G262" s="15">
        <v>91</v>
      </c>
      <c r="H262" s="15">
        <v>115.5</v>
      </c>
      <c r="I262" s="15">
        <v>53.5</v>
      </c>
      <c r="J262" s="15"/>
      <c r="K262" s="15"/>
      <c r="L262" s="15">
        <v>54.5</v>
      </c>
      <c r="M262" s="15"/>
      <c r="N262" s="15">
        <v>47.5</v>
      </c>
      <c r="O262" s="15">
        <v>309.5</v>
      </c>
      <c r="P262" s="15">
        <v>465</v>
      </c>
    </row>
    <row r="263" ht="14.25" spans="1:16">
      <c r="A263" s="13">
        <v>262</v>
      </c>
      <c r="B263" s="15">
        <v>6</v>
      </c>
      <c r="C263" s="16">
        <v>14</v>
      </c>
      <c r="D263" s="17" t="s">
        <v>535</v>
      </c>
      <c r="E263" s="17" t="s">
        <v>536</v>
      </c>
      <c r="F263" s="15">
        <v>94.5</v>
      </c>
      <c r="G263" s="15">
        <v>126</v>
      </c>
      <c r="H263" s="15">
        <v>95</v>
      </c>
      <c r="I263" s="15">
        <v>66.5</v>
      </c>
      <c r="J263" s="15"/>
      <c r="K263" s="15"/>
      <c r="L263" s="15">
        <v>61</v>
      </c>
      <c r="M263" s="15"/>
      <c r="N263" s="15">
        <v>56</v>
      </c>
      <c r="O263" s="15">
        <v>315.5</v>
      </c>
      <c r="P263" s="15">
        <v>499</v>
      </c>
    </row>
    <row r="264" ht="14.25" spans="1:16">
      <c r="A264" s="13">
        <v>263</v>
      </c>
      <c r="B264" s="15">
        <v>6</v>
      </c>
      <c r="C264" s="16">
        <v>15</v>
      </c>
      <c r="D264" s="17" t="s">
        <v>537</v>
      </c>
      <c r="E264" s="17" t="s">
        <v>538</v>
      </c>
      <c r="F264" s="15">
        <v>99.5</v>
      </c>
      <c r="G264" s="15">
        <v>105.5</v>
      </c>
      <c r="H264" s="15">
        <v>105.25</v>
      </c>
      <c r="I264" s="15">
        <v>74.5</v>
      </c>
      <c r="J264" s="15"/>
      <c r="K264" s="15"/>
      <c r="L264" s="15">
        <v>58.5</v>
      </c>
      <c r="M264" s="15"/>
      <c r="N264" s="15">
        <v>47.5</v>
      </c>
      <c r="O264" s="15">
        <v>310.25</v>
      </c>
      <c r="P264" s="15">
        <v>490.75</v>
      </c>
    </row>
    <row r="265" ht="14.25" spans="1:16">
      <c r="A265" s="13">
        <v>264</v>
      </c>
      <c r="B265" s="15">
        <v>6</v>
      </c>
      <c r="C265" s="16">
        <v>16</v>
      </c>
      <c r="D265" s="17" t="s">
        <v>539</v>
      </c>
      <c r="E265" s="17" t="s">
        <v>540</v>
      </c>
      <c r="F265" s="15">
        <v>109.25</v>
      </c>
      <c r="G265" s="15">
        <v>104.5</v>
      </c>
      <c r="H265" s="15">
        <v>110.25</v>
      </c>
      <c r="I265" s="15">
        <v>62</v>
      </c>
      <c r="J265" s="15"/>
      <c r="K265" s="15"/>
      <c r="L265" s="15">
        <v>45</v>
      </c>
      <c r="M265" s="15"/>
      <c r="N265" s="15">
        <v>58</v>
      </c>
      <c r="O265" s="15">
        <v>324</v>
      </c>
      <c r="P265" s="15">
        <v>489</v>
      </c>
    </row>
    <row r="266" ht="14.25" spans="1:16">
      <c r="A266" s="13">
        <v>265</v>
      </c>
      <c r="B266" s="15">
        <v>6</v>
      </c>
      <c r="C266" s="16">
        <v>17</v>
      </c>
      <c r="D266" s="17" t="s">
        <v>541</v>
      </c>
      <c r="E266" s="17" t="s">
        <v>542</v>
      </c>
      <c r="F266" s="15">
        <v>91</v>
      </c>
      <c r="G266" s="15">
        <v>97.5</v>
      </c>
      <c r="H266" s="15">
        <v>89.5</v>
      </c>
      <c r="I266" s="15">
        <v>80</v>
      </c>
      <c r="J266" s="15"/>
      <c r="K266" s="15"/>
      <c r="L266" s="15">
        <v>50.5</v>
      </c>
      <c r="M266" s="15"/>
      <c r="N266" s="15">
        <v>55.5</v>
      </c>
      <c r="O266" s="15">
        <v>278</v>
      </c>
      <c r="P266" s="15">
        <v>464</v>
      </c>
    </row>
    <row r="267" ht="14.25" spans="1:16">
      <c r="A267" s="13">
        <v>266</v>
      </c>
      <c r="B267" s="15">
        <v>6</v>
      </c>
      <c r="C267" s="16">
        <v>18</v>
      </c>
      <c r="D267" s="17" t="s">
        <v>543</v>
      </c>
      <c r="E267" s="17" t="s">
        <v>544</v>
      </c>
      <c r="F267" s="15">
        <v>104</v>
      </c>
      <c r="G267" s="15">
        <v>79.5</v>
      </c>
      <c r="H267" s="15">
        <v>110</v>
      </c>
      <c r="I267" s="15">
        <v>53</v>
      </c>
      <c r="J267" s="15"/>
      <c r="K267" s="15"/>
      <c r="L267" s="15">
        <v>39.5</v>
      </c>
      <c r="M267" s="15"/>
      <c r="N267" s="15">
        <v>53</v>
      </c>
      <c r="O267" s="15">
        <v>293.5</v>
      </c>
      <c r="P267" s="15">
        <v>439</v>
      </c>
    </row>
    <row r="268" ht="14.25" spans="1:16">
      <c r="A268" s="13">
        <v>267</v>
      </c>
      <c r="B268" s="15">
        <v>6</v>
      </c>
      <c r="C268" s="16">
        <v>19</v>
      </c>
      <c r="D268" s="17" t="s">
        <v>545</v>
      </c>
      <c r="E268" s="17" t="s">
        <v>546</v>
      </c>
      <c r="F268" s="15">
        <v>98</v>
      </c>
      <c r="G268" s="15">
        <v>106.5</v>
      </c>
      <c r="H268" s="15">
        <v>105</v>
      </c>
      <c r="I268" s="15">
        <v>74.5</v>
      </c>
      <c r="J268" s="15"/>
      <c r="K268" s="15"/>
      <c r="L268" s="15">
        <v>48.5</v>
      </c>
      <c r="M268" s="15"/>
      <c r="N268" s="15">
        <v>51</v>
      </c>
      <c r="O268" s="15">
        <v>309.5</v>
      </c>
      <c r="P268" s="15">
        <v>483.5</v>
      </c>
    </row>
    <row r="269" ht="14.25" spans="1:16">
      <c r="A269" s="13">
        <v>268</v>
      </c>
      <c r="B269" s="15">
        <v>6</v>
      </c>
      <c r="C269" s="16">
        <v>20</v>
      </c>
      <c r="D269" s="17" t="s">
        <v>547</v>
      </c>
      <c r="E269" s="17" t="s">
        <v>548</v>
      </c>
      <c r="F269" s="15">
        <v>90</v>
      </c>
      <c r="G269" s="15">
        <v>88</v>
      </c>
      <c r="H269" s="15">
        <v>106.5</v>
      </c>
      <c r="I269" s="15">
        <v>33.5</v>
      </c>
      <c r="J269" s="15"/>
      <c r="K269" s="15"/>
      <c r="L269" s="15">
        <v>44.5</v>
      </c>
      <c r="M269" s="15"/>
      <c r="N269" s="15">
        <v>45.5</v>
      </c>
      <c r="O269" s="15">
        <v>284.5</v>
      </c>
      <c r="P269" s="15">
        <v>408</v>
      </c>
    </row>
    <row r="270" ht="14.25" spans="1:16">
      <c r="A270" s="13">
        <v>269</v>
      </c>
      <c r="B270" s="15">
        <v>6</v>
      </c>
      <c r="C270" s="16">
        <v>21</v>
      </c>
      <c r="D270" s="17" t="s">
        <v>549</v>
      </c>
      <c r="E270" s="17" t="s">
        <v>550</v>
      </c>
      <c r="F270" s="15">
        <v>93</v>
      </c>
      <c r="G270" s="15">
        <v>86.5</v>
      </c>
      <c r="H270" s="15">
        <v>81.75</v>
      </c>
      <c r="I270" s="15">
        <v>55</v>
      </c>
      <c r="J270" s="15"/>
      <c r="K270" s="15"/>
      <c r="L270" s="15">
        <v>57.5</v>
      </c>
      <c r="M270" s="15"/>
      <c r="N270" s="15">
        <v>57</v>
      </c>
      <c r="O270" s="15">
        <v>261.25</v>
      </c>
      <c r="P270" s="15">
        <v>430.75</v>
      </c>
    </row>
    <row r="271" ht="14.25" spans="1:16">
      <c r="A271" s="13">
        <v>270</v>
      </c>
      <c r="B271" s="15">
        <v>6</v>
      </c>
      <c r="C271" s="16">
        <v>22</v>
      </c>
      <c r="D271" s="17" t="s">
        <v>551</v>
      </c>
      <c r="E271" s="17" t="s">
        <v>552</v>
      </c>
      <c r="F271" s="15">
        <v>95</v>
      </c>
      <c r="G271" s="15">
        <v>74</v>
      </c>
      <c r="H271" s="15">
        <v>109</v>
      </c>
      <c r="I271" s="15">
        <v>27.5</v>
      </c>
      <c r="J271" s="15"/>
      <c r="K271" s="15"/>
      <c r="L271" s="15">
        <v>50.5</v>
      </c>
      <c r="M271" s="15"/>
      <c r="N271" s="15">
        <v>45</v>
      </c>
      <c r="O271" s="15">
        <v>278</v>
      </c>
      <c r="P271" s="15">
        <v>401</v>
      </c>
    </row>
    <row r="272" ht="14.25" spans="1:16">
      <c r="A272" s="13">
        <v>271</v>
      </c>
      <c r="B272" s="15">
        <v>6</v>
      </c>
      <c r="C272" s="16">
        <v>23</v>
      </c>
      <c r="D272" s="17" t="s">
        <v>553</v>
      </c>
      <c r="E272" s="17" t="s">
        <v>554</v>
      </c>
      <c r="F272" s="15">
        <v>108</v>
      </c>
      <c r="G272" s="15">
        <v>87.5</v>
      </c>
      <c r="H272" s="15">
        <v>52.5</v>
      </c>
      <c r="I272" s="15">
        <v>53.5</v>
      </c>
      <c r="J272" s="15"/>
      <c r="K272" s="15"/>
      <c r="L272" s="15">
        <v>39.25</v>
      </c>
      <c r="M272" s="15"/>
      <c r="N272" s="15">
        <v>37</v>
      </c>
      <c r="O272" s="15">
        <v>248</v>
      </c>
      <c r="P272" s="15">
        <v>377.75</v>
      </c>
    </row>
    <row r="273" ht="14.25" spans="1:16">
      <c r="A273" s="13">
        <v>272</v>
      </c>
      <c r="B273" s="15">
        <v>6</v>
      </c>
      <c r="C273" s="16">
        <v>24</v>
      </c>
      <c r="D273" s="17" t="s">
        <v>555</v>
      </c>
      <c r="E273" s="17" t="s">
        <v>556</v>
      </c>
      <c r="F273" s="15">
        <v>95.75</v>
      </c>
      <c r="G273" s="15">
        <v>83</v>
      </c>
      <c r="H273" s="15">
        <v>71</v>
      </c>
      <c r="I273" s="15">
        <v>43.5</v>
      </c>
      <c r="J273" s="15"/>
      <c r="K273" s="15"/>
      <c r="L273" s="15">
        <v>49</v>
      </c>
      <c r="M273" s="15"/>
      <c r="N273" s="15">
        <v>48.5</v>
      </c>
      <c r="O273" s="15">
        <v>249.75</v>
      </c>
      <c r="P273" s="15">
        <v>390.75</v>
      </c>
    </row>
    <row r="274" ht="14.25" spans="1:16">
      <c r="A274" s="13">
        <v>273</v>
      </c>
      <c r="B274" s="15">
        <v>6</v>
      </c>
      <c r="C274" s="16">
        <v>25</v>
      </c>
      <c r="D274" s="17" t="s">
        <v>557</v>
      </c>
      <c r="E274" s="17" t="s">
        <v>558</v>
      </c>
      <c r="F274" s="15">
        <v>95</v>
      </c>
      <c r="G274" s="15">
        <v>78</v>
      </c>
      <c r="H274" s="15">
        <v>110</v>
      </c>
      <c r="I274" s="15">
        <v>42.5</v>
      </c>
      <c r="J274" s="15"/>
      <c r="K274" s="15"/>
      <c r="L274" s="15">
        <v>48</v>
      </c>
      <c r="M274" s="15"/>
      <c r="N274" s="15">
        <v>46</v>
      </c>
      <c r="O274" s="15">
        <v>283</v>
      </c>
      <c r="P274" s="15">
        <v>419.5</v>
      </c>
    </row>
    <row r="275" ht="14.25" spans="1:16">
      <c r="A275" s="13">
        <v>274</v>
      </c>
      <c r="B275" s="15">
        <v>6</v>
      </c>
      <c r="C275" s="16">
        <v>26</v>
      </c>
      <c r="D275" s="17" t="s">
        <v>559</v>
      </c>
      <c r="E275" s="17" t="s">
        <v>560</v>
      </c>
      <c r="F275" s="15">
        <v>96</v>
      </c>
      <c r="G275" s="15">
        <v>95</v>
      </c>
      <c r="H275" s="15">
        <v>88</v>
      </c>
      <c r="I275" s="15">
        <v>73.5</v>
      </c>
      <c r="J275" s="15"/>
      <c r="K275" s="15"/>
      <c r="L275" s="15">
        <v>49.5</v>
      </c>
      <c r="M275" s="15"/>
      <c r="N275" s="15">
        <v>48.5</v>
      </c>
      <c r="O275" s="15">
        <v>279</v>
      </c>
      <c r="P275" s="15">
        <v>450.5</v>
      </c>
    </row>
    <row r="276" ht="14.25" spans="1:16">
      <c r="A276" s="13">
        <v>275</v>
      </c>
      <c r="B276" s="15">
        <v>6</v>
      </c>
      <c r="C276" s="16">
        <v>27</v>
      </c>
      <c r="D276" s="17" t="s">
        <v>561</v>
      </c>
      <c r="E276" s="17" t="s">
        <v>562</v>
      </c>
      <c r="F276" s="15">
        <v>96.25</v>
      </c>
      <c r="G276" s="15">
        <v>98.5</v>
      </c>
      <c r="H276" s="15">
        <v>100</v>
      </c>
      <c r="I276" s="15">
        <v>54</v>
      </c>
      <c r="J276" s="15"/>
      <c r="K276" s="15"/>
      <c r="L276" s="15">
        <v>46.5</v>
      </c>
      <c r="M276" s="15"/>
      <c r="N276" s="15">
        <v>50.75</v>
      </c>
      <c r="O276" s="15">
        <v>294.75</v>
      </c>
      <c r="P276" s="15">
        <v>446</v>
      </c>
    </row>
    <row r="277" ht="14.25" spans="1:16">
      <c r="A277" s="13">
        <v>276</v>
      </c>
      <c r="B277" s="15">
        <v>6</v>
      </c>
      <c r="C277" s="16">
        <v>28</v>
      </c>
      <c r="D277" s="17" t="s">
        <v>563</v>
      </c>
      <c r="E277" s="17" t="s">
        <v>564</v>
      </c>
      <c r="F277" s="15">
        <v>88.75</v>
      </c>
      <c r="G277" s="15">
        <v>91</v>
      </c>
      <c r="H277" s="15">
        <v>80.5</v>
      </c>
      <c r="I277" s="15">
        <v>55</v>
      </c>
      <c r="J277" s="15"/>
      <c r="K277" s="15"/>
      <c r="L277" s="15">
        <v>46.5</v>
      </c>
      <c r="M277" s="15"/>
      <c r="N277" s="15">
        <v>41.5</v>
      </c>
      <c r="O277" s="15">
        <v>260.25</v>
      </c>
      <c r="P277" s="15">
        <v>403.25</v>
      </c>
    </row>
    <row r="278" ht="14.25" spans="1:16">
      <c r="A278" s="13">
        <v>277</v>
      </c>
      <c r="B278" s="15">
        <v>6</v>
      </c>
      <c r="C278" s="16">
        <v>29</v>
      </c>
      <c r="D278" s="17" t="s">
        <v>565</v>
      </c>
      <c r="E278" s="17" t="s">
        <v>566</v>
      </c>
      <c r="F278" s="15">
        <v>100</v>
      </c>
      <c r="G278" s="15">
        <v>58</v>
      </c>
      <c r="H278" s="15">
        <v>94</v>
      </c>
      <c r="I278" s="15">
        <v>45.5</v>
      </c>
      <c r="J278" s="15"/>
      <c r="K278" s="15"/>
      <c r="L278" s="15">
        <v>51</v>
      </c>
      <c r="M278" s="15"/>
      <c r="N278" s="15">
        <v>56.5</v>
      </c>
      <c r="O278" s="15">
        <v>252</v>
      </c>
      <c r="P278" s="15">
        <v>405</v>
      </c>
    </row>
    <row r="279" ht="14.25" spans="1:16">
      <c r="A279" s="13">
        <v>278</v>
      </c>
      <c r="B279" s="15">
        <v>6</v>
      </c>
      <c r="C279" s="16">
        <v>30</v>
      </c>
      <c r="D279" s="17" t="s">
        <v>567</v>
      </c>
      <c r="E279" s="17" t="s">
        <v>568</v>
      </c>
      <c r="F279" s="15">
        <v>89.5</v>
      </c>
      <c r="G279" s="15">
        <v>60</v>
      </c>
      <c r="H279" s="15">
        <v>82.5</v>
      </c>
      <c r="I279" s="15">
        <v>26</v>
      </c>
      <c r="J279" s="15"/>
      <c r="K279" s="15"/>
      <c r="L279" s="15">
        <v>38.5</v>
      </c>
      <c r="M279" s="15"/>
      <c r="N279" s="15">
        <v>43.5</v>
      </c>
      <c r="O279" s="15">
        <v>232</v>
      </c>
      <c r="P279" s="15">
        <v>340</v>
      </c>
    </row>
    <row r="280" ht="14.25" spans="1:16">
      <c r="A280" s="13">
        <v>279</v>
      </c>
      <c r="B280" s="15">
        <v>6</v>
      </c>
      <c r="C280" s="16">
        <v>31</v>
      </c>
      <c r="D280" s="17" t="s">
        <v>569</v>
      </c>
      <c r="E280" s="17" t="s">
        <v>570</v>
      </c>
      <c r="F280" s="15">
        <v>97</v>
      </c>
      <c r="G280" s="15">
        <v>99</v>
      </c>
      <c r="H280" s="15">
        <v>81</v>
      </c>
      <c r="I280" s="15">
        <v>28.5</v>
      </c>
      <c r="J280" s="15"/>
      <c r="K280" s="15"/>
      <c r="L280" s="15">
        <v>35.5</v>
      </c>
      <c r="M280" s="15"/>
      <c r="N280" s="15">
        <v>28.5</v>
      </c>
      <c r="O280" s="15">
        <v>277</v>
      </c>
      <c r="P280" s="15">
        <v>369.5</v>
      </c>
    </row>
    <row r="281" ht="14.25" spans="1:16">
      <c r="A281" s="13">
        <v>280</v>
      </c>
      <c r="B281" s="15">
        <v>6</v>
      </c>
      <c r="C281" s="16">
        <v>32</v>
      </c>
      <c r="D281" s="17" t="s">
        <v>571</v>
      </c>
      <c r="E281" s="17" t="s">
        <v>572</v>
      </c>
      <c r="F281" s="15">
        <v>99</v>
      </c>
      <c r="G281" s="15">
        <v>101.5</v>
      </c>
      <c r="H281" s="15">
        <v>78.75</v>
      </c>
      <c r="I281" s="15">
        <v>61.5</v>
      </c>
      <c r="J281" s="15"/>
      <c r="K281" s="15"/>
      <c r="L281" s="15">
        <v>56</v>
      </c>
      <c r="M281" s="15"/>
      <c r="N281" s="15">
        <v>64</v>
      </c>
      <c r="O281" s="15">
        <v>279.25</v>
      </c>
      <c r="P281" s="15">
        <v>460.75</v>
      </c>
    </row>
    <row r="282" ht="14.25" spans="1:16">
      <c r="A282" s="13">
        <v>281</v>
      </c>
      <c r="B282" s="15">
        <v>6</v>
      </c>
      <c r="C282" s="16">
        <v>33</v>
      </c>
      <c r="D282" s="17" t="s">
        <v>573</v>
      </c>
      <c r="E282" s="17" t="s">
        <v>574</v>
      </c>
      <c r="F282" s="15">
        <v>95.5</v>
      </c>
      <c r="G282" s="15">
        <v>88.5</v>
      </c>
      <c r="H282" s="15">
        <v>92.5</v>
      </c>
      <c r="I282" s="15">
        <v>35</v>
      </c>
      <c r="J282" s="15"/>
      <c r="K282" s="15"/>
      <c r="L282" s="15">
        <v>42</v>
      </c>
      <c r="M282" s="15"/>
      <c r="N282" s="15">
        <v>22</v>
      </c>
      <c r="O282" s="15">
        <v>276.5</v>
      </c>
      <c r="P282" s="15">
        <v>375.5</v>
      </c>
    </row>
    <row r="283" ht="14.25" spans="1:16">
      <c r="A283" s="13">
        <v>282</v>
      </c>
      <c r="B283" s="15">
        <v>6</v>
      </c>
      <c r="C283" s="16">
        <v>34</v>
      </c>
      <c r="D283" s="17" t="s">
        <v>575</v>
      </c>
      <c r="E283" s="17" t="s">
        <v>576</v>
      </c>
      <c r="F283" s="15">
        <v>97.5</v>
      </c>
      <c r="G283" s="15">
        <v>103</v>
      </c>
      <c r="H283" s="15">
        <v>112</v>
      </c>
      <c r="I283" s="15">
        <v>58.5</v>
      </c>
      <c r="J283" s="15"/>
      <c r="K283" s="15"/>
      <c r="L283" s="15">
        <v>52</v>
      </c>
      <c r="M283" s="15"/>
      <c r="N283" s="15">
        <v>55</v>
      </c>
      <c r="O283" s="15">
        <v>312.5</v>
      </c>
      <c r="P283" s="15">
        <v>478</v>
      </c>
    </row>
    <row r="284" ht="14.25" spans="1:16">
      <c r="A284" s="13">
        <v>283</v>
      </c>
      <c r="B284" s="15">
        <v>6</v>
      </c>
      <c r="C284" s="16">
        <v>35</v>
      </c>
      <c r="D284" s="17" t="s">
        <v>577</v>
      </c>
      <c r="E284" s="17" t="s">
        <v>578</v>
      </c>
      <c r="F284" s="15">
        <v>94.5</v>
      </c>
      <c r="G284" s="15">
        <v>94.5</v>
      </c>
      <c r="H284" s="15">
        <v>93</v>
      </c>
      <c r="I284" s="15">
        <v>51</v>
      </c>
      <c r="J284" s="15"/>
      <c r="K284" s="15"/>
      <c r="L284" s="15">
        <v>41.5</v>
      </c>
      <c r="M284" s="15"/>
      <c r="N284" s="15">
        <v>54.5</v>
      </c>
      <c r="O284" s="15">
        <v>282</v>
      </c>
      <c r="P284" s="15">
        <v>429</v>
      </c>
    </row>
    <row r="285" ht="14.25" spans="1:16">
      <c r="A285" s="13">
        <v>284</v>
      </c>
      <c r="B285" s="15">
        <v>6</v>
      </c>
      <c r="C285" s="16">
        <v>36</v>
      </c>
      <c r="D285" s="17" t="s">
        <v>579</v>
      </c>
      <c r="E285" s="17" t="s">
        <v>580</v>
      </c>
      <c r="F285" s="15">
        <v>106</v>
      </c>
      <c r="G285" s="15">
        <v>86</v>
      </c>
      <c r="H285" s="15">
        <v>80.5</v>
      </c>
      <c r="I285" s="15">
        <v>39.5</v>
      </c>
      <c r="J285" s="15"/>
      <c r="K285" s="15"/>
      <c r="L285" s="15">
        <v>39</v>
      </c>
      <c r="M285" s="15"/>
      <c r="N285" s="15">
        <v>41</v>
      </c>
      <c r="O285" s="15">
        <v>272.5</v>
      </c>
      <c r="P285" s="15">
        <v>392</v>
      </c>
    </row>
    <row r="286" ht="14.25" spans="1:16">
      <c r="A286" s="13">
        <v>285</v>
      </c>
      <c r="B286" s="15">
        <v>6</v>
      </c>
      <c r="C286" s="16">
        <v>37</v>
      </c>
      <c r="D286" s="17" t="s">
        <v>581</v>
      </c>
      <c r="E286" s="17" t="s">
        <v>582</v>
      </c>
      <c r="F286" s="15">
        <v>105.5</v>
      </c>
      <c r="G286" s="15">
        <v>93.5</v>
      </c>
      <c r="H286" s="15">
        <v>99.5</v>
      </c>
      <c r="I286" s="15">
        <v>55.5</v>
      </c>
      <c r="J286" s="15"/>
      <c r="K286" s="15"/>
      <c r="L286" s="15">
        <v>63</v>
      </c>
      <c r="M286" s="15"/>
      <c r="N286" s="15">
        <v>73.5</v>
      </c>
      <c r="O286" s="15">
        <v>298.5</v>
      </c>
      <c r="P286" s="15">
        <v>490.5</v>
      </c>
    </row>
    <row r="287" ht="14.25" spans="1:16">
      <c r="A287" s="13">
        <v>286</v>
      </c>
      <c r="B287" s="15">
        <v>6</v>
      </c>
      <c r="C287" s="16">
        <v>38</v>
      </c>
      <c r="D287" s="17" t="s">
        <v>583</v>
      </c>
      <c r="E287" s="17" t="s">
        <v>584</v>
      </c>
      <c r="F287" s="15">
        <v>102.5</v>
      </c>
      <c r="G287" s="15">
        <v>96.5</v>
      </c>
      <c r="H287" s="15">
        <v>87</v>
      </c>
      <c r="I287" s="15">
        <v>58</v>
      </c>
      <c r="J287" s="15"/>
      <c r="K287" s="15"/>
      <c r="L287" s="15">
        <v>42.5</v>
      </c>
      <c r="M287" s="15"/>
      <c r="N287" s="15">
        <v>65</v>
      </c>
      <c r="O287" s="15">
        <v>286</v>
      </c>
      <c r="P287" s="15">
        <v>451.5</v>
      </c>
    </row>
    <row r="288" ht="14.25" spans="1:16">
      <c r="A288" s="13">
        <v>287</v>
      </c>
      <c r="B288" s="15">
        <v>6</v>
      </c>
      <c r="C288" s="16">
        <v>39</v>
      </c>
      <c r="D288" s="17" t="s">
        <v>585</v>
      </c>
      <c r="E288" s="17" t="s">
        <v>586</v>
      </c>
      <c r="F288" s="15">
        <v>88.25</v>
      </c>
      <c r="G288" s="15">
        <v>95</v>
      </c>
      <c r="H288" s="15">
        <v>95.5</v>
      </c>
      <c r="I288" s="15">
        <v>46.5</v>
      </c>
      <c r="J288" s="15"/>
      <c r="K288" s="15"/>
      <c r="L288" s="15">
        <v>38.5</v>
      </c>
      <c r="M288" s="15"/>
      <c r="N288" s="15">
        <v>35</v>
      </c>
      <c r="O288" s="15">
        <v>278.75</v>
      </c>
      <c r="P288" s="15">
        <v>398.75</v>
      </c>
    </row>
    <row r="289" ht="14.25" spans="1:16">
      <c r="A289" s="13">
        <v>288</v>
      </c>
      <c r="B289" s="15">
        <v>6</v>
      </c>
      <c r="C289" s="16">
        <v>40</v>
      </c>
      <c r="D289" s="17" t="s">
        <v>587</v>
      </c>
      <c r="E289" s="17" t="s">
        <v>588</v>
      </c>
      <c r="F289" s="15">
        <v>100.25</v>
      </c>
      <c r="G289" s="15">
        <v>87.5</v>
      </c>
      <c r="H289" s="15">
        <v>91.5</v>
      </c>
      <c r="I289" s="15">
        <v>25</v>
      </c>
      <c r="J289" s="15"/>
      <c r="K289" s="15"/>
      <c r="L289" s="15">
        <v>43.5</v>
      </c>
      <c r="M289" s="15"/>
      <c r="N289" s="15">
        <v>48</v>
      </c>
      <c r="O289" s="15">
        <v>279.25</v>
      </c>
      <c r="P289" s="15">
        <v>395.75</v>
      </c>
    </row>
    <row r="290" ht="14.25" spans="1:16">
      <c r="A290" s="13">
        <v>289</v>
      </c>
      <c r="B290" s="15">
        <v>6</v>
      </c>
      <c r="C290" s="16">
        <v>41</v>
      </c>
      <c r="D290" s="17" t="s">
        <v>589</v>
      </c>
      <c r="E290" s="17" t="s">
        <v>590</v>
      </c>
      <c r="F290" s="15">
        <v>86</v>
      </c>
      <c r="G290" s="15">
        <v>79.5</v>
      </c>
      <c r="H290" s="15">
        <v>72</v>
      </c>
      <c r="I290" s="15">
        <v>58</v>
      </c>
      <c r="J290" s="15"/>
      <c r="K290" s="15"/>
      <c r="L290" s="15">
        <v>38.5</v>
      </c>
      <c r="M290" s="15"/>
      <c r="N290" s="15">
        <v>40.5</v>
      </c>
      <c r="O290" s="15">
        <v>237.5</v>
      </c>
      <c r="P290" s="15">
        <v>374.5</v>
      </c>
    </row>
    <row r="291" ht="14.25" spans="1:16">
      <c r="A291" s="13">
        <v>290</v>
      </c>
      <c r="B291" s="15">
        <v>6</v>
      </c>
      <c r="C291" s="16">
        <v>42</v>
      </c>
      <c r="D291" s="17" t="s">
        <v>591</v>
      </c>
      <c r="E291" s="17" t="s">
        <v>592</v>
      </c>
      <c r="F291" s="15">
        <v>107.5</v>
      </c>
      <c r="G291" s="15">
        <v>96</v>
      </c>
      <c r="H291" s="15">
        <v>105.5</v>
      </c>
      <c r="I291" s="15">
        <v>64</v>
      </c>
      <c r="J291" s="15"/>
      <c r="K291" s="15"/>
      <c r="L291" s="15">
        <v>55</v>
      </c>
      <c r="M291" s="15"/>
      <c r="N291" s="15">
        <v>48.5</v>
      </c>
      <c r="O291" s="15">
        <v>309</v>
      </c>
      <c r="P291" s="15">
        <v>476.5</v>
      </c>
    </row>
    <row r="292" ht="14.25" spans="1:16">
      <c r="A292" s="13">
        <v>291</v>
      </c>
      <c r="B292" s="15">
        <v>7</v>
      </c>
      <c r="C292" s="16">
        <v>1</v>
      </c>
      <c r="D292" s="17" t="s">
        <v>593</v>
      </c>
      <c r="E292" s="17" t="s">
        <v>594</v>
      </c>
      <c r="F292" s="15">
        <v>96</v>
      </c>
      <c r="G292" s="15">
        <v>89</v>
      </c>
      <c r="H292" s="15">
        <v>92.5</v>
      </c>
      <c r="I292" s="15">
        <v>37.5</v>
      </c>
      <c r="J292" s="15"/>
      <c r="K292" s="15"/>
      <c r="L292" s="15">
        <v>44</v>
      </c>
      <c r="M292" s="15"/>
      <c r="N292" s="15">
        <v>42.5</v>
      </c>
      <c r="O292" s="15">
        <v>277.5</v>
      </c>
      <c r="P292" s="15">
        <v>401.5</v>
      </c>
    </row>
    <row r="293" ht="14.25" spans="1:16">
      <c r="A293" s="13">
        <v>292</v>
      </c>
      <c r="B293" s="15">
        <v>7</v>
      </c>
      <c r="C293" s="16">
        <v>2</v>
      </c>
      <c r="D293" s="17" t="s">
        <v>595</v>
      </c>
      <c r="E293" s="17" t="s">
        <v>596</v>
      </c>
      <c r="F293" s="15">
        <v>98.5</v>
      </c>
      <c r="G293" s="15">
        <v>90</v>
      </c>
      <c r="H293" s="15">
        <v>85</v>
      </c>
      <c r="I293" s="15">
        <v>36.5</v>
      </c>
      <c r="J293" s="15"/>
      <c r="K293" s="15"/>
      <c r="L293" s="15">
        <v>40</v>
      </c>
      <c r="M293" s="15"/>
      <c r="N293" s="15">
        <v>41</v>
      </c>
      <c r="O293" s="15">
        <v>273.5</v>
      </c>
      <c r="P293" s="15">
        <v>391</v>
      </c>
    </row>
    <row r="294" ht="14.25" spans="1:16">
      <c r="A294" s="13">
        <v>293</v>
      </c>
      <c r="B294" s="15">
        <v>7</v>
      </c>
      <c r="C294" s="16">
        <v>3</v>
      </c>
      <c r="D294" s="17" t="s">
        <v>597</v>
      </c>
      <c r="E294" s="17" t="s">
        <v>598</v>
      </c>
      <c r="F294" s="15">
        <v>101</v>
      </c>
      <c r="G294" s="15">
        <v>92</v>
      </c>
      <c r="H294" s="15">
        <v>78</v>
      </c>
      <c r="I294" s="15">
        <v>21</v>
      </c>
      <c r="J294" s="15"/>
      <c r="K294" s="15"/>
      <c r="L294" s="15">
        <v>42.25</v>
      </c>
      <c r="M294" s="15"/>
      <c r="N294" s="15">
        <v>51</v>
      </c>
      <c r="O294" s="15">
        <v>271</v>
      </c>
      <c r="P294" s="15">
        <v>385.25</v>
      </c>
    </row>
    <row r="295" ht="14.25" spans="1:16">
      <c r="A295" s="13">
        <v>294</v>
      </c>
      <c r="B295" s="15">
        <v>7</v>
      </c>
      <c r="C295" s="16">
        <v>4</v>
      </c>
      <c r="D295" s="17" t="s">
        <v>599</v>
      </c>
      <c r="E295" s="17" t="s">
        <v>600</v>
      </c>
      <c r="F295" s="15">
        <v>91.5</v>
      </c>
      <c r="G295" s="15">
        <v>106</v>
      </c>
      <c r="H295" s="15">
        <v>98</v>
      </c>
      <c r="I295" s="15">
        <v>43</v>
      </c>
      <c r="J295" s="15"/>
      <c r="K295" s="15"/>
      <c r="L295" s="15">
        <v>53</v>
      </c>
      <c r="M295" s="15"/>
      <c r="N295" s="15">
        <v>40.5</v>
      </c>
      <c r="O295" s="15">
        <v>295.5</v>
      </c>
      <c r="P295" s="15">
        <v>432</v>
      </c>
    </row>
    <row r="296" ht="14.25" spans="1:16">
      <c r="A296" s="13">
        <v>295</v>
      </c>
      <c r="B296" s="15">
        <v>7</v>
      </c>
      <c r="C296" s="16">
        <v>5</v>
      </c>
      <c r="D296" s="17" t="s">
        <v>601</v>
      </c>
      <c r="E296" s="17" t="s">
        <v>602</v>
      </c>
      <c r="F296" s="15">
        <v>97</v>
      </c>
      <c r="G296" s="15">
        <v>84.5</v>
      </c>
      <c r="H296" s="15">
        <v>82.75</v>
      </c>
      <c r="I296" s="15">
        <v>40.5</v>
      </c>
      <c r="J296" s="15"/>
      <c r="K296" s="15"/>
      <c r="L296" s="15">
        <v>42.5</v>
      </c>
      <c r="M296" s="15"/>
      <c r="N296" s="15">
        <v>44.5</v>
      </c>
      <c r="O296" s="15">
        <v>264.25</v>
      </c>
      <c r="P296" s="15">
        <v>391.75</v>
      </c>
    </row>
    <row r="297" ht="14.25" spans="1:16">
      <c r="A297" s="13">
        <v>296</v>
      </c>
      <c r="B297" s="15">
        <v>7</v>
      </c>
      <c r="C297" s="16">
        <v>6</v>
      </c>
      <c r="D297" s="17" t="s">
        <v>603</v>
      </c>
      <c r="E297" s="17" t="s">
        <v>604</v>
      </c>
      <c r="F297" s="15">
        <v>104.25</v>
      </c>
      <c r="G297" s="15">
        <v>74</v>
      </c>
      <c r="H297" s="15">
        <v>136</v>
      </c>
      <c r="I297" s="15">
        <v>32.5</v>
      </c>
      <c r="J297" s="15"/>
      <c r="K297" s="15"/>
      <c r="L297" s="15">
        <v>53</v>
      </c>
      <c r="M297" s="15"/>
      <c r="N297" s="15">
        <v>51</v>
      </c>
      <c r="O297" s="15">
        <v>314.25</v>
      </c>
      <c r="P297" s="15">
        <v>450.75</v>
      </c>
    </row>
    <row r="298" ht="14.25" spans="1:16">
      <c r="A298" s="13">
        <v>297</v>
      </c>
      <c r="B298" s="15">
        <v>7</v>
      </c>
      <c r="C298" s="16">
        <v>7</v>
      </c>
      <c r="D298" s="17" t="s">
        <v>605</v>
      </c>
      <c r="E298" s="17" t="s">
        <v>606</v>
      </c>
      <c r="F298" s="15">
        <v>107</v>
      </c>
      <c r="G298" s="15">
        <v>95</v>
      </c>
      <c r="H298" s="15">
        <v>69.5</v>
      </c>
      <c r="I298" s="15">
        <v>36.5</v>
      </c>
      <c r="J298" s="15"/>
      <c r="K298" s="15"/>
      <c r="L298" s="15">
        <v>48.5</v>
      </c>
      <c r="M298" s="15"/>
      <c r="N298" s="15">
        <v>30.5</v>
      </c>
      <c r="O298" s="15">
        <v>271.5</v>
      </c>
      <c r="P298" s="15">
        <v>387</v>
      </c>
    </row>
    <row r="299" ht="14.25" spans="1:16">
      <c r="A299" s="13">
        <v>298</v>
      </c>
      <c r="B299" s="15">
        <v>7</v>
      </c>
      <c r="C299" s="16">
        <v>9</v>
      </c>
      <c r="D299" s="17" t="s">
        <v>607</v>
      </c>
      <c r="E299" s="17" t="s">
        <v>608</v>
      </c>
      <c r="F299" s="15">
        <v>94</v>
      </c>
      <c r="G299" s="15">
        <v>88</v>
      </c>
      <c r="H299" s="15">
        <v>81</v>
      </c>
      <c r="I299" s="15">
        <v>17</v>
      </c>
      <c r="J299" s="15"/>
      <c r="K299" s="15"/>
      <c r="L299" s="15">
        <v>51</v>
      </c>
      <c r="M299" s="15"/>
      <c r="N299" s="15">
        <v>37</v>
      </c>
      <c r="O299" s="15">
        <v>263</v>
      </c>
      <c r="P299" s="15">
        <v>368</v>
      </c>
    </row>
    <row r="300" ht="14.25" spans="1:16">
      <c r="A300" s="13">
        <v>299</v>
      </c>
      <c r="B300" s="15">
        <v>7</v>
      </c>
      <c r="C300" s="16">
        <v>10</v>
      </c>
      <c r="D300" s="17" t="s">
        <v>609</v>
      </c>
      <c r="E300" s="17" t="s">
        <v>610</v>
      </c>
      <c r="F300" s="15">
        <v>98.5</v>
      </c>
      <c r="G300" s="15">
        <v>87.5</v>
      </c>
      <c r="H300" s="15">
        <v>96.5</v>
      </c>
      <c r="I300" s="15">
        <v>27.5</v>
      </c>
      <c r="J300" s="15"/>
      <c r="K300" s="15"/>
      <c r="L300" s="15">
        <v>50.5</v>
      </c>
      <c r="M300" s="15"/>
      <c r="N300" s="15">
        <v>44</v>
      </c>
      <c r="O300" s="15">
        <v>282.5</v>
      </c>
      <c r="P300" s="15">
        <v>404.5</v>
      </c>
    </row>
    <row r="301" ht="14.25" spans="1:16">
      <c r="A301" s="13">
        <v>300</v>
      </c>
      <c r="B301" s="15">
        <v>7</v>
      </c>
      <c r="C301" s="16">
        <v>11</v>
      </c>
      <c r="D301" s="17" t="s">
        <v>611</v>
      </c>
      <c r="E301" s="17" t="s">
        <v>612</v>
      </c>
      <c r="F301" s="15">
        <v>84.5</v>
      </c>
      <c r="G301" s="15">
        <v>93.5</v>
      </c>
      <c r="H301" s="15">
        <v>80</v>
      </c>
      <c r="I301" s="15">
        <v>42</v>
      </c>
      <c r="J301" s="15"/>
      <c r="K301" s="15"/>
      <c r="L301" s="15">
        <v>39.5</v>
      </c>
      <c r="M301" s="15"/>
      <c r="N301" s="15">
        <v>51.5</v>
      </c>
      <c r="O301" s="15">
        <v>258</v>
      </c>
      <c r="P301" s="15">
        <v>391</v>
      </c>
    </row>
    <row r="302" ht="14.25" spans="1:16">
      <c r="A302" s="13">
        <v>301</v>
      </c>
      <c r="B302" s="15">
        <v>7</v>
      </c>
      <c r="C302" s="16">
        <v>12</v>
      </c>
      <c r="D302" s="17" t="s">
        <v>613</v>
      </c>
      <c r="E302" s="17" t="s">
        <v>614</v>
      </c>
      <c r="F302" s="15">
        <v>100</v>
      </c>
      <c r="G302" s="15">
        <v>107.5</v>
      </c>
      <c r="H302" s="15">
        <v>84.75</v>
      </c>
      <c r="I302" s="15">
        <v>67</v>
      </c>
      <c r="J302" s="15"/>
      <c r="K302" s="15"/>
      <c r="L302" s="15">
        <v>63.75</v>
      </c>
      <c r="M302" s="15"/>
      <c r="N302" s="15">
        <v>45.5</v>
      </c>
      <c r="O302" s="15">
        <v>292.25</v>
      </c>
      <c r="P302" s="15">
        <v>468.5</v>
      </c>
    </row>
    <row r="303" ht="14.25" spans="1:16">
      <c r="A303" s="13">
        <v>302</v>
      </c>
      <c r="B303" s="15">
        <v>7</v>
      </c>
      <c r="C303" s="16">
        <v>13</v>
      </c>
      <c r="D303" s="17" t="s">
        <v>615</v>
      </c>
      <c r="E303" s="17" t="s">
        <v>616</v>
      </c>
      <c r="F303" s="15">
        <v>98.5</v>
      </c>
      <c r="G303" s="15">
        <v>77.5</v>
      </c>
      <c r="H303" s="15">
        <v>72</v>
      </c>
      <c r="I303" s="15">
        <v>29</v>
      </c>
      <c r="J303" s="15"/>
      <c r="K303" s="15"/>
      <c r="L303" s="15">
        <v>46</v>
      </c>
      <c r="M303" s="15"/>
      <c r="N303" s="15">
        <v>30</v>
      </c>
      <c r="O303" s="15">
        <v>248</v>
      </c>
      <c r="P303" s="15">
        <v>353</v>
      </c>
    </row>
    <row r="304" ht="14.25" spans="1:16">
      <c r="A304" s="13">
        <v>303</v>
      </c>
      <c r="B304" s="15">
        <v>7</v>
      </c>
      <c r="C304" s="16">
        <v>14</v>
      </c>
      <c r="D304" s="17" t="s">
        <v>617</v>
      </c>
      <c r="E304" s="17" t="s">
        <v>618</v>
      </c>
      <c r="F304" s="15">
        <v>101.5</v>
      </c>
      <c r="G304" s="15">
        <v>94</v>
      </c>
      <c r="H304" s="15">
        <v>74.75</v>
      </c>
      <c r="I304" s="15">
        <v>35.5</v>
      </c>
      <c r="J304" s="15"/>
      <c r="K304" s="15"/>
      <c r="L304" s="15">
        <v>47</v>
      </c>
      <c r="M304" s="15"/>
      <c r="N304" s="15">
        <v>35.5</v>
      </c>
      <c r="O304" s="15">
        <v>270.25</v>
      </c>
      <c r="P304" s="15">
        <v>388.25</v>
      </c>
    </row>
    <row r="305" ht="14.25" spans="1:16">
      <c r="A305" s="13">
        <v>304</v>
      </c>
      <c r="B305" s="15">
        <v>7</v>
      </c>
      <c r="C305" s="16">
        <v>15</v>
      </c>
      <c r="D305" s="17" t="s">
        <v>619</v>
      </c>
      <c r="E305" s="17" t="s">
        <v>620</v>
      </c>
      <c r="F305" s="15">
        <v>102</v>
      </c>
      <c r="G305" s="15">
        <v>112.5</v>
      </c>
      <c r="H305" s="15">
        <v>99.25</v>
      </c>
      <c r="I305" s="15">
        <v>49.5</v>
      </c>
      <c r="J305" s="15"/>
      <c r="K305" s="15"/>
      <c r="L305" s="15">
        <v>44.5</v>
      </c>
      <c r="M305" s="15"/>
      <c r="N305" s="15">
        <v>52.5</v>
      </c>
      <c r="O305" s="15">
        <v>313.75</v>
      </c>
      <c r="P305" s="15">
        <v>460.25</v>
      </c>
    </row>
    <row r="306" ht="14.25" spans="1:16">
      <c r="A306" s="13">
        <v>305</v>
      </c>
      <c r="B306" s="15">
        <v>7</v>
      </c>
      <c r="C306" s="16">
        <v>16</v>
      </c>
      <c r="D306" s="17" t="s">
        <v>621</v>
      </c>
      <c r="E306" s="17" t="s">
        <v>622</v>
      </c>
      <c r="F306" s="15">
        <v>100.5</v>
      </c>
      <c r="G306" s="15">
        <v>96.5</v>
      </c>
      <c r="H306" s="15">
        <v>80.75</v>
      </c>
      <c r="I306" s="15">
        <v>40</v>
      </c>
      <c r="J306" s="15"/>
      <c r="K306" s="15"/>
      <c r="L306" s="15">
        <v>49.5</v>
      </c>
      <c r="M306" s="15"/>
      <c r="N306" s="15">
        <v>50.5</v>
      </c>
      <c r="O306" s="15">
        <v>277.75</v>
      </c>
      <c r="P306" s="15">
        <v>417.75</v>
      </c>
    </row>
    <row r="307" ht="14.25" spans="1:16">
      <c r="A307" s="13">
        <v>306</v>
      </c>
      <c r="B307" s="15">
        <v>7</v>
      </c>
      <c r="C307" s="16">
        <v>17</v>
      </c>
      <c r="D307" s="17" t="s">
        <v>623</v>
      </c>
      <c r="E307" s="17" t="s">
        <v>624</v>
      </c>
      <c r="F307" s="15">
        <v>99</v>
      </c>
      <c r="G307" s="15">
        <v>108</v>
      </c>
      <c r="H307" s="15">
        <v>90.5</v>
      </c>
      <c r="I307" s="15">
        <v>45.5</v>
      </c>
      <c r="J307" s="15"/>
      <c r="K307" s="15"/>
      <c r="L307" s="15">
        <v>41</v>
      </c>
      <c r="M307" s="15"/>
      <c r="N307" s="15">
        <v>45</v>
      </c>
      <c r="O307" s="15">
        <v>297.5</v>
      </c>
      <c r="P307" s="15">
        <v>429</v>
      </c>
    </row>
    <row r="308" ht="14.25" spans="1:16">
      <c r="A308" s="13">
        <v>307</v>
      </c>
      <c r="B308" s="15">
        <v>7</v>
      </c>
      <c r="C308" s="16">
        <v>18</v>
      </c>
      <c r="D308" s="17" t="s">
        <v>625</v>
      </c>
      <c r="E308" s="17" t="s">
        <v>626</v>
      </c>
      <c r="F308" s="15">
        <v>106</v>
      </c>
      <c r="G308" s="15">
        <v>74</v>
      </c>
      <c r="H308" s="15">
        <v>99</v>
      </c>
      <c r="I308" s="15">
        <v>39.5</v>
      </c>
      <c r="J308" s="15"/>
      <c r="K308" s="15"/>
      <c r="L308" s="15">
        <v>41.5</v>
      </c>
      <c r="M308" s="15"/>
      <c r="N308" s="15">
        <v>36.5</v>
      </c>
      <c r="O308" s="15">
        <v>279</v>
      </c>
      <c r="P308" s="15">
        <v>396.5</v>
      </c>
    </row>
    <row r="309" ht="14.25" spans="1:16">
      <c r="A309" s="13">
        <v>308</v>
      </c>
      <c r="B309" s="15">
        <v>7</v>
      </c>
      <c r="C309" s="16">
        <v>19</v>
      </c>
      <c r="D309" s="17" t="s">
        <v>627</v>
      </c>
      <c r="E309" s="17" t="s">
        <v>628</v>
      </c>
      <c r="F309" s="15">
        <v>107.5</v>
      </c>
      <c r="G309" s="15">
        <v>98.5</v>
      </c>
      <c r="H309" s="15">
        <v>95.25</v>
      </c>
      <c r="I309" s="15">
        <v>55</v>
      </c>
      <c r="J309" s="15"/>
      <c r="K309" s="15"/>
      <c r="L309" s="15">
        <v>43.5</v>
      </c>
      <c r="M309" s="15"/>
      <c r="N309" s="15">
        <v>52.5</v>
      </c>
      <c r="O309" s="15">
        <v>301.25</v>
      </c>
      <c r="P309" s="15">
        <v>452.25</v>
      </c>
    </row>
    <row r="310" ht="14.25" spans="1:16">
      <c r="A310" s="13">
        <v>309</v>
      </c>
      <c r="B310" s="15">
        <v>7</v>
      </c>
      <c r="C310" s="16">
        <v>20</v>
      </c>
      <c r="D310" s="17" t="s">
        <v>629</v>
      </c>
      <c r="E310" s="17" t="s">
        <v>630</v>
      </c>
      <c r="F310" s="15">
        <v>95</v>
      </c>
      <c r="G310" s="15">
        <v>113.5</v>
      </c>
      <c r="H310" s="15">
        <v>84.5</v>
      </c>
      <c r="I310" s="15">
        <v>57</v>
      </c>
      <c r="J310" s="15"/>
      <c r="K310" s="15"/>
      <c r="L310" s="15">
        <v>44.5</v>
      </c>
      <c r="M310" s="15"/>
      <c r="N310" s="15">
        <v>57.5</v>
      </c>
      <c r="O310" s="15">
        <v>293</v>
      </c>
      <c r="P310" s="15">
        <v>452</v>
      </c>
    </row>
    <row r="311" ht="14.25" spans="1:16">
      <c r="A311" s="13">
        <v>310</v>
      </c>
      <c r="B311" s="15">
        <v>7</v>
      </c>
      <c r="C311" s="16">
        <v>21</v>
      </c>
      <c r="D311" s="17" t="s">
        <v>631</v>
      </c>
      <c r="E311" s="17" t="s">
        <v>632</v>
      </c>
      <c r="F311" s="15">
        <v>93.5</v>
      </c>
      <c r="G311" s="15">
        <v>83.5</v>
      </c>
      <c r="H311" s="15">
        <v>62.5</v>
      </c>
      <c r="I311" s="15">
        <v>37.5</v>
      </c>
      <c r="J311" s="15"/>
      <c r="K311" s="15"/>
      <c r="L311" s="15">
        <v>46</v>
      </c>
      <c r="M311" s="15"/>
      <c r="N311" s="15">
        <v>45</v>
      </c>
      <c r="O311" s="15">
        <v>239.5</v>
      </c>
      <c r="P311" s="15">
        <v>368</v>
      </c>
    </row>
    <row r="312" ht="14.25" spans="1:16">
      <c r="A312" s="13">
        <v>311</v>
      </c>
      <c r="B312" s="15">
        <v>7</v>
      </c>
      <c r="C312" s="16">
        <v>22</v>
      </c>
      <c r="D312" s="17" t="s">
        <v>633</v>
      </c>
      <c r="E312" s="17" t="s">
        <v>634</v>
      </c>
      <c r="F312" s="15">
        <v>89</v>
      </c>
      <c r="G312" s="15">
        <v>84</v>
      </c>
      <c r="H312" s="15">
        <v>90.5</v>
      </c>
      <c r="I312" s="15">
        <v>37.5</v>
      </c>
      <c r="J312" s="15"/>
      <c r="K312" s="15"/>
      <c r="L312" s="15">
        <v>55</v>
      </c>
      <c r="M312" s="15"/>
      <c r="N312" s="15">
        <v>42.5</v>
      </c>
      <c r="O312" s="15">
        <v>263.5</v>
      </c>
      <c r="P312" s="15">
        <v>398.5</v>
      </c>
    </row>
    <row r="313" ht="14.25" spans="1:16">
      <c r="A313" s="13">
        <v>312</v>
      </c>
      <c r="B313" s="15">
        <v>7</v>
      </c>
      <c r="C313" s="16">
        <v>23</v>
      </c>
      <c r="D313" s="17" t="s">
        <v>635</v>
      </c>
      <c r="E313" s="17" t="s">
        <v>636</v>
      </c>
      <c r="F313" s="15">
        <v>94.25</v>
      </c>
      <c r="G313" s="15">
        <v>85</v>
      </c>
      <c r="H313" s="15">
        <v>54.25</v>
      </c>
      <c r="I313" s="15">
        <v>43.5</v>
      </c>
      <c r="J313" s="15"/>
      <c r="K313" s="15"/>
      <c r="L313" s="15">
        <v>44.5</v>
      </c>
      <c r="M313" s="15"/>
      <c r="N313" s="15">
        <v>53.5</v>
      </c>
      <c r="O313" s="15">
        <v>233.5</v>
      </c>
      <c r="P313" s="15">
        <v>375</v>
      </c>
    </row>
    <row r="314" ht="14.25" spans="1:16">
      <c r="A314" s="13">
        <v>313</v>
      </c>
      <c r="B314" s="15">
        <v>7</v>
      </c>
      <c r="C314" s="16">
        <v>24</v>
      </c>
      <c r="D314" s="17" t="s">
        <v>637</v>
      </c>
      <c r="E314" s="17" t="s">
        <v>638</v>
      </c>
      <c r="F314" s="15">
        <v>88</v>
      </c>
      <c r="G314" s="15">
        <v>74.5</v>
      </c>
      <c r="H314" s="15">
        <v>100</v>
      </c>
      <c r="I314" s="15">
        <v>53</v>
      </c>
      <c r="J314" s="15"/>
      <c r="K314" s="15"/>
      <c r="L314" s="15">
        <v>39</v>
      </c>
      <c r="M314" s="15"/>
      <c r="N314" s="15">
        <v>47</v>
      </c>
      <c r="O314" s="15">
        <v>262.5</v>
      </c>
      <c r="P314" s="15">
        <v>401.5</v>
      </c>
    </row>
    <row r="315" ht="14.25" spans="1:16">
      <c r="A315" s="13">
        <v>314</v>
      </c>
      <c r="B315" s="15">
        <v>7</v>
      </c>
      <c r="C315" s="16">
        <v>25</v>
      </c>
      <c r="D315" s="17" t="s">
        <v>639</v>
      </c>
      <c r="E315" s="17" t="s">
        <v>640</v>
      </c>
      <c r="F315" s="15">
        <v>88.5</v>
      </c>
      <c r="G315" s="15">
        <v>103.5</v>
      </c>
      <c r="H315" s="15">
        <v>78.75</v>
      </c>
      <c r="I315" s="15">
        <v>51</v>
      </c>
      <c r="J315" s="15"/>
      <c r="K315" s="15"/>
      <c r="L315" s="15">
        <v>43.5</v>
      </c>
      <c r="M315" s="15"/>
      <c r="N315" s="15">
        <v>54</v>
      </c>
      <c r="O315" s="15">
        <v>270.75</v>
      </c>
      <c r="P315" s="15">
        <v>419.25</v>
      </c>
    </row>
    <row r="316" ht="14.25" spans="1:16">
      <c r="A316" s="13">
        <v>315</v>
      </c>
      <c r="B316" s="15">
        <v>7</v>
      </c>
      <c r="C316" s="16">
        <v>28</v>
      </c>
      <c r="D316" s="17" t="s">
        <v>641</v>
      </c>
      <c r="E316" s="17" t="s">
        <v>642</v>
      </c>
      <c r="F316" s="15">
        <v>101</v>
      </c>
      <c r="G316" s="15">
        <v>73.5</v>
      </c>
      <c r="H316" s="15">
        <v>80</v>
      </c>
      <c r="I316" s="15">
        <v>47</v>
      </c>
      <c r="J316" s="15"/>
      <c r="K316" s="15"/>
      <c r="L316" s="15">
        <v>41.5</v>
      </c>
      <c r="M316" s="15"/>
      <c r="N316" s="15">
        <v>40.5</v>
      </c>
      <c r="O316" s="15">
        <v>254.5</v>
      </c>
      <c r="P316" s="15">
        <v>383.5</v>
      </c>
    </row>
    <row r="317" ht="14.25" spans="1:16">
      <c r="A317" s="13">
        <v>316</v>
      </c>
      <c r="B317" s="15">
        <v>7</v>
      </c>
      <c r="C317" s="16">
        <v>29</v>
      </c>
      <c r="D317" s="17" t="s">
        <v>643</v>
      </c>
      <c r="E317" s="17" t="s">
        <v>644</v>
      </c>
      <c r="F317" s="15">
        <v>93</v>
      </c>
      <c r="G317" s="15">
        <v>78.5</v>
      </c>
      <c r="H317" s="15">
        <v>87.5</v>
      </c>
      <c r="I317" s="15">
        <v>30.5</v>
      </c>
      <c r="J317" s="15"/>
      <c r="K317" s="15"/>
      <c r="L317" s="15">
        <v>53.5</v>
      </c>
      <c r="M317" s="15"/>
      <c r="N317" s="15">
        <v>30</v>
      </c>
      <c r="O317" s="15">
        <v>259</v>
      </c>
      <c r="P317" s="15">
        <v>373</v>
      </c>
    </row>
    <row r="318" ht="14.25" spans="1:16">
      <c r="A318" s="13">
        <v>317</v>
      </c>
      <c r="B318" s="15">
        <v>7</v>
      </c>
      <c r="C318" s="16">
        <v>30</v>
      </c>
      <c r="D318" s="17" t="s">
        <v>645</v>
      </c>
      <c r="E318" s="17" t="s">
        <v>646</v>
      </c>
      <c r="F318" s="15">
        <v>97.5</v>
      </c>
      <c r="G318" s="15">
        <v>79</v>
      </c>
      <c r="H318" s="15">
        <v>67</v>
      </c>
      <c r="I318" s="15">
        <v>29.5</v>
      </c>
      <c r="J318" s="15"/>
      <c r="K318" s="15"/>
      <c r="L318" s="15">
        <v>51</v>
      </c>
      <c r="M318" s="15"/>
      <c r="N318" s="15">
        <v>45</v>
      </c>
      <c r="O318" s="15">
        <v>243.5</v>
      </c>
      <c r="P318" s="15">
        <v>369</v>
      </c>
    </row>
    <row r="319" ht="14.25" spans="1:16">
      <c r="A319" s="13">
        <v>318</v>
      </c>
      <c r="B319" s="15">
        <v>7</v>
      </c>
      <c r="C319" s="16">
        <v>31</v>
      </c>
      <c r="D319" s="17" t="s">
        <v>647</v>
      </c>
      <c r="E319" s="17" t="s">
        <v>648</v>
      </c>
      <c r="F319" s="15">
        <v>98</v>
      </c>
      <c r="G319" s="15">
        <v>104</v>
      </c>
      <c r="H319" s="15">
        <v>83</v>
      </c>
      <c r="I319" s="15">
        <v>56.5</v>
      </c>
      <c r="J319" s="15"/>
      <c r="K319" s="15"/>
      <c r="L319" s="15">
        <v>47</v>
      </c>
      <c r="M319" s="15"/>
      <c r="N319" s="15">
        <v>65.5</v>
      </c>
      <c r="O319" s="15">
        <v>285</v>
      </c>
      <c r="P319" s="15">
        <v>454</v>
      </c>
    </row>
    <row r="320" ht="14.25" spans="1:16">
      <c r="A320" s="13">
        <v>319</v>
      </c>
      <c r="B320" s="15">
        <v>7</v>
      </c>
      <c r="C320" s="16">
        <v>32</v>
      </c>
      <c r="D320" s="17" t="s">
        <v>649</v>
      </c>
      <c r="E320" s="17" t="s">
        <v>650</v>
      </c>
      <c r="F320" s="15">
        <v>108.5</v>
      </c>
      <c r="G320" s="15">
        <v>108.5</v>
      </c>
      <c r="H320" s="15">
        <v>102</v>
      </c>
      <c r="I320" s="15">
        <v>61</v>
      </c>
      <c r="J320" s="15"/>
      <c r="K320" s="15"/>
      <c r="L320" s="15">
        <v>53</v>
      </c>
      <c r="M320" s="15"/>
      <c r="N320" s="15">
        <v>52</v>
      </c>
      <c r="O320" s="15">
        <v>319</v>
      </c>
      <c r="P320" s="15">
        <v>485</v>
      </c>
    </row>
    <row r="321" ht="14.25" spans="1:16">
      <c r="A321" s="13">
        <v>320</v>
      </c>
      <c r="B321" s="15">
        <v>7</v>
      </c>
      <c r="C321" s="16">
        <v>33</v>
      </c>
      <c r="D321" s="17" t="s">
        <v>651</v>
      </c>
      <c r="E321" s="17" t="s">
        <v>652</v>
      </c>
      <c r="F321" s="15">
        <v>92.5</v>
      </c>
      <c r="G321" s="15">
        <v>104</v>
      </c>
      <c r="H321" s="15">
        <v>101.5</v>
      </c>
      <c r="I321" s="15">
        <v>38.5</v>
      </c>
      <c r="J321" s="15"/>
      <c r="K321" s="15"/>
      <c r="L321" s="15">
        <v>36</v>
      </c>
      <c r="M321" s="15"/>
      <c r="N321" s="15">
        <v>42</v>
      </c>
      <c r="O321" s="15">
        <v>298</v>
      </c>
      <c r="P321" s="15">
        <v>414.5</v>
      </c>
    </row>
    <row r="322" ht="14.25" spans="1:16">
      <c r="A322" s="13">
        <v>321</v>
      </c>
      <c r="B322" s="15">
        <v>7</v>
      </c>
      <c r="C322" s="16">
        <v>34</v>
      </c>
      <c r="D322" s="17" t="s">
        <v>653</v>
      </c>
      <c r="E322" s="17" t="s">
        <v>654</v>
      </c>
      <c r="F322" s="15">
        <v>89.75</v>
      </c>
      <c r="G322" s="15">
        <v>109</v>
      </c>
      <c r="H322" s="15">
        <v>79.5</v>
      </c>
      <c r="I322" s="15">
        <v>27</v>
      </c>
      <c r="J322" s="15"/>
      <c r="K322" s="15"/>
      <c r="L322" s="15">
        <v>54</v>
      </c>
      <c r="M322" s="15"/>
      <c r="N322" s="15">
        <v>32</v>
      </c>
      <c r="O322" s="15">
        <v>278.25</v>
      </c>
      <c r="P322" s="15">
        <v>391.25</v>
      </c>
    </row>
    <row r="323" ht="14.25" spans="1:16">
      <c r="A323" s="13">
        <v>322</v>
      </c>
      <c r="B323" s="15">
        <v>7</v>
      </c>
      <c r="C323" s="16">
        <v>35</v>
      </c>
      <c r="D323" s="17" t="s">
        <v>655</v>
      </c>
      <c r="E323" s="17" t="s">
        <v>656</v>
      </c>
      <c r="F323" s="15">
        <v>101.25</v>
      </c>
      <c r="G323" s="15">
        <v>83.5</v>
      </c>
      <c r="H323" s="15">
        <v>103.75</v>
      </c>
      <c r="I323" s="15">
        <v>48.5</v>
      </c>
      <c r="J323" s="15"/>
      <c r="K323" s="15"/>
      <c r="L323" s="15">
        <v>55</v>
      </c>
      <c r="M323" s="15"/>
      <c r="N323" s="15">
        <v>46</v>
      </c>
      <c r="O323" s="15">
        <v>288.5</v>
      </c>
      <c r="P323" s="15">
        <v>438</v>
      </c>
    </row>
    <row r="324" ht="14.25" spans="1:16">
      <c r="A324" s="13">
        <v>323</v>
      </c>
      <c r="B324" s="15">
        <v>7</v>
      </c>
      <c r="C324" s="16">
        <v>36</v>
      </c>
      <c r="D324" s="17" t="s">
        <v>657</v>
      </c>
      <c r="E324" s="17" t="s">
        <v>658</v>
      </c>
      <c r="F324" s="15">
        <v>98.5</v>
      </c>
      <c r="G324" s="15">
        <v>110</v>
      </c>
      <c r="H324" s="15">
        <v>99.25</v>
      </c>
      <c r="I324" s="15">
        <v>50.5</v>
      </c>
      <c r="J324" s="15"/>
      <c r="K324" s="15"/>
      <c r="L324" s="15">
        <v>56</v>
      </c>
      <c r="M324" s="15"/>
      <c r="N324" s="15">
        <v>51.5</v>
      </c>
      <c r="O324" s="15">
        <v>307.75</v>
      </c>
      <c r="P324" s="15">
        <v>465.75</v>
      </c>
    </row>
    <row r="325" ht="14.25" spans="1:16">
      <c r="A325" s="13">
        <v>324</v>
      </c>
      <c r="B325" s="15">
        <v>7</v>
      </c>
      <c r="C325" s="16">
        <v>37</v>
      </c>
      <c r="D325" s="17" t="s">
        <v>659</v>
      </c>
      <c r="E325" s="17" t="s">
        <v>660</v>
      </c>
      <c r="F325" s="15">
        <v>90</v>
      </c>
      <c r="G325" s="15">
        <v>104.5</v>
      </c>
      <c r="H325" s="15">
        <v>67.5</v>
      </c>
      <c r="I325" s="15">
        <v>28.5</v>
      </c>
      <c r="J325" s="15"/>
      <c r="K325" s="15"/>
      <c r="L325" s="15">
        <v>44.5</v>
      </c>
      <c r="M325" s="15"/>
      <c r="N325" s="15">
        <v>53.5</v>
      </c>
      <c r="O325" s="15">
        <v>262</v>
      </c>
      <c r="P325" s="15">
        <v>388.5</v>
      </c>
    </row>
    <row r="326" ht="14.25" spans="1:16">
      <c r="A326" s="13">
        <v>325</v>
      </c>
      <c r="B326" s="15">
        <v>7</v>
      </c>
      <c r="C326" s="16">
        <v>38</v>
      </c>
      <c r="D326" s="17" t="s">
        <v>661</v>
      </c>
      <c r="E326" s="17" t="s">
        <v>662</v>
      </c>
      <c r="F326" s="15">
        <v>101.25</v>
      </c>
      <c r="G326" s="15">
        <v>93</v>
      </c>
      <c r="H326" s="15">
        <v>76</v>
      </c>
      <c r="I326" s="15">
        <v>41.5</v>
      </c>
      <c r="J326" s="15"/>
      <c r="K326" s="15"/>
      <c r="L326" s="15">
        <v>48</v>
      </c>
      <c r="M326" s="15"/>
      <c r="N326" s="15">
        <v>38</v>
      </c>
      <c r="O326" s="15">
        <v>270.25</v>
      </c>
      <c r="P326" s="15">
        <v>397.75</v>
      </c>
    </row>
    <row r="327" ht="14.25" spans="1:16">
      <c r="A327" s="13">
        <v>326</v>
      </c>
      <c r="B327" s="15">
        <v>7</v>
      </c>
      <c r="C327" s="16">
        <v>39</v>
      </c>
      <c r="D327" s="17" t="s">
        <v>663</v>
      </c>
      <c r="E327" s="17" t="s">
        <v>664</v>
      </c>
      <c r="F327" s="15">
        <v>98</v>
      </c>
      <c r="G327" s="15">
        <v>59</v>
      </c>
      <c r="H327" s="15">
        <v>79</v>
      </c>
      <c r="I327" s="15">
        <v>27</v>
      </c>
      <c r="J327" s="15"/>
      <c r="K327" s="15"/>
      <c r="L327" s="15">
        <v>58</v>
      </c>
      <c r="M327" s="15"/>
      <c r="N327" s="15">
        <v>48</v>
      </c>
      <c r="O327" s="15">
        <v>236</v>
      </c>
      <c r="P327" s="15">
        <v>369</v>
      </c>
    </row>
    <row r="328" ht="14.25" spans="1:16">
      <c r="A328" s="13">
        <v>327</v>
      </c>
      <c r="B328" s="15">
        <v>7</v>
      </c>
      <c r="C328" s="16">
        <v>40</v>
      </c>
      <c r="D328" s="17" t="s">
        <v>665</v>
      </c>
      <c r="E328" s="17" t="s">
        <v>666</v>
      </c>
      <c r="F328" s="15">
        <v>107</v>
      </c>
      <c r="G328" s="15">
        <v>89.5</v>
      </c>
      <c r="H328" s="15">
        <v>76</v>
      </c>
      <c r="I328" s="15">
        <v>17.5</v>
      </c>
      <c r="J328" s="15"/>
      <c r="K328" s="15"/>
      <c r="L328" s="15">
        <v>49.5</v>
      </c>
      <c r="M328" s="15"/>
      <c r="N328" s="15">
        <v>30.5</v>
      </c>
      <c r="O328" s="15">
        <v>272.5</v>
      </c>
      <c r="P328" s="15">
        <v>370</v>
      </c>
    </row>
    <row r="329" ht="14.25" spans="1:16">
      <c r="A329" s="13">
        <v>328</v>
      </c>
      <c r="B329" s="15">
        <v>7</v>
      </c>
      <c r="C329" s="16">
        <v>41</v>
      </c>
      <c r="D329" s="17" t="s">
        <v>667</v>
      </c>
      <c r="E329" s="17" t="s">
        <v>668</v>
      </c>
      <c r="F329" s="15">
        <v>99.5</v>
      </c>
      <c r="G329" s="15">
        <v>117</v>
      </c>
      <c r="H329" s="15">
        <v>66.5</v>
      </c>
      <c r="I329" s="15">
        <v>32</v>
      </c>
      <c r="J329" s="15"/>
      <c r="K329" s="15"/>
      <c r="L329" s="15">
        <v>43</v>
      </c>
      <c r="M329" s="15"/>
      <c r="N329" s="15">
        <v>44.5</v>
      </c>
      <c r="O329" s="15">
        <v>283</v>
      </c>
      <c r="P329" s="15">
        <v>402.5</v>
      </c>
    </row>
    <row r="330" ht="14.25" spans="1:16">
      <c r="A330" s="13">
        <v>329</v>
      </c>
      <c r="B330" s="15">
        <v>8</v>
      </c>
      <c r="C330" s="16">
        <v>1</v>
      </c>
      <c r="D330" s="17" t="s">
        <v>669</v>
      </c>
      <c r="E330" s="17" t="s">
        <v>670</v>
      </c>
      <c r="F330" s="15">
        <v>92</v>
      </c>
      <c r="G330" s="15">
        <v>112</v>
      </c>
      <c r="H330" s="15">
        <v>74.25</v>
      </c>
      <c r="I330" s="15">
        <v>49.5</v>
      </c>
      <c r="J330" s="15"/>
      <c r="K330" s="15">
        <v>42.5</v>
      </c>
      <c r="L330" s="15"/>
      <c r="M330" s="15"/>
      <c r="N330" s="15">
        <v>51.5</v>
      </c>
      <c r="O330" s="15">
        <v>278.25</v>
      </c>
      <c r="P330" s="15">
        <v>421.75</v>
      </c>
    </row>
    <row r="331" ht="14.25" spans="1:16">
      <c r="A331" s="13">
        <v>330</v>
      </c>
      <c r="B331" s="15">
        <v>8</v>
      </c>
      <c r="C331" s="16">
        <v>2</v>
      </c>
      <c r="D331" s="17" t="s">
        <v>671</v>
      </c>
      <c r="E331" s="17" t="s">
        <v>672</v>
      </c>
      <c r="F331" s="15">
        <v>101.5</v>
      </c>
      <c r="G331" s="15">
        <v>89</v>
      </c>
      <c r="H331" s="15">
        <v>99.5</v>
      </c>
      <c r="I331" s="15">
        <v>25</v>
      </c>
      <c r="J331" s="15"/>
      <c r="K331" s="15">
        <v>35</v>
      </c>
      <c r="L331" s="15"/>
      <c r="M331" s="15"/>
      <c r="N331" s="15">
        <v>31</v>
      </c>
      <c r="O331" s="15">
        <v>290</v>
      </c>
      <c r="P331" s="15">
        <v>381</v>
      </c>
    </row>
    <row r="332" ht="14.25" spans="1:16">
      <c r="A332" s="13">
        <v>331</v>
      </c>
      <c r="B332" s="15">
        <v>8</v>
      </c>
      <c r="C332" s="16">
        <v>3</v>
      </c>
      <c r="D332" s="17" t="s">
        <v>673</v>
      </c>
      <c r="E332" s="17" t="s">
        <v>674</v>
      </c>
      <c r="F332" s="15">
        <v>98</v>
      </c>
      <c r="G332" s="15">
        <v>92.5</v>
      </c>
      <c r="H332" s="15">
        <v>103.25</v>
      </c>
      <c r="I332" s="15">
        <v>38</v>
      </c>
      <c r="J332" s="15"/>
      <c r="K332" s="15">
        <v>44</v>
      </c>
      <c r="L332" s="15"/>
      <c r="M332" s="15"/>
      <c r="N332" s="15">
        <v>52</v>
      </c>
      <c r="O332" s="15">
        <v>293.75</v>
      </c>
      <c r="P332" s="15">
        <v>427.75</v>
      </c>
    </row>
    <row r="333" ht="14.25" spans="1:16">
      <c r="A333" s="13">
        <v>332</v>
      </c>
      <c r="B333" s="15">
        <v>8</v>
      </c>
      <c r="C333" s="16">
        <v>4</v>
      </c>
      <c r="D333" s="17" t="s">
        <v>675</v>
      </c>
      <c r="E333" s="17" t="s">
        <v>676</v>
      </c>
      <c r="F333" s="15">
        <v>103.5</v>
      </c>
      <c r="G333" s="15">
        <v>98.5</v>
      </c>
      <c r="H333" s="15">
        <v>98</v>
      </c>
      <c r="I333" s="15">
        <v>59</v>
      </c>
      <c r="J333" s="15"/>
      <c r="K333" s="15">
        <v>39.5</v>
      </c>
      <c r="L333" s="15"/>
      <c r="M333" s="15"/>
      <c r="N333" s="15">
        <v>44</v>
      </c>
      <c r="O333" s="15">
        <v>300</v>
      </c>
      <c r="P333" s="15">
        <v>442.5</v>
      </c>
    </row>
    <row r="334" ht="14.25" spans="1:16">
      <c r="A334" s="13">
        <v>333</v>
      </c>
      <c r="B334" s="15">
        <v>8</v>
      </c>
      <c r="C334" s="16">
        <v>5</v>
      </c>
      <c r="D334" s="17" t="s">
        <v>677</v>
      </c>
      <c r="E334" s="17" t="s">
        <v>678</v>
      </c>
      <c r="F334" s="15">
        <v>84</v>
      </c>
      <c r="G334" s="15">
        <v>79.5</v>
      </c>
      <c r="H334" s="15">
        <v>86.5</v>
      </c>
      <c r="I334" s="15">
        <v>54</v>
      </c>
      <c r="J334" s="15"/>
      <c r="K334" s="15">
        <v>38</v>
      </c>
      <c r="L334" s="15"/>
      <c r="M334" s="15"/>
      <c r="N334" s="15">
        <v>51</v>
      </c>
      <c r="O334" s="15">
        <v>250</v>
      </c>
      <c r="P334" s="15">
        <v>393</v>
      </c>
    </row>
    <row r="335" ht="14.25" spans="1:16">
      <c r="A335" s="13">
        <v>334</v>
      </c>
      <c r="B335" s="15">
        <v>8</v>
      </c>
      <c r="C335" s="16">
        <v>6</v>
      </c>
      <c r="D335" s="17" t="s">
        <v>679</v>
      </c>
      <c r="E335" s="17" t="s">
        <v>680</v>
      </c>
      <c r="F335" s="15">
        <v>96</v>
      </c>
      <c r="G335" s="15">
        <v>91</v>
      </c>
      <c r="H335" s="15">
        <v>84.75</v>
      </c>
      <c r="I335" s="15">
        <v>38.5</v>
      </c>
      <c r="J335" s="15"/>
      <c r="K335" s="15">
        <v>19.5</v>
      </c>
      <c r="L335" s="15"/>
      <c r="M335" s="15"/>
      <c r="N335" s="15">
        <v>47.5</v>
      </c>
      <c r="O335" s="15">
        <v>271.75</v>
      </c>
      <c r="P335" s="15">
        <v>377.25</v>
      </c>
    </row>
    <row r="336" ht="14.25" spans="1:16">
      <c r="A336" s="13">
        <v>335</v>
      </c>
      <c r="B336" s="15">
        <v>8</v>
      </c>
      <c r="C336" s="16">
        <v>7</v>
      </c>
      <c r="D336" s="17" t="s">
        <v>681</v>
      </c>
      <c r="E336" s="17" t="s">
        <v>682</v>
      </c>
      <c r="F336" s="15">
        <v>98</v>
      </c>
      <c r="G336" s="15">
        <v>112</v>
      </c>
      <c r="H336" s="15">
        <v>71.75</v>
      </c>
      <c r="I336" s="15">
        <v>76.5</v>
      </c>
      <c r="J336" s="15"/>
      <c r="K336" s="15">
        <v>40</v>
      </c>
      <c r="L336" s="15"/>
      <c r="M336" s="15"/>
      <c r="N336" s="15">
        <v>35</v>
      </c>
      <c r="O336" s="15">
        <v>281.75</v>
      </c>
      <c r="P336" s="15">
        <v>433.25</v>
      </c>
    </row>
    <row r="337" ht="14.25" spans="1:16">
      <c r="A337" s="13">
        <v>336</v>
      </c>
      <c r="B337" s="15">
        <v>8</v>
      </c>
      <c r="C337" s="16">
        <v>8</v>
      </c>
      <c r="D337" s="17" t="s">
        <v>683</v>
      </c>
      <c r="E337" s="17" t="s">
        <v>684</v>
      </c>
      <c r="F337" s="15">
        <v>107.5</v>
      </c>
      <c r="G337" s="15">
        <v>110.5</v>
      </c>
      <c r="H337" s="15">
        <v>75</v>
      </c>
      <c r="I337" s="15">
        <v>69</v>
      </c>
      <c r="J337" s="15"/>
      <c r="K337" s="15">
        <v>39.5</v>
      </c>
      <c r="L337" s="15"/>
      <c r="M337" s="15"/>
      <c r="N337" s="15">
        <v>50.5</v>
      </c>
      <c r="O337" s="15">
        <v>293</v>
      </c>
      <c r="P337" s="15">
        <v>452</v>
      </c>
    </row>
    <row r="338" ht="14.25" spans="1:16">
      <c r="A338" s="13">
        <v>337</v>
      </c>
      <c r="B338" s="15">
        <v>8</v>
      </c>
      <c r="C338" s="16">
        <v>9</v>
      </c>
      <c r="D338" s="17" t="s">
        <v>685</v>
      </c>
      <c r="E338" s="17" t="s">
        <v>686</v>
      </c>
      <c r="F338" s="15">
        <v>100.5</v>
      </c>
      <c r="G338" s="15">
        <v>108.5</v>
      </c>
      <c r="H338" s="15">
        <v>87.25</v>
      </c>
      <c r="I338" s="15">
        <v>43.5</v>
      </c>
      <c r="J338" s="15"/>
      <c r="K338" s="15">
        <v>44</v>
      </c>
      <c r="L338" s="15"/>
      <c r="M338" s="15"/>
      <c r="N338" s="15">
        <v>52</v>
      </c>
      <c r="O338" s="15">
        <v>296.25</v>
      </c>
      <c r="P338" s="15">
        <v>435.75</v>
      </c>
    </row>
    <row r="339" ht="14.25" spans="1:16">
      <c r="A339" s="13">
        <v>338</v>
      </c>
      <c r="B339" s="15">
        <v>8</v>
      </c>
      <c r="C339" s="16">
        <v>10</v>
      </c>
      <c r="D339" s="17" t="s">
        <v>687</v>
      </c>
      <c r="E339" s="17" t="s">
        <v>688</v>
      </c>
      <c r="F339" s="15">
        <v>110.5</v>
      </c>
      <c r="G339" s="15">
        <v>106.5</v>
      </c>
      <c r="H339" s="15">
        <v>76</v>
      </c>
      <c r="I339" s="15">
        <v>56.5</v>
      </c>
      <c r="J339" s="15"/>
      <c r="K339" s="15">
        <v>61</v>
      </c>
      <c r="L339" s="15"/>
      <c r="M339" s="15"/>
      <c r="N339" s="15">
        <v>47</v>
      </c>
      <c r="O339" s="15">
        <v>293</v>
      </c>
      <c r="P339" s="15">
        <v>457.5</v>
      </c>
    </row>
    <row r="340" ht="14.25" spans="1:16">
      <c r="A340" s="13">
        <v>339</v>
      </c>
      <c r="B340" s="15">
        <v>8</v>
      </c>
      <c r="C340" s="16">
        <v>11</v>
      </c>
      <c r="D340" s="17" t="s">
        <v>689</v>
      </c>
      <c r="E340" s="17" t="s">
        <v>690</v>
      </c>
      <c r="F340" s="15">
        <v>90</v>
      </c>
      <c r="G340" s="15">
        <v>104.5</v>
      </c>
      <c r="H340" s="15">
        <v>98.5</v>
      </c>
      <c r="I340" s="15">
        <v>63.5</v>
      </c>
      <c r="J340" s="15"/>
      <c r="K340" s="15">
        <v>50.5</v>
      </c>
      <c r="L340" s="15"/>
      <c r="M340" s="15"/>
      <c r="N340" s="15">
        <v>50</v>
      </c>
      <c r="O340" s="15">
        <v>293</v>
      </c>
      <c r="P340" s="15">
        <v>457</v>
      </c>
    </row>
    <row r="341" ht="14.25" spans="1:16">
      <c r="A341" s="13">
        <v>340</v>
      </c>
      <c r="B341" s="15">
        <v>8</v>
      </c>
      <c r="C341" s="16">
        <v>12</v>
      </c>
      <c r="D341" s="17" t="s">
        <v>691</v>
      </c>
      <c r="E341" s="17" t="s">
        <v>692</v>
      </c>
      <c r="F341" s="15">
        <v>87.5</v>
      </c>
      <c r="G341" s="15">
        <v>88.5</v>
      </c>
      <c r="H341" s="15">
        <v>83</v>
      </c>
      <c r="I341" s="15">
        <v>67</v>
      </c>
      <c r="J341" s="15"/>
      <c r="K341" s="15">
        <v>40</v>
      </c>
      <c r="L341" s="15"/>
      <c r="M341" s="15"/>
      <c r="N341" s="15">
        <v>57</v>
      </c>
      <c r="O341" s="15">
        <v>259</v>
      </c>
      <c r="P341" s="15">
        <v>423</v>
      </c>
    </row>
    <row r="342" ht="14.25" spans="1:16">
      <c r="A342" s="13">
        <v>341</v>
      </c>
      <c r="B342" s="15">
        <v>8</v>
      </c>
      <c r="C342" s="16">
        <v>13</v>
      </c>
      <c r="D342" s="17" t="s">
        <v>693</v>
      </c>
      <c r="E342" s="17" t="s">
        <v>694</v>
      </c>
      <c r="F342" s="15">
        <v>101.5</v>
      </c>
      <c r="G342" s="15">
        <v>94</v>
      </c>
      <c r="H342" s="15">
        <v>85.5</v>
      </c>
      <c r="I342" s="15">
        <v>55</v>
      </c>
      <c r="J342" s="15"/>
      <c r="K342" s="15">
        <v>43.5</v>
      </c>
      <c r="L342" s="15"/>
      <c r="M342" s="15"/>
      <c r="N342" s="15">
        <v>43.5</v>
      </c>
      <c r="O342" s="15">
        <v>281</v>
      </c>
      <c r="P342" s="15">
        <v>423</v>
      </c>
    </row>
    <row r="343" ht="14.25" spans="1:16">
      <c r="A343" s="13">
        <v>342</v>
      </c>
      <c r="B343" s="15">
        <v>8</v>
      </c>
      <c r="C343" s="16">
        <v>14</v>
      </c>
      <c r="D343" s="17" t="s">
        <v>695</v>
      </c>
      <c r="E343" s="17" t="s">
        <v>696</v>
      </c>
      <c r="F343" s="15">
        <v>103.5</v>
      </c>
      <c r="G343" s="15">
        <v>97</v>
      </c>
      <c r="H343" s="15">
        <v>102.5</v>
      </c>
      <c r="I343" s="15">
        <v>55</v>
      </c>
      <c r="J343" s="15"/>
      <c r="K343" s="15">
        <v>34</v>
      </c>
      <c r="L343" s="15"/>
      <c r="M343" s="15"/>
      <c r="N343" s="15">
        <v>54</v>
      </c>
      <c r="O343" s="15">
        <v>303</v>
      </c>
      <c r="P343" s="15">
        <v>446</v>
      </c>
    </row>
    <row r="344" s="176" customFormat="1" ht="14.25" spans="1:16">
      <c r="A344" s="13">
        <v>343</v>
      </c>
      <c r="B344" s="15">
        <v>8</v>
      </c>
      <c r="C344" s="16">
        <v>15</v>
      </c>
      <c r="D344" s="17" t="s">
        <v>697</v>
      </c>
      <c r="E344" s="17" t="s">
        <v>698</v>
      </c>
      <c r="F344" s="15">
        <v>98.5</v>
      </c>
      <c r="G344" s="15">
        <v>104.5</v>
      </c>
      <c r="H344" s="15">
        <v>91</v>
      </c>
      <c r="I344" s="15">
        <v>56</v>
      </c>
      <c r="J344" s="15"/>
      <c r="K344" s="15">
        <v>32</v>
      </c>
      <c r="L344" s="15"/>
      <c r="M344" s="15"/>
      <c r="N344" s="15">
        <v>50.5</v>
      </c>
      <c r="O344" s="15">
        <v>294</v>
      </c>
      <c r="P344" s="15">
        <v>432.5</v>
      </c>
    </row>
    <row r="345" s="176" customFormat="1" ht="14.25" spans="1:16">
      <c r="A345" s="13">
        <v>344</v>
      </c>
      <c r="B345" s="15">
        <v>8</v>
      </c>
      <c r="C345" s="16">
        <v>16</v>
      </c>
      <c r="D345" s="17" t="s">
        <v>699</v>
      </c>
      <c r="E345" s="17" t="s">
        <v>700</v>
      </c>
      <c r="F345" s="15">
        <v>105</v>
      </c>
      <c r="G345" s="15">
        <v>112.5</v>
      </c>
      <c r="H345" s="15">
        <v>93.5</v>
      </c>
      <c r="I345" s="15">
        <v>59.5</v>
      </c>
      <c r="J345" s="15"/>
      <c r="K345" s="15">
        <v>49.5</v>
      </c>
      <c r="L345" s="15"/>
      <c r="M345" s="15"/>
      <c r="N345" s="15">
        <v>63</v>
      </c>
      <c r="O345" s="15">
        <v>311</v>
      </c>
      <c r="P345" s="15">
        <v>483</v>
      </c>
    </row>
    <row r="346" s="176" customFormat="1" ht="14.25" spans="1:16">
      <c r="A346" s="13">
        <v>345</v>
      </c>
      <c r="B346" s="15">
        <v>8</v>
      </c>
      <c r="C346" s="16">
        <v>17</v>
      </c>
      <c r="D346" s="17" t="s">
        <v>701</v>
      </c>
      <c r="E346" s="17" t="s">
        <v>702</v>
      </c>
      <c r="F346" s="15">
        <v>100.25</v>
      </c>
      <c r="G346" s="15">
        <v>109.5</v>
      </c>
      <c r="H346" s="15">
        <v>116</v>
      </c>
      <c r="I346" s="15">
        <v>49.5</v>
      </c>
      <c r="J346" s="15"/>
      <c r="K346" s="15">
        <v>35</v>
      </c>
      <c r="L346" s="15"/>
      <c r="M346" s="15"/>
      <c r="N346" s="15">
        <v>49.5</v>
      </c>
      <c r="O346" s="15">
        <v>325.75</v>
      </c>
      <c r="P346" s="15">
        <v>459.75</v>
      </c>
    </row>
    <row r="347" ht="14.25" spans="1:16">
      <c r="A347" s="13">
        <v>346</v>
      </c>
      <c r="B347" s="15">
        <v>8</v>
      </c>
      <c r="C347" s="16">
        <v>18</v>
      </c>
      <c r="D347" s="17" t="s">
        <v>703</v>
      </c>
      <c r="E347" s="17" t="s">
        <v>704</v>
      </c>
      <c r="F347" s="15">
        <v>97</v>
      </c>
      <c r="G347" s="15">
        <v>96</v>
      </c>
      <c r="H347" s="15">
        <v>75</v>
      </c>
      <c r="I347" s="15">
        <v>40.5</v>
      </c>
      <c r="J347" s="15"/>
      <c r="K347" s="15">
        <v>28</v>
      </c>
      <c r="L347" s="15"/>
      <c r="M347" s="15"/>
      <c r="N347" s="15">
        <v>43.5</v>
      </c>
      <c r="O347" s="15">
        <v>268</v>
      </c>
      <c r="P347" s="15">
        <v>380</v>
      </c>
    </row>
    <row r="348" ht="14.25" spans="1:16">
      <c r="A348" s="13">
        <v>347</v>
      </c>
      <c r="B348" s="15">
        <v>8</v>
      </c>
      <c r="C348" s="16">
        <v>19</v>
      </c>
      <c r="D348" s="17" t="s">
        <v>705</v>
      </c>
      <c r="E348" s="17" t="s">
        <v>706</v>
      </c>
      <c r="F348" s="15">
        <v>104</v>
      </c>
      <c r="G348" s="15">
        <v>113</v>
      </c>
      <c r="H348" s="15">
        <v>100</v>
      </c>
      <c r="I348" s="15">
        <v>63</v>
      </c>
      <c r="J348" s="15"/>
      <c r="K348" s="15">
        <v>46.5</v>
      </c>
      <c r="L348" s="15"/>
      <c r="M348" s="15"/>
      <c r="N348" s="15">
        <v>44.5</v>
      </c>
      <c r="O348" s="15">
        <v>317</v>
      </c>
      <c r="P348" s="15">
        <v>471</v>
      </c>
    </row>
    <row r="349" ht="14.25" spans="1:16">
      <c r="A349" s="13">
        <v>348</v>
      </c>
      <c r="B349" s="15">
        <v>8</v>
      </c>
      <c r="C349" s="16">
        <v>20</v>
      </c>
      <c r="D349" s="17" t="s">
        <v>707</v>
      </c>
      <c r="E349" s="17" t="s">
        <v>708</v>
      </c>
      <c r="F349" s="15">
        <v>98.5</v>
      </c>
      <c r="G349" s="15">
        <v>104</v>
      </c>
      <c r="H349" s="15">
        <v>77.5</v>
      </c>
      <c r="I349" s="15">
        <v>36</v>
      </c>
      <c r="J349" s="15"/>
      <c r="K349" s="15">
        <v>41</v>
      </c>
      <c r="L349" s="15"/>
      <c r="M349" s="15"/>
      <c r="N349" s="15">
        <v>43.5</v>
      </c>
      <c r="O349" s="15">
        <v>280</v>
      </c>
      <c r="P349" s="15">
        <v>400.5</v>
      </c>
    </row>
    <row r="350" ht="14.25" spans="1:16">
      <c r="A350" s="13">
        <v>349</v>
      </c>
      <c r="B350" s="15">
        <v>8</v>
      </c>
      <c r="C350" s="16">
        <v>21</v>
      </c>
      <c r="D350" s="17" t="s">
        <v>709</v>
      </c>
      <c r="E350" s="17" t="s">
        <v>710</v>
      </c>
      <c r="F350" s="15">
        <v>64</v>
      </c>
      <c r="G350" s="15">
        <v>12</v>
      </c>
      <c r="H350" s="15">
        <v>36.25</v>
      </c>
      <c r="I350" s="15">
        <v>17</v>
      </c>
      <c r="J350" s="15"/>
      <c r="K350" s="15">
        <v>11</v>
      </c>
      <c r="L350" s="15"/>
      <c r="M350" s="15"/>
      <c r="N350" s="15">
        <v>15</v>
      </c>
      <c r="O350" s="15">
        <v>112.25</v>
      </c>
      <c r="P350" s="15">
        <v>155.25</v>
      </c>
    </row>
    <row r="351" ht="14.25" spans="1:16">
      <c r="A351" s="13">
        <v>350</v>
      </c>
      <c r="B351" s="15">
        <v>8</v>
      </c>
      <c r="C351" s="16">
        <v>22</v>
      </c>
      <c r="D351" s="17" t="s">
        <v>711</v>
      </c>
      <c r="E351" s="17" t="s">
        <v>712</v>
      </c>
      <c r="F351" s="15">
        <v>105</v>
      </c>
      <c r="G351" s="15">
        <v>88.5</v>
      </c>
      <c r="H351" s="15">
        <v>101.5</v>
      </c>
      <c r="I351" s="15">
        <v>33.5</v>
      </c>
      <c r="J351" s="15"/>
      <c r="K351" s="15">
        <v>33</v>
      </c>
      <c r="L351" s="15"/>
      <c r="M351" s="15"/>
      <c r="N351" s="15">
        <v>50.5</v>
      </c>
      <c r="O351" s="15">
        <v>295</v>
      </c>
      <c r="P351" s="15">
        <v>412</v>
      </c>
    </row>
    <row r="352" ht="14.25" spans="1:16">
      <c r="A352" s="13">
        <v>351</v>
      </c>
      <c r="B352" s="15">
        <v>8</v>
      </c>
      <c r="C352" s="16">
        <v>23</v>
      </c>
      <c r="D352" s="17" t="s">
        <v>713</v>
      </c>
      <c r="E352" s="17" t="s">
        <v>714</v>
      </c>
      <c r="F352" s="15">
        <v>107.5</v>
      </c>
      <c r="G352" s="15">
        <v>94</v>
      </c>
      <c r="H352" s="15">
        <v>106</v>
      </c>
      <c r="I352" s="15">
        <v>41</v>
      </c>
      <c r="J352" s="15"/>
      <c r="K352" s="15">
        <v>33.5</v>
      </c>
      <c r="L352" s="15"/>
      <c r="M352" s="15"/>
      <c r="N352" s="15">
        <v>53</v>
      </c>
      <c r="O352" s="15">
        <v>307.5</v>
      </c>
      <c r="P352" s="15">
        <v>435</v>
      </c>
    </row>
    <row r="353" ht="14.25" spans="1:16">
      <c r="A353" s="13">
        <v>352</v>
      </c>
      <c r="B353" s="15">
        <v>8</v>
      </c>
      <c r="C353" s="16">
        <v>25</v>
      </c>
      <c r="D353" s="17" t="s">
        <v>715</v>
      </c>
      <c r="E353" s="17" t="s">
        <v>716</v>
      </c>
      <c r="F353" s="15">
        <v>100</v>
      </c>
      <c r="G353" s="15">
        <v>107</v>
      </c>
      <c r="H353" s="15">
        <v>102.5</v>
      </c>
      <c r="I353" s="15">
        <v>47.5</v>
      </c>
      <c r="J353" s="15"/>
      <c r="K353" s="15">
        <v>29.5</v>
      </c>
      <c r="L353" s="15"/>
      <c r="M353" s="15"/>
      <c r="N353" s="15">
        <v>56.5</v>
      </c>
      <c r="O353" s="15">
        <v>309.5</v>
      </c>
      <c r="P353" s="15">
        <v>443</v>
      </c>
    </row>
    <row r="354" ht="14.25" spans="1:16">
      <c r="A354" s="13">
        <v>353</v>
      </c>
      <c r="B354" s="15">
        <v>8</v>
      </c>
      <c r="C354" s="16">
        <v>26</v>
      </c>
      <c r="D354" s="17" t="s">
        <v>717</v>
      </c>
      <c r="E354" s="17" t="s">
        <v>718</v>
      </c>
      <c r="F354" s="15">
        <v>91</v>
      </c>
      <c r="G354" s="15">
        <v>107</v>
      </c>
      <c r="H354" s="15">
        <v>82.75</v>
      </c>
      <c r="I354" s="15">
        <v>59</v>
      </c>
      <c r="J354" s="15"/>
      <c r="K354" s="15">
        <v>49.5</v>
      </c>
      <c r="L354" s="15"/>
      <c r="M354" s="15"/>
      <c r="N354" s="15">
        <v>54.5</v>
      </c>
      <c r="O354" s="15">
        <v>280.75</v>
      </c>
      <c r="P354" s="15">
        <v>443.75</v>
      </c>
    </row>
    <row r="355" ht="14.25" spans="1:16">
      <c r="A355" s="13">
        <v>354</v>
      </c>
      <c r="B355" s="15">
        <v>8</v>
      </c>
      <c r="C355" s="16">
        <v>27</v>
      </c>
      <c r="D355" s="17" t="s">
        <v>719</v>
      </c>
      <c r="E355" s="17" t="s">
        <v>720</v>
      </c>
      <c r="F355" s="15">
        <v>98.75</v>
      </c>
      <c r="G355" s="15">
        <v>104.5</v>
      </c>
      <c r="H355" s="15">
        <v>100</v>
      </c>
      <c r="I355" s="15">
        <v>64</v>
      </c>
      <c r="J355" s="15"/>
      <c r="K355" s="15">
        <v>40</v>
      </c>
      <c r="L355" s="15"/>
      <c r="M355" s="15"/>
      <c r="N355" s="15">
        <v>62</v>
      </c>
      <c r="O355" s="15">
        <v>303.25</v>
      </c>
      <c r="P355" s="15">
        <v>469.25</v>
      </c>
    </row>
    <row r="356" ht="14.25" spans="1:16">
      <c r="A356" s="13">
        <v>355</v>
      </c>
      <c r="B356" s="15">
        <v>8</v>
      </c>
      <c r="C356" s="16">
        <v>28</v>
      </c>
      <c r="D356" s="17" t="s">
        <v>721</v>
      </c>
      <c r="E356" s="17" t="s">
        <v>722</v>
      </c>
      <c r="F356" s="15">
        <v>106</v>
      </c>
      <c r="G356" s="15">
        <v>87.5</v>
      </c>
      <c r="H356" s="15">
        <v>107</v>
      </c>
      <c r="I356" s="15">
        <v>69</v>
      </c>
      <c r="J356" s="15"/>
      <c r="K356" s="15">
        <v>44</v>
      </c>
      <c r="L356" s="15"/>
      <c r="M356" s="15"/>
      <c r="N356" s="15">
        <v>43.5</v>
      </c>
      <c r="O356" s="15">
        <v>300.5</v>
      </c>
      <c r="P356" s="15">
        <v>457</v>
      </c>
    </row>
    <row r="357" ht="14.25" spans="1:16">
      <c r="A357" s="13">
        <v>356</v>
      </c>
      <c r="B357" s="15">
        <v>8</v>
      </c>
      <c r="C357" s="16">
        <v>29</v>
      </c>
      <c r="D357" s="17" t="s">
        <v>723</v>
      </c>
      <c r="E357" s="17" t="s">
        <v>724</v>
      </c>
      <c r="F357" s="15">
        <v>101</v>
      </c>
      <c r="G357" s="15">
        <v>107</v>
      </c>
      <c r="H357" s="15">
        <v>85.5</v>
      </c>
      <c r="I357" s="15">
        <v>52.5</v>
      </c>
      <c r="J357" s="15"/>
      <c r="K357" s="15">
        <v>31.5</v>
      </c>
      <c r="L357" s="15"/>
      <c r="M357" s="15"/>
      <c r="N357" s="15">
        <v>53.5</v>
      </c>
      <c r="O357" s="15">
        <v>293.5</v>
      </c>
      <c r="P357" s="15">
        <v>431</v>
      </c>
    </row>
    <row r="358" ht="14.25" spans="1:16">
      <c r="A358" s="13">
        <v>357</v>
      </c>
      <c r="B358" s="15">
        <v>8</v>
      </c>
      <c r="C358" s="16">
        <v>31</v>
      </c>
      <c r="D358" s="17" t="s">
        <v>725</v>
      </c>
      <c r="E358" s="17" t="s">
        <v>726</v>
      </c>
      <c r="F358" s="15">
        <v>99</v>
      </c>
      <c r="G358" s="15">
        <v>114.5</v>
      </c>
      <c r="H358" s="15">
        <v>97.25</v>
      </c>
      <c r="I358" s="15">
        <v>49</v>
      </c>
      <c r="J358" s="15"/>
      <c r="K358" s="15">
        <v>43</v>
      </c>
      <c r="L358" s="15"/>
      <c r="M358" s="15"/>
      <c r="N358" s="15">
        <v>50</v>
      </c>
      <c r="O358" s="15">
        <v>310.75</v>
      </c>
      <c r="P358" s="15">
        <v>452.75</v>
      </c>
    </row>
    <row r="359" ht="14.25" spans="1:16">
      <c r="A359" s="13">
        <v>358</v>
      </c>
      <c r="B359" s="15">
        <v>8</v>
      </c>
      <c r="C359" s="16">
        <v>32</v>
      </c>
      <c r="D359" s="17" t="s">
        <v>727</v>
      </c>
      <c r="E359" s="17" t="s">
        <v>526</v>
      </c>
      <c r="F359" s="15">
        <v>92.5</v>
      </c>
      <c r="G359" s="15">
        <v>93.5</v>
      </c>
      <c r="H359" s="15">
        <v>77.5</v>
      </c>
      <c r="I359" s="15">
        <v>58.5</v>
      </c>
      <c r="J359" s="15"/>
      <c r="K359" s="15">
        <v>40</v>
      </c>
      <c r="L359" s="15"/>
      <c r="M359" s="15"/>
      <c r="N359" s="15">
        <v>52.5</v>
      </c>
      <c r="O359" s="15">
        <v>263.5</v>
      </c>
      <c r="P359" s="15">
        <v>414.5</v>
      </c>
    </row>
    <row r="360" ht="14.25" spans="1:16">
      <c r="A360" s="13">
        <v>359</v>
      </c>
      <c r="B360" s="15">
        <v>8</v>
      </c>
      <c r="C360" s="16">
        <v>33</v>
      </c>
      <c r="D360" s="17" t="s">
        <v>728</v>
      </c>
      <c r="E360" s="17" t="s">
        <v>729</v>
      </c>
      <c r="F360" s="15">
        <v>107.5</v>
      </c>
      <c r="G360" s="15">
        <v>125</v>
      </c>
      <c r="H360" s="15">
        <v>90.5</v>
      </c>
      <c r="I360" s="15">
        <v>64</v>
      </c>
      <c r="J360" s="15"/>
      <c r="K360" s="15">
        <v>37.5</v>
      </c>
      <c r="L360" s="15"/>
      <c r="M360" s="15"/>
      <c r="N360" s="15">
        <v>47.5</v>
      </c>
      <c r="O360" s="15">
        <v>323</v>
      </c>
      <c r="P360" s="15">
        <v>472</v>
      </c>
    </row>
    <row r="361" ht="14.25" spans="1:16">
      <c r="A361" s="13">
        <v>360</v>
      </c>
      <c r="B361" s="15">
        <v>8</v>
      </c>
      <c r="C361" s="16">
        <v>34</v>
      </c>
      <c r="D361" s="17" t="s">
        <v>730</v>
      </c>
      <c r="E361" s="17" t="s">
        <v>731</v>
      </c>
      <c r="F361" s="15">
        <v>73.25</v>
      </c>
      <c r="G361" s="15">
        <v>88.5</v>
      </c>
      <c r="H361" s="15">
        <v>81.5</v>
      </c>
      <c r="I361" s="15">
        <v>48</v>
      </c>
      <c r="J361" s="15"/>
      <c r="K361" s="15">
        <v>32.5</v>
      </c>
      <c r="L361" s="15"/>
      <c r="M361" s="15"/>
      <c r="N361" s="15">
        <v>49.5</v>
      </c>
      <c r="O361" s="15">
        <v>243.25</v>
      </c>
      <c r="P361" s="15">
        <v>373.25</v>
      </c>
    </row>
    <row r="362" ht="14.25" spans="1:16">
      <c r="A362" s="13">
        <v>361</v>
      </c>
      <c r="B362" s="15">
        <v>8</v>
      </c>
      <c r="C362" s="16">
        <v>35</v>
      </c>
      <c r="D362" s="17" t="s">
        <v>732</v>
      </c>
      <c r="E362" s="17" t="s">
        <v>733</v>
      </c>
      <c r="F362" s="15">
        <v>108</v>
      </c>
      <c r="G362" s="15">
        <v>95</v>
      </c>
      <c r="H362" s="15">
        <v>92</v>
      </c>
      <c r="I362" s="15">
        <v>42</v>
      </c>
      <c r="J362" s="15"/>
      <c r="K362" s="15">
        <v>48</v>
      </c>
      <c r="L362" s="15"/>
      <c r="M362" s="15"/>
      <c r="N362" s="15">
        <v>50.5</v>
      </c>
      <c r="O362" s="15">
        <v>295</v>
      </c>
      <c r="P362" s="15">
        <v>435.5</v>
      </c>
    </row>
    <row r="363" ht="14.25" spans="1:16">
      <c r="A363" s="13">
        <v>362</v>
      </c>
      <c r="B363" s="15">
        <v>8</v>
      </c>
      <c r="C363" s="16">
        <v>36</v>
      </c>
      <c r="D363" s="17" t="s">
        <v>734</v>
      </c>
      <c r="E363" s="17" t="s">
        <v>735</v>
      </c>
      <c r="F363" s="15">
        <v>93.5</v>
      </c>
      <c r="G363" s="15">
        <v>98</v>
      </c>
      <c r="H363" s="15">
        <v>97.25</v>
      </c>
      <c r="I363" s="15">
        <v>56</v>
      </c>
      <c r="J363" s="15"/>
      <c r="K363" s="15">
        <v>36.5</v>
      </c>
      <c r="L363" s="15"/>
      <c r="M363" s="15"/>
      <c r="N363" s="15">
        <v>42</v>
      </c>
      <c r="O363" s="15">
        <v>288.75</v>
      </c>
      <c r="P363" s="15">
        <v>423.25</v>
      </c>
    </row>
    <row r="364" ht="14.25" spans="1:16">
      <c r="A364" s="13">
        <v>363</v>
      </c>
      <c r="B364" s="15">
        <v>8</v>
      </c>
      <c r="C364" s="16">
        <v>37</v>
      </c>
      <c r="D364" s="17" t="s">
        <v>736</v>
      </c>
      <c r="E364" s="17" t="s">
        <v>737</v>
      </c>
      <c r="F364" s="15">
        <v>104</v>
      </c>
      <c r="G364" s="15">
        <v>70</v>
      </c>
      <c r="H364" s="15">
        <v>81.5</v>
      </c>
      <c r="I364" s="15">
        <v>36.5</v>
      </c>
      <c r="J364" s="15"/>
      <c r="K364" s="15">
        <v>48</v>
      </c>
      <c r="L364" s="15"/>
      <c r="M364" s="15"/>
      <c r="N364" s="15">
        <v>35.5</v>
      </c>
      <c r="O364" s="15">
        <v>255.5</v>
      </c>
      <c r="P364" s="15">
        <v>375.5</v>
      </c>
    </row>
    <row r="365" ht="14.25" spans="1:16">
      <c r="A365" s="13">
        <v>364</v>
      </c>
      <c r="B365" s="15">
        <v>8</v>
      </c>
      <c r="C365" s="16">
        <v>38</v>
      </c>
      <c r="D365" s="17" t="s">
        <v>738</v>
      </c>
      <c r="E365" s="17" t="s">
        <v>739</v>
      </c>
      <c r="F365" s="15">
        <v>88</v>
      </c>
      <c r="G365" s="15">
        <v>93</v>
      </c>
      <c r="H365" s="15">
        <v>79</v>
      </c>
      <c r="I365" s="15">
        <v>44</v>
      </c>
      <c r="J365" s="15"/>
      <c r="K365" s="15">
        <v>47.5</v>
      </c>
      <c r="L365" s="15"/>
      <c r="M365" s="15"/>
      <c r="N365" s="15">
        <v>53.5</v>
      </c>
      <c r="O365" s="15">
        <v>260</v>
      </c>
      <c r="P365" s="15">
        <v>405</v>
      </c>
    </row>
    <row r="366" ht="14.25" spans="1:16">
      <c r="A366" s="13">
        <v>365</v>
      </c>
      <c r="B366" s="15">
        <v>8</v>
      </c>
      <c r="C366" s="16">
        <v>39</v>
      </c>
      <c r="D366" s="17" t="s">
        <v>740</v>
      </c>
      <c r="E366" s="17" t="s">
        <v>741</v>
      </c>
      <c r="F366" s="15">
        <v>103</v>
      </c>
      <c r="G366" s="15">
        <v>100</v>
      </c>
      <c r="H366" s="15">
        <v>111</v>
      </c>
      <c r="I366" s="15">
        <v>61.5</v>
      </c>
      <c r="J366" s="15"/>
      <c r="K366" s="15">
        <v>43.5</v>
      </c>
      <c r="L366" s="15"/>
      <c r="M366" s="15"/>
      <c r="N366" s="15">
        <v>62.5</v>
      </c>
      <c r="O366" s="15">
        <v>314</v>
      </c>
      <c r="P366" s="15">
        <v>481.5</v>
      </c>
    </row>
    <row r="367" ht="14.25" spans="1:16">
      <c r="A367" s="13">
        <v>366</v>
      </c>
      <c r="B367" s="15">
        <v>8</v>
      </c>
      <c r="C367" s="16">
        <v>40</v>
      </c>
      <c r="D367" s="17" t="s">
        <v>742</v>
      </c>
      <c r="E367" s="17" t="s">
        <v>743</v>
      </c>
      <c r="F367" s="15">
        <v>104.25</v>
      </c>
      <c r="G367" s="15">
        <v>121</v>
      </c>
      <c r="H367" s="15">
        <v>95.75</v>
      </c>
      <c r="I367" s="15">
        <v>61.5</v>
      </c>
      <c r="J367" s="15"/>
      <c r="K367" s="15">
        <v>51.5</v>
      </c>
      <c r="L367" s="15"/>
      <c r="M367" s="15"/>
      <c r="N367" s="15">
        <v>39.5</v>
      </c>
      <c r="O367" s="15">
        <v>321</v>
      </c>
      <c r="P367" s="15">
        <v>473.5</v>
      </c>
    </row>
    <row r="368" ht="14.25" spans="1:16">
      <c r="A368" s="13">
        <v>367</v>
      </c>
      <c r="B368" s="15">
        <v>8</v>
      </c>
      <c r="C368" s="16">
        <v>41</v>
      </c>
      <c r="D368" s="17" t="s">
        <v>744</v>
      </c>
      <c r="E368" s="17" t="s">
        <v>745</v>
      </c>
      <c r="F368" s="15">
        <v>93</v>
      </c>
      <c r="G368" s="15">
        <v>77.5</v>
      </c>
      <c r="H368" s="15">
        <v>88.5</v>
      </c>
      <c r="I368" s="15">
        <v>44</v>
      </c>
      <c r="J368" s="15"/>
      <c r="K368" s="15">
        <v>27</v>
      </c>
      <c r="L368" s="15"/>
      <c r="M368" s="15"/>
      <c r="N368" s="15">
        <v>36</v>
      </c>
      <c r="O368" s="15">
        <v>259</v>
      </c>
      <c r="P368" s="15">
        <v>366</v>
      </c>
    </row>
    <row r="369" ht="14.25" spans="1:16">
      <c r="A369" s="13">
        <v>368</v>
      </c>
      <c r="B369" s="15">
        <v>8</v>
      </c>
      <c r="C369" s="16">
        <v>42</v>
      </c>
      <c r="D369" s="17" t="s">
        <v>746</v>
      </c>
      <c r="E369" s="17" t="s">
        <v>747</v>
      </c>
      <c r="F369" s="15">
        <v>100.5</v>
      </c>
      <c r="G369" s="15">
        <v>111.5</v>
      </c>
      <c r="H369" s="15">
        <v>72</v>
      </c>
      <c r="I369" s="15">
        <v>67</v>
      </c>
      <c r="J369" s="15"/>
      <c r="K369" s="15">
        <v>53</v>
      </c>
      <c r="L369" s="15"/>
      <c r="M369" s="15"/>
      <c r="N369" s="15">
        <v>61</v>
      </c>
      <c r="O369" s="15">
        <v>284</v>
      </c>
      <c r="P369" s="15">
        <v>465</v>
      </c>
    </row>
    <row r="370" ht="14.25" spans="1:16">
      <c r="A370" s="13">
        <v>369</v>
      </c>
      <c r="B370" s="15">
        <v>8</v>
      </c>
      <c r="C370" s="16">
        <v>43</v>
      </c>
      <c r="D370" s="17" t="s">
        <v>748</v>
      </c>
      <c r="E370" s="17" t="s">
        <v>749</v>
      </c>
      <c r="F370" s="15">
        <v>90.5</v>
      </c>
      <c r="G370" s="15">
        <v>82.5</v>
      </c>
      <c r="H370" s="15">
        <v>94.5</v>
      </c>
      <c r="I370" s="15">
        <v>51</v>
      </c>
      <c r="J370" s="15"/>
      <c r="K370" s="15">
        <v>30</v>
      </c>
      <c r="L370" s="15"/>
      <c r="M370" s="15"/>
      <c r="N370" s="15">
        <v>29.5</v>
      </c>
      <c r="O370" s="15">
        <v>267.5</v>
      </c>
      <c r="P370" s="15">
        <v>378</v>
      </c>
    </row>
    <row r="371" ht="14.25" spans="1:16">
      <c r="A371" s="13">
        <v>370</v>
      </c>
      <c r="B371" s="15">
        <v>8</v>
      </c>
      <c r="C371" s="16">
        <v>44</v>
      </c>
      <c r="D371" s="17" t="s">
        <v>750</v>
      </c>
      <c r="E371" s="17" t="s">
        <v>751</v>
      </c>
      <c r="F371" s="15">
        <v>106.25</v>
      </c>
      <c r="G371" s="15">
        <v>58</v>
      </c>
      <c r="H371" s="15">
        <v>49.25</v>
      </c>
      <c r="I371" s="15">
        <v>39</v>
      </c>
      <c r="J371" s="15"/>
      <c r="K371" s="15">
        <v>29</v>
      </c>
      <c r="L371" s="15"/>
      <c r="M371" s="15"/>
      <c r="N371" s="15">
        <v>37</v>
      </c>
      <c r="O371" s="15">
        <v>213.5</v>
      </c>
      <c r="P371" s="15">
        <v>318.5</v>
      </c>
    </row>
    <row r="372" ht="14.25" spans="1:16">
      <c r="A372" s="13">
        <v>371</v>
      </c>
      <c r="B372" s="15">
        <v>8</v>
      </c>
      <c r="C372" s="16">
        <v>45</v>
      </c>
      <c r="D372" s="17" t="s">
        <v>752</v>
      </c>
      <c r="E372" s="17" t="s">
        <v>753</v>
      </c>
      <c r="F372" s="15">
        <v>87</v>
      </c>
      <c r="G372" s="15">
        <v>83.5</v>
      </c>
      <c r="H372" s="15">
        <v>61</v>
      </c>
      <c r="I372" s="15">
        <v>33.5</v>
      </c>
      <c r="J372" s="15"/>
      <c r="K372" s="15">
        <v>22.5</v>
      </c>
      <c r="L372" s="15"/>
      <c r="M372" s="15"/>
      <c r="N372" s="15">
        <v>43</v>
      </c>
      <c r="O372" s="15">
        <v>231.5</v>
      </c>
      <c r="P372" s="15">
        <v>330.5</v>
      </c>
    </row>
    <row r="373" ht="14.25" spans="1:16">
      <c r="A373" s="13">
        <v>372</v>
      </c>
      <c r="B373" s="15">
        <v>8</v>
      </c>
      <c r="C373" s="16">
        <v>46</v>
      </c>
      <c r="D373" s="17" t="s">
        <v>754</v>
      </c>
      <c r="E373" s="17" t="s">
        <v>755</v>
      </c>
      <c r="F373" s="15">
        <v>86.5</v>
      </c>
      <c r="G373" s="15">
        <v>124</v>
      </c>
      <c r="H373" s="15">
        <v>79.75</v>
      </c>
      <c r="I373" s="15">
        <v>65.5</v>
      </c>
      <c r="J373" s="15"/>
      <c r="K373" s="15">
        <v>54.5</v>
      </c>
      <c r="L373" s="15"/>
      <c r="M373" s="15"/>
      <c r="N373" s="15">
        <v>67.5</v>
      </c>
      <c r="O373" s="15">
        <v>290.25</v>
      </c>
      <c r="P373" s="15">
        <v>477.75</v>
      </c>
    </row>
    <row r="374" ht="14.25" spans="1:16">
      <c r="A374" s="13">
        <v>373</v>
      </c>
      <c r="B374" s="15">
        <v>8</v>
      </c>
      <c r="C374" s="16">
        <v>47</v>
      </c>
      <c r="D374" s="17" t="s">
        <v>756</v>
      </c>
      <c r="E374" s="17" t="s">
        <v>757</v>
      </c>
      <c r="F374" s="15">
        <v>94.5</v>
      </c>
      <c r="G374" s="15">
        <v>89</v>
      </c>
      <c r="H374" s="15">
        <v>91.25</v>
      </c>
      <c r="I374" s="15">
        <v>55.5</v>
      </c>
      <c r="J374" s="15"/>
      <c r="K374" s="15">
        <v>38</v>
      </c>
      <c r="L374" s="15"/>
      <c r="M374" s="15"/>
      <c r="N374" s="15">
        <v>39</v>
      </c>
      <c r="O374" s="15">
        <v>274.75</v>
      </c>
      <c r="P374" s="15">
        <v>407.25</v>
      </c>
    </row>
    <row r="375" ht="14.25" spans="1:16">
      <c r="A375" s="13">
        <v>374</v>
      </c>
      <c r="B375" s="15">
        <v>8</v>
      </c>
      <c r="C375" s="16">
        <v>48</v>
      </c>
      <c r="D375" s="17" t="s">
        <v>758</v>
      </c>
      <c r="E375" s="17" t="s">
        <v>759</v>
      </c>
      <c r="F375" s="15">
        <v>100.5</v>
      </c>
      <c r="G375" s="15">
        <v>85.5</v>
      </c>
      <c r="H375" s="15">
        <v>115</v>
      </c>
      <c r="I375" s="15">
        <v>43</v>
      </c>
      <c r="J375" s="15"/>
      <c r="K375" s="15">
        <v>46</v>
      </c>
      <c r="L375" s="15"/>
      <c r="M375" s="15"/>
      <c r="N375" s="15">
        <v>38</v>
      </c>
      <c r="O375" s="15">
        <v>301</v>
      </c>
      <c r="P375" s="15">
        <v>428</v>
      </c>
    </row>
    <row r="376" ht="14.25" spans="1:16">
      <c r="A376" s="13">
        <v>375</v>
      </c>
      <c r="B376" s="15">
        <v>8</v>
      </c>
      <c r="C376" s="16">
        <v>49</v>
      </c>
      <c r="D376" s="17" t="s">
        <v>760</v>
      </c>
      <c r="E376" s="17" t="s">
        <v>761</v>
      </c>
      <c r="F376" s="15">
        <v>108.5</v>
      </c>
      <c r="G376" s="15">
        <v>120</v>
      </c>
      <c r="H376" s="15">
        <v>115.5</v>
      </c>
      <c r="I376" s="15">
        <v>66.5</v>
      </c>
      <c r="J376" s="15"/>
      <c r="K376" s="15">
        <v>60.5</v>
      </c>
      <c r="L376" s="15"/>
      <c r="M376" s="15"/>
      <c r="N376" s="15">
        <v>62.5</v>
      </c>
      <c r="O376" s="15">
        <v>344</v>
      </c>
      <c r="P376" s="15">
        <v>533.5</v>
      </c>
    </row>
    <row r="377" ht="14.25" spans="1:16">
      <c r="A377" s="13">
        <v>376</v>
      </c>
      <c r="B377" s="15">
        <v>8</v>
      </c>
      <c r="C377" s="16">
        <v>50</v>
      </c>
      <c r="D377" s="17" t="s">
        <v>762</v>
      </c>
      <c r="E377" s="17" t="s">
        <v>763</v>
      </c>
      <c r="F377" s="15">
        <v>102.5</v>
      </c>
      <c r="G377" s="15">
        <v>110.5</v>
      </c>
      <c r="H377" s="15">
        <v>107.25</v>
      </c>
      <c r="I377" s="15">
        <v>62.5</v>
      </c>
      <c r="J377" s="15"/>
      <c r="K377" s="15">
        <v>51.5</v>
      </c>
      <c r="L377" s="15"/>
      <c r="M377" s="15"/>
      <c r="N377" s="15">
        <v>45</v>
      </c>
      <c r="O377" s="15">
        <v>320.25</v>
      </c>
      <c r="P377" s="15">
        <v>479.25</v>
      </c>
    </row>
    <row r="378" ht="14.25" spans="1:16">
      <c r="A378" s="13">
        <v>377</v>
      </c>
      <c r="B378" s="15">
        <v>8</v>
      </c>
      <c r="C378" s="16">
        <v>51</v>
      </c>
      <c r="D378" s="17" t="s">
        <v>764</v>
      </c>
      <c r="E378" s="17" t="s">
        <v>765</v>
      </c>
      <c r="F378" s="15">
        <v>110.5</v>
      </c>
      <c r="G378" s="15">
        <v>102.5</v>
      </c>
      <c r="H378" s="15">
        <v>96.5</v>
      </c>
      <c r="I378" s="15">
        <v>39.5</v>
      </c>
      <c r="J378" s="15"/>
      <c r="K378" s="15">
        <v>41.5</v>
      </c>
      <c r="L378" s="15"/>
      <c r="M378" s="15"/>
      <c r="N378" s="15">
        <v>33.5</v>
      </c>
      <c r="O378" s="15">
        <v>309.5</v>
      </c>
      <c r="P378" s="15">
        <v>424</v>
      </c>
    </row>
    <row r="379" ht="14.25" spans="1:16">
      <c r="A379" s="13">
        <v>378</v>
      </c>
      <c r="B379" s="15">
        <v>8</v>
      </c>
      <c r="C379" s="16">
        <v>52</v>
      </c>
      <c r="D379" s="19" t="s">
        <v>766</v>
      </c>
      <c r="E379" s="17" t="s">
        <v>767</v>
      </c>
      <c r="F379" s="15">
        <v>96</v>
      </c>
      <c r="G379" s="15">
        <v>98</v>
      </c>
      <c r="H379" s="15">
        <v>82.75</v>
      </c>
      <c r="I379" s="15">
        <v>57.5</v>
      </c>
      <c r="J379" s="15"/>
      <c r="K379" s="15">
        <v>37.5</v>
      </c>
      <c r="L379" s="15"/>
      <c r="M379" s="15"/>
      <c r="N379" s="15">
        <v>43.5</v>
      </c>
      <c r="O379" s="15">
        <v>276.75</v>
      </c>
      <c r="P379" s="15">
        <v>415.25</v>
      </c>
    </row>
    <row r="380" ht="14.25" spans="1:16">
      <c r="A380" s="13">
        <v>379</v>
      </c>
      <c r="B380" s="15">
        <v>8</v>
      </c>
      <c r="C380" s="16">
        <v>53</v>
      </c>
      <c r="D380" s="17" t="s">
        <v>768</v>
      </c>
      <c r="E380" s="17" t="s">
        <v>769</v>
      </c>
      <c r="F380" s="15">
        <v>101.5</v>
      </c>
      <c r="G380" s="15">
        <v>101.5</v>
      </c>
      <c r="H380" s="15">
        <v>96</v>
      </c>
      <c r="I380" s="15">
        <v>39</v>
      </c>
      <c r="J380" s="15"/>
      <c r="K380" s="15">
        <v>36</v>
      </c>
      <c r="L380" s="15"/>
      <c r="M380" s="15"/>
      <c r="N380" s="15">
        <v>51.5</v>
      </c>
      <c r="O380" s="15">
        <v>299</v>
      </c>
      <c r="P380" s="15">
        <v>425.5</v>
      </c>
    </row>
    <row r="381" ht="14.25" spans="1:16">
      <c r="A381" s="13">
        <v>380</v>
      </c>
      <c r="B381" s="15">
        <v>8</v>
      </c>
      <c r="C381" s="16">
        <v>54</v>
      </c>
      <c r="D381" s="17" t="s">
        <v>770</v>
      </c>
      <c r="E381" s="17" t="s">
        <v>771</v>
      </c>
      <c r="F381" s="15">
        <v>107</v>
      </c>
      <c r="G381" s="15">
        <v>101.5</v>
      </c>
      <c r="H381" s="15">
        <v>110</v>
      </c>
      <c r="I381" s="15">
        <v>64.5</v>
      </c>
      <c r="J381" s="15"/>
      <c r="K381" s="15">
        <v>38.5</v>
      </c>
      <c r="L381" s="15"/>
      <c r="M381" s="15"/>
      <c r="N381" s="15">
        <v>50</v>
      </c>
      <c r="O381" s="15">
        <v>318.5</v>
      </c>
      <c r="P381" s="15">
        <v>471.5</v>
      </c>
    </row>
    <row r="382" ht="14.25" spans="1:16">
      <c r="A382" s="13">
        <v>381</v>
      </c>
      <c r="B382" s="15">
        <v>8</v>
      </c>
      <c r="C382" s="16">
        <v>55</v>
      </c>
      <c r="D382" s="19" t="s">
        <v>772</v>
      </c>
      <c r="E382" s="17" t="s">
        <v>773</v>
      </c>
      <c r="F382" s="15">
        <v>95.5</v>
      </c>
      <c r="G382" s="15">
        <v>115.5</v>
      </c>
      <c r="H382" s="15">
        <v>106.5</v>
      </c>
      <c r="I382" s="15">
        <v>45.5</v>
      </c>
      <c r="J382" s="15"/>
      <c r="K382" s="15">
        <v>41.5</v>
      </c>
      <c r="L382" s="15"/>
      <c r="M382" s="15"/>
      <c r="N382" s="15">
        <v>48.5</v>
      </c>
      <c r="O382" s="15">
        <v>317.5</v>
      </c>
      <c r="P382" s="15">
        <v>453</v>
      </c>
    </row>
    <row r="383" ht="14.25" spans="1:16">
      <c r="A383" s="13">
        <v>382</v>
      </c>
      <c r="B383" s="15">
        <v>8</v>
      </c>
      <c r="C383" s="16">
        <v>58</v>
      </c>
      <c r="D383" s="17" t="s">
        <v>774</v>
      </c>
      <c r="E383" s="17" t="s">
        <v>775</v>
      </c>
      <c r="F383" s="15">
        <v>102.5</v>
      </c>
      <c r="G383" s="15">
        <v>99.5</v>
      </c>
      <c r="H383" s="15">
        <v>87</v>
      </c>
      <c r="I383" s="15">
        <v>56</v>
      </c>
      <c r="J383" s="15"/>
      <c r="K383" s="15">
        <v>33</v>
      </c>
      <c r="L383" s="15"/>
      <c r="M383" s="15"/>
      <c r="N383" s="15">
        <v>33.5</v>
      </c>
      <c r="O383" s="15">
        <v>289</v>
      </c>
      <c r="P383" s="15">
        <v>411.5</v>
      </c>
    </row>
    <row r="384" ht="14.25" spans="1:16">
      <c r="A384" s="13">
        <v>383</v>
      </c>
      <c r="B384" s="15">
        <v>8</v>
      </c>
      <c r="C384" s="16">
        <v>59</v>
      </c>
      <c r="D384" s="17" t="s">
        <v>776</v>
      </c>
      <c r="E384" s="17" t="s">
        <v>777</v>
      </c>
      <c r="F384" s="15">
        <v>100.5</v>
      </c>
      <c r="G384" s="15">
        <v>97.5</v>
      </c>
      <c r="H384" s="15">
        <v>89.75</v>
      </c>
      <c r="I384" s="15">
        <v>53.5</v>
      </c>
      <c r="J384" s="15"/>
      <c r="K384" s="15">
        <v>36</v>
      </c>
      <c r="L384" s="15"/>
      <c r="M384" s="15"/>
      <c r="N384" s="15">
        <v>45</v>
      </c>
      <c r="O384" s="15">
        <v>287.75</v>
      </c>
      <c r="P384" s="15">
        <v>422.25</v>
      </c>
    </row>
    <row r="385" ht="14.25" spans="1:16">
      <c r="A385" s="13">
        <v>384</v>
      </c>
      <c r="B385" s="15">
        <v>8</v>
      </c>
      <c r="C385" s="16">
        <v>60</v>
      </c>
      <c r="D385" s="17" t="s">
        <v>778</v>
      </c>
      <c r="E385" s="17" t="s">
        <v>779</v>
      </c>
      <c r="F385" s="15">
        <v>106.25</v>
      </c>
      <c r="G385" s="15">
        <v>123.5</v>
      </c>
      <c r="H385" s="15">
        <v>84.25</v>
      </c>
      <c r="I385" s="15">
        <v>66</v>
      </c>
      <c r="J385" s="15"/>
      <c r="K385" s="15">
        <v>57</v>
      </c>
      <c r="L385" s="15"/>
      <c r="M385" s="15"/>
      <c r="N385" s="15">
        <v>53.5</v>
      </c>
      <c r="O385" s="15">
        <v>314</v>
      </c>
      <c r="P385" s="15">
        <v>490.5</v>
      </c>
    </row>
    <row r="386" ht="14.25" spans="1:16">
      <c r="A386" s="13">
        <v>385</v>
      </c>
      <c r="B386" s="15">
        <v>8</v>
      </c>
      <c r="C386" s="16">
        <v>61</v>
      </c>
      <c r="D386" s="17" t="s">
        <v>780</v>
      </c>
      <c r="E386" s="17" t="s">
        <v>781</v>
      </c>
      <c r="F386" s="15">
        <v>109.5</v>
      </c>
      <c r="G386" s="15">
        <v>92.5</v>
      </c>
      <c r="H386" s="15">
        <v>116</v>
      </c>
      <c r="I386" s="15">
        <v>63.5</v>
      </c>
      <c r="J386" s="15"/>
      <c r="K386" s="15">
        <v>46.5</v>
      </c>
      <c r="L386" s="15"/>
      <c r="M386" s="15"/>
      <c r="N386" s="15">
        <v>70</v>
      </c>
      <c r="O386" s="15">
        <v>318</v>
      </c>
      <c r="P386" s="15">
        <v>498</v>
      </c>
    </row>
    <row r="387" ht="14.25" spans="1:16">
      <c r="A387" s="13">
        <v>386</v>
      </c>
      <c r="B387" s="15">
        <v>9</v>
      </c>
      <c r="C387" s="16">
        <v>1</v>
      </c>
      <c r="D387" s="17" t="s">
        <v>782</v>
      </c>
      <c r="E387" s="17" t="s">
        <v>783</v>
      </c>
      <c r="F387" s="15">
        <v>100.5</v>
      </c>
      <c r="G387" s="15">
        <v>119.5</v>
      </c>
      <c r="H387" s="15">
        <v>104.75</v>
      </c>
      <c r="I387" s="15">
        <v>79</v>
      </c>
      <c r="J387" s="15"/>
      <c r="K387" s="15">
        <v>63.5</v>
      </c>
      <c r="L387" s="15"/>
      <c r="M387" s="15"/>
      <c r="N387" s="15">
        <v>59</v>
      </c>
      <c r="O387" s="15">
        <v>324.75</v>
      </c>
      <c r="P387" s="15">
        <v>526.25</v>
      </c>
    </row>
    <row r="388" ht="14.25" spans="1:16">
      <c r="A388" s="13">
        <v>387</v>
      </c>
      <c r="B388" s="15">
        <v>9</v>
      </c>
      <c r="C388" s="16">
        <v>2</v>
      </c>
      <c r="D388" s="17" t="s">
        <v>784</v>
      </c>
      <c r="E388" s="17" t="s">
        <v>785</v>
      </c>
      <c r="F388" s="15">
        <v>100.5</v>
      </c>
      <c r="G388" s="15">
        <v>119.5</v>
      </c>
      <c r="H388" s="15">
        <v>109.25</v>
      </c>
      <c r="I388" s="15">
        <v>73</v>
      </c>
      <c r="J388" s="15"/>
      <c r="K388" s="15">
        <v>48.5</v>
      </c>
      <c r="L388" s="15"/>
      <c r="M388" s="15"/>
      <c r="N388" s="15">
        <v>64.5</v>
      </c>
      <c r="O388" s="15">
        <v>329.25</v>
      </c>
      <c r="P388" s="15">
        <v>515.25</v>
      </c>
    </row>
    <row r="389" ht="14.25" spans="1:16">
      <c r="A389" s="13">
        <v>388</v>
      </c>
      <c r="B389" s="15">
        <v>9</v>
      </c>
      <c r="C389" s="16">
        <v>3</v>
      </c>
      <c r="D389" s="17" t="s">
        <v>786</v>
      </c>
      <c r="E389" s="17" t="s">
        <v>787</v>
      </c>
      <c r="F389" s="15">
        <v>110.5</v>
      </c>
      <c r="G389" s="15">
        <v>112</v>
      </c>
      <c r="H389" s="15">
        <v>127.5</v>
      </c>
      <c r="I389" s="15">
        <v>70.5</v>
      </c>
      <c r="J389" s="15"/>
      <c r="K389" s="15">
        <v>53</v>
      </c>
      <c r="L389" s="15"/>
      <c r="M389" s="15"/>
      <c r="N389" s="15">
        <v>61.5</v>
      </c>
      <c r="O389" s="15">
        <v>350</v>
      </c>
      <c r="P389" s="15">
        <v>535</v>
      </c>
    </row>
    <row r="390" ht="14.25" spans="1:16">
      <c r="A390" s="13">
        <v>389</v>
      </c>
      <c r="B390" s="15">
        <v>9</v>
      </c>
      <c r="C390" s="16">
        <v>4</v>
      </c>
      <c r="D390" s="17" t="s">
        <v>788</v>
      </c>
      <c r="E390" s="17" t="s">
        <v>789</v>
      </c>
      <c r="F390" s="15">
        <v>105.5</v>
      </c>
      <c r="G390" s="15">
        <v>112.5</v>
      </c>
      <c r="H390" s="15">
        <v>119</v>
      </c>
      <c r="I390" s="15">
        <v>71</v>
      </c>
      <c r="J390" s="15"/>
      <c r="K390" s="15">
        <v>41</v>
      </c>
      <c r="L390" s="15"/>
      <c r="M390" s="15"/>
      <c r="N390" s="15">
        <v>54</v>
      </c>
      <c r="O390" s="15">
        <v>337</v>
      </c>
      <c r="P390" s="15">
        <v>503</v>
      </c>
    </row>
    <row r="391" ht="14.25" spans="1:16">
      <c r="A391" s="13">
        <v>390</v>
      </c>
      <c r="B391" s="15">
        <v>9</v>
      </c>
      <c r="C391" s="16">
        <v>5</v>
      </c>
      <c r="D391" s="17" t="s">
        <v>790</v>
      </c>
      <c r="E391" s="17" t="s">
        <v>791</v>
      </c>
      <c r="F391" s="15">
        <v>109.5</v>
      </c>
      <c r="G391" s="15">
        <v>118.5</v>
      </c>
      <c r="H391" s="15">
        <v>118</v>
      </c>
      <c r="I391" s="15">
        <v>55</v>
      </c>
      <c r="J391" s="15"/>
      <c r="K391" s="15">
        <v>40.5</v>
      </c>
      <c r="L391" s="15"/>
      <c r="M391" s="15"/>
      <c r="N391" s="15">
        <v>57.5</v>
      </c>
      <c r="O391" s="15">
        <v>346</v>
      </c>
      <c r="P391" s="15">
        <v>499</v>
      </c>
    </row>
    <row r="392" ht="14.25" spans="1:16">
      <c r="A392" s="13">
        <v>391</v>
      </c>
      <c r="B392" s="15">
        <v>9</v>
      </c>
      <c r="C392" s="16">
        <v>6</v>
      </c>
      <c r="D392" s="17" t="s">
        <v>792</v>
      </c>
      <c r="E392" s="17" t="s">
        <v>793</v>
      </c>
      <c r="F392" s="15">
        <v>95</v>
      </c>
      <c r="G392" s="15">
        <v>130.5</v>
      </c>
      <c r="H392" s="15">
        <v>101</v>
      </c>
      <c r="I392" s="15">
        <v>74</v>
      </c>
      <c r="J392" s="15"/>
      <c r="K392" s="15">
        <v>49</v>
      </c>
      <c r="L392" s="15"/>
      <c r="M392" s="15"/>
      <c r="N392" s="15">
        <v>64.5</v>
      </c>
      <c r="O392" s="15">
        <v>326.5</v>
      </c>
      <c r="P392" s="15">
        <v>514</v>
      </c>
    </row>
    <row r="393" ht="14.25" spans="1:16">
      <c r="A393" s="13">
        <v>392</v>
      </c>
      <c r="B393" s="15">
        <v>9</v>
      </c>
      <c r="C393" s="16">
        <v>7</v>
      </c>
      <c r="D393" s="17" t="s">
        <v>794</v>
      </c>
      <c r="E393" s="17" t="s">
        <v>795</v>
      </c>
      <c r="F393" s="15">
        <v>105</v>
      </c>
      <c r="G393" s="15">
        <v>115</v>
      </c>
      <c r="H393" s="15">
        <v>115.5</v>
      </c>
      <c r="I393" s="15">
        <v>55</v>
      </c>
      <c r="J393" s="15"/>
      <c r="K393" s="15">
        <v>48.5</v>
      </c>
      <c r="L393" s="15"/>
      <c r="M393" s="15"/>
      <c r="N393" s="15">
        <v>53.5</v>
      </c>
      <c r="O393" s="15">
        <v>335.5</v>
      </c>
      <c r="P393" s="15">
        <v>492.5</v>
      </c>
    </row>
    <row r="394" ht="14.25" spans="1:16">
      <c r="A394" s="13">
        <v>393</v>
      </c>
      <c r="B394" s="15">
        <v>9</v>
      </c>
      <c r="C394" s="16">
        <v>8</v>
      </c>
      <c r="D394" s="17" t="s">
        <v>796</v>
      </c>
      <c r="E394" s="17" t="s">
        <v>797</v>
      </c>
      <c r="F394" s="15">
        <v>101.5</v>
      </c>
      <c r="G394" s="15">
        <v>130.5</v>
      </c>
      <c r="H394" s="15">
        <v>124</v>
      </c>
      <c r="I394" s="15">
        <v>76</v>
      </c>
      <c r="J394" s="15"/>
      <c r="K394" s="15">
        <v>62</v>
      </c>
      <c r="L394" s="15"/>
      <c r="M394" s="15"/>
      <c r="N394" s="15">
        <v>68</v>
      </c>
      <c r="O394" s="15">
        <v>356</v>
      </c>
      <c r="P394" s="15">
        <v>562</v>
      </c>
    </row>
    <row r="395" ht="14.25" spans="1:16">
      <c r="A395" s="13">
        <v>394</v>
      </c>
      <c r="B395" s="15">
        <v>9</v>
      </c>
      <c r="C395" s="16">
        <v>9</v>
      </c>
      <c r="D395" s="17" t="s">
        <v>798</v>
      </c>
      <c r="E395" s="17" t="s">
        <v>799</v>
      </c>
      <c r="F395" s="15">
        <v>104.5</v>
      </c>
      <c r="G395" s="15">
        <v>126.5</v>
      </c>
      <c r="H395" s="15">
        <v>106</v>
      </c>
      <c r="I395" s="15">
        <v>62</v>
      </c>
      <c r="J395" s="15"/>
      <c r="K395" s="15">
        <v>60.5</v>
      </c>
      <c r="L395" s="15"/>
      <c r="M395" s="15"/>
      <c r="N395" s="15">
        <v>64.5</v>
      </c>
      <c r="O395" s="15">
        <v>337</v>
      </c>
      <c r="P395" s="15">
        <v>524</v>
      </c>
    </row>
    <row r="396" ht="14.25" spans="1:16">
      <c r="A396" s="13">
        <v>395</v>
      </c>
      <c r="B396" s="15">
        <v>9</v>
      </c>
      <c r="C396" s="16">
        <v>10</v>
      </c>
      <c r="D396" s="17" t="s">
        <v>800</v>
      </c>
      <c r="E396" s="17" t="s">
        <v>801</v>
      </c>
      <c r="F396" s="15">
        <v>101</v>
      </c>
      <c r="G396" s="15">
        <v>119</v>
      </c>
      <c r="H396" s="15">
        <v>107.25</v>
      </c>
      <c r="I396" s="15">
        <v>69.5</v>
      </c>
      <c r="J396" s="15"/>
      <c r="K396" s="15">
        <v>49.5</v>
      </c>
      <c r="L396" s="15"/>
      <c r="M396" s="15"/>
      <c r="N396" s="15">
        <v>65.5</v>
      </c>
      <c r="O396" s="15">
        <v>327.25</v>
      </c>
      <c r="P396" s="15">
        <v>511.75</v>
      </c>
    </row>
    <row r="397" ht="14.25" spans="1:16">
      <c r="A397" s="13">
        <v>396</v>
      </c>
      <c r="B397" s="15">
        <v>9</v>
      </c>
      <c r="C397" s="16">
        <v>11</v>
      </c>
      <c r="D397" s="17" t="s">
        <v>802</v>
      </c>
      <c r="E397" s="17" t="s">
        <v>803</v>
      </c>
      <c r="F397" s="15">
        <v>104</v>
      </c>
      <c r="G397" s="15">
        <v>125.5</v>
      </c>
      <c r="H397" s="15">
        <v>107.5</v>
      </c>
      <c r="I397" s="15">
        <v>76.5</v>
      </c>
      <c r="J397" s="15"/>
      <c r="K397" s="15">
        <v>51</v>
      </c>
      <c r="L397" s="15"/>
      <c r="M397" s="15"/>
      <c r="N397" s="15">
        <v>60</v>
      </c>
      <c r="O397" s="15">
        <v>337</v>
      </c>
      <c r="P397" s="15">
        <v>524.5</v>
      </c>
    </row>
    <row r="398" ht="14.25" spans="1:16">
      <c r="A398" s="13">
        <v>397</v>
      </c>
      <c r="B398" s="15">
        <v>9</v>
      </c>
      <c r="C398" s="16">
        <v>12</v>
      </c>
      <c r="D398" s="17" t="s">
        <v>804</v>
      </c>
      <c r="E398" s="17" t="s">
        <v>805</v>
      </c>
      <c r="F398" s="15">
        <v>94</v>
      </c>
      <c r="G398" s="15">
        <v>121</v>
      </c>
      <c r="H398" s="15">
        <v>102.75</v>
      </c>
      <c r="I398" s="15">
        <v>55.5</v>
      </c>
      <c r="J398" s="15"/>
      <c r="K398" s="15">
        <v>29</v>
      </c>
      <c r="L398" s="15"/>
      <c r="M398" s="15"/>
      <c r="N398" s="15">
        <v>68.5</v>
      </c>
      <c r="O398" s="15">
        <v>317.75</v>
      </c>
      <c r="P398" s="15">
        <v>470.75</v>
      </c>
    </row>
    <row r="399" ht="14.25" spans="1:16">
      <c r="A399" s="13">
        <v>398</v>
      </c>
      <c r="B399" s="15">
        <v>9</v>
      </c>
      <c r="C399" s="16">
        <v>13</v>
      </c>
      <c r="D399" s="17" t="s">
        <v>806</v>
      </c>
      <c r="E399" s="17" t="s">
        <v>807</v>
      </c>
      <c r="F399" s="15">
        <v>108</v>
      </c>
      <c r="G399" s="15">
        <v>118.5</v>
      </c>
      <c r="H399" s="15">
        <v>122.5</v>
      </c>
      <c r="I399" s="15">
        <v>76.5</v>
      </c>
      <c r="J399" s="15"/>
      <c r="K399" s="15">
        <v>51.5</v>
      </c>
      <c r="L399" s="15"/>
      <c r="M399" s="15"/>
      <c r="N399" s="15">
        <v>56</v>
      </c>
      <c r="O399" s="15">
        <v>349</v>
      </c>
      <c r="P399" s="15">
        <v>533</v>
      </c>
    </row>
    <row r="400" ht="14.25" spans="1:16">
      <c r="A400" s="13">
        <v>399</v>
      </c>
      <c r="B400" s="15">
        <v>9</v>
      </c>
      <c r="C400" s="16">
        <v>14</v>
      </c>
      <c r="D400" s="17" t="s">
        <v>808</v>
      </c>
      <c r="E400" s="17" t="s">
        <v>809</v>
      </c>
      <c r="F400" s="15">
        <v>116</v>
      </c>
      <c r="G400" s="15">
        <v>123.5</v>
      </c>
      <c r="H400" s="15">
        <v>117.75</v>
      </c>
      <c r="I400" s="15">
        <v>84</v>
      </c>
      <c r="J400" s="15"/>
      <c r="K400" s="15">
        <v>64.5</v>
      </c>
      <c r="L400" s="15"/>
      <c r="M400" s="15"/>
      <c r="N400" s="15">
        <v>71</v>
      </c>
      <c r="O400" s="15">
        <v>357.25</v>
      </c>
      <c r="P400" s="15">
        <v>576.75</v>
      </c>
    </row>
    <row r="401" ht="14.25" spans="1:16">
      <c r="A401" s="13">
        <v>400</v>
      </c>
      <c r="B401" s="15">
        <v>9</v>
      </c>
      <c r="C401" s="16">
        <v>15</v>
      </c>
      <c r="D401" s="17" t="s">
        <v>810</v>
      </c>
      <c r="E401" s="17" t="s">
        <v>811</v>
      </c>
      <c r="F401" s="15">
        <v>99</v>
      </c>
      <c r="G401" s="15">
        <v>124.5</v>
      </c>
      <c r="H401" s="15">
        <v>118.75</v>
      </c>
      <c r="I401" s="15">
        <v>71.5</v>
      </c>
      <c r="J401" s="15"/>
      <c r="K401" s="15">
        <v>61</v>
      </c>
      <c r="L401" s="15"/>
      <c r="M401" s="15"/>
      <c r="N401" s="15">
        <v>60.5</v>
      </c>
      <c r="O401" s="15">
        <v>342.25</v>
      </c>
      <c r="P401" s="15">
        <v>535.25</v>
      </c>
    </row>
    <row r="402" ht="14.25" spans="1:16">
      <c r="A402" s="13">
        <v>401</v>
      </c>
      <c r="B402" s="15">
        <v>9</v>
      </c>
      <c r="C402" s="16">
        <v>16</v>
      </c>
      <c r="D402" s="17" t="s">
        <v>812</v>
      </c>
      <c r="E402" s="17" t="s">
        <v>813</v>
      </c>
      <c r="F402" s="15">
        <v>100</v>
      </c>
      <c r="G402" s="15">
        <v>120</v>
      </c>
      <c r="H402" s="15">
        <v>120.25</v>
      </c>
      <c r="I402" s="15">
        <v>78</v>
      </c>
      <c r="J402" s="15"/>
      <c r="K402" s="15">
        <v>40</v>
      </c>
      <c r="L402" s="15"/>
      <c r="M402" s="15"/>
      <c r="N402" s="15">
        <v>59.5</v>
      </c>
      <c r="O402" s="15">
        <v>340.25</v>
      </c>
      <c r="P402" s="15">
        <v>517.75</v>
      </c>
    </row>
    <row r="403" ht="14.25" spans="1:16">
      <c r="A403" s="13">
        <v>402</v>
      </c>
      <c r="B403" s="15">
        <v>9</v>
      </c>
      <c r="C403" s="16">
        <v>17</v>
      </c>
      <c r="D403" s="17" t="s">
        <v>814</v>
      </c>
      <c r="E403" s="17" t="s">
        <v>815</v>
      </c>
      <c r="F403" s="15">
        <v>107</v>
      </c>
      <c r="G403" s="15">
        <v>137</v>
      </c>
      <c r="H403" s="15">
        <v>102</v>
      </c>
      <c r="I403" s="15">
        <v>77</v>
      </c>
      <c r="J403" s="15"/>
      <c r="K403" s="15">
        <v>70</v>
      </c>
      <c r="L403" s="15"/>
      <c r="M403" s="15"/>
      <c r="N403" s="15">
        <v>59.5</v>
      </c>
      <c r="O403" s="15">
        <v>346</v>
      </c>
      <c r="P403" s="15">
        <v>552.5</v>
      </c>
    </row>
    <row r="404" ht="14.25" spans="1:16">
      <c r="A404" s="13">
        <v>403</v>
      </c>
      <c r="B404" s="15">
        <v>9</v>
      </c>
      <c r="C404" s="16">
        <v>18</v>
      </c>
      <c r="D404" s="17" t="s">
        <v>816</v>
      </c>
      <c r="E404" s="17" t="s">
        <v>817</v>
      </c>
      <c r="F404" s="15">
        <v>104</v>
      </c>
      <c r="G404" s="15">
        <v>132</v>
      </c>
      <c r="H404" s="15">
        <v>118</v>
      </c>
      <c r="I404" s="15">
        <v>80.5</v>
      </c>
      <c r="J404" s="15"/>
      <c r="K404" s="15">
        <v>54.5</v>
      </c>
      <c r="L404" s="15"/>
      <c r="M404" s="15"/>
      <c r="N404" s="15">
        <v>64</v>
      </c>
      <c r="O404" s="15">
        <v>354</v>
      </c>
      <c r="P404" s="15">
        <v>553</v>
      </c>
    </row>
    <row r="405" ht="14.25" spans="1:16">
      <c r="A405" s="13">
        <v>404</v>
      </c>
      <c r="B405" s="15">
        <v>9</v>
      </c>
      <c r="C405" s="16">
        <v>19</v>
      </c>
      <c r="D405" s="17" t="s">
        <v>818</v>
      </c>
      <c r="E405" s="17" t="s">
        <v>819</v>
      </c>
      <c r="F405" s="15">
        <v>103.5</v>
      </c>
      <c r="G405" s="15">
        <v>117</v>
      </c>
      <c r="H405" s="15">
        <v>105.25</v>
      </c>
      <c r="I405" s="15">
        <v>55.5</v>
      </c>
      <c r="J405" s="15"/>
      <c r="K405" s="15">
        <v>49.5</v>
      </c>
      <c r="L405" s="15"/>
      <c r="M405" s="15"/>
      <c r="N405" s="15">
        <v>61.5</v>
      </c>
      <c r="O405" s="15">
        <v>325.75</v>
      </c>
      <c r="P405" s="15">
        <v>492.25</v>
      </c>
    </row>
    <row r="406" ht="14.25" spans="1:16">
      <c r="A406" s="13">
        <v>405</v>
      </c>
      <c r="B406" s="15">
        <v>9</v>
      </c>
      <c r="C406" s="16">
        <v>20</v>
      </c>
      <c r="D406" s="17" t="s">
        <v>820</v>
      </c>
      <c r="E406" s="17" t="s">
        <v>821</v>
      </c>
      <c r="F406" s="15">
        <v>93.5</v>
      </c>
      <c r="G406" s="15">
        <v>123</v>
      </c>
      <c r="H406" s="15">
        <v>119</v>
      </c>
      <c r="I406" s="15">
        <v>66.5</v>
      </c>
      <c r="J406" s="15"/>
      <c r="K406" s="15">
        <v>45.5</v>
      </c>
      <c r="L406" s="15"/>
      <c r="M406" s="15"/>
      <c r="N406" s="15">
        <v>56</v>
      </c>
      <c r="O406" s="15">
        <v>335.5</v>
      </c>
      <c r="P406" s="15">
        <v>503.5</v>
      </c>
    </row>
    <row r="407" ht="14.25" spans="1:16">
      <c r="A407" s="13">
        <v>406</v>
      </c>
      <c r="B407" s="15">
        <v>9</v>
      </c>
      <c r="C407" s="16">
        <v>21</v>
      </c>
      <c r="D407" s="17" t="s">
        <v>822</v>
      </c>
      <c r="E407" s="17" t="s">
        <v>823</v>
      </c>
      <c r="F407" s="15">
        <v>103</v>
      </c>
      <c r="G407" s="15">
        <v>118.5</v>
      </c>
      <c r="H407" s="15">
        <v>112.75</v>
      </c>
      <c r="I407" s="15">
        <v>59.5</v>
      </c>
      <c r="J407" s="15"/>
      <c r="K407" s="15">
        <v>33</v>
      </c>
      <c r="L407" s="15"/>
      <c r="M407" s="15"/>
      <c r="N407" s="15">
        <v>46</v>
      </c>
      <c r="O407" s="15">
        <v>334.25</v>
      </c>
      <c r="P407" s="15">
        <v>472.75</v>
      </c>
    </row>
    <row r="408" ht="14.25" spans="1:16">
      <c r="A408" s="13">
        <v>407</v>
      </c>
      <c r="B408" s="15">
        <v>9</v>
      </c>
      <c r="C408" s="16">
        <v>22</v>
      </c>
      <c r="D408" s="17" t="s">
        <v>824</v>
      </c>
      <c r="E408" s="17" t="s">
        <v>825</v>
      </c>
      <c r="F408" s="15">
        <v>100.75</v>
      </c>
      <c r="G408" s="15">
        <v>104</v>
      </c>
      <c r="H408" s="15">
        <v>117</v>
      </c>
      <c r="I408" s="15">
        <v>72.5</v>
      </c>
      <c r="J408" s="15"/>
      <c r="K408" s="15">
        <v>62</v>
      </c>
      <c r="L408" s="15"/>
      <c r="M408" s="15"/>
      <c r="N408" s="15">
        <v>64.5</v>
      </c>
      <c r="O408" s="15">
        <v>321.75</v>
      </c>
      <c r="P408" s="15">
        <v>520.75</v>
      </c>
    </row>
    <row r="409" ht="14.25" spans="1:16">
      <c r="A409" s="13">
        <v>408</v>
      </c>
      <c r="B409" s="15">
        <v>9</v>
      </c>
      <c r="C409" s="16">
        <v>23</v>
      </c>
      <c r="D409" s="17" t="s">
        <v>826</v>
      </c>
      <c r="E409" s="17" t="s">
        <v>827</v>
      </c>
      <c r="F409" s="15">
        <v>103.25</v>
      </c>
      <c r="G409" s="15">
        <v>123.5</v>
      </c>
      <c r="H409" s="15">
        <v>111.75</v>
      </c>
      <c r="I409" s="15">
        <v>77.5</v>
      </c>
      <c r="J409" s="15"/>
      <c r="K409" s="15">
        <v>53.5</v>
      </c>
      <c r="L409" s="15"/>
      <c r="M409" s="15"/>
      <c r="N409" s="15">
        <v>62.5</v>
      </c>
      <c r="O409" s="15">
        <v>338.5</v>
      </c>
      <c r="P409" s="15">
        <v>532</v>
      </c>
    </row>
    <row r="410" ht="14.25" spans="1:16">
      <c r="A410" s="13">
        <v>409</v>
      </c>
      <c r="B410" s="15">
        <v>9</v>
      </c>
      <c r="C410" s="16">
        <v>24</v>
      </c>
      <c r="D410" s="17" t="s">
        <v>828</v>
      </c>
      <c r="E410" s="17" t="s">
        <v>829</v>
      </c>
      <c r="F410" s="15">
        <v>103</v>
      </c>
      <c r="G410" s="15">
        <v>132</v>
      </c>
      <c r="H410" s="15">
        <v>122</v>
      </c>
      <c r="I410" s="15">
        <v>80</v>
      </c>
      <c r="J410" s="15"/>
      <c r="K410" s="15">
        <v>75.5</v>
      </c>
      <c r="L410" s="15"/>
      <c r="M410" s="15"/>
      <c r="N410" s="15">
        <v>64.5</v>
      </c>
      <c r="O410" s="15">
        <v>357</v>
      </c>
      <c r="P410" s="15">
        <v>577</v>
      </c>
    </row>
    <row r="411" ht="14.25" spans="1:16">
      <c r="A411" s="13">
        <v>410</v>
      </c>
      <c r="B411" s="15">
        <v>9</v>
      </c>
      <c r="C411" s="16">
        <v>26</v>
      </c>
      <c r="D411" s="17" t="s">
        <v>830</v>
      </c>
      <c r="E411" s="17" t="s">
        <v>831</v>
      </c>
      <c r="F411" s="15">
        <v>108.5</v>
      </c>
      <c r="G411" s="15">
        <v>130</v>
      </c>
      <c r="H411" s="15">
        <v>107.5</v>
      </c>
      <c r="I411" s="15">
        <v>69.5</v>
      </c>
      <c r="J411" s="15"/>
      <c r="K411" s="15">
        <v>57</v>
      </c>
      <c r="L411" s="15"/>
      <c r="M411" s="15"/>
      <c r="N411" s="15">
        <v>63.5</v>
      </c>
      <c r="O411" s="15">
        <v>346</v>
      </c>
      <c r="P411" s="15">
        <v>536</v>
      </c>
    </row>
    <row r="412" ht="14.25" spans="1:16">
      <c r="A412" s="13">
        <v>411</v>
      </c>
      <c r="B412" s="15">
        <v>9</v>
      </c>
      <c r="C412" s="16">
        <v>27</v>
      </c>
      <c r="D412" s="17" t="s">
        <v>832</v>
      </c>
      <c r="E412" s="17" t="s">
        <v>833</v>
      </c>
      <c r="F412" s="15">
        <v>103</v>
      </c>
      <c r="G412" s="15">
        <v>128</v>
      </c>
      <c r="H412" s="15">
        <v>98.5</v>
      </c>
      <c r="I412" s="15">
        <v>80.5</v>
      </c>
      <c r="J412" s="15"/>
      <c r="K412" s="15">
        <v>36.5</v>
      </c>
      <c r="L412" s="15"/>
      <c r="M412" s="15"/>
      <c r="N412" s="15">
        <v>50</v>
      </c>
      <c r="O412" s="15">
        <v>329.5</v>
      </c>
      <c r="P412" s="15">
        <v>496.5</v>
      </c>
    </row>
    <row r="413" ht="14.25" spans="1:16">
      <c r="A413" s="13">
        <v>412</v>
      </c>
      <c r="B413" s="15">
        <v>9</v>
      </c>
      <c r="C413" s="16">
        <v>28</v>
      </c>
      <c r="D413" s="17" t="s">
        <v>834</v>
      </c>
      <c r="E413" s="17" t="s">
        <v>835</v>
      </c>
      <c r="F413" s="15">
        <v>102.5</v>
      </c>
      <c r="G413" s="15">
        <v>87</v>
      </c>
      <c r="H413" s="15">
        <v>82</v>
      </c>
      <c r="I413" s="15">
        <v>68.5</v>
      </c>
      <c r="J413" s="15"/>
      <c r="K413" s="15">
        <v>63.5</v>
      </c>
      <c r="L413" s="15"/>
      <c r="M413" s="15"/>
      <c r="N413" s="15">
        <v>73.5</v>
      </c>
      <c r="O413" s="15">
        <v>271.5</v>
      </c>
      <c r="P413" s="15">
        <v>477</v>
      </c>
    </row>
    <row r="414" ht="14.25" spans="1:16">
      <c r="A414" s="13">
        <v>413</v>
      </c>
      <c r="B414" s="15">
        <v>9</v>
      </c>
      <c r="C414" s="16">
        <v>29</v>
      </c>
      <c r="D414" s="17" t="s">
        <v>836</v>
      </c>
      <c r="E414" s="17" t="s">
        <v>837</v>
      </c>
      <c r="F414" s="15">
        <v>93.5</v>
      </c>
      <c r="G414" s="15">
        <v>116</v>
      </c>
      <c r="H414" s="15">
        <v>104</v>
      </c>
      <c r="I414" s="15">
        <v>65.5</v>
      </c>
      <c r="J414" s="15"/>
      <c r="K414" s="15">
        <v>37.5</v>
      </c>
      <c r="L414" s="15"/>
      <c r="M414" s="15"/>
      <c r="N414" s="15">
        <v>48</v>
      </c>
      <c r="O414" s="15">
        <v>313.5</v>
      </c>
      <c r="P414" s="15">
        <v>464.5</v>
      </c>
    </row>
    <row r="415" ht="14.25" spans="1:16">
      <c r="A415" s="13">
        <v>414</v>
      </c>
      <c r="B415" s="15">
        <v>9</v>
      </c>
      <c r="C415" s="16">
        <v>30</v>
      </c>
      <c r="D415" s="17" t="s">
        <v>838</v>
      </c>
      <c r="E415" s="17" t="s">
        <v>839</v>
      </c>
      <c r="F415" s="15">
        <v>101.5</v>
      </c>
      <c r="G415" s="15">
        <v>130.5</v>
      </c>
      <c r="H415" s="15">
        <v>98.5</v>
      </c>
      <c r="I415" s="15">
        <v>75</v>
      </c>
      <c r="J415" s="15"/>
      <c r="K415" s="15">
        <v>47</v>
      </c>
      <c r="L415" s="15"/>
      <c r="M415" s="15"/>
      <c r="N415" s="15">
        <v>64.5</v>
      </c>
      <c r="O415" s="15">
        <v>330.5</v>
      </c>
      <c r="P415" s="15">
        <v>517</v>
      </c>
    </row>
    <row r="416" ht="14.25" spans="1:16">
      <c r="A416" s="13">
        <v>415</v>
      </c>
      <c r="B416" s="15">
        <v>9</v>
      </c>
      <c r="C416" s="16">
        <v>31</v>
      </c>
      <c r="D416" s="17" t="s">
        <v>840</v>
      </c>
      <c r="E416" s="17" t="s">
        <v>841</v>
      </c>
      <c r="F416" s="15">
        <v>109</v>
      </c>
      <c r="G416" s="15">
        <v>126</v>
      </c>
      <c r="H416" s="15">
        <v>108.5</v>
      </c>
      <c r="I416" s="15">
        <v>60</v>
      </c>
      <c r="J416" s="15"/>
      <c r="K416" s="15">
        <v>43</v>
      </c>
      <c r="L416" s="15"/>
      <c r="M416" s="15"/>
      <c r="N416" s="15">
        <v>54.5</v>
      </c>
      <c r="O416" s="15">
        <v>343.5</v>
      </c>
      <c r="P416" s="15">
        <v>501</v>
      </c>
    </row>
    <row r="417" ht="14.25" spans="1:16">
      <c r="A417" s="13">
        <v>416</v>
      </c>
      <c r="B417" s="15">
        <v>9</v>
      </c>
      <c r="C417" s="16">
        <v>32</v>
      </c>
      <c r="D417" s="17" t="s">
        <v>842</v>
      </c>
      <c r="E417" s="17" t="s">
        <v>843</v>
      </c>
      <c r="F417" s="15">
        <v>105.5</v>
      </c>
      <c r="G417" s="15">
        <v>130</v>
      </c>
      <c r="H417" s="15">
        <v>121.5</v>
      </c>
      <c r="I417" s="15">
        <v>85</v>
      </c>
      <c r="J417" s="15"/>
      <c r="K417" s="15">
        <v>68</v>
      </c>
      <c r="L417" s="15"/>
      <c r="M417" s="15"/>
      <c r="N417" s="15">
        <v>74</v>
      </c>
      <c r="O417" s="15">
        <v>357</v>
      </c>
      <c r="P417" s="15">
        <v>584</v>
      </c>
    </row>
    <row r="418" ht="14.25" spans="1:16">
      <c r="A418" s="13">
        <v>417</v>
      </c>
      <c r="B418" s="15">
        <v>9</v>
      </c>
      <c r="C418" s="16">
        <v>33</v>
      </c>
      <c r="D418" s="17" t="s">
        <v>844</v>
      </c>
      <c r="E418" s="17" t="s">
        <v>845</v>
      </c>
      <c r="F418" s="15">
        <v>98.5</v>
      </c>
      <c r="G418" s="15">
        <v>117.5</v>
      </c>
      <c r="H418" s="15">
        <v>120</v>
      </c>
      <c r="I418" s="15">
        <v>62</v>
      </c>
      <c r="J418" s="15"/>
      <c r="K418" s="15">
        <v>55.5</v>
      </c>
      <c r="L418" s="15"/>
      <c r="M418" s="15"/>
      <c r="N418" s="15">
        <v>53.5</v>
      </c>
      <c r="O418" s="15">
        <v>336</v>
      </c>
      <c r="P418" s="15">
        <v>507</v>
      </c>
    </row>
    <row r="419" ht="14.25" spans="1:16">
      <c r="A419" s="13">
        <v>418</v>
      </c>
      <c r="B419" s="15">
        <v>9</v>
      </c>
      <c r="C419" s="16">
        <v>34</v>
      </c>
      <c r="D419" s="17" t="s">
        <v>846</v>
      </c>
      <c r="E419" s="17" t="s">
        <v>847</v>
      </c>
      <c r="F419" s="15">
        <v>113.5</v>
      </c>
      <c r="G419" s="15">
        <v>112</v>
      </c>
      <c r="H419" s="15">
        <v>138.75</v>
      </c>
      <c r="I419" s="15">
        <v>66</v>
      </c>
      <c r="J419" s="15"/>
      <c r="K419" s="15">
        <v>43.5</v>
      </c>
      <c r="L419" s="15"/>
      <c r="M419" s="15"/>
      <c r="N419" s="15">
        <v>64.5</v>
      </c>
      <c r="O419" s="15">
        <v>364.25</v>
      </c>
      <c r="P419" s="15">
        <v>538.25</v>
      </c>
    </row>
    <row r="420" ht="14.25" spans="1:16">
      <c r="A420" s="13">
        <v>419</v>
      </c>
      <c r="B420" s="15">
        <v>9</v>
      </c>
      <c r="C420" s="16">
        <v>35</v>
      </c>
      <c r="D420" s="19" t="s">
        <v>848</v>
      </c>
      <c r="E420" s="17" t="s">
        <v>849</v>
      </c>
      <c r="F420" s="15">
        <v>95.5</v>
      </c>
      <c r="G420" s="15">
        <v>128</v>
      </c>
      <c r="H420" s="15">
        <v>104</v>
      </c>
      <c r="I420" s="15">
        <v>69</v>
      </c>
      <c r="J420" s="15"/>
      <c r="K420" s="15">
        <v>53</v>
      </c>
      <c r="L420" s="15"/>
      <c r="M420" s="15"/>
      <c r="N420" s="15">
        <v>46.5</v>
      </c>
      <c r="O420" s="15">
        <v>327.5</v>
      </c>
      <c r="P420" s="15">
        <v>496</v>
      </c>
    </row>
    <row r="421" ht="14.25" spans="1:16">
      <c r="A421" s="13">
        <v>420</v>
      </c>
      <c r="B421" s="15">
        <v>9</v>
      </c>
      <c r="C421" s="16">
        <v>36</v>
      </c>
      <c r="D421" s="17" t="s">
        <v>850</v>
      </c>
      <c r="E421" s="17" t="s">
        <v>851</v>
      </c>
      <c r="F421" s="15">
        <v>107.75</v>
      </c>
      <c r="G421" s="15">
        <v>121.5</v>
      </c>
      <c r="H421" s="15">
        <v>96</v>
      </c>
      <c r="I421" s="15">
        <v>64.5</v>
      </c>
      <c r="J421" s="15"/>
      <c r="K421" s="15">
        <v>63.5</v>
      </c>
      <c r="L421" s="15"/>
      <c r="M421" s="15"/>
      <c r="N421" s="15">
        <v>56.5</v>
      </c>
      <c r="O421" s="15">
        <v>325.25</v>
      </c>
      <c r="P421" s="15">
        <v>509.75</v>
      </c>
    </row>
    <row r="422" ht="14.25" spans="1:16">
      <c r="A422" s="13">
        <v>421</v>
      </c>
      <c r="B422" s="15">
        <v>9</v>
      </c>
      <c r="C422" s="16">
        <v>37</v>
      </c>
      <c r="D422" s="17" t="s">
        <v>852</v>
      </c>
      <c r="E422" s="17" t="s">
        <v>853</v>
      </c>
      <c r="F422" s="15">
        <v>99.5</v>
      </c>
      <c r="G422" s="15">
        <v>110.5</v>
      </c>
      <c r="H422" s="15">
        <v>119</v>
      </c>
      <c r="I422" s="15">
        <v>76.5</v>
      </c>
      <c r="J422" s="15"/>
      <c r="K422" s="15">
        <v>45</v>
      </c>
      <c r="L422" s="15"/>
      <c r="M422" s="15"/>
      <c r="N422" s="15">
        <v>71</v>
      </c>
      <c r="O422" s="15">
        <v>329</v>
      </c>
      <c r="P422" s="15">
        <v>521.5</v>
      </c>
    </row>
    <row r="423" ht="14.25" spans="1:16">
      <c r="A423" s="13">
        <v>422</v>
      </c>
      <c r="B423" s="15">
        <v>9</v>
      </c>
      <c r="C423" s="16">
        <v>38</v>
      </c>
      <c r="D423" s="17" t="s">
        <v>854</v>
      </c>
      <c r="E423" s="17" t="s">
        <v>855</v>
      </c>
      <c r="F423" s="15">
        <v>102</v>
      </c>
      <c r="G423" s="15">
        <v>125</v>
      </c>
      <c r="H423" s="15">
        <v>121.25</v>
      </c>
      <c r="I423" s="15">
        <v>82.5</v>
      </c>
      <c r="J423" s="15"/>
      <c r="K423" s="15">
        <v>47</v>
      </c>
      <c r="L423" s="15"/>
      <c r="M423" s="15"/>
      <c r="N423" s="15">
        <v>55.5</v>
      </c>
      <c r="O423" s="15">
        <v>348.25</v>
      </c>
      <c r="P423" s="15">
        <v>533.25</v>
      </c>
    </row>
    <row r="424" ht="14.25" spans="1:16">
      <c r="A424" s="13">
        <v>423</v>
      </c>
      <c r="B424" s="15">
        <v>9</v>
      </c>
      <c r="C424" s="16">
        <v>39</v>
      </c>
      <c r="D424" s="17" t="s">
        <v>856</v>
      </c>
      <c r="E424" s="17" t="s">
        <v>857</v>
      </c>
      <c r="F424" s="15">
        <v>116</v>
      </c>
      <c r="G424" s="15">
        <v>135.5</v>
      </c>
      <c r="H424" s="15">
        <v>121.5</v>
      </c>
      <c r="I424" s="15">
        <v>83.5</v>
      </c>
      <c r="J424" s="15"/>
      <c r="K424" s="15">
        <v>69</v>
      </c>
      <c r="L424" s="15"/>
      <c r="M424" s="15"/>
      <c r="N424" s="15">
        <v>74</v>
      </c>
      <c r="O424" s="15">
        <v>373</v>
      </c>
      <c r="P424" s="15">
        <v>599.5</v>
      </c>
    </row>
    <row r="425" ht="14.25" spans="1:16">
      <c r="A425" s="13">
        <v>424</v>
      </c>
      <c r="B425" s="15">
        <v>9</v>
      </c>
      <c r="C425" s="16">
        <v>40</v>
      </c>
      <c r="D425" s="17" t="s">
        <v>858</v>
      </c>
      <c r="E425" s="17" t="s">
        <v>859</v>
      </c>
      <c r="F425" s="15">
        <v>95</v>
      </c>
      <c r="G425" s="15">
        <v>125.5</v>
      </c>
      <c r="H425" s="15">
        <v>114.75</v>
      </c>
      <c r="I425" s="15">
        <v>51.5</v>
      </c>
      <c r="J425" s="15"/>
      <c r="K425" s="15">
        <v>56.5</v>
      </c>
      <c r="L425" s="15"/>
      <c r="M425" s="15"/>
      <c r="N425" s="15">
        <v>58.5</v>
      </c>
      <c r="O425" s="15">
        <v>335.25</v>
      </c>
      <c r="P425" s="15">
        <v>501.75</v>
      </c>
    </row>
    <row r="426" ht="14.25" spans="1:16">
      <c r="A426" s="13">
        <v>425</v>
      </c>
      <c r="B426" s="15">
        <v>9</v>
      </c>
      <c r="C426" s="16">
        <v>41</v>
      </c>
      <c r="D426" s="19" t="s">
        <v>860</v>
      </c>
      <c r="E426" s="17" t="s">
        <v>861</v>
      </c>
      <c r="F426" s="15">
        <v>100.75</v>
      </c>
      <c r="G426" s="15">
        <v>129.5</v>
      </c>
      <c r="H426" s="15">
        <v>111</v>
      </c>
      <c r="I426" s="15">
        <v>76.5</v>
      </c>
      <c r="J426" s="15"/>
      <c r="K426" s="15">
        <v>42</v>
      </c>
      <c r="L426" s="15"/>
      <c r="M426" s="15"/>
      <c r="N426" s="15">
        <v>53</v>
      </c>
      <c r="O426" s="15">
        <v>341.25</v>
      </c>
      <c r="P426" s="15">
        <v>512.75</v>
      </c>
    </row>
    <row r="427" ht="14.25" spans="1:16">
      <c r="A427" s="13">
        <v>426</v>
      </c>
      <c r="B427" s="15">
        <v>9</v>
      </c>
      <c r="C427" s="16">
        <v>42</v>
      </c>
      <c r="D427" s="17" t="s">
        <v>862</v>
      </c>
      <c r="E427" s="17" t="s">
        <v>863</v>
      </c>
      <c r="F427" s="15">
        <v>91</v>
      </c>
      <c r="G427" s="15">
        <v>109</v>
      </c>
      <c r="H427" s="15">
        <v>120.25</v>
      </c>
      <c r="I427" s="15">
        <v>66</v>
      </c>
      <c r="J427" s="15"/>
      <c r="K427" s="15">
        <v>47.5</v>
      </c>
      <c r="L427" s="15"/>
      <c r="M427" s="15"/>
      <c r="N427" s="15">
        <v>61</v>
      </c>
      <c r="O427" s="15">
        <v>320.25</v>
      </c>
      <c r="P427" s="15">
        <v>494.75</v>
      </c>
    </row>
    <row r="428" ht="14.25" spans="1:16">
      <c r="A428" s="13">
        <v>427</v>
      </c>
      <c r="B428" s="15">
        <v>9</v>
      </c>
      <c r="C428" s="16">
        <v>43</v>
      </c>
      <c r="D428" s="17" t="s">
        <v>864</v>
      </c>
      <c r="E428" s="17" t="s">
        <v>865</v>
      </c>
      <c r="F428" s="15">
        <v>92.5</v>
      </c>
      <c r="G428" s="15">
        <v>116</v>
      </c>
      <c r="H428" s="15">
        <v>114.75</v>
      </c>
      <c r="I428" s="15">
        <v>75.5</v>
      </c>
      <c r="J428" s="15"/>
      <c r="K428" s="15">
        <v>50</v>
      </c>
      <c r="L428" s="15"/>
      <c r="M428" s="15"/>
      <c r="N428" s="15">
        <v>57.5</v>
      </c>
      <c r="O428" s="15">
        <v>323.25</v>
      </c>
      <c r="P428" s="15">
        <v>506.25</v>
      </c>
    </row>
    <row r="429" ht="14.25" spans="1:16">
      <c r="A429" s="13">
        <v>428</v>
      </c>
      <c r="B429" s="15">
        <v>9</v>
      </c>
      <c r="C429" s="16">
        <v>44</v>
      </c>
      <c r="D429" s="17" t="s">
        <v>866</v>
      </c>
      <c r="E429" s="17" t="s">
        <v>867</v>
      </c>
      <c r="F429" s="15">
        <v>101</v>
      </c>
      <c r="G429" s="15">
        <v>124</v>
      </c>
      <c r="H429" s="15">
        <v>98.75</v>
      </c>
      <c r="I429" s="15">
        <v>76</v>
      </c>
      <c r="J429" s="15"/>
      <c r="K429" s="15">
        <v>66</v>
      </c>
      <c r="L429" s="15"/>
      <c r="M429" s="15"/>
      <c r="N429" s="15">
        <v>78</v>
      </c>
      <c r="O429" s="15">
        <v>323.75</v>
      </c>
      <c r="P429" s="15">
        <v>543.75</v>
      </c>
    </row>
    <row r="430" ht="14.25" spans="1:16">
      <c r="A430" s="13">
        <v>429</v>
      </c>
      <c r="B430" s="15">
        <v>9</v>
      </c>
      <c r="C430" s="16">
        <v>45</v>
      </c>
      <c r="D430" s="17" t="s">
        <v>868</v>
      </c>
      <c r="E430" s="17" t="s">
        <v>869</v>
      </c>
      <c r="F430" s="15">
        <v>102.25</v>
      </c>
      <c r="G430" s="15">
        <v>110.5</v>
      </c>
      <c r="H430" s="15">
        <v>122</v>
      </c>
      <c r="I430" s="15">
        <v>71.5</v>
      </c>
      <c r="J430" s="15"/>
      <c r="K430" s="15">
        <v>59</v>
      </c>
      <c r="L430" s="15"/>
      <c r="M430" s="15"/>
      <c r="N430" s="15">
        <v>54.5</v>
      </c>
      <c r="O430" s="15">
        <v>334.75</v>
      </c>
      <c r="P430" s="15">
        <v>519.75</v>
      </c>
    </row>
    <row r="431" ht="14.25" spans="1:16">
      <c r="A431" s="13">
        <v>430</v>
      </c>
      <c r="B431" s="15">
        <v>9</v>
      </c>
      <c r="C431" s="16">
        <v>46</v>
      </c>
      <c r="D431" s="17" t="s">
        <v>870</v>
      </c>
      <c r="E431" s="17" t="s">
        <v>871</v>
      </c>
      <c r="F431" s="15">
        <v>110.25</v>
      </c>
      <c r="G431" s="15">
        <v>134.5</v>
      </c>
      <c r="H431" s="15">
        <v>114</v>
      </c>
      <c r="I431" s="15">
        <v>76</v>
      </c>
      <c r="J431" s="15"/>
      <c r="K431" s="15">
        <v>44.5</v>
      </c>
      <c r="L431" s="15"/>
      <c r="M431" s="15"/>
      <c r="N431" s="15">
        <v>77</v>
      </c>
      <c r="O431" s="15">
        <v>358.75</v>
      </c>
      <c r="P431" s="15">
        <v>556.25</v>
      </c>
    </row>
    <row r="432" ht="14.25" spans="1:16">
      <c r="A432" s="13">
        <v>431</v>
      </c>
      <c r="B432" s="15">
        <v>9</v>
      </c>
      <c r="C432" s="16">
        <v>47</v>
      </c>
      <c r="D432" s="17" t="s">
        <v>872</v>
      </c>
      <c r="E432" s="17" t="s">
        <v>873</v>
      </c>
      <c r="F432" s="15">
        <v>109.5</v>
      </c>
      <c r="G432" s="15">
        <v>117</v>
      </c>
      <c r="H432" s="15">
        <v>120</v>
      </c>
      <c r="I432" s="15">
        <v>57.5</v>
      </c>
      <c r="J432" s="15"/>
      <c r="K432" s="15">
        <v>44</v>
      </c>
      <c r="L432" s="15"/>
      <c r="M432" s="15"/>
      <c r="N432" s="15">
        <v>62</v>
      </c>
      <c r="O432" s="15">
        <v>346.5</v>
      </c>
      <c r="P432" s="15">
        <v>510</v>
      </c>
    </row>
    <row r="433" ht="14.25" spans="1:16">
      <c r="A433" s="13">
        <v>432</v>
      </c>
      <c r="B433" s="15">
        <v>9</v>
      </c>
      <c r="C433" s="16">
        <v>48</v>
      </c>
      <c r="D433" s="17" t="s">
        <v>874</v>
      </c>
      <c r="E433" s="17" t="s">
        <v>875</v>
      </c>
      <c r="F433" s="15">
        <v>98.25</v>
      </c>
      <c r="G433" s="15">
        <v>115.5</v>
      </c>
      <c r="H433" s="15">
        <v>122</v>
      </c>
      <c r="I433" s="15">
        <v>75.5</v>
      </c>
      <c r="J433" s="15"/>
      <c r="K433" s="15">
        <v>40.5</v>
      </c>
      <c r="L433" s="15"/>
      <c r="M433" s="15"/>
      <c r="N433" s="15">
        <v>77</v>
      </c>
      <c r="O433" s="15">
        <v>335.75</v>
      </c>
      <c r="P433" s="15">
        <v>528.75</v>
      </c>
    </row>
    <row r="434" ht="14.25" spans="1:16">
      <c r="A434" s="13">
        <v>433</v>
      </c>
      <c r="B434" s="15">
        <v>9</v>
      </c>
      <c r="C434" s="16">
        <v>49</v>
      </c>
      <c r="D434" s="17" t="s">
        <v>876</v>
      </c>
      <c r="E434" s="17" t="s">
        <v>877</v>
      </c>
      <c r="F434" s="15">
        <v>98.5</v>
      </c>
      <c r="G434" s="15">
        <v>129</v>
      </c>
      <c r="H434" s="15">
        <v>111.5</v>
      </c>
      <c r="I434" s="15">
        <v>68</v>
      </c>
      <c r="J434" s="15"/>
      <c r="K434" s="15">
        <v>51</v>
      </c>
      <c r="L434" s="15"/>
      <c r="M434" s="15"/>
      <c r="N434" s="15">
        <v>65</v>
      </c>
      <c r="O434" s="15">
        <v>339</v>
      </c>
      <c r="P434" s="15">
        <v>523</v>
      </c>
    </row>
    <row r="435" ht="14.25" spans="1:16">
      <c r="A435" s="13">
        <v>434</v>
      </c>
      <c r="B435" s="15">
        <v>9</v>
      </c>
      <c r="C435" s="16">
        <v>50</v>
      </c>
      <c r="D435" s="19" t="s">
        <v>878</v>
      </c>
      <c r="E435" s="17" t="s">
        <v>879</v>
      </c>
      <c r="F435" s="15">
        <v>118.5</v>
      </c>
      <c r="G435" s="15">
        <v>108</v>
      </c>
      <c r="H435" s="15">
        <v>103.25</v>
      </c>
      <c r="I435" s="15">
        <v>69</v>
      </c>
      <c r="J435" s="15"/>
      <c r="K435" s="15">
        <v>46.5</v>
      </c>
      <c r="L435" s="15"/>
      <c r="M435" s="15"/>
      <c r="N435" s="15">
        <v>60</v>
      </c>
      <c r="O435" s="15">
        <v>329.75</v>
      </c>
      <c r="P435" s="15">
        <v>505.25</v>
      </c>
    </row>
    <row r="436" ht="14.25" spans="1:16">
      <c r="A436" s="13">
        <v>435</v>
      </c>
      <c r="B436" s="15">
        <v>9</v>
      </c>
      <c r="C436" s="16">
        <v>51</v>
      </c>
      <c r="D436" s="19" t="s">
        <v>880</v>
      </c>
      <c r="E436" s="17" t="s">
        <v>881</v>
      </c>
      <c r="F436" s="15">
        <v>106.25</v>
      </c>
      <c r="G436" s="15">
        <v>129.5</v>
      </c>
      <c r="H436" s="15">
        <v>118.75</v>
      </c>
      <c r="I436" s="15">
        <v>74.5</v>
      </c>
      <c r="J436" s="15"/>
      <c r="K436" s="15">
        <v>62</v>
      </c>
      <c r="L436" s="15"/>
      <c r="M436" s="15"/>
      <c r="N436" s="15">
        <v>60</v>
      </c>
      <c r="O436" s="15">
        <v>354.5</v>
      </c>
      <c r="P436" s="15">
        <v>551</v>
      </c>
    </row>
    <row r="437" ht="14.25" spans="1:16">
      <c r="A437" s="13">
        <v>436</v>
      </c>
      <c r="B437" s="15">
        <v>9</v>
      </c>
      <c r="C437" s="16">
        <v>52</v>
      </c>
      <c r="D437" s="17" t="s">
        <v>882</v>
      </c>
      <c r="E437" s="17" t="s">
        <v>883</v>
      </c>
      <c r="F437" s="15">
        <v>106.25</v>
      </c>
      <c r="G437" s="15">
        <v>116.25</v>
      </c>
      <c r="H437" s="15">
        <v>114.25</v>
      </c>
      <c r="I437" s="15">
        <v>54.5</v>
      </c>
      <c r="J437" s="15"/>
      <c r="K437" s="15">
        <v>33.5</v>
      </c>
      <c r="L437" s="15"/>
      <c r="M437" s="15"/>
      <c r="N437" s="15">
        <v>41.5</v>
      </c>
      <c r="O437" s="15">
        <v>336.75</v>
      </c>
      <c r="P437" s="15">
        <v>466.25</v>
      </c>
    </row>
    <row r="438" ht="14.25" spans="1:16">
      <c r="A438" s="13">
        <v>437</v>
      </c>
      <c r="B438" s="15">
        <v>9</v>
      </c>
      <c r="C438" s="16">
        <v>53</v>
      </c>
      <c r="D438" s="17" t="s">
        <v>884</v>
      </c>
      <c r="E438" s="17" t="s">
        <v>885</v>
      </c>
      <c r="F438" s="15">
        <v>105.5</v>
      </c>
      <c r="G438" s="15">
        <v>128</v>
      </c>
      <c r="H438" s="15">
        <v>115.5</v>
      </c>
      <c r="I438" s="15">
        <v>71.5</v>
      </c>
      <c r="J438" s="15"/>
      <c r="K438" s="15">
        <v>57</v>
      </c>
      <c r="L438" s="15"/>
      <c r="M438" s="15"/>
      <c r="N438" s="15">
        <v>76</v>
      </c>
      <c r="O438" s="15">
        <v>349</v>
      </c>
      <c r="P438" s="15">
        <v>553.5</v>
      </c>
    </row>
    <row r="439" ht="14.25" spans="1:16">
      <c r="A439" s="13">
        <v>438</v>
      </c>
      <c r="B439" s="15">
        <v>9</v>
      </c>
      <c r="C439" s="16">
        <v>54</v>
      </c>
      <c r="D439" s="17" t="s">
        <v>886</v>
      </c>
      <c r="E439" s="17" t="s">
        <v>887</v>
      </c>
      <c r="F439" s="15">
        <v>93.5</v>
      </c>
      <c r="G439" s="15">
        <v>127</v>
      </c>
      <c r="H439" s="15">
        <v>118</v>
      </c>
      <c r="I439" s="15">
        <v>79</v>
      </c>
      <c r="J439" s="15"/>
      <c r="K439" s="15">
        <v>44</v>
      </c>
      <c r="L439" s="15"/>
      <c r="M439" s="15"/>
      <c r="N439" s="15">
        <v>62</v>
      </c>
      <c r="O439" s="15">
        <v>338.5</v>
      </c>
      <c r="P439" s="15">
        <v>523.5</v>
      </c>
    </row>
    <row r="440" ht="14.25" spans="1:16">
      <c r="A440" s="13">
        <v>439</v>
      </c>
      <c r="B440" s="15">
        <v>9</v>
      </c>
      <c r="C440" s="16">
        <v>55</v>
      </c>
      <c r="D440" s="17" t="s">
        <v>888</v>
      </c>
      <c r="E440" s="17" t="s">
        <v>889</v>
      </c>
      <c r="F440" s="15">
        <v>95</v>
      </c>
      <c r="G440" s="15">
        <v>97.5</v>
      </c>
      <c r="H440" s="15">
        <v>111.75</v>
      </c>
      <c r="I440" s="15">
        <v>78</v>
      </c>
      <c r="J440" s="15"/>
      <c r="K440" s="15">
        <v>59.5</v>
      </c>
      <c r="L440" s="15"/>
      <c r="M440" s="15"/>
      <c r="N440" s="15">
        <v>61</v>
      </c>
      <c r="O440" s="15">
        <v>304.25</v>
      </c>
      <c r="P440" s="15">
        <v>502.75</v>
      </c>
    </row>
    <row r="441" ht="14.25" spans="1:16">
      <c r="A441" s="13">
        <v>440</v>
      </c>
      <c r="B441" s="15">
        <v>10</v>
      </c>
      <c r="C441" s="16">
        <v>1</v>
      </c>
      <c r="D441" s="17" t="s">
        <v>890</v>
      </c>
      <c r="E441" s="17" t="s">
        <v>891</v>
      </c>
      <c r="F441" s="15">
        <v>102.5</v>
      </c>
      <c r="G441" s="15">
        <v>108.5</v>
      </c>
      <c r="H441" s="15">
        <v>93.5</v>
      </c>
      <c r="I441" s="15">
        <v>66</v>
      </c>
      <c r="J441" s="15"/>
      <c r="K441" s="15">
        <v>50.5</v>
      </c>
      <c r="L441" s="15"/>
      <c r="M441" s="15"/>
      <c r="N441" s="15">
        <v>59</v>
      </c>
      <c r="O441" s="15">
        <v>304.5</v>
      </c>
      <c r="P441" s="15">
        <v>480</v>
      </c>
    </row>
    <row r="442" ht="14.25" spans="1:16">
      <c r="A442" s="13">
        <v>441</v>
      </c>
      <c r="B442" s="15">
        <v>10</v>
      </c>
      <c r="C442" s="16">
        <v>2</v>
      </c>
      <c r="D442" s="17" t="s">
        <v>892</v>
      </c>
      <c r="E442" s="17" t="s">
        <v>893</v>
      </c>
      <c r="F442" s="15">
        <v>109.5</v>
      </c>
      <c r="G442" s="15">
        <v>107</v>
      </c>
      <c r="H442" s="15">
        <v>89.5</v>
      </c>
      <c r="I442" s="15">
        <v>57</v>
      </c>
      <c r="J442" s="15"/>
      <c r="K442" s="15">
        <v>42.5</v>
      </c>
      <c r="L442" s="15"/>
      <c r="M442" s="15"/>
      <c r="N442" s="15">
        <v>55.5</v>
      </c>
      <c r="O442" s="15">
        <v>306</v>
      </c>
      <c r="P442" s="15">
        <v>461</v>
      </c>
    </row>
    <row r="443" ht="14.25" spans="1:16">
      <c r="A443" s="13">
        <v>442</v>
      </c>
      <c r="B443" s="15">
        <v>10</v>
      </c>
      <c r="C443" s="16">
        <v>3</v>
      </c>
      <c r="D443" s="17" t="s">
        <v>894</v>
      </c>
      <c r="E443" s="17" t="s">
        <v>895</v>
      </c>
      <c r="F443" s="15">
        <v>103</v>
      </c>
      <c r="G443" s="15">
        <v>86.5</v>
      </c>
      <c r="H443" s="15">
        <v>106.5</v>
      </c>
      <c r="I443" s="15">
        <v>44</v>
      </c>
      <c r="J443" s="15"/>
      <c r="K443" s="15">
        <v>38.5</v>
      </c>
      <c r="L443" s="15"/>
      <c r="M443" s="15"/>
      <c r="N443" s="15">
        <v>69</v>
      </c>
      <c r="O443" s="15">
        <v>296</v>
      </c>
      <c r="P443" s="15">
        <v>447.5</v>
      </c>
    </row>
    <row r="444" s="176" customFormat="1" ht="14.25" spans="1:16">
      <c r="A444" s="13">
        <v>443</v>
      </c>
      <c r="B444" s="15">
        <v>10</v>
      </c>
      <c r="C444" s="16">
        <v>4</v>
      </c>
      <c r="D444" s="17" t="s">
        <v>896</v>
      </c>
      <c r="E444" s="17" t="s">
        <v>897</v>
      </c>
      <c r="F444" s="15">
        <v>104.5</v>
      </c>
      <c r="G444" s="15">
        <v>113</v>
      </c>
      <c r="H444" s="15">
        <v>119</v>
      </c>
      <c r="I444" s="15">
        <v>65.5</v>
      </c>
      <c r="J444" s="15"/>
      <c r="K444" s="15">
        <v>61</v>
      </c>
      <c r="L444" s="15"/>
      <c r="M444" s="15"/>
      <c r="N444" s="15">
        <v>60</v>
      </c>
      <c r="O444" s="15">
        <v>336.5</v>
      </c>
      <c r="P444" s="15">
        <v>523</v>
      </c>
    </row>
    <row r="445" s="176" customFormat="1" ht="14.25" spans="1:16">
      <c r="A445" s="13">
        <v>444</v>
      </c>
      <c r="B445" s="15">
        <v>10</v>
      </c>
      <c r="C445" s="16">
        <v>5</v>
      </c>
      <c r="D445" s="17" t="s">
        <v>898</v>
      </c>
      <c r="E445" s="17" t="s">
        <v>899</v>
      </c>
      <c r="F445" s="15">
        <v>114</v>
      </c>
      <c r="G445" s="15">
        <v>109</v>
      </c>
      <c r="H445" s="15">
        <v>107.75</v>
      </c>
      <c r="I445" s="15">
        <v>53.5</v>
      </c>
      <c r="J445" s="15"/>
      <c r="K445" s="15">
        <v>62</v>
      </c>
      <c r="L445" s="15"/>
      <c r="M445" s="15"/>
      <c r="N445" s="15">
        <v>69</v>
      </c>
      <c r="O445" s="15">
        <v>330.75</v>
      </c>
      <c r="P445" s="15">
        <v>515.25</v>
      </c>
    </row>
    <row r="446" s="176" customFormat="1" ht="14.25" spans="1:16">
      <c r="A446" s="13">
        <v>445</v>
      </c>
      <c r="B446" s="15">
        <v>10</v>
      </c>
      <c r="C446" s="16">
        <v>6</v>
      </c>
      <c r="D446" s="17" t="s">
        <v>900</v>
      </c>
      <c r="E446" s="17" t="s">
        <v>901</v>
      </c>
      <c r="F446" s="15">
        <v>111.75</v>
      </c>
      <c r="G446" s="15">
        <v>91</v>
      </c>
      <c r="H446" s="15">
        <v>83</v>
      </c>
      <c r="I446" s="15">
        <v>60.5</v>
      </c>
      <c r="J446" s="15"/>
      <c r="K446" s="15">
        <v>43</v>
      </c>
      <c r="L446" s="15"/>
      <c r="M446" s="15"/>
      <c r="N446" s="15">
        <v>57</v>
      </c>
      <c r="O446" s="15">
        <v>285.75</v>
      </c>
      <c r="P446" s="15">
        <v>446.25</v>
      </c>
    </row>
    <row r="447" ht="14.25" spans="1:16">
      <c r="A447" s="13">
        <v>446</v>
      </c>
      <c r="B447" s="15">
        <v>10</v>
      </c>
      <c r="C447" s="16">
        <v>7</v>
      </c>
      <c r="D447" s="17" t="s">
        <v>902</v>
      </c>
      <c r="E447" s="17" t="s">
        <v>903</v>
      </c>
      <c r="F447" s="15">
        <v>105.5</v>
      </c>
      <c r="G447" s="15">
        <v>116.5</v>
      </c>
      <c r="H447" s="15">
        <v>108</v>
      </c>
      <c r="I447" s="15">
        <v>71.5</v>
      </c>
      <c r="J447" s="15"/>
      <c r="K447" s="15">
        <v>49.5</v>
      </c>
      <c r="L447" s="15"/>
      <c r="M447" s="15"/>
      <c r="N447" s="15">
        <v>73</v>
      </c>
      <c r="O447" s="15">
        <v>330</v>
      </c>
      <c r="P447" s="15">
        <v>524</v>
      </c>
    </row>
    <row r="448" ht="14.25" spans="1:16">
      <c r="A448" s="13">
        <v>447</v>
      </c>
      <c r="B448" s="15">
        <v>10</v>
      </c>
      <c r="C448" s="16">
        <v>8</v>
      </c>
      <c r="D448" s="17" t="s">
        <v>904</v>
      </c>
      <c r="E448" s="17" t="s">
        <v>905</v>
      </c>
      <c r="F448" s="15">
        <v>101</v>
      </c>
      <c r="G448" s="15">
        <v>100</v>
      </c>
      <c r="H448" s="15">
        <v>112.75</v>
      </c>
      <c r="I448" s="15">
        <v>64</v>
      </c>
      <c r="J448" s="15"/>
      <c r="K448" s="15">
        <v>42</v>
      </c>
      <c r="L448" s="15"/>
      <c r="M448" s="15"/>
      <c r="N448" s="15">
        <v>62</v>
      </c>
      <c r="O448" s="15">
        <v>313.75</v>
      </c>
      <c r="P448" s="15">
        <v>481.75</v>
      </c>
    </row>
    <row r="449" ht="14.25" spans="1:16">
      <c r="A449" s="13">
        <v>448</v>
      </c>
      <c r="B449" s="15">
        <v>10</v>
      </c>
      <c r="C449" s="16">
        <v>9</v>
      </c>
      <c r="D449" s="17" t="s">
        <v>906</v>
      </c>
      <c r="E449" s="17" t="s">
        <v>907</v>
      </c>
      <c r="F449" s="15">
        <v>107.5</v>
      </c>
      <c r="G449" s="15">
        <v>116.5</v>
      </c>
      <c r="H449" s="15">
        <v>85.5</v>
      </c>
      <c r="I449" s="15">
        <v>64.5</v>
      </c>
      <c r="J449" s="15"/>
      <c r="K449" s="15">
        <v>47.5</v>
      </c>
      <c r="L449" s="15"/>
      <c r="M449" s="15"/>
      <c r="N449" s="15">
        <v>61</v>
      </c>
      <c r="O449" s="15">
        <v>309.5</v>
      </c>
      <c r="P449" s="15">
        <v>482.5</v>
      </c>
    </row>
    <row r="450" ht="14.25" spans="1:16">
      <c r="A450" s="13">
        <v>449</v>
      </c>
      <c r="B450" s="15">
        <v>10</v>
      </c>
      <c r="C450" s="16">
        <v>10</v>
      </c>
      <c r="D450" s="17" t="s">
        <v>908</v>
      </c>
      <c r="E450" s="17" t="s">
        <v>909</v>
      </c>
      <c r="F450" s="15">
        <v>102</v>
      </c>
      <c r="G450" s="15">
        <v>119</v>
      </c>
      <c r="H450" s="15">
        <v>102</v>
      </c>
      <c r="I450" s="15">
        <v>65.5</v>
      </c>
      <c r="J450" s="15"/>
      <c r="K450" s="15">
        <v>53</v>
      </c>
      <c r="L450" s="15"/>
      <c r="M450" s="15"/>
      <c r="N450" s="15">
        <v>52.5</v>
      </c>
      <c r="O450" s="15">
        <v>323</v>
      </c>
      <c r="P450" s="15">
        <v>494</v>
      </c>
    </row>
    <row r="451" ht="14.25" spans="1:16">
      <c r="A451" s="13">
        <v>450</v>
      </c>
      <c r="B451" s="15">
        <v>10</v>
      </c>
      <c r="C451" s="16">
        <v>11</v>
      </c>
      <c r="D451" s="17" t="s">
        <v>910</v>
      </c>
      <c r="E451" s="17" t="s">
        <v>911</v>
      </c>
      <c r="F451" s="15">
        <v>101</v>
      </c>
      <c r="G451" s="15">
        <v>113</v>
      </c>
      <c r="H451" s="15">
        <v>109.75</v>
      </c>
      <c r="I451" s="15">
        <v>43</v>
      </c>
      <c r="J451" s="15"/>
      <c r="K451" s="15">
        <v>48</v>
      </c>
      <c r="L451" s="15"/>
      <c r="M451" s="15"/>
      <c r="N451" s="15">
        <v>35</v>
      </c>
      <c r="O451" s="15">
        <v>323.75</v>
      </c>
      <c r="P451" s="15">
        <v>449.75</v>
      </c>
    </row>
    <row r="452" ht="14.25" spans="1:16">
      <c r="A452" s="13">
        <v>451</v>
      </c>
      <c r="B452" s="15">
        <v>10</v>
      </c>
      <c r="C452" s="16">
        <v>12</v>
      </c>
      <c r="D452" s="17" t="s">
        <v>912</v>
      </c>
      <c r="E452" s="17" t="s">
        <v>913</v>
      </c>
      <c r="F452" s="15">
        <v>106</v>
      </c>
      <c r="G452" s="15">
        <v>116</v>
      </c>
      <c r="H452" s="15">
        <v>81</v>
      </c>
      <c r="I452" s="15">
        <v>61</v>
      </c>
      <c r="J452" s="15"/>
      <c r="K452" s="15">
        <v>47.5</v>
      </c>
      <c r="L452" s="15"/>
      <c r="M452" s="15"/>
      <c r="N452" s="15">
        <v>54.5</v>
      </c>
      <c r="O452" s="15">
        <v>303</v>
      </c>
      <c r="P452" s="15">
        <v>466</v>
      </c>
    </row>
    <row r="453" ht="14.25" spans="1:16">
      <c r="A453" s="13">
        <v>452</v>
      </c>
      <c r="B453" s="15">
        <v>10</v>
      </c>
      <c r="C453" s="16">
        <v>13</v>
      </c>
      <c r="D453" s="17" t="s">
        <v>914</v>
      </c>
      <c r="E453" s="17" t="s">
        <v>915</v>
      </c>
      <c r="F453" s="15">
        <v>110</v>
      </c>
      <c r="G453" s="15">
        <v>115.5</v>
      </c>
      <c r="H453" s="15">
        <v>100</v>
      </c>
      <c r="I453" s="15">
        <v>57.5</v>
      </c>
      <c r="J453" s="15"/>
      <c r="K453" s="15">
        <v>52.5</v>
      </c>
      <c r="L453" s="15"/>
      <c r="M453" s="15"/>
      <c r="N453" s="15">
        <v>57</v>
      </c>
      <c r="O453" s="15">
        <v>325.5</v>
      </c>
      <c r="P453" s="15">
        <v>492.5</v>
      </c>
    </row>
    <row r="454" ht="14.25" spans="1:16">
      <c r="A454" s="13">
        <v>453</v>
      </c>
      <c r="B454" s="15">
        <v>10</v>
      </c>
      <c r="C454" s="16">
        <v>14</v>
      </c>
      <c r="D454" s="19" t="s">
        <v>916</v>
      </c>
      <c r="E454" s="17" t="s">
        <v>917</v>
      </c>
      <c r="F454" s="15">
        <v>99.5</v>
      </c>
      <c r="G454" s="15">
        <v>108</v>
      </c>
      <c r="H454" s="15">
        <v>100</v>
      </c>
      <c r="I454" s="15">
        <v>58</v>
      </c>
      <c r="J454" s="15"/>
      <c r="K454" s="15">
        <v>73</v>
      </c>
      <c r="L454" s="15"/>
      <c r="M454" s="15"/>
      <c r="N454" s="15">
        <v>69.5</v>
      </c>
      <c r="O454" s="15">
        <v>307.5</v>
      </c>
      <c r="P454" s="15">
        <v>508</v>
      </c>
    </row>
    <row r="455" ht="14.25" spans="1:16">
      <c r="A455" s="13">
        <v>454</v>
      </c>
      <c r="B455" s="15">
        <v>10</v>
      </c>
      <c r="C455" s="16">
        <v>15</v>
      </c>
      <c r="D455" s="17" t="s">
        <v>918</v>
      </c>
      <c r="E455" s="17" t="s">
        <v>919</v>
      </c>
      <c r="F455" s="15">
        <v>105</v>
      </c>
      <c r="G455" s="15">
        <v>109.5</v>
      </c>
      <c r="H455" s="15">
        <v>111.75</v>
      </c>
      <c r="I455" s="15">
        <v>49.5</v>
      </c>
      <c r="J455" s="15"/>
      <c r="K455" s="15">
        <v>55.5</v>
      </c>
      <c r="L455" s="15"/>
      <c r="M455" s="15"/>
      <c r="N455" s="15">
        <v>67.5</v>
      </c>
      <c r="O455" s="15">
        <v>326.25</v>
      </c>
      <c r="P455" s="15">
        <v>498.75</v>
      </c>
    </row>
    <row r="456" ht="14.25" spans="1:16">
      <c r="A456" s="13">
        <v>455</v>
      </c>
      <c r="B456" s="15">
        <v>10</v>
      </c>
      <c r="C456" s="16">
        <v>16</v>
      </c>
      <c r="D456" s="17" t="s">
        <v>920</v>
      </c>
      <c r="E456" s="17" t="s">
        <v>921</v>
      </c>
      <c r="F456" s="15">
        <v>100.5</v>
      </c>
      <c r="G456" s="15">
        <v>112</v>
      </c>
      <c r="H456" s="15">
        <v>99.75</v>
      </c>
      <c r="I456" s="15">
        <v>61</v>
      </c>
      <c r="J456" s="15"/>
      <c r="K456" s="15">
        <v>30</v>
      </c>
      <c r="L456" s="15"/>
      <c r="M456" s="15"/>
      <c r="N456" s="15">
        <v>54.5</v>
      </c>
      <c r="O456" s="15">
        <v>312.25</v>
      </c>
      <c r="P456" s="15">
        <v>457.75</v>
      </c>
    </row>
    <row r="457" ht="14.25" spans="1:16">
      <c r="A457" s="13">
        <v>456</v>
      </c>
      <c r="B457" s="15">
        <v>10</v>
      </c>
      <c r="C457" s="16">
        <v>17</v>
      </c>
      <c r="D457" s="17" t="s">
        <v>922</v>
      </c>
      <c r="E457" s="17" t="s">
        <v>923</v>
      </c>
      <c r="F457" s="15">
        <v>93.5</v>
      </c>
      <c r="G457" s="15">
        <v>99</v>
      </c>
      <c r="H457" s="15">
        <v>91</v>
      </c>
      <c r="I457" s="15">
        <v>66</v>
      </c>
      <c r="J457" s="15"/>
      <c r="K457" s="15">
        <v>53</v>
      </c>
      <c r="L457" s="15"/>
      <c r="M457" s="15"/>
      <c r="N457" s="15">
        <v>48</v>
      </c>
      <c r="O457" s="15">
        <v>283.5</v>
      </c>
      <c r="P457" s="15">
        <v>450.5</v>
      </c>
    </row>
    <row r="458" ht="14.25" spans="1:16">
      <c r="A458" s="13">
        <v>457</v>
      </c>
      <c r="B458" s="15">
        <v>10</v>
      </c>
      <c r="C458" s="16">
        <v>18</v>
      </c>
      <c r="D458" s="17" t="s">
        <v>924</v>
      </c>
      <c r="E458" s="17" t="s">
        <v>925</v>
      </c>
      <c r="F458" s="15">
        <v>93</v>
      </c>
      <c r="G458" s="15">
        <v>109</v>
      </c>
      <c r="H458" s="15">
        <v>114.75</v>
      </c>
      <c r="I458" s="15">
        <v>49.5</v>
      </c>
      <c r="J458" s="15"/>
      <c r="K458" s="15">
        <v>52</v>
      </c>
      <c r="L458" s="15"/>
      <c r="M458" s="15"/>
      <c r="N458" s="15">
        <v>48.5</v>
      </c>
      <c r="O458" s="15">
        <v>316.75</v>
      </c>
      <c r="P458" s="15">
        <v>466.75</v>
      </c>
    </row>
    <row r="459" ht="14.25" spans="1:16">
      <c r="A459" s="13">
        <v>458</v>
      </c>
      <c r="B459" s="15">
        <v>10</v>
      </c>
      <c r="C459" s="16">
        <v>19</v>
      </c>
      <c r="D459" s="17" t="s">
        <v>926</v>
      </c>
      <c r="E459" s="17" t="s">
        <v>927</v>
      </c>
      <c r="F459" s="15">
        <v>107.5</v>
      </c>
      <c r="G459" s="15">
        <v>115.5</v>
      </c>
      <c r="H459" s="15">
        <v>88.5</v>
      </c>
      <c r="I459" s="15">
        <v>62.5</v>
      </c>
      <c r="J459" s="15"/>
      <c r="K459" s="15">
        <v>41.5</v>
      </c>
      <c r="L459" s="15"/>
      <c r="M459" s="15"/>
      <c r="N459" s="15">
        <v>60.5</v>
      </c>
      <c r="O459" s="15">
        <v>311.5</v>
      </c>
      <c r="P459" s="15">
        <v>476</v>
      </c>
    </row>
    <row r="460" ht="14.25" spans="1:16">
      <c r="A460" s="13">
        <v>459</v>
      </c>
      <c r="B460" s="15">
        <v>10</v>
      </c>
      <c r="C460" s="16">
        <v>20</v>
      </c>
      <c r="D460" s="17" t="s">
        <v>928</v>
      </c>
      <c r="E460" s="17" t="s">
        <v>929</v>
      </c>
      <c r="F460" s="15">
        <v>108</v>
      </c>
      <c r="G460" s="15">
        <v>103.5</v>
      </c>
      <c r="H460" s="15">
        <v>100</v>
      </c>
      <c r="I460" s="15">
        <v>58</v>
      </c>
      <c r="J460" s="15"/>
      <c r="K460" s="15">
        <v>53</v>
      </c>
      <c r="L460" s="15"/>
      <c r="M460" s="15"/>
      <c r="N460" s="15">
        <v>51.5</v>
      </c>
      <c r="O460" s="15">
        <v>311.5</v>
      </c>
      <c r="P460" s="15">
        <v>474</v>
      </c>
    </row>
    <row r="461" ht="14.25" spans="1:16">
      <c r="A461" s="13">
        <v>460</v>
      </c>
      <c r="B461" s="15">
        <v>10</v>
      </c>
      <c r="C461" s="16">
        <v>21</v>
      </c>
      <c r="D461" s="17" t="s">
        <v>930</v>
      </c>
      <c r="E461" s="17" t="s">
        <v>931</v>
      </c>
      <c r="F461" s="15">
        <v>100</v>
      </c>
      <c r="G461" s="15">
        <v>117</v>
      </c>
      <c r="H461" s="15">
        <v>101.5</v>
      </c>
      <c r="I461" s="15">
        <v>67.5</v>
      </c>
      <c r="J461" s="15"/>
      <c r="K461" s="15">
        <v>50</v>
      </c>
      <c r="L461" s="15"/>
      <c r="M461" s="15"/>
      <c r="N461" s="15">
        <v>60.5</v>
      </c>
      <c r="O461" s="15">
        <v>318.5</v>
      </c>
      <c r="P461" s="15">
        <v>496.5</v>
      </c>
    </row>
    <row r="462" ht="14.25" spans="1:16">
      <c r="A462" s="13">
        <v>461</v>
      </c>
      <c r="B462" s="15">
        <v>10</v>
      </c>
      <c r="C462" s="16">
        <v>22</v>
      </c>
      <c r="D462" s="17" t="s">
        <v>932</v>
      </c>
      <c r="E462" s="17" t="s">
        <v>933</v>
      </c>
      <c r="F462" s="15">
        <v>100</v>
      </c>
      <c r="G462" s="15">
        <v>116</v>
      </c>
      <c r="H462" s="15">
        <v>105.75</v>
      </c>
      <c r="I462" s="15">
        <v>65.5</v>
      </c>
      <c r="J462" s="15"/>
      <c r="K462" s="15">
        <v>51</v>
      </c>
      <c r="L462" s="15"/>
      <c r="M462" s="15"/>
      <c r="N462" s="15">
        <v>46</v>
      </c>
      <c r="O462" s="15">
        <v>321.75</v>
      </c>
      <c r="P462" s="15">
        <v>484.25</v>
      </c>
    </row>
    <row r="463" ht="14.25" spans="1:16">
      <c r="A463" s="13">
        <v>462</v>
      </c>
      <c r="B463" s="15">
        <v>10</v>
      </c>
      <c r="C463" s="16">
        <v>23</v>
      </c>
      <c r="D463" s="17" t="s">
        <v>934</v>
      </c>
      <c r="E463" s="17" t="s">
        <v>935</v>
      </c>
      <c r="F463" s="15">
        <v>99.5</v>
      </c>
      <c r="G463" s="15">
        <v>101.5</v>
      </c>
      <c r="H463" s="15">
        <v>117.75</v>
      </c>
      <c r="I463" s="15">
        <v>60</v>
      </c>
      <c r="J463" s="15"/>
      <c r="K463" s="15">
        <v>44</v>
      </c>
      <c r="L463" s="15"/>
      <c r="M463" s="15"/>
      <c r="N463" s="15">
        <v>48</v>
      </c>
      <c r="O463" s="15">
        <v>318.75</v>
      </c>
      <c r="P463" s="15">
        <v>470.75</v>
      </c>
    </row>
    <row r="464" ht="14.25" spans="1:16">
      <c r="A464" s="13">
        <v>463</v>
      </c>
      <c r="B464" s="15">
        <v>10</v>
      </c>
      <c r="C464" s="16">
        <v>24</v>
      </c>
      <c r="D464" s="17" t="s">
        <v>936</v>
      </c>
      <c r="E464" s="17" t="s">
        <v>937</v>
      </c>
      <c r="F464" s="15">
        <v>97.5</v>
      </c>
      <c r="G464" s="15">
        <v>100</v>
      </c>
      <c r="H464" s="15">
        <v>105.5</v>
      </c>
      <c r="I464" s="15">
        <v>49</v>
      </c>
      <c r="J464" s="15"/>
      <c r="K464" s="15">
        <v>38.5</v>
      </c>
      <c r="L464" s="15"/>
      <c r="M464" s="15"/>
      <c r="N464" s="15">
        <v>52.5</v>
      </c>
      <c r="O464" s="15">
        <v>303</v>
      </c>
      <c r="P464" s="15">
        <v>443</v>
      </c>
    </row>
    <row r="465" ht="14.25" spans="1:16">
      <c r="A465" s="13">
        <v>464</v>
      </c>
      <c r="B465" s="15">
        <v>10</v>
      </c>
      <c r="C465" s="16">
        <v>25</v>
      </c>
      <c r="D465" s="17" t="s">
        <v>938</v>
      </c>
      <c r="E465" s="17" t="s">
        <v>939</v>
      </c>
      <c r="F465" s="15">
        <v>94.5</v>
      </c>
      <c r="G465" s="15">
        <v>95</v>
      </c>
      <c r="H465" s="15">
        <v>102.75</v>
      </c>
      <c r="I465" s="15">
        <v>56</v>
      </c>
      <c r="J465" s="15"/>
      <c r="K465" s="15">
        <v>42</v>
      </c>
      <c r="L465" s="15"/>
      <c r="M465" s="15"/>
      <c r="N465" s="15">
        <v>58.5</v>
      </c>
      <c r="O465" s="15">
        <v>292.25</v>
      </c>
      <c r="P465" s="15">
        <v>448.75</v>
      </c>
    </row>
    <row r="466" ht="14.25" spans="1:16">
      <c r="A466" s="13">
        <v>465</v>
      </c>
      <c r="B466" s="15">
        <v>10</v>
      </c>
      <c r="C466" s="16">
        <v>26</v>
      </c>
      <c r="D466" s="17" t="s">
        <v>940</v>
      </c>
      <c r="E466" s="17" t="s">
        <v>941</v>
      </c>
      <c r="F466" s="15">
        <v>101.25</v>
      </c>
      <c r="G466" s="15">
        <v>114</v>
      </c>
      <c r="H466" s="15">
        <v>104</v>
      </c>
      <c r="I466" s="15">
        <v>68</v>
      </c>
      <c r="J466" s="15"/>
      <c r="K466" s="15">
        <v>34.5</v>
      </c>
      <c r="L466" s="15"/>
      <c r="M466" s="15"/>
      <c r="N466" s="15">
        <v>59.5</v>
      </c>
      <c r="O466" s="15">
        <v>319.25</v>
      </c>
      <c r="P466" s="15">
        <v>481.25</v>
      </c>
    </row>
    <row r="467" ht="14.25" spans="1:16">
      <c r="A467" s="13">
        <v>466</v>
      </c>
      <c r="B467" s="15">
        <v>10</v>
      </c>
      <c r="C467" s="16">
        <v>27</v>
      </c>
      <c r="D467" s="17" t="s">
        <v>942</v>
      </c>
      <c r="E467" s="17" t="s">
        <v>943</v>
      </c>
      <c r="F467" s="15">
        <v>92.75</v>
      </c>
      <c r="G467" s="15">
        <v>116</v>
      </c>
      <c r="H467" s="15">
        <v>86</v>
      </c>
      <c r="I467" s="15">
        <v>73</v>
      </c>
      <c r="J467" s="15"/>
      <c r="K467" s="15">
        <v>60</v>
      </c>
      <c r="L467" s="15"/>
      <c r="M467" s="15"/>
      <c r="N467" s="15">
        <v>52</v>
      </c>
      <c r="O467" s="15">
        <v>294.75</v>
      </c>
      <c r="P467" s="15">
        <v>479.75</v>
      </c>
    </row>
    <row r="468" ht="14.25" spans="1:16">
      <c r="A468" s="13">
        <v>467</v>
      </c>
      <c r="B468" s="15">
        <v>10</v>
      </c>
      <c r="C468" s="16">
        <v>28</v>
      </c>
      <c r="D468" s="17" t="s">
        <v>944</v>
      </c>
      <c r="E468" s="17" t="s">
        <v>945</v>
      </c>
      <c r="F468" s="15">
        <v>114</v>
      </c>
      <c r="G468" s="15">
        <v>115</v>
      </c>
      <c r="H468" s="15">
        <v>107</v>
      </c>
      <c r="I468" s="15">
        <v>55.5</v>
      </c>
      <c r="J468" s="15"/>
      <c r="K468" s="15">
        <v>40</v>
      </c>
      <c r="L468" s="15"/>
      <c r="M468" s="15"/>
      <c r="N468" s="15">
        <v>52</v>
      </c>
      <c r="O468" s="15">
        <v>336</v>
      </c>
      <c r="P468" s="15">
        <v>483.5</v>
      </c>
    </row>
    <row r="469" ht="14.25" spans="1:16">
      <c r="A469" s="13">
        <v>468</v>
      </c>
      <c r="B469" s="15">
        <v>10</v>
      </c>
      <c r="C469" s="16">
        <v>29</v>
      </c>
      <c r="D469" s="17" t="s">
        <v>946</v>
      </c>
      <c r="E469" s="17" t="s">
        <v>947</v>
      </c>
      <c r="F469" s="15">
        <v>102.5</v>
      </c>
      <c r="G469" s="15">
        <v>130.5</v>
      </c>
      <c r="H469" s="15">
        <v>104.25</v>
      </c>
      <c r="I469" s="15">
        <v>63.5</v>
      </c>
      <c r="J469" s="15"/>
      <c r="K469" s="15">
        <v>50</v>
      </c>
      <c r="L469" s="15"/>
      <c r="M469" s="15"/>
      <c r="N469" s="15">
        <v>57.5</v>
      </c>
      <c r="O469" s="15">
        <v>337.25</v>
      </c>
      <c r="P469" s="15">
        <v>508.25</v>
      </c>
    </row>
    <row r="470" ht="14.25" spans="1:16">
      <c r="A470" s="13">
        <v>469</v>
      </c>
      <c r="B470" s="15">
        <v>10</v>
      </c>
      <c r="C470" s="16">
        <v>30</v>
      </c>
      <c r="D470" s="17" t="s">
        <v>948</v>
      </c>
      <c r="E470" s="17" t="s">
        <v>949</v>
      </c>
      <c r="F470" s="15">
        <v>99.5</v>
      </c>
      <c r="G470" s="15">
        <v>111.5</v>
      </c>
      <c r="H470" s="15">
        <v>93.5</v>
      </c>
      <c r="I470" s="15">
        <v>45.5</v>
      </c>
      <c r="J470" s="15"/>
      <c r="K470" s="15">
        <v>26.5</v>
      </c>
      <c r="L470" s="15"/>
      <c r="M470" s="15"/>
      <c r="N470" s="15">
        <v>43.5</v>
      </c>
      <c r="O470" s="15">
        <v>304.5</v>
      </c>
      <c r="P470" s="15">
        <v>420</v>
      </c>
    </row>
    <row r="471" ht="14.25" spans="1:16">
      <c r="A471" s="13">
        <v>470</v>
      </c>
      <c r="B471" s="15">
        <v>10</v>
      </c>
      <c r="C471" s="16">
        <v>31</v>
      </c>
      <c r="D471" s="17" t="s">
        <v>950</v>
      </c>
      <c r="E471" s="17" t="s">
        <v>951</v>
      </c>
      <c r="F471" s="15">
        <v>107</v>
      </c>
      <c r="G471" s="15">
        <v>107.5</v>
      </c>
      <c r="H471" s="15">
        <v>96.75</v>
      </c>
      <c r="I471" s="15">
        <v>65</v>
      </c>
      <c r="J471" s="15"/>
      <c r="K471" s="15">
        <v>53.5</v>
      </c>
      <c r="L471" s="15"/>
      <c r="M471" s="15"/>
      <c r="N471" s="15">
        <v>51</v>
      </c>
      <c r="O471" s="15">
        <v>311.25</v>
      </c>
      <c r="P471" s="15">
        <v>480.75</v>
      </c>
    </row>
    <row r="472" ht="14.25" spans="1:16">
      <c r="A472" s="13">
        <v>471</v>
      </c>
      <c r="B472" s="15">
        <v>10</v>
      </c>
      <c r="C472" s="16">
        <v>32</v>
      </c>
      <c r="D472" s="17" t="s">
        <v>952</v>
      </c>
      <c r="E472" s="17" t="s">
        <v>953</v>
      </c>
      <c r="F472" s="15">
        <v>95</v>
      </c>
      <c r="G472" s="15">
        <v>114.5</v>
      </c>
      <c r="H472" s="15">
        <v>103.5</v>
      </c>
      <c r="I472" s="15">
        <v>71.5</v>
      </c>
      <c r="J472" s="15"/>
      <c r="K472" s="15">
        <v>52</v>
      </c>
      <c r="L472" s="15"/>
      <c r="M472" s="15"/>
      <c r="N472" s="15">
        <v>61</v>
      </c>
      <c r="O472" s="15">
        <v>313</v>
      </c>
      <c r="P472" s="15">
        <v>497.5</v>
      </c>
    </row>
    <row r="473" ht="14.25" spans="1:16">
      <c r="A473" s="13">
        <v>472</v>
      </c>
      <c r="B473" s="15">
        <v>10</v>
      </c>
      <c r="C473" s="16">
        <v>33</v>
      </c>
      <c r="D473" s="17" t="s">
        <v>954</v>
      </c>
      <c r="E473" s="17" t="s">
        <v>955</v>
      </c>
      <c r="F473" s="15">
        <v>106</v>
      </c>
      <c r="G473" s="15">
        <v>112.5</v>
      </c>
      <c r="H473" s="15">
        <v>100</v>
      </c>
      <c r="I473" s="15">
        <v>65</v>
      </c>
      <c r="J473" s="15"/>
      <c r="K473" s="15">
        <v>43.5</v>
      </c>
      <c r="L473" s="15"/>
      <c r="M473" s="15"/>
      <c r="N473" s="15">
        <v>51.5</v>
      </c>
      <c r="O473" s="15">
        <v>318.5</v>
      </c>
      <c r="P473" s="15">
        <v>478.5</v>
      </c>
    </row>
    <row r="474" ht="14.25" spans="1:16">
      <c r="A474" s="13">
        <v>473</v>
      </c>
      <c r="B474" s="15">
        <v>10</v>
      </c>
      <c r="C474" s="16">
        <v>34</v>
      </c>
      <c r="D474" s="17" t="s">
        <v>956</v>
      </c>
      <c r="E474" s="17" t="s">
        <v>957</v>
      </c>
      <c r="F474" s="15">
        <v>88.5</v>
      </c>
      <c r="G474" s="15">
        <v>100.5</v>
      </c>
      <c r="H474" s="15">
        <v>98</v>
      </c>
      <c r="I474" s="15">
        <v>61</v>
      </c>
      <c r="J474" s="15"/>
      <c r="K474" s="15">
        <v>42</v>
      </c>
      <c r="L474" s="15"/>
      <c r="M474" s="15"/>
      <c r="N474" s="15">
        <v>46</v>
      </c>
      <c r="O474" s="15">
        <v>287</v>
      </c>
      <c r="P474" s="15">
        <v>436</v>
      </c>
    </row>
    <row r="475" ht="14.25" spans="1:16">
      <c r="A475" s="13">
        <v>474</v>
      </c>
      <c r="B475" s="15">
        <v>10</v>
      </c>
      <c r="C475" s="16">
        <v>35</v>
      </c>
      <c r="D475" s="17" t="s">
        <v>958</v>
      </c>
      <c r="E475" s="17" t="s">
        <v>959</v>
      </c>
      <c r="F475" s="15">
        <v>104.5</v>
      </c>
      <c r="G475" s="15">
        <v>92</v>
      </c>
      <c r="H475" s="15">
        <v>107.5</v>
      </c>
      <c r="I475" s="15">
        <v>42.5</v>
      </c>
      <c r="J475" s="15"/>
      <c r="K475" s="15">
        <v>38</v>
      </c>
      <c r="L475" s="15"/>
      <c r="M475" s="15"/>
      <c r="N475" s="15">
        <v>60.5</v>
      </c>
      <c r="O475" s="15">
        <v>304</v>
      </c>
      <c r="P475" s="15">
        <v>445</v>
      </c>
    </row>
    <row r="476" ht="14.25" spans="1:16">
      <c r="A476" s="13">
        <v>475</v>
      </c>
      <c r="B476" s="15">
        <v>10</v>
      </c>
      <c r="C476" s="16">
        <v>36</v>
      </c>
      <c r="D476" s="17" t="s">
        <v>960</v>
      </c>
      <c r="E476" s="17" t="s">
        <v>961</v>
      </c>
      <c r="F476" s="15">
        <v>102.75</v>
      </c>
      <c r="G476" s="15">
        <v>107.5</v>
      </c>
      <c r="H476" s="15">
        <v>101</v>
      </c>
      <c r="I476" s="15">
        <v>65.5</v>
      </c>
      <c r="J476" s="15"/>
      <c r="K476" s="15">
        <v>45</v>
      </c>
      <c r="L476" s="15"/>
      <c r="M476" s="15"/>
      <c r="N476" s="15">
        <v>57</v>
      </c>
      <c r="O476" s="15">
        <v>311.25</v>
      </c>
      <c r="P476" s="15">
        <v>478.75</v>
      </c>
    </row>
    <row r="477" ht="14.25" spans="1:16">
      <c r="A477" s="13">
        <v>476</v>
      </c>
      <c r="B477" s="15">
        <v>10</v>
      </c>
      <c r="C477" s="16">
        <v>37</v>
      </c>
      <c r="D477" s="17" t="s">
        <v>962</v>
      </c>
      <c r="E477" s="17" t="s">
        <v>963</v>
      </c>
      <c r="F477" s="15">
        <v>93.5</v>
      </c>
      <c r="G477" s="15">
        <v>106</v>
      </c>
      <c r="H477" s="15">
        <v>91.25</v>
      </c>
      <c r="I477" s="15">
        <v>59.5</v>
      </c>
      <c r="J477" s="15"/>
      <c r="K477" s="15">
        <v>50.5</v>
      </c>
      <c r="L477" s="15"/>
      <c r="M477" s="15"/>
      <c r="N477" s="15">
        <v>65</v>
      </c>
      <c r="O477" s="15">
        <v>290.75</v>
      </c>
      <c r="P477" s="15">
        <v>465.75</v>
      </c>
    </row>
    <row r="478" ht="14.25" spans="1:16">
      <c r="A478" s="13">
        <v>477</v>
      </c>
      <c r="B478" s="15">
        <v>10</v>
      </c>
      <c r="C478" s="16">
        <v>38</v>
      </c>
      <c r="D478" s="17" t="s">
        <v>964</v>
      </c>
      <c r="E478" s="17" t="s">
        <v>965</v>
      </c>
      <c r="F478" s="15">
        <v>109</v>
      </c>
      <c r="G478" s="15">
        <v>113</v>
      </c>
      <c r="H478" s="15">
        <v>109.5</v>
      </c>
      <c r="I478" s="15">
        <v>66.5</v>
      </c>
      <c r="J478" s="15"/>
      <c r="K478" s="15">
        <v>47</v>
      </c>
      <c r="L478" s="15"/>
      <c r="M478" s="15"/>
      <c r="N478" s="15">
        <v>65</v>
      </c>
      <c r="O478" s="15">
        <v>331.5</v>
      </c>
      <c r="P478" s="15">
        <v>510</v>
      </c>
    </row>
    <row r="479" ht="14.25" spans="1:16">
      <c r="A479" s="13">
        <v>478</v>
      </c>
      <c r="B479" s="15">
        <v>10</v>
      </c>
      <c r="C479" s="16">
        <v>39</v>
      </c>
      <c r="D479" s="17" t="s">
        <v>966</v>
      </c>
      <c r="E479" s="17" t="s">
        <v>967</v>
      </c>
      <c r="F479" s="15">
        <v>95</v>
      </c>
      <c r="G479" s="15">
        <v>112.5</v>
      </c>
      <c r="H479" s="15">
        <v>108.75</v>
      </c>
      <c r="I479" s="15">
        <v>64</v>
      </c>
      <c r="J479" s="15"/>
      <c r="K479" s="15">
        <v>44.5</v>
      </c>
      <c r="L479" s="15"/>
      <c r="M479" s="15"/>
      <c r="N479" s="15">
        <v>51</v>
      </c>
      <c r="O479" s="15">
        <v>316.25</v>
      </c>
      <c r="P479" s="15">
        <v>475.75</v>
      </c>
    </row>
    <row r="480" ht="14.25" spans="1:16">
      <c r="A480" s="13">
        <v>479</v>
      </c>
      <c r="B480" s="15">
        <v>10</v>
      </c>
      <c r="C480" s="16">
        <v>40</v>
      </c>
      <c r="D480" s="17" t="s">
        <v>968</v>
      </c>
      <c r="E480" s="17" t="s">
        <v>969</v>
      </c>
      <c r="F480" s="15">
        <v>115</v>
      </c>
      <c r="G480" s="15">
        <v>103</v>
      </c>
      <c r="H480" s="15">
        <v>112.75</v>
      </c>
      <c r="I480" s="15">
        <v>66</v>
      </c>
      <c r="J480" s="15"/>
      <c r="K480" s="15">
        <v>62.5</v>
      </c>
      <c r="L480" s="15"/>
      <c r="M480" s="15"/>
      <c r="N480" s="15">
        <v>48</v>
      </c>
      <c r="O480" s="15">
        <v>330.75</v>
      </c>
      <c r="P480" s="15">
        <v>507.25</v>
      </c>
    </row>
    <row r="481" ht="14.25" spans="1:16">
      <c r="A481" s="13">
        <v>480</v>
      </c>
      <c r="B481" s="15">
        <v>10</v>
      </c>
      <c r="C481" s="16">
        <v>41</v>
      </c>
      <c r="D481" s="17" t="s">
        <v>970</v>
      </c>
      <c r="E481" s="17" t="s">
        <v>971</v>
      </c>
      <c r="F481" s="15">
        <v>103.5</v>
      </c>
      <c r="G481" s="15">
        <v>111</v>
      </c>
      <c r="H481" s="15">
        <v>94.25</v>
      </c>
      <c r="I481" s="15">
        <v>75.5</v>
      </c>
      <c r="J481" s="15"/>
      <c r="K481" s="15">
        <v>39.5</v>
      </c>
      <c r="L481" s="15"/>
      <c r="M481" s="15"/>
      <c r="N481" s="15">
        <v>49</v>
      </c>
      <c r="O481" s="15">
        <v>308.75</v>
      </c>
      <c r="P481" s="15">
        <v>472.75</v>
      </c>
    </row>
    <row r="482" ht="14.25" spans="1:16">
      <c r="A482" s="13">
        <v>481</v>
      </c>
      <c r="B482" s="15">
        <v>10</v>
      </c>
      <c r="C482" s="16">
        <v>42</v>
      </c>
      <c r="D482" s="17" t="s">
        <v>972</v>
      </c>
      <c r="E482" s="17" t="s">
        <v>973</v>
      </c>
      <c r="F482" s="15">
        <v>98.5</v>
      </c>
      <c r="G482" s="15">
        <v>116.5</v>
      </c>
      <c r="H482" s="15">
        <v>99.75</v>
      </c>
      <c r="I482" s="15">
        <v>74.5</v>
      </c>
      <c r="J482" s="15"/>
      <c r="K482" s="15">
        <v>48</v>
      </c>
      <c r="L482" s="15"/>
      <c r="M482" s="15"/>
      <c r="N482" s="15">
        <v>66</v>
      </c>
      <c r="O482" s="15">
        <v>314.75</v>
      </c>
      <c r="P482" s="15">
        <v>503.25</v>
      </c>
    </row>
    <row r="483" ht="14.25" spans="1:16">
      <c r="A483" s="13">
        <v>482</v>
      </c>
      <c r="B483" s="15">
        <v>10</v>
      </c>
      <c r="C483" s="16">
        <v>43</v>
      </c>
      <c r="D483" s="17" t="s">
        <v>974</v>
      </c>
      <c r="E483" s="17" t="s">
        <v>975</v>
      </c>
      <c r="F483" s="15">
        <v>96.5</v>
      </c>
      <c r="G483" s="15">
        <v>100.5</v>
      </c>
      <c r="H483" s="15">
        <v>99</v>
      </c>
      <c r="I483" s="15">
        <v>73</v>
      </c>
      <c r="J483" s="15"/>
      <c r="K483" s="15">
        <v>54.5</v>
      </c>
      <c r="L483" s="15"/>
      <c r="M483" s="15"/>
      <c r="N483" s="15">
        <v>53.5</v>
      </c>
      <c r="O483" s="15">
        <v>296</v>
      </c>
      <c r="P483" s="15">
        <v>477</v>
      </c>
    </row>
    <row r="484" ht="14.25" spans="1:16">
      <c r="A484" s="13">
        <v>483</v>
      </c>
      <c r="B484" s="15">
        <v>10</v>
      </c>
      <c r="C484" s="16">
        <v>44</v>
      </c>
      <c r="D484" s="17" t="s">
        <v>976</v>
      </c>
      <c r="E484" s="17" t="s">
        <v>977</v>
      </c>
      <c r="F484" s="15">
        <v>94</v>
      </c>
      <c r="G484" s="15">
        <v>109.5</v>
      </c>
      <c r="H484" s="15">
        <v>114.25</v>
      </c>
      <c r="I484" s="15">
        <v>58</v>
      </c>
      <c r="J484" s="15"/>
      <c r="K484" s="15">
        <v>53.5</v>
      </c>
      <c r="L484" s="15"/>
      <c r="M484" s="15"/>
      <c r="N484" s="15">
        <v>56.5</v>
      </c>
      <c r="O484" s="15">
        <v>317.75</v>
      </c>
      <c r="P484" s="15">
        <v>485.75</v>
      </c>
    </row>
    <row r="485" ht="14.25" spans="1:16">
      <c r="A485" s="13">
        <v>484</v>
      </c>
      <c r="B485" s="15">
        <v>10</v>
      </c>
      <c r="C485" s="16">
        <v>45</v>
      </c>
      <c r="D485" s="17" t="s">
        <v>978</v>
      </c>
      <c r="E485" s="17" t="s">
        <v>979</v>
      </c>
      <c r="F485" s="15">
        <v>90.5</v>
      </c>
      <c r="G485" s="15">
        <v>113.5</v>
      </c>
      <c r="H485" s="15">
        <v>89</v>
      </c>
      <c r="I485" s="15">
        <v>73.5</v>
      </c>
      <c r="J485" s="15"/>
      <c r="K485" s="15">
        <v>50.5</v>
      </c>
      <c r="L485" s="15"/>
      <c r="M485" s="15"/>
      <c r="N485" s="15">
        <v>69</v>
      </c>
      <c r="O485" s="15">
        <v>293</v>
      </c>
      <c r="P485" s="15">
        <v>486</v>
      </c>
    </row>
    <row r="486" ht="14.25" spans="1:16">
      <c r="A486" s="13">
        <v>485</v>
      </c>
      <c r="B486" s="15">
        <v>10</v>
      </c>
      <c r="C486" s="16">
        <v>46</v>
      </c>
      <c r="D486" s="17" t="s">
        <v>980</v>
      </c>
      <c r="E486" s="17" t="s">
        <v>981</v>
      </c>
      <c r="F486" s="15">
        <v>108</v>
      </c>
      <c r="G486" s="15">
        <v>111.5</v>
      </c>
      <c r="H486" s="15">
        <v>86.25</v>
      </c>
      <c r="I486" s="15">
        <v>73</v>
      </c>
      <c r="J486" s="15"/>
      <c r="K486" s="15">
        <v>58</v>
      </c>
      <c r="L486" s="15"/>
      <c r="M486" s="15"/>
      <c r="N486" s="15">
        <v>69</v>
      </c>
      <c r="O486" s="15">
        <v>305.75</v>
      </c>
      <c r="P486" s="15">
        <v>505.75</v>
      </c>
    </row>
    <row r="487" ht="14.25" spans="1:16">
      <c r="A487" s="13">
        <v>486</v>
      </c>
      <c r="B487" s="15">
        <v>10</v>
      </c>
      <c r="C487" s="16">
        <v>47</v>
      </c>
      <c r="D487" s="17" t="s">
        <v>982</v>
      </c>
      <c r="E487" s="17" t="s">
        <v>983</v>
      </c>
      <c r="F487" s="15">
        <v>104.5</v>
      </c>
      <c r="G487" s="15">
        <v>120.5</v>
      </c>
      <c r="H487" s="15">
        <v>108</v>
      </c>
      <c r="I487" s="15">
        <v>74.5</v>
      </c>
      <c r="J487" s="15"/>
      <c r="K487" s="15">
        <v>54.5</v>
      </c>
      <c r="L487" s="15"/>
      <c r="M487" s="15"/>
      <c r="N487" s="15">
        <v>63</v>
      </c>
      <c r="O487" s="15">
        <v>333</v>
      </c>
      <c r="P487" s="15">
        <v>525</v>
      </c>
    </row>
    <row r="488" ht="14.25" spans="1:16">
      <c r="A488" s="13">
        <v>487</v>
      </c>
      <c r="B488" s="15">
        <v>10</v>
      </c>
      <c r="C488" s="16">
        <v>48</v>
      </c>
      <c r="D488" s="19" t="s">
        <v>984</v>
      </c>
      <c r="E488" s="17" t="s">
        <v>985</v>
      </c>
      <c r="F488" s="15">
        <v>98.75</v>
      </c>
      <c r="G488" s="15">
        <v>106</v>
      </c>
      <c r="H488" s="15">
        <v>112.5</v>
      </c>
      <c r="I488" s="15">
        <v>61</v>
      </c>
      <c r="J488" s="15"/>
      <c r="K488" s="15">
        <v>58.5</v>
      </c>
      <c r="L488" s="15"/>
      <c r="M488" s="15"/>
      <c r="N488" s="15">
        <v>59.5</v>
      </c>
      <c r="O488" s="15">
        <v>317.25</v>
      </c>
      <c r="P488" s="15">
        <v>496.25</v>
      </c>
    </row>
    <row r="489" ht="14.25" spans="1:16">
      <c r="A489" s="13">
        <v>488</v>
      </c>
      <c r="B489" s="15">
        <v>10</v>
      </c>
      <c r="C489" s="16">
        <v>49</v>
      </c>
      <c r="D489" s="17" t="s">
        <v>986</v>
      </c>
      <c r="E489" s="17" t="s">
        <v>987</v>
      </c>
      <c r="F489" s="15">
        <v>98</v>
      </c>
      <c r="G489" s="15">
        <v>115</v>
      </c>
      <c r="H489" s="15">
        <v>92</v>
      </c>
      <c r="I489" s="15">
        <v>63.5</v>
      </c>
      <c r="J489" s="15"/>
      <c r="K489" s="15">
        <v>44</v>
      </c>
      <c r="L489" s="15"/>
      <c r="M489" s="15"/>
      <c r="N489" s="15">
        <v>57</v>
      </c>
      <c r="O489" s="15">
        <v>305</v>
      </c>
      <c r="P489" s="15">
        <v>469.5</v>
      </c>
    </row>
    <row r="490" ht="14.25" spans="1:16">
      <c r="A490" s="13">
        <v>489</v>
      </c>
      <c r="B490" s="15">
        <v>10</v>
      </c>
      <c r="C490" s="16">
        <v>50</v>
      </c>
      <c r="D490" s="17" t="s">
        <v>988</v>
      </c>
      <c r="E490" s="17" t="s">
        <v>989</v>
      </c>
      <c r="F490" s="15">
        <v>107</v>
      </c>
      <c r="G490" s="15">
        <v>119.5</v>
      </c>
      <c r="H490" s="15">
        <v>100.5</v>
      </c>
      <c r="I490" s="15">
        <v>63</v>
      </c>
      <c r="J490" s="15"/>
      <c r="K490" s="15">
        <v>69.5</v>
      </c>
      <c r="L490" s="15"/>
      <c r="M490" s="15"/>
      <c r="N490" s="15">
        <v>55</v>
      </c>
      <c r="O490" s="15">
        <v>327</v>
      </c>
      <c r="P490" s="15">
        <v>514.5</v>
      </c>
    </row>
    <row r="491" ht="14.25" spans="1:16">
      <c r="A491" s="13">
        <v>490</v>
      </c>
      <c r="B491" s="15">
        <v>10</v>
      </c>
      <c r="C491" s="16">
        <v>51</v>
      </c>
      <c r="D491" s="17" t="s">
        <v>990</v>
      </c>
      <c r="E491" s="17" t="s">
        <v>991</v>
      </c>
      <c r="F491" s="15">
        <v>106</v>
      </c>
      <c r="G491" s="15">
        <v>112</v>
      </c>
      <c r="H491" s="15">
        <v>112.5</v>
      </c>
      <c r="I491" s="15">
        <v>63.5</v>
      </c>
      <c r="J491" s="15"/>
      <c r="K491" s="15">
        <v>45.5</v>
      </c>
      <c r="L491" s="15"/>
      <c r="M491" s="15"/>
      <c r="N491" s="15">
        <v>54</v>
      </c>
      <c r="O491" s="15">
        <v>330.5</v>
      </c>
      <c r="P491" s="15">
        <v>493.5</v>
      </c>
    </row>
    <row r="492" ht="14.25" spans="1:16">
      <c r="A492" s="13">
        <v>491</v>
      </c>
      <c r="B492" s="15">
        <v>10</v>
      </c>
      <c r="C492" s="16">
        <v>52</v>
      </c>
      <c r="D492" s="17" t="s">
        <v>992</v>
      </c>
      <c r="E492" s="17" t="s">
        <v>993</v>
      </c>
      <c r="F492" s="15">
        <v>98.5</v>
      </c>
      <c r="G492" s="15">
        <v>105</v>
      </c>
      <c r="H492" s="15">
        <v>96.75</v>
      </c>
      <c r="I492" s="15">
        <v>72.5</v>
      </c>
      <c r="J492" s="15"/>
      <c r="K492" s="15">
        <v>46</v>
      </c>
      <c r="L492" s="15"/>
      <c r="M492" s="15"/>
      <c r="N492" s="15">
        <v>52</v>
      </c>
      <c r="O492" s="15">
        <v>300.25</v>
      </c>
      <c r="P492" s="15">
        <v>470.75</v>
      </c>
    </row>
    <row r="493" ht="14.25" spans="1:16">
      <c r="A493" s="13">
        <v>492</v>
      </c>
      <c r="B493" s="15">
        <v>10</v>
      </c>
      <c r="C493" s="16">
        <v>53</v>
      </c>
      <c r="D493" s="17" t="s">
        <v>994</v>
      </c>
      <c r="E493" s="17" t="s">
        <v>995</v>
      </c>
      <c r="F493" s="15">
        <v>102.5</v>
      </c>
      <c r="G493" s="15">
        <v>116.5</v>
      </c>
      <c r="H493" s="15">
        <v>114.75</v>
      </c>
      <c r="I493" s="15">
        <v>83</v>
      </c>
      <c r="J493" s="15"/>
      <c r="K493" s="15">
        <v>57</v>
      </c>
      <c r="L493" s="15"/>
      <c r="M493" s="15"/>
      <c r="N493" s="15">
        <v>73</v>
      </c>
      <c r="O493" s="15">
        <v>333.75</v>
      </c>
      <c r="P493" s="15">
        <v>546.75</v>
      </c>
    </row>
    <row r="494" ht="14.25" spans="1:16">
      <c r="A494" s="13">
        <v>493</v>
      </c>
      <c r="B494" s="15">
        <v>10</v>
      </c>
      <c r="C494" s="16">
        <v>54</v>
      </c>
      <c r="D494" s="17" t="s">
        <v>996</v>
      </c>
      <c r="E494" s="17" t="s">
        <v>997</v>
      </c>
      <c r="F494" s="15">
        <v>108.5</v>
      </c>
      <c r="G494" s="15">
        <v>121.5</v>
      </c>
      <c r="H494" s="15">
        <v>121.75</v>
      </c>
      <c r="I494" s="15">
        <v>84.5</v>
      </c>
      <c r="J494" s="15"/>
      <c r="K494" s="15">
        <v>57</v>
      </c>
      <c r="L494" s="15"/>
      <c r="M494" s="15"/>
      <c r="N494" s="15">
        <v>59</v>
      </c>
      <c r="O494" s="15">
        <v>351.75</v>
      </c>
      <c r="P494" s="15">
        <v>552.25</v>
      </c>
    </row>
    <row r="495" ht="14.25" spans="1:16">
      <c r="A495" s="13">
        <v>494</v>
      </c>
      <c r="B495" s="15">
        <v>10</v>
      </c>
      <c r="C495" s="16">
        <v>55</v>
      </c>
      <c r="D495" s="17" t="s">
        <v>998</v>
      </c>
      <c r="E495" s="17" t="s">
        <v>999</v>
      </c>
      <c r="F495" s="15">
        <v>108.75</v>
      </c>
      <c r="G495" s="15">
        <v>98.5</v>
      </c>
      <c r="H495" s="15">
        <v>117.25</v>
      </c>
      <c r="I495" s="15">
        <v>55</v>
      </c>
      <c r="J495" s="15"/>
      <c r="K495" s="15">
        <v>53</v>
      </c>
      <c r="L495" s="15"/>
      <c r="M495" s="15"/>
      <c r="N495" s="15">
        <v>55.5</v>
      </c>
      <c r="O495" s="15">
        <v>324.5</v>
      </c>
      <c r="P495" s="15">
        <v>488</v>
      </c>
    </row>
    <row r="496" ht="14.25" spans="1:16">
      <c r="A496" s="13">
        <v>495</v>
      </c>
      <c r="B496" s="15">
        <v>10</v>
      </c>
      <c r="C496" s="16">
        <v>56</v>
      </c>
      <c r="D496" s="17" t="s">
        <v>1000</v>
      </c>
      <c r="E496" s="17" t="s">
        <v>1001</v>
      </c>
      <c r="F496" s="15">
        <v>99</v>
      </c>
      <c r="G496" s="15">
        <v>136</v>
      </c>
      <c r="H496" s="15">
        <v>107</v>
      </c>
      <c r="I496" s="15">
        <v>89</v>
      </c>
      <c r="J496" s="15"/>
      <c r="K496" s="15">
        <v>61</v>
      </c>
      <c r="L496" s="15"/>
      <c r="M496" s="15"/>
      <c r="N496" s="15">
        <v>60</v>
      </c>
      <c r="O496" s="15">
        <v>342</v>
      </c>
      <c r="P496" s="15">
        <v>552</v>
      </c>
    </row>
    <row r="497" ht="14.25" spans="1:16">
      <c r="A497" s="13">
        <v>496</v>
      </c>
      <c r="B497" s="15">
        <v>10</v>
      </c>
      <c r="C497" s="16">
        <v>57</v>
      </c>
      <c r="D497" s="17" t="s">
        <v>1002</v>
      </c>
      <c r="E497" s="17" t="s">
        <v>1003</v>
      </c>
      <c r="F497" s="15">
        <v>98.25</v>
      </c>
      <c r="G497" s="15">
        <v>118.5</v>
      </c>
      <c r="H497" s="15">
        <v>110</v>
      </c>
      <c r="I497" s="15">
        <v>63</v>
      </c>
      <c r="J497" s="15"/>
      <c r="K497" s="15">
        <v>50.5</v>
      </c>
      <c r="L497" s="15"/>
      <c r="M497" s="15"/>
      <c r="N497" s="15">
        <v>64</v>
      </c>
      <c r="O497" s="15">
        <v>326.75</v>
      </c>
      <c r="P497" s="15">
        <v>504.25</v>
      </c>
    </row>
    <row r="498" ht="14.25" spans="1:16">
      <c r="A498" s="13">
        <v>497</v>
      </c>
      <c r="B498" s="15">
        <v>11</v>
      </c>
      <c r="C498" s="16">
        <v>1</v>
      </c>
      <c r="D498" s="17" t="s">
        <v>1004</v>
      </c>
      <c r="E498" s="17" t="s">
        <v>1005</v>
      </c>
      <c r="F498" s="15">
        <v>93</v>
      </c>
      <c r="G498" s="15">
        <v>110</v>
      </c>
      <c r="H498" s="15">
        <v>105.75</v>
      </c>
      <c r="I498" s="15">
        <v>58.5</v>
      </c>
      <c r="J498" s="15"/>
      <c r="K498" s="15">
        <v>49</v>
      </c>
      <c r="L498" s="15"/>
      <c r="M498" s="15"/>
      <c r="N498" s="15">
        <v>56</v>
      </c>
      <c r="O498" s="15">
        <v>308.75</v>
      </c>
      <c r="P498" s="15">
        <v>472.25</v>
      </c>
    </row>
    <row r="499" ht="14.25" spans="1:16">
      <c r="A499" s="13">
        <v>498</v>
      </c>
      <c r="B499" s="15">
        <v>11</v>
      </c>
      <c r="C499" s="16">
        <v>2</v>
      </c>
      <c r="D499" s="17" t="s">
        <v>1006</v>
      </c>
      <c r="E499" s="17" t="s">
        <v>1007</v>
      </c>
      <c r="F499" s="15">
        <v>103.5</v>
      </c>
      <c r="G499" s="15">
        <v>105.5</v>
      </c>
      <c r="H499" s="15">
        <v>92.5</v>
      </c>
      <c r="I499" s="15">
        <v>37.5</v>
      </c>
      <c r="J499" s="15"/>
      <c r="K499" s="15">
        <v>44</v>
      </c>
      <c r="L499" s="15"/>
      <c r="M499" s="15"/>
      <c r="N499" s="15">
        <v>48</v>
      </c>
      <c r="O499" s="15">
        <v>301.5</v>
      </c>
      <c r="P499" s="15">
        <v>431</v>
      </c>
    </row>
    <row r="500" ht="14.25" spans="1:16">
      <c r="A500" s="13">
        <v>499</v>
      </c>
      <c r="B500" s="15">
        <v>11</v>
      </c>
      <c r="C500" s="16">
        <v>3</v>
      </c>
      <c r="D500" s="17" t="s">
        <v>1008</v>
      </c>
      <c r="E500" s="17" t="s">
        <v>1009</v>
      </c>
      <c r="F500" s="15">
        <v>90.5</v>
      </c>
      <c r="G500" s="15">
        <v>81.5</v>
      </c>
      <c r="H500" s="15">
        <v>77.5</v>
      </c>
      <c r="I500" s="15">
        <v>32</v>
      </c>
      <c r="J500" s="15"/>
      <c r="K500" s="15">
        <v>48.5</v>
      </c>
      <c r="L500" s="15"/>
      <c r="M500" s="15"/>
      <c r="N500" s="15">
        <v>51</v>
      </c>
      <c r="O500" s="15">
        <v>249.5</v>
      </c>
      <c r="P500" s="15">
        <v>381</v>
      </c>
    </row>
    <row r="501" ht="14.25" spans="1:16">
      <c r="A501" s="13">
        <v>500</v>
      </c>
      <c r="B501" s="15">
        <v>11</v>
      </c>
      <c r="C501" s="16">
        <v>4</v>
      </c>
      <c r="D501" s="17" t="s">
        <v>1010</v>
      </c>
      <c r="E501" s="17" t="s">
        <v>1011</v>
      </c>
      <c r="F501" s="15">
        <v>99.5</v>
      </c>
      <c r="G501" s="15">
        <v>83.5</v>
      </c>
      <c r="H501" s="15">
        <v>86</v>
      </c>
      <c r="I501" s="15">
        <v>47</v>
      </c>
      <c r="J501" s="15"/>
      <c r="K501" s="15">
        <v>52.5</v>
      </c>
      <c r="L501" s="15"/>
      <c r="M501" s="15"/>
      <c r="N501" s="15">
        <v>40</v>
      </c>
      <c r="O501" s="15">
        <v>269</v>
      </c>
      <c r="P501" s="15">
        <v>408.5</v>
      </c>
    </row>
    <row r="502" ht="14.25" spans="1:16">
      <c r="A502" s="13">
        <v>501</v>
      </c>
      <c r="B502" s="15">
        <v>11</v>
      </c>
      <c r="C502" s="16">
        <v>5</v>
      </c>
      <c r="D502" s="17" t="s">
        <v>1012</v>
      </c>
      <c r="E502" s="17" t="s">
        <v>1013</v>
      </c>
      <c r="F502" s="15">
        <v>90</v>
      </c>
      <c r="G502" s="15">
        <v>75</v>
      </c>
      <c r="H502" s="15">
        <v>76.5</v>
      </c>
      <c r="I502" s="15">
        <v>51.5</v>
      </c>
      <c r="J502" s="15"/>
      <c r="K502" s="15">
        <v>31</v>
      </c>
      <c r="L502" s="15"/>
      <c r="M502" s="15"/>
      <c r="N502" s="15">
        <v>40</v>
      </c>
      <c r="O502" s="15">
        <v>241.5</v>
      </c>
      <c r="P502" s="15">
        <v>364</v>
      </c>
    </row>
    <row r="503" ht="14.25" spans="1:16">
      <c r="A503" s="13">
        <v>502</v>
      </c>
      <c r="B503" s="15">
        <v>11</v>
      </c>
      <c r="C503" s="16">
        <v>6</v>
      </c>
      <c r="D503" s="17" t="s">
        <v>1014</v>
      </c>
      <c r="E503" s="17" t="s">
        <v>1015</v>
      </c>
      <c r="F503" s="15">
        <v>92.75</v>
      </c>
      <c r="G503" s="15">
        <v>107.5</v>
      </c>
      <c r="H503" s="15">
        <v>83.5</v>
      </c>
      <c r="I503" s="15">
        <v>64.5</v>
      </c>
      <c r="J503" s="15"/>
      <c r="K503" s="15">
        <v>45.5</v>
      </c>
      <c r="L503" s="15"/>
      <c r="M503" s="15"/>
      <c r="N503" s="15">
        <v>64</v>
      </c>
      <c r="O503" s="15">
        <v>283.75</v>
      </c>
      <c r="P503" s="15">
        <v>457.75</v>
      </c>
    </row>
    <row r="504" ht="14.25" spans="1:16">
      <c r="A504" s="13">
        <v>503</v>
      </c>
      <c r="B504" s="15">
        <v>11</v>
      </c>
      <c r="C504" s="16">
        <v>7</v>
      </c>
      <c r="D504" s="17" t="s">
        <v>1016</v>
      </c>
      <c r="E504" s="17" t="s">
        <v>1017</v>
      </c>
      <c r="F504" s="15">
        <v>101</v>
      </c>
      <c r="G504" s="15">
        <v>21.5</v>
      </c>
      <c r="H504" s="15">
        <v>38</v>
      </c>
      <c r="I504" s="15">
        <v>14</v>
      </c>
      <c r="J504" s="15"/>
      <c r="K504" s="15">
        <v>17</v>
      </c>
      <c r="L504" s="15"/>
      <c r="M504" s="15"/>
      <c r="N504" s="15">
        <v>27</v>
      </c>
      <c r="O504" s="15">
        <v>160.5</v>
      </c>
      <c r="P504" s="15">
        <v>218.5</v>
      </c>
    </row>
    <row r="505" ht="14.25" spans="1:16">
      <c r="A505" s="13">
        <v>504</v>
      </c>
      <c r="B505" s="15">
        <v>11</v>
      </c>
      <c r="C505" s="16">
        <v>8</v>
      </c>
      <c r="D505" s="17" t="s">
        <v>1018</v>
      </c>
      <c r="E505" s="17" t="s">
        <v>1019</v>
      </c>
      <c r="F505" s="15">
        <v>93</v>
      </c>
      <c r="G505" s="15">
        <v>100</v>
      </c>
      <c r="H505" s="15">
        <v>80.75</v>
      </c>
      <c r="I505" s="15">
        <v>57.5</v>
      </c>
      <c r="J505" s="15"/>
      <c r="K505" s="15">
        <v>50</v>
      </c>
      <c r="L505" s="15"/>
      <c r="M505" s="15"/>
      <c r="N505" s="15">
        <v>69</v>
      </c>
      <c r="O505" s="15">
        <v>273.75</v>
      </c>
      <c r="P505" s="15">
        <v>450.25</v>
      </c>
    </row>
    <row r="506" ht="14.25" spans="1:16">
      <c r="A506" s="13">
        <v>505</v>
      </c>
      <c r="B506" s="15">
        <v>11</v>
      </c>
      <c r="C506" s="16">
        <v>9</v>
      </c>
      <c r="D506" s="17" t="s">
        <v>1020</v>
      </c>
      <c r="E506" s="17" t="s">
        <v>1021</v>
      </c>
      <c r="F506" s="15">
        <v>92.5</v>
      </c>
      <c r="G506" s="15">
        <v>100</v>
      </c>
      <c r="H506" s="15">
        <v>100</v>
      </c>
      <c r="I506" s="15">
        <v>49.5</v>
      </c>
      <c r="J506" s="15"/>
      <c r="K506" s="15">
        <v>49.5</v>
      </c>
      <c r="L506" s="15"/>
      <c r="M506" s="15"/>
      <c r="N506" s="15">
        <v>53.5</v>
      </c>
      <c r="O506" s="15">
        <v>292.5</v>
      </c>
      <c r="P506" s="15">
        <v>445</v>
      </c>
    </row>
    <row r="507" ht="14.25" spans="1:16">
      <c r="A507" s="13">
        <v>506</v>
      </c>
      <c r="B507" s="15">
        <v>11</v>
      </c>
      <c r="C507" s="16">
        <v>10</v>
      </c>
      <c r="D507" s="17" t="s">
        <v>1022</v>
      </c>
      <c r="E507" s="17" t="s">
        <v>1023</v>
      </c>
      <c r="F507" s="15">
        <v>98.5</v>
      </c>
      <c r="G507" s="15">
        <v>82</v>
      </c>
      <c r="H507" s="15">
        <v>99.5</v>
      </c>
      <c r="I507" s="15">
        <v>48.5</v>
      </c>
      <c r="J507" s="15"/>
      <c r="K507" s="15">
        <v>31</v>
      </c>
      <c r="L507" s="15"/>
      <c r="M507" s="15"/>
      <c r="N507" s="15">
        <v>46</v>
      </c>
      <c r="O507" s="15">
        <v>280</v>
      </c>
      <c r="P507" s="15">
        <v>405.5</v>
      </c>
    </row>
    <row r="508" ht="14.25" spans="1:16">
      <c r="A508" s="13">
        <v>507</v>
      </c>
      <c r="B508" s="15">
        <v>11</v>
      </c>
      <c r="C508" s="16">
        <v>11</v>
      </c>
      <c r="D508" s="17" t="s">
        <v>1024</v>
      </c>
      <c r="E508" s="17" t="s">
        <v>1025</v>
      </c>
      <c r="F508" s="15">
        <v>95</v>
      </c>
      <c r="G508" s="15">
        <v>118</v>
      </c>
      <c r="H508" s="15">
        <v>101.5</v>
      </c>
      <c r="I508" s="15">
        <v>45</v>
      </c>
      <c r="J508" s="15"/>
      <c r="K508" s="15">
        <v>42</v>
      </c>
      <c r="L508" s="15"/>
      <c r="M508" s="15"/>
      <c r="N508" s="15">
        <v>51</v>
      </c>
      <c r="O508" s="15">
        <v>314.5</v>
      </c>
      <c r="P508" s="15">
        <v>452.5</v>
      </c>
    </row>
    <row r="509" ht="14.25" spans="1:16">
      <c r="A509" s="13">
        <v>508</v>
      </c>
      <c r="B509" s="15">
        <v>11</v>
      </c>
      <c r="C509" s="16">
        <v>12</v>
      </c>
      <c r="D509" s="17" t="s">
        <v>1026</v>
      </c>
      <c r="E509" s="17" t="s">
        <v>1027</v>
      </c>
      <c r="F509" s="15">
        <v>94</v>
      </c>
      <c r="G509" s="15">
        <v>124</v>
      </c>
      <c r="H509" s="15">
        <v>103</v>
      </c>
      <c r="I509" s="15">
        <v>62.5</v>
      </c>
      <c r="J509" s="15"/>
      <c r="K509" s="15">
        <v>47</v>
      </c>
      <c r="L509" s="15"/>
      <c r="M509" s="15"/>
      <c r="N509" s="15">
        <v>45.5</v>
      </c>
      <c r="O509" s="15">
        <v>321</v>
      </c>
      <c r="P509" s="15">
        <v>476</v>
      </c>
    </row>
    <row r="510" ht="14.25" spans="1:16">
      <c r="A510" s="13">
        <v>509</v>
      </c>
      <c r="B510" s="15">
        <v>11</v>
      </c>
      <c r="C510" s="16">
        <v>13</v>
      </c>
      <c r="D510" s="17" t="s">
        <v>1028</v>
      </c>
      <c r="E510" s="17" t="s">
        <v>1029</v>
      </c>
      <c r="F510" s="15">
        <v>99.5</v>
      </c>
      <c r="G510" s="15">
        <v>92.5</v>
      </c>
      <c r="H510" s="15">
        <v>86.75</v>
      </c>
      <c r="I510" s="15">
        <v>40</v>
      </c>
      <c r="J510" s="15"/>
      <c r="K510" s="15">
        <v>31</v>
      </c>
      <c r="L510" s="15"/>
      <c r="M510" s="15"/>
      <c r="N510" s="15">
        <v>55</v>
      </c>
      <c r="O510" s="15">
        <v>278.75</v>
      </c>
      <c r="P510" s="15">
        <v>404.75</v>
      </c>
    </row>
    <row r="511" ht="14.25" spans="1:16">
      <c r="A511" s="13">
        <v>510</v>
      </c>
      <c r="B511" s="15">
        <v>11</v>
      </c>
      <c r="C511" s="16">
        <v>14</v>
      </c>
      <c r="D511" s="17" t="s">
        <v>1030</v>
      </c>
      <c r="E511" s="17" t="s">
        <v>1031</v>
      </c>
      <c r="F511" s="15">
        <v>101.5</v>
      </c>
      <c r="G511" s="15">
        <v>94.5</v>
      </c>
      <c r="H511" s="15">
        <v>94.75</v>
      </c>
      <c r="I511" s="15">
        <v>56</v>
      </c>
      <c r="J511" s="15"/>
      <c r="K511" s="15">
        <v>46.5</v>
      </c>
      <c r="L511" s="15"/>
      <c r="M511" s="15"/>
      <c r="N511" s="15">
        <v>57</v>
      </c>
      <c r="O511" s="15">
        <v>290.75</v>
      </c>
      <c r="P511" s="15">
        <v>450.25</v>
      </c>
    </row>
    <row r="512" ht="14.25" spans="1:16">
      <c r="A512" s="13">
        <v>511</v>
      </c>
      <c r="B512" s="15">
        <v>11</v>
      </c>
      <c r="C512" s="16">
        <v>15</v>
      </c>
      <c r="D512" s="17" t="s">
        <v>1032</v>
      </c>
      <c r="E512" s="17" t="s">
        <v>1033</v>
      </c>
      <c r="F512" s="15">
        <v>96</v>
      </c>
      <c r="G512" s="15">
        <v>87.5</v>
      </c>
      <c r="H512" s="15">
        <v>96.25</v>
      </c>
      <c r="I512" s="15">
        <v>40.5</v>
      </c>
      <c r="J512" s="15"/>
      <c r="K512" s="15">
        <v>41.5</v>
      </c>
      <c r="L512" s="15"/>
      <c r="M512" s="15"/>
      <c r="N512" s="15">
        <v>49</v>
      </c>
      <c r="O512" s="15">
        <v>279.75</v>
      </c>
      <c r="P512" s="15">
        <v>410.75</v>
      </c>
    </row>
    <row r="513" ht="14.25" spans="1:16">
      <c r="A513" s="13">
        <v>512</v>
      </c>
      <c r="B513" s="15">
        <v>11</v>
      </c>
      <c r="C513" s="16">
        <v>16</v>
      </c>
      <c r="D513" s="17" t="s">
        <v>1034</v>
      </c>
      <c r="E513" s="17" t="s">
        <v>1035</v>
      </c>
      <c r="F513" s="15">
        <v>85.5</v>
      </c>
      <c r="G513" s="15">
        <v>70</v>
      </c>
      <c r="H513" s="15">
        <v>64</v>
      </c>
      <c r="I513" s="15">
        <v>35</v>
      </c>
      <c r="J513" s="15"/>
      <c r="K513" s="15">
        <v>21.5</v>
      </c>
      <c r="L513" s="15"/>
      <c r="M513" s="15"/>
      <c r="N513" s="15">
        <v>33.5</v>
      </c>
      <c r="O513" s="15">
        <v>219.5</v>
      </c>
      <c r="P513" s="15">
        <v>309.5</v>
      </c>
    </row>
    <row r="514" ht="14.25" spans="1:16">
      <c r="A514" s="13">
        <v>513</v>
      </c>
      <c r="B514" s="15">
        <v>11</v>
      </c>
      <c r="C514" s="16">
        <v>17</v>
      </c>
      <c r="D514" s="17" t="s">
        <v>1036</v>
      </c>
      <c r="E514" s="17" t="s">
        <v>1037</v>
      </c>
      <c r="F514" s="15">
        <v>102</v>
      </c>
      <c r="G514" s="15">
        <v>104</v>
      </c>
      <c r="H514" s="15">
        <v>113</v>
      </c>
      <c r="I514" s="15">
        <v>24</v>
      </c>
      <c r="J514" s="15"/>
      <c r="K514" s="15">
        <v>47.5</v>
      </c>
      <c r="L514" s="15"/>
      <c r="M514" s="15"/>
      <c r="N514" s="15">
        <v>45.5</v>
      </c>
      <c r="O514" s="15">
        <v>319</v>
      </c>
      <c r="P514" s="15">
        <v>436</v>
      </c>
    </row>
    <row r="515" ht="14.25" spans="1:16">
      <c r="A515" s="13">
        <v>514</v>
      </c>
      <c r="B515" s="15">
        <v>11</v>
      </c>
      <c r="C515" s="16">
        <v>18</v>
      </c>
      <c r="D515" s="19" t="s">
        <v>1038</v>
      </c>
      <c r="E515" s="17" t="s">
        <v>1039</v>
      </c>
      <c r="F515" s="15">
        <v>103.5</v>
      </c>
      <c r="G515" s="15">
        <v>128</v>
      </c>
      <c r="H515" s="15">
        <v>118</v>
      </c>
      <c r="I515" s="15">
        <v>63</v>
      </c>
      <c r="J515" s="15"/>
      <c r="K515" s="15">
        <v>35</v>
      </c>
      <c r="L515" s="15"/>
      <c r="M515" s="15"/>
      <c r="N515" s="15">
        <v>52</v>
      </c>
      <c r="O515" s="15">
        <v>349.5</v>
      </c>
      <c r="P515" s="15">
        <v>499.5</v>
      </c>
    </row>
    <row r="516" ht="14.25" spans="1:16">
      <c r="A516" s="13">
        <v>515</v>
      </c>
      <c r="B516" s="15">
        <v>11</v>
      </c>
      <c r="C516" s="16">
        <v>19</v>
      </c>
      <c r="D516" s="17" t="s">
        <v>1040</v>
      </c>
      <c r="E516" s="17" t="s">
        <v>1041</v>
      </c>
      <c r="F516" s="15">
        <v>107.5</v>
      </c>
      <c r="G516" s="15">
        <v>115.5</v>
      </c>
      <c r="H516" s="15">
        <v>99.5</v>
      </c>
      <c r="I516" s="15">
        <v>41.5</v>
      </c>
      <c r="J516" s="15"/>
      <c r="K516" s="15">
        <v>48</v>
      </c>
      <c r="L516" s="15"/>
      <c r="M516" s="15"/>
      <c r="N516" s="15">
        <v>66.5</v>
      </c>
      <c r="O516" s="15">
        <v>322.5</v>
      </c>
      <c r="P516" s="15">
        <v>478.5</v>
      </c>
    </row>
    <row r="517" ht="14.25" spans="1:16">
      <c r="A517" s="13">
        <v>516</v>
      </c>
      <c r="B517" s="15">
        <v>11</v>
      </c>
      <c r="C517" s="16">
        <v>20</v>
      </c>
      <c r="D517" s="17" t="s">
        <v>1042</v>
      </c>
      <c r="E517" s="17" t="s">
        <v>1043</v>
      </c>
      <c r="F517" s="15">
        <v>92.5</v>
      </c>
      <c r="G517" s="15">
        <v>121</v>
      </c>
      <c r="H517" s="15">
        <v>113.5</v>
      </c>
      <c r="I517" s="15">
        <v>60</v>
      </c>
      <c r="J517" s="15"/>
      <c r="K517" s="15">
        <v>48</v>
      </c>
      <c r="L517" s="15"/>
      <c r="M517" s="15"/>
      <c r="N517" s="15">
        <v>53.5</v>
      </c>
      <c r="O517" s="15">
        <v>327</v>
      </c>
      <c r="P517" s="15">
        <v>488.5</v>
      </c>
    </row>
    <row r="518" ht="14.25" spans="1:16">
      <c r="A518" s="13">
        <v>517</v>
      </c>
      <c r="B518" s="15">
        <v>11</v>
      </c>
      <c r="C518" s="16">
        <v>21</v>
      </c>
      <c r="D518" s="17" t="s">
        <v>1044</v>
      </c>
      <c r="E518" s="17" t="s">
        <v>1045</v>
      </c>
      <c r="F518" s="15">
        <v>105</v>
      </c>
      <c r="G518" s="15">
        <v>98</v>
      </c>
      <c r="H518" s="15">
        <v>95</v>
      </c>
      <c r="I518" s="15">
        <v>50</v>
      </c>
      <c r="J518" s="15"/>
      <c r="K518" s="15">
        <v>48</v>
      </c>
      <c r="L518" s="15"/>
      <c r="M518" s="15"/>
      <c r="N518" s="15">
        <v>53.5</v>
      </c>
      <c r="O518" s="15">
        <v>298</v>
      </c>
      <c r="P518" s="15">
        <v>449.5</v>
      </c>
    </row>
    <row r="519" ht="14.25" spans="1:16">
      <c r="A519" s="13">
        <v>518</v>
      </c>
      <c r="B519" s="15">
        <v>11</v>
      </c>
      <c r="C519" s="16">
        <v>22</v>
      </c>
      <c r="D519" s="17" t="s">
        <v>1046</v>
      </c>
      <c r="E519" s="17" t="s">
        <v>1047</v>
      </c>
      <c r="F519" s="15">
        <v>94.5</v>
      </c>
      <c r="G519" s="15">
        <v>84</v>
      </c>
      <c r="H519" s="15">
        <v>99.5</v>
      </c>
      <c r="I519" s="15">
        <v>62.5</v>
      </c>
      <c r="J519" s="15"/>
      <c r="K519" s="15">
        <v>50.5</v>
      </c>
      <c r="L519" s="15"/>
      <c r="M519" s="15"/>
      <c r="N519" s="15">
        <v>56.5</v>
      </c>
      <c r="O519" s="15">
        <v>278</v>
      </c>
      <c r="P519" s="15">
        <v>447.5</v>
      </c>
    </row>
    <row r="520" ht="14.25" spans="1:16">
      <c r="A520" s="13">
        <v>519</v>
      </c>
      <c r="B520" s="15">
        <v>11</v>
      </c>
      <c r="C520" s="16">
        <v>24</v>
      </c>
      <c r="D520" s="17" t="s">
        <v>1048</v>
      </c>
      <c r="E520" s="17" t="s">
        <v>1049</v>
      </c>
      <c r="F520" s="15">
        <v>99.5</v>
      </c>
      <c r="G520" s="15">
        <v>108</v>
      </c>
      <c r="H520" s="15">
        <v>103</v>
      </c>
      <c r="I520" s="15">
        <v>51</v>
      </c>
      <c r="J520" s="15"/>
      <c r="K520" s="15">
        <v>51.5</v>
      </c>
      <c r="L520" s="15"/>
      <c r="M520" s="15"/>
      <c r="N520" s="15">
        <v>48.5</v>
      </c>
      <c r="O520" s="15">
        <v>310.5</v>
      </c>
      <c r="P520" s="15">
        <v>461.5</v>
      </c>
    </row>
    <row r="521" ht="14.25" spans="1:16">
      <c r="A521" s="13">
        <v>520</v>
      </c>
      <c r="B521" s="15">
        <v>11</v>
      </c>
      <c r="C521" s="16">
        <v>25</v>
      </c>
      <c r="D521" s="17" t="s">
        <v>1050</v>
      </c>
      <c r="E521" s="17" t="s">
        <v>1051</v>
      </c>
      <c r="F521" s="15">
        <v>99</v>
      </c>
      <c r="G521" s="15">
        <v>102.5</v>
      </c>
      <c r="H521" s="15">
        <v>101.25</v>
      </c>
      <c r="I521" s="15">
        <v>23</v>
      </c>
      <c r="J521" s="15"/>
      <c r="K521" s="15">
        <v>36.5</v>
      </c>
      <c r="L521" s="15"/>
      <c r="M521" s="15"/>
      <c r="N521" s="15">
        <v>44</v>
      </c>
      <c r="O521" s="15">
        <v>302.75</v>
      </c>
      <c r="P521" s="15">
        <v>406.25</v>
      </c>
    </row>
    <row r="522" ht="14.25" spans="1:16">
      <c r="A522" s="13">
        <v>521</v>
      </c>
      <c r="B522" s="15">
        <v>11</v>
      </c>
      <c r="C522" s="16">
        <v>26</v>
      </c>
      <c r="D522" s="17" t="s">
        <v>1052</v>
      </c>
      <c r="E522" s="17" t="s">
        <v>1053</v>
      </c>
      <c r="F522" s="15">
        <v>98.5</v>
      </c>
      <c r="G522" s="15">
        <v>96</v>
      </c>
      <c r="H522" s="15">
        <v>87.5</v>
      </c>
      <c r="I522" s="15">
        <v>31</v>
      </c>
      <c r="J522" s="15"/>
      <c r="K522" s="15">
        <v>22.5</v>
      </c>
      <c r="L522" s="15"/>
      <c r="M522" s="15"/>
      <c r="N522" s="15">
        <v>42</v>
      </c>
      <c r="O522" s="15">
        <v>282</v>
      </c>
      <c r="P522" s="15">
        <v>377.5</v>
      </c>
    </row>
    <row r="523" ht="14.25" spans="1:16">
      <c r="A523" s="13">
        <v>522</v>
      </c>
      <c r="B523" s="15">
        <v>11</v>
      </c>
      <c r="C523" s="16">
        <v>27</v>
      </c>
      <c r="D523" s="17" t="s">
        <v>1054</v>
      </c>
      <c r="E523" s="17" t="s">
        <v>1055</v>
      </c>
      <c r="F523" s="15">
        <v>116</v>
      </c>
      <c r="G523" s="15">
        <v>101</v>
      </c>
      <c r="H523" s="15">
        <v>99.5</v>
      </c>
      <c r="I523" s="15">
        <v>35.5</v>
      </c>
      <c r="J523" s="15"/>
      <c r="K523" s="15">
        <v>55</v>
      </c>
      <c r="L523" s="15"/>
      <c r="M523" s="15"/>
      <c r="N523" s="15">
        <v>57</v>
      </c>
      <c r="O523" s="15">
        <v>316.5</v>
      </c>
      <c r="P523" s="15">
        <v>464</v>
      </c>
    </row>
    <row r="524" ht="14.25" spans="1:16">
      <c r="A524" s="13">
        <v>523</v>
      </c>
      <c r="B524" s="15">
        <v>11</v>
      </c>
      <c r="C524" s="16">
        <v>28</v>
      </c>
      <c r="D524" s="17" t="s">
        <v>1056</v>
      </c>
      <c r="E524" s="17" t="s">
        <v>1057</v>
      </c>
      <c r="F524" s="15">
        <v>99</v>
      </c>
      <c r="G524" s="15">
        <v>86.5</v>
      </c>
      <c r="H524" s="15">
        <v>106.25</v>
      </c>
      <c r="I524" s="15">
        <v>51.5</v>
      </c>
      <c r="J524" s="15"/>
      <c r="K524" s="15">
        <v>33.5</v>
      </c>
      <c r="L524" s="15"/>
      <c r="M524" s="15"/>
      <c r="N524" s="15">
        <v>35.5</v>
      </c>
      <c r="O524" s="15">
        <v>291.75</v>
      </c>
      <c r="P524" s="15">
        <v>412.25</v>
      </c>
    </row>
    <row r="525" ht="14.25" spans="1:16">
      <c r="A525" s="13">
        <v>524</v>
      </c>
      <c r="B525" s="15">
        <v>11</v>
      </c>
      <c r="C525" s="16">
        <v>29</v>
      </c>
      <c r="D525" s="17" t="s">
        <v>1058</v>
      </c>
      <c r="E525" s="17" t="s">
        <v>1059</v>
      </c>
      <c r="F525" s="15">
        <v>103</v>
      </c>
      <c r="G525" s="15">
        <v>102.5</v>
      </c>
      <c r="H525" s="15">
        <v>100.75</v>
      </c>
      <c r="I525" s="15">
        <v>57.5</v>
      </c>
      <c r="J525" s="15"/>
      <c r="K525" s="15">
        <v>40.5</v>
      </c>
      <c r="L525" s="15"/>
      <c r="M525" s="15"/>
      <c r="N525" s="15">
        <v>48.5</v>
      </c>
      <c r="O525" s="15">
        <v>306.25</v>
      </c>
      <c r="P525" s="15">
        <v>452.75</v>
      </c>
    </row>
    <row r="526" ht="14.25" spans="1:16">
      <c r="A526" s="13">
        <v>525</v>
      </c>
      <c r="B526" s="15">
        <v>11</v>
      </c>
      <c r="C526" s="16">
        <v>30</v>
      </c>
      <c r="D526" s="17" t="s">
        <v>1060</v>
      </c>
      <c r="E526" s="17" t="s">
        <v>1061</v>
      </c>
      <c r="F526" s="15">
        <v>95.5</v>
      </c>
      <c r="G526" s="15">
        <v>93.5</v>
      </c>
      <c r="H526" s="15">
        <v>110.25</v>
      </c>
      <c r="I526" s="15">
        <v>55.5</v>
      </c>
      <c r="J526" s="15"/>
      <c r="K526" s="15">
        <v>47.5</v>
      </c>
      <c r="L526" s="15"/>
      <c r="M526" s="15"/>
      <c r="N526" s="15">
        <v>43</v>
      </c>
      <c r="O526" s="15">
        <v>299.25</v>
      </c>
      <c r="P526" s="15">
        <v>445.25</v>
      </c>
    </row>
    <row r="527" ht="14.25" spans="1:16">
      <c r="A527" s="13">
        <v>526</v>
      </c>
      <c r="B527" s="15">
        <v>11</v>
      </c>
      <c r="C527" s="16">
        <v>31</v>
      </c>
      <c r="D527" s="17" t="s">
        <v>1062</v>
      </c>
      <c r="E527" s="17" t="s">
        <v>630</v>
      </c>
      <c r="F527" s="15">
        <v>88.5</v>
      </c>
      <c r="G527" s="15">
        <v>101</v>
      </c>
      <c r="H527" s="15">
        <v>54.5</v>
      </c>
      <c r="I527" s="15">
        <v>57</v>
      </c>
      <c r="J527" s="15"/>
      <c r="K527" s="15">
        <v>49.5</v>
      </c>
      <c r="L527" s="15"/>
      <c r="M527" s="15"/>
      <c r="N527" s="15">
        <v>51</v>
      </c>
      <c r="O527" s="15">
        <v>244</v>
      </c>
      <c r="P527" s="15">
        <v>401.5</v>
      </c>
    </row>
    <row r="528" ht="14.25" spans="1:16">
      <c r="A528" s="13">
        <v>527</v>
      </c>
      <c r="B528" s="15">
        <v>11</v>
      </c>
      <c r="C528" s="16">
        <v>32</v>
      </c>
      <c r="D528" s="17" t="s">
        <v>1063</v>
      </c>
      <c r="E528" s="17" t="s">
        <v>1064</v>
      </c>
      <c r="F528" s="15">
        <v>97</v>
      </c>
      <c r="G528" s="15">
        <v>122</v>
      </c>
      <c r="H528" s="15">
        <v>99</v>
      </c>
      <c r="I528" s="15">
        <v>47</v>
      </c>
      <c r="J528" s="15"/>
      <c r="K528" s="15">
        <v>42</v>
      </c>
      <c r="L528" s="15"/>
      <c r="M528" s="15"/>
      <c r="N528" s="15">
        <v>52</v>
      </c>
      <c r="O528" s="15">
        <v>318</v>
      </c>
      <c r="P528" s="15">
        <v>459</v>
      </c>
    </row>
    <row r="529" ht="14.25" spans="1:16">
      <c r="A529" s="13">
        <v>528</v>
      </c>
      <c r="B529" s="15">
        <v>11</v>
      </c>
      <c r="C529" s="16">
        <v>33</v>
      </c>
      <c r="D529" s="17" t="s">
        <v>1065</v>
      </c>
      <c r="E529" s="17" t="s">
        <v>1066</v>
      </c>
      <c r="F529" s="15">
        <v>95</v>
      </c>
      <c r="G529" s="15">
        <v>117</v>
      </c>
      <c r="H529" s="15">
        <v>93</v>
      </c>
      <c r="I529" s="15">
        <v>49.5</v>
      </c>
      <c r="J529" s="15"/>
      <c r="K529" s="15">
        <v>50</v>
      </c>
      <c r="L529" s="15"/>
      <c r="M529" s="15"/>
      <c r="N529" s="15">
        <v>54.5</v>
      </c>
      <c r="O529" s="15">
        <v>305</v>
      </c>
      <c r="P529" s="15">
        <v>459</v>
      </c>
    </row>
    <row r="530" ht="14.25" spans="1:16">
      <c r="A530" s="13">
        <v>529</v>
      </c>
      <c r="B530" s="15">
        <v>11</v>
      </c>
      <c r="C530" s="16">
        <v>34</v>
      </c>
      <c r="D530" s="17" t="s">
        <v>1067</v>
      </c>
      <c r="E530" s="17" t="s">
        <v>1068</v>
      </c>
      <c r="F530" s="15">
        <v>91</v>
      </c>
      <c r="G530" s="15">
        <v>91</v>
      </c>
      <c r="H530" s="15">
        <v>84</v>
      </c>
      <c r="I530" s="15">
        <v>42.5</v>
      </c>
      <c r="J530" s="15"/>
      <c r="K530" s="15">
        <v>44.25</v>
      </c>
      <c r="L530" s="15"/>
      <c r="M530" s="15"/>
      <c r="N530" s="15">
        <v>49</v>
      </c>
      <c r="O530" s="15">
        <v>266</v>
      </c>
      <c r="P530" s="15">
        <v>401.75</v>
      </c>
    </row>
    <row r="531" ht="14.25" spans="1:16">
      <c r="A531" s="13">
        <v>530</v>
      </c>
      <c r="B531" s="15">
        <v>11</v>
      </c>
      <c r="C531" s="16">
        <v>36</v>
      </c>
      <c r="D531" s="17" t="s">
        <v>1069</v>
      </c>
      <c r="E531" s="17" t="s">
        <v>1070</v>
      </c>
      <c r="F531" s="15">
        <v>91</v>
      </c>
      <c r="G531" s="15">
        <v>113.5</v>
      </c>
      <c r="H531" s="15">
        <v>95.25</v>
      </c>
      <c r="I531" s="15">
        <v>64</v>
      </c>
      <c r="J531" s="15"/>
      <c r="K531" s="15">
        <v>55</v>
      </c>
      <c r="L531" s="15"/>
      <c r="M531" s="15"/>
      <c r="N531" s="15">
        <v>51.5</v>
      </c>
      <c r="O531" s="15">
        <v>299.75</v>
      </c>
      <c r="P531" s="15">
        <v>470.25</v>
      </c>
    </row>
    <row r="532" ht="14.25" spans="1:16">
      <c r="A532" s="13">
        <v>531</v>
      </c>
      <c r="B532" s="15">
        <v>11</v>
      </c>
      <c r="C532" s="16">
        <v>37</v>
      </c>
      <c r="D532" s="17" t="s">
        <v>1071</v>
      </c>
      <c r="E532" s="17" t="s">
        <v>1072</v>
      </c>
      <c r="F532" s="15">
        <v>95.5</v>
      </c>
      <c r="G532" s="15">
        <v>109</v>
      </c>
      <c r="H532" s="15">
        <v>117.5</v>
      </c>
      <c r="I532" s="15">
        <v>60</v>
      </c>
      <c r="J532" s="15"/>
      <c r="K532" s="15">
        <v>49.5</v>
      </c>
      <c r="L532" s="15"/>
      <c r="M532" s="15"/>
      <c r="N532" s="15">
        <v>62</v>
      </c>
      <c r="O532" s="15">
        <v>322</v>
      </c>
      <c r="P532" s="15">
        <v>493.5</v>
      </c>
    </row>
    <row r="533" ht="14.25" spans="1:16">
      <c r="A533" s="13">
        <v>532</v>
      </c>
      <c r="B533" s="15">
        <v>11</v>
      </c>
      <c r="C533" s="16">
        <v>38</v>
      </c>
      <c r="D533" s="17" t="s">
        <v>1073</v>
      </c>
      <c r="E533" s="17" t="s">
        <v>1074</v>
      </c>
      <c r="F533" s="15">
        <v>105</v>
      </c>
      <c r="G533" s="15">
        <v>111</v>
      </c>
      <c r="H533" s="15">
        <v>98.25</v>
      </c>
      <c r="I533" s="15">
        <v>59.5</v>
      </c>
      <c r="J533" s="15"/>
      <c r="K533" s="15">
        <v>53.5</v>
      </c>
      <c r="L533" s="15"/>
      <c r="M533" s="15"/>
      <c r="N533" s="15">
        <v>54.5</v>
      </c>
      <c r="O533" s="15">
        <v>314.25</v>
      </c>
      <c r="P533" s="15">
        <v>481.75</v>
      </c>
    </row>
    <row r="534" ht="14.25" spans="1:16">
      <c r="A534" s="13">
        <v>533</v>
      </c>
      <c r="B534" s="15">
        <v>11</v>
      </c>
      <c r="C534" s="16">
        <v>39</v>
      </c>
      <c r="D534" s="17" t="s">
        <v>1075</v>
      </c>
      <c r="E534" s="17" t="s">
        <v>1076</v>
      </c>
      <c r="F534" s="15">
        <v>101</v>
      </c>
      <c r="G534" s="15">
        <v>53</v>
      </c>
      <c r="H534" s="15">
        <v>76.75</v>
      </c>
      <c r="I534" s="15">
        <v>41</v>
      </c>
      <c r="J534" s="15"/>
      <c r="K534" s="15">
        <v>38</v>
      </c>
      <c r="L534" s="15"/>
      <c r="M534" s="15"/>
      <c r="N534" s="15">
        <v>62</v>
      </c>
      <c r="O534" s="15">
        <v>230.75</v>
      </c>
      <c r="P534" s="15">
        <v>371.75</v>
      </c>
    </row>
    <row r="535" ht="14.25" spans="1:16">
      <c r="A535" s="13">
        <v>534</v>
      </c>
      <c r="B535" s="15">
        <v>11</v>
      </c>
      <c r="C535" s="16">
        <v>40</v>
      </c>
      <c r="D535" s="17" t="s">
        <v>1077</v>
      </c>
      <c r="E535" s="17" t="s">
        <v>1078</v>
      </c>
      <c r="F535" s="15">
        <v>97.5</v>
      </c>
      <c r="G535" s="15">
        <v>113</v>
      </c>
      <c r="H535" s="15">
        <v>96.5</v>
      </c>
      <c r="I535" s="15">
        <v>71.5</v>
      </c>
      <c r="J535" s="15"/>
      <c r="K535" s="15">
        <v>47</v>
      </c>
      <c r="L535" s="15"/>
      <c r="M535" s="15"/>
      <c r="N535" s="15">
        <v>39</v>
      </c>
      <c r="O535" s="15">
        <v>307</v>
      </c>
      <c r="P535" s="15">
        <v>464.5</v>
      </c>
    </row>
    <row r="536" ht="14.25" spans="1:16">
      <c r="A536" s="13">
        <v>535</v>
      </c>
      <c r="B536" s="15">
        <v>11</v>
      </c>
      <c r="C536" s="16">
        <v>41</v>
      </c>
      <c r="D536" s="17" t="s">
        <v>1079</v>
      </c>
      <c r="E536" s="17" t="s">
        <v>1080</v>
      </c>
      <c r="F536" s="15">
        <v>101</v>
      </c>
      <c r="G536" s="15">
        <v>91</v>
      </c>
      <c r="H536" s="15">
        <v>88.5</v>
      </c>
      <c r="I536" s="15">
        <v>44</v>
      </c>
      <c r="J536" s="15"/>
      <c r="K536" s="15">
        <v>33</v>
      </c>
      <c r="L536" s="15"/>
      <c r="M536" s="15"/>
      <c r="N536" s="15">
        <v>43</v>
      </c>
      <c r="O536" s="15">
        <v>280.5</v>
      </c>
      <c r="P536" s="15">
        <v>400.5</v>
      </c>
    </row>
    <row r="537" ht="14.25" spans="1:16">
      <c r="A537" s="13">
        <v>536</v>
      </c>
      <c r="B537" s="15">
        <v>11</v>
      </c>
      <c r="C537" s="16">
        <v>42</v>
      </c>
      <c r="D537" s="17" t="s">
        <v>1081</v>
      </c>
      <c r="E537" s="17" t="s">
        <v>1082</v>
      </c>
      <c r="F537" s="15">
        <v>94.5</v>
      </c>
      <c r="G537" s="15">
        <v>100.5</v>
      </c>
      <c r="H537" s="15">
        <v>37.75</v>
      </c>
      <c r="I537" s="15">
        <v>54.5</v>
      </c>
      <c r="J537" s="15"/>
      <c r="K537" s="15">
        <v>29.5</v>
      </c>
      <c r="L537" s="15"/>
      <c r="M537" s="15"/>
      <c r="N537" s="15">
        <v>49.5</v>
      </c>
      <c r="O537" s="15">
        <v>232.75</v>
      </c>
      <c r="P537" s="15">
        <v>366.25</v>
      </c>
    </row>
    <row r="538" ht="14.25" spans="1:16">
      <c r="A538" s="13">
        <v>537</v>
      </c>
      <c r="B538" s="15">
        <v>11</v>
      </c>
      <c r="C538" s="16">
        <v>43</v>
      </c>
      <c r="D538" s="17" t="s">
        <v>1083</v>
      </c>
      <c r="E538" s="17" t="s">
        <v>1084</v>
      </c>
      <c r="F538" s="15">
        <v>86.75</v>
      </c>
      <c r="G538" s="15">
        <v>105.5</v>
      </c>
      <c r="H538" s="15">
        <v>72.5</v>
      </c>
      <c r="I538" s="15">
        <v>38.5</v>
      </c>
      <c r="J538" s="15"/>
      <c r="K538" s="15">
        <v>43</v>
      </c>
      <c r="L538" s="15"/>
      <c r="M538" s="15"/>
      <c r="N538" s="15">
        <v>35</v>
      </c>
      <c r="O538" s="15">
        <v>264.75</v>
      </c>
      <c r="P538" s="15">
        <v>381.25</v>
      </c>
    </row>
    <row r="539" ht="14.25" spans="1:16">
      <c r="A539" s="13">
        <v>538</v>
      </c>
      <c r="B539" s="15">
        <v>11</v>
      </c>
      <c r="C539" s="16">
        <v>44</v>
      </c>
      <c r="D539" s="17" t="s">
        <v>1085</v>
      </c>
      <c r="E539" s="17" t="s">
        <v>1029</v>
      </c>
      <c r="F539" s="15">
        <v>105</v>
      </c>
      <c r="G539" s="15">
        <v>97</v>
      </c>
      <c r="H539" s="15">
        <v>105.5</v>
      </c>
      <c r="I539" s="15">
        <v>23</v>
      </c>
      <c r="J539" s="15"/>
      <c r="K539" s="15">
        <v>53.5</v>
      </c>
      <c r="L539" s="15"/>
      <c r="M539" s="15"/>
      <c r="N539" s="15">
        <v>51.5</v>
      </c>
      <c r="O539" s="15">
        <v>307.5</v>
      </c>
      <c r="P539" s="15">
        <v>435.5</v>
      </c>
    </row>
    <row r="540" ht="14.25" spans="1:16">
      <c r="A540" s="13">
        <v>539</v>
      </c>
      <c r="B540" s="15">
        <v>11</v>
      </c>
      <c r="C540" s="16">
        <v>45</v>
      </c>
      <c r="D540" s="17" t="s">
        <v>1086</v>
      </c>
      <c r="E540" s="17" t="s">
        <v>1087</v>
      </c>
      <c r="F540" s="15">
        <v>87</v>
      </c>
      <c r="G540" s="15">
        <v>102</v>
      </c>
      <c r="H540" s="15">
        <v>105.25</v>
      </c>
      <c r="I540" s="15">
        <v>47</v>
      </c>
      <c r="J540" s="15"/>
      <c r="K540" s="15">
        <v>46</v>
      </c>
      <c r="L540" s="15"/>
      <c r="M540" s="15"/>
      <c r="N540" s="15">
        <v>51.5</v>
      </c>
      <c r="O540" s="15">
        <v>294.25</v>
      </c>
      <c r="P540" s="15">
        <v>438.75</v>
      </c>
    </row>
    <row r="541" ht="14.25" spans="1:16">
      <c r="A541" s="13">
        <v>540</v>
      </c>
      <c r="B541" s="15">
        <v>11</v>
      </c>
      <c r="C541" s="16">
        <v>46</v>
      </c>
      <c r="D541" s="17" t="s">
        <v>1088</v>
      </c>
      <c r="E541" s="17" t="s">
        <v>1089</v>
      </c>
      <c r="F541" s="15">
        <v>107</v>
      </c>
      <c r="G541" s="15">
        <v>86.5</v>
      </c>
      <c r="H541" s="15">
        <v>92.5</v>
      </c>
      <c r="I541" s="15">
        <v>50.5</v>
      </c>
      <c r="J541" s="15"/>
      <c r="K541" s="15">
        <v>45</v>
      </c>
      <c r="L541" s="15"/>
      <c r="M541" s="15"/>
      <c r="N541" s="15">
        <v>56.5</v>
      </c>
      <c r="O541" s="15">
        <v>286</v>
      </c>
      <c r="P541" s="15">
        <v>438</v>
      </c>
    </row>
    <row r="542" s="176" customFormat="1" ht="14.25" spans="1:16">
      <c r="A542" s="13">
        <v>541</v>
      </c>
      <c r="B542" s="15">
        <v>11</v>
      </c>
      <c r="C542" s="16">
        <v>47</v>
      </c>
      <c r="D542" s="17" t="s">
        <v>1090</v>
      </c>
      <c r="E542" s="17" t="s">
        <v>1091</v>
      </c>
      <c r="F542" s="15">
        <v>94</v>
      </c>
      <c r="G542" s="15">
        <v>102</v>
      </c>
      <c r="H542" s="15">
        <v>101.25</v>
      </c>
      <c r="I542" s="15">
        <v>61</v>
      </c>
      <c r="J542" s="15"/>
      <c r="K542" s="15">
        <v>49</v>
      </c>
      <c r="L542" s="15"/>
      <c r="M542" s="15"/>
      <c r="N542" s="15">
        <v>53</v>
      </c>
      <c r="O542" s="15">
        <v>297.25</v>
      </c>
      <c r="P542" s="15">
        <v>460.25</v>
      </c>
    </row>
    <row r="543" ht="14.25" spans="1:16">
      <c r="A543" s="13">
        <v>542</v>
      </c>
      <c r="B543" s="15">
        <v>11</v>
      </c>
      <c r="C543" s="16">
        <v>48</v>
      </c>
      <c r="D543" s="17" t="s">
        <v>1092</v>
      </c>
      <c r="E543" s="17" t="s">
        <v>1093</v>
      </c>
      <c r="F543" s="15">
        <v>109</v>
      </c>
      <c r="G543" s="15">
        <v>85</v>
      </c>
      <c r="H543" s="15">
        <v>47.5</v>
      </c>
      <c r="I543" s="15">
        <v>49.5</v>
      </c>
      <c r="J543" s="15"/>
      <c r="K543" s="15">
        <v>33.5</v>
      </c>
      <c r="L543" s="15"/>
      <c r="M543" s="15"/>
      <c r="N543" s="15">
        <v>38.5</v>
      </c>
      <c r="O543" s="15">
        <v>241.5</v>
      </c>
      <c r="P543" s="15">
        <v>363</v>
      </c>
    </row>
    <row r="544" ht="14.25" spans="1:16">
      <c r="A544" s="13">
        <v>543</v>
      </c>
      <c r="B544" s="15">
        <v>11</v>
      </c>
      <c r="C544" s="16">
        <v>49</v>
      </c>
      <c r="D544" s="17" t="s">
        <v>1094</v>
      </c>
      <c r="E544" s="17" t="s">
        <v>1095</v>
      </c>
      <c r="F544" s="15">
        <v>107</v>
      </c>
      <c r="G544" s="15">
        <v>103.5</v>
      </c>
      <c r="H544" s="15">
        <v>112</v>
      </c>
      <c r="I544" s="15">
        <v>32</v>
      </c>
      <c r="J544" s="15"/>
      <c r="K544" s="15">
        <v>40</v>
      </c>
      <c r="L544" s="15"/>
      <c r="M544" s="15"/>
      <c r="N544" s="15">
        <v>55.5</v>
      </c>
      <c r="O544" s="15">
        <v>322.5</v>
      </c>
      <c r="P544" s="15">
        <v>450</v>
      </c>
    </row>
    <row r="545" ht="14.25" spans="1:16">
      <c r="A545" s="13">
        <v>544</v>
      </c>
      <c r="B545" s="15">
        <v>11</v>
      </c>
      <c r="C545" s="16">
        <v>50</v>
      </c>
      <c r="D545" s="17" t="s">
        <v>1096</v>
      </c>
      <c r="E545" s="17" t="s">
        <v>1097</v>
      </c>
      <c r="F545" s="15">
        <v>94.75</v>
      </c>
      <c r="G545" s="15">
        <v>66.5</v>
      </c>
      <c r="H545" s="15">
        <v>55</v>
      </c>
      <c r="I545" s="15">
        <v>38.5</v>
      </c>
      <c r="J545" s="15"/>
      <c r="K545" s="15">
        <v>37</v>
      </c>
      <c r="L545" s="15"/>
      <c r="M545" s="15"/>
      <c r="N545" s="15">
        <v>46.5</v>
      </c>
      <c r="O545" s="15">
        <v>216.25</v>
      </c>
      <c r="P545" s="15">
        <v>338.25</v>
      </c>
    </row>
    <row r="546" ht="14.25" spans="1:16">
      <c r="A546" s="13">
        <v>545</v>
      </c>
      <c r="B546" s="15">
        <v>11</v>
      </c>
      <c r="C546" s="16">
        <v>51</v>
      </c>
      <c r="D546" s="17" t="s">
        <v>1098</v>
      </c>
      <c r="E546" s="17" t="s">
        <v>1099</v>
      </c>
      <c r="F546" s="15">
        <v>93.5</v>
      </c>
      <c r="G546" s="15">
        <v>80.5</v>
      </c>
      <c r="H546" s="15">
        <v>79.75</v>
      </c>
      <c r="I546" s="15">
        <v>23.5</v>
      </c>
      <c r="J546" s="15"/>
      <c r="K546" s="15">
        <v>38</v>
      </c>
      <c r="L546" s="15"/>
      <c r="M546" s="15"/>
      <c r="N546" s="15">
        <v>33.5</v>
      </c>
      <c r="O546" s="15">
        <v>253.75</v>
      </c>
      <c r="P546" s="15">
        <v>348.75</v>
      </c>
    </row>
    <row r="547" ht="14.25" spans="1:16">
      <c r="A547" s="13">
        <v>546</v>
      </c>
      <c r="B547" s="15">
        <v>11</v>
      </c>
      <c r="C547" s="16">
        <v>52</v>
      </c>
      <c r="D547" s="17" t="s">
        <v>1100</v>
      </c>
      <c r="E547" s="17" t="s">
        <v>1101</v>
      </c>
      <c r="F547" s="15">
        <v>95.5</v>
      </c>
      <c r="G547" s="15">
        <v>99.5</v>
      </c>
      <c r="H547" s="15">
        <v>75</v>
      </c>
      <c r="I547" s="15">
        <v>40.5</v>
      </c>
      <c r="J547" s="15"/>
      <c r="K547" s="15">
        <v>27</v>
      </c>
      <c r="L547" s="15"/>
      <c r="M547" s="15"/>
      <c r="N547" s="15">
        <v>43.5</v>
      </c>
      <c r="O547" s="15">
        <v>270</v>
      </c>
      <c r="P547" s="15">
        <v>381</v>
      </c>
    </row>
    <row r="548" ht="14.25" spans="1:16">
      <c r="A548" s="13">
        <v>547</v>
      </c>
      <c r="B548" s="15">
        <v>11</v>
      </c>
      <c r="C548" s="16">
        <v>53</v>
      </c>
      <c r="D548" s="17" t="s">
        <v>1102</v>
      </c>
      <c r="E548" s="17" t="s">
        <v>1103</v>
      </c>
      <c r="F548" s="15">
        <v>97.5</v>
      </c>
      <c r="G548" s="15">
        <v>78</v>
      </c>
      <c r="H548" s="15">
        <v>87.25</v>
      </c>
      <c r="I548" s="15">
        <v>32.5</v>
      </c>
      <c r="J548" s="15"/>
      <c r="K548" s="15">
        <v>28</v>
      </c>
      <c r="L548" s="15"/>
      <c r="M548" s="15"/>
      <c r="N548" s="15">
        <v>48</v>
      </c>
      <c r="O548" s="15">
        <v>262.75</v>
      </c>
      <c r="P548" s="15">
        <v>371.25</v>
      </c>
    </row>
    <row r="549" ht="14.25" spans="1:16">
      <c r="A549" s="13">
        <v>548</v>
      </c>
      <c r="B549" s="15">
        <v>11</v>
      </c>
      <c r="C549" s="16">
        <v>54</v>
      </c>
      <c r="D549" s="17" t="s">
        <v>1104</v>
      </c>
      <c r="E549" s="17" t="s">
        <v>1105</v>
      </c>
      <c r="F549" s="15">
        <v>91.5</v>
      </c>
      <c r="G549" s="15">
        <v>109.5</v>
      </c>
      <c r="H549" s="15">
        <v>87</v>
      </c>
      <c r="I549" s="15">
        <v>55</v>
      </c>
      <c r="J549" s="15"/>
      <c r="K549" s="15">
        <v>35</v>
      </c>
      <c r="L549" s="15"/>
      <c r="M549" s="15"/>
      <c r="N549" s="15">
        <v>51.5</v>
      </c>
      <c r="O549" s="15">
        <v>288</v>
      </c>
      <c r="P549" s="15">
        <v>429.5</v>
      </c>
    </row>
    <row r="550" ht="14.25" spans="1:16">
      <c r="A550" s="13">
        <v>549</v>
      </c>
      <c r="B550" s="15">
        <v>11</v>
      </c>
      <c r="C550" s="16">
        <v>55</v>
      </c>
      <c r="D550" s="17" t="s">
        <v>1106</v>
      </c>
      <c r="E550" s="17" t="s">
        <v>1107</v>
      </c>
      <c r="F550" s="15">
        <v>86</v>
      </c>
      <c r="G550" s="15">
        <v>73</v>
      </c>
      <c r="H550" s="15">
        <v>63.5</v>
      </c>
      <c r="I550" s="15">
        <v>17</v>
      </c>
      <c r="J550" s="15"/>
      <c r="K550" s="15">
        <v>26</v>
      </c>
      <c r="L550" s="15"/>
      <c r="M550" s="15"/>
      <c r="N550" s="15">
        <v>34</v>
      </c>
      <c r="O550" s="15">
        <v>222.5</v>
      </c>
      <c r="P550" s="15">
        <v>299.5</v>
      </c>
    </row>
    <row r="551" ht="14.25" spans="1:16">
      <c r="A551" s="13">
        <v>550</v>
      </c>
      <c r="B551" s="15">
        <v>11</v>
      </c>
      <c r="C551" s="16">
        <v>56</v>
      </c>
      <c r="D551" s="17" t="s">
        <v>1108</v>
      </c>
      <c r="E551" s="17" t="s">
        <v>1109</v>
      </c>
      <c r="F551" s="15">
        <v>98</v>
      </c>
      <c r="G551" s="15">
        <v>96</v>
      </c>
      <c r="H551" s="15">
        <v>71.25</v>
      </c>
      <c r="I551" s="15">
        <v>41.5</v>
      </c>
      <c r="J551" s="15"/>
      <c r="K551" s="15">
        <v>53</v>
      </c>
      <c r="L551" s="15"/>
      <c r="M551" s="15"/>
      <c r="N551" s="15">
        <v>52.5</v>
      </c>
      <c r="O551" s="15">
        <v>265.25</v>
      </c>
      <c r="P551" s="15">
        <v>412.25</v>
      </c>
    </row>
    <row r="552" ht="14.25" spans="1:16">
      <c r="A552" s="13">
        <v>551</v>
      </c>
      <c r="B552" s="15">
        <v>11</v>
      </c>
      <c r="C552" s="16">
        <v>57</v>
      </c>
      <c r="D552" s="17" t="s">
        <v>1110</v>
      </c>
      <c r="E552" s="17" t="s">
        <v>1111</v>
      </c>
      <c r="F552" s="15">
        <v>92.5</v>
      </c>
      <c r="G552" s="15">
        <v>87.5</v>
      </c>
      <c r="H552" s="15">
        <v>81.5</v>
      </c>
      <c r="I552" s="15">
        <v>41</v>
      </c>
      <c r="J552" s="15"/>
      <c r="K552" s="15">
        <v>42</v>
      </c>
      <c r="L552" s="15"/>
      <c r="M552" s="15"/>
      <c r="N552" s="15">
        <v>40.5</v>
      </c>
      <c r="O552" s="15">
        <v>261.5</v>
      </c>
      <c r="P552" s="15">
        <v>385</v>
      </c>
    </row>
    <row r="553" ht="14.25" spans="1:16">
      <c r="A553" s="13">
        <v>552</v>
      </c>
      <c r="B553" s="15">
        <v>11</v>
      </c>
      <c r="C553" s="16">
        <v>58</v>
      </c>
      <c r="D553" s="17" t="s">
        <v>1112</v>
      </c>
      <c r="E553" s="17" t="s">
        <v>1113</v>
      </c>
      <c r="F553" s="15">
        <v>87</v>
      </c>
      <c r="G553" s="15">
        <v>126.5</v>
      </c>
      <c r="H553" s="15">
        <v>80</v>
      </c>
      <c r="I553" s="15">
        <v>51.5</v>
      </c>
      <c r="J553" s="15"/>
      <c r="K553" s="15">
        <v>42</v>
      </c>
      <c r="L553" s="15"/>
      <c r="M553" s="15"/>
      <c r="N553" s="15">
        <v>48.5</v>
      </c>
      <c r="O553" s="15">
        <v>293.5</v>
      </c>
      <c r="P553" s="15">
        <v>435.5</v>
      </c>
    </row>
    <row r="554" ht="14.25" spans="1:16">
      <c r="A554" s="13">
        <v>553</v>
      </c>
      <c r="B554" s="15">
        <v>11</v>
      </c>
      <c r="C554" s="16">
        <v>59</v>
      </c>
      <c r="D554" s="17" t="s">
        <v>1114</v>
      </c>
      <c r="E554" s="17" t="s">
        <v>1115</v>
      </c>
      <c r="F554" s="15">
        <v>91</v>
      </c>
      <c r="G554" s="15">
        <v>98</v>
      </c>
      <c r="H554" s="15">
        <v>96</v>
      </c>
      <c r="I554" s="15">
        <v>37.5</v>
      </c>
      <c r="J554" s="15"/>
      <c r="K554" s="15">
        <v>28.5</v>
      </c>
      <c r="L554" s="15"/>
      <c r="M554" s="15"/>
      <c r="N554" s="15">
        <v>61</v>
      </c>
      <c r="O554" s="15">
        <v>285</v>
      </c>
      <c r="P554" s="15">
        <v>412</v>
      </c>
    </row>
    <row r="555" ht="14.25" spans="1:16">
      <c r="A555" s="13">
        <v>554</v>
      </c>
      <c r="B555" s="15">
        <v>12</v>
      </c>
      <c r="C555" s="16">
        <v>1</v>
      </c>
      <c r="D555" s="17" t="s">
        <v>1116</v>
      </c>
      <c r="E555" s="17" t="s">
        <v>1117</v>
      </c>
      <c r="F555" s="15">
        <v>98</v>
      </c>
      <c r="G555" s="15">
        <v>95</v>
      </c>
      <c r="H555" s="15">
        <v>111.5</v>
      </c>
      <c r="I555" s="15">
        <v>44.5</v>
      </c>
      <c r="J555" s="15"/>
      <c r="K555" s="15">
        <v>29</v>
      </c>
      <c r="L555" s="15"/>
      <c r="M555" s="15"/>
      <c r="N555" s="15">
        <v>46.5</v>
      </c>
      <c r="O555" s="15">
        <v>304.5</v>
      </c>
      <c r="P555" s="15">
        <v>424.5</v>
      </c>
    </row>
    <row r="556" ht="14.25" spans="1:16">
      <c r="A556" s="13">
        <v>555</v>
      </c>
      <c r="B556" s="15">
        <v>12</v>
      </c>
      <c r="C556" s="16">
        <v>2</v>
      </c>
      <c r="D556" s="17" t="s">
        <v>1118</v>
      </c>
      <c r="E556" s="17" t="s">
        <v>1119</v>
      </c>
      <c r="F556" s="15">
        <v>88</v>
      </c>
      <c r="G556" s="15">
        <v>96</v>
      </c>
      <c r="H556" s="15">
        <v>94</v>
      </c>
      <c r="I556" s="15">
        <v>39</v>
      </c>
      <c r="J556" s="15"/>
      <c r="K556" s="15">
        <v>36</v>
      </c>
      <c r="L556" s="15"/>
      <c r="M556" s="15"/>
      <c r="N556" s="15">
        <v>44</v>
      </c>
      <c r="O556" s="15">
        <v>278</v>
      </c>
      <c r="P556" s="15">
        <v>397</v>
      </c>
    </row>
    <row r="557" ht="14.25" spans="1:16">
      <c r="A557" s="13">
        <v>556</v>
      </c>
      <c r="B557" s="15">
        <v>12</v>
      </c>
      <c r="C557" s="16">
        <v>3</v>
      </c>
      <c r="D557" s="17" t="s">
        <v>1120</v>
      </c>
      <c r="E557" s="17" t="s">
        <v>1121</v>
      </c>
      <c r="F557" s="15">
        <v>108</v>
      </c>
      <c r="G557" s="15">
        <v>85</v>
      </c>
      <c r="H557" s="15">
        <v>100</v>
      </c>
      <c r="I557" s="15">
        <v>49</v>
      </c>
      <c r="J557" s="15"/>
      <c r="K557" s="15">
        <v>51.5</v>
      </c>
      <c r="L557" s="15"/>
      <c r="M557" s="15"/>
      <c r="N557" s="15">
        <v>49.5</v>
      </c>
      <c r="O557" s="15">
        <v>293</v>
      </c>
      <c r="P557" s="15">
        <v>443</v>
      </c>
    </row>
    <row r="558" ht="14.25" spans="1:16">
      <c r="A558" s="13">
        <v>557</v>
      </c>
      <c r="B558" s="15">
        <v>12</v>
      </c>
      <c r="C558" s="16">
        <v>4</v>
      </c>
      <c r="D558" s="17" t="s">
        <v>1122</v>
      </c>
      <c r="E558" s="17" t="s">
        <v>1123</v>
      </c>
      <c r="F558" s="15">
        <v>102</v>
      </c>
      <c r="G558" s="15">
        <v>104.5</v>
      </c>
      <c r="H558" s="15">
        <v>125.5</v>
      </c>
      <c r="I558" s="15">
        <v>72.5</v>
      </c>
      <c r="J558" s="15"/>
      <c r="K558" s="15">
        <v>41.5</v>
      </c>
      <c r="L558" s="15"/>
      <c r="M558" s="15"/>
      <c r="N558" s="15">
        <v>60.5</v>
      </c>
      <c r="O558" s="15">
        <v>332</v>
      </c>
      <c r="P558" s="15">
        <v>506.5</v>
      </c>
    </row>
    <row r="559" ht="14.25" spans="1:16">
      <c r="A559" s="13">
        <v>558</v>
      </c>
      <c r="B559" s="15">
        <v>12</v>
      </c>
      <c r="C559" s="16">
        <v>5</v>
      </c>
      <c r="D559" s="17" t="s">
        <v>1124</v>
      </c>
      <c r="E559" s="17" t="s">
        <v>1125</v>
      </c>
      <c r="F559" s="15">
        <v>100</v>
      </c>
      <c r="G559" s="15">
        <v>101.5</v>
      </c>
      <c r="H559" s="15">
        <v>75.5</v>
      </c>
      <c r="I559" s="15">
        <v>62</v>
      </c>
      <c r="J559" s="15"/>
      <c r="K559" s="15">
        <v>47</v>
      </c>
      <c r="L559" s="15"/>
      <c r="M559" s="15"/>
      <c r="N559" s="15">
        <v>59</v>
      </c>
      <c r="O559" s="15">
        <v>277</v>
      </c>
      <c r="P559" s="15">
        <v>445</v>
      </c>
    </row>
    <row r="560" ht="14.25" spans="1:16">
      <c r="A560" s="13">
        <v>559</v>
      </c>
      <c r="B560" s="15">
        <v>12</v>
      </c>
      <c r="C560" s="16">
        <v>6</v>
      </c>
      <c r="D560" s="17" t="s">
        <v>1126</v>
      </c>
      <c r="E560" s="17" t="s">
        <v>1127</v>
      </c>
      <c r="F560" s="15">
        <v>85.5</v>
      </c>
      <c r="G560" s="15">
        <v>113</v>
      </c>
      <c r="H560" s="15">
        <v>64.25</v>
      </c>
      <c r="I560" s="15">
        <v>51</v>
      </c>
      <c r="J560" s="15"/>
      <c r="K560" s="15">
        <v>25</v>
      </c>
      <c r="L560" s="15"/>
      <c r="M560" s="15"/>
      <c r="N560" s="15">
        <v>31.5</v>
      </c>
      <c r="O560" s="15">
        <v>262.75</v>
      </c>
      <c r="P560" s="15">
        <v>370.25</v>
      </c>
    </row>
    <row r="561" ht="14.25" spans="1:16">
      <c r="A561" s="13">
        <v>560</v>
      </c>
      <c r="B561" s="15">
        <v>12</v>
      </c>
      <c r="C561" s="16">
        <v>7</v>
      </c>
      <c r="D561" s="17" t="s">
        <v>1128</v>
      </c>
      <c r="E561" s="17" t="s">
        <v>1129</v>
      </c>
      <c r="F561" s="15">
        <v>99</v>
      </c>
      <c r="G561" s="15">
        <v>92.5</v>
      </c>
      <c r="H561" s="15">
        <v>75.5</v>
      </c>
      <c r="I561" s="15">
        <v>40</v>
      </c>
      <c r="J561" s="15"/>
      <c r="K561" s="15">
        <v>30.5</v>
      </c>
      <c r="L561" s="15"/>
      <c r="M561" s="15"/>
      <c r="N561" s="15">
        <v>35.5</v>
      </c>
      <c r="O561" s="15">
        <v>267</v>
      </c>
      <c r="P561" s="15">
        <v>373</v>
      </c>
    </row>
    <row r="562" ht="14.25" spans="1:16">
      <c r="A562" s="13">
        <v>561</v>
      </c>
      <c r="B562" s="15">
        <v>12</v>
      </c>
      <c r="C562" s="16">
        <v>8</v>
      </c>
      <c r="D562" s="17" t="s">
        <v>1130</v>
      </c>
      <c r="E562" s="17" t="s">
        <v>1131</v>
      </c>
      <c r="F562" s="15">
        <v>102.5</v>
      </c>
      <c r="G562" s="15">
        <v>108</v>
      </c>
      <c r="H562" s="15">
        <v>64.5</v>
      </c>
      <c r="I562" s="15">
        <v>52.5</v>
      </c>
      <c r="J562" s="15"/>
      <c r="K562" s="15">
        <v>37</v>
      </c>
      <c r="L562" s="15"/>
      <c r="M562" s="15"/>
      <c r="N562" s="15">
        <v>49.5</v>
      </c>
      <c r="O562" s="15">
        <v>275</v>
      </c>
      <c r="P562" s="15">
        <v>414</v>
      </c>
    </row>
    <row r="563" ht="14.25" spans="1:16">
      <c r="A563" s="13">
        <v>562</v>
      </c>
      <c r="B563" s="15">
        <v>12</v>
      </c>
      <c r="C563" s="16">
        <v>9</v>
      </c>
      <c r="D563" s="17" t="s">
        <v>1132</v>
      </c>
      <c r="E563" s="17" t="s">
        <v>1133</v>
      </c>
      <c r="F563" s="15">
        <v>107.5</v>
      </c>
      <c r="G563" s="15">
        <v>99</v>
      </c>
      <c r="H563" s="15">
        <v>103.75</v>
      </c>
      <c r="I563" s="15">
        <v>44.5</v>
      </c>
      <c r="J563" s="15"/>
      <c r="K563" s="15">
        <v>42.5</v>
      </c>
      <c r="L563" s="15"/>
      <c r="M563" s="15"/>
      <c r="N563" s="15">
        <v>48.5</v>
      </c>
      <c r="O563" s="15">
        <v>310.25</v>
      </c>
      <c r="P563" s="15">
        <v>445.75</v>
      </c>
    </row>
    <row r="564" ht="14.25" spans="1:16">
      <c r="A564" s="13">
        <v>563</v>
      </c>
      <c r="B564" s="15">
        <v>12</v>
      </c>
      <c r="C564" s="16">
        <v>10</v>
      </c>
      <c r="D564" s="17" t="s">
        <v>1134</v>
      </c>
      <c r="E564" s="17" t="s">
        <v>1135</v>
      </c>
      <c r="F564" s="15">
        <v>91</v>
      </c>
      <c r="G564" s="15">
        <v>111</v>
      </c>
      <c r="H564" s="15">
        <v>73.5</v>
      </c>
      <c r="I564" s="15">
        <v>48.5</v>
      </c>
      <c r="J564" s="15"/>
      <c r="K564" s="15">
        <v>53</v>
      </c>
      <c r="L564" s="15"/>
      <c r="M564" s="15"/>
      <c r="N564" s="15">
        <v>50.5</v>
      </c>
      <c r="O564" s="15">
        <v>275.5</v>
      </c>
      <c r="P564" s="15">
        <v>427.5</v>
      </c>
    </row>
    <row r="565" ht="14.25" spans="1:16">
      <c r="A565" s="13">
        <v>564</v>
      </c>
      <c r="B565" s="20">
        <v>12</v>
      </c>
      <c r="C565" s="16">
        <v>11</v>
      </c>
      <c r="D565" s="19" t="s">
        <v>1136</v>
      </c>
      <c r="E565" s="17" t="s">
        <v>1137</v>
      </c>
      <c r="F565" s="15">
        <v>82.5</v>
      </c>
      <c r="G565" s="15">
        <v>55.5</v>
      </c>
      <c r="H565" s="15">
        <v>70.75</v>
      </c>
      <c r="I565" s="15">
        <v>23</v>
      </c>
      <c r="J565" s="15"/>
      <c r="K565" s="15">
        <v>24.5</v>
      </c>
      <c r="L565" s="15"/>
      <c r="M565" s="15"/>
      <c r="N565" s="15">
        <v>32</v>
      </c>
      <c r="O565" s="15">
        <v>208.75</v>
      </c>
      <c r="P565" s="15">
        <v>288.25</v>
      </c>
    </row>
    <row r="566" ht="14.25" spans="1:16">
      <c r="A566" s="13">
        <v>565</v>
      </c>
      <c r="B566" s="15">
        <v>12</v>
      </c>
      <c r="C566" s="16">
        <v>12</v>
      </c>
      <c r="D566" s="17" t="s">
        <v>1138</v>
      </c>
      <c r="E566" s="17" t="s">
        <v>1139</v>
      </c>
      <c r="F566" s="15">
        <v>98.5</v>
      </c>
      <c r="G566" s="15">
        <v>91.5</v>
      </c>
      <c r="H566" s="15">
        <v>93.5</v>
      </c>
      <c r="I566" s="15">
        <v>57.5</v>
      </c>
      <c r="J566" s="15"/>
      <c r="K566" s="15">
        <v>50</v>
      </c>
      <c r="L566" s="15"/>
      <c r="M566" s="15"/>
      <c r="N566" s="15">
        <v>53.5</v>
      </c>
      <c r="O566" s="15">
        <v>283.5</v>
      </c>
      <c r="P566" s="15">
        <v>444.5</v>
      </c>
    </row>
    <row r="567" ht="14.25" spans="1:16">
      <c r="A567" s="13">
        <v>566</v>
      </c>
      <c r="B567" s="15">
        <v>12</v>
      </c>
      <c r="C567" s="16">
        <v>13</v>
      </c>
      <c r="D567" s="17" t="s">
        <v>1140</v>
      </c>
      <c r="E567" s="17" t="s">
        <v>1141</v>
      </c>
      <c r="F567" s="15">
        <v>96</v>
      </c>
      <c r="G567" s="15">
        <v>108</v>
      </c>
      <c r="H567" s="15">
        <v>26</v>
      </c>
      <c r="I567" s="15">
        <v>43.5</v>
      </c>
      <c r="J567" s="15"/>
      <c r="K567" s="15">
        <v>44</v>
      </c>
      <c r="L567" s="15"/>
      <c r="M567" s="15"/>
      <c r="N567" s="15">
        <v>54</v>
      </c>
      <c r="O567" s="15">
        <v>230</v>
      </c>
      <c r="P567" s="15">
        <v>371.5</v>
      </c>
    </row>
    <row r="568" ht="14.25" spans="1:16">
      <c r="A568" s="13">
        <v>567</v>
      </c>
      <c r="B568" s="15">
        <v>12</v>
      </c>
      <c r="C568" s="16">
        <v>14</v>
      </c>
      <c r="D568" s="17" t="s">
        <v>1142</v>
      </c>
      <c r="E568" s="17" t="s">
        <v>1143</v>
      </c>
      <c r="F568" s="15">
        <v>99.5</v>
      </c>
      <c r="G568" s="15">
        <v>97</v>
      </c>
      <c r="H568" s="15">
        <v>111</v>
      </c>
      <c r="I568" s="15">
        <v>54</v>
      </c>
      <c r="J568" s="15"/>
      <c r="K568" s="15">
        <v>34.5</v>
      </c>
      <c r="L568" s="15"/>
      <c r="M568" s="15"/>
      <c r="N568" s="15">
        <v>46.5</v>
      </c>
      <c r="O568" s="15">
        <v>307.5</v>
      </c>
      <c r="P568" s="15">
        <v>442.5</v>
      </c>
    </row>
    <row r="569" ht="14.25" spans="1:16">
      <c r="A569" s="13">
        <v>568</v>
      </c>
      <c r="B569" s="15">
        <v>12</v>
      </c>
      <c r="C569" s="16">
        <v>15</v>
      </c>
      <c r="D569" s="17" t="s">
        <v>1144</v>
      </c>
      <c r="E569" s="17" t="s">
        <v>1145</v>
      </c>
      <c r="F569" s="15">
        <v>103</v>
      </c>
      <c r="G569" s="15">
        <v>115.5</v>
      </c>
      <c r="H569" s="15">
        <v>92.5</v>
      </c>
      <c r="I569" s="15">
        <v>73</v>
      </c>
      <c r="J569" s="15"/>
      <c r="K569" s="15">
        <v>48.5</v>
      </c>
      <c r="L569" s="15"/>
      <c r="M569" s="15"/>
      <c r="N569" s="15">
        <v>55.5</v>
      </c>
      <c r="O569" s="15">
        <v>311</v>
      </c>
      <c r="P569" s="15">
        <v>488</v>
      </c>
    </row>
    <row r="570" ht="14.25" spans="1:16">
      <c r="A570" s="13">
        <v>569</v>
      </c>
      <c r="B570" s="15">
        <v>12</v>
      </c>
      <c r="C570" s="16">
        <v>16</v>
      </c>
      <c r="D570" s="17" t="s">
        <v>1146</v>
      </c>
      <c r="E570" s="17" t="s">
        <v>1147</v>
      </c>
      <c r="F570" s="15">
        <v>103.5</v>
      </c>
      <c r="G570" s="15">
        <v>119</v>
      </c>
      <c r="H570" s="15">
        <v>98.25</v>
      </c>
      <c r="I570" s="15">
        <v>69</v>
      </c>
      <c r="J570" s="15"/>
      <c r="K570" s="15">
        <v>68.5</v>
      </c>
      <c r="L570" s="15"/>
      <c r="M570" s="15"/>
      <c r="N570" s="15">
        <v>64.5</v>
      </c>
      <c r="O570" s="15">
        <v>320.75</v>
      </c>
      <c r="P570" s="15">
        <v>522.75</v>
      </c>
    </row>
    <row r="571" ht="14.25" spans="1:16">
      <c r="A571" s="13">
        <v>570</v>
      </c>
      <c r="B571" s="15">
        <v>12</v>
      </c>
      <c r="C571" s="16">
        <v>17</v>
      </c>
      <c r="D571" s="17" t="s">
        <v>1148</v>
      </c>
      <c r="E571" s="17" t="s">
        <v>1149</v>
      </c>
      <c r="F571" s="15">
        <v>97.25</v>
      </c>
      <c r="G571" s="15">
        <v>111.5</v>
      </c>
      <c r="H571" s="15">
        <v>116.5</v>
      </c>
      <c r="I571" s="15">
        <v>59</v>
      </c>
      <c r="J571" s="15"/>
      <c r="K571" s="15">
        <v>50.5</v>
      </c>
      <c r="L571" s="15"/>
      <c r="M571" s="15"/>
      <c r="N571" s="15">
        <v>58.5</v>
      </c>
      <c r="O571" s="15">
        <v>325.25</v>
      </c>
      <c r="P571" s="15">
        <v>493.25</v>
      </c>
    </row>
    <row r="572" ht="14.25" spans="1:16">
      <c r="A572" s="13">
        <v>571</v>
      </c>
      <c r="B572" s="15">
        <v>12</v>
      </c>
      <c r="C572" s="16">
        <v>18</v>
      </c>
      <c r="D572" s="17" t="s">
        <v>1150</v>
      </c>
      <c r="E572" s="17" t="s">
        <v>1151</v>
      </c>
      <c r="F572" s="15">
        <v>109.5</v>
      </c>
      <c r="G572" s="15">
        <v>91</v>
      </c>
      <c r="H572" s="15">
        <v>101</v>
      </c>
      <c r="I572" s="15">
        <v>49.5</v>
      </c>
      <c r="J572" s="15"/>
      <c r="K572" s="15">
        <v>43</v>
      </c>
      <c r="L572" s="15"/>
      <c r="M572" s="15"/>
      <c r="N572" s="15">
        <v>43.5</v>
      </c>
      <c r="O572" s="15">
        <v>301.5</v>
      </c>
      <c r="P572" s="15">
        <v>437.5</v>
      </c>
    </row>
    <row r="573" ht="14.25" spans="1:16">
      <c r="A573" s="13">
        <v>572</v>
      </c>
      <c r="B573" s="15">
        <v>12</v>
      </c>
      <c r="C573" s="16">
        <v>19</v>
      </c>
      <c r="D573" s="17" t="s">
        <v>1152</v>
      </c>
      <c r="E573" s="17" t="s">
        <v>1153</v>
      </c>
      <c r="F573" s="15">
        <v>99</v>
      </c>
      <c r="G573" s="15">
        <v>99.5</v>
      </c>
      <c r="H573" s="15">
        <v>107.5</v>
      </c>
      <c r="I573" s="15">
        <v>48</v>
      </c>
      <c r="J573" s="15"/>
      <c r="K573" s="15">
        <v>46</v>
      </c>
      <c r="L573" s="15"/>
      <c r="M573" s="15"/>
      <c r="N573" s="15">
        <v>47</v>
      </c>
      <c r="O573" s="15">
        <v>306</v>
      </c>
      <c r="P573" s="15">
        <v>447</v>
      </c>
    </row>
    <row r="574" ht="14.25" spans="1:16">
      <c r="A574" s="13">
        <v>573</v>
      </c>
      <c r="B574" s="15">
        <v>12</v>
      </c>
      <c r="C574" s="16">
        <v>20</v>
      </c>
      <c r="D574" s="17" t="s">
        <v>1154</v>
      </c>
      <c r="E574" s="17" t="s">
        <v>1155</v>
      </c>
      <c r="F574" s="15">
        <v>75.25</v>
      </c>
      <c r="G574" s="15">
        <v>41.5</v>
      </c>
      <c r="H574" s="15">
        <v>93.75</v>
      </c>
      <c r="I574" s="15">
        <v>21</v>
      </c>
      <c r="J574" s="15"/>
      <c r="K574" s="15">
        <v>21</v>
      </c>
      <c r="L574" s="15"/>
      <c r="M574" s="15"/>
      <c r="N574" s="15">
        <v>31</v>
      </c>
      <c r="O574" s="15">
        <v>210.5</v>
      </c>
      <c r="P574" s="15">
        <v>283.5</v>
      </c>
    </row>
    <row r="575" ht="14.25" spans="1:16">
      <c r="A575" s="13">
        <v>574</v>
      </c>
      <c r="B575" s="15">
        <v>12</v>
      </c>
      <c r="C575" s="16">
        <v>21</v>
      </c>
      <c r="D575" s="17" t="s">
        <v>1156</v>
      </c>
      <c r="E575" s="17" t="s">
        <v>1157</v>
      </c>
      <c r="F575" s="15">
        <v>105</v>
      </c>
      <c r="G575" s="15">
        <v>94.5</v>
      </c>
      <c r="H575" s="15">
        <v>104.75</v>
      </c>
      <c r="I575" s="15">
        <v>48.5</v>
      </c>
      <c r="J575" s="15"/>
      <c r="K575" s="15">
        <v>47</v>
      </c>
      <c r="L575" s="15"/>
      <c r="M575" s="15"/>
      <c r="N575" s="15">
        <v>50.5</v>
      </c>
      <c r="O575" s="15">
        <v>304.25</v>
      </c>
      <c r="P575" s="15">
        <v>450.25</v>
      </c>
    </row>
    <row r="576" ht="14.25" spans="1:16">
      <c r="A576" s="13">
        <v>575</v>
      </c>
      <c r="B576" s="15">
        <v>12</v>
      </c>
      <c r="C576" s="16">
        <v>22</v>
      </c>
      <c r="D576" s="17" t="s">
        <v>1158</v>
      </c>
      <c r="E576" s="17" t="s">
        <v>1159</v>
      </c>
      <c r="F576" s="15">
        <v>78</v>
      </c>
      <c r="G576" s="15">
        <v>63</v>
      </c>
      <c r="H576" s="15">
        <v>68.5</v>
      </c>
      <c r="I576" s="15">
        <v>34.5</v>
      </c>
      <c r="J576" s="15"/>
      <c r="K576" s="15">
        <v>12.5</v>
      </c>
      <c r="L576" s="15"/>
      <c r="M576" s="15"/>
      <c r="N576" s="15">
        <v>42.5</v>
      </c>
      <c r="O576" s="15">
        <v>209.5</v>
      </c>
      <c r="P576" s="15">
        <v>299</v>
      </c>
    </row>
    <row r="577" ht="14.25" spans="1:16">
      <c r="A577" s="13">
        <v>576</v>
      </c>
      <c r="B577" s="15">
        <v>12</v>
      </c>
      <c r="C577" s="16">
        <v>23</v>
      </c>
      <c r="D577" s="17" t="s">
        <v>1160</v>
      </c>
      <c r="E577" s="17" t="s">
        <v>1161</v>
      </c>
      <c r="F577" s="15">
        <v>92</v>
      </c>
      <c r="G577" s="15">
        <v>93.5</v>
      </c>
      <c r="H577" s="15">
        <v>78</v>
      </c>
      <c r="I577" s="15">
        <v>63.5</v>
      </c>
      <c r="J577" s="15"/>
      <c r="K577" s="15">
        <v>25</v>
      </c>
      <c r="L577" s="15"/>
      <c r="M577" s="15"/>
      <c r="N577" s="15">
        <v>45</v>
      </c>
      <c r="O577" s="15">
        <v>263.5</v>
      </c>
      <c r="P577" s="15">
        <v>397</v>
      </c>
    </row>
    <row r="578" ht="14.25" spans="1:16">
      <c r="A578" s="13">
        <v>577</v>
      </c>
      <c r="B578" s="15">
        <v>12</v>
      </c>
      <c r="C578" s="16">
        <v>25</v>
      </c>
      <c r="D578" s="17" t="s">
        <v>1162</v>
      </c>
      <c r="E578" s="17" t="s">
        <v>1163</v>
      </c>
      <c r="F578" s="15">
        <v>103</v>
      </c>
      <c r="G578" s="15">
        <v>97.5</v>
      </c>
      <c r="H578" s="15">
        <v>82</v>
      </c>
      <c r="I578" s="15">
        <v>48</v>
      </c>
      <c r="J578" s="15"/>
      <c r="K578" s="15">
        <v>21.5</v>
      </c>
      <c r="L578" s="15"/>
      <c r="M578" s="15"/>
      <c r="N578" s="15">
        <v>46.5</v>
      </c>
      <c r="O578" s="15">
        <v>282.5</v>
      </c>
      <c r="P578" s="15">
        <v>398.5</v>
      </c>
    </row>
    <row r="579" ht="14.25" spans="1:16">
      <c r="A579" s="13">
        <v>578</v>
      </c>
      <c r="B579" s="15">
        <v>12</v>
      </c>
      <c r="C579" s="16">
        <v>26</v>
      </c>
      <c r="D579" s="17" t="s">
        <v>1164</v>
      </c>
      <c r="E579" s="17" t="s">
        <v>1165</v>
      </c>
      <c r="F579" s="15">
        <v>91.25</v>
      </c>
      <c r="G579" s="15">
        <v>101</v>
      </c>
      <c r="H579" s="15">
        <v>92</v>
      </c>
      <c r="I579" s="15">
        <v>58.5</v>
      </c>
      <c r="J579" s="15"/>
      <c r="K579" s="15">
        <v>45.5</v>
      </c>
      <c r="L579" s="15"/>
      <c r="M579" s="15"/>
      <c r="N579" s="15">
        <v>41</v>
      </c>
      <c r="O579" s="15">
        <v>284.25</v>
      </c>
      <c r="P579" s="15">
        <v>429.25</v>
      </c>
    </row>
    <row r="580" ht="14.25" spans="1:16">
      <c r="A580" s="13">
        <v>579</v>
      </c>
      <c r="B580" s="15">
        <v>12</v>
      </c>
      <c r="C580" s="16">
        <v>27</v>
      </c>
      <c r="D580" s="17" t="s">
        <v>1166</v>
      </c>
      <c r="E580" s="17" t="s">
        <v>1167</v>
      </c>
      <c r="F580" s="15">
        <v>93</v>
      </c>
      <c r="G580" s="15">
        <v>84.5</v>
      </c>
      <c r="H580" s="15">
        <v>83</v>
      </c>
      <c r="I580" s="15">
        <v>26</v>
      </c>
      <c r="J580" s="15"/>
      <c r="K580" s="15">
        <v>24.5</v>
      </c>
      <c r="L580" s="15"/>
      <c r="M580" s="15"/>
      <c r="N580" s="15">
        <v>25.5</v>
      </c>
      <c r="O580" s="15">
        <v>260.5</v>
      </c>
      <c r="P580" s="15">
        <v>336.5</v>
      </c>
    </row>
    <row r="581" ht="14.25" spans="1:16">
      <c r="A581" s="13">
        <v>580</v>
      </c>
      <c r="B581" s="15">
        <v>12</v>
      </c>
      <c r="C581" s="16">
        <v>28</v>
      </c>
      <c r="D581" s="17" t="s">
        <v>1168</v>
      </c>
      <c r="E581" s="17" t="s">
        <v>1169</v>
      </c>
      <c r="F581" s="15">
        <v>88.75</v>
      </c>
      <c r="G581" s="15">
        <v>98.5</v>
      </c>
      <c r="H581" s="15">
        <v>82.25</v>
      </c>
      <c r="I581" s="15">
        <v>38.5</v>
      </c>
      <c r="J581" s="15"/>
      <c r="K581" s="15">
        <v>27</v>
      </c>
      <c r="L581" s="15"/>
      <c r="M581" s="15"/>
      <c r="N581" s="15">
        <v>13</v>
      </c>
      <c r="O581" s="15">
        <v>269.5</v>
      </c>
      <c r="P581" s="15">
        <v>348</v>
      </c>
    </row>
    <row r="582" ht="14.25" spans="1:16">
      <c r="A582" s="13">
        <v>581</v>
      </c>
      <c r="B582" s="15">
        <v>12</v>
      </c>
      <c r="C582" s="16">
        <v>29</v>
      </c>
      <c r="D582" s="17" t="s">
        <v>1170</v>
      </c>
      <c r="E582" s="17" t="s">
        <v>1171</v>
      </c>
      <c r="F582" s="15">
        <v>90</v>
      </c>
      <c r="G582" s="15">
        <v>63.5</v>
      </c>
      <c r="H582" s="15">
        <v>88.5</v>
      </c>
      <c r="I582" s="15">
        <v>21</v>
      </c>
      <c r="J582" s="15"/>
      <c r="K582" s="15">
        <v>24.5</v>
      </c>
      <c r="L582" s="15"/>
      <c r="M582" s="15"/>
      <c r="N582" s="15">
        <v>42</v>
      </c>
      <c r="O582" s="15">
        <v>242</v>
      </c>
      <c r="P582" s="15">
        <v>329.5</v>
      </c>
    </row>
    <row r="583" ht="14.25" spans="1:16">
      <c r="A583" s="13">
        <v>582</v>
      </c>
      <c r="B583" s="15">
        <v>12</v>
      </c>
      <c r="C583" s="16">
        <v>30</v>
      </c>
      <c r="D583" s="17" t="s">
        <v>1172</v>
      </c>
      <c r="E583" s="17" t="s">
        <v>1173</v>
      </c>
      <c r="F583" s="15">
        <v>93</v>
      </c>
      <c r="G583" s="15">
        <v>73.5</v>
      </c>
      <c r="H583" s="15">
        <v>65.25</v>
      </c>
      <c r="I583" s="15">
        <v>36.5</v>
      </c>
      <c r="J583" s="15"/>
      <c r="K583" s="15">
        <v>42.5</v>
      </c>
      <c r="L583" s="15"/>
      <c r="M583" s="15"/>
      <c r="N583" s="15">
        <v>43</v>
      </c>
      <c r="O583" s="15">
        <v>231.75</v>
      </c>
      <c r="P583" s="15">
        <v>353.75</v>
      </c>
    </row>
    <row r="584" ht="14.25" spans="1:16">
      <c r="A584" s="13">
        <v>583</v>
      </c>
      <c r="B584" s="15">
        <v>12</v>
      </c>
      <c r="C584" s="16">
        <v>31</v>
      </c>
      <c r="D584" s="17" t="s">
        <v>1174</v>
      </c>
      <c r="E584" s="17" t="s">
        <v>1175</v>
      </c>
      <c r="F584" s="15">
        <v>103</v>
      </c>
      <c r="G584" s="15">
        <v>97</v>
      </c>
      <c r="H584" s="15">
        <v>92</v>
      </c>
      <c r="I584" s="15">
        <v>40</v>
      </c>
      <c r="J584" s="15"/>
      <c r="K584" s="15">
        <v>22</v>
      </c>
      <c r="L584" s="15"/>
      <c r="M584" s="15"/>
      <c r="N584" s="15">
        <v>58</v>
      </c>
      <c r="O584" s="15">
        <v>292</v>
      </c>
      <c r="P584" s="15">
        <v>412</v>
      </c>
    </row>
    <row r="585" ht="14.25" spans="1:16">
      <c r="A585" s="13">
        <v>584</v>
      </c>
      <c r="B585" s="15">
        <v>12</v>
      </c>
      <c r="C585" s="16">
        <v>33</v>
      </c>
      <c r="D585" s="17" t="s">
        <v>1176</v>
      </c>
      <c r="E585" s="17" t="s">
        <v>1177</v>
      </c>
      <c r="F585" s="15">
        <v>78.5</v>
      </c>
      <c r="G585" s="15">
        <v>98.5</v>
      </c>
      <c r="H585" s="15">
        <v>61</v>
      </c>
      <c r="I585" s="15">
        <v>29</v>
      </c>
      <c r="J585" s="15"/>
      <c r="K585" s="15">
        <v>18</v>
      </c>
      <c r="L585" s="15"/>
      <c r="M585" s="15"/>
      <c r="N585" s="15">
        <v>25.5</v>
      </c>
      <c r="O585" s="15">
        <v>238</v>
      </c>
      <c r="P585" s="15">
        <v>310.5</v>
      </c>
    </row>
    <row r="586" ht="14.25" spans="1:16">
      <c r="A586" s="13">
        <v>585</v>
      </c>
      <c r="B586" s="15">
        <v>12</v>
      </c>
      <c r="C586" s="16">
        <v>34</v>
      </c>
      <c r="D586" s="17" t="s">
        <v>1178</v>
      </c>
      <c r="E586" s="17" t="s">
        <v>1179</v>
      </c>
      <c r="F586" s="15">
        <v>91.5</v>
      </c>
      <c r="G586" s="15">
        <v>115.5</v>
      </c>
      <c r="H586" s="15">
        <v>92</v>
      </c>
      <c r="I586" s="15">
        <v>58.5</v>
      </c>
      <c r="J586" s="15"/>
      <c r="K586" s="15">
        <v>59</v>
      </c>
      <c r="L586" s="15"/>
      <c r="M586" s="15"/>
      <c r="N586" s="15">
        <v>47</v>
      </c>
      <c r="O586" s="15">
        <v>299</v>
      </c>
      <c r="P586" s="15">
        <v>463.5</v>
      </c>
    </row>
    <row r="587" ht="14.25" spans="1:16">
      <c r="A587" s="13">
        <v>586</v>
      </c>
      <c r="B587" s="15">
        <v>12</v>
      </c>
      <c r="C587" s="16">
        <v>35</v>
      </c>
      <c r="D587" s="17" t="s">
        <v>1180</v>
      </c>
      <c r="E587" s="17" t="s">
        <v>1181</v>
      </c>
      <c r="F587" s="15">
        <v>86.75</v>
      </c>
      <c r="G587" s="15">
        <v>106.5</v>
      </c>
      <c r="H587" s="15">
        <v>65</v>
      </c>
      <c r="I587" s="15">
        <v>47</v>
      </c>
      <c r="J587" s="15"/>
      <c r="K587" s="15">
        <v>24</v>
      </c>
      <c r="L587" s="15"/>
      <c r="M587" s="15"/>
      <c r="N587" s="15">
        <v>25.5</v>
      </c>
      <c r="O587" s="15">
        <v>258.25</v>
      </c>
      <c r="P587" s="15">
        <v>354.75</v>
      </c>
    </row>
    <row r="588" ht="14.25" spans="1:16">
      <c r="A588" s="13">
        <v>587</v>
      </c>
      <c r="B588" s="15">
        <v>12</v>
      </c>
      <c r="C588" s="16">
        <v>37</v>
      </c>
      <c r="D588" s="17" t="s">
        <v>1182</v>
      </c>
      <c r="E588" s="17" t="s">
        <v>1183</v>
      </c>
      <c r="F588" s="15">
        <v>91.5</v>
      </c>
      <c r="G588" s="15">
        <v>98.5</v>
      </c>
      <c r="H588" s="15">
        <v>105</v>
      </c>
      <c r="I588" s="15">
        <v>33</v>
      </c>
      <c r="J588" s="15"/>
      <c r="K588" s="15">
        <v>42</v>
      </c>
      <c r="L588" s="15"/>
      <c r="M588" s="15"/>
      <c r="N588" s="15">
        <v>38</v>
      </c>
      <c r="O588" s="15">
        <v>295</v>
      </c>
      <c r="P588" s="15">
        <v>408</v>
      </c>
    </row>
    <row r="589" ht="14.25" spans="1:16">
      <c r="A589" s="13">
        <v>588</v>
      </c>
      <c r="B589" s="15">
        <v>12</v>
      </c>
      <c r="C589" s="16">
        <v>38</v>
      </c>
      <c r="D589" s="17" t="s">
        <v>1184</v>
      </c>
      <c r="E589" s="17" t="s">
        <v>1185</v>
      </c>
      <c r="F589" s="15">
        <v>93</v>
      </c>
      <c r="G589" s="15">
        <v>89.5</v>
      </c>
      <c r="H589" s="15">
        <v>95</v>
      </c>
      <c r="I589" s="15">
        <v>64.5</v>
      </c>
      <c r="J589" s="15"/>
      <c r="K589" s="15">
        <v>33</v>
      </c>
      <c r="L589" s="15"/>
      <c r="M589" s="15"/>
      <c r="N589" s="15">
        <v>47</v>
      </c>
      <c r="O589" s="15">
        <v>277.5</v>
      </c>
      <c r="P589" s="15">
        <v>422</v>
      </c>
    </row>
    <row r="590" ht="14.25" spans="1:16">
      <c r="A590" s="13">
        <v>589</v>
      </c>
      <c r="B590" s="15">
        <v>12</v>
      </c>
      <c r="C590" s="16">
        <v>39</v>
      </c>
      <c r="D590" s="17" t="s">
        <v>1186</v>
      </c>
      <c r="E590" s="17" t="s">
        <v>1187</v>
      </c>
      <c r="F590" s="15">
        <v>98</v>
      </c>
      <c r="G590" s="15">
        <v>116</v>
      </c>
      <c r="H590" s="15">
        <v>73.25</v>
      </c>
      <c r="I590" s="15">
        <v>65</v>
      </c>
      <c r="J590" s="15"/>
      <c r="K590" s="15">
        <v>40.5</v>
      </c>
      <c r="L590" s="15"/>
      <c r="M590" s="15"/>
      <c r="N590" s="15">
        <v>53</v>
      </c>
      <c r="O590" s="15">
        <v>287.25</v>
      </c>
      <c r="P590" s="15">
        <v>445.75</v>
      </c>
    </row>
    <row r="591" ht="14.25" spans="1:16">
      <c r="A591" s="13">
        <v>590</v>
      </c>
      <c r="B591" s="15">
        <v>12</v>
      </c>
      <c r="C591" s="16">
        <v>40</v>
      </c>
      <c r="D591" s="17" t="s">
        <v>1188</v>
      </c>
      <c r="E591" s="17" t="s">
        <v>1189</v>
      </c>
      <c r="F591" s="15">
        <v>105</v>
      </c>
      <c r="G591" s="15">
        <v>89.5</v>
      </c>
      <c r="H591" s="15">
        <v>105.5</v>
      </c>
      <c r="I591" s="15">
        <v>48.5</v>
      </c>
      <c r="J591" s="15"/>
      <c r="K591" s="15">
        <v>41.5</v>
      </c>
      <c r="L591" s="15"/>
      <c r="M591" s="15"/>
      <c r="N591" s="15">
        <v>39.5</v>
      </c>
      <c r="O591" s="15">
        <v>300</v>
      </c>
      <c r="P591" s="15">
        <v>429.5</v>
      </c>
    </row>
    <row r="592" ht="14.25" spans="1:16">
      <c r="A592" s="13">
        <v>591</v>
      </c>
      <c r="B592" s="15">
        <v>12</v>
      </c>
      <c r="C592" s="16">
        <v>41</v>
      </c>
      <c r="D592" s="17" t="s">
        <v>1190</v>
      </c>
      <c r="E592" s="17" t="s">
        <v>1191</v>
      </c>
      <c r="F592" s="15">
        <v>91.75</v>
      </c>
      <c r="G592" s="15">
        <v>91.5</v>
      </c>
      <c r="H592" s="15">
        <v>94.75</v>
      </c>
      <c r="I592" s="15">
        <v>35</v>
      </c>
      <c r="J592" s="15"/>
      <c r="K592" s="15">
        <v>37</v>
      </c>
      <c r="L592" s="15"/>
      <c r="M592" s="15"/>
      <c r="N592" s="15">
        <v>59</v>
      </c>
      <c r="O592" s="15">
        <v>278</v>
      </c>
      <c r="P592" s="15">
        <v>409</v>
      </c>
    </row>
    <row r="593" ht="14.25" spans="1:16">
      <c r="A593" s="13">
        <v>592</v>
      </c>
      <c r="B593" s="15">
        <v>12</v>
      </c>
      <c r="C593" s="16">
        <v>42</v>
      </c>
      <c r="D593" s="17" t="s">
        <v>1192</v>
      </c>
      <c r="E593" s="17" t="s">
        <v>1193</v>
      </c>
      <c r="F593" s="15">
        <v>103</v>
      </c>
      <c r="G593" s="15">
        <v>98</v>
      </c>
      <c r="H593" s="15">
        <v>97.5</v>
      </c>
      <c r="I593" s="15">
        <v>57</v>
      </c>
      <c r="J593" s="15"/>
      <c r="K593" s="15">
        <v>44.5</v>
      </c>
      <c r="L593" s="15"/>
      <c r="M593" s="15"/>
      <c r="N593" s="15">
        <v>64.5</v>
      </c>
      <c r="O593" s="15">
        <v>298.5</v>
      </c>
      <c r="P593" s="15">
        <v>464.5</v>
      </c>
    </row>
    <row r="594" ht="14.25" spans="1:16">
      <c r="A594" s="13">
        <v>593</v>
      </c>
      <c r="B594" s="15">
        <v>12</v>
      </c>
      <c r="C594" s="16">
        <v>43</v>
      </c>
      <c r="D594" s="17" t="s">
        <v>1194</v>
      </c>
      <c r="E594" s="17" t="s">
        <v>1195</v>
      </c>
      <c r="F594" s="15">
        <v>82</v>
      </c>
      <c r="G594" s="15">
        <v>109</v>
      </c>
      <c r="H594" s="15">
        <v>73.5</v>
      </c>
      <c r="I594" s="15">
        <v>43.5</v>
      </c>
      <c r="J594" s="15"/>
      <c r="K594" s="15">
        <v>39.5</v>
      </c>
      <c r="L594" s="15"/>
      <c r="M594" s="15"/>
      <c r="N594" s="15">
        <v>45</v>
      </c>
      <c r="O594" s="15">
        <v>264.5</v>
      </c>
      <c r="P594" s="15">
        <v>392.5</v>
      </c>
    </row>
    <row r="595" ht="14.25" spans="1:16">
      <c r="A595" s="13">
        <v>594</v>
      </c>
      <c r="B595" s="15">
        <v>12</v>
      </c>
      <c r="C595" s="16">
        <v>44</v>
      </c>
      <c r="D595" s="17" t="s">
        <v>1196</v>
      </c>
      <c r="E595" s="17" t="s">
        <v>1197</v>
      </c>
      <c r="F595" s="15">
        <v>103.5</v>
      </c>
      <c r="G595" s="15">
        <v>115.5</v>
      </c>
      <c r="H595" s="15">
        <v>75.25</v>
      </c>
      <c r="I595" s="15">
        <v>69</v>
      </c>
      <c r="J595" s="15"/>
      <c r="K595" s="15">
        <v>40</v>
      </c>
      <c r="L595" s="15"/>
      <c r="M595" s="15"/>
      <c r="N595" s="15">
        <v>52.5</v>
      </c>
      <c r="O595" s="15">
        <v>294.25</v>
      </c>
      <c r="P595" s="15">
        <v>455.75</v>
      </c>
    </row>
    <row r="596" ht="14.25" spans="1:16">
      <c r="A596" s="13">
        <v>595</v>
      </c>
      <c r="B596" s="15">
        <v>12</v>
      </c>
      <c r="C596" s="16">
        <v>45</v>
      </c>
      <c r="D596" s="17" t="s">
        <v>1198</v>
      </c>
      <c r="E596" s="17" t="s">
        <v>1199</v>
      </c>
      <c r="F596" s="15">
        <v>98</v>
      </c>
      <c r="G596" s="15">
        <v>110</v>
      </c>
      <c r="H596" s="15">
        <v>99.25</v>
      </c>
      <c r="I596" s="15">
        <v>39.5</v>
      </c>
      <c r="J596" s="15"/>
      <c r="K596" s="15">
        <v>35.5</v>
      </c>
      <c r="L596" s="15"/>
      <c r="M596" s="15"/>
      <c r="N596" s="15">
        <v>41</v>
      </c>
      <c r="O596" s="15">
        <v>307.25</v>
      </c>
      <c r="P596" s="15">
        <v>423.25</v>
      </c>
    </row>
    <row r="597" ht="14.25" spans="1:16">
      <c r="A597" s="13">
        <v>596</v>
      </c>
      <c r="B597" s="15">
        <v>12</v>
      </c>
      <c r="C597" s="16">
        <v>46</v>
      </c>
      <c r="D597" s="17" t="s">
        <v>1200</v>
      </c>
      <c r="E597" s="17" t="s">
        <v>1201</v>
      </c>
      <c r="F597" s="15">
        <v>97</v>
      </c>
      <c r="G597" s="15">
        <v>90</v>
      </c>
      <c r="H597" s="15">
        <v>105.75</v>
      </c>
      <c r="I597" s="15">
        <v>34</v>
      </c>
      <c r="J597" s="15"/>
      <c r="K597" s="15">
        <v>42.5</v>
      </c>
      <c r="L597" s="15"/>
      <c r="M597" s="15"/>
      <c r="N597" s="15">
        <v>44</v>
      </c>
      <c r="O597" s="15">
        <v>292.75</v>
      </c>
      <c r="P597" s="15">
        <v>413.25</v>
      </c>
    </row>
    <row r="598" ht="14.25" spans="1:16">
      <c r="A598" s="13">
        <v>597</v>
      </c>
      <c r="B598" s="15">
        <v>12</v>
      </c>
      <c r="C598" s="16">
        <v>47</v>
      </c>
      <c r="D598" s="17" t="s">
        <v>1202</v>
      </c>
      <c r="E598" s="17" t="s">
        <v>1203</v>
      </c>
      <c r="F598" s="15">
        <v>100.5</v>
      </c>
      <c r="G598" s="15">
        <v>91</v>
      </c>
      <c r="H598" s="15">
        <v>94.5</v>
      </c>
      <c r="I598" s="15">
        <v>39</v>
      </c>
      <c r="J598" s="15"/>
      <c r="K598" s="15">
        <v>40.5</v>
      </c>
      <c r="L598" s="15"/>
      <c r="M598" s="15"/>
      <c r="N598" s="15">
        <v>46</v>
      </c>
      <c r="O598" s="15">
        <v>286</v>
      </c>
      <c r="P598" s="15">
        <v>411.5</v>
      </c>
    </row>
    <row r="599" ht="14.25" spans="1:16">
      <c r="A599" s="13">
        <v>598</v>
      </c>
      <c r="B599" s="15">
        <v>12</v>
      </c>
      <c r="C599" s="16">
        <v>48</v>
      </c>
      <c r="D599" s="17" t="s">
        <v>1204</v>
      </c>
      <c r="E599" s="17" t="s">
        <v>1205</v>
      </c>
      <c r="F599" s="15">
        <v>97.5</v>
      </c>
      <c r="G599" s="15">
        <v>104</v>
      </c>
      <c r="H599" s="15">
        <v>76</v>
      </c>
      <c r="I599" s="15">
        <v>58.5</v>
      </c>
      <c r="J599" s="15"/>
      <c r="K599" s="15">
        <v>42</v>
      </c>
      <c r="L599" s="15"/>
      <c r="M599" s="15"/>
      <c r="N599" s="15">
        <v>45</v>
      </c>
      <c r="O599" s="15">
        <v>277.5</v>
      </c>
      <c r="P599" s="15">
        <v>423</v>
      </c>
    </row>
    <row r="600" ht="14.25" spans="1:16">
      <c r="A600" s="13">
        <v>599</v>
      </c>
      <c r="B600" s="15">
        <v>12</v>
      </c>
      <c r="C600" s="16">
        <v>49</v>
      </c>
      <c r="D600" s="17" t="s">
        <v>1206</v>
      </c>
      <c r="E600" s="17" t="s">
        <v>1207</v>
      </c>
      <c r="F600" s="15">
        <v>100.5</v>
      </c>
      <c r="G600" s="15">
        <v>93.5</v>
      </c>
      <c r="H600" s="15">
        <v>85.25</v>
      </c>
      <c r="I600" s="15">
        <v>43</v>
      </c>
      <c r="J600" s="15"/>
      <c r="K600" s="15">
        <v>33.5</v>
      </c>
      <c r="L600" s="15"/>
      <c r="M600" s="15"/>
      <c r="N600" s="15">
        <v>44</v>
      </c>
      <c r="O600" s="15">
        <v>279.25</v>
      </c>
      <c r="P600" s="15">
        <v>399.75</v>
      </c>
    </row>
    <row r="601" ht="14.25" spans="1:16">
      <c r="A601" s="13">
        <v>600</v>
      </c>
      <c r="B601" s="15">
        <v>12</v>
      </c>
      <c r="C601" s="16">
        <v>50</v>
      </c>
      <c r="D601" s="17" t="s">
        <v>1208</v>
      </c>
      <c r="E601" s="17" t="s">
        <v>1209</v>
      </c>
      <c r="F601" s="15">
        <v>103.5</v>
      </c>
      <c r="G601" s="15">
        <v>115</v>
      </c>
      <c r="H601" s="15">
        <v>87.75</v>
      </c>
      <c r="I601" s="15">
        <v>77</v>
      </c>
      <c r="J601" s="15"/>
      <c r="K601" s="15">
        <v>39</v>
      </c>
      <c r="L601" s="15"/>
      <c r="M601" s="15"/>
      <c r="N601" s="15">
        <v>54.5</v>
      </c>
      <c r="O601" s="15">
        <v>306.25</v>
      </c>
      <c r="P601" s="15">
        <v>476.75</v>
      </c>
    </row>
    <row r="602" ht="14.25" spans="1:16">
      <c r="A602" s="13">
        <v>601</v>
      </c>
      <c r="B602" s="15">
        <v>12</v>
      </c>
      <c r="C602" s="16">
        <v>51</v>
      </c>
      <c r="D602" s="17" t="s">
        <v>1210</v>
      </c>
      <c r="E602" s="17" t="s">
        <v>1211</v>
      </c>
      <c r="F602" s="15">
        <v>92</v>
      </c>
      <c r="G602" s="15">
        <v>65</v>
      </c>
      <c r="H602" s="15">
        <v>75</v>
      </c>
      <c r="I602" s="15">
        <v>26.5</v>
      </c>
      <c r="J602" s="15"/>
      <c r="K602" s="15">
        <v>28.5</v>
      </c>
      <c r="L602" s="15"/>
      <c r="M602" s="15"/>
      <c r="N602" s="15">
        <v>33.5</v>
      </c>
      <c r="O602" s="15">
        <v>232</v>
      </c>
      <c r="P602" s="15">
        <v>320.5</v>
      </c>
    </row>
    <row r="603" ht="14.25" spans="1:16">
      <c r="A603" s="13">
        <v>602</v>
      </c>
      <c r="B603" s="15">
        <v>12</v>
      </c>
      <c r="C603" s="16">
        <v>52</v>
      </c>
      <c r="D603" s="17" t="s">
        <v>1212</v>
      </c>
      <c r="E603" s="17" t="s">
        <v>1213</v>
      </c>
      <c r="F603" s="15">
        <v>99</v>
      </c>
      <c r="G603" s="15">
        <v>105.5</v>
      </c>
      <c r="H603" s="15">
        <v>59.5</v>
      </c>
      <c r="I603" s="15">
        <v>45</v>
      </c>
      <c r="J603" s="15"/>
      <c r="K603" s="15">
        <v>26.5</v>
      </c>
      <c r="L603" s="15"/>
      <c r="M603" s="15"/>
      <c r="N603" s="15">
        <v>44</v>
      </c>
      <c r="O603" s="15">
        <v>264</v>
      </c>
      <c r="P603" s="15">
        <v>379.5</v>
      </c>
    </row>
    <row r="604" ht="14.25" spans="1:16">
      <c r="A604" s="13">
        <v>603</v>
      </c>
      <c r="B604" s="15">
        <v>12</v>
      </c>
      <c r="C604" s="16">
        <v>53</v>
      </c>
      <c r="D604" s="17" t="s">
        <v>1214</v>
      </c>
      <c r="E604" s="17" t="s">
        <v>1215</v>
      </c>
      <c r="F604" s="15">
        <v>94</v>
      </c>
      <c r="G604" s="15">
        <v>104.5</v>
      </c>
      <c r="H604" s="15">
        <v>82.25</v>
      </c>
      <c r="I604" s="15">
        <v>59.5</v>
      </c>
      <c r="J604" s="15"/>
      <c r="K604" s="15">
        <v>40</v>
      </c>
      <c r="L604" s="15"/>
      <c r="M604" s="15"/>
      <c r="N604" s="15">
        <v>35.5</v>
      </c>
      <c r="O604" s="15">
        <v>280.75</v>
      </c>
      <c r="P604" s="15">
        <v>415.75</v>
      </c>
    </row>
    <row r="605" ht="14.25" spans="1:16">
      <c r="A605" s="13">
        <v>604</v>
      </c>
      <c r="B605" s="15">
        <v>12</v>
      </c>
      <c r="C605" s="16">
        <v>54</v>
      </c>
      <c r="D605" s="17" t="s">
        <v>1216</v>
      </c>
      <c r="E605" s="17" t="s">
        <v>1217</v>
      </c>
      <c r="F605" s="15">
        <v>85.5</v>
      </c>
      <c r="G605" s="15">
        <v>94.5</v>
      </c>
      <c r="H605" s="15">
        <v>67</v>
      </c>
      <c r="I605" s="15">
        <v>44</v>
      </c>
      <c r="J605" s="15"/>
      <c r="K605" s="15">
        <v>33</v>
      </c>
      <c r="L605" s="15"/>
      <c r="M605" s="15"/>
      <c r="N605" s="15">
        <v>44.5</v>
      </c>
      <c r="O605" s="15">
        <v>247</v>
      </c>
      <c r="P605" s="15">
        <v>368.5</v>
      </c>
    </row>
    <row r="606" ht="14.25" spans="1:16">
      <c r="A606" s="13">
        <v>605</v>
      </c>
      <c r="B606" s="15">
        <v>12</v>
      </c>
      <c r="C606" s="16">
        <v>55</v>
      </c>
      <c r="D606" s="17" t="s">
        <v>1218</v>
      </c>
      <c r="E606" s="17" t="s">
        <v>1219</v>
      </c>
      <c r="F606" s="15">
        <v>103.5</v>
      </c>
      <c r="G606" s="15">
        <v>82</v>
      </c>
      <c r="H606" s="15">
        <v>120</v>
      </c>
      <c r="I606" s="15">
        <v>17.5</v>
      </c>
      <c r="J606" s="15"/>
      <c r="K606" s="15">
        <v>25</v>
      </c>
      <c r="L606" s="15"/>
      <c r="M606" s="15"/>
      <c r="N606" s="15">
        <v>38</v>
      </c>
      <c r="O606" s="15">
        <v>305.5</v>
      </c>
      <c r="P606" s="15">
        <v>386</v>
      </c>
    </row>
    <row r="607" ht="14.25" spans="1:16">
      <c r="A607" s="13">
        <v>606</v>
      </c>
      <c r="B607" s="15">
        <v>12</v>
      </c>
      <c r="C607" s="16">
        <v>56</v>
      </c>
      <c r="D607" s="17" t="s">
        <v>1220</v>
      </c>
      <c r="E607" s="17" t="s">
        <v>1221</v>
      </c>
      <c r="F607" s="15">
        <v>95</v>
      </c>
      <c r="G607" s="15">
        <v>88</v>
      </c>
      <c r="H607" s="15">
        <v>93</v>
      </c>
      <c r="I607" s="15">
        <v>46</v>
      </c>
      <c r="J607" s="15"/>
      <c r="K607" s="15">
        <v>28.5</v>
      </c>
      <c r="L607" s="15"/>
      <c r="M607" s="15"/>
      <c r="N607" s="15">
        <v>46</v>
      </c>
      <c r="O607" s="15">
        <v>276</v>
      </c>
      <c r="P607" s="15">
        <v>396.5</v>
      </c>
    </row>
    <row r="608" ht="14.25" spans="1:16">
      <c r="A608" s="13">
        <v>607</v>
      </c>
      <c r="B608" s="15">
        <v>12</v>
      </c>
      <c r="C608" s="16">
        <v>57</v>
      </c>
      <c r="D608" s="17" t="s">
        <v>1222</v>
      </c>
      <c r="E608" s="17" t="s">
        <v>1223</v>
      </c>
      <c r="F608" s="15">
        <v>83.5</v>
      </c>
      <c r="G608" s="15">
        <v>89.5</v>
      </c>
      <c r="H608" s="15">
        <v>80</v>
      </c>
      <c r="I608" s="15">
        <v>35.5</v>
      </c>
      <c r="J608" s="15"/>
      <c r="K608" s="15">
        <v>49</v>
      </c>
      <c r="L608" s="15"/>
      <c r="M608" s="15"/>
      <c r="N608" s="15">
        <v>43</v>
      </c>
      <c r="O608" s="15">
        <v>253</v>
      </c>
      <c r="P608" s="15">
        <v>380.5</v>
      </c>
    </row>
    <row r="609" ht="14.25" spans="1:16">
      <c r="A609" s="13">
        <v>608</v>
      </c>
      <c r="B609" s="15">
        <v>12</v>
      </c>
      <c r="C609" s="16">
        <v>58</v>
      </c>
      <c r="D609" s="17" t="s">
        <v>1224</v>
      </c>
      <c r="E609" s="17" t="s">
        <v>1225</v>
      </c>
      <c r="F609" s="15">
        <v>97</v>
      </c>
      <c r="G609" s="15">
        <v>93.5</v>
      </c>
      <c r="H609" s="15">
        <v>106.75</v>
      </c>
      <c r="I609" s="15">
        <v>61</v>
      </c>
      <c r="J609" s="15"/>
      <c r="K609" s="15">
        <v>46</v>
      </c>
      <c r="L609" s="15"/>
      <c r="M609" s="15"/>
      <c r="N609" s="15">
        <v>53.5</v>
      </c>
      <c r="O609" s="15">
        <v>297.25</v>
      </c>
      <c r="P609" s="15">
        <v>457.75</v>
      </c>
    </row>
    <row r="610" ht="14.25" spans="1:16">
      <c r="A610" s="13">
        <v>609</v>
      </c>
      <c r="B610" s="20">
        <v>12</v>
      </c>
      <c r="C610" s="16">
        <v>59</v>
      </c>
      <c r="D610" s="19" t="s">
        <v>1226</v>
      </c>
      <c r="E610" s="17" t="s">
        <v>1227</v>
      </c>
      <c r="F610" s="15">
        <v>96.25</v>
      </c>
      <c r="G610" s="15">
        <v>110</v>
      </c>
      <c r="H610" s="15">
        <v>93</v>
      </c>
      <c r="I610" s="15">
        <v>36</v>
      </c>
      <c r="J610" s="15"/>
      <c r="K610" s="15">
        <v>52.5</v>
      </c>
      <c r="L610" s="15"/>
      <c r="M610" s="15"/>
      <c r="N610" s="15">
        <v>40.5</v>
      </c>
      <c r="O610" s="15">
        <v>299.25</v>
      </c>
      <c r="P610" s="15">
        <v>428.25</v>
      </c>
    </row>
    <row r="611" ht="14.25" spans="1:16">
      <c r="A611" s="13">
        <v>610</v>
      </c>
      <c r="B611" s="15">
        <v>13</v>
      </c>
      <c r="C611" s="16">
        <v>1</v>
      </c>
      <c r="D611" s="17" t="s">
        <v>1228</v>
      </c>
      <c r="E611" s="17" t="s">
        <v>1229</v>
      </c>
      <c r="F611" s="15">
        <v>104</v>
      </c>
      <c r="G611" s="15">
        <v>94.5</v>
      </c>
      <c r="H611" s="15">
        <v>87</v>
      </c>
      <c r="I611" s="15">
        <v>44.5</v>
      </c>
      <c r="J611" s="15"/>
      <c r="K611" s="15">
        <v>33.5</v>
      </c>
      <c r="L611" s="15"/>
      <c r="M611" s="15"/>
      <c r="N611" s="15">
        <v>47</v>
      </c>
      <c r="O611" s="15">
        <v>285.5</v>
      </c>
      <c r="P611" s="15">
        <v>410.5</v>
      </c>
    </row>
    <row r="612" ht="14.25" spans="1:16">
      <c r="A612" s="13">
        <v>611</v>
      </c>
      <c r="B612" s="15">
        <v>13</v>
      </c>
      <c r="C612" s="16">
        <v>2</v>
      </c>
      <c r="D612" s="17" t="s">
        <v>1230</v>
      </c>
      <c r="E612" s="17" t="s">
        <v>1231</v>
      </c>
      <c r="F612" s="15">
        <v>99</v>
      </c>
      <c r="G612" s="15">
        <v>113.5</v>
      </c>
      <c r="H612" s="15">
        <v>85</v>
      </c>
      <c r="I612" s="15">
        <v>54.5</v>
      </c>
      <c r="J612" s="15"/>
      <c r="K612" s="15">
        <v>49.5</v>
      </c>
      <c r="L612" s="15"/>
      <c r="M612" s="15"/>
      <c r="N612" s="15">
        <v>54</v>
      </c>
      <c r="O612" s="15">
        <v>297.5</v>
      </c>
      <c r="P612" s="15">
        <v>455.5</v>
      </c>
    </row>
    <row r="613" ht="14.25" spans="1:16">
      <c r="A613" s="13">
        <v>612</v>
      </c>
      <c r="B613" s="15">
        <v>13</v>
      </c>
      <c r="C613" s="16">
        <v>3</v>
      </c>
      <c r="D613" s="17" t="s">
        <v>1232</v>
      </c>
      <c r="E613" s="17" t="s">
        <v>1233</v>
      </c>
      <c r="F613" s="15">
        <v>95</v>
      </c>
      <c r="G613" s="15">
        <v>117</v>
      </c>
      <c r="H613" s="15">
        <v>87</v>
      </c>
      <c r="I613" s="15">
        <v>66.5</v>
      </c>
      <c r="J613" s="15"/>
      <c r="K613" s="15">
        <v>40.5</v>
      </c>
      <c r="L613" s="15"/>
      <c r="M613" s="15"/>
      <c r="N613" s="15">
        <v>57.5</v>
      </c>
      <c r="O613" s="15">
        <v>299</v>
      </c>
      <c r="P613" s="15">
        <v>463.5</v>
      </c>
    </row>
    <row r="614" ht="14.25" spans="1:16">
      <c r="A614" s="13">
        <v>613</v>
      </c>
      <c r="B614" s="15">
        <v>13</v>
      </c>
      <c r="C614" s="16">
        <v>4</v>
      </c>
      <c r="D614" s="17" t="s">
        <v>1234</v>
      </c>
      <c r="E614" s="17" t="s">
        <v>1235</v>
      </c>
      <c r="F614" s="15">
        <v>97</v>
      </c>
      <c r="G614" s="15">
        <v>88</v>
      </c>
      <c r="H614" s="15">
        <v>85.5</v>
      </c>
      <c r="I614" s="15">
        <v>50</v>
      </c>
      <c r="J614" s="15"/>
      <c r="K614" s="15">
        <v>30</v>
      </c>
      <c r="L614" s="15"/>
      <c r="M614" s="15"/>
      <c r="N614" s="15">
        <v>51.5</v>
      </c>
      <c r="O614" s="15">
        <v>270.5</v>
      </c>
      <c r="P614" s="15">
        <v>402</v>
      </c>
    </row>
    <row r="615" ht="14.25" spans="1:16">
      <c r="A615" s="13">
        <v>614</v>
      </c>
      <c r="B615" s="15">
        <v>13</v>
      </c>
      <c r="C615" s="16">
        <v>5</v>
      </c>
      <c r="D615" s="17" t="s">
        <v>1236</v>
      </c>
      <c r="E615" s="17" t="s">
        <v>1237</v>
      </c>
      <c r="F615" s="15">
        <v>103.5</v>
      </c>
      <c r="G615" s="15">
        <v>62.5</v>
      </c>
      <c r="H615" s="15">
        <v>106.5</v>
      </c>
      <c r="I615" s="15">
        <v>29.5</v>
      </c>
      <c r="J615" s="15"/>
      <c r="K615" s="15">
        <v>34.5</v>
      </c>
      <c r="L615" s="15"/>
      <c r="M615" s="15"/>
      <c r="N615" s="15">
        <v>42</v>
      </c>
      <c r="O615" s="15">
        <v>272.5</v>
      </c>
      <c r="P615" s="15">
        <v>378.5</v>
      </c>
    </row>
    <row r="616" ht="14.25" spans="1:16">
      <c r="A616" s="13">
        <v>615</v>
      </c>
      <c r="B616" s="15">
        <v>13</v>
      </c>
      <c r="C616" s="16">
        <v>6</v>
      </c>
      <c r="D616" s="17" t="s">
        <v>1238</v>
      </c>
      <c r="E616" s="17" t="s">
        <v>1239</v>
      </c>
      <c r="F616" s="15">
        <v>91</v>
      </c>
      <c r="G616" s="15">
        <v>114</v>
      </c>
      <c r="H616" s="15">
        <v>81.25</v>
      </c>
      <c r="I616" s="15">
        <v>51.5</v>
      </c>
      <c r="J616" s="15"/>
      <c r="K616" s="15">
        <v>30.5</v>
      </c>
      <c r="L616" s="15"/>
      <c r="M616" s="15"/>
      <c r="N616" s="15">
        <v>38.5</v>
      </c>
      <c r="O616" s="15">
        <v>286.25</v>
      </c>
      <c r="P616" s="15">
        <v>406.75</v>
      </c>
    </row>
    <row r="617" ht="14.25" spans="1:16">
      <c r="A617" s="13">
        <v>616</v>
      </c>
      <c r="B617" s="15">
        <v>13</v>
      </c>
      <c r="C617" s="16">
        <v>7</v>
      </c>
      <c r="D617" s="17" t="s">
        <v>1240</v>
      </c>
      <c r="E617" s="17" t="s">
        <v>1241</v>
      </c>
      <c r="F617" s="15">
        <v>71.5</v>
      </c>
      <c r="G617" s="15">
        <v>91.5</v>
      </c>
      <c r="H617" s="15">
        <v>103.75</v>
      </c>
      <c r="I617" s="15">
        <v>56.5</v>
      </c>
      <c r="J617" s="15"/>
      <c r="K617" s="15">
        <v>47</v>
      </c>
      <c r="L617" s="15"/>
      <c r="M617" s="15"/>
      <c r="N617" s="15">
        <v>50</v>
      </c>
      <c r="O617" s="15">
        <v>266.75</v>
      </c>
      <c r="P617" s="15">
        <v>420.25</v>
      </c>
    </row>
    <row r="618" ht="14.25" spans="1:16">
      <c r="A618" s="13">
        <v>617</v>
      </c>
      <c r="B618" s="15">
        <v>13</v>
      </c>
      <c r="C618" s="16">
        <v>8</v>
      </c>
      <c r="D618" s="17" t="s">
        <v>1242</v>
      </c>
      <c r="E618" s="17" t="s">
        <v>1243</v>
      </c>
      <c r="F618" s="15">
        <v>86.5</v>
      </c>
      <c r="G618" s="15">
        <v>93</v>
      </c>
      <c r="H618" s="15">
        <v>45.5</v>
      </c>
      <c r="I618" s="15">
        <v>30</v>
      </c>
      <c r="J618" s="15"/>
      <c r="K618" s="15">
        <v>22</v>
      </c>
      <c r="L618" s="15"/>
      <c r="M618" s="15"/>
      <c r="N618" s="15">
        <v>44.5</v>
      </c>
      <c r="O618" s="15">
        <v>225</v>
      </c>
      <c r="P618" s="15">
        <v>321.5</v>
      </c>
    </row>
    <row r="619" ht="14.25" spans="1:16">
      <c r="A619" s="13">
        <v>618</v>
      </c>
      <c r="B619" s="15">
        <v>13</v>
      </c>
      <c r="C619" s="16">
        <v>9</v>
      </c>
      <c r="D619" s="17" t="s">
        <v>1244</v>
      </c>
      <c r="E619" s="17" t="s">
        <v>1245</v>
      </c>
      <c r="F619" s="15">
        <v>112</v>
      </c>
      <c r="G619" s="15">
        <v>105</v>
      </c>
      <c r="H619" s="15">
        <v>107.75</v>
      </c>
      <c r="I619" s="15">
        <v>60</v>
      </c>
      <c r="J619" s="15"/>
      <c r="K619" s="15">
        <v>40.5</v>
      </c>
      <c r="L619" s="15"/>
      <c r="M619" s="15"/>
      <c r="N619" s="15">
        <v>66.5</v>
      </c>
      <c r="O619" s="15">
        <v>324.75</v>
      </c>
      <c r="P619" s="15">
        <v>491.75</v>
      </c>
    </row>
    <row r="620" ht="14.25" spans="1:16">
      <c r="A620" s="13">
        <v>619</v>
      </c>
      <c r="B620" s="15">
        <v>13</v>
      </c>
      <c r="C620" s="16">
        <v>10</v>
      </c>
      <c r="D620" s="17" t="s">
        <v>1246</v>
      </c>
      <c r="E620" s="17" t="s">
        <v>1247</v>
      </c>
      <c r="F620" s="15">
        <v>98</v>
      </c>
      <c r="G620" s="15">
        <v>103.5</v>
      </c>
      <c r="H620" s="15">
        <v>69.5</v>
      </c>
      <c r="I620" s="15">
        <v>45.5</v>
      </c>
      <c r="J620" s="15"/>
      <c r="K620" s="15">
        <v>41</v>
      </c>
      <c r="L620" s="15"/>
      <c r="M620" s="15"/>
      <c r="N620" s="15">
        <v>46.5</v>
      </c>
      <c r="O620" s="15">
        <v>271</v>
      </c>
      <c r="P620" s="15">
        <v>404</v>
      </c>
    </row>
    <row r="621" ht="14.25" spans="1:16">
      <c r="A621" s="13">
        <v>620</v>
      </c>
      <c r="B621" s="15">
        <v>13</v>
      </c>
      <c r="C621" s="16">
        <v>12</v>
      </c>
      <c r="D621" s="17" t="s">
        <v>1248</v>
      </c>
      <c r="E621" s="17" t="s">
        <v>1249</v>
      </c>
      <c r="F621" s="15">
        <v>98.25</v>
      </c>
      <c r="G621" s="15">
        <v>113.5</v>
      </c>
      <c r="H621" s="15">
        <v>82.5</v>
      </c>
      <c r="I621" s="15">
        <v>39.5</v>
      </c>
      <c r="J621" s="15"/>
      <c r="K621" s="15">
        <v>50</v>
      </c>
      <c r="L621" s="15"/>
      <c r="M621" s="15"/>
      <c r="N621" s="15">
        <v>40.5</v>
      </c>
      <c r="O621" s="15">
        <v>294.25</v>
      </c>
      <c r="P621" s="15">
        <v>424.25</v>
      </c>
    </row>
    <row r="622" ht="14.25" spans="1:16">
      <c r="A622" s="13">
        <v>621</v>
      </c>
      <c r="B622" s="15">
        <v>13</v>
      </c>
      <c r="C622" s="16">
        <v>13</v>
      </c>
      <c r="D622" s="17" t="s">
        <v>1250</v>
      </c>
      <c r="E622" s="17" t="s">
        <v>1251</v>
      </c>
      <c r="F622" s="15">
        <v>88</v>
      </c>
      <c r="G622" s="15">
        <v>80</v>
      </c>
      <c r="H622" s="15">
        <v>84.75</v>
      </c>
      <c r="I622" s="15">
        <v>35</v>
      </c>
      <c r="J622" s="15"/>
      <c r="K622" s="15">
        <v>31.5</v>
      </c>
      <c r="L622" s="15"/>
      <c r="M622" s="15"/>
      <c r="N622" s="15">
        <v>34.5</v>
      </c>
      <c r="O622" s="15">
        <v>252.75</v>
      </c>
      <c r="P622" s="15">
        <v>353.75</v>
      </c>
    </row>
    <row r="623" ht="14.25" spans="1:16">
      <c r="A623" s="13">
        <v>622</v>
      </c>
      <c r="B623" s="15">
        <v>13</v>
      </c>
      <c r="C623" s="16">
        <v>15</v>
      </c>
      <c r="D623" s="17" t="s">
        <v>1252</v>
      </c>
      <c r="E623" s="17" t="s">
        <v>1253</v>
      </c>
      <c r="F623" s="15">
        <v>90.5</v>
      </c>
      <c r="G623" s="15">
        <v>104.5</v>
      </c>
      <c r="H623" s="15">
        <v>96</v>
      </c>
      <c r="I623" s="15">
        <v>48.5</v>
      </c>
      <c r="J623" s="15"/>
      <c r="K623" s="15">
        <v>60</v>
      </c>
      <c r="L623" s="15"/>
      <c r="M623" s="15"/>
      <c r="N623" s="15">
        <v>44.5</v>
      </c>
      <c r="O623" s="15">
        <v>291</v>
      </c>
      <c r="P623" s="15">
        <v>444</v>
      </c>
    </row>
    <row r="624" ht="14.25" spans="1:16">
      <c r="A624" s="13">
        <v>623</v>
      </c>
      <c r="B624" s="15">
        <v>13</v>
      </c>
      <c r="C624" s="16">
        <v>16</v>
      </c>
      <c r="D624" s="17" t="s">
        <v>1254</v>
      </c>
      <c r="E624" s="17" t="s">
        <v>1255</v>
      </c>
      <c r="F624" s="15">
        <v>95</v>
      </c>
      <c r="G624" s="15">
        <v>93.5</v>
      </c>
      <c r="H624" s="15">
        <v>100</v>
      </c>
      <c r="I624" s="15">
        <v>45</v>
      </c>
      <c r="J624" s="15"/>
      <c r="K624" s="15">
        <v>40.5</v>
      </c>
      <c r="L624" s="15"/>
      <c r="M624" s="15"/>
      <c r="N624" s="15">
        <v>45</v>
      </c>
      <c r="O624" s="15">
        <v>288.5</v>
      </c>
      <c r="P624" s="15">
        <v>419</v>
      </c>
    </row>
    <row r="625" ht="14.25" spans="1:16">
      <c r="A625" s="13">
        <v>624</v>
      </c>
      <c r="B625" s="15">
        <v>13</v>
      </c>
      <c r="C625" s="16">
        <v>17</v>
      </c>
      <c r="D625" s="17" t="s">
        <v>1256</v>
      </c>
      <c r="E625" s="17" t="s">
        <v>1257</v>
      </c>
      <c r="F625" s="15">
        <v>97.5</v>
      </c>
      <c r="G625" s="15">
        <v>106</v>
      </c>
      <c r="H625" s="15">
        <v>82.75</v>
      </c>
      <c r="I625" s="15">
        <v>40.5</v>
      </c>
      <c r="J625" s="15"/>
      <c r="K625" s="15">
        <v>30.5</v>
      </c>
      <c r="L625" s="15"/>
      <c r="M625" s="15"/>
      <c r="N625" s="15">
        <v>55</v>
      </c>
      <c r="O625" s="15">
        <v>286.25</v>
      </c>
      <c r="P625" s="15">
        <v>412.25</v>
      </c>
    </row>
    <row r="626" ht="14.25" spans="1:16">
      <c r="A626" s="13">
        <v>625</v>
      </c>
      <c r="B626" s="15">
        <v>13</v>
      </c>
      <c r="C626" s="16">
        <v>18</v>
      </c>
      <c r="D626" s="17" t="s">
        <v>1258</v>
      </c>
      <c r="E626" s="17" t="s">
        <v>1259</v>
      </c>
      <c r="F626" s="15">
        <v>104</v>
      </c>
      <c r="G626" s="15">
        <v>92</v>
      </c>
      <c r="H626" s="15">
        <v>114.5</v>
      </c>
      <c r="I626" s="15">
        <v>60.5</v>
      </c>
      <c r="J626" s="15"/>
      <c r="K626" s="15">
        <v>38.5</v>
      </c>
      <c r="L626" s="15"/>
      <c r="M626" s="15"/>
      <c r="N626" s="15">
        <v>47</v>
      </c>
      <c r="O626" s="15">
        <v>310.5</v>
      </c>
      <c r="P626" s="15">
        <v>456.5</v>
      </c>
    </row>
    <row r="627" ht="14.25" spans="1:16">
      <c r="A627" s="13">
        <v>626</v>
      </c>
      <c r="B627" s="15">
        <v>13</v>
      </c>
      <c r="C627" s="16">
        <v>19</v>
      </c>
      <c r="D627" s="17" t="s">
        <v>1260</v>
      </c>
      <c r="E627" s="17" t="s">
        <v>1261</v>
      </c>
      <c r="F627" s="15">
        <v>104.25</v>
      </c>
      <c r="G627" s="15">
        <v>104</v>
      </c>
      <c r="H627" s="15">
        <v>99</v>
      </c>
      <c r="I627" s="15">
        <v>53</v>
      </c>
      <c r="J627" s="15"/>
      <c r="K627" s="15">
        <v>46</v>
      </c>
      <c r="L627" s="15"/>
      <c r="M627" s="15"/>
      <c r="N627" s="15">
        <v>45.5</v>
      </c>
      <c r="O627" s="15">
        <v>307.25</v>
      </c>
      <c r="P627" s="15">
        <v>451.75</v>
      </c>
    </row>
    <row r="628" ht="14.25" spans="1:16">
      <c r="A628" s="13">
        <v>627</v>
      </c>
      <c r="B628" s="15">
        <v>13</v>
      </c>
      <c r="C628" s="16">
        <v>20</v>
      </c>
      <c r="D628" s="17" t="s">
        <v>1262</v>
      </c>
      <c r="E628" s="17" t="s">
        <v>1263</v>
      </c>
      <c r="F628" s="15">
        <v>96</v>
      </c>
      <c r="G628" s="15">
        <v>109.5</v>
      </c>
      <c r="H628" s="15">
        <v>104.25</v>
      </c>
      <c r="I628" s="15">
        <v>42</v>
      </c>
      <c r="J628" s="15"/>
      <c r="K628" s="15">
        <v>50</v>
      </c>
      <c r="L628" s="15"/>
      <c r="M628" s="15"/>
      <c r="N628" s="15">
        <v>52.5</v>
      </c>
      <c r="O628" s="15">
        <v>309.75</v>
      </c>
      <c r="P628" s="15">
        <v>454.25</v>
      </c>
    </row>
    <row r="629" ht="14.25" spans="1:16">
      <c r="A629" s="13">
        <v>628</v>
      </c>
      <c r="B629" s="15">
        <v>13</v>
      </c>
      <c r="C629" s="16">
        <v>21</v>
      </c>
      <c r="D629" s="17" t="s">
        <v>1264</v>
      </c>
      <c r="E629" s="17" t="s">
        <v>1265</v>
      </c>
      <c r="F629" s="15">
        <v>100.5</v>
      </c>
      <c r="G629" s="15">
        <v>104</v>
      </c>
      <c r="H629" s="15">
        <v>105.75</v>
      </c>
      <c r="I629" s="15">
        <v>46</v>
      </c>
      <c r="J629" s="15"/>
      <c r="K629" s="15">
        <v>46.5</v>
      </c>
      <c r="L629" s="15"/>
      <c r="M629" s="15"/>
      <c r="N629" s="15">
        <v>53</v>
      </c>
      <c r="O629" s="15">
        <v>310.25</v>
      </c>
      <c r="P629" s="15">
        <v>455.75</v>
      </c>
    </row>
    <row r="630" ht="14.25" spans="1:16">
      <c r="A630" s="13">
        <v>629</v>
      </c>
      <c r="B630" s="15">
        <v>13</v>
      </c>
      <c r="C630" s="16">
        <v>22</v>
      </c>
      <c r="D630" s="17" t="s">
        <v>1266</v>
      </c>
      <c r="E630" s="17" t="s">
        <v>1267</v>
      </c>
      <c r="F630" s="15">
        <v>101.5</v>
      </c>
      <c r="G630" s="15">
        <v>84.5</v>
      </c>
      <c r="H630" s="15">
        <v>92</v>
      </c>
      <c r="I630" s="15">
        <v>42.5</v>
      </c>
      <c r="J630" s="15"/>
      <c r="K630" s="15">
        <v>41.5</v>
      </c>
      <c r="L630" s="15"/>
      <c r="M630" s="15"/>
      <c r="N630" s="15">
        <v>47.5</v>
      </c>
      <c r="O630" s="15">
        <v>278</v>
      </c>
      <c r="P630" s="15">
        <v>409.5</v>
      </c>
    </row>
    <row r="631" ht="14.25" spans="1:16">
      <c r="A631" s="13">
        <v>630</v>
      </c>
      <c r="B631" s="15">
        <v>13</v>
      </c>
      <c r="C631" s="16">
        <v>23</v>
      </c>
      <c r="D631" s="17" t="s">
        <v>1268</v>
      </c>
      <c r="E631" s="17" t="s">
        <v>1269</v>
      </c>
      <c r="F631" s="15">
        <v>102.25</v>
      </c>
      <c r="G631" s="15">
        <v>88.5</v>
      </c>
      <c r="H631" s="15">
        <v>87</v>
      </c>
      <c r="I631" s="15">
        <v>35.5</v>
      </c>
      <c r="J631" s="15"/>
      <c r="K631" s="15">
        <v>36.5</v>
      </c>
      <c r="L631" s="15"/>
      <c r="M631" s="15"/>
      <c r="N631" s="15">
        <v>51.5</v>
      </c>
      <c r="O631" s="15">
        <v>277.75</v>
      </c>
      <c r="P631" s="15">
        <v>401.25</v>
      </c>
    </row>
    <row r="632" ht="14.25" spans="1:16">
      <c r="A632" s="13">
        <v>631</v>
      </c>
      <c r="B632" s="15">
        <v>13</v>
      </c>
      <c r="C632" s="16">
        <v>24</v>
      </c>
      <c r="D632" s="17" t="s">
        <v>1270</v>
      </c>
      <c r="E632" s="17" t="s">
        <v>1271</v>
      </c>
      <c r="F632" s="15">
        <v>108</v>
      </c>
      <c r="G632" s="15">
        <v>82</v>
      </c>
      <c r="H632" s="15">
        <v>95</v>
      </c>
      <c r="I632" s="15">
        <v>34</v>
      </c>
      <c r="J632" s="15"/>
      <c r="K632" s="15">
        <v>33</v>
      </c>
      <c r="L632" s="15"/>
      <c r="M632" s="15"/>
      <c r="N632" s="15">
        <v>55.5</v>
      </c>
      <c r="O632" s="15">
        <v>285</v>
      </c>
      <c r="P632" s="15">
        <v>407.5</v>
      </c>
    </row>
    <row r="633" ht="14.25" spans="1:16">
      <c r="A633" s="13">
        <v>632</v>
      </c>
      <c r="B633" s="15">
        <v>13</v>
      </c>
      <c r="C633" s="16">
        <v>25</v>
      </c>
      <c r="D633" s="17" t="s">
        <v>1272</v>
      </c>
      <c r="E633" s="17" t="s">
        <v>1273</v>
      </c>
      <c r="F633" s="15">
        <v>95</v>
      </c>
      <c r="G633" s="15">
        <v>91</v>
      </c>
      <c r="H633" s="15">
        <v>79</v>
      </c>
      <c r="I633" s="15">
        <v>61</v>
      </c>
      <c r="J633" s="15"/>
      <c r="K633" s="15">
        <v>57.5</v>
      </c>
      <c r="L633" s="15"/>
      <c r="M633" s="15"/>
      <c r="N633" s="15">
        <v>53</v>
      </c>
      <c r="O633" s="15">
        <v>265</v>
      </c>
      <c r="P633" s="15">
        <v>436.5</v>
      </c>
    </row>
    <row r="634" ht="14.25" spans="1:16">
      <c r="A634" s="13">
        <v>633</v>
      </c>
      <c r="B634" s="15">
        <v>13</v>
      </c>
      <c r="C634" s="16">
        <v>26</v>
      </c>
      <c r="D634" s="17" t="s">
        <v>1274</v>
      </c>
      <c r="E634" s="17" t="s">
        <v>1275</v>
      </c>
      <c r="F634" s="15">
        <v>84.5</v>
      </c>
      <c r="G634" s="15">
        <v>83</v>
      </c>
      <c r="H634" s="15">
        <v>88.25</v>
      </c>
      <c r="I634" s="15">
        <v>42</v>
      </c>
      <c r="J634" s="15"/>
      <c r="K634" s="15">
        <v>32.5</v>
      </c>
      <c r="L634" s="15"/>
      <c r="M634" s="15"/>
      <c r="N634" s="15">
        <v>47</v>
      </c>
      <c r="O634" s="15">
        <v>255.75</v>
      </c>
      <c r="P634" s="15">
        <v>377.25</v>
      </c>
    </row>
    <row r="635" ht="14.25" spans="1:16">
      <c r="A635" s="13">
        <v>634</v>
      </c>
      <c r="B635" s="15">
        <v>13</v>
      </c>
      <c r="C635" s="16">
        <v>27</v>
      </c>
      <c r="D635" s="17" t="s">
        <v>1276</v>
      </c>
      <c r="E635" s="17" t="s">
        <v>1277</v>
      </c>
      <c r="F635" s="15">
        <v>94.75</v>
      </c>
      <c r="G635" s="15">
        <v>118.5</v>
      </c>
      <c r="H635" s="15">
        <v>93.75</v>
      </c>
      <c r="I635" s="15">
        <v>53.5</v>
      </c>
      <c r="J635" s="15"/>
      <c r="K635" s="15">
        <v>44.5</v>
      </c>
      <c r="L635" s="15"/>
      <c r="M635" s="15"/>
      <c r="N635" s="15">
        <v>47.5</v>
      </c>
      <c r="O635" s="15">
        <v>307</v>
      </c>
      <c r="P635" s="15">
        <v>452.5</v>
      </c>
    </row>
    <row r="636" ht="14.25" spans="1:16">
      <c r="A636" s="13">
        <v>635</v>
      </c>
      <c r="B636" s="15">
        <v>13</v>
      </c>
      <c r="C636" s="16">
        <v>28</v>
      </c>
      <c r="D636" s="17" t="s">
        <v>1278</v>
      </c>
      <c r="E636" s="17" t="s">
        <v>1279</v>
      </c>
      <c r="F636" s="15">
        <v>101</v>
      </c>
      <c r="G636" s="15">
        <v>112</v>
      </c>
      <c r="H636" s="15">
        <v>103.75</v>
      </c>
      <c r="I636" s="15">
        <v>56</v>
      </c>
      <c r="J636" s="15"/>
      <c r="K636" s="15">
        <v>60.5</v>
      </c>
      <c r="L636" s="15"/>
      <c r="M636" s="15"/>
      <c r="N636" s="15">
        <v>68</v>
      </c>
      <c r="O636" s="15">
        <v>316.75</v>
      </c>
      <c r="P636" s="15">
        <v>501.25</v>
      </c>
    </row>
    <row r="637" ht="14.25" spans="1:16">
      <c r="A637" s="13">
        <v>636</v>
      </c>
      <c r="B637" s="15">
        <v>13</v>
      </c>
      <c r="C637" s="16">
        <v>29</v>
      </c>
      <c r="D637" s="17" t="s">
        <v>1280</v>
      </c>
      <c r="E637" s="17" t="s">
        <v>1281</v>
      </c>
      <c r="F637" s="15">
        <v>91</v>
      </c>
      <c r="G637" s="15">
        <v>87.5</v>
      </c>
      <c r="H637" s="15">
        <v>82.75</v>
      </c>
      <c r="I637" s="15">
        <v>45</v>
      </c>
      <c r="J637" s="15"/>
      <c r="K637" s="15">
        <v>38</v>
      </c>
      <c r="L637" s="15"/>
      <c r="M637" s="15"/>
      <c r="N637" s="15">
        <v>59</v>
      </c>
      <c r="O637" s="15">
        <v>261.25</v>
      </c>
      <c r="P637" s="15">
        <v>403.25</v>
      </c>
    </row>
    <row r="638" ht="14.25" spans="1:16">
      <c r="A638" s="13">
        <v>637</v>
      </c>
      <c r="B638" s="15">
        <v>13</v>
      </c>
      <c r="C638" s="16">
        <v>30</v>
      </c>
      <c r="D638" s="17" t="s">
        <v>1282</v>
      </c>
      <c r="E638" s="17" t="s">
        <v>1283</v>
      </c>
      <c r="F638" s="15">
        <v>104</v>
      </c>
      <c r="G638" s="15">
        <v>92.5</v>
      </c>
      <c r="H638" s="15">
        <v>79.5</v>
      </c>
      <c r="I638" s="15">
        <v>47.5</v>
      </c>
      <c r="J638" s="15"/>
      <c r="K638" s="15">
        <v>32.5</v>
      </c>
      <c r="L638" s="15"/>
      <c r="M638" s="15"/>
      <c r="N638" s="15">
        <v>52</v>
      </c>
      <c r="O638" s="15">
        <v>276</v>
      </c>
      <c r="P638" s="15">
        <v>408</v>
      </c>
    </row>
    <row r="639" ht="14.25" spans="1:16">
      <c r="A639" s="13">
        <v>638</v>
      </c>
      <c r="B639" s="15">
        <v>13</v>
      </c>
      <c r="C639" s="16">
        <v>31</v>
      </c>
      <c r="D639" s="19" t="s">
        <v>1284</v>
      </c>
      <c r="E639" s="17" t="s">
        <v>847</v>
      </c>
      <c r="F639" s="15">
        <v>95.5</v>
      </c>
      <c r="G639" s="15">
        <v>104.5</v>
      </c>
      <c r="H639" s="15">
        <v>95.75</v>
      </c>
      <c r="I639" s="15">
        <v>64.5</v>
      </c>
      <c r="J639" s="15"/>
      <c r="K639" s="15">
        <v>59</v>
      </c>
      <c r="L639" s="15"/>
      <c r="M639" s="15"/>
      <c r="N639" s="15">
        <v>48.5</v>
      </c>
      <c r="O639" s="15">
        <v>295.75</v>
      </c>
      <c r="P639" s="15">
        <v>467.75</v>
      </c>
    </row>
    <row r="640" ht="14.25" spans="1:16">
      <c r="A640" s="13">
        <v>639</v>
      </c>
      <c r="B640" s="15">
        <v>13</v>
      </c>
      <c r="C640" s="16">
        <v>32</v>
      </c>
      <c r="D640" s="17" t="s">
        <v>1285</v>
      </c>
      <c r="E640" s="17" t="s">
        <v>1286</v>
      </c>
      <c r="F640" s="15">
        <v>106.5</v>
      </c>
      <c r="G640" s="15">
        <v>133.5</v>
      </c>
      <c r="H640" s="15">
        <v>93</v>
      </c>
      <c r="I640" s="15">
        <v>75.5</v>
      </c>
      <c r="J640" s="15"/>
      <c r="K640" s="15">
        <v>44.5</v>
      </c>
      <c r="L640" s="15"/>
      <c r="M640" s="15"/>
      <c r="N640" s="15">
        <v>54.5</v>
      </c>
      <c r="O640" s="15">
        <v>333</v>
      </c>
      <c r="P640" s="15">
        <v>507.5</v>
      </c>
    </row>
    <row r="641" ht="14.25" spans="1:16">
      <c r="A641" s="13">
        <v>640</v>
      </c>
      <c r="B641" s="15">
        <v>13</v>
      </c>
      <c r="C641" s="16">
        <v>33</v>
      </c>
      <c r="D641" s="17" t="s">
        <v>1287</v>
      </c>
      <c r="E641" s="17" t="s">
        <v>1288</v>
      </c>
      <c r="F641" s="15">
        <v>101</v>
      </c>
      <c r="G641" s="15">
        <v>87.5</v>
      </c>
      <c r="H641" s="15">
        <v>89</v>
      </c>
      <c r="I641" s="15">
        <v>45</v>
      </c>
      <c r="J641" s="15"/>
      <c r="K641" s="15">
        <v>26</v>
      </c>
      <c r="L641" s="15"/>
      <c r="M641" s="15"/>
      <c r="N641" s="15">
        <v>46</v>
      </c>
      <c r="O641" s="15">
        <v>277.5</v>
      </c>
      <c r="P641" s="15">
        <v>394.5</v>
      </c>
    </row>
    <row r="642" ht="14.25" spans="1:16">
      <c r="A642" s="13">
        <v>641</v>
      </c>
      <c r="B642" s="15">
        <v>13</v>
      </c>
      <c r="C642" s="16">
        <v>34</v>
      </c>
      <c r="D642" s="17" t="s">
        <v>1289</v>
      </c>
      <c r="E642" s="17" t="s">
        <v>1290</v>
      </c>
      <c r="F642" s="15">
        <v>90.5</v>
      </c>
      <c r="G642" s="15">
        <v>110</v>
      </c>
      <c r="H642" s="15">
        <v>80</v>
      </c>
      <c r="I642" s="15">
        <v>42</v>
      </c>
      <c r="J642" s="15"/>
      <c r="K642" s="15">
        <v>35</v>
      </c>
      <c r="L642" s="15"/>
      <c r="M642" s="15"/>
      <c r="N642" s="15">
        <v>57</v>
      </c>
      <c r="O642" s="15">
        <v>280.5</v>
      </c>
      <c r="P642" s="15">
        <v>414.5</v>
      </c>
    </row>
    <row r="643" ht="14.25" spans="1:16">
      <c r="A643" s="13">
        <v>642</v>
      </c>
      <c r="B643" s="15">
        <v>13</v>
      </c>
      <c r="C643" s="16">
        <v>35</v>
      </c>
      <c r="D643" s="17" t="s">
        <v>1291</v>
      </c>
      <c r="E643" s="17" t="s">
        <v>1292</v>
      </c>
      <c r="F643" s="15">
        <v>114.25</v>
      </c>
      <c r="G643" s="15">
        <v>110</v>
      </c>
      <c r="H643" s="15">
        <v>109.25</v>
      </c>
      <c r="I643" s="15">
        <v>62.5</v>
      </c>
      <c r="J643" s="15"/>
      <c r="K643" s="15">
        <v>48</v>
      </c>
      <c r="L643" s="15"/>
      <c r="M643" s="15"/>
      <c r="N643" s="15">
        <v>74</v>
      </c>
      <c r="O643" s="15">
        <v>333.5</v>
      </c>
      <c r="P643" s="15">
        <v>518</v>
      </c>
    </row>
    <row r="644" ht="14.25" spans="1:16">
      <c r="A644" s="13">
        <v>643</v>
      </c>
      <c r="B644" s="15">
        <v>13</v>
      </c>
      <c r="C644" s="16">
        <v>36</v>
      </c>
      <c r="D644" s="17" t="s">
        <v>1293</v>
      </c>
      <c r="E644" s="17" t="s">
        <v>1294</v>
      </c>
      <c r="F644" s="15">
        <v>99.5</v>
      </c>
      <c r="G644" s="15">
        <v>89</v>
      </c>
      <c r="H644" s="15">
        <v>86.75</v>
      </c>
      <c r="I644" s="15">
        <v>49</v>
      </c>
      <c r="J644" s="15"/>
      <c r="K644" s="15">
        <v>41.5</v>
      </c>
      <c r="L644" s="15"/>
      <c r="M644" s="15"/>
      <c r="N644" s="15">
        <v>45.5</v>
      </c>
      <c r="O644" s="15">
        <v>275.25</v>
      </c>
      <c r="P644" s="15">
        <v>411.25</v>
      </c>
    </row>
    <row r="645" ht="14.25" spans="1:16">
      <c r="A645" s="13">
        <v>644</v>
      </c>
      <c r="B645" s="15">
        <v>13</v>
      </c>
      <c r="C645" s="16">
        <v>37</v>
      </c>
      <c r="D645" s="17" t="s">
        <v>1295</v>
      </c>
      <c r="E645" s="17" t="s">
        <v>1296</v>
      </c>
      <c r="F645" s="15">
        <v>96.5</v>
      </c>
      <c r="G645" s="15">
        <v>88</v>
      </c>
      <c r="H645" s="15">
        <v>91.5</v>
      </c>
      <c r="I645" s="15">
        <v>59.5</v>
      </c>
      <c r="J645" s="15"/>
      <c r="K645" s="15">
        <v>42.5</v>
      </c>
      <c r="L645" s="15"/>
      <c r="M645" s="15"/>
      <c r="N645" s="15">
        <v>51</v>
      </c>
      <c r="O645" s="15">
        <v>276</v>
      </c>
      <c r="P645" s="15">
        <v>429</v>
      </c>
    </row>
    <row r="646" ht="14.25" spans="1:16">
      <c r="A646" s="13">
        <v>645</v>
      </c>
      <c r="B646" s="15">
        <v>13</v>
      </c>
      <c r="C646" s="16">
        <v>38</v>
      </c>
      <c r="D646" s="17" t="s">
        <v>1297</v>
      </c>
      <c r="E646" s="17" t="s">
        <v>1298</v>
      </c>
      <c r="F646" s="15">
        <v>95.5</v>
      </c>
      <c r="G646" s="15">
        <v>86.5</v>
      </c>
      <c r="H646" s="15">
        <v>102</v>
      </c>
      <c r="I646" s="15">
        <v>57.5</v>
      </c>
      <c r="J646" s="15"/>
      <c r="K646" s="15">
        <v>51.5</v>
      </c>
      <c r="L646" s="15"/>
      <c r="M646" s="15"/>
      <c r="N646" s="15">
        <v>50</v>
      </c>
      <c r="O646" s="15">
        <v>284</v>
      </c>
      <c r="P646" s="15">
        <v>443</v>
      </c>
    </row>
    <row r="647" ht="14.25" spans="1:16">
      <c r="A647" s="13">
        <v>646</v>
      </c>
      <c r="B647" s="15">
        <v>13</v>
      </c>
      <c r="C647" s="16">
        <v>40</v>
      </c>
      <c r="D647" s="17" t="s">
        <v>1299</v>
      </c>
      <c r="E647" s="17" t="s">
        <v>1300</v>
      </c>
      <c r="F647" s="15">
        <v>94</v>
      </c>
      <c r="G647" s="15">
        <v>108.5</v>
      </c>
      <c r="H647" s="15">
        <v>76</v>
      </c>
      <c r="I647" s="15">
        <v>64.5</v>
      </c>
      <c r="J647" s="15"/>
      <c r="K647" s="15">
        <v>46.5</v>
      </c>
      <c r="L647" s="15"/>
      <c r="M647" s="15"/>
      <c r="N647" s="15">
        <v>66</v>
      </c>
      <c r="O647" s="15">
        <v>278.5</v>
      </c>
      <c r="P647" s="15">
        <v>455.5</v>
      </c>
    </row>
    <row r="648" ht="14.25" spans="1:16">
      <c r="A648" s="13">
        <v>647</v>
      </c>
      <c r="B648" s="15">
        <v>13</v>
      </c>
      <c r="C648" s="16">
        <v>41</v>
      </c>
      <c r="D648" s="17" t="s">
        <v>1301</v>
      </c>
      <c r="E648" s="17" t="s">
        <v>1302</v>
      </c>
      <c r="F648" s="15">
        <v>104</v>
      </c>
      <c r="G648" s="15">
        <v>94.5</v>
      </c>
      <c r="H648" s="15">
        <v>70.5</v>
      </c>
      <c r="I648" s="15">
        <v>49</v>
      </c>
      <c r="J648" s="15"/>
      <c r="K648" s="15">
        <v>39</v>
      </c>
      <c r="L648" s="15"/>
      <c r="M648" s="15"/>
      <c r="N648" s="15">
        <v>49.5</v>
      </c>
      <c r="O648" s="15">
        <v>269</v>
      </c>
      <c r="P648" s="15">
        <v>406.5</v>
      </c>
    </row>
    <row r="649" ht="14.25" spans="1:16">
      <c r="A649" s="13">
        <v>648</v>
      </c>
      <c r="B649" s="15">
        <v>13</v>
      </c>
      <c r="C649" s="16">
        <v>42</v>
      </c>
      <c r="D649" s="17" t="s">
        <v>1303</v>
      </c>
      <c r="E649" s="17" t="s">
        <v>1304</v>
      </c>
      <c r="F649" s="15">
        <v>89</v>
      </c>
      <c r="G649" s="15">
        <v>81</v>
      </c>
      <c r="H649" s="15">
        <v>72.25</v>
      </c>
      <c r="I649" s="15">
        <v>34.5</v>
      </c>
      <c r="J649" s="15"/>
      <c r="K649" s="15">
        <v>32.5</v>
      </c>
      <c r="L649" s="15"/>
      <c r="M649" s="15"/>
      <c r="N649" s="15">
        <v>43</v>
      </c>
      <c r="O649" s="15">
        <v>242.25</v>
      </c>
      <c r="P649" s="15">
        <v>352.25</v>
      </c>
    </row>
    <row r="650" ht="14.25" spans="1:16">
      <c r="A650" s="13">
        <v>649</v>
      </c>
      <c r="B650" s="15">
        <v>13</v>
      </c>
      <c r="C650" s="16">
        <v>43</v>
      </c>
      <c r="D650" s="17" t="s">
        <v>1305</v>
      </c>
      <c r="E650" s="17" t="s">
        <v>1306</v>
      </c>
      <c r="F650" s="15">
        <v>93.5</v>
      </c>
      <c r="G650" s="15">
        <v>102</v>
      </c>
      <c r="H650" s="15">
        <v>84</v>
      </c>
      <c r="I650" s="15">
        <v>32.5</v>
      </c>
      <c r="J650" s="15"/>
      <c r="K650" s="15">
        <v>33</v>
      </c>
      <c r="L650" s="15"/>
      <c r="M650" s="15"/>
      <c r="N650" s="15">
        <v>43</v>
      </c>
      <c r="O650" s="15">
        <v>279.5</v>
      </c>
      <c r="P650" s="15">
        <v>388</v>
      </c>
    </row>
    <row r="651" ht="14.25" spans="1:16">
      <c r="A651" s="13">
        <v>650</v>
      </c>
      <c r="B651" s="15">
        <v>13</v>
      </c>
      <c r="C651" s="16">
        <v>44</v>
      </c>
      <c r="D651" s="17" t="s">
        <v>1307</v>
      </c>
      <c r="E651" s="17" t="s">
        <v>1308</v>
      </c>
      <c r="F651" s="15">
        <v>95.5</v>
      </c>
      <c r="G651" s="15">
        <v>120.5</v>
      </c>
      <c r="H651" s="15">
        <v>88</v>
      </c>
      <c r="I651" s="15">
        <v>66.5</v>
      </c>
      <c r="J651" s="15"/>
      <c r="K651" s="15">
        <v>29.5</v>
      </c>
      <c r="L651" s="15"/>
      <c r="M651" s="15"/>
      <c r="N651" s="15">
        <v>45</v>
      </c>
      <c r="O651" s="15">
        <v>304</v>
      </c>
      <c r="P651" s="15">
        <v>445</v>
      </c>
    </row>
    <row r="652" ht="14.25" spans="1:16">
      <c r="A652" s="13">
        <v>651</v>
      </c>
      <c r="B652" s="15">
        <v>13</v>
      </c>
      <c r="C652" s="16">
        <v>45</v>
      </c>
      <c r="D652" s="17" t="s">
        <v>1309</v>
      </c>
      <c r="E652" s="17" t="s">
        <v>1310</v>
      </c>
      <c r="F652" s="15">
        <v>96.5</v>
      </c>
      <c r="G652" s="15">
        <v>97.5</v>
      </c>
      <c r="H652" s="15">
        <v>98</v>
      </c>
      <c r="I652" s="15">
        <v>60.5</v>
      </c>
      <c r="J652" s="15"/>
      <c r="K652" s="15">
        <v>41.5</v>
      </c>
      <c r="L652" s="15"/>
      <c r="M652" s="15"/>
      <c r="N652" s="15">
        <v>51.5</v>
      </c>
      <c r="O652" s="15">
        <v>292</v>
      </c>
      <c r="P652" s="15">
        <v>445.5</v>
      </c>
    </row>
    <row r="653" ht="14.25" spans="1:16">
      <c r="A653" s="13">
        <v>652</v>
      </c>
      <c r="B653" s="15">
        <v>13</v>
      </c>
      <c r="C653" s="16">
        <v>46</v>
      </c>
      <c r="D653" s="17" t="s">
        <v>1311</v>
      </c>
      <c r="E653" s="17" t="s">
        <v>1312</v>
      </c>
      <c r="F653" s="15">
        <v>98.25</v>
      </c>
      <c r="G653" s="15">
        <v>84</v>
      </c>
      <c r="H653" s="15">
        <v>90</v>
      </c>
      <c r="I653" s="15">
        <v>56</v>
      </c>
      <c r="J653" s="15"/>
      <c r="K653" s="15">
        <v>49.5</v>
      </c>
      <c r="L653" s="15"/>
      <c r="M653" s="15"/>
      <c r="N653" s="15">
        <v>50</v>
      </c>
      <c r="O653" s="15">
        <v>272.25</v>
      </c>
      <c r="P653" s="15">
        <v>427.75</v>
      </c>
    </row>
    <row r="654" ht="14.25" spans="1:16">
      <c r="A654" s="13">
        <v>653</v>
      </c>
      <c r="B654" s="15">
        <v>13</v>
      </c>
      <c r="C654" s="16">
        <v>47</v>
      </c>
      <c r="D654" s="17" t="s">
        <v>1313</v>
      </c>
      <c r="E654" s="17" t="s">
        <v>1314</v>
      </c>
      <c r="F654" s="15">
        <v>99.5</v>
      </c>
      <c r="G654" s="15">
        <v>107.5</v>
      </c>
      <c r="H654" s="15">
        <v>85.5</v>
      </c>
      <c r="I654" s="15">
        <v>47</v>
      </c>
      <c r="J654" s="15"/>
      <c r="K654" s="15">
        <v>41.5</v>
      </c>
      <c r="L654" s="15"/>
      <c r="M654" s="15"/>
      <c r="N654" s="15">
        <v>47</v>
      </c>
      <c r="O654" s="15">
        <v>292.5</v>
      </c>
      <c r="P654" s="15">
        <v>428</v>
      </c>
    </row>
    <row r="655" ht="14.25" spans="1:16">
      <c r="A655" s="13">
        <v>654</v>
      </c>
      <c r="B655" s="15">
        <v>13</v>
      </c>
      <c r="C655" s="16">
        <v>48</v>
      </c>
      <c r="D655" s="17" t="s">
        <v>1315</v>
      </c>
      <c r="E655" s="17" t="s">
        <v>1316</v>
      </c>
      <c r="F655" s="15">
        <v>110</v>
      </c>
      <c r="G655" s="15">
        <v>121</v>
      </c>
      <c r="H655" s="15">
        <v>99.25</v>
      </c>
      <c r="I655" s="15">
        <v>67</v>
      </c>
      <c r="J655" s="15"/>
      <c r="K655" s="15">
        <v>54</v>
      </c>
      <c r="L655" s="15"/>
      <c r="M655" s="15"/>
      <c r="N655" s="15">
        <v>61</v>
      </c>
      <c r="O655" s="15">
        <v>330.25</v>
      </c>
      <c r="P655" s="15">
        <v>512.25</v>
      </c>
    </row>
    <row r="656" ht="14.25" spans="1:16">
      <c r="A656" s="13">
        <v>655</v>
      </c>
      <c r="B656" s="15">
        <v>13</v>
      </c>
      <c r="C656" s="16">
        <v>49</v>
      </c>
      <c r="D656" s="17" t="s">
        <v>1317</v>
      </c>
      <c r="E656" s="17" t="s">
        <v>1318</v>
      </c>
      <c r="F656" s="15">
        <v>91.5</v>
      </c>
      <c r="G656" s="15">
        <v>114.5</v>
      </c>
      <c r="H656" s="15">
        <v>88.5</v>
      </c>
      <c r="I656" s="15">
        <v>33</v>
      </c>
      <c r="J656" s="15"/>
      <c r="K656" s="15">
        <v>54</v>
      </c>
      <c r="L656" s="15"/>
      <c r="M656" s="15"/>
      <c r="N656" s="15">
        <v>43</v>
      </c>
      <c r="O656" s="15">
        <v>294.5</v>
      </c>
      <c r="P656" s="15">
        <v>424.5</v>
      </c>
    </row>
    <row r="657" ht="14.25" spans="1:16">
      <c r="A657" s="13">
        <v>656</v>
      </c>
      <c r="B657" s="15">
        <v>13</v>
      </c>
      <c r="C657" s="16">
        <v>50</v>
      </c>
      <c r="D657" s="17" t="s">
        <v>1319</v>
      </c>
      <c r="E657" s="17" t="s">
        <v>1320</v>
      </c>
      <c r="F657" s="15">
        <v>99.5</v>
      </c>
      <c r="G657" s="15">
        <v>78</v>
      </c>
      <c r="H657" s="15">
        <v>59.75</v>
      </c>
      <c r="I657" s="15">
        <v>37.5</v>
      </c>
      <c r="J657" s="15"/>
      <c r="K657" s="15">
        <v>39.5</v>
      </c>
      <c r="L657" s="15"/>
      <c r="M657" s="15"/>
      <c r="N657" s="15">
        <v>58.5</v>
      </c>
      <c r="O657" s="15">
        <v>237.25</v>
      </c>
      <c r="P657" s="15">
        <v>372.75</v>
      </c>
    </row>
    <row r="658" ht="14.25" spans="1:16">
      <c r="A658" s="13">
        <v>657</v>
      </c>
      <c r="B658" s="15">
        <v>13</v>
      </c>
      <c r="C658" s="16">
        <v>51</v>
      </c>
      <c r="D658" s="17" t="s">
        <v>1321</v>
      </c>
      <c r="E658" s="17" t="s">
        <v>1322</v>
      </c>
      <c r="F658" s="15">
        <v>93</v>
      </c>
      <c r="G658" s="15">
        <v>101.5</v>
      </c>
      <c r="H658" s="15">
        <v>97.5</v>
      </c>
      <c r="I658" s="15">
        <v>62</v>
      </c>
      <c r="J658" s="15"/>
      <c r="K658" s="15">
        <v>35.5</v>
      </c>
      <c r="L658" s="15"/>
      <c r="M658" s="15"/>
      <c r="N658" s="15">
        <v>53</v>
      </c>
      <c r="O658" s="15">
        <v>292</v>
      </c>
      <c r="P658" s="15">
        <v>442.5</v>
      </c>
    </row>
    <row r="659" ht="14.25" spans="1:16">
      <c r="A659" s="13">
        <v>658</v>
      </c>
      <c r="B659" s="15">
        <v>13</v>
      </c>
      <c r="C659" s="16">
        <v>52</v>
      </c>
      <c r="D659" s="17" t="s">
        <v>1323</v>
      </c>
      <c r="E659" s="17" t="s">
        <v>1324</v>
      </c>
      <c r="F659" s="15">
        <v>103</v>
      </c>
      <c r="G659" s="15">
        <v>101.5</v>
      </c>
      <c r="H659" s="15">
        <v>93.5</v>
      </c>
      <c r="I659" s="15">
        <v>66</v>
      </c>
      <c r="J659" s="15"/>
      <c r="K659" s="15">
        <v>41</v>
      </c>
      <c r="L659" s="15"/>
      <c r="M659" s="15"/>
      <c r="N659" s="15">
        <v>59</v>
      </c>
      <c r="O659" s="15">
        <v>298</v>
      </c>
      <c r="P659" s="15">
        <v>464</v>
      </c>
    </row>
    <row r="660" ht="14.25" spans="1:16">
      <c r="A660" s="13">
        <v>659</v>
      </c>
      <c r="B660" s="15">
        <v>13</v>
      </c>
      <c r="C660" s="16">
        <v>53</v>
      </c>
      <c r="D660" s="17" t="s">
        <v>1325</v>
      </c>
      <c r="E660" s="17" t="s">
        <v>49</v>
      </c>
      <c r="F660" s="15">
        <v>83</v>
      </c>
      <c r="G660" s="15">
        <v>104</v>
      </c>
      <c r="H660" s="15">
        <v>70.5</v>
      </c>
      <c r="I660" s="15">
        <v>60</v>
      </c>
      <c r="J660" s="15"/>
      <c r="K660" s="15">
        <v>41.5</v>
      </c>
      <c r="L660" s="15"/>
      <c r="M660" s="15"/>
      <c r="N660" s="15">
        <v>51.5</v>
      </c>
      <c r="O660" s="15">
        <v>257.5</v>
      </c>
      <c r="P660" s="15">
        <v>410.5</v>
      </c>
    </row>
    <row r="661" ht="14.25" spans="1:16">
      <c r="A661" s="13">
        <v>660</v>
      </c>
      <c r="B661" s="15">
        <v>13</v>
      </c>
      <c r="C661" s="16">
        <v>54</v>
      </c>
      <c r="D661" s="17" t="s">
        <v>1326</v>
      </c>
      <c r="E661" s="17" t="s">
        <v>1327</v>
      </c>
      <c r="F661" s="15">
        <v>97</v>
      </c>
      <c r="G661" s="15">
        <v>113.5</v>
      </c>
      <c r="H661" s="15">
        <v>94.25</v>
      </c>
      <c r="I661" s="15">
        <v>55</v>
      </c>
      <c r="J661" s="15"/>
      <c r="K661" s="15">
        <v>47</v>
      </c>
      <c r="L661" s="15"/>
      <c r="M661" s="15"/>
      <c r="N661" s="15">
        <v>55</v>
      </c>
      <c r="O661" s="15">
        <v>304.75</v>
      </c>
      <c r="P661" s="15">
        <v>461.75</v>
      </c>
    </row>
    <row r="662" ht="14.25" spans="1:16">
      <c r="A662" s="13">
        <v>661</v>
      </c>
      <c r="B662" s="15">
        <v>13</v>
      </c>
      <c r="C662" s="16">
        <v>55</v>
      </c>
      <c r="D662" s="17" t="s">
        <v>1328</v>
      </c>
      <c r="E662" s="17" t="s">
        <v>1329</v>
      </c>
      <c r="F662" s="15">
        <v>97.5</v>
      </c>
      <c r="G662" s="15">
        <v>103.5</v>
      </c>
      <c r="H662" s="15">
        <v>72</v>
      </c>
      <c r="I662" s="15">
        <v>49.5</v>
      </c>
      <c r="J662" s="15"/>
      <c r="K662" s="15">
        <v>36.5</v>
      </c>
      <c r="L662" s="15"/>
      <c r="M662" s="15"/>
      <c r="N662" s="15">
        <v>49</v>
      </c>
      <c r="O662" s="15">
        <v>273</v>
      </c>
      <c r="P662" s="15">
        <v>408</v>
      </c>
    </row>
    <row r="663" ht="14.25" spans="1:16">
      <c r="A663" s="13">
        <v>662</v>
      </c>
      <c r="B663" s="15">
        <v>13</v>
      </c>
      <c r="C663" s="16">
        <v>56</v>
      </c>
      <c r="D663" s="17" t="s">
        <v>1330</v>
      </c>
      <c r="E663" s="17" t="s">
        <v>1331</v>
      </c>
      <c r="F663" s="15">
        <v>103.5</v>
      </c>
      <c r="G663" s="15">
        <v>73</v>
      </c>
      <c r="H663" s="15">
        <v>87</v>
      </c>
      <c r="I663" s="15">
        <v>27.5</v>
      </c>
      <c r="J663" s="15"/>
      <c r="K663" s="15">
        <v>36</v>
      </c>
      <c r="L663" s="15"/>
      <c r="M663" s="15"/>
      <c r="N663" s="15">
        <v>44</v>
      </c>
      <c r="O663" s="15">
        <v>263.5</v>
      </c>
      <c r="P663" s="15">
        <v>371</v>
      </c>
    </row>
    <row r="664" ht="14.25" spans="1:16">
      <c r="A664" s="13">
        <v>663</v>
      </c>
      <c r="B664" s="15">
        <v>13</v>
      </c>
      <c r="C664" s="16">
        <v>58</v>
      </c>
      <c r="D664" s="17" t="s">
        <v>1332</v>
      </c>
      <c r="E664" s="17" t="s">
        <v>1333</v>
      </c>
      <c r="F664" s="15">
        <v>94.5</v>
      </c>
      <c r="G664" s="15">
        <v>67.5</v>
      </c>
      <c r="H664" s="15">
        <v>82.5</v>
      </c>
      <c r="I664" s="15">
        <v>42.5</v>
      </c>
      <c r="J664" s="15"/>
      <c r="K664" s="15">
        <v>37.5</v>
      </c>
      <c r="L664" s="15"/>
      <c r="M664" s="15"/>
      <c r="N664" s="15">
        <v>46.5</v>
      </c>
      <c r="O664" s="15">
        <v>244.5</v>
      </c>
      <c r="P664" s="15">
        <v>371</v>
      </c>
    </row>
    <row r="665" ht="14.25" spans="1:16">
      <c r="A665" s="13">
        <v>664</v>
      </c>
      <c r="B665" s="15">
        <v>14</v>
      </c>
      <c r="C665" s="16">
        <v>1</v>
      </c>
      <c r="D665" s="15" t="s">
        <v>1334</v>
      </c>
      <c r="E665" s="15" t="s">
        <v>1335</v>
      </c>
      <c r="F665" s="15">
        <v>98</v>
      </c>
      <c r="G665" s="15">
        <v>79.5</v>
      </c>
      <c r="H665" s="15">
        <v>95.75</v>
      </c>
      <c r="I665" s="15"/>
      <c r="J665" s="15">
        <v>68.5</v>
      </c>
      <c r="K665" s="15"/>
      <c r="L665" s="15"/>
      <c r="M665" s="15">
        <v>60.5</v>
      </c>
      <c r="N665" s="15">
        <v>35</v>
      </c>
      <c r="O665" s="15">
        <v>273.25</v>
      </c>
      <c r="P665" s="15">
        <v>437.25</v>
      </c>
    </row>
    <row r="666" ht="14.25" spans="1:16">
      <c r="A666" s="13">
        <v>665</v>
      </c>
      <c r="B666" s="15">
        <v>14</v>
      </c>
      <c r="C666" s="16">
        <v>2</v>
      </c>
      <c r="D666" s="15" t="s">
        <v>1336</v>
      </c>
      <c r="E666" s="15" t="s">
        <v>1337</v>
      </c>
      <c r="F666" s="15">
        <v>98</v>
      </c>
      <c r="G666" s="15">
        <v>94.5</v>
      </c>
      <c r="H666" s="15">
        <v>106</v>
      </c>
      <c r="I666" s="15"/>
      <c r="J666" s="15">
        <v>70</v>
      </c>
      <c r="K666" s="15"/>
      <c r="L666" s="15"/>
      <c r="M666" s="15">
        <v>53</v>
      </c>
      <c r="N666" s="15">
        <v>38</v>
      </c>
      <c r="O666" s="15">
        <v>298.5</v>
      </c>
      <c r="P666" s="15">
        <v>459.5</v>
      </c>
    </row>
    <row r="667" ht="14.25" spans="1:16">
      <c r="A667" s="13">
        <v>666</v>
      </c>
      <c r="B667" s="15">
        <v>14</v>
      </c>
      <c r="C667" s="16">
        <v>3</v>
      </c>
      <c r="D667" s="15" t="s">
        <v>1338</v>
      </c>
      <c r="E667" s="15" t="s">
        <v>1339</v>
      </c>
      <c r="F667" s="15">
        <v>102.5</v>
      </c>
      <c r="G667" s="15">
        <v>117.5</v>
      </c>
      <c r="H667" s="15">
        <v>108</v>
      </c>
      <c r="I667" s="15"/>
      <c r="J667" s="15">
        <v>46</v>
      </c>
      <c r="K667" s="15"/>
      <c r="L667" s="15"/>
      <c r="M667" s="15">
        <v>68</v>
      </c>
      <c r="N667" s="15">
        <v>43</v>
      </c>
      <c r="O667" s="15">
        <v>328</v>
      </c>
      <c r="P667" s="15">
        <v>485</v>
      </c>
    </row>
    <row r="668" ht="14.25" spans="1:16">
      <c r="A668" s="13">
        <v>667</v>
      </c>
      <c r="B668" s="15">
        <v>14</v>
      </c>
      <c r="C668" s="16">
        <v>4</v>
      </c>
      <c r="D668" s="15" t="s">
        <v>1340</v>
      </c>
      <c r="E668" s="15" t="s">
        <v>1341</v>
      </c>
      <c r="F668" s="15">
        <v>100.75</v>
      </c>
      <c r="G668" s="15">
        <v>110</v>
      </c>
      <c r="H668" s="15">
        <v>115.75</v>
      </c>
      <c r="I668" s="15"/>
      <c r="J668" s="15">
        <v>56</v>
      </c>
      <c r="K668" s="15"/>
      <c r="L668" s="15"/>
      <c r="M668" s="15">
        <v>60.5</v>
      </c>
      <c r="N668" s="15">
        <v>45</v>
      </c>
      <c r="O668" s="15">
        <v>326.5</v>
      </c>
      <c r="P668" s="15">
        <v>488</v>
      </c>
    </row>
    <row r="669" ht="14.25" spans="1:16">
      <c r="A669" s="13">
        <v>668</v>
      </c>
      <c r="B669" s="15">
        <v>14</v>
      </c>
      <c r="C669" s="16">
        <v>6</v>
      </c>
      <c r="D669" s="15" t="s">
        <v>1342</v>
      </c>
      <c r="E669" s="15" t="s">
        <v>1343</v>
      </c>
      <c r="F669" s="15">
        <v>109.5</v>
      </c>
      <c r="G669" s="15">
        <v>95.5</v>
      </c>
      <c r="H669" s="15">
        <v>108.25</v>
      </c>
      <c r="I669" s="15"/>
      <c r="J669" s="15">
        <v>53.5</v>
      </c>
      <c r="K669" s="15"/>
      <c r="L669" s="15"/>
      <c r="M669" s="15">
        <v>65</v>
      </c>
      <c r="N669" s="15">
        <v>52</v>
      </c>
      <c r="O669" s="15">
        <v>313.25</v>
      </c>
      <c r="P669" s="15">
        <v>483.75</v>
      </c>
    </row>
    <row r="670" ht="14.25" spans="1:16">
      <c r="A670" s="13">
        <v>669</v>
      </c>
      <c r="B670" s="15">
        <v>14</v>
      </c>
      <c r="C670" s="16">
        <v>8</v>
      </c>
      <c r="D670" s="15" t="s">
        <v>1344</v>
      </c>
      <c r="E670" s="15" t="s">
        <v>1345</v>
      </c>
      <c r="F670" s="15">
        <v>88.5</v>
      </c>
      <c r="G670" s="15">
        <v>69.5</v>
      </c>
      <c r="H670" s="15">
        <v>88.5</v>
      </c>
      <c r="I670" s="15"/>
      <c r="J670" s="15">
        <v>61</v>
      </c>
      <c r="K670" s="15"/>
      <c r="L670" s="15"/>
      <c r="M670" s="15">
        <v>58.5</v>
      </c>
      <c r="N670" s="15">
        <v>39</v>
      </c>
      <c r="O670" s="15">
        <v>246.5</v>
      </c>
      <c r="P670" s="15">
        <v>405</v>
      </c>
    </row>
    <row r="671" ht="14.25" spans="1:16">
      <c r="A671" s="13">
        <v>670</v>
      </c>
      <c r="B671" s="15">
        <v>14</v>
      </c>
      <c r="C671" s="16">
        <v>9</v>
      </c>
      <c r="D671" s="15" t="s">
        <v>1346</v>
      </c>
      <c r="E671" s="15" t="s">
        <v>1347</v>
      </c>
      <c r="F671" s="15">
        <v>108</v>
      </c>
      <c r="G671" s="15">
        <v>82</v>
      </c>
      <c r="H671" s="15">
        <v>104.5</v>
      </c>
      <c r="I671" s="15"/>
      <c r="J671" s="15">
        <v>56</v>
      </c>
      <c r="K671" s="15"/>
      <c r="L671" s="15"/>
      <c r="M671" s="15">
        <v>65</v>
      </c>
      <c r="N671" s="15">
        <v>38.5</v>
      </c>
      <c r="O671" s="15">
        <v>294.5</v>
      </c>
      <c r="P671" s="15">
        <v>454</v>
      </c>
    </row>
    <row r="672" ht="14.25" spans="1:16">
      <c r="A672" s="13">
        <v>671</v>
      </c>
      <c r="B672" s="15">
        <v>14</v>
      </c>
      <c r="C672" s="16">
        <v>11</v>
      </c>
      <c r="D672" s="15" t="s">
        <v>1348</v>
      </c>
      <c r="E672" s="15" t="s">
        <v>1349</v>
      </c>
      <c r="F672" s="15">
        <v>93.25</v>
      </c>
      <c r="G672" s="15">
        <v>89</v>
      </c>
      <c r="H672" s="15">
        <v>113</v>
      </c>
      <c r="I672" s="15"/>
      <c r="J672" s="15">
        <v>55.5</v>
      </c>
      <c r="K672" s="15"/>
      <c r="L672" s="15"/>
      <c r="M672" s="15">
        <v>57.5</v>
      </c>
      <c r="N672" s="15">
        <v>49</v>
      </c>
      <c r="O672" s="15">
        <v>295.25</v>
      </c>
      <c r="P672" s="15">
        <v>457.25</v>
      </c>
    </row>
    <row r="673" ht="14.25" spans="1:16">
      <c r="A673" s="13">
        <v>672</v>
      </c>
      <c r="B673" s="15">
        <v>14</v>
      </c>
      <c r="C673" s="16">
        <v>12</v>
      </c>
      <c r="D673" s="15" t="s">
        <v>1350</v>
      </c>
      <c r="E673" s="15" t="s">
        <v>1351</v>
      </c>
      <c r="F673" s="15">
        <v>97</v>
      </c>
      <c r="G673" s="15">
        <v>74.5</v>
      </c>
      <c r="H673" s="15">
        <v>94</v>
      </c>
      <c r="I673" s="15"/>
      <c r="J673" s="15">
        <v>58.5</v>
      </c>
      <c r="K673" s="15"/>
      <c r="L673" s="15"/>
      <c r="M673" s="15">
        <v>44.5</v>
      </c>
      <c r="N673" s="15">
        <v>46</v>
      </c>
      <c r="O673" s="15">
        <v>265.5</v>
      </c>
      <c r="P673" s="15">
        <v>414.5</v>
      </c>
    </row>
    <row r="674" ht="14.25" spans="1:16">
      <c r="A674" s="13">
        <v>673</v>
      </c>
      <c r="B674" s="15">
        <v>14</v>
      </c>
      <c r="C674" s="16">
        <v>13</v>
      </c>
      <c r="D674" s="15" t="s">
        <v>1352</v>
      </c>
      <c r="E674" s="15" t="s">
        <v>1353</v>
      </c>
      <c r="F674" s="15">
        <v>103</v>
      </c>
      <c r="G674" s="15">
        <v>105</v>
      </c>
      <c r="H674" s="15">
        <v>88.5</v>
      </c>
      <c r="I674" s="15"/>
      <c r="J674" s="15">
        <v>64.5</v>
      </c>
      <c r="K674" s="15"/>
      <c r="L674" s="15"/>
      <c r="M674" s="15">
        <v>45</v>
      </c>
      <c r="N674" s="15">
        <v>44.5</v>
      </c>
      <c r="O674" s="15">
        <v>296.5</v>
      </c>
      <c r="P674" s="15">
        <v>450.5</v>
      </c>
    </row>
    <row r="675" ht="14.25" spans="1:16">
      <c r="A675" s="13">
        <v>674</v>
      </c>
      <c r="B675" s="15">
        <v>14</v>
      </c>
      <c r="C675" s="16">
        <v>14</v>
      </c>
      <c r="D675" s="15" t="s">
        <v>1354</v>
      </c>
      <c r="E675" s="15" t="s">
        <v>1355</v>
      </c>
      <c r="F675" s="15">
        <v>116</v>
      </c>
      <c r="G675" s="15">
        <v>98</v>
      </c>
      <c r="H675" s="15">
        <v>103.75</v>
      </c>
      <c r="I675" s="15"/>
      <c r="J675" s="15">
        <v>69</v>
      </c>
      <c r="K675" s="15"/>
      <c r="L675" s="15"/>
      <c r="M675" s="15">
        <v>72.5</v>
      </c>
      <c r="N675" s="15">
        <v>55.5</v>
      </c>
      <c r="O675" s="15">
        <v>317.75</v>
      </c>
      <c r="P675" s="15">
        <v>514.75</v>
      </c>
    </row>
    <row r="676" ht="14.25" spans="1:16">
      <c r="A676" s="13">
        <v>675</v>
      </c>
      <c r="B676" s="15">
        <v>14</v>
      </c>
      <c r="C676" s="16">
        <v>15</v>
      </c>
      <c r="D676" s="15" t="s">
        <v>1356</v>
      </c>
      <c r="E676" s="15" t="s">
        <v>1357</v>
      </c>
      <c r="F676" s="15">
        <v>99.5</v>
      </c>
      <c r="G676" s="15">
        <v>78</v>
      </c>
      <c r="H676" s="15">
        <v>95</v>
      </c>
      <c r="I676" s="15"/>
      <c r="J676" s="15">
        <v>44</v>
      </c>
      <c r="K676" s="15"/>
      <c r="L676" s="15"/>
      <c r="M676" s="15">
        <v>48.5</v>
      </c>
      <c r="N676" s="15">
        <v>32</v>
      </c>
      <c r="O676" s="15">
        <v>272.5</v>
      </c>
      <c r="P676" s="15">
        <v>397</v>
      </c>
    </row>
    <row r="677" ht="14.25" spans="1:16">
      <c r="A677" s="13">
        <v>676</v>
      </c>
      <c r="B677" s="15">
        <v>14</v>
      </c>
      <c r="C677" s="16">
        <v>16</v>
      </c>
      <c r="D677" s="15" t="s">
        <v>1358</v>
      </c>
      <c r="E677" s="15" t="s">
        <v>1359</v>
      </c>
      <c r="F677" s="15">
        <v>93.5</v>
      </c>
      <c r="G677" s="15">
        <v>60</v>
      </c>
      <c r="H677" s="15">
        <v>56.5</v>
      </c>
      <c r="I677" s="15"/>
      <c r="J677" s="15">
        <v>39.5</v>
      </c>
      <c r="K677" s="15"/>
      <c r="L677" s="15"/>
      <c r="M677" s="15">
        <v>42</v>
      </c>
      <c r="N677" s="15">
        <v>17</v>
      </c>
      <c r="O677" s="15">
        <v>210</v>
      </c>
      <c r="P677" s="15">
        <v>308.5</v>
      </c>
    </row>
    <row r="678" ht="14.25" spans="1:16">
      <c r="A678" s="13">
        <v>677</v>
      </c>
      <c r="B678" s="15">
        <v>14</v>
      </c>
      <c r="C678" s="16">
        <v>18</v>
      </c>
      <c r="D678" s="15" t="s">
        <v>1360</v>
      </c>
      <c r="E678" s="15" t="s">
        <v>1361</v>
      </c>
      <c r="F678" s="15">
        <v>91.5</v>
      </c>
      <c r="G678" s="15">
        <v>114</v>
      </c>
      <c r="H678" s="15">
        <v>105.25</v>
      </c>
      <c r="I678" s="15"/>
      <c r="J678" s="15">
        <v>55.25</v>
      </c>
      <c r="K678" s="15"/>
      <c r="L678" s="15"/>
      <c r="M678" s="15">
        <v>58.75</v>
      </c>
      <c r="N678" s="15">
        <v>49.5</v>
      </c>
      <c r="O678" s="15">
        <v>310.75</v>
      </c>
      <c r="P678" s="15">
        <v>474.25</v>
      </c>
    </row>
    <row r="679" ht="14.25" spans="1:16">
      <c r="A679" s="13">
        <v>678</v>
      </c>
      <c r="B679" s="15">
        <v>14</v>
      </c>
      <c r="C679" s="16">
        <v>19</v>
      </c>
      <c r="D679" s="15" t="s">
        <v>1362</v>
      </c>
      <c r="E679" s="15" t="s">
        <v>1363</v>
      </c>
      <c r="F679" s="15">
        <v>107</v>
      </c>
      <c r="G679" s="15">
        <v>98.5</v>
      </c>
      <c r="H679" s="15">
        <v>105.5</v>
      </c>
      <c r="I679" s="15"/>
      <c r="J679" s="15">
        <v>70</v>
      </c>
      <c r="K679" s="15"/>
      <c r="L679" s="15"/>
      <c r="M679" s="15">
        <v>63.5</v>
      </c>
      <c r="N679" s="15">
        <v>62</v>
      </c>
      <c r="O679" s="15">
        <v>311</v>
      </c>
      <c r="P679" s="15">
        <v>506.5</v>
      </c>
    </row>
    <row r="680" ht="14.25" spans="1:16">
      <c r="A680" s="13">
        <v>679</v>
      </c>
      <c r="B680" s="15">
        <v>14</v>
      </c>
      <c r="C680" s="16">
        <v>20</v>
      </c>
      <c r="D680" s="15" t="s">
        <v>1364</v>
      </c>
      <c r="E680" s="15" t="s">
        <v>1365</v>
      </c>
      <c r="F680" s="15">
        <v>107.5</v>
      </c>
      <c r="G680" s="15">
        <v>101</v>
      </c>
      <c r="H680" s="15">
        <v>118.25</v>
      </c>
      <c r="I680" s="15"/>
      <c r="J680" s="15">
        <v>43.5</v>
      </c>
      <c r="K680" s="15"/>
      <c r="L680" s="15"/>
      <c r="M680" s="15">
        <v>58.5</v>
      </c>
      <c r="N680" s="15">
        <v>42.5</v>
      </c>
      <c r="O680" s="15">
        <v>326.75</v>
      </c>
      <c r="P680" s="15">
        <v>471.25</v>
      </c>
    </row>
    <row r="681" ht="14.25" spans="1:16">
      <c r="A681" s="13">
        <v>680</v>
      </c>
      <c r="B681" s="15">
        <v>14</v>
      </c>
      <c r="C681" s="16">
        <v>21</v>
      </c>
      <c r="D681" s="15" t="s">
        <v>1366</v>
      </c>
      <c r="E681" s="15" t="s">
        <v>1367</v>
      </c>
      <c r="F681" s="15">
        <v>84.5</v>
      </c>
      <c r="G681" s="15">
        <v>99.5</v>
      </c>
      <c r="H681" s="15">
        <v>115</v>
      </c>
      <c r="I681" s="15"/>
      <c r="J681" s="15">
        <v>57.5</v>
      </c>
      <c r="K681" s="15"/>
      <c r="L681" s="15"/>
      <c r="M681" s="15">
        <v>51.5</v>
      </c>
      <c r="N681" s="15">
        <v>57</v>
      </c>
      <c r="O681" s="15">
        <v>299</v>
      </c>
      <c r="P681" s="15">
        <v>465</v>
      </c>
    </row>
    <row r="682" ht="14.25" spans="1:16">
      <c r="A682" s="13">
        <v>681</v>
      </c>
      <c r="B682" s="15">
        <v>14</v>
      </c>
      <c r="C682" s="16">
        <v>22</v>
      </c>
      <c r="D682" s="15" t="s">
        <v>1368</v>
      </c>
      <c r="E682" s="15" t="s">
        <v>1369</v>
      </c>
      <c r="F682" s="15">
        <v>102</v>
      </c>
      <c r="G682" s="15">
        <v>93</v>
      </c>
      <c r="H682" s="15">
        <v>108</v>
      </c>
      <c r="I682" s="15"/>
      <c r="J682" s="15">
        <v>48.5</v>
      </c>
      <c r="K682" s="15"/>
      <c r="L682" s="15"/>
      <c r="M682" s="15">
        <v>55.5</v>
      </c>
      <c r="N682" s="15">
        <v>47.5</v>
      </c>
      <c r="O682" s="15">
        <v>303</v>
      </c>
      <c r="P682" s="15">
        <v>454.5</v>
      </c>
    </row>
    <row r="683" ht="14.25" spans="1:16">
      <c r="A683" s="13">
        <v>682</v>
      </c>
      <c r="B683" s="15">
        <v>14</v>
      </c>
      <c r="C683" s="16">
        <v>23</v>
      </c>
      <c r="D683" s="15" t="s">
        <v>1370</v>
      </c>
      <c r="E683" s="15" t="s">
        <v>1371</v>
      </c>
      <c r="F683" s="15">
        <v>107.5</v>
      </c>
      <c r="G683" s="15">
        <v>91.5</v>
      </c>
      <c r="H683" s="15">
        <v>102.5</v>
      </c>
      <c r="I683" s="15"/>
      <c r="J683" s="15">
        <v>60.5</v>
      </c>
      <c r="K683" s="15"/>
      <c r="L683" s="15"/>
      <c r="M683" s="15">
        <v>66</v>
      </c>
      <c r="N683" s="15">
        <v>55</v>
      </c>
      <c r="O683" s="15">
        <v>301.5</v>
      </c>
      <c r="P683" s="15">
        <v>483</v>
      </c>
    </row>
    <row r="684" ht="14.25" spans="1:16">
      <c r="A684" s="13">
        <v>683</v>
      </c>
      <c r="B684" s="15">
        <v>14</v>
      </c>
      <c r="C684" s="16">
        <v>24</v>
      </c>
      <c r="D684" s="15" t="s">
        <v>1372</v>
      </c>
      <c r="E684" s="15" t="s">
        <v>1373</v>
      </c>
      <c r="F684" s="15">
        <v>98.5</v>
      </c>
      <c r="G684" s="15">
        <v>102.5</v>
      </c>
      <c r="H684" s="15">
        <v>101</v>
      </c>
      <c r="I684" s="15"/>
      <c r="J684" s="15">
        <v>62.5</v>
      </c>
      <c r="K684" s="15"/>
      <c r="L684" s="15"/>
      <c r="M684" s="15">
        <v>62.25</v>
      </c>
      <c r="N684" s="15">
        <v>59.5</v>
      </c>
      <c r="O684" s="15">
        <v>302</v>
      </c>
      <c r="P684" s="15">
        <v>486.25</v>
      </c>
    </row>
    <row r="685" ht="14.25" spans="1:16">
      <c r="A685" s="13">
        <v>684</v>
      </c>
      <c r="B685" s="15">
        <v>14</v>
      </c>
      <c r="C685" s="16">
        <v>25</v>
      </c>
      <c r="D685" s="15" t="s">
        <v>1374</v>
      </c>
      <c r="E685" s="15" t="s">
        <v>1375</v>
      </c>
      <c r="F685" s="15">
        <v>107</v>
      </c>
      <c r="G685" s="15">
        <v>95</v>
      </c>
      <c r="H685" s="15">
        <v>113.25</v>
      </c>
      <c r="I685" s="15"/>
      <c r="J685" s="15">
        <v>66</v>
      </c>
      <c r="K685" s="15"/>
      <c r="L685" s="15"/>
      <c r="M685" s="15">
        <v>64</v>
      </c>
      <c r="N685" s="15">
        <v>52</v>
      </c>
      <c r="O685" s="15">
        <v>315.25</v>
      </c>
      <c r="P685" s="15">
        <v>497.25</v>
      </c>
    </row>
    <row r="686" ht="14.25" spans="1:16">
      <c r="A686" s="13">
        <v>685</v>
      </c>
      <c r="B686" s="15">
        <v>14</v>
      </c>
      <c r="C686" s="16">
        <v>26</v>
      </c>
      <c r="D686" s="15" t="s">
        <v>1376</v>
      </c>
      <c r="E686" s="15" t="s">
        <v>1377</v>
      </c>
      <c r="F686" s="15">
        <v>90.5</v>
      </c>
      <c r="G686" s="15">
        <v>86</v>
      </c>
      <c r="H686" s="15">
        <v>106.5</v>
      </c>
      <c r="I686" s="15"/>
      <c r="J686" s="15">
        <v>70.5</v>
      </c>
      <c r="K686" s="15"/>
      <c r="L686" s="15"/>
      <c r="M686" s="15">
        <v>51</v>
      </c>
      <c r="N686" s="15">
        <v>45</v>
      </c>
      <c r="O686" s="15">
        <v>283</v>
      </c>
      <c r="P686" s="15">
        <v>449.5</v>
      </c>
    </row>
    <row r="687" ht="14.25" spans="1:16">
      <c r="A687" s="13">
        <v>686</v>
      </c>
      <c r="B687" s="15">
        <v>14</v>
      </c>
      <c r="C687" s="16">
        <v>27</v>
      </c>
      <c r="D687" s="15" t="s">
        <v>1378</v>
      </c>
      <c r="E687" s="15" t="s">
        <v>1379</v>
      </c>
      <c r="F687" s="15">
        <v>98.5</v>
      </c>
      <c r="G687" s="15">
        <v>106</v>
      </c>
      <c r="H687" s="15">
        <v>78</v>
      </c>
      <c r="I687" s="15"/>
      <c r="J687" s="15">
        <v>51.5</v>
      </c>
      <c r="K687" s="15"/>
      <c r="L687" s="15"/>
      <c r="M687" s="15">
        <v>50.25</v>
      </c>
      <c r="N687" s="15">
        <v>37</v>
      </c>
      <c r="O687" s="15">
        <v>282.5</v>
      </c>
      <c r="P687" s="15">
        <v>421.25</v>
      </c>
    </row>
    <row r="688" ht="14.25" spans="1:16">
      <c r="A688" s="13">
        <v>687</v>
      </c>
      <c r="B688" s="15">
        <v>14</v>
      </c>
      <c r="C688" s="16">
        <v>28</v>
      </c>
      <c r="D688" s="15" t="s">
        <v>1380</v>
      </c>
      <c r="E688" s="15" t="s">
        <v>1381</v>
      </c>
      <c r="F688" s="15">
        <v>102.5</v>
      </c>
      <c r="G688" s="15">
        <v>92</v>
      </c>
      <c r="H688" s="15">
        <v>101</v>
      </c>
      <c r="I688" s="15"/>
      <c r="J688" s="15">
        <v>59.5</v>
      </c>
      <c r="K688" s="15"/>
      <c r="L688" s="15"/>
      <c r="M688" s="15">
        <v>55</v>
      </c>
      <c r="N688" s="15">
        <v>48.5</v>
      </c>
      <c r="O688" s="15">
        <v>295.5</v>
      </c>
      <c r="P688" s="15">
        <v>458.5</v>
      </c>
    </row>
    <row r="689" ht="14.25" spans="1:16">
      <c r="A689" s="13">
        <v>688</v>
      </c>
      <c r="B689" s="15">
        <v>14</v>
      </c>
      <c r="C689" s="16">
        <v>29</v>
      </c>
      <c r="D689" s="15" t="s">
        <v>1382</v>
      </c>
      <c r="E689" s="15" t="s">
        <v>1383</v>
      </c>
      <c r="F689" s="15">
        <v>89.5</v>
      </c>
      <c r="G689" s="15">
        <v>97.5</v>
      </c>
      <c r="H689" s="15">
        <v>74</v>
      </c>
      <c r="I689" s="15"/>
      <c r="J689" s="15">
        <v>45</v>
      </c>
      <c r="K689" s="15"/>
      <c r="L689" s="15"/>
      <c r="M689" s="15">
        <v>49</v>
      </c>
      <c r="N689" s="15">
        <v>46</v>
      </c>
      <c r="O689" s="15">
        <v>261</v>
      </c>
      <c r="P689" s="15">
        <v>401</v>
      </c>
    </row>
    <row r="690" ht="14.25" spans="1:16">
      <c r="A690" s="13">
        <v>689</v>
      </c>
      <c r="B690" s="15">
        <v>14</v>
      </c>
      <c r="C690" s="16">
        <v>30</v>
      </c>
      <c r="D690" s="15" t="s">
        <v>1384</v>
      </c>
      <c r="E690" s="15" t="s">
        <v>1385</v>
      </c>
      <c r="F690" s="15">
        <v>92</v>
      </c>
      <c r="G690" s="15">
        <v>79</v>
      </c>
      <c r="H690" s="15">
        <v>72.5</v>
      </c>
      <c r="I690" s="15"/>
      <c r="J690" s="15">
        <v>45</v>
      </c>
      <c r="K690" s="15"/>
      <c r="L690" s="15"/>
      <c r="M690" s="15">
        <v>47.5</v>
      </c>
      <c r="N690" s="15">
        <v>57.5</v>
      </c>
      <c r="O690" s="15">
        <v>243.5</v>
      </c>
      <c r="P690" s="15">
        <v>393.5</v>
      </c>
    </row>
    <row r="691" ht="14.25" spans="1:16">
      <c r="A691" s="13">
        <v>690</v>
      </c>
      <c r="B691" s="15">
        <v>14</v>
      </c>
      <c r="C691" s="16">
        <v>31</v>
      </c>
      <c r="D691" s="15" t="s">
        <v>1386</v>
      </c>
      <c r="E691" s="15" t="s">
        <v>1387</v>
      </c>
      <c r="F691" s="15">
        <v>91.5</v>
      </c>
      <c r="G691" s="15">
        <v>106.5</v>
      </c>
      <c r="H691" s="15">
        <v>110</v>
      </c>
      <c r="I691" s="15"/>
      <c r="J691" s="15">
        <v>55</v>
      </c>
      <c r="K691" s="15"/>
      <c r="L691" s="15"/>
      <c r="M691" s="15">
        <v>64.5</v>
      </c>
      <c r="N691" s="15">
        <v>51</v>
      </c>
      <c r="O691" s="15">
        <v>308</v>
      </c>
      <c r="P691" s="15">
        <v>478.5</v>
      </c>
    </row>
    <row r="692" ht="14.25" spans="1:16">
      <c r="A692" s="13">
        <v>691</v>
      </c>
      <c r="B692" s="15">
        <v>14</v>
      </c>
      <c r="C692" s="16">
        <v>33</v>
      </c>
      <c r="D692" s="15" t="s">
        <v>1388</v>
      </c>
      <c r="E692" s="15" t="s">
        <v>1389</v>
      </c>
      <c r="F692" s="15">
        <v>100.5</v>
      </c>
      <c r="G692" s="15">
        <v>112</v>
      </c>
      <c r="H692" s="15">
        <v>90.5</v>
      </c>
      <c r="I692" s="15"/>
      <c r="J692" s="15">
        <v>56</v>
      </c>
      <c r="K692" s="15"/>
      <c r="L692" s="15"/>
      <c r="M692" s="15">
        <v>65</v>
      </c>
      <c r="N692" s="15">
        <v>45.5</v>
      </c>
      <c r="O692" s="15">
        <v>303</v>
      </c>
      <c r="P692" s="15">
        <v>469.5</v>
      </c>
    </row>
    <row r="693" ht="14.25" spans="1:16">
      <c r="A693" s="13">
        <v>692</v>
      </c>
      <c r="B693" s="15">
        <v>14</v>
      </c>
      <c r="C693" s="16">
        <v>34</v>
      </c>
      <c r="D693" s="15" t="s">
        <v>1390</v>
      </c>
      <c r="E693" s="15" t="s">
        <v>1115</v>
      </c>
      <c r="F693" s="15">
        <v>104</v>
      </c>
      <c r="G693" s="15">
        <v>94</v>
      </c>
      <c r="H693" s="15">
        <v>114</v>
      </c>
      <c r="I693" s="15"/>
      <c r="J693" s="15">
        <v>60</v>
      </c>
      <c r="K693" s="15"/>
      <c r="L693" s="15"/>
      <c r="M693" s="15">
        <v>58</v>
      </c>
      <c r="N693" s="15">
        <v>45</v>
      </c>
      <c r="O693" s="15">
        <v>312</v>
      </c>
      <c r="P693" s="15">
        <v>475</v>
      </c>
    </row>
    <row r="694" ht="14.25" spans="1:16">
      <c r="A694" s="13">
        <v>693</v>
      </c>
      <c r="B694" s="15">
        <v>14</v>
      </c>
      <c r="C694" s="16">
        <v>35</v>
      </c>
      <c r="D694" s="15" t="s">
        <v>1391</v>
      </c>
      <c r="E694" s="15" t="s">
        <v>1392</v>
      </c>
      <c r="F694" s="15">
        <v>100</v>
      </c>
      <c r="G694" s="15">
        <v>100</v>
      </c>
      <c r="H694" s="15">
        <v>92</v>
      </c>
      <c r="I694" s="15"/>
      <c r="J694" s="15">
        <v>62.5</v>
      </c>
      <c r="K694" s="15"/>
      <c r="L694" s="15"/>
      <c r="M694" s="15">
        <v>48.5</v>
      </c>
      <c r="N694" s="15">
        <v>45.5</v>
      </c>
      <c r="O694" s="15">
        <v>292</v>
      </c>
      <c r="P694" s="15">
        <v>448.5</v>
      </c>
    </row>
    <row r="695" ht="14.25" spans="1:16">
      <c r="A695" s="13">
        <v>694</v>
      </c>
      <c r="B695" s="15">
        <v>14</v>
      </c>
      <c r="C695" s="16">
        <v>36</v>
      </c>
      <c r="D695" s="15" t="s">
        <v>1393</v>
      </c>
      <c r="E695" s="15" t="s">
        <v>1394</v>
      </c>
      <c r="F695" s="15">
        <v>103</v>
      </c>
      <c r="G695" s="15">
        <v>88.5</v>
      </c>
      <c r="H695" s="15">
        <v>98.5</v>
      </c>
      <c r="I695" s="15"/>
      <c r="J695" s="15">
        <v>53.5</v>
      </c>
      <c r="K695" s="15"/>
      <c r="L695" s="15"/>
      <c r="M695" s="15">
        <v>60.75</v>
      </c>
      <c r="N695" s="15">
        <v>52.5</v>
      </c>
      <c r="O695" s="15">
        <v>290</v>
      </c>
      <c r="P695" s="15">
        <v>456.75</v>
      </c>
    </row>
    <row r="696" ht="14.25" spans="1:16">
      <c r="A696" s="13">
        <v>695</v>
      </c>
      <c r="B696" s="15">
        <v>14</v>
      </c>
      <c r="C696" s="16">
        <v>37</v>
      </c>
      <c r="D696" s="15" t="s">
        <v>1395</v>
      </c>
      <c r="E696" s="15" t="s">
        <v>1396</v>
      </c>
      <c r="F696" s="15">
        <v>102.5</v>
      </c>
      <c r="G696" s="15">
        <v>91</v>
      </c>
      <c r="H696" s="15">
        <v>97</v>
      </c>
      <c r="I696" s="15"/>
      <c r="J696" s="15">
        <v>59.5</v>
      </c>
      <c r="K696" s="15"/>
      <c r="L696" s="15"/>
      <c r="M696" s="15">
        <v>58.5</v>
      </c>
      <c r="N696" s="15">
        <v>43</v>
      </c>
      <c r="O696" s="15">
        <v>290.5</v>
      </c>
      <c r="P696" s="15">
        <v>451.5</v>
      </c>
    </row>
    <row r="697" ht="14.25" spans="1:16">
      <c r="A697" s="13">
        <v>696</v>
      </c>
      <c r="B697" s="15">
        <v>14</v>
      </c>
      <c r="C697" s="16">
        <v>38</v>
      </c>
      <c r="D697" s="15" t="s">
        <v>1397</v>
      </c>
      <c r="E697" s="15" t="s">
        <v>95</v>
      </c>
      <c r="F697" s="15">
        <v>106</v>
      </c>
      <c r="G697" s="15">
        <v>90.5</v>
      </c>
      <c r="H697" s="15">
        <v>82</v>
      </c>
      <c r="I697" s="15"/>
      <c r="J697" s="15">
        <v>54.5</v>
      </c>
      <c r="K697" s="15"/>
      <c r="L697" s="15"/>
      <c r="M697" s="15">
        <v>41</v>
      </c>
      <c r="N697" s="15">
        <v>35</v>
      </c>
      <c r="O697" s="15">
        <v>278.5</v>
      </c>
      <c r="P697" s="15">
        <v>409</v>
      </c>
    </row>
    <row r="698" ht="14.25" spans="1:16">
      <c r="A698" s="13">
        <v>697</v>
      </c>
      <c r="B698" s="15">
        <v>14</v>
      </c>
      <c r="C698" s="16">
        <v>39</v>
      </c>
      <c r="D698" s="15" t="s">
        <v>1398</v>
      </c>
      <c r="E698" s="15" t="s">
        <v>1399</v>
      </c>
      <c r="F698" s="15">
        <v>108.25</v>
      </c>
      <c r="G698" s="15">
        <v>57</v>
      </c>
      <c r="H698" s="15">
        <v>104.5</v>
      </c>
      <c r="I698" s="15"/>
      <c r="J698" s="15">
        <v>52</v>
      </c>
      <c r="K698" s="15"/>
      <c r="L698" s="15"/>
      <c r="M698" s="15">
        <v>57</v>
      </c>
      <c r="N698" s="15">
        <v>42</v>
      </c>
      <c r="O698" s="15">
        <v>269.75</v>
      </c>
      <c r="P698" s="15">
        <v>420.75</v>
      </c>
    </row>
    <row r="699" ht="14.25" spans="1:16">
      <c r="A699" s="13">
        <v>698</v>
      </c>
      <c r="B699" s="15">
        <v>14</v>
      </c>
      <c r="C699" s="16">
        <v>40</v>
      </c>
      <c r="D699" s="15" t="s">
        <v>1400</v>
      </c>
      <c r="E699" s="15" t="s">
        <v>1401</v>
      </c>
      <c r="F699" s="15">
        <v>101</v>
      </c>
      <c r="G699" s="15">
        <v>89.5</v>
      </c>
      <c r="H699" s="15">
        <v>100.5</v>
      </c>
      <c r="I699" s="15"/>
      <c r="J699" s="15">
        <v>58</v>
      </c>
      <c r="K699" s="15"/>
      <c r="L699" s="15"/>
      <c r="M699" s="15">
        <v>62</v>
      </c>
      <c r="N699" s="15">
        <v>48</v>
      </c>
      <c r="O699" s="15">
        <v>291</v>
      </c>
      <c r="P699" s="15">
        <v>459</v>
      </c>
    </row>
    <row r="700" ht="14.25" spans="1:16">
      <c r="A700" s="13">
        <v>699</v>
      </c>
      <c r="B700" s="15">
        <v>14</v>
      </c>
      <c r="C700" s="16">
        <v>41</v>
      </c>
      <c r="D700" s="15" t="s">
        <v>1402</v>
      </c>
      <c r="E700" s="15" t="s">
        <v>1403</v>
      </c>
      <c r="F700" s="15">
        <v>95.25</v>
      </c>
      <c r="G700" s="15">
        <v>77</v>
      </c>
      <c r="H700" s="15">
        <v>105.25</v>
      </c>
      <c r="I700" s="15"/>
      <c r="J700" s="15">
        <v>52</v>
      </c>
      <c r="K700" s="15"/>
      <c r="L700" s="15"/>
      <c r="M700" s="15">
        <v>58</v>
      </c>
      <c r="N700" s="15">
        <v>40.5</v>
      </c>
      <c r="O700" s="15">
        <v>277.5</v>
      </c>
      <c r="P700" s="15">
        <v>428</v>
      </c>
    </row>
    <row r="701" ht="14.25" spans="1:16">
      <c r="A701" s="13">
        <v>700</v>
      </c>
      <c r="B701" s="15">
        <v>14</v>
      </c>
      <c r="C701" s="16">
        <v>42</v>
      </c>
      <c r="D701" s="15" t="s">
        <v>1404</v>
      </c>
      <c r="E701" s="15" t="s">
        <v>1405</v>
      </c>
      <c r="F701" s="15">
        <v>97.25</v>
      </c>
      <c r="G701" s="15">
        <v>84.5</v>
      </c>
      <c r="H701" s="15">
        <v>104.5</v>
      </c>
      <c r="I701" s="15"/>
      <c r="J701" s="15">
        <v>60.5</v>
      </c>
      <c r="K701" s="15"/>
      <c r="L701" s="15"/>
      <c r="M701" s="15">
        <v>64.5</v>
      </c>
      <c r="N701" s="15">
        <v>53.5</v>
      </c>
      <c r="O701" s="15">
        <v>286.25</v>
      </c>
      <c r="P701" s="15">
        <v>464.75</v>
      </c>
    </row>
    <row r="702" ht="14.25" spans="1:16">
      <c r="A702" s="13">
        <v>701</v>
      </c>
      <c r="B702" s="15">
        <v>14</v>
      </c>
      <c r="C702" s="16">
        <v>43</v>
      </c>
      <c r="D702" s="15" t="s">
        <v>1406</v>
      </c>
      <c r="E702" s="15" t="s">
        <v>1407</v>
      </c>
      <c r="F702" s="15">
        <v>98</v>
      </c>
      <c r="G702" s="15">
        <v>69</v>
      </c>
      <c r="H702" s="15">
        <v>105.5</v>
      </c>
      <c r="I702" s="15"/>
      <c r="J702" s="15">
        <v>54.5</v>
      </c>
      <c r="K702" s="15"/>
      <c r="L702" s="15"/>
      <c r="M702" s="15">
        <v>55.5</v>
      </c>
      <c r="N702" s="15">
        <v>50.5</v>
      </c>
      <c r="O702" s="15">
        <v>272.5</v>
      </c>
      <c r="P702" s="15">
        <v>433</v>
      </c>
    </row>
    <row r="703" ht="14.25" spans="1:16">
      <c r="A703" s="13">
        <v>702</v>
      </c>
      <c r="B703" s="15">
        <v>14</v>
      </c>
      <c r="C703" s="16">
        <v>44</v>
      </c>
      <c r="D703" s="15" t="s">
        <v>1408</v>
      </c>
      <c r="E703" s="15" t="s">
        <v>1409</v>
      </c>
      <c r="F703" s="15">
        <v>104.5</v>
      </c>
      <c r="G703" s="15">
        <v>74.5</v>
      </c>
      <c r="H703" s="15">
        <v>117.5</v>
      </c>
      <c r="I703" s="15"/>
      <c r="J703" s="15">
        <v>51.5</v>
      </c>
      <c r="K703" s="15"/>
      <c r="L703" s="15"/>
      <c r="M703" s="15">
        <v>69.5</v>
      </c>
      <c r="N703" s="15">
        <v>52</v>
      </c>
      <c r="O703" s="15">
        <v>296.5</v>
      </c>
      <c r="P703" s="15">
        <v>469.5</v>
      </c>
    </row>
    <row r="704" ht="14.25" spans="1:16">
      <c r="A704" s="13">
        <v>703</v>
      </c>
      <c r="B704" s="15">
        <v>14</v>
      </c>
      <c r="C704" s="16">
        <v>45</v>
      </c>
      <c r="D704" s="15" t="s">
        <v>1410</v>
      </c>
      <c r="E704" s="15" t="s">
        <v>1411</v>
      </c>
      <c r="F704" s="15">
        <v>102.5</v>
      </c>
      <c r="G704" s="15">
        <v>102.5</v>
      </c>
      <c r="H704" s="15">
        <v>84.5</v>
      </c>
      <c r="I704" s="15"/>
      <c r="J704" s="15">
        <v>47</v>
      </c>
      <c r="K704" s="15"/>
      <c r="L704" s="15"/>
      <c r="M704" s="15">
        <v>61.5</v>
      </c>
      <c r="N704" s="15">
        <v>56</v>
      </c>
      <c r="O704" s="15">
        <v>289.5</v>
      </c>
      <c r="P704" s="15">
        <v>454</v>
      </c>
    </row>
    <row r="705" ht="14.25" spans="1:16">
      <c r="A705" s="13">
        <v>704</v>
      </c>
      <c r="B705" s="15">
        <v>15</v>
      </c>
      <c r="C705" s="16">
        <v>1</v>
      </c>
      <c r="D705" s="15" t="s">
        <v>1412</v>
      </c>
      <c r="E705" s="15" t="s">
        <v>1413</v>
      </c>
      <c r="F705" s="15">
        <v>97.5</v>
      </c>
      <c r="G705" s="15">
        <v>89</v>
      </c>
      <c r="H705" s="15">
        <v>109.5</v>
      </c>
      <c r="I705" s="15"/>
      <c r="J705" s="15">
        <v>51.5</v>
      </c>
      <c r="K705" s="15"/>
      <c r="L705" s="15"/>
      <c r="M705" s="15">
        <v>61.5</v>
      </c>
      <c r="N705" s="15">
        <v>47.5</v>
      </c>
      <c r="O705" s="15">
        <v>296</v>
      </c>
      <c r="P705" s="15">
        <v>456.5</v>
      </c>
    </row>
    <row r="706" ht="14.25" spans="1:16">
      <c r="A706" s="13">
        <v>705</v>
      </c>
      <c r="B706" s="15">
        <v>15</v>
      </c>
      <c r="C706" s="16">
        <v>2</v>
      </c>
      <c r="D706" s="15" t="s">
        <v>1414</v>
      </c>
      <c r="E706" s="15" t="s">
        <v>1415</v>
      </c>
      <c r="F706" s="15">
        <v>110.5</v>
      </c>
      <c r="G706" s="15">
        <v>114</v>
      </c>
      <c r="H706" s="15">
        <v>93</v>
      </c>
      <c r="I706" s="15"/>
      <c r="J706" s="15">
        <v>62.5</v>
      </c>
      <c r="K706" s="15"/>
      <c r="L706" s="15"/>
      <c r="M706" s="15">
        <v>63.5</v>
      </c>
      <c r="N706" s="15">
        <v>59</v>
      </c>
      <c r="O706" s="15">
        <v>317.5</v>
      </c>
      <c r="P706" s="15">
        <v>502.5</v>
      </c>
    </row>
    <row r="707" ht="14.25" spans="1:16">
      <c r="A707" s="13">
        <v>706</v>
      </c>
      <c r="B707" s="15">
        <v>15</v>
      </c>
      <c r="C707" s="16">
        <v>3</v>
      </c>
      <c r="D707" s="15" t="s">
        <v>1416</v>
      </c>
      <c r="E707" s="15" t="s">
        <v>1417</v>
      </c>
      <c r="F707" s="15">
        <v>99.5</v>
      </c>
      <c r="G707" s="15">
        <v>63</v>
      </c>
      <c r="H707" s="15">
        <v>105</v>
      </c>
      <c r="I707" s="15"/>
      <c r="J707" s="15">
        <v>51.5</v>
      </c>
      <c r="K707" s="15"/>
      <c r="L707" s="15"/>
      <c r="M707" s="15">
        <v>52.5</v>
      </c>
      <c r="N707" s="15">
        <v>30</v>
      </c>
      <c r="O707" s="15">
        <v>267.5</v>
      </c>
      <c r="P707" s="15">
        <v>401.5</v>
      </c>
    </row>
    <row r="708" ht="14.25" spans="1:16">
      <c r="A708" s="13">
        <v>707</v>
      </c>
      <c r="B708" s="15">
        <v>15</v>
      </c>
      <c r="C708" s="16">
        <v>5</v>
      </c>
      <c r="D708" s="15" t="s">
        <v>1418</v>
      </c>
      <c r="E708" s="15" t="s">
        <v>1363</v>
      </c>
      <c r="F708" s="15">
        <v>105</v>
      </c>
      <c r="G708" s="15">
        <v>86</v>
      </c>
      <c r="H708" s="15">
        <v>94.5</v>
      </c>
      <c r="I708" s="15"/>
      <c r="J708" s="15">
        <v>55</v>
      </c>
      <c r="K708" s="15"/>
      <c r="L708" s="15"/>
      <c r="M708" s="15">
        <v>72</v>
      </c>
      <c r="N708" s="15">
        <v>49</v>
      </c>
      <c r="O708" s="15">
        <v>285.5</v>
      </c>
      <c r="P708" s="15">
        <v>461.5</v>
      </c>
    </row>
    <row r="709" ht="14.25" spans="1:16">
      <c r="A709" s="13">
        <v>708</v>
      </c>
      <c r="B709" s="15">
        <v>15</v>
      </c>
      <c r="C709" s="16">
        <v>6</v>
      </c>
      <c r="D709" s="15" t="s">
        <v>1419</v>
      </c>
      <c r="E709" s="15" t="s">
        <v>1420</v>
      </c>
      <c r="F709" s="15">
        <v>100.5</v>
      </c>
      <c r="G709" s="15">
        <v>112.5</v>
      </c>
      <c r="H709" s="15">
        <v>93.5</v>
      </c>
      <c r="I709" s="15"/>
      <c r="J709" s="15">
        <v>62.5</v>
      </c>
      <c r="K709" s="15"/>
      <c r="L709" s="15"/>
      <c r="M709" s="15">
        <v>68</v>
      </c>
      <c r="N709" s="15">
        <v>44</v>
      </c>
      <c r="O709" s="15">
        <v>306.5</v>
      </c>
      <c r="P709" s="15">
        <v>481</v>
      </c>
    </row>
    <row r="710" ht="14.25" spans="1:16">
      <c r="A710" s="13">
        <v>709</v>
      </c>
      <c r="B710" s="15">
        <v>15</v>
      </c>
      <c r="C710" s="16">
        <v>7</v>
      </c>
      <c r="D710" s="15" t="s">
        <v>1421</v>
      </c>
      <c r="E710" s="15" t="s">
        <v>1422</v>
      </c>
      <c r="F710" s="15">
        <v>99</v>
      </c>
      <c r="G710" s="15">
        <v>85.5</v>
      </c>
      <c r="H710" s="15">
        <v>109.25</v>
      </c>
      <c r="I710" s="15"/>
      <c r="J710" s="15">
        <v>57.5</v>
      </c>
      <c r="K710" s="15"/>
      <c r="L710" s="15"/>
      <c r="M710" s="15">
        <v>57</v>
      </c>
      <c r="N710" s="15">
        <v>59.5</v>
      </c>
      <c r="O710" s="15">
        <v>293.75</v>
      </c>
      <c r="P710" s="15">
        <v>467.75</v>
      </c>
    </row>
    <row r="711" ht="14.25" spans="1:16">
      <c r="A711" s="13">
        <v>710</v>
      </c>
      <c r="B711" s="15">
        <v>15</v>
      </c>
      <c r="C711" s="16">
        <v>8</v>
      </c>
      <c r="D711" s="15" t="s">
        <v>1423</v>
      </c>
      <c r="E711" s="15" t="s">
        <v>1424</v>
      </c>
      <c r="F711" s="15">
        <v>87.25</v>
      </c>
      <c r="G711" s="15">
        <v>74.5</v>
      </c>
      <c r="H711" s="15">
        <v>89</v>
      </c>
      <c r="I711" s="15"/>
      <c r="J711" s="15">
        <v>48.5</v>
      </c>
      <c r="K711" s="15"/>
      <c r="L711" s="15"/>
      <c r="M711" s="15">
        <v>58.25</v>
      </c>
      <c r="N711" s="15">
        <v>33.5</v>
      </c>
      <c r="O711" s="15">
        <v>250.75</v>
      </c>
      <c r="P711" s="15">
        <v>391</v>
      </c>
    </row>
    <row r="712" ht="14.25" spans="1:16">
      <c r="A712" s="13">
        <v>711</v>
      </c>
      <c r="B712" s="15">
        <v>15</v>
      </c>
      <c r="C712" s="16">
        <v>9</v>
      </c>
      <c r="D712" s="15" t="s">
        <v>1425</v>
      </c>
      <c r="E712" s="15" t="s">
        <v>1426</v>
      </c>
      <c r="F712" s="15">
        <v>98</v>
      </c>
      <c r="G712" s="15">
        <v>76.5</v>
      </c>
      <c r="H712" s="15">
        <v>85.5</v>
      </c>
      <c r="I712" s="15"/>
      <c r="J712" s="15">
        <v>56.5</v>
      </c>
      <c r="K712" s="15"/>
      <c r="L712" s="15"/>
      <c r="M712" s="15">
        <v>59</v>
      </c>
      <c r="N712" s="15">
        <v>52.5</v>
      </c>
      <c r="O712" s="15">
        <v>260</v>
      </c>
      <c r="P712" s="15">
        <v>428</v>
      </c>
    </row>
    <row r="713" ht="14.25" spans="1:16">
      <c r="A713" s="13">
        <v>712</v>
      </c>
      <c r="B713" s="15">
        <v>15</v>
      </c>
      <c r="C713" s="16">
        <v>11</v>
      </c>
      <c r="D713" s="15" t="s">
        <v>1427</v>
      </c>
      <c r="E713" s="15" t="s">
        <v>1428</v>
      </c>
      <c r="F713" s="15">
        <v>90</v>
      </c>
      <c r="G713" s="15">
        <v>118</v>
      </c>
      <c r="H713" s="15">
        <v>81.5</v>
      </c>
      <c r="I713" s="15"/>
      <c r="J713" s="15">
        <v>51.5</v>
      </c>
      <c r="K713" s="15"/>
      <c r="L713" s="15"/>
      <c r="M713" s="15">
        <v>64.5</v>
      </c>
      <c r="N713" s="15">
        <v>59</v>
      </c>
      <c r="O713" s="15">
        <v>289.5</v>
      </c>
      <c r="P713" s="15">
        <v>464.5</v>
      </c>
    </row>
    <row r="714" ht="14.25" spans="1:16">
      <c r="A714" s="13">
        <v>713</v>
      </c>
      <c r="B714" s="15">
        <v>15</v>
      </c>
      <c r="C714" s="16">
        <v>12</v>
      </c>
      <c r="D714" s="15" t="s">
        <v>1429</v>
      </c>
      <c r="E714" s="15" t="s">
        <v>1430</v>
      </c>
      <c r="F714" s="15">
        <v>109</v>
      </c>
      <c r="G714" s="15">
        <v>90.5</v>
      </c>
      <c r="H714" s="15">
        <v>87.25</v>
      </c>
      <c r="I714" s="15"/>
      <c r="J714" s="15">
        <v>50.25</v>
      </c>
      <c r="K714" s="15"/>
      <c r="L714" s="15"/>
      <c r="M714" s="15">
        <v>56.5</v>
      </c>
      <c r="N714" s="15">
        <v>51</v>
      </c>
      <c r="O714" s="15">
        <v>286.75</v>
      </c>
      <c r="P714" s="15">
        <v>444.5</v>
      </c>
    </row>
    <row r="715" ht="14.25" spans="1:16">
      <c r="A715" s="13">
        <v>714</v>
      </c>
      <c r="B715" s="15">
        <v>15</v>
      </c>
      <c r="C715" s="16">
        <v>13</v>
      </c>
      <c r="D715" s="15" t="s">
        <v>1431</v>
      </c>
      <c r="E715" s="15" t="s">
        <v>1432</v>
      </c>
      <c r="F715" s="15">
        <v>113</v>
      </c>
      <c r="G715" s="15">
        <v>111</v>
      </c>
      <c r="H715" s="15">
        <v>110.75</v>
      </c>
      <c r="I715" s="15"/>
      <c r="J715" s="15">
        <v>64.5</v>
      </c>
      <c r="K715" s="15"/>
      <c r="L715" s="15"/>
      <c r="M715" s="15">
        <v>58.5</v>
      </c>
      <c r="N715" s="15">
        <v>59</v>
      </c>
      <c r="O715" s="15">
        <v>334.75</v>
      </c>
      <c r="P715" s="15">
        <v>516.75</v>
      </c>
    </row>
    <row r="716" ht="14.25" spans="1:16">
      <c r="A716" s="13">
        <v>715</v>
      </c>
      <c r="B716" s="15">
        <v>15</v>
      </c>
      <c r="C716" s="16">
        <v>14</v>
      </c>
      <c r="D716" s="15" t="s">
        <v>1433</v>
      </c>
      <c r="E716" s="15" t="s">
        <v>1434</v>
      </c>
      <c r="F716" s="15">
        <v>98.5</v>
      </c>
      <c r="G716" s="15">
        <v>110.5</v>
      </c>
      <c r="H716" s="15">
        <v>102.5</v>
      </c>
      <c r="I716" s="15"/>
      <c r="J716" s="15">
        <v>56.5</v>
      </c>
      <c r="K716" s="15"/>
      <c r="L716" s="15"/>
      <c r="M716" s="15">
        <v>49.5</v>
      </c>
      <c r="N716" s="15">
        <v>60.5</v>
      </c>
      <c r="O716" s="15">
        <v>311.5</v>
      </c>
      <c r="P716" s="15">
        <v>478</v>
      </c>
    </row>
    <row r="717" ht="14.25" spans="1:16">
      <c r="A717" s="13">
        <v>716</v>
      </c>
      <c r="B717" s="15">
        <v>15</v>
      </c>
      <c r="C717" s="16">
        <v>15</v>
      </c>
      <c r="D717" s="15" t="s">
        <v>1435</v>
      </c>
      <c r="E717" s="15" t="s">
        <v>1436</v>
      </c>
      <c r="F717" s="15">
        <v>93</v>
      </c>
      <c r="G717" s="15">
        <v>87.5</v>
      </c>
      <c r="H717" s="15">
        <v>121.25</v>
      </c>
      <c r="I717" s="15"/>
      <c r="J717" s="15">
        <v>52</v>
      </c>
      <c r="K717" s="15"/>
      <c r="L717" s="15"/>
      <c r="M717" s="15">
        <v>48</v>
      </c>
      <c r="N717" s="15">
        <v>57.5</v>
      </c>
      <c r="O717" s="15">
        <v>301.75</v>
      </c>
      <c r="P717" s="15">
        <v>459.25</v>
      </c>
    </row>
    <row r="718" ht="14.25" spans="1:16">
      <c r="A718" s="13">
        <v>717</v>
      </c>
      <c r="B718" s="15">
        <v>15</v>
      </c>
      <c r="C718" s="16">
        <v>16</v>
      </c>
      <c r="D718" s="15" t="s">
        <v>1437</v>
      </c>
      <c r="E718" s="15" t="s">
        <v>1438</v>
      </c>
      <c r="F718" s="15">
        <v>107.5</v>
      </c>
      <c r="G718" s="15">
        <v>88.5</v>
      </c>
      <c r="H718" s="15">
        <v>129</v>
      </c>
      <c r="I718" s="15"/>
      <c r="J718" s="15">
        <v>52</v>
      </c>
      <c r="K718" s="15"/>
      <c r="L718" s="15"/>
      <c r="M718" s="15">
        <v>57.5</v>
      </c>
      <c r="N718" s="15">
        <v>63</v>
      </c>
      <c r="O718" s="15">
        <v>325</v>
      </c>
      <c r="P718" s="15">
        <v>497.5</v>
      </c>
    </row>
    <row r="719" ht="14.25" spans="1:16">
      <c r="A719" s="13">
        <v>718</v>
      </c>
      <c r="B719" s="15">
        <v>15</v>
      </c>
      <c r="C719" s="16">
        <v>17</v>
      </c>
      <c r="D719" s="15" t="s">
        <v>1439</v>
      </c>
      <c r="E719" s="15" t="s">
        <v>1440</v>
      </c>
      <c r="F719" s="15">
        <v>96</v>
      </c>
      <c r="G719" s="15">
        <v>102</v>
      </c>
      <c r="H719" s="15">
        <v>88.5</v>
      </c>
      <c r="I719" s="15"/>
      <c r="J719" s="15">
        <v>57.5</v>
      </c>
      <c r="K719" s="15"/>
      <c r="L719" s="15"/>
      <c r="M719" s="15">
        <v>67</v>
      </c>
      <c r="N719" s="15">
        <v>59.5</v>
      </c>
      <c r="O719" s="15">
        <v>286.5</v>
      </c>
      <c r="P719" s="15">
        <v>470.5</v>
      </c>
    </row>
    <row r="720" ht="14.25" spans="1:16">
      <c r="A720" s="13">
        <v>719</v>
      </c>
      <c r="B720" s="15">
        <v>15</v>
      </c>
      <c r="C720" s="16">
        <v>18</v>
      </c>
      <c r="D720" s="15" t="s">
        <v>1441</v>
      </c>
      <c r="E720" s="15" t="s">
        <v>1442</v>
      </c>
      <c r="F720" s="15">
        <v>105.5</v>
      </c>
      <c r="G720" s="15">
        <v>91</v>
      </c>
      <c r="H720" s="15">
        <v>116.25</v>
      </c>
      <c r="I720" s="15"/>
      <c r="J720" s="15">
        <v>58</v>
      </c>
      <c r="K720" s="15"/>
      <c r="L720" s="15"/>
      <c r="M720" s="15">
        <v>53.5</v>
      </c>
      <c r="N720" s="15">
        <v>57.5</v>
      </c>
      <c r="O720" s="15">
        <v>312.75</v>
      </c>
      <c r="P720" s="15">
        <v>481.75</v>
      </c>
    </row>
    <row r="721" ht="14.25" spans="1:16">
      <c r="A721" s="13">
        <v>720</v>
      </c>
      <c r="B721" s="15">
        <v>15</v>
      </c>
      <c r="C721" s="16">
        <v>19</v>
      </c>
      <c r="D721" s="15" t="s">
        <v>1443</v>
      </c>
      <c r="E721" s="15" t="s">
        <v>1444</v>
      </c>
      <c r="F721" s="15">
        <v>95.25</v>
      </c>
      <c r="G721" s="15">
        <v>63</v>
      </c>
      <c r="H721" s="15">
        <v>92.75</v>
      </c>
      <c r="I721" s="15"/>
      <c r="J721" s="15">
        <v>41</v>
      </c>
      <c r="K721" s="15"/>
      <c r="L721" s="15"/>
      <c r="M721" s="15">
        <v>66.5</v>
      </c>
      <c r="N721" s="15">
        <v>68</v>
      </c>
      <c r="O721" s="15">
        <v>251</v>
      </c>
      <c r="P721" s="15">
        <v>426.5</v>
      </c>
    </row>
    <row r="722" ht="14.25" spans="1:16">
      <c r="A722" s="13">
        <v>721</v>
      </c>
      <c r="B722" s="15">
        <v>15</v>
      </c>
      <c r="C722" s="16">
        <v>20</v>
      </c>
      <c r="D722" s="15" t="s">
        <v>1445</v>
      </c>
      <c r="E722" s="15" t="s">
        <v>1446</v>
      </c>
      <c r="F722" s="15">
        <v>94.5</v>
      </c>
      <c r="G722" s="15">
        <v>110.5</v>
      </c>
      <c r="H722" s="15">
        <v>110</v>
      </c>
      <c r="I722" s="15"/>
      <c r="J722" s="15">
        <v>63</v>
      </c>
      <c r="K722" s="15"/>
      <c r="L722" s="15"/>
      <c r="M722" s="15">
        <v>62.5</v>
      </c>
      <c r="N722" s="15">
        <v>49.5</v>
      </c>
      <c r="O722" s="15">
        <v>315</v>
      </c>
      <c r="P722" s="15">
        <v>490</v>
      </c>
    </row>
    <row r="723" ht="14.25" spans="1:16">
      <c r="A723" s="13">
        <v>722</v>
      </c>
      <c r="B723" s="15">
        <v>15</v>
      </c>
      <c r="C723" s="16">
        <v>21</v>
      </c>
      <c r="D723" s="15" t="s">
        <v>1447</v>
      </c>
      <c r="E723" s="15" t="s">
        <v>1448</v>
      </c>
      <c r="F723" s="15">
        <v>101.75</v>
      </c>
      <c r="G723" s="15">
        <v>120.5</v>
      </c>
      <c r="H723" s="15">
        <v>95.5</v>
      </c>
      <c r="I723" s="15"/>
      <c r="J723" s="15">
        <v>59.5</v>
      </c>
      <c r="K723" s="15"/>
      <c r="L723" s="15"/>
      <c r="M723" s="15">
        <v>59.5</v>
      </c>
      <c r="N723" s="15">
        <v>49.5</v>
      </c>
      <c r="O723" s="15">
        <v>317.75</v>
      </c>
      <c r="P723" s="15">
        <v>486.25</v>
      </c>
    </row>
    <row r="724" ht="14.25" spans="1:16">
      <c r="A724" s="13">
        <v>723</v>
      </c>
      <c r="B724" s="15">
        <v>15</v>
      </c>
      <c r="C724" s="16">
        <v>22</v>
      </c>
      <c r="D724" s="15" t="s">
        <v>1449</v>
      </c>
      <c r="E724" s="15" t="s">
        <v>1450</v>
      </c>
      <c r="F724" s="15">
        <v>98</v>
      </c>
      <c r="G724" s="15">
        <v>107.5</v>
      </c>
      <c r="H724" s="15">
        <v>121.25</v>
      </c>
      <c r="I724" s="15"/>
      <c r="J724" s="15">
        <v>56</v>
      </c>
      <c r="K724" s="15"/>
      <c r="L724" s="15"/>
      <c r="M724" s="15">
        <v>55</v>
      </c>
      <c r="N724" s="15">
        <v>35.5</v>
      </c>
      <c r="O724" s="15">
        <v>326.75</v>
      </c>
      <c r="P724" s="15">
        <v>473.25</v>
      </c>
    </row>
    <row r="725" ht="14.25" spans="1:16">
      <c r="A725" s="13">
        <v>724</v>
      </c>
      <c r="B725" s="15">
        <v>15</v>
      </c>
      <c r="C725" s="16">
        <v>23</v>
      </c>
      <c r="D725" s="15" t="s">
        <v>1451</v>
      </c>
      <c r="E725" s="15" t="s">
        <v>1452</v>
      </c>
      <c r="F725" s="15">
        <v>98</v>
      </c>
      <c r="G725" s="15">
        <v>106</v>
      </c>
      <c r="H725" s="15">
        <v>117.5</v>
      </c>
      <c r="I725" s="15"/>
      <c r="J725" s="15">
        <v>49</v>
      </c>
      <c r="K725" s="15"/>
      <c r="L725" s="15"/>
      <c r="M725" s="15">
        <v>45.5</v>
      </c>
      <c r="N725" s="15">
        <v>52.5</v>
      </c>
      <c r="O725" s="15">
        <v>321.5</v>
      </c>
      <c r="P725" s="15">
        <v>468.5</v>
      </c>
    </row>
    <row r="726" ht="14.25" spans="1:16">
      <c r="A726" s="13">
        <v>725</v>
      </c>
      <c r="B726" s="15">
        <v>15</v>
      </c>
      <c r="C726" s="16">
        <v>24</v>
      </c>
      <c r="D726" s="15" t="s">
        <v>1453</v>
      </c>
      <c r="E726" s="15" t="s">
        <v>1454</v>
      </c>
      <c r="F726" s="15">
        <v>99.5</v>
      </c>
      <c r="G726" s="15">
        <v>102</v>
      </c>
      <c r="H726" s="15">
        <v>92.75</v>
      </c>
      <c r="I726" s="15"/>
      <c r="J726" s="15">
        <v>51</v>
      </c>
      <c r="K726" s="15"/>
      <c r="L726" s="15"/>
      <c r="M726" s="15">
        <v>52.5</v>
      </c>
      <c r="N726" s="15">
        <v>47.5</v>
      </c>
      <c r="O726" s="15">
        <v>294.25</v>
      </c>
      <c r="P726" s="15">
        <v>445.25</v>
      </c>
    </row>
    <row r="727" ht="14.25" spans="1:16">
      <c r="A727" s="13">
        <v>726</v>
      </c>
      <c r="B727" s="15">
        <v>15</v>
      </c>
      <c r="C727" s="16">
        <v>25</v>
      </c>
      <c r="D727" s="15" t="s">
        <v>1455</v>
      </c>
      <c r="E727" s="15" t="s">
        <v>712</v>
      </c>
      <c r="F727" s="15">
        <v>99.5</v>
      </c>
      <c r="G727" s="15">
        <v>104.5</v>
      </c>
      <c r="H727" s="15">
        <v>97.75</v>
      </c>
      <c r="I727" s="15"/>
      <c r="J727" s="15">
        <v>46.5</v>
      </c>
      <c r="K727" s="15"/>
      <c r="L727" s="15"/>
      <c r="M727" s="15">
        <v>54.5</v>
      </c>
      <c r="N727" s="15">
        <v>54.5</v>
      </c>
      <c r="O727" s="15">
        <v>301.75</v>
      </c>
      <c r="P727" s="15">
        <v>457.25</v>
      </c>
    </row>
    <row r="728" ht="14.25" spans="1:16">
      <c r="A728" s="13">
        <v>727</v>
      </c>
      <c r="B728" s="15">
        <v>15</v>
      </c>
      <c r="C728" s="16">
        <v>26</v>
      </c>
      <c r="D728" s="15" t="s">
        <v>1456</v>
      </c>
      <c r="E728" s="15" t="s">
        <v>1457</v>
      </c>
      <c r="F728" s="15">
        <v>80.5</v>
      </c>
      <c r="G728" s="15">
        <v>87</v>
      </c>
      <c r="H728" s="15">
        <v>99.25</v>
      </c>
      <c r="I728" s="15"/>
      <c r="J728" s="15">
        <v>59.5</v>
      </c>
      <c r="K728" s="15"/>
      <c r="L728" s="15"/>
      <c r="M728" s="15">
        <v>54</v>
      </c>
      <c r="N728" s="15">
        <v>50</v>
      </c>
      <c r="O728" s="15">
        <v>266.75</v>
      </c>
      <c r="P728" s="15">
        <v>430.25</v>
      </c>
    </row>
    <row r="729" ht="14.25" spans="1:16">
      <c r="A729" s="13">
        <v>728</v>
      </c>
      <c r="B729" s="15">
        <v>15</v>
      </c>
      <c r="C729" s="16">
        <v>28</v>
      </c>
      <c r="D729" s="15" t="s">
        <v>1458</v>
      </c>
      <c r="E729" s="15" t="s">
        <v>1459</v>
      </c>
      <c r="F729" s="15">
        <v>98</v>
      </c>
      <c r="G729" s="15">
        <v>97</v>
      </c>
      <c r="H729" s="15">
        <v>93.5</v>
      </c>
      <c r="I729" s="15"/>
      <c r="J729" s="15">
        <v>63.5</v>
      </c>
      <c r="K729" s="15"/>
      <c r="L729" s="15"/>
      <c r="M729" s="15">
        <v>58.5</v>
      </c>
      <c r="N729" s="15">
        <v>59</v>
      </c>
      <c r="O729" s="15">
        <v>288.5</v>
      </c>
      <c r="P729" s="15">
        <v>469.5</v>
      </c>
    </row>
    <row r="730" ht="14.25" spans="1:16">
      <c r="A730" s="13">
        <v>729</v>
      </c>
      <c r="B730" s="15">
        <v>15</v>
      </c>
      <c r="C730" s="16">
        <v>29</v>
      </c>
      <c r="D730" s="15" t="s">
        <v>1460</v>
      </c>
      <c r="E730" s="15" t="s">
        <v>1461</v>
      </c>
      <c r="F730" s="15">
        <v>107.5</v>
      </c>
      <c r="G730" s="15">
        <v>91</v>
      </c>
      <c r="H730" s="15">
        <v>84.5</v>
      </c>
      <c r="I730" s="15"/>
      <c r="J730" s="15">
        <v>42.5</v>
      </c>
      <c r="K730" s="15"/>
      <c r="L730" s="15"/>
      <c r="M730" s="15">
        <v>59.25</v>
      </c>
      <c r="N730" s="15">
        <v>45.5</v>
      </c>
      <c r="O730" s="15">
        <v>283</v>
      </c>
      <c r="P730" s="15">
        <v>430.25</v>
      </c>
    </row>
    <row r="731" ht="14.25" spans="1:16">
      <c r="A731" s="13">
        <v>730</v>
      </c>
      <c r="B731" s="15">
        <v>15</v>
      </c>
      <c r="C731" s="16">
        <v>30</v>
      </c>
      <c r="D731" s="15" t="s">
        <v>1462</v>
      </c>
      <c r="E731" s="15" t="s">
        <v>1463</v>
      </c>
      <c r="F731" s="15">
        <v>104.5</v>
      </c>
      <c r="G731" s="15">
        <v>101</v>
      </c>
      <c r="H731" s="15">
        <v>109</v>
      </c>
      <c r="I731" s="15"/>
      <c r="J731" s="15">
        <v>67</v>
      </c>
      <c r="K731" s="15"/>
      <c r="L731" s="15"/>
      <c r="M731" s="15">
        <v>63</v>
      </c>
      <c r="N731" s="15">
        <v>46</v>
      </c>
      <c r="O731" s="15">
        <v>314.5</v>
      </c>
      <c r="P731" s="15">
        <v>490.5</v>
      </c>
    </row>
    <row r="732" ht="14.25" spans="1:16">
      <c r="A732" s="13">
        <v>731</v>
      </c>
      <c r="B732" s="15">
        <v>15</v>
      </c>
      <c r="C732" s="16">
        <v>31</v>
      </c>
      <c r="D732" s="15" t="s">
        <v>1464</v>
      </c>
      <c r="E732" s="15" t="s">
        <v>1465</v>
      </c>
      <c r="F732" s="15">
        <v>101.5</v>
      </c>
      <c r="G732" s="15">
        <v>65.5</v>
      </c>
      <c r="H732" s="15">
        <v>109.25</v>
      </c>
      <c r="I732" s="15"/>
      <c r="J732" s="15">
        <v>57.5</v>
      </c>
      <c r="K732" s="15"/>
      <c r="L732" s="15"/>
      <c r="M732" s="15">
        <v>47.5</v>
      </c>
      <c r="N732" s="15">
        <v>41.5</v>
      </c>
      <c r="O732" s="15">
        <v>276.25</v>
      </c>
      <c r="P732" s="15">
        <v>422.75</v>
      </c>
    </row>
    <row r="733" ht="14.25" spans="1:16">
      <c r="A733" s="13">
        <v>732</v>
      </c>
      <c r="B733" s="15">
        <v>15</v>
      </c>
      <c r="C733" s="16">
        <v>32</v>
      </c>
      <c r="D733" s="15" t="s">
        <v>1466</v>
      </c>
      <c r="E733" s="15" t="s">
        <v>1467</v>
      </c>
      <c r="F733" s="15">
        <v>92</v>
      </c>
      <c r="G733" s="15">
        <v>93</v>
      </c>
      <c r="H733" s="15">
        <v>64</v>
      </c>
      <c r="I733" s="15"/>
      <c r="J733" s="15">
        <v>56.5</v>
      </c>
      <c r="K733" s="15"/>
      <c r="L733" s="15"/>
      <c r="M733" s="15">
        <v>67.5</v>
      </c>
      <c r="N733" s="15">
        <v>62</v>
      </c>
      <c r="O733" s="15">
        <v>249</v>
      </c>
      <c r="P733" s="15">
        <v>435</v>
      </c>
    </row>
    <row r="734" ht="14.25" spans="1:16">
      <c r="A734" s="13">
        <v>733</v>
      </c>
      <c r="B734" s="15">
        <v>15</v>
      </c>
      <c r="C734" s="16">
        <v>33</v>
      </c>
      <c r="D734" s="15" t="s">
        <v>1468</v>
      </c>
      <c r="E734" s="15" t="s">
        <v>1469</v>
      </c>
      <c r="F734" s="15">
        <v>109.5</v>
      </c>
      <c r="G734" s="15">
        <v>74</v>
      </c>
      <c r="H734" s="15">
        <v>83.75</v>
      </c>
      <c r="I734" s="15"/>
      <c r="J734" s="15">
        <v>56.5</v>
      </c>
      <c r="K734" s="15"/>
      <c r="L734" s="15"/>
      <c r="M734" s="15">
        <v>59</v>
      </c>
      <c r="N734" s="15">
        <v>48</v>
      </c>
      <c r="O734" s="15">
        <v>267.25</v>
      </c>
      <c r="P734" s="15">
        <v>430.75</v>
      </c>
    </row>
    <row r="735" ht="14.25" spans="1:16">
      <c r="A735" s="13">
        <v>734</v>
      </c>
      <c r="B735" s="15">
        <v>15</v>
      </c>
      <c r="C735" s="16">
        <v>34</v>
      </c>
      <c r="D735" s="15" t="s">
        <v>1470</v>
      </c>
      <c r="E735" s="15" t="s">
        <v>1471</v>
      </c>
      <c r="F735" s="15">
        <v>99</v>
      </c>
      <c r="G735" s="15">
        <v>75</v>
      </c>
      <c r="H735" s="15">
        <v>96</v>
      </c>
      <c r="I735" s="15"/>
      <c r="J735" s="15">
        <v>62</v>
      </c>
      <c r="K735" s="15"/>
      <c r="L735" s="15"/>
      <c r="M735" s="15">
        <v>51.5</v>
      </c>
      <c r="N735" s="15">
        <v>45.5</v>
      </c>
      <c r="O735" s="15">
        <v>270</v>
      </c>
      <c r="P735" s="15">
        <v>429</v>
      </c>
    </row>
    <row r="736" ht="14.25" spans="1:16">
      <c r="A736" s="13">
        <v>735</v>
      </c>
      <c r="B736" s="15">
        <v>15</v>
      </c>
      <c r="C736" s="16">
        <v>35</v>
      </c>
      <c r="D736" s="15" t="s">
        <v>1472</v>
      </c>
      <c r="E736" s="15" t="s">
        <v>1473</v>
      </c>
      <c r="F736" s="15">
        <v>108</v>
      </c>
      <c r="G736" s="15">
        <v>87</v>
      </c>
      <c r="H736" s="15">
        <v>92</v>
      </c>
      <c r="I736" s="15"/>
      <c r="J736" s="15">
        <v>58</v>
      </c>
      <c r="K736" s="15"/>
      <c r="L736" s="15"/>
      <c r="M736" s="15">
        <v>56</v>
      </c>
      <c r="N736" s="15">
        <v>47.5</v>
      </c>
      <c r="O736" s="15">
        <v>287</v>
      </c>
      <c r="P736" s="15">
        <v>448.5</v>
      </c>
    </row>
    <row r="737" ht="14.25" spans="1:16">
      <c r="A737" s="13">
        <v>736</v>
      </c>
      <c r="B737" s="15">
        <v>15</v>
      </c>
      <c r="C737" s="16">
        <v>36</v>
      </c>
      <c r="D737" s="15" t="s">
        <v>1474</v>
      </c>
      <c r="E737" s="15" t="s">
        <v>1475</v>
      </c>
      <c r="F737" s="15">
        <v>95</v>
      </c>
      <c r="G737" s="15">
        <v>69.5</v>
      </c>
      <c r="H737" s="15">
        <v>102.75</v>
      </c>
      <c r="I737" s="15"/>
      <c r="J737" s="15">
        <v>64.5</v>
      </c>
      <c r="K737" s="15"/>
      <c r="L737" s="15"/>
      <c r="M737" s="15">
        <v>58.5</v>
      </c>
      <c r="N737" s="15">
        <v>50</v>
      </c>
      <c r="O737" s="15">
        <v>267.25</v>
      </c>
      <c r="P737" s="15">
        <v>440.25</v>
      </c>
    </row>
    <row r="738" ht="14.25" spans="1:16">
      <c r="A738" s="13">
        <v>737</v>
      </c>
      <c r="B738" s="15">
        <v>15</v>
      </c>
      <c r="C738" s="16">
        <v>37</v>
      </c>
      <c r="D738" s="15" t="s">
        <v>1476</v>
      </c>
      <c r="E738" s="15" t="s">
        <v>1477</v>
      </c>
      <c r="F738" s="15">
        <v>94.75</v>
      </c>
      <c r="G738" s="15">
        <v>111</v>
      </c>
      <c r="H738" s="15">
        <v>108</v>
      </c>
      <c r="I738" s="15"/>
      <c r="J738" s="15">
        <v>57.5</v>
      </c>
      <c r="K738" s="15"/>
      <c r="L738" s="15"/>
      <c r="M738" s="15">
        <v>52.5</v>
      </c>
      <c r="N738" s="15">
        <v>54</v>
      </c>
      <c r="O738" s="15">
        <v>313.75</v>
      </c>
      <c r="P738" s="15">
        <v>477.75</v>
      </c>
    </row>
    <row r="739" ht="14.25" spans="1:16">
      <c r="A739" s="13">
        <v>738</v>
      </c>
      <c r="B739" s="15">
        <v>15</v>
      </c>
      <c r="C739" s="16">
        <v>38</v>
      </c>
      <c r="D739" s="15" t="s">
        <v>1478</v>
      </c>
      <c r="E739" s="15" t="s">
        <v>1479</v>
      </c>
      <c r="F739" s="15">
        <v>96.5</v>
      </c>
      <c r="G739" s="15">
        <v>100</v>
      </c>
      <c r="H739" s="15">
        <v>92.75</v>
      </c>
      <c r="I739" s="15"/>
      <c r="J739" s="15">
        <v>58</v>
      </c>
      <c r="K739" s="15"/>
      <c r="L739" s="15"/>
      <c r="M739" s="15">
        <v>54.5</v>
      </c>
      <c r="N739" s="15">
        <v>43</v>
      </c>
      <c r="O739" s="15">
        <v>289.25</v>
      </c>
      <c r="P739" s="15">
        <v>444.75</v>
      </c>
    </row>
    <row r="740" ht="14.25" spans="1:16">
      <c r="A740" s="13">
        <v>739</v>
      </c>
      <c r="B740" s="15">
        <v>15</v>
      </c>
      <c r="C740" s="16">
        <v>39</v>
      </c>
      <c r="D740" s="15" t="s">
        <v>1480</v>
      </c>
      <c r="E740" s="15" t="s">
        <v>1481</v>
      </c>
      <c r="F740" s="15">
        <v>102.25</v>
      </c>
      <c r="G740" s="15">
        <v>82</v>
      </c>
      <c r="H740" s="15">
        <v>113.75</v>
      </c>
      <c r="I740" s="15"/>
      <c r="J740" s="15">
        <v>52</v>
      </c>
      <c r="K740" s="15"/>
      <c r="L740" s="15"/>
      <c r="M740" s="15">
        <v>54</v>
      </c>
      <c r="N740" s="15">
        <v>52</v>
      </c>
      <c r="O740" s="15">
        <v>298</v>
      </c>
      <c r="P740" s="15">
        <v>456</v>
      </c>
    </row>
    <row r="741" ht="14.25" spans="1:16">
      <c r="A741" s="13">
        <v>740</v>
      </c>
      <c r="B741" s="15">
        <v>15</v>
      </c>
      <c r="C741" s="16">
        <v>40</v>
      </c>
      <c r="D741" s="15" t="s">
        <v>1482</v>
      </c>
      <c r="E741" s="15" t="s">
        <v>1483</v>
      </c>
      <c r="F741" s="15">
        <v>93.5</v>
      </c>
      <c r="G741" s="15">
        <v>83.5</v>
      </c>
      <c r="H741" s="15">
        <v>99</v>
      </c>
      <c r="I741" s="15"/>
      <c r="J741" s="15">
        <v>62</v>
      </c>
      <c r="K741" s="15"/>
      <c r="L741" s="15"/>
      <c r="M741" s="15">
        <v>56</v>
      </c>
      <c r="N741" s="15">
        <v>42.5</v>
      </c>
      <c r="O741" s="15">
        <v>276</v>
      </c>
      <c r="P741" s="15">
        <v>436.5</v>
      </c>
    </row>
    <row r="742" ht="14.25" spans="1:16">
      <c r="A742" s="13">
        <v>741</v>
      </c>
      <c r="B742" s="15">
        <v>15</v>
      </c>
      <c r="C742" s="16">
        <v>41</v>
      </c>
      <c r="D742" s="15" t="s">
        <v>1484</v>
      </c>
      <c r="E742" s="15" t="s">
        <v>1485</v>
      </c>
      <c r="F742" s="15">
        <v>115.25</v>
      </c>
      <c r="G742" s="15">
        <v>70</v>
      </c>
      <c r="H742" s="15">
        <v>98</v>
      </c>
      <c r="I742" s="15"/>
      <c r="J742" s="15">
        <v>54.5</v>
      </c>
      <c r="K742" s="15"/>
      <c r="L742" s="15"/>
      <c r="M742" s="15">
        <v>58.5</v>
      </c>
      <c r="N742" s="15">
        <v>51.5</v>
      </c>
      <c r="O742" s="15">
        <v>283.25</v>
      </c>
      <c r="P742" s="15">
        <v>447.75</v>
      </c>
    </row>
    <row r="743" ht="14.25" spans="1:16">
      <c r="A743" s="13">
        <v>742</v>
      </c>
      <c r="B743" s="15">
        <v>15</v>
      </c>
      <c r="C743" s="16">
        <v>42</v>
      </c>
      <c r="D743" s="15" t="s">
        <v>1486</v>
      </c>
      <c r="E743" s="15" t="s">
        <v>1487</v>
      </c>
      <c r="F743" s="15">
        <v>103.5</v>
      </c>
      <c r="G743" s="15">
        <v>79.5</v>
      </c>
      <c r="H743" s="15">
        <v>84.5</v>
      </c>
      <c r="I743" s="15"/>
      <c r="J743" s="15">
        <v>59</v>
      </c>
      <c r="K743" s="15"/>
      <c r="L743" s="15"/>
      <c r="M743" s="15">
        <v>54</v>
      </c>
      <c r="N743" s="15">
        <v>44.5</v>
      </c>
      <c r="O743" s="15">
        <v>267.5</v>
      </c>
      <c r="P743" s="15">
        <v>425</v>
      </c>
    </row>
    <row r="744" ht="14.25" spans="1:16">
      <c r="A744" s="13">
        <v>743</v>
      </c>
      <c r="B744" s="15">
        <v>15</v>
      </c>
      <c r="C744" s="16">
        <v>43</v>
      </c>
      <c r="D744" s="15" t="s">
        <v>1488</v>
      </c>
      <c r="E744" s="15" t="s">
        <v>1489</v>
      </c>
      <c r="F744" s="15">
        <v>103.5</v>
      </c>
      <c r="G744" s="15">
        <v>86.5</v>
      </c>
      <c r="H744" s="15">
        <v>111</v>
      </c>
      <c r="I744" s="15"/>
      <c r="J744" s="15">
        <v>48.5</v>
      </c>
      <c r="K744" s="15"/>
      <c r="L744" s="15"/>
      <c r="M744" s="15">
        <v>57</v>
      </c>
      <c r="N744" s="15">
        <v>51.5</v>
      </c>
      <c r="O744" s="15">
        <v>301</v>
      </c>
      <c r="P744" s="15">
        <v>458</v>
      </c>
    </row>
    <row r="745" ht="14.25" spans="1:16">
      <c r="A745" s="13">
        <v>744</v>
      </c>
      <c r="B745" s="15">
        <v>15</v>
      </c>
      <c r="C745" s="16">
        <v>44</v>
      </c>
      <c r="D745" s="15" t="s">
        <v>1490</v>
      </c>
      <c r="E745" s="15" t="s">
        <v>1491</v>
      </c>
      <c r="F745" s="15">
        <v>90</v>
      </c>
      <c r="G745" s="15">
        <v>90.5</v>
      </c>
      <c r="H745" s="15">
        <v>101.5</v>
      </c>
      <c r="I745" s="15"/>
      <c r="J745" s="15">
        <v>54</v>
      </c>
      <c r="K745" s="15"/>
      <c r="L745" s="15"/>
      <c r="M745" s="15">
        <v>55.5</v>
      </c>
      <c r="N745" s="15">
        <v>40.5</v>
      </c>
      <c r="O745" s="15">
        <v>282</v>
      </c>
      <c r="P745" s="15">
        <v>432</v>
      </c>
    </row>
    <row r="746" ht="14.25" spans="1:16">
      <c r="A746" s="13">
        <v>745</v>
      </c>
      <c r="B746" s="15">
        <v>15</v>
      </c>
      <c r="C746" s="16">
        <v>45</v>
      </c>
      <c r="D746" s="15" t="s">
        <v>1492</v>
      </c>
      <c r="E746" s="15" t="s">
        <v>1493</v>
      </c>
      <c r="F746" s="15">
        <v>97.5</v>
      </c>
      <c r="G746" s="15">
        <v>81</v>
      </c>
      <c r="H746" s="15">
        <v>85</v>
      </c>
      <c r="I746" s="15"/>
      <c r="J746" s="15">
        <v>52.5</v>
      </c>
      <c r="K746" s="15"/>
      <c r="L746" s="15"/>
      <c r="M746" s="15">
        <v>56.75</v>
      </c>
      <c r="N746" s="15">
        <v>45.5</v>
      </c>
      <c r="O746" s="15">
        <v>263.5</v>
      </c>
      <c r="P746" s="15">
        <v>418.25</v>
      </c>
    </row>
    <row r="747" ht="14.25" spans="1:16">
      <c r="A747" s="13">
        <v>746</v>
      </c>
      <c r="B747" s="15">
        <v>16</v>
      </c>
      <c r="C747" s="16">
        <v>1</v>
      </c>
      <c r="D747" s="15" t="s">
        <v>1494</v>
      </c>
      <c r="E747" s="15" t="s">
        <v>1495</v>
      </c>
      <c r="F747" s="15">
        <v>107</v>
      </c>
      <c r="G747" s="15">
        <v>119.5</v>
      </c>
      <c r="H747" s="15">
        <v>117</v>
      </c>
      <c r="I747" s="15"/>
      <c r="J747" s="15">
        <v>55</v>
      </c>
      <c r="K747" s="15">
        <v>41.5</v>
      </c>
      <c r="L747" s="15"/>
      <c r="M747" s="15"/>
      <c r="N747" s="15">
        <v>58</v>
      </c>
      <c r="O747" s="15">
        <v>343.5</v>
      </c>
      <c r="P747" s="15">
        <v>498</v>
      </c>
    </row>
    <row r="748" ht="14.25" spans="1:16">
      <c r="A748" s="13">
        <v>747</v>
      </c>
      <c r="B748" s="15">
        <v>16</v>
      </c>
      <c r="C748" s="16">
        <v>2</v>
      </c>
      <c r="D748" s="15" t="s">
        <v>1496</v>
      </c>
      <c r="E748" s="15" t="s">
        <v>1497</v>
      </c>
      <c r="F748" s="15">
        <v>107</v>
      </c>
      <c r="G748" s="15">
        <v>124</v>
      </c>
      <c r="H748" s="15">
        <v>135</v>
      </c>
      <c r="I748" s="15"/>
      <c r="J748" s="15">
        <v>58.5</v>
      </c>
      <c r="K748" s="15">
        <v>51</v>
      </c>
      <c r="L748" s="15"/>
      <c r="M748" s="15"/>
      <c r="N748" s="15">
        <v>72</v>
      </c>
      <c r="O748" s="15">
        <v>366</v>
      </c>
      <c r="P748" s="15">
        <v>547.5</v>
      </c>
    </row>
    <row r="749" ht="14.25" spans="1:16">
      <c r="A749" s="13">
        <v>748</v>
      </c>
      <c r="B749" s="15">
        <v>16</v>
      </c>
      <c r="C749" s="16">
        <v>3</v>
      </c>
      <c r="D749" s="15" t="s">
        <v>1498</v>
      </c>
      <c r="E749" s="15" t="s">
        <v>75</v>
      </c>
      <c r="F749" s="15">
        <v>102.5</v>
      </c>
      <c r="G749" s="15">
        <v>126</v>
      </c>
      <c r="H749" s="15">
        <v>106.25</v>
      </c>
      <c r="I749" s="15"/>
      <c r="J749" s="15">
        <v>62.5</v>
      </c>
      <c r="K749" s="15"/>
      <c r="L749" s="15">
        <v>64.5</v>
      </c>
      <c r="M749" s="15">
        <v>66.5</v>
      </c>
      <c r="N749" s="15"/>
      <c r="O749" s="15">
        <v>334.75</v>
      </c>
      <c r="P749" s="15">
        <v>528.25</v>
      </c>
    </row>
    <row r="750" ht="14.25" spans="1:16">
      <c r="A750" s="13">
        <v>749</v>
      </c>
      <c r="B750" s="15">
        <v>16</v>
      </c>
      <c r="C750" s="16">
        <v>4</v>
      </c>
      <c r="D750" s="15" t="s">
        <v>1499</v>
      </c>
      <c r="E750" s="15" t="s">
        <v>1500</v>
      </c>
      <c r="F750" s="15">
        <v>103.5</v>
      </c>
      <c r="G750" s="15">
        <v>112</v>
      </c>
      <c r="H750" s="15">
        <v>113.75</v>
      </c>
      <c r="I750" s="15"/>
      <c r="J750" s="15">
        <v>69.5</v>
      </c>
      <c r="K750" s="15"/>
      <c r="L750" s="15"/>
      <c r="M750" s="15">
        <v>74</v>
      </c>
      <c r="N750" s="15">
        <v>52</v>
      </c>
      <c r="O750" s="15">
        <v>329.25</v>
      </c>
      <c r="P750" s="15">
        <v>524.75</v>
      </c>
    </row>
    <row r="751" ht="14.25" spans="1:16">
      <c r="A751" s="13">
        <v>750</v>
      </c>
      <c r="B751" s="15">
        <v>16</v>
      </c>
      <c r="C751" s="16">
        <v>5</v>
      </c>
      <c r="D751" s="15" t="s">
        <v>1501</v>
      </c>
      <c r="E751" s="15" t="s">
        <v>1502</v>
      </c>
      <c r="F751" s="15">
        <v>103.5</v>
      </c>
      <c r="G751" s="15">
        <v>119</v>
      </c>
      <c r="H751" s="15">
        <v>123</v>
      </c>
      <c r="I751" s="15"/>
      <c r="J751" s="15">
        <v>64.5</v>
      </c>
      <c r="K751" s="15"/>
      <c r="L751" s="15"/>
      <c r="M751" s="15">
        <v>60</v>
      </c>
      <c r="N751" s="15">
        <v>57.5</v>
      </c>
      <c r="O751" s="15">
        <v>345.5</v>
      </c>
      <c r="P751" s="15">
        <v>527.5</v>
      </c>
    </row>
    <row r="752" ht="14.25" spans="1:16">
      <c r="A752" s="13">
        <v>751</v>
      </c>
      <c r="B752" s="15">
        <v>16</v>
      </c>
      <c r="C752" s="16">
        <v>6</v>
      </c>
      <c r="D752" s="15" t="s">
        <v>1503</v>
      </c>
      <c r="E752" s="15" t="s">
        <v>1029</v>
      </c>
      <c r="F752" s="15">
        <v>104</v>
      </c>
      <c r="G752" s="15">
        <v>109.5</v>
      </c>
      <c r="H752" s="15">
        <v>125</v>
      </c>
      <c r="I752" s="15"/>
      <c r="J752" s="15">
        <v>53</v>
      </c>
      <c r="K752" s="15"/>
      <c r="L752" s="15"/>
      <c r="M752" s="15">
        <v>74</v>
      </c>
      <c r="N752" s="15">
        <v>56</v>
      </c>
      <c r="O752" s="15">
        <v>338.5</v>
      </c>
      <c r="P752" s="15">
        <v>521.5</v>
      </c>
    </row>
    <row r="753" ht="14.25" spans="1:16">
      <c r="A753" s="13">
        <v>752</v>
      </c>
      <c r="B753" s="15">
        <v>16</v>
      </c>
      <c r="C753" s="16">
        <v>7</v>
      </c>
      <c r="D753" s="15" t="s">
        <v>1504</v>
      </c>
      <c r="E753" s="15" t="s">
        <v>1505</v>
      </c>
      <c r="F753" s="15">
        <v>114.5</v>
      </c>
      <c r="G753" s="15">
        <v>130</v>
      </c>
      <c r="H753" s="15">
        <v>122.25</v>
      </c>
      <c r="I753" s="15"/>
      <c r="J753" s="15">
        <v>64</v>
      </c>
      <c r="K753" s="15"/>
      <c r="L753" s="15"/>
      <c r="M753" s="15">
        <v>77</v>
      </c>
      <c r="N753" s="15">
        <v>69</v>
      </c>
      <c r="O753" s="15">
        <v>366.75</v>
      </c>
      <c r="P753" s="15">
        <v>576.75</v>
      </c>
    </row>
    <row r="754" ht="14.25" spans="1:16">
      <c r="A754" s="13">
        <v>753</v>
      </c>
      <c r="B754" s="15">
        <v>16</v>
      </c>
      <c r="C754" s="16">
        <v>8</v>
      </c>
      <c r="D754" s="15" t="s">
        <v>1506</v>
      </c>
      <c r="E754" s="15" t="s">
        <v>1507</v>
      </c>
      <c r="F754" s="15">
        <v>104.5</v>
      </c>
      <c r="G754" s="15">
        <v>93.5</v>
      </c>
      <c r="H754" s="15">
        <v>114.5</v>
      </c>
      <c r="I754" s="15"/>
      <c r="J754" s="15">
        <v>69</v>
      </c>
      <c r="K754" s="15"/>
      <c r="L754" s="15"/>
      <c r="M754" s="15">
        <v>72</v>
      </c>
      <c r="N754" s="15">
        <v>61.5</v>
      </c>
      <c r="O754" s="15">
        <v>312.5</v>
      </c>
      <c r="P754" s="15">
        <v>515</v>
      </c>
    </row>
    <row r="755" ht="14.25" spans="1:16">
      <c r="A755" s="13">
        <v>754</v>
      </c>
      <c r="B755" s="15">
        <v>16</v>
      </c>
      <c r="C755" s="16">
        <v>9</v>
      </c>
      <c r="D755" s="15" t="s">
        <v>1508</v>
      </c>
      <c r="E755" s="15" t="s">
        <v>1509</v>
      </c>
      <c r="F755" s="15">
        <v>100.5</v>
      </c>
      <c r="G755" s="15">
        <v>97.5</v>
      </c>
      <c r="H755" s="15">
        <v>111.5</v>
      </c>
      <c r="I755" s="15"/>
      <c r="J755" s="15">
        <v>72</v>
      </c>
      <c r="K755" s="15"/>
      <c r="L755" s="15"/>
      <c r="M755" s="15">
        <v>65.5</v>
      </c>
      <c r="N755" s="15">
        <v>51</v>
      </c>
      <c r="O755" s="15">
        <v>309.5</v>
      </c>
      <c r="P755" s="15">
        <v>498</v>
      </c>
    </row>
    <row r="756" ht="14.25" spans="1:16">
      <c r="A756" s="13">
        <v>755</v>
      </c>
      <c r="B756" s="15">
        <v>16</v>
      </c>
      <c r="C756" s="16">
        <v>10</v>
      </c>
      <c r="D756" s="15" t="s">
        <v>1510</v>
      </c>
      <c r="E756" s="15" t="s">
        <v>1511</v>
      </c>
      <c r="F756" s="15">
        <v>99.5</v>
      </c>
      <c r="G756" s="15">
        <v>118.5</v>
      </c>
      <c r="H756" s="15">
        <v>131</v>
      </c>
      <c r="I756" s="15"/>
      <c r="J756" s="15">
        <v>67.5</v>
      </c>
      <c r="K756" s="15"/>
      <c r="L756" s="15"/>
      <c r="M756" s="15">
        <v>60.5</v>
      </c>
      <c r="N756" s="15">
        <v>62</v>
      </c>
      <c r="O756" s="15">
        <v>349</v>
      </c>
      <c r="P756" s="15">
        <v>539</v>
      </c>
    </row>
    <row r="757" ht="14.25" spans="1:16">
      <c r="A757" s="13">
        <v>756</v>
      </c>
      <c r="B757" s="15">
        <v>16</v>
      </c>
      <c r="C757" s="16">
        <v>11</v>
      </c>
      <c r="D757" s="15" t="s">
        <v>1512</v>
      </c>
      <c r="E757" s="15" t="s">
        <v>65</v>
      </c>
      <c r="F757" s="15">
        <v>100</v>
      </c>
      <c r="G757" s="15">
        <v>125</v>
      </c>
      <c r="H757" s="15">
        <v>118.25</v>
      </c>
      <c r="I757" s="15"/>
      <c r="J757" s="15">
        <v>56</v>
      </c>
      <c r="K757" s="15"/>
      <c r="L757" s="15"/>
      <c r="M757" s="15">
        <v>63</v>
      </c>
      <c r="N757" s="15">
        <v>54</v>
      </c>
      <c r="O757" s="15">
        <v>343.25</v>
      </c>
      <c r="P757" s="15">
        <v>516.25</v>
      </c>
    </row>
    <row r="758" ht="14.25" spans="1:16">
      <c r="A758" s="13">
        <v>757</v>
      </c>
      <c r="B758" s="15">
        <v>16</v>
      </c>
      <c r="C758" s="16">
        <v>12</v>
      </c>
      <c r="D758" s="15" t="s">
        <v>1513</v>
      </c>
      <c r="E758" s="15" t="s">
        <v>1514</v>
      </c>
      <c r="F758" s="15">
        <v>101.5</v>
      </c>
      <c r="G758" s="15">
        <v>102.5</v>
      </c>
      <c r="H758" s="15">
        <v>114</v>
      </c>
      <c r="I758" s="15"/>
      <c r="J758" s="15">
        <v>57.25</v>
      </c>
      <c r="K758" s="15"/>
      <c r="L758" s="15"/>
      <c r="M758" s="15">
        <v>70.5</v>
      </c>
      <c r="N758" s="15">
        <v>58.5</v>
      </c>
      <c r="O758" s="15">
        <v>318</v>
      </c>
      <c r="P758" s="15">
        <v>504.25</v>
      </c>
    </row>
    <row r="759" ht="14.25" spans="1:16">
      <c r="A759" s="13">
        <v>758</v>
      </c>
      <c r="B759" s="15">
        <v>16</v>
      </c>
      <c r="C759" s="16">
        <v>13</v>
      </c>
      <c r="D759" s="15" t="s">
        <v>1515</v>
      </c>
      <c r="E759" s="15" t="s">
        <v>1516</v>
      </c>
      <c r="F759" s="15">
        <v>103.5</v>
      </c>
      <c r="G759" s="15">
        <v>94</v>
      </c>
      <c r="H759" s="15">
        <v>110.75</v>
      </c>
      <c r="I759" s="15"/>
      <c r="J759" s="15">
        <v>49</v>
      </c>
      <c r="K759" s="15"/>
      <c r="L759" s="15"/>
      <c r="M759" s="15">
        <v>65.5</v>
      </c>
      <c r="N759" s="15">
        <v>62</v>
      </c>
      <c r="O759" s="15">
        <v>308.25</v>
      </c>
      <c r="P759" s="15">
        <v>484.75</v>
      </c>
    </row>
    <row r="760" ht="14.25" spans="1:16">
      <c r="A760" s="13">
        <v>759</v>
      </c>
      <c r="B760" s="15">
        <v>16</v>
      </c>
      <c r="C760" s="16">
        <v>14</v>
      </c>
      <c r="D760" s="15" t="s">
        <v>1517</v>
      </c>
      <c r="E760" s="15" t="s">
        <v>1518</v>
      </c>
      <c r="F760" s="15">
        <v>113</v>
      </c>
      <c r="G760" s="15">
        <v>93</v>
      </c>
      <c r="H760" s="15">
        <v>118.5</v>
      </c>
      <c r="I760" s="15"/>
      <c r="J760" s="15">
        <v>63</v>
      </c>
      <c r="K760" s="15"/>
      <c r="L760" s="15"/>
      <c r="M760" s="15">
        <v>54</v>
      </c>
      <c r="N760" s="15">
        <v>52.5</v>
      </c>
      <c r="O760" s="15">
        <v>324.5</v>
      </c>
      <c r="P760" s="15">
        <v>494</v>
      </c>
    </row>
    <row r="761" ht="14.25" spans="1:16">
      <c r="A761" s="13">
        <v>760</v>
      </c>
      <c r="B761" s="15">
        <v>16</v>
      </c>
      <c r="C761" s="16">
        <v>15</v>
      </c>
      <c r="D761" s="15" t="s">
        <v>1519</v>
      </c>
      <c r="E761" s="15" t="s">
        <v>1520</v>
      </c>
      <c r="F761" s="15">
        <v>105</v>
      </c>
      <c r="G761" s="15">
        <v>105</v>
      </c>
      <c r="H761" s="15">
        <v>124</v>
      </c>
      <c r="I761" s="15"/>
      <c r="J761" s="15">
        <v>67</v>
      </c>
      <c r="K761" s="15"/>
      <c r="L761" s="15"/>
      <c r="M761" s="15">
        <v>52.5</v>
      </c>
      <c r="N761" s="15">
        <v>49.5</v>
      </c>
      <c r="O761" s="15">
        <v>334</v>
      </c>
      <c r="P761" s="15">
        <v>503</v>
      </c>
    </row>
    <row r="762" ht="14.25" spans="1:16">
      <c r="A762" s="13">
        <v>761</v>
      </c>
      <c r="B762" s="15">
        <v>16</v>
      </c>
      <c r="C762" s="16">
        <v>16</v>
      </c>
      <c r="D762" s="15" t="s">
        <v>1521</v>
      </c>
      <c r="E762" s="15" t="s">
        <v>1522</v>
      </c>
      <c r="F762" s="15">
        <v>111</v>
      </c>
      <c r="G762" s="15">
        <v>110</v>
      </c>
      <c r="H762" s="15">
        <v>123.5</v>
      </c>
      <c r="I762" s="15"/>
      <c r="J762" s="15">
        <v>50.5</v>
      </c>
      <c r="K762" s="15"/>
      <c r="L762" s="15"/>
      <c r="M762" s="15">
        <v>65.5</v>
      </c>
      <c r="N762" s="15">
        <v>53</v>
      </c>
      <c r="O762" s="15">
        <v>344.5</v>
      </c>
      <c r="P762" s="15">
        <v>513.5</v>
      </c>
    </row>
    <row r="763" ht="14.25" spans="1:16">
      <c r="A763" s="13">
        <v>762</v>
      </c>
      <c r="B763" s="15">
        <v>16</v>
      </c>
      <c r="C763" s="16">
        <v>17</v>
      </c>
      <c r="D763" s="15" t="s">
        <v>1523</v>
      </c>
      <c r="E763" s="15" t="s">
        <v>1524</v>
      </c>
      <c r="F763" s="15">
        <v>111</v>
      </c>
      <c r="G763" s="15">
        <v>102.5</v>
      </c>
      <c r="H763" s="15">
        <v>122.5</v>
      </c>
      <c r="I763" s="15"/>
      <c r="J763" s="15">
        <v>61.5</v>
      </c>
      <c r="K763" s="15"/>
      <c r="L763" s="15"/>
      <c r="M763" s="15">
        <v>64</v>
      </c>
      <c r="N763" s="15">
        <v>60</v>
      </c>
      <c r="O763" s="15">
        <v>336</v>
      </c>
      <c r="P763" s="15">
        <v>521.5</v>
      </c>
    </row>
    <row r="764" ht="14.25" spans="1:16">
      <c r="A764" s="13">
        <v>763</v>
      </c>
      <c r="B764" s="15">
        <v>16</v>
      </c>
      <c r="C764" s="16">
        <v>18</v>
      </c>
      <c r="D764" s="15" t="s">
        <v>1525</v>
      </c>
      <c r="E764" s="15" t="s">
        <v>1526</v>
      </c>
      <c r="F764" s="15">
        <v>107.5</v>
      </c>
      <c r="G764" s="15">
        <v>97.5</v>
      </c>
      <c r="H764" s="15">
        <v>113</v>
      </c>
      <c r="I764" s="15"/>
      <c r="J764" s="15">
        <v>60</v>
      </c>
      <c r="K764" s="15"/>
      <c r="L764" s="15"/>
      <c r="M764" s="15">
        <v>67.5</v>
      </c>
      <c r="N764" s="15">
        <v>63</v>
      </c>
      <c r="O764" s="15">
        <v>318</v>
      </c>
      <c r="P764" s="15">
        <v>508.5</v>
      </c>
    </row>
    <row r="765" ht="14.25" spans="1:16">
      <c r="A765" s="13">
        <v>764</v>
      </c>
      <c r="B765" s="15">
        <v>16</v>
      </c>
      <c r="C765" s="16">
        <v>19</v>
      </c>
      <c r="D765" s="15" t="s">
        <v>1527</v>
      </c>
      <c r="E765" s="15" t="s">
        <v>1528</v>
      </c>
      <c r="F765" s="15">
        <v>103.5</v>
      </c>
      <c r="G765" s="15">
        <v>107.5</v>
      </c>
      <c r="H765" s="15">
        <v>121.5</v>
      </c>
      <c r="I765" s="15"/>
      <c r="J765" s="15">
        <v>67</v>
      </c>
      <c r="K765" s="15"/>
      <c r="L765" s="15"/>
      <c r="M765" s="15">
        <v>74</v>
      </c>
      <c r="N765" s="15">
        <v>60</v>
      </c>
      <c r="O765" s="15">
        <v>332.5</v>
      </c>
      <c r="P765" s="15">
        <v>533.5</v>
      </c>
    </row>
    <row r="766" ht="14.25" spans="1:16">
      <c r="A766" s="13">
        <v>765</v>
      </c>
      <c r="B766" s="15">
        <v>16</v>
      </c>
      <c r="C766" s="16">
        <v>20</v>
      </c>
      <c r="D766" s="15" t="s">
        <v>1529</v>
      </c>
      <c r="E766" s="15" t="s">
        <v>1530</v>
      </c>
      <c r="F766" s="15">
        <v>117.5</v>
      </c>
      <c r="G766" s="15">
        <v>113</v>
      </c>
      <c r="H766" s="15">
        <v>120</v>
      </c>
      <c r="I766" s="15"/>
      <c r="J766" s="15">
        <v>51.5</v>
      </c>
      <c r="K766" s="15"/>
      <c r="L766" s="15"/>
      <c r="M766" s="15">
        <v>73</v>
      </c>
      <c r="N766" s="15">
        <v>60.5</v>
      </c>
      <c r="O766" s="15">
        <v>350.5</v>
      </c>
      <c r="P766" s="15">
        <v>535.5</v>
      </c>
    </row>
    <row r="767" ht="14.25" spans="1:16">
      <c r="A767" s="13">
        <v>766</v>
      </c>
      <c r="B767" s="15">
        <v>16</v>
      </c>
      <c r="C767" s="16">
        <v>21</v>
      </c>
      <c r="D767" s="15" t="s">
        <v>1531</v>
      </c>
      <c r="E767" s="15" t="s">
        <v>1532</v>
      </c>
      <c r="F767" s="15">
        <v>102.75</v>
      </c>
      <c r="G767" s="15">
        <v>124</v>
      </c>
      <c r="H767" s="15">
        <v>126</v>
      </c>
      <c r="I767" s="15"/>
      <c r="J767" s="15">
        <v>59</v>
      </c>
      <c r="K767" s="15"/>
      <c r="L767" s="15"/>
      <c r="M767" s="15">
        <v>57</v>
      </c>
      <c r="N767" s="15">
        <v>56</v>
      </c>
      <c r="O767" s="15">
        <v>352.75</v>
      </c>
      <c r="P767" s="15">
        <v>524.75</v>
      </c>
    </row>
    <row r="768" ht="14.25" spans="1:16">
      <c r="A768" s="13">
        <v>767</v>
      </c>
      <c r="B768" s="15">
        <v>16</v>
      </c>
      <c r="C768" s="16">
        <v>22</v>
      </c>
      <c r="D768" s="15" t="s">
        <v>1533</v>
      </c>
      <c r="E768" s="15" t="s">
        <v>1534</v>
      </c>
      <c r="F768" s="15">
        <v>107.5</v>
      </c>
      <c r="G768" s="15">
        <v>108</v>
      </c>
      <c r="H768" s="15">
        <v>130.5</v>
      </c>
      <c r="I768" s="15"/>
      <c r="J768" s="15">
        <v>58</v>
      </c>
      <c r="K768" s="15"/>
      <c r="L768" s="15"/>
      <c r="M768" s="15">
        <v>59.5</v>
      </c>
      <c r="N768" s="15">
        <v>53</v>
      </c>
      <c r="O768" s="15">
        <v>346</v>
      </c>
      <c r="P768" s="15">
        <v>516.5</v>
      </c>
    </row>
    <row r="769" ht="14.25" spans="1:16">
      <c r="A769" s="13">
        <v>768</v>
      </c>
      <c r="B769" s="15">
        <v>16</v>
      </c>
      <c r="C769" s="16">
        <v>23</v>
      </c>
      <c r="D769" s="15" t="s">
        <v>1535</v>
      </c>
      <c r="E769" s="15" t="s">
        <v>1536</v>
      </c>
      <c r="F769" s="15">
        <v>113</v>
      </c>
      <c r="G769" s="15">
        <v>111.5</v>
      </c>
      <c r="H769" s="15">
        <v>111</v>
      </c>
      <c r="I769" s="15"/>
      <c r="J769" s="15">
        <v>62</v>
      </c>
      <c r="K769" s="15"/>
      <c r="L769" s="15"/>
      <c r="M769" s="15">
        <v>80</v>
      </c>
      <c r="N769" s="15">
        <v>54.5</v>
      </c>
      <c r="O769" s="15">
        <v>335.5</v>
      </c>
      <c r="P769" s="15">
        <v>532</v>
      </c>
    </row>
    <row r="770" ht="14.25" spans="1:16">
      <c r="A770" s="13">
        <v>769</v>
      </c>
      <c r="B770" s="15">
        <v>16</v>
      </c>
      <c r="C770" s="16">
        <v>25</v>
      </c>
      <c r="D770" s="15" t="s">
        <v>1537</v>
      </c>
      <c r="E770" s="15" t="s">
        <v>847</v>
      </c>
      <c r="F770" s="15">
        <v>111</v>
      </c>
      <c r="G770" s="15">
        <v>88.5</v>
      </c>
      <c r="H770" s="15">
        <v>102.5</v>
      </c>
      <c r="I770" s="15"/>
      <c r="J770" s="15">
        <v>58.5</v>
      </c>
      <c r="K770" s="15"/>
      <c r="L770" s="15">
        <v>50.5</v>
      </c>
      <c r="M770" s="15">
        <v>59</v>
      </c>
      <c r="N770" s="15"/>
      <c r="O770" s="15">
        <v>302</v>
      </c>
      <c r="P770" s="15">
        <v>470</v>
      </c>
    </row>
    <row r="771" ht="14.25" spans="1:16">
      <c r="A771" s="13">
        <v>770</v>
      </c>
      <c r="B771" s="15">
        <v>16</v>
      </c>
      <c r="C771" s="16">
        <v>26</v>
      </c>
      <c r="D771" s="15" t="s">
        <v>1538</v>
      </c>
      <c r="E771" s="15" t="s">
        <v>1539</v>
      </c>
      <c r="F771" s="15">
        <v>108.5</v>
      </c>
      <c r="G771" s="15">
        <v>98.5</v>
      </c>
      <c r="H771" s="15">
        <v>118.5</v>
      </c>
      <c r="I771" s="15"/>
      <c r="J771" s="15">
        <v>64</v>
      </c>
      <c r="K771" s="15"/>
      <c r="L771" s="15">
        <v>68.5</v>
      </c>
      <c r="M771" s="15">
        <v>64.5</v>
      </c>
      <c r="N771" s="15"/>
      <c r="O771" s="15">
        <v>325.5</v>
      </c>
      <c r="P771" s="15">
        <v>522.5</v>
      </c>
    </row>
    <row r="772" ht="14.25" spans="1:16">
      <c r="A772" s="13">
        <v>771</v>
      </c>
      <c r="B772" s="15">
        <v>16</v>
      </c>
      <c r="C772" s="16">
        <v>27</v>
      </c>
      <c r="D772" s="15" t="s">
        <v>1540</v>
      </c>
      <c r="E772" s="15" t="s">
        <v>1541</v>
      </c>
      <c r="F772" s="15">
        <v>105</v>
      </c>
      <c r="G772" s="15">
        <v>113</v>
      </c>
      <c r="H772" s="15">
        <v>120.5</v>
      </c>
      <c r="I772" s="15"/>
      <c r="J772" s="15">
        <v>66.5</v>
      </c>
      <c r="K772" s="15"/>
      <c r="L772" s="15">
        <v>67.5</v>
      </c>
      <c r="M772" s="15">
        <v>66.5</v>
      </c>
      <c r="N772" s="15"/>
      <c r="O772" s="15">
        <v>338.5</v>
      </c>
      <c r="P772" s="15">
        <v>539</v>
      </c>
    </row>
    <row r="773" ht="14.25" spans="1:16">
      <c r="A773" s="13">
        <v>772</v>
      </c>
      <c r="B773" s="15">
        <v>16</v>
      </c>
      <c r="C773" s="16">
        <v>28</v>
      </c>
      <c r="D773" s="15" t="s">
        <v>1542</v>
      </c>
      <c r="E773" s="15" t="s">
        <v>1543</v>
      </c>
      <c r="F773" s="15">
        <v>112.5</v>
      </c>
      <c r="G773" s="15">
        <v>89</v>
      </c>
      <c r="H773" s="15">
        <v>122</v>
      </c>
      <c r="I773" s="15"/>
      <c r="J773" s="15">
        <v>63.5</v>
      </c>
      <c r="K773" s="15"/>
      <c r="L773" s="15">
        <v>65.5</v>
      </c>
      <c r="M773" s="15">
        <v>65</v>
      </c>
      <c r="N773" s="15"/>
      <c r="O773" s="15">
        <v>323.5</v>
      </c>
      <c r="P773" s="15">
        <v>517.5</v>
      </c>
    </row>
    <row r="774" ht="14.25" spans="1:16">
      <c r="A774" s="13">
        <v>773</v>
      </c>
      <c r="B774" s="15">
        <v>16</v>
      </c>
      <c r="C774" s="16">
        <v>29</v>
      </c>
      <c r="D774" s="15" t="s">
        <v>1544</v>
      </c>
      <c r="E774" s="15" t="s">
        <v>1545</v>
      </c>
      <c r="F774" s="15">
        <v>101</v>
      </c>
      <c r="G774" s="15">
        <v>119</v>
      </c>
      <c r="H774" s="15">
        <v>105.5</v>
      </c>
      <c r="I774" s="15"/>
      <c r="J774" s="15">
        <v>56.5</v>
      </c>
      <c r="K774" s="15"/>
      <c r="L774" s="15">
        <v>56</v>
      </c>
      <c r="M774" s="15">
        <v>64.5</v>
      </c>
      <c r="N774" s="15"/>
      <c r="O774" s="15">
        <v>325.5</v>
      </c>
      <c r="P774" s="15">
        <v>502.5</v>
      </c>
    </row>
    <row r="775" ht="14.25" spans="1:16">
      <c r="A775" s="13">
        <v>774</v>
      </c>
      <c r="B775" s="15">
        <v>16</v>
      </c>
      <c r="C775" s="16">
        <v>31</v>
      </c>
      <c r="D775" s="15" t="s">
        <v>1546</v>
      </c>
      <c r="E775" s="15" t="s">
        <v>1547</v>
      </c>
      <c r="F775" s="15">
        <v>114.5</v>
      </c>
      <c r="G775" s="15">
        <v>80</v>
      </c>
      <c r="H775" s="15">
        <v>124.75</v>
      </c>
      <c r="I775" s="15"/>
      <c r="J775" s="15">
        <v>82.5</v>
      </c>
      <c r="K775" s="15"/>
      <c r="L775" s="15">
        <v>57.5</v>
      </c>
      <c r="M775" s="15">
        <v>62</v>
      </c>
      <c r="N775" s="15"/>
      <c r="O775" s="15">
        <v>319.25</v>
      </c>
      <c r="P775" s="15">
        <v>521.25</v>
      </c>
    </row>
    <row r="776" ht="14.25" spans="1:16">
      <c r="A776" s="13">
        <v>775</v>
      </c>
      <c r="B776" s="15">
        <v>16</v>
      </c>
      <c r="C776" s="16">
        <v>32</v>
      </c>
      <c r="D776" s="15" t="s">
        <v>1548</v>
      </c>
      <c r="E776" s="15" t="s">
        <v>1549</v>
      </c>
      <c r="F776" s="15">
        <v>110</v>
      </c>
      <c r="G776" s="15">
        <v>106</v>
      </c>
      <c r="H776" s="15">
        <v>119</v>
      </c>
      <c r="I776" s="15"/>
      <c r="J776" s="15">
        <v>66</v>
      </c>
      <c r="K776" s="15"/>
      <c r="L776" s="15">
        <v>64</v>
      </c>
      <c r="M776" s="15">
        <v>56.5</v>
      </c>
      <c r="N776" s="15"/>
      <c r="O776" s="15">
        <v>335</v>
      </c>
      <c r="P776" s="15">
        <v>521.5</v>
      </c>
    </row>
    <row r="777" ht="14.25" spans="1:16">
      <c r="A777" s="13">
        <v>776</v>
      </c>
      <c r="B777" s="15">
        <v>16</v>
      </c>
      <c r="C777" s="16">
        <v>33</v>
      </c>
      <c r="D777" s="15" t="s">
        <v>1550</v>
      </c>
      <c r="E777" s="15" t="s">
        <v>1551</v>
      </c>
      <c r="F777" s="15">
        <v>108.5</v>
      </c>
      <c r="G777" s="15">
        <v>95</v>
      </c>
      <c r="H777" s="15">
        <v>123.25</v>
      </c>
      <c r="I777" s="15"/>
      <c r="J777" s="15">
        <v>61.5</v>
      </c>
      <c r="K777" s="15"/>
      <c r="L777" s="15">
        <v>54.5</v>
      </c>
      <c r="M777" s="15">
        <v>59.5</v>
      </c>
      <c r="N777" s="15"/>
      <c r="O777" s="15">
        <v>326.75</v>
      </c>
      <c r="P777" s="15">
        <v>502.25</v>
      </c>
    </row>
    <row r="778" ht="14.25" spans="1:16">
      <c r="A778" s="13">
        <v>777</v>
      </c>
      <c r="B778" s="15">
        <v>16</v>
      </c>
      <c r="C778" s="16">
        <v>34</v>
      </c>
      <c r="D778" s="15" t="s">
        <v>1552</v>
      </c>
      <c r="E778" s="15" t="s">
        <v>1553</v>
      </c>
      <c r="F778" s="15">
        <v>107.5</v>
      </c>
      <c r="G778" s="15">
        <v>119</v>
      </c>
      <c r="H778" s="15">
        <v>114</v>
      </c>
      <c r="I778" s="15"/>
      <c r="J778" s="15">
        <v>70.5</v>
      </c>
      <c r="K778" s="15"/>
      <c r="L778" s="15">
        <v>65.5</v>
      </c>
      <c r="M778" s="15">
        <v>60</v>
      </c>
      <c r="N778" s="15"/>
      <c r="O778" s="15">
        <v>340.5</v>
      </c>
      <c r="P778" s="15">
        <v>536.5</v>
      </c>
    </row>
    <row r="779" ht="14.25" spans="1:16">
      <c r="A779" s="13">
        <v>778</v>
      </c>
      <c r="B779" s="15">
        <v>16</v>
      </c>
      <c r="C779" s="16">
        <v>35</v>
      </c>
      <c r="D779" s="15" t="s">
        <v>1554</v>
      </c>
      <c r="E779" s="15" t="s">
        <v>1555</v>
      </c>
      <c r="F779" s="15">
        <v>101.25</v>
      </c>
      <c r="G779" s="15">
        <v>107.5</v>
      </c>
      <c r="H779" s="15">
        <v>120.5</v>
      </c>
      <c r="I779" s="15"/>
      <c r="J779" s="15">
        <v>58.5</v>
      </c>
      <c r="K779" s="15"/>
      <c r="L779" s="15">
        <v>53</v>
      </c>
      <c r="M779" s="15">
        <v>53.25</v>
      </c>
      <c r="N779" s="15"/>
      <c r="O779" s="15">
        <v>329.25</v>
      </c>
      <c r="P779" s="15">
        <v>494</v>
      </c>
    </row>
    <row r="780" ht="14.25" spans="1:16">
      <c r="A780" s="13">
        <v>779</v>
      </c>
      <c r="B780" s="15">
        <v>16</v>
      </c>
      <c r="C780" s="16">
        <v>36</v>
      </c>
      <c r="D780" s="15" t="s">
        <v>1556</v>
      </c>
      <c r="E780" s="15" t="s">
        <v>1557</v>
      </c>
      <c r="F780" s="15">
        <v>112.5</v>
      </c>
      <c r="G780" s="15">
        <v>94</v>
      </c>
      <c r="H780" s="15">
        <v>118.5</v>
      </c>
      <c r="I780" s="15"/>
      <c r="J780" s="15">
        <v>67</v>
      </c>
      <c r="K780" s="15"/>
      <c r="L780" s="15">
        <v>44.5</v>
      </c>
      <c r="M780" s="15">
        <v>62</v>
      </c>
      <c r="N780" s="15"/>
      <c r="O780" s="15">
        <v>325</v>
      </c>
      <c r="P780" s="15">
        <v>498.5</v>
      </c>
    </row>
    <row r="781" ht="14.25" spans="1:16">
      <c r="A781" s="13">
        <v>780</v>
      </c>
      <c r="B781" s="15">
        <v>16</v>
      </c>
      <c r="C781" s="16">
        <v>37</v>
      </c>
      <c r="D781" s="15" t="s">
        <v>1558</v>
      </c>
      <c r="E781" s="15" t="s">
        <v>1559</v>
      </c>
      <c r="F781" s="15">
        <v>118</v>
      </c>
      <c r="G781" s="15">
        <v>109</v>
      </c>
      <c r="H781" s="15">
        <v>116.25</v>
      </c>
      <c r="I781" s="15"/>
      <c r="J781" s="15">
        <v>71.5</v>
      </c>
      <c r="K781" s="15"/>
      <c r="L781" s="15">
        <v>47</v>
      </c>
      <c r="M781" s="15">
        <v>61.5</v>
      </c>
      <c r="N781" s="15"/>
      <c r="O781" s="15">
        <v>343.25</v>
      </c>
      <c r="P781" s="15">
        <v>523.25</v>
      </c>
    </row>
    <row r="782" ht="14.25" spans="1:16">
      <c r="A782" s="13">
        <v>781</v>
      </c>
      <c r="B782" s="15">
        <v>16</v>
      </c>
      <c r="C782" s="16">
        <v>38</v>
      </c>
      <c r="D782" s="15" t="s">
        <v>1560</v>
      </c>
      <c r="E782" s="15" t="s">
        <v>1561</v>
      </c>
      <c r="F782" s="15">
        <v>90</v>
      </c>
      <c r="G782" s="15">
        <v>116.5</v>
      </c>
      <c r="H782" s="15">
        <v>125</v>
      </c>
      <c r="I782" s="15"/>
      <c r="J782" s="15">
        <v>67</v>
      </c>
      <c r="K782" s="15"/>
      <c r="L782" s="15">
        <v>50</v>
      </c>
      <c r="M782" s="15">
        <v>60</v>
      </c>
      <c r="N782" s="15"/>
      <c r="O782" s="15">
        <v>331.5</v>
      </c>
      <c r="P782" s="15">
        <v>508.5</v>
      </c>
    </row>
    <row r="783" ht="14.25" spans="1:16">
      <c r="A783" s="13">
        <v>782</v>
      </c>
      <c r="B783" s="15">
        <v>16</v>
      </c>
      <c r="C783" s="16">
        <v>39</v>
      </c>
      <c r="D783" s="15" t="s">
        <v>1562</v>
      </c>
      <c r="E783" s="15" t="s">
        <v>1563</v>
      </c>
      <c r="F783" s="15">
        <v>106</v>
      </c>
      <c r="G783" s="15">
        <v>95.5</v>
      </c>
      <c r="H783" s="15">
        <v>117</v>
      </c>
      <c r="I783" s="15"/>
      <c r="J783" s="15">
        <v>56</v>
      </c>
      <c r="K783" s="15"/>
      <c r="L783" s="15">
        <v>56.5</v>
      </c>
      <c r="M783" s="15">
        <v>52.5</v>
      </c>
      <c r="N783" s="15"/>
      <c r="O783" s="15">
        <v>318.5</v>
      </c>
      <c r="P783" s="15">
        <v>483.5</v>
      </c>
    </row>
    <row r="784" ht="14.25" spans="1:16">
      <c r="A784" s="13">
        <v>783</v>
      </c>
      <c r="B784" s="15">
        <v>16</v>
      </c>
      <c r="C784" s="16">
        <v>40</v>
      </c>
      <c r="D784" s="15" t="s">
        <v>1564</v>
      </c>
      <c r="E784" s="15" t="s">
        <v>1565</v>
      </c>
      <c r="F784" s="15">
        <v>99.25</v>
      </c>
      <c r="G784" s="15">
        <v>95.5</v>
      </c>
      <c r="H784" s="15">
        <v>120.5</v>
      </c>
      <c r="I784" s="15"/>
      <c r="J784" s="15">
        <v>68</v>
      </c>
      <c r="K784" s="15"/>
      <c r="L784" s="15">
        <v>48</v>
      </c>
      <c r="M784" s="15">
        <v>64.5</v>
      </c>
      <c r="N784" s="15"/>
      <c r="O784" s="15">
        <v>315.25</v>
      </c>
      <c r="P784" s="15">
        <v>495.75</v>
      </c>
    </row>
    <row r="785" ht="14.25" spans="1:16">
      <c r="A785" s="13">
        <v>784</v>
      </c>
      <c r="B785" s="15">
        <v>17</v>
      </c>
      <c r="C785" s="16">
        <v>1</v>
      </c>
      <c r="D785" s="15" t="s">
        <v>1566</v>
      </c>
      <c r="E785" s="15" t="s">
        <v>1567</v>
      </c>
      <c r="F785" s="15">
        <v>104.5</v>
      </c>
      <c r="G785" s="15">
        <v>84</v>
      </c>
      <c r="H785" s="15">
        <v>106</v>
      </c>
      <c r="I785" s="15"/>
      <c r="J785" s="15">
        <v>51.5</v>
      </c>
      <c r="K785" s="15"/>
      <c r="L785" s="15">
        <v>51.5</v>
      </c>
      <c r="M785" s="15">
        <v>56.5</v>
      </c>
      <c r="N785" s="15"/>
      <c r="O785" s="15">
        <v>294.5</v>
      </c>
      <c r="P785" s="15">
        <v>454</v>
      </c>
    </row>
    <row r="786" ht="14.25" spans="1:16">
      <c r="A786" s="13">
        <v>785</v>
      </c>
      <c r="B786" s="15">
        <v>17</v>
      </c>
      <c r="C786" s="16">
        <v>2</v>
      </c>
      <c r="D786" s="15" t="s">
        <v>1568</v>
      </c>
      <c r="E786" s="15" t="s">
        <v>1569</v>
      </c>
      <c r="F786" s="15">
        <v>94</v>
      </c>
      <c r="G786" s="15">
        <v>106.5</v>
      </c>
      <c r="H786" s="15">
        <v>70.25</v>
      </c>
      <c r="I786" s="15"/>
      <c r="J786" s="15">
        <v>55.5</v>
      </c>
      <c r="K786" s="15"/>
      <c r="L786" s="15">
        <v>49.5</v>
      </c>
      <c r="M786" s="15">
        <v>56.5</v>
      </c>
      <c r="N786" s="15"/>
      <c r="O786" s="15">
        <v>270.75</v>
      </c>
      <c r="P786" s="15">
        <v>432.25</v>
      </c>
    </row>
    <row r="787" ht="14.25" spans="1:16">
      <c r="A787" s="13">
        <v>786</v>
      </c>
      <c r="B787" s="15">
        <v>17</v>
      </c>
      <c r="C787" s="16">
        <v>3</v>
      </c>
      <c r="D787" s="15" t="s">
        <v>1570</v>
      </c>
      <c r="E787" s="15" t="s">
        <v>1571</v>
      </c>
      <c r="F787" s="15">
        <v>104</v>
      </c>
      <c r="G787" s="15">
        <v>90</v>
      </c>
      <c r="H787" s="15">
        <v>96.5</v>
      </c>
      <c r="I787" s="15"/>
      <c r="J787" s="15">
        <v>50.5</v>
      </c>
      <c r="K787" s="15"/>
      <c r="L787" s="15">
        <v>51.5</v>
      </c>
      <c r="M787" s="15">
        <v>60</v>
      </c>
      <c r="N787" s="15"/>
      <c r="O787" s="15">
        <v>290.5</v>
      </c>
      <c r="P787" s="15">
        <v>452.5</v>
      </c>
    </row>
    <row r="788" ht="14.25" spans="1:16">
      <c r="A788" s="13">
        <v>787</v>
      </c>
      <c r="B788" s="15">
        <v>17</v>
      </c>
      <c r="C788" s="16">
        <v>6</v>
      </c>
      <c r="D788" s="15" t="s">
        <v>1572</v>
      </c>
      <c r="E788" s="15" t="s">
        <v>1573</v>
      </c>
      <c r="F788" s="15">
        <v>92</v>
      </c>
      <c r="G788" s="15">
        <v>72</v>
      </c>
      <c r="H788" s="15">
        <v>115.5</v>
      </c>
      <c r="I788" s="15"/>
      <c r="J788" s="15">
        <v>60.5</v>
      </c>
      <c r="K788" s="15"/>
      <c r="L788" s="15">
        <v>37.5</v>
      </c>
      <c r="M788" s="15">
        <v>66</v>
      </c>
      <c r="N788" s="15"/>
      <c r="O788" s="15">
        <v>279.5</v>
      </c>
      <c r="P788" s="15">
        <v>443.5</v>
      </c>
    </row>
    <row r="789" ht="14.25" spans="1:16">
      <c r="A789" s="13">
        <v>788</v>
      </c>
      <c r="B789" s="15">
        <v>17</v>
      </c>
      <c r="C789" s="16">
        <v>7</v>
      </c>
      <c r="D789" s="15" t="s">
        <v>1574</v>
      </c>
      <c r="E789" s="15" t="s">
        <v>1575</v>
      </c>
      <c r="F789" s="15">
        <v>102.25</v>
      </c>
      <c r="G789" s="15">
        <v>99</v>
      </c>
      <c r="H789" s="15">
        <v>89.25</v>
      </c>
      <c r="I789" s="15"/>
      <c r="J789" s="15">
        <v>56</v>
      </c>
      <c r="K789" s="15"/>
      <c r="L789" s="15">
        <v>52.5</v>
      </c>
      <c r="M789" s="15">
        <v>47.5</v>
      </c>
      <c r="N789" s="15"/>
      <c r="O789" s="15">
        <v>290.5</v>
      </c>
      <c r="P789" s="15">
        <v>446.5</v>
      </c>
    </row>
    <row r="790" ht="14.25" spans="1:16">
      <c r="A790" s="13">
        <v>789</v>
      </c>
      <c r="B790" s="15">
        <v>17</v>
      </c>
      <c r="C790" s="16">
        <v>10</v>
      </c>
      <c r="D790" s="15" t="s">
        <v>1576</v>
      </c>
      <c r="E790" s="15" t="s">
        <v>1577</v>
      </c>
      <c r="F790" s="15">
        <v>104.5</v>
      </c>
      <c r="G790" s="15">
        <v>88.5</v>
      </c>
      <c r="H790" s="15">
        <v>76.5</v>
      </c>
      <c r="I790" s="15"/>
      <c r="J790" s="15">
        <v>64.5</v>
      </c>
      <c r="K790" s="15"/>
      <c r="L790" s="15">
        <v>55.5</v>
      </c>
      <c r="M790" s="15">
        <v>63</v>
      </c>
      <c r="N790" s="15"/>
      <c r="O790" s="15">
        <v>269.5</v>
      </c>
      <c r="P790" s="15">
        <v>452.5</v>
      </c>
    </row>
    <row r="791" ht="14.25" spans="1:16">
      <c r="A791" s="13">
        <v>790</v>
      </c>
      <c r="B791" s="15">
        <v>17</v>
      </c>
      <c r="C791" s="16">
        <v>11</v>
      </c>
      <c r="D791" s="15" t="s">
        <v>1578</v>
      </c>
      <c r="E791" s="15" t="s">
        <v>1579</v>
      </c>
      <c r="F791" s="15">
        <v>105</v>
      </c>
      <c r="G791" s="15">
        <v>53.5</v>
      </c>
      <c r="H791" s="15">
        <v>80.5</v>
      </c>
      <c r="I791" s="15"/>
      <c r="J791" s="15">
        <v>50</v>
      </c>
      <c r="K791" s="15"/>
      <c r="L791" s="15">
        <v>46</v>
      </c>
      <c r="M791" s="15">
        <v>53.5</v>
      </c>
      <c r="N791" s="15"/>
      <c r="O791" s="15">
        <v>239</v>
      </c>
      <c r="P791" s="15">
        <v>388.5</v>
      </c>
    </row>
    <row r="792" ht="14.25" spans="1:16">
      <c r="A792" s="13">
        <v>791</v>
      </c>
      <c r="B792" s="15">
        <v>17</v>
      </c>
      <c r="C792" s="16">
        <v>12</v>
      </c>
      <c r="D792" s="15" t="s">
        <v>1580</v>
      </c>
      <c r="E792" s="15" t="s">
        <v>1581</v>
      </c>
      <c r="F792" s="15">
        <v>113</v>
      </c>
      <c r="G792" s="15">
        <v>103.5</v>
      </c>
      <c r="H792" s="15">
        <v>117.25</v>
      </c>
      <c r="I792" s="15"/>
      <c r="J792" s="15">
        <v>58</v>
      </c>
      <c r="K792" s="15"/>
      <c r="L792" s="15">
        <v>55</v>
      </c>
      <c r="M792" s="15">
        <v>65</v>
      </c>
      <c r="N792" s="15"/>
      <c r="O792" s="15">
        <v>333.75</v>
      </c>
      <c r="P792" s="15">
        <v>511.75</v>
      </c>
    </row>
    <row r="793" ht="14.25" spans="1:16">
      <c r="A793" s="13">
        <v>792</v>
      </c>
      <c r="B793" s="15">
        <v>17</v>
      </c>
      <c r="C793" s="16">
        <v>13</v>
      </c>
      <c r="D793" s="15" t="s">
        <v>1582</v>
      </c>
      <c r="E793" s="15" t="s">
        <v>1583</v>
      </c>
      <c r="F793" s="15">
        <v>109.5</v>
      </c>
      <c r="G793" s="15">
        <v>98.5</v>
      </c>
      <c r="H793" s="15">
        <v>112</v>
      </c>
      <c r="I793" s="15"/>
      <c r="J793" s="15">
        <v>62</v>
      </c>
      <c r="K793" s="15"/>
      <c r="L793" s="15">
        <v>53.5</v>
      </c>
      <c r="M793" s="15">
        <v>63.5</v>
      </c>
      <c r="N793" s="15"/>
      <c r="O793" s="15">
        <v>320</v>
      </c>
      <c r="P793" s="15">
        <v>499</v>
      </c>
    </row>
    <row r="794" ht="14.25" spans="1:16">
      <c r="A794" s="13">
        <v>793</v>
      </c>
      <c r="B794" s="15">
        <v>17</v>
      </c>
      <c r="C794" s="16">
        <v>14</v>
      </c>
      <c r="D794" s="15" t="s">
        <v>1584</v>
      </c>
      <c r="E794" s="15" t="s">
        <v>1585</v>
      </c>
      <c r="F794" s="15">
        <v>95.5</v>
      </c>
      <c r="G794" s="15">
        <v>84</v>
      </c>
      <c r="H794" s="15">
        <v>98</v>
      </c>
      <c r="I794" s="15"/>
      <c r="J794" s="15">
        <v>56</v>
      </c>
      <c r="K794" s="15"/>
      <c r="L794" s="15">
        <v>43.5</v>
      </c>
      <c r="M794" s="15">
        <v>64</v>
      </c>
      <c r="N794" s="15"/>
      <c r="O794" s="15">
        <v>277.5</v>
      </c>
      <c r="P794" s="15">
        <v>441</v>
      </c>
    </row>
    <row r="795" ht="14.25" spans="1:16">
      <c r="A795" s="13">
        <v>794</v>
      </c>
      <c r="B795" s="15">
        <v>17</v>
      </c>
      <c r="C795" s="16">
        <v>15</v>
      </c>
      <c r="D795" s="15" t="s">
        <v>1586</v>
      </c>
      <c r="E795" s="15" t="s">
        <v>1587</v>
      </c>
      <c r="F795" s="15">
        <v>90.5</v>
      </c>
      <c r="G795" s="15">
        <v>80.5</v>
      </c>
      <c r="H795" s="15">
        <v>104</v>
      </c>
      <c r="I795" s="15"/>
      <c r="J795" s="15">
        <v>56</v>
      </c>
      <c r="K795" s="15"/>
      <c r="L795" s="15">
        <v>38</v>
      </c>
      <c r="M795" s="15">
        <v>35.5</v>
      </c>
      <c r="N795" s="15"/>
      <c r="O795" s="15">
        <v>275</v>
      </c>
      <c r="P795" s="15">
        <v>404.5</v>
      </c>
    </row>
    <row r="796" ht="14.25" spans="1:16">
      <c r="A796" s="13">
        <v>795</v>
      </c>
      <c r="B796" s="15">
        <v>17</v>
      </c>
      <c r="C796" s="16">
        <v>17</v>
      </c>
      <c r="D796" s="15" t="s">
        <v>1588</v>
      </c>
      <c r="E796" s="15" t="s">
        <v>1589</v>
      </c>
      <c r="F796" s="15">
        <v>105</v>
      </c>
      <c r="G796" s="15">
        <v>95.5</v>
      </c>
      <c r="H796" s="15">
        <v>105.75</v>
      </c>
      <c r="I796" s="15"/>
      <c r="J796" s="15">
        <v>58</v>
      </c>
      <c r="K796" s="15"/>
      <c r="L796" s="15">
        <v>54</v>
      </c>
      <c r="M796" s="15">
        <v>58.5</v>
      </c>
      <c r="N796" s="15"/>
      <c r="O796" s="15">
        <v>306.25</v>
      </c>
      <c r="P796" s="15">
        <v>476.75</v>
      </c>
    </row>
    <row r="797" ht="14.25" spans="1:16">
      <c r="A797" s="13">
        <v>796</v>
      </c>
      <c r="B797" s="15">
        <v>17</v>
      </c>
      <c r="C797" s="16">
        <v>19</v>
      </c>
      <c r="D797" s="15" t="s">
        <v>1590</v>
      </c>
      <c r="E797" s="15" t="s">
        <v>1591</v>
      </c>
      <c r="F797" s="15">
        <v>102.75</v>
      </c>
      <c r="G797" s="15">
        <v>90</v>
      </c>
      <c r="H797" s="15">
        <v>105.75</v>
      </c>
      <c r="I797" s="15"/>
      <c r="J797" s="15">
        <v>55.5</v>
      </c>
      <c r="K797" s="15"/>
      <c r="L797" s="15">
        <v>58</v>
      </c>
      <c r="M797" s="15">
        <v>67.5</v>
      </c>
      <c r="N797" s="15"/>
      <c r="O797" s="15">
        <v>298.5</v>
      </c>
      <c r="P797" s="15">
        <v>479.5</v>
      </c>
    </row>
    <row r="798" ht="14.25" spans="1:16">
      <c r="A798" s="13">
        <v>797</v>
      </c>
      <c r="B798" s="15">
        <v>17</v>
      </c>
      <c r="C798" s="16">
        <v>20</v>
      </c>
      <c r="D798" s="15" t="s">
        <v>1592</v>
      </c>
      <c r="E798" s="15" t="s">
        <v>1593</v>
      </c>
      <c r="F798" s="15">
        <v>112.5</v>
      </c>
      <c r="G798" s="15">
        <v>94.5</v>
      </c>
      <c r="H798" s="15">
        <v>116.5</v>
      </c>
      <c r="I798" s="15"/>
      <c r="J798" s="15">
        <v>65.5</v>
      </c>
      <c r="K798" s="15"/>
      <c r="L798" s="15">
        <v>56</v>
      </c>
      <c r="M798" s="15">
        <v>67.5</v>
      </c>
      <c r="N798" s="15"/>
      <c r="O798" s="15">
        <v>323.5</v>
      </c>
      <c r="P798" s="15">
        <v>512.5</v>
      </c>
    </row>
    <row r="799" ht="14.25" spans="1:16">
      <c r="A799" s="13">
        <v>798</v>
      </c>
      <c r="B799" s="15">
        <v>17</v>
      </c>
      <c r="C799" s="16">
        <v>21</v>
      </c>
      <c r="D799" s="15" t="s">
        <v>1594</v>
      </c>
      <c r="E799" s="15" t="s">
        <v>1595</v>
      </c>
      <c r="F799" s="15">
        <v>100</v>
      </c>
      <c r="G799" s="15">
        <v>114</v>
      </c>
      <c r="H799" s="15">
        <v>117</v>
      </c>
      <c r="I799" s="15"/>
      <c r="J799" s="15">
        <v>66</v>
      </c>
      <c r="K799" s="15"/>
      <c r="L799" s="15">
        <v>50</v>
      </c>
      <c r="M799" s="15">
        <v>62</v>
      </c>
      <c r="N799" s="15"/>
      <c r="O799" s="15">
        <v>331</v>
      </c>
      <c r="P799" s="15">
        <v>509</v>
      </c>
    </row>
    <row r="800" ht="14.25" spans="1:16">
      <c r="A800" s="13">
        <v>799</v>
      </c>
      <c r="B800" s="15">
        <v>17</v>
      </c>
      <c r="C800" s="16">
        <v>22</v>
      </c>
      <c r="D800" s="15" t="s">
        <v>1596</v>
      </c>
      <c r="E800" s="15" t="s">
        <v>1597</v>
      </c>
      <c r="F800" s="15">
        <v>107</v>
      </c>
      <c r="G800" s="15">
        <v>50</v>
      </c>
      <c r="H800" s="15">
        <v>89</v>
      </c>
      <c r="I800" s="15"/>
      <c r="J800" s="15">
        <v>46</v>
      </c>
      <c r="K800" s="15"/>
      <c r="L800" s="15">
        <v>45</v>
      </c>
      <c r="M800" s="15">
        <v>54</v>
      </c>
      <c r="N800" s="15"/>
      <c r="O800" s="15">
        <v>246</v>
      </c>
      <c r="P800" s="15">
        <v>391</v>
      </c>
    </row>
    <row r="801" ht="14.25" spans="1:16">
      <c r="A801" s="13">
        <v>800</v>
      </c>
      <c r="B801" s="15">
        <v>17</v>
      </c>
      <c r="C801" s="16">
        <v>23</v>
      </c>
      <c r="D801" s="15" t="s">
        <v>1598</v>
      </c>
      <c r="E801" s="15" t="s">
        <v>1599</v>
      </c>
      <c r="F801" s="15">
        <v>105</v>
      </c>
      <c r="G801" s="15">
        <v>104</v>
      </c>
      <c r="H801" s="15">
        <v>99.25</v>
      </c>
      <c r="I801" s="15"/>
      <c r="J801" s="15">
        <v>65.5</v>
      </c>
      <c r="K801" s="15"/>
      <c r="L801" s="15">
        <v>53.5</v>
      </c>
      <c r="M801" s="15">
        <v>63.5</v>
      </c>
      <c r="N801" s="15"/>
      <c r="O801" s="15">
        <v>308.25</v>
      </c>
      <c r="P801" s="15">
        <v>490.75</v>
      </c>
    </row>
    <row r="802" ht="14.25" spans="1:16">
      <c r="A802" s="13">
        <v>801</v>
      </c>
      <c r="B802" s="15">
        <v>17</v>
      </c>
      <c r="C802" s="16">
        <v>24</v>
      </c>
      <c r="D802" s="15" t="s">
        <v>1600</v>
      </c>
      <c r="E802" s="15" t="s">
        <v>1601</v>
      </c>
      <c r="F802" s="15">
        <v>99</v>
      </c>
      <c r="G802" s="15">
        <v>70</v>
      </c>
      <c r="H802" s="15">
        <v>96.75</v>
      </c>
      <c r="I802" s="15"/>
      <c r="J802" s="15">
        <v>44.5</v>
      </c>
      <c r="K802" s="15"/>
      <c r="L802" s="15">
        <v>58.5</v>
      </c>
      <c r="M802" s="15">
        <v>63</v>
      </c>
      <c r="N802" s="15"/>
      <c r="O802" s="15">
        <v>265.75</v>
      </c>
      <c r="P802" s="15">
        <v>431.75</v>
      </c>
    </row>
    <row r="803" ht="14.25" spans="1:16">
      <c r="A803" s="13">
        <v>802</v>
      </c>
      <c r="B803" s="15">
        <v>17</v>
      </c>
      <c r="C803" s="16">
        <v>25</v>
      </c>
      <c r="D803" s="15" t="s">
        <v>1602</v>
      </c>
      <c r="E803" s="15" t="s">
        <v>1603</v>
      </c>
      <c r="F803" s="15">
        <v>99</v>
      </c>
      <c r="G803" s="15">
        <v>100</v>
      </c>
      <c r="H803" s="15">
        <v>93</v>
      </c>
      <c r="I803" s="15"/>
      <c r="J803" s="15">
        <v>49</v>
      </c>
      <c r="K803" s="15"/>
      <c r="L803" s="15">
        <v>45</v>
      </c>
      <c r="M803" s="15">
        <v>56</v>
      </c>
      <c r="N803" s="15"/>
      <c r="O803" s="15">
        <v>292</v>
      </c>
      <c r="P803" s="15">
        <v>442</v>
      </c>
    </row>
    <row r="804" ht="14.25" spans="1:16">
      <c r="A804" s="13">
        <v>803</v>
      </c>
      <c r="B804" s="15">
        <v>17</v>
      </c>
      <c r="C804" s="16">
        <v>26</v>
      </c>
      <c r="D804" s="15" t="s">
        <v>1604</v>
      </c>
      <c r="E804" s="15" t="s">
        <v>1605</v>
      </c>
      <c r="F804" s="15">
        <v>104.5</v>
      </c>
      <c r="G804" s="15">
        <v>100.5</v>
      </c>
      <c r="H804" s="15">
        <v>113.75</v>
      </c>
      <c r="I804" s="15"/>
      <c r="J804" s="15">
        <v>59.5</v>
      </c>
      <c r="K804" s="15"/>
      <c r="L804" s="15">
        <v>50.5</v>
      </c>
      <c r="M804" s="15">
        <v>61.5</v>
      </c>
      <c r="N804" s="15"/>
      <c r="O804" s="15">
        <v>318.75</v>
      </c>
      <c r="P804" s="15">
        <v>490.25</v>
      </c>
    </row>
    <row r="805" ht="14.25" spans="1:16">
      <c r="A805" s="13">
        <v>804</v>
      </c>
      <c r="B805" s="15">
        <v>17</v>
      </c>
      <c r="C805" s="16">
        <v>27</v>
      </c>
      <c r="D805" s="15" t="s">
        <v>1606</v>
      </c>
      <c r="E805" s="15" t="s">
        <v>1607</v>
      </c>
      <c r="F805" s="15">
        <v>97.25</v>
      </c>
      <c r="G805" s="15">
        <v>105</v>
      </c>
      <c r="H805" s="15">
        <v>113.5</v>
      </c>
      <c r="I805" s="15"/>
      <c r="J805" s="15">
        <v>55</v>
      </c>
      <c r="K805" s="15"/>
      <c r="L805" s="15">
        <v>49</v>
      </c>
      <c r="M805" s="15">
        <v>61</v>
      </c>
      <c r="N805" s="15"/>
      <c r="O805" s="15">
        <v>315.75</v>
      </c>
      <c r="P805" s="15">
        <v>480.75</v>
      </c>
    </row>
    <row r="806" ht="14.25" spans="1:16">
      <c r="A806" s="13">
        <v>805</v>
      </c>
      <c r="B806" s="15">
        <v>17</v>
      </c>
      <c r="C806" s="16">
        <v>28</v>
      </c>
      <c r="D806" s="15" t="s">
        <v>1608</v>
      </c>
      <c r="E806" s="15" t="s">
        <v>1609</v>
      </c>
      <c r="F806" s="15">
        <v>98</v>
      </c>
      <c r="G806" s="15">
        <v>110.5</v>
      </c>
      <c r="H806" s="15">
        <v>103.5</v>
      </c>
      <c r="I806" s="15"/>
      <c r="J806" s="15">
        <v>65.5</v>
      </c>
      <c r="K806" s="15"/>
      <c r="L806" s="15">
        <v>44</v>
      </c>
      <c r="M806" s="15">
        <v>49.5</v>
      </c>
      <c r="N806" s="15"/>
      <c r="O806" s="15">
        <v>312</v>
      </c>
      <c r="P806" s="15">
        <v>471</v>
      </c>
    </row>
    <row r="807" ht="14.25" spans="1:16">
      <c r="A807" s="13">
        <v>806</v>
      </c>
      <c r="B807" s="15">
        <v>17</v>
      </c>
      <c r="C807" s="16">
        <v>29</v>
      </c>
      <c r="D807" s="15" t="s">
        <v>1610</v>
      </c>
      <c r="E807" s="15" t="s">
        <v>1611</v>
      </c>
      <c r="F807" s="15">
        <v>102.5</v>
      </c>
      <c r="G807" s="15">
        <v>106</v>
      </c>
      <c r="H807" s="15">
        <v>109</v>
      </c>
      <c r="I807" s="15"/>
      <c r="J807" s="15">
        <v>57</v>
      </c>
      <c r="K807" s="15"/>
      <c r="L807" s="15">
        <v>49</v>
      </c>
      <c r="M807" s="15">
        <v>59.5</v>
      </c>
      <c r="N807" s="15"/>
      <c r="O807" s="15">
        <v>317.5</v>
      </c>
      <c r="P807" s="15">
        <v>483</v>
      </c>
    </row>
    <row r="808" ht="14.25" spans="1:16">
      <c r="A808" s="13">
        <v>807</v>
      </c>
      <c r="B808" s="15">
        <v>17</v>
      </c>
      <c r="C808" s="16">
        <v>30</v>
      </c>
      <c r="D808" s="15" t="s">
        <v>1612</v>
      </c>
      <c r="E808" s="15" t="s">
        <v>1613</v>
      </c>
      <c r="F808" s="15">
        <v>90.25</v>
      </c>
      <c r="G808" s="15">
        <v>103</v>
      </c>
      <c r="H808" s="15">
        <v>107.25</v>
      </c>
      <c r="I808" s="15"/>
      <c r="J808" s="15">
        <v>54.5</v>
      </c>
      <c r="K808" s="15"/>
      <c r="L808" s="15">
        <v>68.5</v>
      </c>
      <c r="M808" s="15">
        <v>70.5</v>
      </c>
      <c r="N808" s="15"/>
      <c r="O808" s="15">
        <v>300.5</v>
      </c>
      <c r="P808" s="15">
        <v>494</v>
      </c>
    </row>
    <row r="809" ht="14.25" spans="1:16">
      <c r="A809" s="13">
        <v>808</v>
      </c>
      <c r="B809" s="15">
        <v>17</v>
      </c>
      <c r="C809" s="16">
        <v>31</v>
      </c>
      <c r="D809" s="15" t="s">
        <v>1614</v>
      </c>
      <c r="E809" s="15" t="s">
        <v>1615</v>
      </c>
      <c r="F809" s="15">
        <v>115.5</v>
      </c>
      <c r="G809" s="15">
        <v>102.5</v>
      </c>
      <c r="H809" s="15">
        <v>90</v>
      </c>
      <c r="I809" s="15"/>
      <c r="J809" s="15">
        <v>54.5</v>
      </c>
      <c r="K809" s="15"/>
      <c r="L809" s="15">
        <v>64</v>
      </c>
      <c r="M809" s="15">
        <v>67</v>
      </c>
      <c r="N809" s="15"/>
      <c r="O809" s="15">
        <v>308</v>
      </c>
      <c r="P809" s="15">
        <v>493.5</v>
      </c>
    </row>
    <row r="810" ht="14.25" spans="1:16">
      <c r="A810" s="13">
        <v>809</v>
      </c>
      <c r="B810" s="15">
        <v>17</v>
      </c>
      <c r="C810" s="16">
        <v>33</v>
      </c>
      <c r="D810" s="15" t="s">
        <v>1616</v>
      </c>
      <c r="E810" s="15" t="s">
        <v>1617</v>
      </c>
      <c r="F810" s="15">
        <v>97</v>
      </c>
      <c r="G810" s="15">
        <v>94</v>
      </c>
      <c r="H810" s="15">
        <v>85.25</v>
      </c>
      <c r="I810" s="15"/>
      <c r="J810" s="15">
        <v>49</v>
      </c>
      <c r="K810" s="15"/>
      <c r="L810" s="15">
        <v>43</v>
      </c>
      <c r="M810" s="15">
        <v>48.5</v>
      </c>
      <c r="N810" s="15"/>
      <c r="O810" s="15">
        <v>276.25</v>
      </c>
      <c r="P810" s="15">
        <v>416.75</v>
      </c>
    </row>
    <row r="811" ht="14.25" spans="1:16">
      <c r="A811" s="13">
        <v>810</v>
      </c>
      <c r="B811" s="15">
        <v>17</v>
      </c>
      <c r="C811" s="16">
        <v>35</v>
      </c>
      <c r="D811" s="15" t="s">
        <v>1618</v>
      </c>
      <c r="E811" s="15" t="s">
        <v>1619</v>
      </c>
      <c r="F811" s="15">
        <v>103.25</v>
      </c>
      <c r="G811" s="15">
        <v>78</v>
      </c>
      <c r="H811" s="15">
        <v>81</v>
      </c>
      <c r="I811" s="15"/>
      <c r="J811" s="15">
        <v>62</v>
      </c>
      <c r="K811" s="15"/>
      <c r="L811" s="15">
        <v>50</v>
      </c>
      <c r="M811" s="15">
        <v>49</v>
      </c>
      <c r="N811" s="15"/>
      <c r="O811" s="15">
        <v>262.25</v>
      </c>
      <c r="P811" s="15">
        <v>423.25</v>
      </c>
    </row>
    <row r="812" ht="14.25" spans="1:16">
      <c r="A812" s="13">
        <v>811</v>
      </c>
      <c r="B812" s="15">
        <v>17</v>
      </c>
      <c r="C812" s="16">
        <v>36</v>
      </c>
      <c r="D812" s="15" t="s">
        <v>1620</v>
      </c>
      <c r="E812" s="15" t="s">
        <v>1621</v>
      </c>
      <c r="F812" s="15">
        <v>110.5</v>
      </c>
      <c r="G812" s="15">
        <v>74.5</v>
      </c>
      <c r="H812" s="15">
        <v>84.5</v>
      </c>
      <c r="I812" s="15"/>
      <c r="J812" s="15">
        <v>61.5</v>
      </c>
      <c r="K812" s="15"/>
      <c r="L812" s="15">
        <v>40.5</v>
      </c>
      <c r="M812" s="15">
        <v>56.5</v>
      </c>
      <c r="N812" s="15"/>
      <c r="O812" s="15">
        <v>269.5</v>
      </c>
      <c r="P812" s="15">
        <v>428</v>
      </c>
    </row>
    <row r="813" ht="14.25" spans="1:16">
      <c r="A813" s="13">
        <v>812</v>
      </c>
      <c r="B813" s="15">
        <v>17</v>
      </c>
      <c r="C813" s="16">
        <v>37</v>
      </c>
      <c r="D813" s="15" t="s">
        <v>1622</v>
      </c>
      <c r="E813" s="15" t="s">
        <v>1623</v>
      </c>
      <c r="F813" s="15">
        <v>101.5</v>
      </c>
      <c r="G813" s="15">
        <v>102</v>
      </c>
      <c r="H813" s="15">
        <v>111.25</v>
      </c>
      <c r="I813" s="15"/>
      <c r="J813" s="15">
        <v>61.5</v>
      </c>
      <c r="K813" s="15"/>
      <c r="L813" s="15">
        <v>54</v>
      </c>
      <c r="M813" s="15">
        <v>52</v>
      </c>
      <c r="N813" s="15"/>
      <c r="O813" s="15">
        <v>314.75</v>
      </c>
      <c r="P813" s="15">
        <v>482.25</v>
      </c>
    </row>
    <row r="814" ht="14.25" spans="1:16">
      <c r="A814" s="13">
        <v>813</v>
      </c>
      <c r="B814" s="15">
        <v>17</v>
      </c>
      <c r="C814" s="16">
        <v>38</v>
      </c>
      <c r="D814" s="15" t="s">
        <v>1624</v>
      </c>
      <c r="E814" s="15" t="s">
        <v>1625</v>
      </c>
      <c r="F814" s="15">
        <v>115</v>
      </c>
      <c r="G814" s="15">
        <v>64.5</v>
      </c>
      <c r="H814" s="15">
        <v>118.5</v>
      </c>
      <c r="I814" s="15"/>
      <c r="J814" s="15">
        <v>47.5</v>
      </c>
      <c r="K814" s="15"/>
      <c r="L814" s="15">
        <v>55</v>
      </c>
      <c r="M814" s="15">
        <v>68.5</v>
      </c>
      <c r="N814" s="15"/>
      <c r="O814" s="15">
        <v>298</v>
      </c>
      <c r="P814" s="15">
        <v>469</v>
      </c>
    </row>
    <row r="815" ht="14.25" spans="1:16">
      <c r="A815" s="13">
        <v>814</v>
      </c>
      <c r="B815" s="15">
        <v>17</v>
      </c>
      <c r="C815" s="16">
        <v>39</v>
      </c>
      <c r="D815" s="15" t="s">
        <v>1626</v>
      </c>
      <c r="E815" s="15" t="s">
        <v>1627</v>
      </c>
      <c r="F815" s="15">
        <v>97</v>
      </c>
      <c r="G815" s="15">
        <v>99</v>
      </c>
      <c r="H815" s="15">
        <v>91.75</v>
      </c>
      <c r="I815" s="15"/>
      <c r="J815" s="15">
        <v>47</v>
      </c>
      <c r="K815" s="15"/>
      <c r="L815" s="15">
        <v>55.5</v>
      </c>
      <c r="M815" s="15">
        <v>48.5</v>
      </c>
      <c r="N815" s="15"/>
      <c r="O815" s="15">
        <v>287.75</v>
      </c>
      <c r="P815" s="15">
        <v>438.75</v>
      </c>
    </row>
    <row r="816" ht="14.25" spans="1:16">
      <c r="A816" s="13">
        <v>815</v>
      </c>
      <c r="B816" s="15">
        <v>17</v>
      </c>
      <c r="C816" s="16">
        <v>40</v>
      </c>
      <c r="D816" s="15" t="s">
        <v>1628</v>
      </c>
      <c r="E816" s="15" t="s">
        <v>1629</v>
      </c>
      <c r="F816" s="15">
        <v>95.25</v>
      </c>
      <c r="G816" s="15">
        <v>76</v>
      </c>
      <c r="H816" s="15">
        <v>101.5</v>
      </c>
      <c r="I816" s="15"/>
      <c r="J816" s="15">
        <v>59.5</v>
      </c>
      <c r="K816" s="15"/>
      <c r="L816" s="15">
        <v>51.5</v>
      </c>
      <c r="M816" s="15">
        <v>55</v>
      </c>
      <c r="N816" s="15"/>
      <c r="O816" s="15">
        <v>272.75</v>
      </c>
      <c r="P816" s="15">
        <v>438.75</v>
      </c>
    </row>
    <row r="817" ht="14.25" spans="1:16">
      <c r="A817" s="13">
        <v>816</v>
      </c>
      <c r="B817" s="15">
        <v>17</v>
      </c>
      <c r="C817" s="16">
        <v>41</v>
      </c>
      <c r="D817" s="15" t="s">
        <v>1630</v>
      </c>
      <c r="E817" s="15" t="s">
        <v>1631</v>
      </c>
      <c r="F817" s="15">
        <v>107</v>
      </c>
      <c r="G817" s="15">
        <v>87</v>
      </c>
      <c r="H817" s="15">
        <v>108.25</v>
      </c>
      <c r="I817" s="15"/>
      <c r="J817" s="15">
        <v>51</v>
      </c>
      <c r="K817" s="15"/>
      <c r="L817" s="15">
        <v>44</v>
      </c>
      <c r="M817" s="15">
        <v>67.5</v>
      </c>
      <c r="N817" s="15"/>
      <c r="O817" s="15">
        <v>302.25</v>
      </c>
      <c r="P817" s="15">
        <v>464.75</v>
      </c>
    </row>
    <row r="818" ht="14.25" spans="1:16">
      <c r="A818" s="13">
        <v>817</v>
      </c>
      <c r="B818" s="15">
        <v>17</v>
      </c>
      <c r="C818" s="16">
        <v>44</v>
      </c>
      <c r="D818" s="15" t="s">
        <v>1632</v>
      </c>
      <c r="E818" s="15" t="s">
        <v>1633</v>
      </c>
      <c r="F818" s="15">
        <v>96.5</v>
      </c>
      <c r="G818" s="15">
        <v>98</v>
      </c>
      <c r="H818" s="15">
        <v>100.5</v>
      </c>
      <c r="I818" s="15"/>
      <c r="J818" s="15">
        <v>59.5</v>
      </c>
      <c r="K818" s="15"/>
      <c r="L818" s="15">
        <v>44</v>
      </c>
      <c r="M818" s="15">
        <v>67</v>
      </c>
      <c r="N818" s="15"/>
      <c r="O818" s="15">
        <v>295</v>
      </c>
      <c r="P818" s="15">
        <v>465.5</v>
      </c>
    </row>
    <row r="819" ht="14.25" spans="1:16">
      <c r="A819" s="13">
        <v>818</v>
      </c>
      <c r="B819" s="15">
        <v>17</v>
      </c>
      <c r="C819" s="16">
        <v>45</v>
      </c>
      <c r="D819" s="15" t="s">
        <v>1634</v>
      </c>
      <c r="E819" s="15" t="s">
        <v>1635</v>
      </c>
      <c r="F819" s="15">
        <v>99</v>
      </c>
      <c r="G819" s="15">
        <v>110.5</v>
      </c>
      <c r="H819" s="15">
        <v>85.5</v>
      </c>
      <c r="I819" s="15"/>
      <c r="J819" s="15">
        <v>55.5</v>
      </c>
      <c r="K819" s="15"/>
      <c r="L819" s="15">
        <v>44</v>
      </c>
      <c r="M819" s="15">
        <v>67</v>
      </c>
      <c r="N819" s="15"/>
      <c r="O819" s="15">
        <v>295</v>
      </c>
      <c r="P819" s="15">
        <v>461.5</v>
      </c>
    </row>
    <row r="820" ht="14.25" spans="1:16">
      <c r="A820" s="13">
        <v>819</v>
      </c>
      <c r="B820" s="15">
        <v>17</v>
      </c>
      <c r="C820" s="16">
        <v>46</v>
      </c>
      <c r="D820" s="15" t="s">
        <v>1636</v>
      </c>
      <c r="E820" s="15" t="s">
        <v>1637</v>
      </c>
      <c r="F820" s="15">
        <v>95</v>
      </c>
      <c r="G820" s="15">
        <v>72</v>
      </c>
      <c r="H820" s="15">
        <v>78.75</v>
      </c>
      <c r="I820" s="15"/>
      <c r="J820" s="15">
        <v>50.5</v>
      </c>
      <c r="K820" s="15"/>
      <c r="L820" s="15">
        <v>44.5</v>
      </c>
      <c r="M820" s="15">
        <v>36.5</v>
      </c>
      <c r="N820" s="15"/>
      <c r="O820" s="15">
        <v>245.75</v>
      </c>
      <c r="P820" s="15">
        <v>377.25</v>
      </c>
    </row>
    <row r="821" ht="14.25" spans="1:16">
      <c r="A821" s="13">
        <v>820</v>
      </c>
      <c r="B821" s="15">
        <v>17</v>
      </c>
      <c r="C821" s="16">
        <v>47</v>
      </c>
      <c r="D821" s="15" t="s">
        <v>1638</v>
      </c>
      <c r="E821" s="15" t="s">
        <v>1639</v>
      </c>
      <c r="F821" s="15">
        <v>96.25</v>
      </c>
      <c r="G821" s="15">
        <v>68.5</v>
      </c>
      <c r="H821" s="15">
        <v>107.5</v>
      </c>
      <c r="I821" s="15"/>
      <c r="J821" s="15">
        <v>48.5</v>
      </c>
      <c r="K821" s="15"/>
      <c r="L821" s="15">
        <v>44.5</v>
      </c>
      <c r="M821" s="15">
        <v>48.5</v>
      </c>
      <c r="N821" s="15"/>
      <c r="O821" s="15">
        <v>272.25</v>
      </c>
      <c r="P821" s="15">
        <v>413.75</v>
      </c>
    </row>
    <row r="822" ht="14.25" spans="1:16">
      <c r="A822" s="13">
        <v>821</v>
      </c>
      <c r="B822" s="15">
        <v>17</v>
      </c>
      <c r="C822" s="16">
        <v>48</v>
      </c>
      <c r="D822" s="15" t="s">
        <v>1640</v>
      </c>
      <c r="E822" s="15" t="s">
        <v>1641</v>
      </c>
      <c r="F822" s="15">
        <v>103.75</v>
      </c>
      <c r="G822" s="15">
        <v>93.5</v>
      </c>
      <c r="H822" s="15">
        <v>102</v>
      </c>
      <c r="I822" s="15"/>
      <c r="J822" s="15">
        <v>65.5</v>
      </c>
      <c r="K822" s="15"/>
      <c r="L822" s="15">
        <v>60</v>
      </c>
      <c r="M822" s="15">
        <v>53.25</v>
      </c>
      <c r="N822" s="15"/>
      <c r="O822" s="15">
        <v>299.25</v>
      </c>
      <c r="P822" s="15">
        <v>478</v>
      </c>
    </row>
    <row r="823" ht="14.25" spans="1:16">
      <c r="A823" s="13">
        <v>822</v>
      </c>
      <c r="B823" s="15">
        <v>17</v>
      </c>
      <c r="C823" s="16">
        <v>49</v>
      </c>
      <c r="D823" s="15" t="s">
        <v>1642</v>
      </c>
      <c r="E823" s="15" t="s">
        <v>1643</v>
      </c>
      <c r="F823" s="15">
        <v>97.5</v>
      </c>
      <c r="G823" s="15">
        <v>67</v>
      </c>
      <c r="H823" s="15">
        <v>107</v>
      </c>
      <c r="I823" s="15"/>
      <c r="J823" s="15">
        <v>49.5</v>
      </c>
      <c r="K823" s="15"/>
      <c r="L823" s="15">
        <v>54</v>
      </c>
      <c r="M823" s="15">
        <v>57</v>
      </c>
      <c r="N823" s="15"/>
      <c r="O823" s="15">
        <v>271.5</v>
      </c>
      <c r="P823" s="15">
        <v>432</v>
      </c>
    </row>
    <row r="824" ht="14.25" spans="1:16">
      <c r="A824" s="13">
        <v>823</v>
      </c>
      <c r="B824" s="15">
        <v>17</v>
      </c>
      <c r="C824" s="16">
        <v>52</v>
      </c>
      <c r="D824" s="15" t="s">
        <v>1644</v>
      </c>
      <c r="E824" s="15" t="s">
        <v>1645</v>
      </c>
      <c r="F824" s="15">
        <v>105.5</v>
      </c>
      <c r="G824" s="15">
        <v>72.5</v>
      </c>
      <c r="H824" s="15">
        <v>119</v>
      </c>
      <c r="I824" s="15"/>
      <c r="J824" s="15">
        <v>55.5</v>
      </c>
      <c r="K824" s="15"/>
      <c r="L824" s="15">
        <v>53</v>
      </c>
      <c r="M824" s="15">
        <v>60.5</v>
      </c>
      <c r="N824" s="15"/>
      <c r="O824" s="15">
        <v>297</v>
      </c>
      <c r="P824" s="15">
        <v>466</v>
      </c>
    </row>
    <row r="825" ht="14.25" spans="1:16">
      <c r="A825" s="13">
        <v>824</v>
      </c>
      <c r="B825" s="15">
        <v>17</v>
      </c>
      <c r="C825" s="16">
        <v>53</v>
      </c>
      <c r="D825" s="15" t="s">
        <v>1646</v>
      </c>
      <c r="E825" s="15" t="s">
        <v>1647</v>
      </c>
      <c r="F825" s="15">
        <v>87.5</v>
      </c>
      <c r="G825" s="15">
        <v>73</v>
      </c>
      <c r="H825" s="15">
        <v>91.75</v>
      </c>
      <c r="I825" s="15"/>
      <c r="J825" s="15">
        <v>49</v>
      </c>
      <c r="K825" s="15"/>
      <c r="L825" s="15">
        <v>42</v>
      </c>
      <c r="M825" s="15">
        <v>60</v>
      </c>
      <c r="N825" s="15"/>
      <c r="O825" s="15">
        <v>252.25</v>
      </c>
      <c r="P825" s="15">
        <v>403.25</v>
      </c>
    </row>
    <row r="826" ht="14.25" spans="1:16">
      <c r="A826" s="13">
        <v>825</v>
      </c>
      <c r="B826" s="15">
        <v>17</v>
      </c>
      <c r="C826" s="16">
        <v>54</v>
      </c>
      <c r="D826" s="15" t="s">
        <v>1648</v>
      </c>
      <c r="E826" s="15" t="s">
        <v>1649</v>
      </c>
      <c r="F826" s="15">
        <v>108</v>
      </c>
      <c r="G826" s="15">
        <v>88</v>
      </c>
      <c r="H826" s="15">
        <v>97.5</v>
      </c>
      <c r="I826" s="15"/>
      <c r="J826" s="15">
        <v>42.5</v>
      </c>
      <c r="K826" s="15"/>
      <c r="L826" s="15">
        <v>58.5</v>
      </c>
      <c r="M826" s="15">
        <v>68</v>
      </c>
      <c r="N826" s="15"/>
      <c r="O826" s="15">
        <v>293.5</v>
      </c>
      <c r="P826" s="15">
        <v>462.5</v>
      </c>
    </row>
    <row r="827" ht="14.25" spans="1:16">
      <c r="A827" s="13">
        <v>826</v>
      </c>
      <c r="B827" s="15">
        <v>17</v>
      </c>
      <c r="C827" s="16">
        <v>55</v>
      </c>
      <c r="D827" s="15" t="s">
        <v>1650</v>
      </c>
      <c r="E827" s="15" t="s">
        <v>1651</v>
      </c>
      <c r="F827" s="15">
        <v>119.5</v>
      </c>
      <c r="G827" s="15">
        <v>50.5</v>
      </c>
      <c r="H827" s="15">
        <v>117</v>
      </c>
      <c r="I827" s="15"/>
      <c r="J827" s="15">
        <v>63.5</v>
      </c>
      <c r="K827" s="15"/>
      <c r="L827" s="15">
        <v>49</v>
      </c>
      <c r="M827" s="15">
        <v>65.5</v>
      </c>
      <c r="N827" s="15"/>
      <c r="O827" s="15">
        <v>287</v>
      </c>
      <c r="P827" s="15">
        <v>465</v>
      </c>
    </row>
    <row r="828" ht="14.25" spans="1:16">
      <c r="A828" s="13">
        <v>827</v>
      </c>
      <c r="B828" s="15">
        <v>18</v>
      </c>
      <c r="C828" s="16">
        <v>2</v>
      </c>
      <c r="D828" s="15" t="s">
        <v>1652</v>
      </c>
      <c r="E828" s="15" t="s">
        <v>1653</v>
      </c>
      <c r="F828" s="15">
        <v>100</v>
      </c>
      <c r="G828" s="15">
        <v>105</v>
      </c>
      <c r="H828" s="15">
        <v>79.5</v>
      </c>
      <c r="I828" s="15"/>
      <c r="J828" s="15">
        <v>45.5</v>
      </c>
      <c r="K828" s="15"/>
      <c r="L828" s="15">
        <v>46.5</v>
      </c>
      <c r="M828" s="15">
        <v>57</v>
      </c>
      <c r="N828" s="15"/>
      <c r="O828" s="15">
        <v>284.5</v>
      </c>
      <c r="P828" s="15">
        <v>433.5</v>
      </c>
    </row>
    <row r="829" ht="14.25" spans="1:16">
      <c r="A829" s="13">
        <v>828</v>
      </c>
      <c r="B829" s="15">
        <v>18</v>
      </c>
      <c r="C829" s="16">
        <v>4</v>
      </c>
      <c r="D829" s="15" t="s">
        <v>1654</v>
      </c>
      <c r="E829" s="15" t="s">
        <v>1655</v>
      </c>
      <c r="F829" s="15">
        <v>103.5</v>
      </c>
      <c r="G829" s="15">
        <v>111.5</v>
      </c>
      <c r="H829" s="15">
        <v>110</v>
      </c>
      <c r="I829" s="15"/>
      <c r="J829" s="15">
        <v>68.5</v>
      </c>
      <c r="K829" s="15"/>
      <c r="L829" s="15">
        <v>64</v>
      </c>
      <c r="M829" s="15">
        <v>61</v>
      </c>
      <c r="N829" s="15"/>
      <c r="O829" s="15">
        <v>325</v>
      </c>
      <c r="P829" s="15">
        <v>518.5</v>
      </c>
    </row>
    <row r="830" ht="14.25" spans="1:16">
      <c r="A830" s="13">
        <v>829</v>
      </c>
      <c r="B830" s="15">
        <v>18</v>
      </c>
      <c r="C830" s="16">
        <v>5</v>
      </c>
      <c r="D830" s="15" t="s">
        <v>1656</v>
      </c>
      <c r="E830" s="15" t="s">
        <v>1657</v>
      </c>
      <c r="F830" s="15">
        <v>100.5</v>
      </c>
      <c r="G830" s="15">
        <v>53</v>
      </c>
      <c r="H830" s="15">
        <v>73</v>
      </c>
      <c r="I830" s="15"/>
      <c r="J830" s="15">
        <v>49</v>
      </c>
      <c r="K830" s="15"/>
      <c r="L830" s="15">
        <v>44</v>
      </c>
      <c r="M830" s="15">
        <v>49.5</v>
      </c>
      <c r="N830" s="15"/>
      <c r="O830" s="15">
        <v>226.5</v>
      </c>
      <c r="P830" s="15">
        <v>369</v>
      </c>
    </row>
    <row r="831" ht="14.25" spans="1:16">
      <c r="A831" s="13">
        <v>830</v>
      </c>
      <c r="B831" s="15">
        <v>18</v>
      </c>
      <c r="C831" s="16">
        <v>7</v>
      </c>
      <c r="D831" s="15" t="s">
        <v>1658</v>
      </c>
      <c r="E831" s="15" t="s">
        <v>1659</v>
      </c>
      <c r="F831" s="15">
        <v>94.5</v>
      </c>
      <c r="G831" s="15">
        <v>99.5</v>
      </c>
      <c r="H831" s="15">
        <v>120.5</v>
      </c>
      <c r="I831" s="15"/>
      <c r="J831" s="15">
        <v>40.5</v>
      </c>
      <c r="K831" s="15"/>
      <c r="L831" s="15">
        <v>43</v>
      </c>
      <c r="M831" s="15">
        <v>61</v>
      </c>
      <c r="N831" s="15"/>
      <c r="O831" s="15">
        <v>314.5</v>
      </c>
      <c r="P831" s="15">
        <v>459</v>
      </c>
    </row>
    <row r="832" ht="14.25" spans="1:16">
      <c r="A832" s="13">
        <v>831</v>
      </c>
      <c r="B832" s="15">
        <v>18</v>
      </c>
      <c r="C832" s="16">
        <v>8</v>
      </c>
      <c r="D832" s="15" t="s">
        <v>1660</v>
      </c>
      <c r="E832" s="15" t="s">
        <v>1661</v>
      </c>
      <c r="F832" s="15">
        <v>112.5</v>
      </c>
      <c r="G832" s="15">
        <v>96</v>
      </c>
      <c r="H832" s="15">
        <v>107.75</v>
      </c>
      <c r="I832" s="15"/>
      <c r="J832" s="15">
        <v>56</v>
      </c>
      <c r="K832" s="15"/>
      <c r="L832" s="15">
        <v>57.5</v>
      </c>
      <c r="M832" s="15">
        <v>54</v>
      </c>
      <c r="N832" s="15"/>
      <c r="O832" s="15">
        <v>316.25</v>
      </c>
      <c r="P832" s="15">
        <v>483.75</v>
      </c>
    </row>
    <row r="833" ht="14.25" spans="1:16">
      <c r="A833" s="13">
        <v>832</v>
      </c>
      <c r="B833" s="15">
        <v>18</v>
      </c>
      <c r="C833" s="16">
        <v>10</v>
      </c>
      <c r="D833" s="15" t="s">
        <v>1662</v>
      </c>
      <c r="E833" s="15" t="s">
        <v>1663</v>
      </c>
      <c r="F833" s="15">
        <v>96.5</v>
      </c>
      <c r="G833" s="15">
        <v>57</v>
      </c>
      <c r="H833" s="15">
        <v>85.5</v>
      </c>
      <c r="I833" s="15"/>
      <c r="J833" s="15">
        <v>42</v>
      </c>
      <c r="K833" s="15"/>
      <c r="L833" s="15">
        <v>50</v>
      </c>
      <c r="M833" s="15">
        <v>39</v>
      </c>
      <c r="N833" s="15"/>
      <c r="O833" s="15">
        <v>239</v>
      </c>
      <c r="P833" s="15">
        <v>370</v>
      </c>
    </row>
    <row r="834" ht="14.25" spans="1:16">
      <c r="A834" s="13">
        <v>833</v>
      </c>
      <c r="B834" s="15">
        <v>18</v>
      </c>
      <c r="C834" s="16">
        <v>11</v>
      </c>
      <c r="D834" s="15" t="s">
        <v>1664</v>
      </c>
      <c r="E834" s="15" t="s">
        <v>1665</v>
      </c>
      <c r="F834" s="15">
        <v>108</v>
      </c>
      <c r="G834" s="15">
        <v>91.5</v>
      </c>
      <c r="H834" s="15">
        <v>102</v>
      </c>
      <c r="I834" s="15"/>
      <c r="J834" s="15">
        <v>71</v>
      </c>
      <c r="K834" s="15"/>
      <c r="L834" s="15">
        <v>63</v>
      </c>
      <c r="M834" s="15">
        <v>60</v>
      </c>
      <c r="N834" s="15"/>
      <c r="O834" s="15">
        <v>301.5</v>
      </c>
      <c r="P834" s="15">
        <v>495.5</v>
      </c>
    </row>
    <row r="835" ht="14.25" spans="1:16">
      <c r="A835" s="13">
        <v>834</v>
      </c>
      <c r="B835" s="15">
        <v>18</v>
      </c>
      <c r="C835" s="16">
        <v>12</v>
      </c>
      <c r="D835" s="15" t="s">
        <v>1666</v>
      </c>
      <c r="E835" s="15" t="s">
        <v>1667</v>
      </c>
      <c r="F835" s="15">
        <v>111</v>
      </c>
      <c r="G835" s="15">
        <v>111.5</v>
      </c>
      <c r="H835" s="15">
        <v>88.25</v>
      </c>
      <c r="I835" s="15"/>
      <c r="J835" s="15">
        <v>57.5</v>
      </c>
      <c r="K835" s="15"/>
      <c r="L835" s="15">
        <v>55.5</v>
      </c>
      <c r="M835" s="15">
        <v>50.5</v>
      </c>
      <c r="N835" s="15"/>
      <c r="O835" s="15">
        <v>310.75</v>
      </c>
      <c r="P835" s="15">
        <v>474.25</v>
      </c>
    </row>
    <row r="836" ht="14.25" spans="1:16">
      <c r="A836" s="13">
        <v>835</v>
      </c>
      <c r="B836" s="15">
        <v>18</v>
      </c>
      <c r="C836" s="16">
        <v>13</v>
      </c>
      <c r="D836" s="15" t="s">
        <v>1668</v>
      </c>
      <c r="E836" s="15" t="s">
        <v>1669</v>
      </c>
      <c r="F836" s="15">
        <v>100</v>
      </c>
      <c r="G836" s="15">
        <v>95.5</v>
      </c>
      <c r="H836" s="15">
        <v>98.75</v>
      </c>
      <c r="I836" s="15"/>
      <c r="J836" s="15">
        <v>36.5</v>
      </c>
      <c r="K836" s="15"/>
      <c r="L836" s="15">
        <v>47</v>
      </c>
      <c r="M836" s="15">
        <v>48.25</v>
      </c>
      <c r="N836" s="15"/>
      <c r="O836" s="15">
        <v>294.25</v>
      </c>
      <c r="P836" s="15">
        <v>426</v>
      </c>
    </row>
    <row r="837" ht="14.25" spans="1:16">
      <c r="A837" s="13">
        <v>836</v>
      </c>
      <c r="B837" s="15">
        <v>18</v>
      </c>
      <c r="C837" s="16">
        <v>14</v>
      </c>
      <c r="D837" s="15" t="s">
        <v>1670</v>
      </c>
      <c r="E837" s="15" t="s">
        <v>1671</v>
      </c>
      <c r="F837" s="15">
        <v>105</v>
      </c>
      <c r="G837" s="15">
        <v>64</v>
      </c>
      <c r="H837" s="15">
        <v>107.5</v>
      </c>
      <c r="I837" s="15"/>
      <c r="J837" s="15">
        <v>53</v>
      </c>
      <c r="K837" s="15"/>
      <c r="L837" s="15">
        <v>46</v>
      </c>
      <c r="M837" s="15">
        <v>58</v>
      </c>
      <c r="N837" s="15"/>
      <c r="O837" s="15">
        <v>276.5</v>
      </c>
      <c r="P837" s="15">
        <v>433.5</v>
      </c>
    </row>
    <row r="838" ht="14.25" spans="1:16">
      <c r="A838" s="13">
        <v>837</v>
      </c>
      <c r="B838" s="15">
        <v>18</v>
      </c>
      <c r="C838" s="16">
        <v>17</v>
      </c>
      <c r="D838" s="15" t="s">
        <v>1672</v>
      </c>
      <c r="E838" s="15" t="s">
        <v>1673</v>
      </c>
      <c r="F838" s="15">
        <v>99</v>
      </c>
      <c r="G838" s="15">
        <v>101.5</v>
      </c>
      <c r="H838" s="15">
        <v>99</v>
      </c>
      <c r="I838" s="15"/>
      <c r="J838" s="15">
        <v>43.5</v>
      </c>
      <c r="K838" s="15"/>
      <c r="L838" s="15">
        <v>52</v>
      </c>
      <c r="M838" s="15">
        <v>54</v>
      </c>
      <c r="N838" s="15"/>
      <c r="O838" s="15">
        <v>299.5</v>
      </c>
      <c r="P838" s="15">
        <v>449</v>
      </c>
    </row>
    <row r="839" ht="14.25" spans="1:16">
      <c r="A839" s="13">
        <v>838</v>
      </c>
      <c r="B839" s="15">
        <v>18</v>
      </c>
      <c r="C839" s="16">
        <v>18</v>
      </c>
      <c r="D839" s="15" t="s">
        <v>1674</v>
      </c>
      <c r="E839" s="15" t="s">
        <v>1675</v>
      </c>
      <c r="F839" s="15">
        <v>107.5</v>
      </c>
      <c r="G839" s="15">
        <v>69</v>
      </c>
      <c r="H839" s="15">
        <v>125</v>
      </c>
      <c r="I839" s="15"/>
      <c r="J839" s="15">
        <v>64</v>
      </c>
      <c r="K839" s="15"/>
      <c r="L839" s="15">
        <v>50</v>
      </c>
      <c r="M839" s="15">
        <v>59</v>
      </c>
      <c r="N839" s="15"/>
      <c r="O839" s="15">
        <v>301.5</v>
      </c>
      <c r="P839" s="15">
        <v>474.5</v>
      </c>
    </row>
    <row r="840" ht="14.25" spans="1:16">
      <c r="A840" s="13">
        <v>839</v>
      </c>
      <c r="B840" s="15">
        <v>18</v>
      </c>
      <c r="C840" s="16">
        <v>19</v>
      </c>
      <c r="D840" s="15" t="s">
        <v>1676</v>
      </c>
      <c r="E840" s="15" t="s">
        <v>1677</v>
      </c>
      <c r="F840" s="15">
        <v>105</v>
      </c>
      <c r="G840" s="15">
        <v>57.5</v>
      </c>
      <c r="H840" s="15">
        <v>105.25</v>
      </c>
      <c r="I840" s="15"/>
      <c r="J840" s="15">
        <v>47.5</v>
      </c>
      <c r="K840" s="15"/>
      <c r="L840" s="15">
        <v>48</v>
      </c>
      <c r="M840" s="15">
        <v>44.5</v>
      </c>
      <c r="N840" s="15"/>
      <c r="O840" s="15">
        <v>267.75</v>
      </c>
      <c r="P840" s="15">
        <v>407.75</v>
      </c>
    </row>
    <row r="841" ht="14.25" spans="1:16">
      <c r="A841" s="13">
        <v>840</v>
      </c>
      <c r="B841" s="15">
        <v>18</v>
      </c>
      <c r="C841" s="16">
        <v>20</v>
      </c>
      <c r="D841" s="15" t="s">
        <v>1678</v>
      </c>
      <c r="E841" s="15" t="s">
        <v>1679</v>
      </c>
      <c r="F841" s="15">
        <v>100.75</v>
      </c>
      <c r="G841" s="15">
        <v>85</v>
      </c>
      <c r="H841" s="15">
        <v>85</v>
      </c>
      <c r="I841" s="15"/>
      <c r="J841" s="15">
        <v>51.5</v>
      </c>
      <c r="K841" s="15"/>
      <c r="L841" s="15">
        <v>54.5</v>
      </c>
      <c r="M841" s="15">
        <v>61</v>
      </c>
      <c r="N841" s="15"/>
      <c r="O841" s="15">
        <v>270.75</v>
      </c>
      <c r="P841" s="15">
        <v>437.75</v>
      </c>
    </row>
    <row r="842" ht="14.25" spans="1:16">
      <c r="A842" s="13">
        <v>841</v>
      </c>
      <c r="B842" s="15">
        <v>18</v>
      </c>
      <c r="C842" s="16">
        <v>21</v>
      </c>
      <c r="D842" s="15" t="s">
        <v>1680</v>
      </c>
      <c r="E842" s="15" t="s">
        <v>1681</v>
      </c>
      <c r="F842" s="15">
        <v>102.5</v>
      </c>
      <c r="G842" s="15">
        <v>78</v>
      </c>
      <c r="H842" s="15">
        <v>111.5</v>
      </c>
      <c r="I842" s="15"/>
      <c r="J842" s="15">
        <v>50</v>
      </c>
      <c r="K842" s="15"/>
      <c r="L842" s="15">
        <v>50.5</v>
      </c>
      <c r="M842" s="15">
        <v>53</v>
      </c>
      <c r="N842" s="15"/>
      <c r="O842" s="15">
        <v>292</v>
      </c>
      <c r="P842" s="15">
        <v>445.5</v>
      </c>
    </row>
    <row r="843" ht="14.25" spans="1:16">
      <c r="A843" s="13">
        <v>842</v>
      </c>
      <c r="B843" s="15">
        <v>18</v>
      </c>
      <c r="C843" s="16">
        <v>22</v>
      </c>
      <c r="D843" s="15" t="s">
        <v>1682</v>
      </c>
      <c r="E843" s="15" t="s">
        <v>1683</v>
      </c>
      <c r="F843" s="15">
        <v>98.5</v>
      </c>
      <c r="G843" s="15">
        <v>110.5</v>
      </c>
      <c r="H843" s="15">
        <v>83.5</v>
      </c>
      <c r="I843" s="15"/>
      <c r="J843" s="15">
        <v>76</v>
      </c>
      <c r="K843" s="15"/>
      <c r="L843" s="15">
        <v>65</v>
      </c>
      <c r="M843" s="15">
        <v>67</v>
      </c>
      <c r="N843" s="15"/>
      <c r="O843" s="15">
        <v>292.5</v>
      </c>
      <c r="P843" s="15">
        <v>500.5</v>
      </c>
    </row>
    <row r="844" ht="14.25" spans="1:16">
      <c r="A844" s="13">
        <v>843</v>
      </c>
      <c r="B844" s="15">
        <v>18</v>
      </c>
      <c r="C844" s="16">
        <v>23</v>
      </c>
      <c r="D844" s="15" t="s">
        <v>1684</v>
      </c>
      <c r="E844" s="15" t="s">
        <v>1685</v>
      </c>
      <c r="F844" s="15">
        <v>111</v>
      </c>
      <c r="G844" s="15">
        <v>99.5</v>
      </c>
      <c r="H844" s="15">
        <v>110.5</v>
      </c>
      <c r="I844" s="15"/>
      <c r="J844" s="15">
        <v>57.5</v>
      </c>
      <c r="K844" s="15"/>
      <c r="L844" s="15">
        <v>54</v>
      </c>
      <c r="M844" s="15">
        <v>60.5</v>
      </c>
      <c r="N844" s="15"/>
      <c r="O844" s="15">
        <v>321</v>
      </c>
      <c r="P844" s="15">
        <v>493</v>
      </c>
    </row>
    <row r="845" ht="14.25" spans="1:16">
      <c r="A845" s="13">
        <v>844</v>
      </c>
      <c r="B845" s="15">
        <v>18</v>
      </c>
      <c r="C845" s="16">
        <v>24</v>
      </c>
      <c r="D845" s="15" t="s">
        <v>1686</v>
      </c>
      <c r="E845" s="15" t="s">
        <v>1687</v>
      </c>
      <c r="F845" s="15">
        <v>99</v>
      </c>
      <c r="G845" s="15">
        <v>97.5</v>
      </c>
      <c r="H845" s="15">
        <v>100.5</v>
      </c>
      <c r="I845" s="15"/>
      <c r="J845" s="15">
        <v>58</v>
      </c>
      <c r="K845" s="15"/>
      <c r="L845" s="15">
        <v>54</v>
      </c>
      <c r="M845" s="15">
        <v>58</v>
      </c>
      <c r="N845" s="15"/>
      <c r="O845" s="15">
        <v>297</v>
      </c>
      <c r="P845" s="15">
        <v>467</v>
      </c>
    </row>
    <row r="846" ht="14.25" spans="1:16">
      <c r="A846" s="13">
        <v>845</v>
      </c>
      <c r="B846" s="15">
        <v>18</v>
      </c>
      <c r="C846" s="16">
        <v>25</v>
      </c>
      <c r="D846" s="15" t="s">
        <v>1688</v>
      </c>
      <c r="E846" s="15" t="s">
        <v>1689</v>
      </c>
      <c r="F846" s="15">
        <v>111.75</v>
      </c>
      <c r="G846" s="15">
        <v>56.5</v>
      </c>
      <c r="H846" s="15">
        <v>101.75</v>
      </c>
      <c r="I846" s="15"/>
      <c r="J846" s="15">
        <v>71.5</v>
      </c>
      <c r="K846" s="15"/>
      <c r="L846" s="15">
        <v>56</v>
      </c>
      <c r="M846" s="15">
        <v>59.5</v>
      </c>
      <c r="N846" s="15"/>
      <c r="O846" s="15">
        <v>270</v>
      </c>
      <c r="P846" s="15">
        <v>457</v>
      </c>
    </row>
    <row r="847" ht="14.25" spans="1:16">
      <c r="A847" s="13">
        <v>846</v>
      </c>
      <c r="B847" s="15">
        <v>18</v>
      </c>
      <c r="C847" s="16">
        <v>26</v>
      </c>
      <c r="D847" s="15" t="s">
        <v>1690</v>
      </c>
      <c r="E847" s="15" t="s">
        <v>1691</v>
      </c>
      <c r="F847" s="15">
        <v>102</v>
      </c>
      <c r="G847" s="15">
        <v>94</v>
      </c>
      <c r="H847" s="15">
        <v>106</v>
      </c>
      <c r="I847" s="15"/>
      <c r="J847" s="15">
        <v>51</v>
      </c>
      <c r="K847" s="15"/>
      <c r="L847" s="15">
        <v>58</v>
      </c>
      <c r="M847" s="15">
        <v>57</v>
      </c>
      <c r="N847" s="15"/>
      <c r="O847" s="15">
        <v>302</v>
      </c>
      <c r="P847" s="15">
        <v>468</v>
      </c>
    </row>
    <row r="848" ht="14.25" spans="1:16">
      <c r="A848" s="13">
        <v>847</v>
      </c>
      <c r="B848" s="15">
        <v>18</v>
      </c>
      <c r="C848" s="16">
        <v>27</v>
      </c>
      <c r="D848" s="15" t="s">
        <v>1692</v>
      </c>
      <c r="E848" s="15" t="s">
        <v>1693</v>
      </c>
      <c r="F848" s="15">
        <v>95.5</v>
      </c>
      <c r="G848" s="15">
        <v>101</v>
      </c>
      <c r="H848" s="15">
        <v>108</v>
      </c>
      <c r="I848" s="15"/>
      <c r="J848" s="15">
        <v>65.5</v>
      </c>
      <c r="K848" s="15"/>
      <c r="L848" s="15">
        <v>59.5</v>
      </c>
      <c r="M848" s="15">
        <v>56</v>
      </c>
      <c r="N848" s="15"/>
      <c r="O848" s="15">
        <v>304.5</v>
      </c>
      <c r="P848" s="15">
        <v>485.5</v>
      </c>
    </row>
    <row r="849" ht="14.25" spans="1:16">
      <c r="A849" s="13">
        <v>848</v>
      </c>
      <c r="B849" s="15">
        <v>18</v>
      </c>
      <c r="C849" s="16">
        <v>28</v>
      </c>
      <c r="D849" s="15" t="s">
        <v>1694</v>
      </c>
      <c r="E849" s="15" t="s">
        <v>1695</v>
      </c>
      <c r="F849" s="15">
        <v>100.5</v>
      </c>
      <c r="G849" s="15">
        <v>93.5</v>
      </c>
      <c r="H849" s="15">
        <v>116</v>
      </c>
      <c r="I849" s="15"/>
      <c r="J849" s="15">
        <v>56.5</v>
      </c>
      <c r="K849" s="15"/>
      <c r="L849" s="15">
        <v>60</v>
      </c>
      <c r="M849" s="15">
        <v>64</v>
      </c>
      <c r="N849" s="15"/>
      <c r="O849" s="15">
        <v>310</v>
      </c>
      <c r="P849" s="15">
        <v>490.5</v>
      </c>
    </row>
    <row r="850" ht="14.25" spans="1:16">
      <c r="A850" s="13">
        <v>849</v>
      </c>
      <c r="B850" s="15">
        <v>18</v>
      </c>
      <c r="C850" s="16">
        <v>29</v>
      </c>
      <c r="D850" s="15" t="s">
        <v>1696</v>
      </c>
      <c r="E850" s="15" t="s">
        <v>1697</v>
      </c>
      <c r="F850" s="15">
        <v>107</v>
      </c>
      <c r="G850" s="15">
        <v>88.5</v>
      </c>
      <c r="H850" s="15">
        <v>116</v>
      </c>
      <c r="I850" s="15"/>
      <c r="J850" s="15">
        <v>56</v>
      </c>
      <c r="K850" s="15"/>
      <c r="L850" s="15">
        <v>59</v>
      </c>
      <c r="M850" s="15">
        <v>57</v>
      </c>
      <c r="N850" s="15"/>
      <c r="O850" s="15">
        <v>311.5</v>
      </c>
      <c r="P850" s="15">
        <v>483.5</v>
      </c>
    </row>
    <row r="851" ht="14.25" spans="1:16">
      <c r="A851" s="13">
        <v>850</v>
      </c>
      <c r="B851" s="15">
        <v>18</v>
      </c>
      <c r="C851" s="16">
        <v>30</v>
      </c>
      <c r="D851" s="15" t="s">
        <v>1698</v>
      </c>
      <c r="E851" s="15" t="s">
        <v>1699</v>
      </c>
      <c r="F851" s="15">
        <v>108</v>
      </c>
      <c r="G851" s="15">
        <v>88</v>
      </c>
      <c r="H851" s="15">
        <v>112.5</v>
      </c>
      <c r="I851" s="15"/>
      <c r="J851" s="15">
        <v>50</v>
      </c>
      <c r="K851" s="15"/>
      <c r="L851" s="15">
        <v>52</v>
      </c>
      <c r="M851" s="15">
        <v>44</v>
      </c>
      <c r="N851" s="15"/>
      <c r="O851" s="15">
        <v>308.5</v>
      </c>
      <c r="P851" s="15">
        <v>454.5</v>
      </c>
    </row>
    <row r="852" ht="14.25" spans="1:16">
      <c r="A852" s="13">
        <v>851</v>
      </c>
      <c r="B852" s="15">
        <v>18</v>
      </c>
      <c r="C852" s="16">
        <v>31</v>
      </c>
      <c r="D852" s="15" t="s">
        <v>1700</v>
      </c>
      <c r="E852" s="15" t="s">
        <v>1701</v>
      </c>
      <c r="F852" s="15">
        <v>107.5</v>
      </c>
      <c r="G852" s="15">
        <v>92.5</v>
      </c>
      <c r="H852" s="15">
        <v>96.5</v>
      </c>
      <c r="I852" s="15"/>
      <c r="J852" s="15">
        <v>59</v>
      </c>
      <c r="K852" s="15"/>
      <c r="L852" s="15">
        <v>44.5</v>
      </c>
      <c r="M852" s="15">
        <v>49.5</v>
      </c>
      <c r="N852" s="15"/>
      <c r="O852" s="15">
        <v>296.5</v>
      </c>
      <c r="P852" s="15">
        <v>449.5</v>
      </c>
    </row>
    <row r="853" ht="14.25" spans="1:16">
      <c r="A853" s="13">
        <v>852</v>
      </c>
      <c r="B853" s="15">
        <v>18</v>
      </c>
      <c r="C853" s="16">
        <v>32</v>
      </c>
      <c r="D853" s="15" t="s">
        <v>1702</v>
      </c>
      <c r="E853" s="15" t="s">
        <v>1703</v>
      </c>
      <c r="F853" s="15">
        <v>105.5</v>
      </c>
      <c r="G853" s="15">
        <v>91</v>
      </c>
      <c r="H853" s="15">
        <v>116.25</v>
      </c>
      <c r="I853" s="15"/>
      <c r="J853" s="15">
        <v>62</v>
      </c>
      <c r="K853" s="15"/>
      <c r="L853" s="15">
        <v>50.5</v>
      </c>
      <c r="M853" s="15">
        <v>62</v>
      </c>
      <c r="N853" s="15"/>
      <c r="O853" s="15">
        <v>312.75</v>
      </c>
      <c r="P853" s="15">
        <v>487.25</v>
      </c>
    </row>
    <row r="854" ht="14.25" spans="1:16">
      <c r="A854" s="13">
        <v>853</v>
      </c>
      <c r="B854" s="15">
        <v>18</v>
      </c>
      <c r="C854" s="16">
        <v>34</v>
      </c>
      <c r="D854" s="15" t="s">
        <v>1704</v>
      </c>
      <c r="E854" s="15" t="s">
        <v>1705</v>
      </c>
      <c r="F854" s="15">
        <v>100.5</v>
      </c>
      <c r="G854" s="15">
        <v>57.5</v>
      </c>
      <c r="H854" s="15">
        <v>88</v>
      </c>
      <c r="I854" s="15"/>
      <c r="J854" s="15">
        <v>48.5</v>
      </c>
      <c r="K854" s="15"/>
      <c r="L854" s="15">
        <v>44.5</v>
      </c>
      <c r="M854" s="15">
        <v>40.5</v>
      </c>
      <c r="N854" s="15"/>
      <c r="O854" s="15">
        <v>246</v>
      </c>
      <c r="P854" s="15">
        <v>379.5</v>
      </c>
    </row>
    <row r="855" ht="14.25" spans="1:16">
      <c r="A855" s="13">
        <v>854</v>
      </c>
      <c r="B855" s="15">
        <v>18</v>
      </c>
      <c r="C855" s="16">
        <v>37</v>
      </c>
      <c r="D855" s="15" t="s">
        <v>1706</v>
      </c>
      <c r="E855" s="15" t="s">
        <v>1707</v>
      </c>
      <c r="F855" s="15">
        <v>106.5</v>
      </c>
      <c r="G855" s="15">
        <v>88</v>
      </c>
      <c r="H855" s="15">
        <v>95</v>
      </c>
      <c r="I855" s="15"/>
      <c r="J855" s="15">
        <v>59.5</v>
      </c>
      <c r="K855" s="15"/>
      <c r="L855" s="15">
        <v>49.5</v>
      </c>
      <c r="M855" s="15">
        <v>43</v>
      </c>
      <c r="N855" s="15"/>
      <c r="O855" s="15">
        <v>289.5</v>
      </c>
      <c r="P855" s="15">
        <v>441.5</v>
      </c>
    </row>
    <row r="856" ht="14.25" spans="1:16">
      <c r="A856" s="13">
        <v>855</v>
      </c>
      <c r="B856" s="15">
        <v>18</v>
      </c>
      <c r="C856" s="16">
        <v>38</v>
      </c>
      <c r="D856" s="15" t="s">
        <v>1708</v>
      </c>
      <c r="E856" s="15" t="s">
        <v>1709</v>
      </c>
      <c r="F856" s="15">
        <v>94</v>
      </c>
      <c r="G856" s="15">
        <v>72</v>
      </c>
      <c r="H856" s="15">
        <v>98.5</v>
      </c>
      <c r="I856" s="15"/>
      <c r="J856" s="15">
        <v>54.5</v>
      </c>
      <c r="K856" s="15"/>
      <c r="L856" s="15">
        <v>47.5</v>
      </c>
      <c r="M856" s="15">
        <v>51</v>
      </c>
      <c r="N856" s="15"/>
      <c r="O856" s="15">
        <v>264.5</v>
      </c>
      <c r="P856" s="15">
        <v>417.5</v>
      </c>
    </row>
    <row r="857" ht="14.25" spans="1:16">
      <c r="A857" s="13">
        <v>856</v>
      </c>
      <c r="B857" s="15">
        <v>18</v>
      </c>
      <c r="C857" s="16">
        <v>39</v>
      </c>
      <c r="D857" s="15" t="s">
        <v>1710</v>
      </c>
      <c r="E857" s="15" t="s">
        <v>1711</v>
      </c>
      <c r="F857" s="15">
        <v>98.5</v>
      </c>
      <c r="G857" s="15">
        <v>77.5</v>
      </c>
      <c r="H857" s="15">
        <v>93.75</v>
      </c>
      <c r="I857" s="15"/>
      <c r="J857" s="15">
        <v>53</v>
      </c>
      <c r="K857" s="15"/>
      <c r="L857" s="15">
        <v>40.5</v>
      </c>
      <c r="M857" s="15">
        <v>57.5</v>
      </c>
      <c r="N857" s="15"/>
      <c r="O857" s="15">
        <v>269.75</v>
      </c>
      <c r="P857" s="15">
        <v>420.75</v>
      </c>
    </row>
    <row r="858" ht="14.25" spans="1:16">
      <c r="A858" s="13">
        <v>857</v>
      </c>
      <c r="B858" s="15">
        <v>18</v>
      </c>
      <c r="C858" s="16">
        <v>40</v>
      </c>
      <c r="D858" s="15" t="s">
        <v>1712</v>
      </c>
      <c r="E858" s="15" t="s">
        <v>1713</v>
      </c>
      <c r="F858" s="15">
        <v>104.5</v>
      </c>
      <c r="G858" s="15">
        <v>83.5</v>
      </c>
      <c r="H858" s="15">
        <v>82.5</v>
      </c>
      <c r="I858" s="15"/>
      <c r="J858" s="15">
        <v>51.5</v>
      </c>
      <c r="K858" s="15"/>
      <c r="L858" s="15">
        <v>40.5</v>
      </c>
      <c r="M858" s="15">
        <v>53</v>
      </c>
      <c r="N858" s="15"/>
      <c r="O858" s="15">
        <v>270.5</v>
      </c>
      <c r="P858" s="15">
        <v>415.5</v>
      </c>
    </row>
    <row r="859" ht="14.25" spans="1:16">
      <c r="A859" s="13">
        <v>858</v>
      </c>
      <c r="B859" s="15">
        <v>18</v>
      </c>
      <c r="C859" s="16">
        <v>41</v>
      </c>
      <c r="D859" s="15" t="s">
        <v>1714</v>
      </c>
      <c r="E859" s="15" t="s">
        <v>1715</v>
      </c>
      <c r="F859" s="15">
        <v>100</v>
      </c>
      <c r="G859" s="15">
        <v>83</v>
      </c>
      <c r="H859" s="15">
        <v>89.5</v>
      </c>
      <c r="I859" s="15"/>
      <c r="J859" s="15">
        <v>54</v>
      </c>
      <c r="K859" s="15"/>
      <c r="L859" s="15">
        <v>46</v>
      </c>
      <c r="M859" s="15">
        <v>65</v>
      </c>
      <c r="N859" s="15"/>
      <c r="O859" s="15">
        <v>272.5</v>
      </c>
      <c r="P859" s="15">
        <v>437.5</v>
      </c>
    </row>
    <row r="860" ht="14.25" spans="1:16">
      <c r="A860" s="13">
        <v>859</v>
      </c>
      <c r="B860" s="15">
        <v>18</v>
      </c>
      <c r="C860" s="16">
        <v>42</v>
      </c>
      <c r="D860" s="15" t="s">
        <v>1716</v>
      </c>
      <c r="E860" s="15" t="s">
        <v>1717</v>
      </c>
      <c r="F860" s="15">
        <v>101.5</v>
      </c>
      <c r="G860" s="15">
        <v>103.5</v>
      </c>
      <c r="H860" s="15">
        <v>99.25</v>
      </c>
      <c r="I860" s="15"/>
      <c r="J860" s="15">
        <v>60.5</v>
      </c>
      <c r="K860" s="15"/>
      <c r="L860" s="15">
        <v>48.5</v>
      </c>
      <c r="M860" s="15">
        <v>70.5</v>
      </c>
      <c r="N860" s="15"/>
      <c r="O860" s="15">
        <v>304.25</v>
      </c>
      <c r="P860" s="15">
        <v>483.75</v>
      </c>
    </row>
    <row r="861" ht="14.25" spans="1:16">
      <c r="A861" s="13">
        <v>860</v>
      </c>
      <c r="B861" s="15">
        <v>18</v>
      </c>
      <c r="C861" s="16">
        <v>43</v>
      </c>
      <c r="D861" s="15" t="s">
        <v>1718</v>
      </c>
      <c r="E861" s="15" t="s">
        <v>1719</v>
      </c>
      <c r="F861" s="15">
        <v>106.5</v>
      </c>
      <c r="G861" s="15">
        <v>92.5</v>
      </c>
      <c r="H861" s="15">
        <v>100</v>
      </c>
      <c r="I861" s="15"/>
      <c r="J861" s="15">
        <v>61</v>
      </c>
      <c r="K861" s="15"/>
      <c r="L861" s="15">
        <v>55</v>
      </c>
      <c r="M861" s="15">
        <v>58.5</v>
      </c>
      <c r="N861" s="15"/>
      <c r="O861" s="15">
        <v>299</v>
      </c>
      <c r="P861" s="15">
        <v>473.5</v>
      </c>
    </row>
    <row r="862" ht="14.25" spans="1:16">
      <c r="A862" s="13">
        <v>861</v>
      </c>
      <c r="B862" s="15">
        <v>18</v>
      </c>
      <c r="C862" s="16">
        <v>44</v>
      </c>
      <c r="D862" s="15" t="s">
        <v>1720</v>
      </c>
      <c r="E862" s="15" t="s">
        <v>1721</v>
      </c>
      <c r="F862" s="15">
        <v>100.5</v>
      </c>
      <c r="G862" s="15">
        <v>90</v>
      </c>
      <c r="H862" s="15">
        <v>91</v>
      </c>
      <c r="I862" s="15"/>
      <c r="J862" s="15">
        <v>51</v>
      </c>
      <c r="K862" s="15"/>
      <c r="L862" s="15">
        <v>51.75</v>
      </c>
      <c r="M862" s="15">
        <v>52.5</v>
      </c>
      <c r="N862" s="15"/>
      <c r="O862" s="15">
        <v>281.5</v>
      </c>
      <c r="P862" s="15">
        <v>436.75</v>
      </c>
    </row>
    <row r="863" ht="14.25" spans="1:16">
      <c r="A863" s="13">
        <v>862</v>
      </c>
      <c r="B863" s="15">
        <v>18</v>
      </c>
      <c r="C863" s="16">
        <v>45</v>
      </c>
      <c r="D863" s="15" t="s">
        <v>1722</v>
      </c>
      <c r="E863" s="15" t="s">
        <v>1723</v>
      </c>
      <c r="F863" s="15">
        <v>100.5</v>
      </c>
      <c r="G863" s="15">
        <v>66.5</v>
      </c>
      <c r="H863" s="15">
        <v>80.25</v>
      </c>
      <c r="I863" s="15"/>
      <c r="J863" s="15">
        <v>49</v>
      </c>
      <c r="K863" s="15"/>
      <c r="L863" s="15">
        <v>51.5</v>
      </c>
      <c r="M863" s="15">
        <v>44.5</v>
      </c>
      <c r="N863" s="15"/>
      <c r="O863" s="15">
        <v>247.25</v>
      </c>
      <c r="P863" s="15">
        <v>392.25</v>
      </c>
    </row>
    <row r="864" ht="14.25" spans="1:16">
      <c r="A864" s="13">
        <v>863</v>
      </c>
      <c r="B864" s="15">
        <v>18</v>
      </c>
      <c r="C864" s="16">
        <v>47</v>
      </c>
      <c r="D864" s="15" t="s">
        <v>1724</v>
      </c>
      <c r="E864" s="15" t="s">
        <v>1725</v>
      </c>
      <c r="F864" s="15">
        <v>104</v>
      </c>
      <c r="G864" s="15">
        <v>77</v>
      </c>
      <c r="H864" s="15">
        <v>100</v>
      </c>
      <c r="I864" s="15"/>
      <c r="J864" s="15">
        <v>53.5</v>
      </c>
      <c r="K864" s="15"/>
      <c r="L864" s="15">
        <v>60</v>
      </c>
      <c r="M864" s="15">
        <v>58.5</v>
      </c>
      <c r="N864" s="15"/>
      <c r="O864" s="15">
        <v>281</v>
      </c>
      <c r="P864" s="15">
        <v>453</v>
      </c>
    </row>
    <row r="865" ht="14.25" spans="1:16">
      <c r="A865" s="13">
        <v>864</v>
      </c>
      <c r="B865" s="15">
        <v>18</v>
      </c>
      <c r="C865" s="16">
        <v>48</v>
      </c>
      <c r="D865" s="15" t="s">
        <v>1726</v>
      </c>
      <c r="E865" s="15" t="s">
        <v>1727</v>
      </c>
      <c r="F865" s="15">
        <v>98.25</v>
      </c>
      <c r="G865" s="15">
        <v>87.5</v>
      </c>
      <c r="H865" s="15">
        <v>82.75</v>
      </c>
      <c r="I865" s="15"/>
      <c r="J865" s="15">
        <v>52.5</v>
      </c>
      <c r="K865" s="15"/>
      <c r="L865" s="15">
        <v>50.5</v>
      </c>
      <c r="M865" s="15">
        <v>47.5</v>
      </c>
      <c r="N865" s="15"/>
      <c r="O865" s="15">
        <v>268.5</v>
      </c>
      <c r="P865" s="15">
        <v>419</v>
      </c>
    </row>
    <row r="866" ht="14.25" spans="1:16">
      <c r="A866" s="13">
        <v>865</v>
      </c>
      <c r="B866" s="15">
        <v>18</v>
      </c>
      <c r="C866" s="16">
        <v>51</v>
      </c>
      <c r="D866" s="15" t="s">
        <v>1728</v>
      </c>
      <c r="E866" s="15" t="s">
        <v>1729</v>
      </c>
      <c r="F866" s="15">
        <v>108</v>
      </c>
      <c r="G866" s="15">
        <v>78.5</v>
      </c>
      <c r="H866" s="15">
        <v>83.5</v>
      </c>
      <c r="I866" s="15"/>
      <c r="J866" s="15">
        <v>52.5</v>
      </c>
      <c r="K866" s="15"/>
      <c r="L866" s="15">
        <v>51.5</v>
      </c>
      <c r="M866" s="15">
        <v>55.25</v>
      </c>
      <c r="N866" s="15"/>
      <c r="O866" s="15">
        <v>270</v>
      </c>
      <c r="P866" s="15">
        <v>429.25</v>
      </c>
    </row>
    <row r="867" ht="14.25" spans="1:16">
      <c r="A867" s="13">
        <v>866</v>
      </c>
      <c r="B867" s="15">
        <v>18</v>
      </c>
      <c r="C867" s="16">
        <v>52</v>
      </c>
      <c r="D867" s="15" t="s">
        <v>1730</v>
      </c>
      <c r="E867" s="15" t="s">
        <v>1731</v>
      </c>
      <c r="F867" s="15">
        <v>105.5</v>
      </c>
      <c r="G867" s="15">
        <v>87</v>
      </c>
      <c r="H867" s="15">
        <v>115</v>
      </c>
      <c r="I867" s="15"/>
      <c r="J867" s="15">
        <v>49</v>
      </c>
      <c r="K867" s="15"/>
      <c r="L867" s="15">
        <v>55</v>
      </c>
      <c r="M867" s="15">
        <v>53</v>
      </c>
      <c r="N867" s="15"/>
      <c r="O867" s="15">
        <v>307.5</v>
      </c>
      <c r="P867" s="15">
        <v>464.5</v>
      </c>
    </row>
    <row r="868" ht="14.25" spans="1:16">
      <c r="A868" s="13">
        <v>867</v>
      </c>
      <c r="B868" s="15">
        <v>18</v>
      </c>
      <c r="C868" s="16">
        <v>53</v>
      </c>
      <c r="D868" s="15" t="s">
        <v>1732</v>
      </c>
      <c r="E868" s="15" t="s">
        <v>1733</v>
      </c>
      <c r="F868" s="15">
        <v>102</v>
      </c>
      <c r="G868" s="15">
        <v>92</v>
      </c>
      <c r="H868" s="15">
        <v>109.5</v>
      </c>
      <c r="I868" s="15"/>
      <c r="J868" s="15">
        <v>61</v>
      </c>
      <c r="K868" s="15"/>
      <c r="L868" s="15">
        <v>53</v>
      </c>
      <c r="M868" s="15">
        <v>60</v>
      </c>
      <c r="N868" s="15"/>
      <c r="O868" s="15">
        <v>303.5</v>
      </c>
      <c r="P868" s="15">
        <v>477.5</v>
      </c>
    </row>
    <row r="869" ht="14.25" spans="1:16">
      <c r="A869" s="13">
        <v>868</v>
      </c>
      <c r="B869" s="15">
        <v>18</v>
      </c>
      <c r="C869" s="16">
        <v>54</v>
      </c>
      <c r="D869" s="15" t="s">
        <v>1734</v>
      </c>
      <c r="E869" s="15" t="s">
        <v>1735</v>
      </c>
      <c r="F869" s="15">
        <v>97.5</v>
      </c>
      <c r="G869" s="15">
        <v>61.5</v>
      </c>
      <c r="H869" s="15">
        <v>72</v>
      </c>
      <c r="I869" s="15"/>
      <c r="J869" s="15">
        <v>51.5</v>
      </c>
      <c r="K869" s="15"/>
      <c r="L869" s="15">
        <v>50</v>
      </c>
      <c r="M869" s="15">
        <v>43.5</v>
      </c>
      <c r="N869" s="15"/>
      <c r="O869" s="15">
        <v>231</v>
      </c>
      <c r="P869" s="15">
        <v>376</v>
      </c>
    </row>
    <row r="870" ht="14.25" spans="1:16">
      <c r="A870" s="13">
        <v>869</v>
      </c>
      <c r="B870" s="15">
        <v>18</v>
      </c>
      <c r="C870" s="16">
        <v>55</v>
      </c>
      <c r="D870" s="15" t="s">
        <v>1736</v>
      </c>
      <c r="E870" s="15" t="s">
        <v>1737</v>
      </c>
      <c r="F870" s="15">
        <v>107.5</v>
      </c>
      <c r="G870" s="15">
        <v>57.5</v>
      </c>
      <c r="H870" s="15">
        <v>101.5</v>
      </c>
      <c r="I870" s="15"/>
      <c r="J870" s="15">
        <v>41</v>
      </c>
      <c r="K870" s="15"/>
      <c r="L870" s="15">
        <v>46.5</v>
      </c>
      <c r="M870" s="15">
        <v>41.5</v>
      </c>
      <c r="N870" s="15"/>
      <c r="O870" s="15">
        <v>266.5</v>
      </c>
      <c r="P870" s="15">
        <v>395.5</v>
      </c>
    </row>
    <row r="871" spans="16:16">
      <c r="A871" s="161"/>
      <c r="B871" s="13"/>
      <c r="C871" s="13"/>
      <c r="D871" s="162"/>
      <c r="E871" s="163"/>
      <c r="F871" s="177"/>
      <c r="G871" s="177"/>
      <c r="H871" s="177"/>
      <c r="I871" s="177"/>
      <c r="J871" s="177"/>
      <c r="K871" s="177"/>
      <c r="L871" s="177"/>
      <c r="M871" s="177"/>
      <c r="N871" s="177"/>
      <c r="O871" s="165"/>
      <c r="P871" s="168"/>
    </row>
    <row r="872" spans="16:16">
      <c r="A872" s="161"/>
      <c r="B872" s="13"/>
      <c r="C872" s="13"/>
      <c r="D872" s="162"/>
      <c r="E872" s="163"/>
      <c r="F872" s="177"/>
      <c r="G872" s="177"/>
      <c r="H872" s="177"/>
      <c r="I872" s="177"/>
      <c r="J872" s="177"/>
      <c r="K872" s="177"/>
      <c r="L872" s="177"/>
      <c r="M872" s="177"/>
      <c r="N872" s="177"/>
      <c r="O872" s="165"/>
      <c r="P872" s="168"/>
    </row>
    <row r="873" spans="16:16">
      <c r="A873" s="161"/>
      <c r="B873" s="13"/>
      <c r="C873" s="13"/>
      <c r="D873" s="162"/>
      <c r="E873" s="163"/>
      <c r="F873" s="177"/>
      <c r="G873" s="177"/>
      <c r="H873" s="177"/>
      <c r="I873" s="177"/>
      <c r="J873" s="177"/>
      <c r="K873" s="177"/>
      <c r="L873" s="177"/>
      <c r="M873" s="177"/>
      <c r="N873" s="177"/>
      <c r="O873" s="165"/>
      <c r="P873" s="168"/>
    </row>
    <row r="874" spans="16:16">
      <c r="A874" s="161"/>
      <c r="B874" s="13"/>
      <c r="C874" s="13"/>
      <c r="D874" s="162"/>
      <c r="E874" s="163"/>
      <c r="F874" s="177"/>
      <c r="G874" s="177"/>
      <c r="H874" s="177"/>
      <c r="I874" s="177"/>
      <c r="J874" s="177"/>
      <c r="K874" s="177"/>
      <c r="L874" s="177"/>
      <c r="M874" s="177"/>
      <c r="N874" s="177"/>
      <c r="O874" s="165"/>
      <c r="P874" s="168"/>
    </row>
    <row r="875" spans="16:16">
      <c r="A875" s="161"/>
      <c r="B875" s="13"/>
      <c r="C875" s="13"/>
      <c r="D875" s="162"/>
      <c r="E875" s="163"/>
      <c r="F875" s="177"/>
      <c r="G875" s="177"/>
      <c r="H875" s="177"/>
      <c r="I875" s="177"/>
      <c r="J875" s="177"/>
      <c r="K875" s="177"/>
      <c r="L875" s="177"/>
      <c r="M875" s="177"/>
      <c r="N875" s="177"/>
      <c r="O875" s="165"/>
      <c r="P875" s="168"/>
    </row>
    <row r="876" spans="16:16">
      <c r="A876" s="161"/>
      <c r="B876" s="13"/>
      <c r="C876" s="13"/>
      <c r="D876" s="162"/>
      <c r="E876" s="163"/>
      <c r="F876" s="177"/>
      <c r="G876" s="177"/>
      <c r="H876" s="177"/>
      <c r="I876" s="177"/>
      <c r="J876" s="177"/>
      <c r="K876" s="177"/>
      <c r="L876" s="177"/>
      <c r="M876" s="177"/>
      <c r="N876" s="177"/>
      <c r="O876" s="165"/>
      <c r="P876" s="168"/>
    </row>
    <row r="877" spans="16:16">
      <c r="A877" s="161"/>
      <c r="B877" s="13"/>
      <c r="C877" s="13"/>
      <c r="D877" s="162"/>
      <c r="E877" s="163"/>
      <c r="F877" s="177"/>
      <c r="G877" s="177"/>
      <c r="H877" s="177"/>
      <c r="I877" s="177"/>
      <c r="J877" s="177"/>
      <c r="K877" s="177"/>
      <c r="L877" s="177"/>
      <c r="M877" s="177"/>
      <c r="N877" s="177"/>
      <c r="O877" s="165"/>
      <c r="P877" s="168"/>
    </row>
    <row r="878" spans="16:16">
      <c r="A878" s="161"/>
      <c r="B878" s="13"/>
      <c r="C878" s="13"/>
      <c r="D878" s="162"/>
      <c r="E878" s="163"/>
      <c r="F878" s="177"/>
      <c r="G878" s="177"/>
      <c r="H878" s="177"/>
      <c r="I878" s="177"/>
      <c r="J878" s="177"/>
      <c r="K878" s="177"/>
      <c r="L878" s="177"/>
      <c r="M878" s="177"/>
      <c r="N878" s="177"/>
      <c r="O878" s="165"/>
      <c r="P878" s="168"/>
    </row>
    <row r="879" spans="16:16">
      <c r="A879" s="161"/>
      <c r="B879" s="13"/>
      <c r="C879" s="13"/>
      <c r="D879" s="162"/>
      <c r="E879" s="163"/>
      <c r="F879" s="177"/>
      <c r="G879" s="177"/>
      <c r="H879" s="177"/>
      <c r="I879" s="177"/>
      <c r="J879" s="177"/>
      <c r="K879" s="177"/>
      <c r="L879" s="177"/>
      <c r="M879" s="177"/>
      <c r="N879" s="177"/>
      <c r="O879" s="165"/>
      <c r="P879" s="168"/>
    </row>
    <row r="880" spans="16:16">
      <c r="A880" s="161"/>
      <c r="B880" s="13"/>
      <c r="C880" s="13"/>
      <c r="D880" s="162"/>
      <c r="E880" s="163"/>
      <c r="F880" s="177"/>
      <c r="G880" s="177"/>
      <c r="H880" s="177"/>
      <c r="I880" s="177"/>
      <c r="J880" s="177"/>
      <c r="K880" s="177"/>
      <c r="L880" s="177"/>
      <c r="M880" s="177"/>
      <c r="N880" s="177"/>
      <c r="O880" s="165"/>
      <c r="P880" s="168"/>
    </row>
    <row r="881" spans="16:16">
      <c r="A881" s="161"/>
      <c r="B881" s="13"/>
      <c r="C881" s="13"/>
      <c r="D881" s="162"/>
      <c r="E881" s="163"/>
      <c r="F881" s="177"/>
      <c r="G881" s="177"/>
      <c r="H881" s="177"/>
      <c r="I881" s="177"/>
      <c r="J881" s="177"/>
      <c r="K881" s="177"/>
      <c r="L881" s="177"/>
      <c r="M881" s="177"/>
      <c r="N881" s="177"/>
      <c r="O881" s="165"/>
      <c r="P881" s="168"/>
    </row>
    <row r="882" spans="16:16">
      <c r="A882" s="161"/>
      <c r="B882" s="13"/>
      <c r="C882" s="13"/>
      <c r="D882" s="162"/>
      <c r="E882" s="163"/>
      <c r="F882" s="177"/>
      <c r="G882" s="177"/>
      <c r="H882" s="177"/>
      <c r="I882" s="177"/>
      <c r="J882" s="177"/>
      <c r="K882" s="177"/>
      <c r="L882" s="177"/>
      <c r="M882" s="177"/>
      <c r="N882" s="177"/>
      <c r="O882" s="165"/>
      <c r="P882" s="168"/>
    </row>
    <row r="883" spans="16:16">
      <c r="A883" s="161"/>
      <c r="B883" s="13"/>
      <c r="C883" s="13"/>
      <c r="D883" s="162"/>
      <c r="E883" s="163"/>
      <c r="F883" s="177"/>
      <c r="G883" s="177"/>
      <c r="H883" s="177"/>
      <c r="I883" s="177"/>
      <c r="J883" s="177"/>
      <c r="K883" s="177"/>
      <c r="L883" s="177"/>
      <c r="M883" s="177"/>
      <c r="N883" s="177"/>
      <c r="O883" s="165"/>
      <c r="P883" s="168"/>
    </row>
    <row r="884" spans="16:16">
      <c r="A884" s="161"/>
      <c r="B884" s="13"/>
      <c r="C884" s="13"/>
      <c r="D884" s="162"/>
      <c r="E884" s="163"/>
      <c r="F884" s="177"/>
      <c r="G884" s="177"/>
      <c r="H884" s="177"/>
      <c r="I884" s="177"/>
      <c r="J884" s="177"/>
      <c r="K884" s="177"/>
      <c r="L884" s="177"/>
      <c r="M884" s="177"/>
      <c r="N884" s="177"/>
      <c r="O884" s="165"/>
      <c r="P884" s="168"/>
    </row>
    <row r="885" spans="16:16">
      <c r="A885" s="161"/>
      <c r="B885" s="13"/>
      <c r="C885" s="13"/>
      <c r="D885" s="162"/>
      <c r="E885" s="163"/>
      <c r="F885" s="177"/>
      <c r="G885" s="177"/>
      <c r="H885" s="177"/>
      <c r="I885" s="177"/>
      <c r="J885" s="177"/>
      <c r="K885" s="177"/>
      <c r="L885" s="177"/>
      <c r="M885" s="177"/>
      <c r="N885" s="177"/>
      <c r="O885" s="165"/>
      <c r="P885" s="168"/>
    </row>
    <row r="886" spans="16:16">
      <c r="A886" s="161"/>
      <c r="B886" s="13"/>
      <c r="C886" s="13"/>
      <c r="D886" s="162"/>
      <c r="E886" s="163"/>
      <c r="F886" s="177"/>
      <c r="G886" s="177"/>
      <c r="H886" s="177"/>
      <c r="I886" s="177"/>
      <c r="J886" s="177"/>
      <c r="K886" s="177"/>
      <c r="L886" s="177"/>
      <c r="M886" s="177"/>
      <c r="N886" s="177"/>
      <c r="O886" s="165"/>
      <c r="P886" s="168"/>
    </row>
    <row r="887" spans="16:16">
      <c r="A887" s="161"/>
      <c r="B887" s="13"/>
      <c r="C887" s="13"/>
      <c r="D887" s="162"/>
      <c r="E887" s="163"/>
      <c r="F887" s="177"/>
      <c r="G887" s="177"/>
      <c r="H887" s="177"/>
      <c r="I887" s="177"/>
      <c r="J887" s="177"/>
      <c r="K887" s="177"/>
      <c r="L887" s="177"/>
      <c r="M887" s="177"/>
      <c r="N887" s="177"/>
      <c r="O887" s="165"/>
      <c r="P887" s="168"/>
    </row>
    <row r="888" spans="16:16">
      <c r="A888" s="161"/>
      <c r="B888" s="13"/>
      <c r="C888" s="13"/>
      <c r="D888" s="162"/>
      <c r="E888" s="163"/>
      <c r="F888" s="177"/>
      <c r="G888" s="177"/>
      <c r="H888" s="177"/>
      <c r="I888" s="177"/>
      <c r="J888" s="177"/>
      <c r="K888" s="177"/>
      <c r="L888" s="177"/>
      <c r="M888" s="177"/>
      <c r="N888" s="177"/>
      <c r="O888" s="165"/>
      <c r="P888" s="168"/>
    </row>
    <row r="889" spans="16:16">
      <c r="A889" s="161"/>
      <c r="B889" s="13"/>
      <c r="C889" s="13"/>
      <c r="D889" s="162"/>
      <c r="E889" s="163"/>
      <c r="F889" s="177"/>
      <c r="G889" s="177"/>
      <c r="H889" s="177"/>
      <c r="I889" s="177"/>
      <c r="J889" s="177"/>
      <c r="K889" s="177"/>
      <c r="L889" s="177"/>
      <c r="M889" s="177"/>
      <c r="N889" s="177"/>
      <c r="O889" s="165"/>
      <c r="P889" s="168"/>
    </row>
    <row r="890" spans="16:16">
      <c r="A890" s="161"/>
      <c r="B890" s="13"/>
      <c r="C890" s="13"/>
      <c r="D890" s="162"/>
      <c r="E890" s="163"/>
      <c r="F890" s="177"/>
      <c r="G890" s="177"/>
      <c r="H890" s="177"/>
      <c r="I890" s="177"/>
      <c r="J890" s="177"/>
      <c r="K890" s="177"/>
      <c r="L890" s="177"/>
      <c r="M890" s="177"/>
      <c r="N890" s="177"/>
      <c r="O890" s="165"/>
      <c r="P890" s="168"/>
    </row>
    <row r="891" spans="16:16">
      <c r="A891" s="161"/>
      <c r="B891" s="13"/>
      <c r="C891" s="13"/>
      <c r="D891" s="162"/>
      <c r="E891" s="163"/>
      <c r="F891" s="177"/>
      <c r="G891" s="177"/>
      <c r="H891" s="177"/>
      <c r="I891" s="177"/>
      <c r="J891" s="177"/>
      <c r="K891" s="177"/>
      <c r="L891" s="177"/>
      <c r="M891" s="177"/>
      <c r="N891" s="177"/>
      <c r="O891" s="165"/>
      <c r="P891" s="168"/>
    </row>
    <row r="892" spans="16:16">
      <c r="A892" s="161"/>
      <c r="B892" s="13"/>
      <c r="C892" s="13"/>
      <c r="D892" s="162"/>
      <c r="E892" s="163"/>
      <c r="F892" s="177"/>
      <c r="G892" s="177"/>
      <c r="H892" s="177"/>
      <c r="I892" s="177"/>
      <c r="J892" s="177"/>
      <c r="K892" s="177"/>
      <c r="L892" s="177"/>
      <c r="M892" s="177"/>
      <c r="N892" s="177"/>
      <c r="O892" s="165"/>
      <c r="P892" s="168"/>
    </row>
    <row r="893" spans="16:16">
      <c r="A893" s="161"/>
      <c r="B893" s="13"/>
      <c r="C893" s="13"/>
      <c r="D893" s="162"/>
      <c r="E893" s="163"/>
      <c r="F893" s="177"/>
      <c r="G893" s="177"/>
      <c r="H893" s="177"/>
      <c r="I893" s="177"/>
      <c r="J893" s="177"/>
      <c r="K893" s="177"/>
      <c r="L893" s="177"/>
      <c r="M893" s="177"/>
      <c r="N893" s="177"/>
      <c r="O893" s="165"/>
      <c r="P893" s="168"/>
    </row>
    <row r="894" spans="16:16">
      <c r="A894" s="161"/>
      <c r="B894" s="13"/>
      <c r="C894" s="13"/>
      <c r="D894" s="162"/>
      <c r="E894" s="163"/>
      <c r="F894" s="177"/>
      <c r="G894" s="177"/>
      <c r="H894" s="177"/>
      <c r="I894" s="177"/>
      <c r="J894" s="177"/>
      <c r="K894" s="177"/>
      <c r="L894" s="177"/>
      <c r="M894" s="177"/>
      <c r="N894" s="177"/>
      <c r="O894" s="165"/>
      <c r="P894" s="168"/>
    </row>
    <row r="895" spans="16:16">
      <c r="A895" s="161"/>
      <c r="B895" s="13"/>
      <c r="C895" s="13"/>
      <c r="D895" s="162"/>
      <c r="E895" s="163"/>
      <c r="F895" s="177"/>
      <c r="G895" s="177"/>
      <c r="H895" s="177"/>
      <c r="I895" s="177"/>
      <c r="J895" s="177"/>
      <c r="K895" s="177"/>
      <c r="L895" s="177"/>
      <c r="M895" s="177"/>
      <c r="N895" s="177"/>
      <c r="O895" s="165"/>
      <c r="P895" s="168"/>
    </row>
    <row r="896" spans="16:16">
      <c r="A896" s="161"/>
      <c r="B896" s="13"/>
      <c r="C896" s="13"/>
      <c r="D896" s="162"/>
      <c r="E896" s="163"/>
      <c r="F896" s="177"/>
      <c r="G896" s="177"/>
      <c r="H896" s="177"/>
      <c r="I896" s="177"/>
      <c r="J896" s="177"/>
      <c r="K896" s="177"/>
      <c r="L896" s="177"/>
      <c r="M896" s="177"/>
      <c r="N896" s="177"/>
      <c r="O896" s="165"/>
      <c r="P896" s="168"/>
    </row>
    <row r="897" spans="16:16">
      <c r="A897" s="161"/>
      <c r="B897" s="13"/>
      <c r="C897" s="13"/>
      <c r="D897" s="162"/>
      <c r="E897" s="163"/>
      <c r="F897" s="177"/>
      <c r="G897" s="177"/>
      <c r="H897" s="177"/>
      <c r="I897" s="177"/>
      <c r="J897" s="177"/>
      <c r="K897" s="177"/>
      <c r="L897" s="177"/>
      <c r="M897" s="177"/>
      <c r="N897" s="177"/>
      <c r="O897" s="165"/>
      <c r="P897" s="168"/>
    </row>
    <row r="898" spans="16:16">
      <c r="A898" s="161"/>
      <c r="B898" s="13"/>
      <c r="C898" s="13"/>
      <c r="D898" s="162"/>
      <c r="E898" s="163"/>
      <c r="F898" s="177"/>
      <c r="G898" s="177"/>
      <c r="H898" s="177"/>
      <c r="I898" s="177"/>
      <c r="J898" s="177"/>
      <c r="K898" s="177"/>
      <c r="L898" s="177"/>
      <c r="M898" s="177"/>
      <c r="N898" s="177"/>
      <c r="O898" s="165"/>
      <c r="P898" s="168"/>
    </row>
    <row r="899" spans="16:16">
      <c r="A899" s="161"/>
      <c r="B899" s="13"/>
      <c r="C899" s="13"/>
      <c r="D899" s="162"/>
      <c r="E899" s="163"/>
      <c r="F899" s="177"/>
      <c r="G899" s="177"/>
      <c r="H899" s="177"/>
      <c r="I899" s="177"/>
      <c r="J899" s="177"/>
      <c r="K899" s="177"/>
      <c r="L899" s="177"/>
      <c r="M899" s="177"/>
      <c r="N899" s="177"/>
      <c r="O899" s="165"/>
      <c r="P899" s="168"/>
    </row>
    <row r="900" spans="16:16">
      <c r="A900" s="161"/>
      <c r="B900" s="13"/>
      <c r="C900" s="13"/>
      <c r="D900" s="162"/>
      <c r="E900" s="163"/>
      <c r="F900" s="177"/>
      <c r="G900" s="177"/>
      <c r="H900" s="177"/>
      <c r="I900" s="177"/>
      <c r="J900" s="177"/>
      <c r="K900" s="177"/>
      <c r="L900" s="177"/>
      <c r="M900" s="177"/>
      <c r="N900" s="177"/>
      <c r="O900" s="165"/>
      <c r="P900" s="168"/>
    </row>
    <row r="901" spans="16:16">
      <c r="A901" s="161"/>
      <c r="B901" s="13"/>
      <c r="C901" s="13"/>
      <c r="D901" s="162"/>
      <c r="E901" s="163"/>
      <c r="F901" s="177"/>
      <c r="G901" s="177"/>
      <c r="H901" s="177"/>
      <c r="I901" s="177"/>
      <c r="J901" s="177"/>
      <c r="K901" s="177"/>
      <c r="L901" s="177"/>
      <c r="M901" s="177"/>
      <c r="N901" s="177"/>
      <c r="O901" s="165"/>
      <c r="P901" s="168"/>
    </row>
    <row r="902" spans="16:16">
      <c r="A902" s="161"/>
      <c r="B902" s="13"/>
      <c r="C902" s="13"/>
      <c r="D902" s="162"/>
      <c r="E902" s="163"/>
      <c r="F902" s="177"/>
      <c r="G902" s="177"/>
      <c r="H902" s="177"/>
      <c r="I902" s="177"/>
      <c r="J902" s="177"/>
      <c r="K902" s="177"/>
      <c r="L902" s="177"/>
      <c r="M902" s="177"/>
      <c r="N902" s="177"/>
      <c r="O902" s="165"/>
      <c r="P902" s="168"/>
    </row>
    <row r="903" spans="16:16">
      <c r="A903" s="161"/>
      <c r="B903" s="13"/>
      <c r="C903" s="13"/>
      <c r="D903" s="162"/>
      <c r="E903" s="163"/>
      <c r="F903" s="177"/>
      <c r="G903" s="177"/>
      <c r="H903" s="177"/>
      <c r="I903" s="177"/>
      <c r="J903" s="177"/>
      <c r="K903" s="177"/>
      <c r="L903" s="177"/>
      <c r="M903" s="177"/>
      <c r="N903" s="177"/>
      <c r="O903" s="165"/>
      <c r="P903" s="168"/>
    </row>
    <row r="904" spans="16:16">
      <c r="A904" s="161"/>
      <c r="B904" s="13"/>
      <c r="C904" s="13"/>
      <c r="D904" s="162"/>
      <c r="E904" s="163"/>
      <c r="F904" s="177"/>
      <c r="G904" s="177"/>
      <c r="H904" s="177"/>
      <c r="I904" s="177"/>
      <c r="J904" s="177"/>
      <c r="K904" s="177"/>
      <c r="L904" s="177"/>
      <c r="M904" s="177"/>
      <c r="N904" s="177"/>
      <c r="O904" s="165"/>
      <c r="P904" s="168"/>
    </row>
    <row r="905" spans="16:16">
      <c r="A905" s="161"/>
      <c r="B905" s="13"/>
      <c r="C905" s="13"/>
      <c r="D905" s="162"/>
      <c r="E905" s="163"/>
      <c r="F905" s="177"/>
      <c r="G905" s="177"/>
      <c r="H905" s="177"/>
      <c r="I905" s="177"/>
      <c r="J905" s="177"/>
      <c r="K905" s="177"/>
      <c r="L905" s="177"/>
      <c r="M905" s="177"/>
      <c r="N905" s="177"/>
      <c r="O905" s="165"/>
      <c r="P905" s="168"/>
    </row>
    <row r="906" spans="16:16">
      <c r="A906" s="161"/>
      <c r="B906" s="13"/>
      <c r="C906" s="13"/>
      <c r="D906" s="162"/>
      <c r="E906" s="163"/>
      <c r="F906" s="177"/>
      <c r="G906" s="177"/>
      <c r="H906" s="177"/>
      <c r="I906" s="177"/>
      <c r="J906" s="177"/>
      <c r="K906" s="177"/>
      <c r="L906" s="177"/>
      <c r="M906" s="177"/>
      <c r="N906" s="177"/>
      <c r="O906" s="165"/>
      <c r="P906" s="168"/>
    </row>
    <row r="907" spans="16:16">
      <c r="A907" s="161"/>
      <c r="B907" s="13"/>
      <c r="C907" s="13"/>
      <c r="D907" s="162"/>
      <c r="E907" s="163"/>
      <c r="F907" s="177"/>
      <c r="G907" s="177"/>
      <c r="H907" s="177"/>
      <c r="I907" s="177"/>
      <c r="J907" s="177"/>
      <c r="K907" s="177"/>
      <c r="L907" s="177"/>
      <c r="M907" s="177"/>
      <c r="N907" s="177"/>
      <c r="O907" s="165"/>
      <c r="P907" s="168"/>
    </row>
    <row r="908" spans="16:16">
      <c r="A908" s="161"/>
      <c r="B908" s="13"/>
      <c r="C908" s="13"/>
      <c r="D908" s="162"/>
      <c r="E908" s="163"/>
      <c r="F908" s="177"/>
      <c r="G908" s="177"/>
      <c r="H908" s="177"/>
      <c r="I908" s="177"/>
      <c r="J908" s="177"/>
      <c r="K908" s="177"/>
      <c r="L908" s="177"/>
      <c r="M908" s="177"/>
      <c r="N908" s="177"/>
      <c r="O908" s="165"/>
      <c r="P908" s="168"/>
    </row>
    <row r="909" spans="16:16">
      <c r="A909" s="161"/>
      <c r="B909" s="13"/>
      <c r="C909" s="13"/>
      <c r="D909" s="162"/>
      <c r="E909" s="163"/>
      <c r="F909" s="177"/>
      <c r="G909" s="177"/>
      <c r="H909" s="177"/>
      <c r="I909" s="177"/>
      <c r="J909" s="177"/>
      <c r="K909" s="177"/>
      <c r="L909" s="177"/>
      <c r="M909" s="177"/>
      <c r="N909" s="177"/>
      <c r="O909" s="165"/>
      <c r="P909" s="168"/>
    </row>
    <row r="910" spans="16:16">
      <c r="A910" s="161"/>
      <c r="B910" s="13"/>
      <c r="C910" s="13"/>
      <c r="D910" s="162"/>
      <c r="E910" s="163"/>
      <c r="F910" s="177"/>
      <c r="G910" s="177"/>
      <c r="H910" s="177"/>
      <c r="I910" s="177"/>
      <c r="J910" s="177"/>
      <c r="K910" s="177"/>
      <c r="L910" s="177"/>
      <c r="M910" s="177"/>
      <c r="N910" s="177"/>
      <c r="O910" s="165"/>
      <c r="P910" s="168"/>
    </row>
    <row r="911" spans="16:16">
      <c r="A911" s="161"/>
      <c r="B911" s="13"/>
      <c r="C911" s="13"/>
      <c r="D911" s="162"/>
      <c r="E911" s="163"/>
      <c r="F911" s="177"/>
      <c r="G911" s="177"/>
      <c r="H911" s="177"/>
      <c r="I911" s="177"/>
      <c r="J911" s="177"/>
      <c r="K911" s="177"/>
      <c r="L911" s="177"/>
      <c r="M911" s="177"/>
      <c r="N911" s="177"/>
      <c r="O911" s="165"/>
      <c r="P911" s="168"/>
    </row>
    <row r="912" spans="16:16">
      <c r="A912" s="161"/>
      <c r="B912" s="13"/>
      <c r="C912" s="13"/>
      <c r="D912" s="162"/>
      <c r="E912" s="163"/>
      <c r="F912" s="177"/>
      <c r="G912" s="177"/>
      <c r="H912" s="177"/>
      <c r="I912" s="177"/>
      <c r="J912" s="177"/>
      <c r="K912" s="177"/>
      <c r="L912" s="177"/>
      <c r="M912" s="177"/>
      <c r="N912" s="177"/>
      <c r="O912" s="165"/>
      <c r="P912" s="168"/>
    </row>
    <row r="913" spans="16:16">
      <c r="A913" s="161"/>
      <c r="B913" s="13"/>
      <c r="C913" s="13"/>
      <c r="D913" s="162"/>
      <c r="E913" s="163"/>
      <c r="F913" s="177"/>
      <c r="G913" s="177"/>
      <c r="H913" s="177"/>
      <c r="I913" s="177"/>
      <c r="J913" s="177"/>
      <c r="K913" s="177"/>
      <c r="L913" s="177"/>
      <c r="M913" s="177"/>
      <c r="N913" s="177"/>
      <c r="O913" s="165"/>
      <c r="P913" s="168"/>
    </row>
    <row r="914" spans="16:16">
      <c r="A914" s="161"/>
      <c r="B914" s="13"/>
      <c r="C914" s="13"/>
      <c r="D914" s="162"/>
      <c r="E914" s="163"/>
      <c r="F914" s="177"/>
      <c r="G914" s="177"/>
      <c r="H914" s="177"/>
      <c r="I914" s="177"/>
      <c r="J914" s="177"/>
      <c r="K914" s="177"/>
      <c r="L914" s="177"/>
      <c r="M914" s="177"/>
      <c r="N914" s="177"/>
      <c r="O914" s="165"/>
      <c r="P914" s="168"/>
    </row>
    <row r="915" spans="16:16">
      <c r="A915" s="161"/>
      <c r="B915" s="13"/>
      <c r="C915" s="13"/>
      <c r="D915" s="162"/>
      <c r="E915" s="163"/>
      <c r="F915" s="177"/>
      <c r="G915" s="177"/>
      <c r="H915" s="177"/>
      <c r="I915" s="177"/>
      <c r="J915" s="177"/>
      <c r="K915" s="177"/>
      <c r="L915" s="177"/>
      <c r="M915" s="177"/>
      <c r="N915" s="177"/>
      <c r="O915" s="165"/>
      <c r="P915" s="168"/>
    </row>
    <row r="916" spans="16:16">
      <c r="A916" s="161"/>
      <c r="B916" s="13"/>
      <c r="C916" s="13"/>
      <c r="D916" s="162"/>
      <c r="E916" s="163"/>
      <c r="F916" s="177"/>
      <c r="G916" s="177"/>
      <c r="H916" s="177"/>
      <c r="I916" s="177"/>
      <c r="J916" s="177"/>
      <c r="K916" s="177"/>
      <c r="L916" s="177"/>
      <c r="M916" s="177"/>
      <c r="N916" s="177"/>
      <c r="O916" s="165"/>
      <c r="P916" s="168"/>
    </row>
    <row r="917" spans="16:16">
      <c r="A917" s="161"/>
      <c r="B917" s="13"/>
      <c r="C917" s="13"/>
      <c r="D917" s="162"/>
      <c r="E917" s="163"/>
      <c r="F917" s="177"/>
      <c r="G917" s="177"/>
      <c r="H917" s="177"/>
      <c r="I917" s="177"/>
      <c r="J917" s="177"/>
      <c r="K917" s="177"/>
      <c r="L917" s="177"/>
      <c r="M917" s="177"/>
      <c r="N917" s="177"/>
      <c r="O917" s="165"/>
      <c r="P917" s="168"/>
    </row>
    <row r="918" spans="16:16">
      <c r="A918" s="161"/>
      <c r="B918" s="13"/>
      <c r="C918" s="13"/>
      <c r="D918" s="162"/>
      <c r="E918" s="163"/>
      <c r="F918" s="177"/>
      <c r="G918" s="177"/>
      <c r="H918" s="177"/>
      <c r="I918" s="177"/>
      <c r="J918" s="177"/>
      <c r="K918" s="177"/>
      <c r="L918" s="177"/>
      <c r="M918" s="177"/>
      <c r="N918" s="177"/>
      <c r="O918" s="165"/>
      <c r="P918" s="168"/>
    </row>
    <row r="919" spans="16:16">
      <c r="A919" s="161"/>
      <c r="B919" s="13"/>
      <c r="C919" s="13"/>
      <c r="D919" s="162"/>
      <c r="E919" s="163"/>
      <c r="F919" s="177"/>
      <c r="G919" s="177"/>
      <c r="H919" s="177"/>
      <c r="I919" s="177"/>
      <c r="J919" s="177"/>
      <c r="K919" s="177"/>
      <c r="L919" s="177"/>
      <c r="M919" s="177"/>
      <c r="N919" s="177"/>
      <c r="O919" s="165"/>
      <c r="P919" s="168"/>
    </row>
    <row r="920" spans="16:16">
      <c r="A920" s="161"/>
      <c r="B920" s="13"/>
      <c r="C920" s="13"/>
      <c r="D920" s="162"/>
      <c r="E920" s="163"/>
      <c r="F920" s="177"/>
      <c r="G920" s="177"/>
      <c r="H920" s="177"/>
      <c r="I920" s="177"/>
      <c r="J920" s="177"/>
      <c r="K920" s="177"/>
      <c r="L920" s="177"/>
      <c r="M920" s="177"/>
      <c r="N920" s="177"/>
      <c r="O920" s="165"/>
      <c r="P920" s="168"/>
    </row>
    <row r="921" spans="16:16">
      <c r="A921" s="161"/>
      <c r="B921" s="13"/>
      <c r="C921" s="13"/>
      <c r="D921" s="162"/>
      <c r="E921" s="163"/>
      <c r="F921" s="177"/>
      <c r="G921" s="177"/>
      <c r="H921" s="177"/>
      <c r="I921" s="177"/>
      <c r="J921" s="177"/>
      <c r="K921" s="177"/>
      <c r="L921" s="177"/>
      <c r="M921" s="177"/>
      <c r="N921" s="177"/>
      <c r="O921" s="165"/>
      <c r="P921" s="168"/>
    </row>
    <row r="922" spans="16:16">
      <c r="A922" s="161"/>
      <c r="B922" s="13"/>
      <c r="C922" s="13"/>
      <c r="D922" s="162"/>
      <c r="E922" s="163"/>
      <c r="F922" s="177"/>
      <c r="G922" s="177"/>
      <c r="H922" s="177"/>
      <c r="I922" s="177"/>
      <c r="J922" s="177"/>
      <c r="K922" s="177"/>
      <c r="L922" s="177"/>
      <c r="M922" s="177"/>
      <c r="N922" s="177"/>
      <c r="O922" s="165"/>
      <c r="P922" s="168"/>
    </row>
    <row r="923" spans="16:16">
      <c r="A923" s="161"/>
      <c r="B923" s="13"/>
      <c r="C923" s="13"/>
      <c r="D923" s="162"/>
      <c r="E923" s="163"/>
      <c r="F923" s="177"/>
      <c r="G923" s="177"/>
      <c r="H923" s="177"/>
      <c r="I923" s="177"/>
      <c r="J923" s="177"/>
      <c r="K923" s="177"/>
      <c r="L923" s="177"/>
      <c r="M923" s="177"/>
      <c r="N923" s="177"/>
      <c r="O923" s="165"/>
      <c r="P923" s="168"/>
    </row>
    <row r="924" spans="16:16">
      <c r="A924" s="161"/>
      <c r="B924" s="13"/>
      <c r="C924" s="13"/>
      <c r="D924" s="162"/>
      <c r="E924" s="163"/>
      <c r="F924" s="177"/>
      <c r="G924" s="177"/>
      <c r="H924" s="177"/>
      <c r="I924" s="177"/>
      <c r="J924" s="177"/>
      <c r="K924" s="177"/>
      <c r="L924" s="177"/>
      <c r="M924" s="177"/>
      <c r="N924" s="177"/>
      <c r="O924" s="165"/>
      <c r="P924" s="168"/>
    </row>
    <row r="925" spans="16:16">
      <c r="A925" s="161"/>
      <c r="B925" s="13"/>
      <c r="C925" s="13"/>
      <c r="D925" s="162"/>
      <c r="E925" s="163"/>
      <c r="F925" s="177"/>
      <c r="G925" s="177"/>
      <c r="H925" s="177"/>
      <c r="I925" s="177"/>
      <c r="J925" s="177"/>
      <c r="K925" s="177"/>
      <c r="L925" s="177"/>
      <c r="M925" s="177"/>
      <c r="N925" s="177"/>
      <c r="O925" s="165"/>
      <c r="P925" s="168"/>
    </row>
    <row r="926" spans="16:16">
      <c r="A926" s="161"/>
      <c r="B926" s="13"/>
      <c r="C926" s="13"/>
      <c r="D926" s="162"/>
      <c r="E926" s="163"/>
      <c r="F926" s="177"/>
      <c r="G926" s="177"/>
      <c r="H926" s="177"/>
      <c r="I926" s="177"/>
      <c r="J926" s="177"/>
      <c r="K926" s="177"/>
      <c r="L926" s="177"/>
      <c r="M926" s="177"/>
      <c r="N926" s="177"/>
      <c r="O926" s="165"/>
      <c r="P926" s="168"/>
    </row>
    <row r="927" spans="16:16">
      <c r="A927" s="161"/>
      <c r="B927" s="13"/>
      <c r="C927" s="13"/>
      <c r="D927" s="162"/>
      <c r="E927" s="163"/>
      <c r="F927" s="177"/>
      <c r="G927" s="177"/>
      <c r="H927" s="177"/>
      <c r="I927" s="177"/>
      <c r="J927" s="177"/>
      <c r="K927" s="177"/>
      <c r="L927" s="177"/>
      <c r="M927" s="177"/>
      <c r="N927" s="177"/>
      <c r="O927" s="165"/>
      <c r="P927" s="168"/>
    </row>
    <row r="928" spans="16:16">
      <c r="A928" s="161"/>
      <c r="B928" s="13"/>
      <c r="C928" s="13"/>
      <c r="D928" s="162"/>
      <c r="E928" s="163"/>
      <c r="F928" s="177"/>
      <c r="G928" s="177"/>
      <c r="H928" s="177"/>
      <c r="I928" s="177"/>
      <c r="J928" s="177"/>
      <c r="K928" s="177"/>
      <c r="L928" s="177"/>
      <c r="M928" s="177"/>
      <c r="N928" s="177"/>
      <c r="O928" s="165"/>
      <c r="P928" s="168"/>
    </row>
    <row r="929" spans="16:16">
      <c r="A929" s="161"/>
      <c r="B929" s="13"/>
      <c r="C929" s="13"/>
      <c r="D929" s="162"/>
      <c r="E929" s="163"/>
      <c r="F929" s="177"/>
      <c r="G929" s="177"/>
      <c r="H929" s="177"/>
      <c r="I929" s="177"/>
      <c r="J929" s="177"/>
      <c r="K929" s="177"/>
      <c r="L929" s="177"/>
      <c r="M929" s="177"/>
      <c r="N929" s="177"/>
      <c r="O929" s="165"/>
      <c r="P929" s="168"/>
    </row>
    <row r="930" spans="16:16">
      <c r="A930" s="161"/>
      <c r="B930" s="13"/>
      <c r="C930" s="13"/>
      <c r="D930" s="162"/>
      <c r="E930" s="163"/>
      <c r="F930" s="177"/>
      <c r="G930" s="177"/>
      <c r="H930" s="177"/>
      <c r="I930" s="177"/>
      <c r="J930" s="177"/>
      <c r="K930" s="177"/>
      <c r="L930" s="177"/>
      <c r="M930" s="177"/>
      <c r="N930" s="177"/>
      <c r="O930" s="165"/>
      <c r="P930" s="168"/>
    </row>
    <row r="931" spans="16:16">
      <c r="A931" s="161"/>
      <c r="B931" s="13"/>
      <c r="C931" s="13"/>
      <c r="D931" s="162"/>
      <c r="E931" s="163"/>
      <c r="F931" s="177"/>
      <c r="G931" s="177"/>
      <c r="H931" s="177"/>
      <c r="I931" s="177"/>
      <c r="J931" s="177"/>
      <c r="K931" s="177"/>
      <c r="L931" s="177"/>
      <c r="M931" s="177"/>
      <c r="N931" s="177"/>
      <c r="O931" s="165"/>
      <c r="P931" s="168"/>
    </row>
    <row r="932" spans="16:16">
      <c r="A932" s="161"/>
      <c r="B932" s="13"/>
      <c r="C932" s="13"/>
      <c r="D932" s="162"/>
      <c r="E932" s="163"/>
      <c r="F932" s="177"/>
      <c r="G932" s="177"/>
      <c r="H932" s="177"/>
      <c r="I932" s="177"/>
      <c r="J932" s="177"/>
      <c r="K932" s="177"/>
      <c r="L932" s="177"/>
      <c r="M932" s="177"/>
      <c r="N932" s="177"/>
      <c r="O932" s="165"/>
      <c r="P932" s="168"/>
    </row>
    <row r="933" spans="16:16">
      <c r="A933" s="161"/>
      <c r="B933" s="13"/>
      <c r="C933" s="13"/>
      <c r="D933" s="162"/>
      <c r="E933" s="163"/>
      <c r="F933" s="177"/>
      <c r="G933" s="177"/>
      <c r="H933" s="177"/>
      <c r="I933" s="177"/>
      <c r="J933" s="177"/>
      <c r="K933" s="177"/>
      <c r="L933" s="177"/>
      <c r="M933" s="177"/>
      <c r="N933" s="177"/>
      <c r="O933" s="165"/>
      <c r="P933" s="168"/>
    </row>
    <row r="934" spans="16:16">
      <c r="A934" s="161"/>
      <c r="B934" s="13"/>
      <c r="C934" s="13"/>
      <c r="D934" s="162"/>
      <c r="E934" s="163"/>
      <c r="F934" s="177"/>
      <c r="G934" s="177"/>
      <c r="H934" s="177"/>
      <c r="I934" s="177"/>
      <c r="J934" s="177"/>
      <c r="K934" s="177"/>
      <c r="L934" s="177"/>
      <c r="M934" s="177"/>
      <c r="N934" s="177"/>
      <c r="O934" s="165"/>
      <c r="P934" s="168"/>
    </row>
    <row r="935" spans="16:16">
      <c r="A935" s="161"/>
      <c r="B935" s="13"/>
      <c r="C935" s="13"/>
      <c r="D935" s="162"/>
      <c r="E935" s="163"/>
      <c r="F935" s="177"/>
      <c r="G935" s="177"/>
      <c r="H935" s="177"/>
      <c r="I935" s="177"/>
      <c r="J935" s="177"/>
      <c r="K935" s="177"/>
      <c r="L935" s="177"/>
      <c r="M935" s="177"/>
      <c r="N935" s="177"/>
      <c r="O935" s="165"/>
      <c r="P935" s="168"/>
    </row>
    <row r="936" spans="16:16">
      <c r="A936" s="161"/>
      <c r="B936" s="13"/>
      <c r="C936" s="13"/>
      <c r="D936" s="162"/>
      <c r="E936" s="163"/>
      <c r="F936" s="177"/>
      <c r="G936" s="177"/>
      <c r="H936" s="177"/>
      <c r="I936" s="177"/>
      <c r="J936" s="177"/>
      <c r="K936" s="177"/>
      <c r="L936" s="177"/>
      <c r="M936" s="177"/>
      <c r="N936" s="177"/>
      <c r="O936" s="165"/>
      <c r="P936" s="168"/>
    </row>
    <row r="937" spans="16:16">
      <c r="A937" s="161"/>
      <c r="B937" s="13"/>
      <c r="C937" s="13"/>
      <c r="D937" s="162"/>
      <c r="E937" s="163"/>
      <c r="F937" s="177"/>
      <c r="G937" s="177"/>
      <c r="H937" s="177"/>
      <c r="I937" s="177"/>
      <c r="J937" s="177"/>
      <c r="K937" s="177"/>
      <c r="L937" s="177"/>
      <c r="M937" s="177"/>
      <c r="N937" s="177"/>
      <c r="O937" s="165"/>
      <c r="P937" s="168"/>
    </row>
    <row r="938" spans="16:16">
      <c r="A938" s="161"/>
      <c r="B938" s="13"/>
      <c r="C938" s="13"/>
      <c r="D938" s="162"/>
      <c r="E938" s="163"/>
      <c r="F938" s="177"/>
      <c r="G938" s="177"/>
      <c r="H938" s="177"/>
      <c r="I938" s="177"/>
      <c r="J938" s="177"/>
      <c r="K938" s="177"/>
      <c r="L938" s="177"/>
      <c r="M938" s="177"/>
      <c r="N938" s="177"/>
      <c r="O938" s="165"/>
      <c r="P938" s="168"/>
    </row>
    <row r="939" spans="16:16">
      <c r="A939" s="161"/>
      <c r="B939" s="13"/>
      <c r="C939" s="13"/>
      <c r="D939" s="162"/>
      <c r="E939" s="163"/>
      <c r="F939" s="177"/>
      <c r="G939" s="177"/>
      <c r="H939" s="177"/>
      <c r="I939" s="177"/>
      <c r="J939" s="177"/>
      <c r="K939" s="177"/>
      <c r="L939" s="177"/>
      <c r="M939" s="177"/>
      <c r="N939" s="177"/>
      <c r="O939" s="165"/>
      <c r="P939" s="168"/>
    </row>
    <row r="940" spans="16:16">
      <c r="A940" s="161"/>
      <c r="B940" s="13"/>
      <c r="C940" s="13"/>
      <c r="D940" s="162"/>
      <c r="E940" s="163"/>
      <c r="F940" s="177"/>
      <c r="G940" s="177"/>
      <c r="H940" s="177"/>
      <c r="I940" s="177"/>
      <c r="J940" s="177"/>
      <c r="K940" s="177"/>
      <c r="L940" s="177"/>
      <c r="M940" s="177"/>
      <c r="N940" s="177"/>
      <c r="O940" s="165"/>
      <c r="P940" s="168"/>
    </row>
    <row r="941" spans="16:16">
      <c r="A941" s="161"/>
      <c r="B941" s="13"/>
      <c r="C941" s="13"/>
      <c r="D941" s="162"/>
      <c r="E941" s="163"/>
      <c r="F941" s="177"/>
      <c r="G941" s="177"/>
      <c r="H941" s="177"/>
      <c r="I941" s="177"/>
      <c r="J941" s="177"/>
      <c r="K941" s="177"/>
      <c r="L941" s="177"/>
      <c r="M941" s="177"/>
      <c r="N941" s="177"/>
      <c r="O941" s="165"/>
      <c r="P941" s="168"/>
    </row>
    <row r="942" spans="16:16">
      <c r="A942" s="161"/>
      <c r="B942" s="13"/>
      <c r="C942" s="13"/>
      <c r="D942" s="162"/>
      <c r="E942" s="163"/>
      <c r="F942" s="177"/>
      <c r="G942" s="177"/>
      <c r="H942" s="177"/>
      <c r="I942" s="177"/>
      <c r="J942" s="177"/>
      <c r="K942" s="177"/>
      <c r="L942" s="177"/>
      <c r="M942" s="177"/>
      <c r="N942" s="177"/>
      <c r="O942" s="165"/>
      <c r="P942" s="168"/>
    </row>
    <row r="943" spans="16:16">
      <c r="A943" s="161"/>
      <c r="B943" s="13"/>
      <c r="C943" s="13"/>
      <c r="D943" s="162"/>
      <c r="E943" s="163"/>
      <c r="F943" s="177"/>
      <c r="G943" s="177"/>
      <c r="H943" s="177"/>
      <c r="I943" s="177"/>
      <c r="J943" s="177"/>
      <c r="K943" s="177"/>
      <c r="L943" s="177"/>
      <c r="M943" s="177"/>
      <c r="N943" s="177"/>
      <c r="O943" s="165"/>
      <c r="P943" s="168"/>
    </row>
    <row r="944" spans="16:16">
      <c r="A944" s="161"/>
      <c r="B944" s="13"/>
      <c r="C944" s="13"/>
      <c r="D944" s="162"/>
      <c r="E944" s="163"/>
      <c r="F944" s="177"/>
      <c r="G944" s="177"/>
      <c r="H944" s="177"/>
      <c r="I944" s="177"/>
      <c r="J944" s="177"/>
      <c r="K944" s="177"/>
      <c r="L944" s="177"/>
      <c r="M944" s="177"/>
      <c r="N944" s="177"/>
      <c r="O944" s="165"/>
      <c r="P944" s="168"/>
    </row>
    <row r="945" spans="16:16">
      <c r="A945" s="161"/>
      <c r="B945" s="13"/>
      <c r="C945" s="13"/>
      <c r="D945" s="162"/>
      <c r="E945" s="163"/>
      <c r="F945" s="177"/>
      <c r="G945" s="177"/>
      <c r="H945" s="177"/>
      <c r="I945" s="177"/>
      <c r="J945" s="177"/>
      <c r="K945" s="177"/>
      <c r="L945" s="177"/>
      <c r="M945" s="177"/>
      <c r="N945" s="177"/>
      <c r="O945" s="165"/>
      <c r="P945" s="168"/>
    </row>
    <row r="946" spans="16:16">
      <c r="A946" s="161"/>
      <c r="B946" s="13"/>
      <c r="C946" s="13"/>
      <c r="D946" s="162"/>
      <c r="E946" s="163"/>
      <c r="F946" s="177"/>
      <c r="G946" s="177"/>
      <c r="H946" s="177"/>
      <c r="I946" s="177"/>
      <c r="J946" s="177"/>
      <c r="K946" s="177"/>
      <c r="L946" s="177"/>
      <c r="M946" s="177"/>
      <c r="N946" s="177"/>
      <c r="O946" s="165"/>
      <c r="P946" s="168"/>
    </row>
    <row r="947" spans="16:16">
      <c r="A947" s="161"/>
      <c r="B947" s="13"/>
      <c r="C947" s="13"/>
      <c r="D947" s="162"/>
      <c r="E947" s="163"/>
      <c r="F947" s="177"/>
      <c r="G947" s="177"/>
      <c r="H947" s="177"/>
      <c r="I947" s="177"/>
      <c r="J947" s="177"/>
      <c r="K947" s="177"/>
      <c r="L947" s="177"/>
      <c r="M947" s="177"/>
      <c r="N947" s="177"/>
      <c r="O947" s="165"/>
      <c r="P947" s="168"/>
    </row>
    <row r="948" spans="16:16">
      <c r="A948" s="161"/>
      <c r="B948" s="13"/>
      <c r="C948" s="13"/>
      <c r="D948" s="162"/>
      <c r="E948" s="163"/>
      <c r="F948" s="177"/>
      <c r="G948" s="177"/>
      <c r="H948" s="177"/>
      <c r="I948" s="177"/>
      <c r="J948" s="177"/>
      <c r="K948" s="177"/>
      <c r="L948" s="177"/>
      <c r="M948" s="177"/>
      <c r="N948" s="177"/>
      <c r="O948" s="165"/>
      <c r="P948" s="168"/>
    </row>
    <row r="949" spans="16:16">
      <c r="A949" s="161"/>
      <c r="B949" s="13"/>
      <c r="C949" s="13"/>
      <c r="D949" s="162"/>
      <c r="E949" s="163"/>
      <c r="F949" s="177"/>
      <c r="G949" s="177"/>
      <c r="H949" s="177"/>
      <c r="I949" s="177"/>
      <c r="J949" s="177"/>
      <c r="K949" s="177"/>
      <c r="L949" s="177"/>
      <c r="M949" s="177"/>
      <c r="N949" s="177"/>
      <c r="O949" s="165"/>
      <c r="P949" s="168"/>
    </row>
    <row r="950" spans="16:16">
      <c r="A950" s="161"/>
      <c r="B950" s="13"/>
      <c r="C950" s="13"/>
      <c r="D950" s="162"/>
      <c r="E950" s="163"/>
      <c r="F950" s="177"/>
      <c r="G950" s="177"/>
      <c r="H950" s="177"/>
      <c r="I950" s="177"/>
      <c r="J950" s="177"/>
      <c r="K950" s="177"/>
      <c r="L950" s="177"/>
      <c r="M950" s="177"/>
      <c r="N950" s="177"/>
      <c r="O950" s="165"/>
      <c r="P950" s="168"/>
    </row>
    <row r="951" spans="16:16">
      <c r="A951" s="161"/>
      <c r="B951" s="13"/>
      <c r="C951" s="13"/>
      <c r="D951" s="162"/>
      <c r="E951" s="163"/>
      <c r="F951" s="177"/>
      <c r="G951" s="177"/>
      <c r="H951" s="177"/>
      <c r="I951" s="177"/>
      <c r="J951" s="177"/>
      <c r="K951" s="177"/>
      <c r="L951" s="177"/>
      <c r="M951" s="177"/>
      <c r="N951" s="177"/>
      <c r="O951" s="165"/>
      <c r="P951" s="168"/>
    </row>
    <row r="952" spans="16:16">
      <c r="A952" s="161"/>
      <c r="B952" s="13"/>
      <c r="C952" s="13"/>
      <c r="D952" s="162"/>
      <c r="E952" s="163"/>
      <c r="F952" s="177"/>
      <c r="G952" s="177"/>
      <c r="H952" s="177"/>
      <c r="I952" s="177"/>
      <c r="J952" s="177"/>
      <c r="K952" s="177"/>
      <c r="L952" s="177"/>
      <c r="M952" s="177"/>
      <c r="N952" s="177"/>
      <c r="O952" s="165"/>
      <c r="P952" s="168"/>
    </row>
    <row r="953" spans="16:16">
      <c r="A953" s="161"/>
      <c r="B953" s="13"/>
      <c r="C953" s="13"/>
      <c r="D953" s="162"/>
      <c r="E953" s="163"/>
      <c r="F953" s="177"/>
      <c r="G953" s="177"/>
      <c r="H953" s="177"/>
      <c r="I953" s="177"/>
      <c r="J953" s="177"/>
      <c r="K953" s="177"/>
      <c r="L953" s="177"/>
      <c r="M953" s="177"/>
      <c r="N953" s="177"/>
      <c r="O953" s="165"/>
      <c r="P953" s="168"/>
    </row>
    <row r="954" spans="16:16">
      <c r="A954" s="161"/>
      <c r="B954" s="13"/>
      <c r="C954" s="13"/>
      <c r="D954" s="162"/>
      <c r="E954" s="163"/>
      <c r="F954" s="177"/>
      <c r="G954" s="177"/>
      <c r="H954" s="177"/>
      <c r="I954" s="177"/>
      <c r="J954" s="177"/>
      <c r="K954" s="177"/>
      <c r="L954" s="177"/>
      <c r="M954" s="177"/>
      <c r="N954" s="177"/>
      <c r="O954" s="165"/>
      <c r="P954" s="168"/>
    </row>
    <row r="955" spans="16:16">
      <c r="A955" s="161"/>
      <c r="B955" s="13"/>
      <c r="C955" s="13"/>
      <c r="D955" s="162"/>
      <c r="E955" s="163"/>
      <c r="F955" s="177"/>
      <c r="G955" s="177"/>
      <c r="H955" s="177"/>
      <c r="I955" s="177"/>
      <c r="J955" s="177"/>
      <c r="K955" s="177"/>
      <c r="L955" s="177"/>
      <c r="M955" s="177"/>
      <c r="N955" s="177"/>
      <c r="O955" s="165"/>
      <c r="P955" s="168"/>
    </row>
    <row r="956" spans="16:16">
      <c r="A956" s="161"/>
      <c r="B956" s="13"/>
      <c r="C956" s="13"/>
      <c r="D956" s="162"/>
      <c r="E956" s="163"/>
      <c r="F956" s="177"/>
      <c r="G956" s="177"/>
      <c r="H956" s="177"/>
      <c r="I956" s="177"/>
      <c r="J956" s="177"/>
      <c r="K956" s="177"/>
      <c r="L956" s="177"/>
      <c r="M956" s="177"/>
      <c r="N956" s="177"/>
      <c r="O956" s="165"/>
      <c r="P956" s="168"/>
    </row>
    <row r="957" spans="16:16">
      <c r="A957" s="161"/>
      <c r="B957" s="13"/>
      <c r="C957" s="13"/>
      <c r="D957" s="162"/>
      <c r="E957" s="163"/>
      <c r="F957" s="177"/>
      <c r="G957" s="177"/>
      <c r="H957" s="177"/>
      <c r="I957" s="177"/>
      <c r="J957" s="177"/>
      <c r="K957" s="177"/>
      <c r="L957" s="177"/>
      <c r="M957" s="177"/>
      <c r="N957" s="177"/>
      <c r="O957" s="165"/>
      <c r="P957" s="168"/>
    </row>
    <row r="958" spans="16:16">
      <c r="A958" s="161"/>
      <c r="B958" s="13"/>
      <c r="C958" s="13"/>
      <c r="D958" s="162"/>
      <c r="E958" s="163"/>
      <c r="F958" s="177"/>
      <c r="G958" s="177"/>
      <c r="H958" s="177"/>
      <c r="I958" s="177"/>
      <c r="J958" s="177"/>
      <c r="K958" s="177"/>
      <c r="L958" s="177"/>
      <c r="M958" s="177"/>
      <c r="N958" s="177"/>
      <c r="O958" s="165"/>
      <c r="P958" s="168"/>
    </row>
    <row r="959" spans="16:16">
      <c r="A959" s="161"/>
      <c r="B959" s="13"/>
      <c r="C959" s="13"/>
      <c r="D959" s="162"/>
      <c r="E959" s="163"/>
      <c r="F959" s="177"/>
      <c r="G959" s="177"/>
      <c r="H959" s="177"/>
      <c r="I959" s="177"/>
      <c r="J959" s="177"/>
      <c r="K959" s="177"/>
      <c r="L959" s="177"/>
      <c r="M959" s="177"/>
      <c r="N959" s="177"/>
      <c r="O959" s="165"/>
      <c r="P959" s="168"/>
    </row>
    <row r="960" spans="16:16">
      <c r="A960" s="161"/>
      <c r="B960" s="13"/>
      <c r="C960" s="13"/>
      <c r="D960" s="162"/>
      <c r="E960" s="163"/>
      <c r="F960" s="177"/>
      <c r="G960" s="177"/>
      <c r="H960" s="177"/>
      <c r="I960" s="177"/>
      <c r="J960" s="177"/>
      <c r="K960" s="177"/>
      <c r="L960" s="177"/>
      <c r="M960" s="177"/>
      <c r="N960" s="177"/>
      <c r="O960" s="165"/>
      <c r="P960" s="168"/>
    </row>
    <row r="961" spans="16:16">
      <c r="A961" s="161"/>
      <c r="B961" s="13"/>
      <c r="C961" s="13"/>
      <c r="D961" s="162"/>
      <c r="E961" s="163"/>
      <c r="F961" s="177"/>
      <c r="G961" s="177"/>
      <c r="H961" s="177"/>
      <c r="I961" s="177"/>
      <c r="J961" s="177"/>
      <c r="K961" s="177"/>
      <c r="L961" s="177"/>
      <c r="M961" s="177"/>
      <c r="N961" s="177"/>
      <c r="O961" s="165"/>
      <c r="P961" s="168"/>
    </row>
    <row r="962" spans="16:16">
      <c r="A962" s="161"/>
      <c r="B962" s="13"/>
      <c r="C962" s="13"/>
      <c r="D962" s="162"/>
      <c r="E962" s="163"/>
      <c r="F962" s="177"/>
      <c r="G962" s="177"/>
      <c r="H962" s="177"/>
      <c r="I962" s="177"/>
      <c r="J962" s="177"/>
      <c r="K962" s="177"/>
      <c r="L962" s="177"/>
      <c r="M962" s="177"/>
      <c r="N962" s="177"/>
      <c r="O962" s="165"/>
      <c r="P962" s="168"/>
    </row>
    <row r="963" spans="16:16">
      <c r="A963" s="161"/>
      <c r="B963" s="13"/>
      <c r="C963" s="13"/>
      <c r="D963" s="162"/>
      <c r="E963" s="163"/>
      <c r="F963" s="177"/>
      <c r="G963" s="177"/>
      <c r="H963" s="177"/>
      <c r="I963" s="177"/>
      <c r="J963" s="177"/>
      <c r="K963" s="177"/>
      <c r="L963" s="177"/>
      <c r="M963" s="177"/>
      <c r="N963" s="177"/>
      <c r="O963" s="165"/>
      <c r="P963" s="168"/>
    </row>
    <row r="964" spans="16:16">
      <c r="A964" s="161"/>
      <c r="B964" s="13"/>
      <c r="C964" s="13"/>
      <c r="D964" s="162"/>
      <c r="E964" s="163"/>
      <c r="F964" s="177"/>
      <c r="G964" s="177"/>
      <c r="H964" s="177"/>
      <c r="I964" s="177"/>
      <c r="J964" s="177"/>
      <c r="K964" s="177"/>
      <c r="L964" s="177"/>
      <c r="M964" s="177"/>
      <c r="N964" s="177"/>
      <c r="O964" s="165"/>
      <c r="P964" s="168"/>
    </row>
    <row r="965" spans="16:16">
      <c r="A965" s="161"/>
      <c r="B965" s="13"/>
      <c r="C965" s="13"/>
      <c r="D965" s="162"/>
      <c r="E965" s="163"/>
      <c r="F965" s="177"/>
      <c r="G965" s="177"/>
      <c r="H965" s="177"/>
      <c r="I965" s="177"/>
      <c r="J965" s="177"/>
      <c r="K965" s="177"/>
      <c r="L965" s="177"/>
      <c r="M965" s="177"/>
      <c r="N965" s="177"/>
      <c r="O965" s="165"/>
      <c r="P965" s="168"/>
    </row>
    <row r="966" spans="16:16">
      <c r="A966" s="161"/>
      <c r="B966" s="13"/>
      <c r="C966" s="13"/>
      <c r="D966" s="162"/>
      <c r="E966" s="163"/>
      <c r="F966" s="177"/>
      <c r="G966" s="177"/>
      <c r="H966" s="177"/>
      <c r="I966" s="177"/>
      <c r="J966" s="177"/>
      <c r="K966" s="177"/>
      <c r="L966" s="177"/>
      <c r="M966" s="177"/>
      <c r="N966" s="177"/>
      <c r="O966" s="165"/>
      <c r="P966" s="168"/>
    </row>
    <row r="967" spans="16:16">
      <c r="A967" s="161"/>
      <c r="B967" s="13"/>
      <c r="C967" s="13"/>
      <c r="D967" s="162"/>
      <c r="E967" s="163"/>
      <c r="F967" s="177"/>
      <c r="G967" s="177"/>
      <c r="H967" s="177"/>
      <c r="I967" s="177"/>
      <c r="J967" s="177"/>
      <c r="K967" s="177"/>
      <c r="L967" s="177"/>
      <c r="M967" s="177"/>
      <c r="N967" s="177"/>
      <c r="O967" s="165"/>
      <c r="P967" s="168"/>
    </row>
    <row r="968" spans="16:16">
      <c r="A968" s="161"/>
      <c r="B968" s="13"/>
      <c r="C968" s="13"/>
      <c r="D968" s="162"/>
      <c r="E968" s="163"/>
      <c r="F968" s="177"/>
      <c r="G968" s="177"/>
      <c r="H968" s="177"/>
      <c r="I968" s="177"/>
      <c r="J968" s="177"/>
      <c r="K968" s="177"/>
      <c r="L968" s="177"/>
      <c r="M968" s="177"/>
      <c r="N968" s="177"/>
      <c r="O968" s="165"/>
      <c r="P968" s="168"/>
    </row>
    <row r="969" spans="16:16">
      <c r="A969" s="161"/>
      <c r="B969" s="13"/>
      <c r="C969" s="13"/>
      <c r="D969" s="162"/>
      <c r="E969" s="163"/>
      <c r="F969" s="177"/>
      <c r="G969" s="177"/>
      <c r="H969" s="177"/>
      <c r="I969" s="177"/>
      <c r="J969" s="177"/>
      <c r="K969" s="177"/>
      <c r="L969" s="177"/>
      <c r="M969" s="177"/>
      <c r="N969" s="177"/>
      <c r="O969" s="165"/>
      <c r="P969" s="168"/>
    </row>
    <row r="970" spans="16:16">
      <c r="A970" s="161"/>
      <c r="B970" s="13"/>
      <c r="C970" s="13"/>
      <c r="D970" s="162"/>
      <c r="E970" s="163"/>
      <c r="F970" s="177"/>
      <c r="G970" s="177"/>
      <c r="H970" s="177"/>
      <c r="I970" s="177"/>
      <c r="J970" s="177"/>
      <c r="K970" s="177"/>
      <c r="L970" s="177"/>
      <c r="M970" s="177"/>
      <c r="N970" s="177"/>
      <c r="O970" s="165"/>
      <c r="P970" s="168"/>
    </row>
    <row r="971" spans="16:16">
      <c r="A971" s="161"/>
      <c r="B971" s="13"/>
      <c r="C971" s="13"/>
      <c r="D971" s="162"/>
      <c r="E971" s="163"/>
      <c r="F971" s="177"/>
      <c r="G971" s="177"/>
      <c r="H971" s="177"/>
      <c r="I971" s="177"/>
      <c r="J971" s="177"/>
      <c r="K971" s="177"/>
      <c r="L971" s="177"/>
      <c r="M971" s="177"/>
      <c r="N971" s="177"/>
      <c r="O971" s="165"/>
      <c r="P971" s="168"/>
    </row>
    <row r="972" spans="16:16">
      <c r="A972" s="161"/>
      <c r="B972" s="13"/>
      <c r="C972" s="13"/>
      <c r="D972" s="162"/>
      <c r="E972" s="163"/>
      <c r="F972" s="177"/>
      <c r="G972" s="177"/>
      <c r="H972" s="177"/>
      <c r="I972" s="177"/>
      <c r="J972" s="177"/>
      <c r="K972" s="177"/>
      <c r="L972" s="177"/>
      <c r="M972" s="177"/>
      <c r="N972" s="177"/>
      <c r="O972" s="165"/>
      <c r="P972" s="168"/>
    </row>
    <row r="973" spans="16:16">
      <c r="A973" s="161"/>
      <c r="B973" s="13"/>
      <c r="C973" s="13"/>
      <c r="D973" s="162"/>
      <c r="E973" s="163"/>
      <c r="F973" s="177"/>
      <c r="G973" s="177"/>
      <c r="H973" s="177"/>
      <c r="I973" s="177"/>
      <c r="J973" s="177"/>
      <c r="K973" s="177"/>
      <c r="L973" s="177"/>
      <c r="M973" s="177"/>
      <c r="N973" s="177"/>
      <c r="O973" s="165"/>
      <c r="P973" s="168"/>
    </row>
    <row r="974" spans="16:16">
      <c r="A974" s="161"/>
      <c r="B974" s="13"/>
      <c r="C974" s="13"/>
      <c r="D974" s="162"/>
      <c r="E974" s="163"/>
      <c r="F974" s="177"/>
      <c r="G974" s="177"/>
      <c r="H974" s="177"/>
      <c r="I974" s="177"/>
      <c r="J974" s="177"/>
      <c r="K974" s="177"/>
      <c r="L974" s="177"/>
      <c r="M974" s="177"/>
      <c r="N974" s="177"/>
      <c r="O974" s="165"/>
      <c r="P974" s="168"/>
    </row>
    <row r="975" spans="16:16">
      <c r="A975" s="161"/>
      <c r="B975" s="13"/>
      <c r="C975" s="13"/>
      <c r="D975" s="162"/>
      <c r="E975" s="163"/>
      <c r="F975" s="177"/>
      <c r="G975" s="177"/>
      <c r="H975" s="177"/>
      <c r="I975" s="177"/>
      <c r="J975" s="177"/>
      <c r="K975" s="177"/>
      <c r="L975" s="177"/>
      <c r="M975" s="177"/>
      <c r="N975" s="177"/>
      <c r="O975" s="165"/>
      <c r="P975" s="168"/>
    </row>
    <row r="976" spans="16:16">
      <c r="A976" s="161"/>
      <c r="B976" s="13"/>
      <c r="C976" s="13"/>
      <c r="D976" s="162"/>
      <c r="E976" s="163"/>
      <c r="F976" s="177"/>
      <c r="G976" s="177"/>
      <c r="H976" s="177"/>
      <c r="I976" s="177"/>
      <c r="J976" s="177"/>
      <c r="K976" s="177"/>
      <c r="L976" s="177"/>
      <c r="M976" s="177"/>
      <c r="N976" s="177"/>
      <c r="O976" s="165"/>
      <c r="P976" s="168"/>
    </row>
    <row r="977" spans="16:16">
      <c r="A977" s="161"/>
      <c r="B977" s="13"/>
      <c r="C977" s="13"/>
      <c r="D977" s="162"/>
      <c r="E977" s="163"/>
      <c r="F977" s="177"/>
      <c r="G977" s="177"/>
      <c r="H977" s="177"/>
      <c r="I977" s="177"/>
      <c r="J977" s="177"/>
      <c r="K977" s="177"/>
      <c r="L977" s="177"/>
      <c r="M977" s="177"/>
      <c r="N977" s="177"/>
      <c r="O977" s="165"/>
      <c r="P977" s="168"/>
    </row>
    <row r="978" spans="16:16">
      <c r="A978" s="161"/>
      <c r="B978" s="13"/>
      <c r="C978" s="13"/>
      <c r="D978" s="162"/>
      <c r="E978" s="163"/>
      <c r="F978" s="177"/>
      <c r="G978" s="177"/>
      <c r="H978" s="177"/>
      <c r="I978" s="177"/>
      <c r="J978" s="177"/>
      <c r="K978" s="177"/>
      <c r="L978" s="177"/>
      <c r="M978" s="177"/>
      <c r="N978" s="177"/>
      <c r="O978" s="165"/>
      <c r="P978" s="168"/>
    </row>
    <row r="979" spans="16:16">
      <c r="A979" s="161"/>
      <c r="B979" s="13"/>
      <c r="C979" s="13"/>
      <c r="D979" s="162"/>
      <c r="E979" s="163"/>
      <c r="F979" s="177"/>
      <c r="G979" s="177"/>
      <c r="H979" s="177"/>
      <c r="I979" s="177"/>
      <c r="J979" s="177"/>
      <c r="K979" s="177"/>
      <c r="L979" s="177"/>
      <c r="M979" s="177"/>
      <c r="N979" s="177"/>
      <c r="O979" s="165"/>
      <c r="P979" s="168"/>
    </row>
    <row r="980" spans="16:16">
      <c r="A980" s="161"/>
      <c r="B980" s="13"/>
      <c r="C980" s="13"/>
      <c r="D980" s="162"/>
      <c r="E980" s="163"/>
      <c r="F980" s="177"/>
      <c r="G980" s="177"/>
      <c r="H980" s="177"/>
      <c r="I980" s="177"/>
      <c r="J980" s="177"/>
      <c r="K980" s="177"/>
      <c r="L980" s="177"/>
      <c r="M980" s="177"/>
      <c r="N980" s="177"/>
      <c r="O980" s="165"/>
      <c r="P980" s="168"/>
    </row>
    <row r="981" spans="16:16">
      <c r="A981" s="161"/>
      <c r="B981" s="13"/>
      <c r="C981" s="13"/>
      <c r="D981" s="162"/>
      <c r="E981" s="163"/>
      <c r="F981" s="177"/>
      <c r="G981" s="177"/>
      <c r="H981" s="177"/>
      <c r="I981" s="177"/>
      <c r="J981" s="177"/>
      <c r="K981" s="177"/>
      <c r="L981" s="177"/>
      <c r="M981" s="177"/>
      <c r="N981" s="177"/>
      <c r="O981" s="165"/>
      <c r="P981" s="168"/>
    </row>
    <row r="982" spans="16:16">
      <c r="A982" s="161"/>
      <c r="B982" s="13"/>
      <c r="C982" s="13"/>
      <c r="D982" s="162"/>
      <c r="E982" s="163"/>
      <c r="F982" s="177"/>
      <c r="G982" s="177"/>
      <c r="H982" s="177"/>
      <c r="I982" s="177"/>
      <c r="J982" s="177"/>
      <c r="K982" s="177"/>
      <c r="L982" s="177"/>
      <c r="M982" s="177"/>
      <c r="N982" s="177"/>
      <c r="O982" s="165"/>
      <c r="P982" s="168"/>
    </row>
    <row r="983" spans="16:16">
      <c r="A983" s="161"/>
      <c r="B983" s="13"/>
      <c r="C983" s="13"/>
      <c r="D983" s="162"/>
      <c r="E983" s="163"/>
      <c r="F983" s="177"/>
      <c r="G983" s="177"/>
      <c r="H983" s="177"/>
      <c r="I983" s="177"/>
      <c r="J983" s="177"/>
      <c r="K983" s="177"/>
      <c r="L983" s="177"/>
      <c r="M983" s="177"/>
      <c r="N983" s="177"/>
      <c r="O983" s="165"/>
      <c r="P983" s="168"/>
    </row>
    <row r="984" spans="16:16">
      <c r="A984" s="161"/>
      <c r="B984" s="13"/>
      <c r="C984" s="13"/>
      <c r="D984" s="162"/>
      <c r="E984" s="163"/>
      <c r="F984" s="177"/>
      <c r="G984" s="177"/>
      <c r="H984" s="177"/>
      <c r="I984" s="177"/>
      <c r="J984" s="177"/>
      <c r="K984" s="177"/>
      <c r="L984" s="177"/>
      <c r="M984" s="177"/>
      <c r="N984" s="177"/>
      <c r="O984" s="165"/>
      <c r="P984" s="168"/>
    </row>
    <row r="985" spans="16:16">
      <c r="A985" s="161"/>
      <c r="B985" s="13"/>
      <c r="C985" s="13"/>
      <c r="D985" s="162"/>
      <c r="E985" s="163"/>
      <c r="F985" s="177"/>
      <c r="G985" s="177"/>
      <c r="H985" s="177"/>
      <c r="I985" s="177"/>
      <c r="J985" s="177"/>
      <c r="K985" s="177"/>
      <c r="L985" s="177"/>
      <c r="M985" s="177"/>
      <c r="N985" s="177"/>
      <c r="O985" s="165"/>
      <c r="P985" s="168"/>
    </row>
    <row r="986" spans="16:16">
      <c r="A986" s="161"/>
      <c r="B986" s="13"/>
      <c r="C986" s="13"/>
      <c r="D986" s="162"/>
      <c r="E986" s="163"/>
      <c r="F986" s="177"/>
      <c r="G986" s="177"/>
      <c r="H986" s="177"/>
      <c r="I986" s="177"/>
      <c r="J986" s="177"/>
      <c r="K986" s="177"/>
      <c r="L986" s="177"/>
      <c r="M986" s="177"/>
      <c r="N986" s="177"/>
      <c r="O986" s="165"/>
      <c r="P986" s="168"/>
    </row>
    <row r="987" spans="16:16">
      <c r="A987" s="161"/>
      <c r="B987" s="13"/>
      <c r="C987" s="13"/>
      <c r="D987" s="162"/>
      <c r="E987" s="163"/>
      <c r="F987" s="177"/>
      <c r="G987" s="177"/>
      <c r="H987" s="177"/>
      <c r="I987" s="177"/>
      <c r="J987" s="177"/>
      <c r="K987" s="177"/>
      <c r="L987" s="177"/>
      <c r="M987" s="177"/>
      <c r="N987" s="177"/>
      <c r="O987" s="165"/>
      <c r="P987" s="168"/>
    </row>
    <row r="988" spans="16:16">
      <c r="A988" s="161"/>
      <c r="B988" s="13"/>
      <c r="C988" s="13"/>
      <c r="D988" s="162"/>
      <c r="E988" s="163"/>
      <c r="F988" s="177"/>
      <c r="G988" s="177"/>
      <c r="H988" s="177"/>
      <c r="I988" s="177"/>
      <c r="J988" s="177"/>
      <c r="K988" s="177"/>
      <c r="L988" s="177"/>
      <c r="M988" s="177"/>
      <c r="N988" s="177"/>
      <c r="O988" s="165"/>
      <c r="P988" s="168"/>
    </row>
    <row r="989" spans="16:16">
      <c r="A989" s="161"/>
      <c r="B989" s="13"/>
      <c r="C989" s="13"/>
      <c r="D989" s="162"/>
      <c r="E989" s="163"/>
      <c r="F989" s="177"/>
      <c r="G989" s="177"/>
      <c r="H989" s="177"/>
      <c r="I989" s="177"/>
      <c r="J989" s="177"/>
      <c r="K989" s="177"/>
      <c r="L989" s="177"/>
      <c r="M989" s="177"/>
      <c r="N989" s="177"/>
      <c r="O989" s="165"/>
      <c r="P989" s="168"/>
    </row>
    <row r="990" spans="16:16">
      <c r="A990" s="161"/>
      <c r="B990" s="13"/>
      <c r="C990" s="13"/>
      <c r="D990" s="162"/>
      <c r="E990" s="163"/>
      <c r="F990" s="177"/>
      <c r="G990" s="177"/>
      <c r="H990" s="177"/>
      <c r="I990" s="177"/>
      <c r="J990" s="177"/>
      <c r="K990" s="177"/>
      <c r="L990" s="177"/>
      <c r="M990" s="177"/>
      <c r="N990" s="177"/>
      <c r="O990" s="165"/>
      <c r="P990" s="168"/>
    </row>
    <row r="991" spans="16:16">
      <c r="A991" s="161"/>
      <c r="B991" s="13"/>
      <c r="C991" s="13"/>
      <c r="D991" s="162"/>
      <c r="E991" s="163"/>
      <c r="F991" s="177"/>
      <c r="G991" s="177"/>
      <c r="H991" s="177"/>
      <c r="I991" s="177"/>
      <c r="J991" s="177"/>
      <c r="K991" s="177"/>
      <c r="L991" s="177"/>
      <c r="M991" s="177"/>
      <c r="N991" s="177"/>
      <c r="O991" s="165"/>
      <c r="P991" s="168"/>
    </row>
    <row r="992" spans="16:16">
      <c r="A992" s="161"/>
      <c r="B992" s="13"/>
      <c r="C992" s="13"/>
      <c r="D992" s="162"/>
      <c r="E992" s="163"/>
      <c r="F992" s="177"/>
      <c r="G992" s="177"/>
      <c r="H992" s="177"/>
      <c r="I992" s="177"/>
      <c r="J992" s="177"/>
      <c r="K992" s="177"/>
      <c r="L992" s="177"/>
      <c r="M992" s="177"/>
      <c r="N992" s="177"/>
      <c r="O992" s="165"/>
      <c r="P992" s="168"/>
    </row>
    <row r="993" spans="16:16">
      <c r="A993" s="161"/>
      <c r="B993" s="13"/>
      <c r="C993" s="13"/>
      <c r="D993" s="162"/>
      <c r="E993" s="163"/>
      <c r="F993" s="177"/>
      <c r="G993" s="177"/>
      <c r="H993" s="177"/>
      <c r="I993" s="177"/>
      <c r="J993" s="177"/>
      <c r="K993" s="177"/>
      <c r="L993" s="177"/>
      <c r="M993" s="177"/>
      <c r="N993" s="177"/>
      <c r="O993" s="165"/>
      <c r="P993" s="168"/>
    </row>
    <row r="994" spans="16:16">
      <c r="A994" s="161"/>
      <c r="B994" s="13"/>
      <c r="C994" s="13"/>
      <c r="D994" s="162"/>
      <c r="E994" s="163"/>
      <c r="F994" s="177"/>
      <c r="G994" s="177"/>
      <c r="H994" s="177"/>
      <c r="I994" s="177"/>
      <c r="J994" s="177"/>
      <c r="K994" s="177"/>
      <c r="L994" s="177"/>
      <c r="M994" s="177"/>
      <c r="N994" s="177"/>
      <c r="O994" s="165"/>
      <c r="P994" s="168"/>
    </row>
    <row r="995" spans="16:16">
      <c r="A995" s="161"/>
      <c r="B995" s="13"/>
      <c r="C995" s="13"/>
      <c r="D995" s="162"/>
      <c r="E995" s="163"/>
      <c r="F995" s="177"/>
      <c r="G995" s="177"/>
      <c r="H995" s="177"/>
      <c r="I995" s="177"/>
      <c r="J995" s="177"/>
      <c r="K995" s="177"/>
      <c r="L995" s="177"/>
      <c r="M995" s="177"/>
      <c r="N995" s="177"/>
      <c r="O995" s="165"/>
      <c r="P995" s="168"/>
    </row>
    <row r="996" spans="16:16">
      <c r="A996" s="161"/>
      <c r="B996" s="13"/>
      <c r="C996" s="13"/>
      <c r="D996" s="162"/>
      <c r="E996" s="163"/>
      <c r="F996" s="177"/>
      <c r="G996" s="177"/>
      <c r="H996" s="177"/>
      <c r="I996" s="177"/>
      <c r="J996" s="177"/>
      <c r="K996" s="177"/>
      <c r="L996" s="177"/>
      <c r="M996" s="177"/>
      <c r="N996" s="177"/>
      <c r="O996" s="165"/>
      <c r="P996" s="168"/>
    </row>
    <row r="997" spans="16:16">
      <c r="A997" s="161"/>
      <c r="B997" s="13"/>
      <c r="C997" s="13"/>
      <c r="D997" s="162"/>
      <c r="E997" s="163"/>
      <c r="F997" s="177"/>
      <c r="G997" s="177"/>
      <c r="H997" s="177"/>
      <c r="I997" s="177"/>
      <c r="J997" s="177"/>
      <c r="K997" s="177"/>
      <c r="L997" s="177"/>
      <c r="M997" s="177"/>
      <c r="N997" s="177"/>
      <c r="O997" s="165"/>
      <c r="P997" s="168"/>
    </row>
    <row r="998" spans="16:16">
      <c r="A998" s="161"/>
      <c r="B998" s="13"/>
      <c r="C998" s="13"/>
      <c r="D998" s="162"/>
      <c r="E998" s="163"/>
      <c r="F998" s="177"/>
      <c r="G998" s="177"/>
      <c r="H998" s="177"/>
      <c r="I998" s="177"/>
      <c r="J998" s="177"/>
      <c r="K998" s="177"/>
      <c r="L998" s="177"/>
      <c r="M998" s="177"/>
      <c r="N998" s="177"/>
      <c r="O998" s="165"/>
      <c r="P998" s="168"/>
    </row>
    <row r="999" spans="16:16">
      <c r="A999" s="161"/>
      <c r="B999" s="13"/>
      <c r="C999" s="13"/>
      <c r="D999" s="162"/>
      <c r="E999" s="163"/>
      <c r="F999" s="177"/>
      <c r="G999" s="177"/>
      <c r="H999" s="177"/>
      <c r="I999" s="177"/>
      <c r="J999" s="177"/>
      <c r="K999" s="177"/>
      <c r="L999" s="177"/>
      <c r="M999" s="177"/>
      <c r="N999" s="177"/>
      <c r="O999" s="165"/>
      <c r="P999" s="168"/>
    </row>
    <row r="1000" spans="16:16">
      <c r="A1000" s="161"/>
      <c r="B1000" s="13"/>
      <c r="C1000" s="13"/>
      <c r="D1000" s="162"/>
      <c r="E1000" s="163"/>
      <c r="F1000" s="177"/>
      <c r="G1000" s="177"/>
      <c r="H1000" s="177"/>
      <c r="I1000" s="177"/>
      <c r="J1000" s="177"/>
      <c r="K1000" s="177"/>
      <c r="L1000" s="177"/>
      <c r="M1000" s="177"/>
      <c r="N1000" s="177"/>
      <c r="O1000" s="165"/>
      <c r="P1000" s="168"/>
    </row>
    <row r="1001" spans="16:16">
      <c r="A1001" s="161"/>
      <c r="B1001" s="13"/>
      <c r="C1001" s="13"/>
      <c r="D1001" s="162"/>
      <c r="E1001" s="163"/>
      <c r="F1001" s="177"/>
      <c r="G1001" s="177"/>
      <c r="H1001" s="177"/>
      <c r="I1001" s="177"/>
      <c r="J1001" s="177"/>
      <c r="K1001" s="177"/>
      <c r="L1001" s="177"/>
      <c r="M1001" s="177"/>
      <c r="N1001" s="177"/>
      <c r="O1001" s="165"/>
      <c r="P1001" s="168"/>
    </row>
    <row r="1002" spans="16:16">
      <c r="A1002" s="161"/>
      <c r="B1002" s="13"/>
      <c r="C1002" s="13"/>
      <c r="D1002" s="162"/>
      <c r="E1002" s="163"/>
      <c r="F1002" s="177"/>
      <c r="G1002" s="177"/>
      <c r="H1002" s="177"/>
      <c r="I1002" s="177"/>
      <c r="J1002" s="177"/>
      <c r="K1002" s="177"/>
      <c r="L1002" s="177"/>
      <c r="M1002" s="177"/>
      <c r="N1002" s="177"/>
      <c r="O1002" s="165"/>
      <c r="P1002" s="168"/>
    </row>
    <row r="1003" spans="16:16">
      <c r="A1003" s="161"/>
      <c r="B1003" s="13"/>
      <c r="C1003" s="13"/>
      <c r="D1003" s="162"/>
      <c r="E1003" s="163"/>
      <c r="F1003" s="177"/>
      <c r="G1003" s="177"/>
      <c r="H1003" s="177"/>
      <c r="I1003" s="177"/>
      <c r="J1003" s="177"/>
      <c r="K1003" s="177"/>
      <c r="L1003" s="177"/>
      <c r="M1003" s="177"/>
      <c r="N1003" s="177"/>
      <c r="O1003" s="165"/>
      <c r="P1003" s="168"/>
    </row>
    <row r="1004" spans="16:16">
      <c r="A1004" s="161"/>
      <c r="B1004" s="13"/>
      <c r="C1004" s="13"/>
      <c r="D1004" s="162"/>
      <c r="E1004" s="163"/>
      <c r="F1004" s="177"/>
      <c r="G1004" s="177"/>
      <c r="H1004" s="177"/>
      <c r="I1004" s="177"/>
      <c r="J1004" s="177"/>
      <c r="K1004" s="177"/>
      <c r="L1004" s="177"/>
      <c r="M1004" s="177"/>
      <c r="N1004" s="177"/>
      <c r="O1004" s="165"/>
      <c r="P1004" s="168"/>
    </row>
    <row r="1005" spans="16:16">
      <c r="A1005" s="161"/>
      <c r="B1005" s="13"/>
      <c r="C1005" s="13"/>
      <c r="D1005" s="162"/>
      <c r="E1005" s="163"/>
      <c r="F1005" s="177"/>
      <c r="G1005" s="177"/>
      <c r="H1005" s="177"/>
      <c r="I1005" s="177"/>
      <c r="J1005" s="177"/>
      <c r="K1005" s="177"/>
      <c r="L1005" s="177"/>
      <c r="M1005" s="177"/>
      <c r="N1005" s="177"/>
      <c r="O1005" s="165"/>
      <c r="P1005" s="168"/>
    </row>
    <row r="1006" spans="16:16">
      <c r="A1006" s="161"/>
      <c r="B1006" s="13"/>
      <c r="C1006" s="13"/>
      <c r="D1006" s="162"/>
      <c r="E1006" s="163"/>
      <c r="F1006" s="177"/>
      <c r="G1006" s="177"/>
      <c r="H1006" s="177"/>
      <c r="I1006" s="177"/>
      <c r="J1006" s="177"/>
      <c r="K1006" s="177"/>
      <c r="L1006" s="177"/>
      <c r="M1006" s="177"/>
      <c r="N1006" s="177"/>
      <c r="O1006" s="165"/>
      <c r="P1006" s="168"/>
    </row>
    <row r="1007" spans="16:16">
      <c r="A1007" s="161"/>
      <c r="B1007" s="13"/>
      <c r="C1007" s="13"/>
      <c r="D1007" s="162"/>
      <c r="E1007" s="163"/>
      <c r="F1007" s="177"/>
      <c r="G1007" s="177"/>
      <c r="H1007" s="177"/>
      <c r="I1007" s="177"/>
      <c r="J1007" s="177"/>
      <c r="K1007" s="177"/>
      <c r="L1007" s="177"/>
      <c r="M1007" s="177"/>
      <c r="N1007" s="177"/>
      <c r="O1007" s="165"/>
      <c r="P1007" s="168"/>
    </row>
    <row r="1008" spans="16:16">
      <c r="A1008" s="161"/>
      <c r="B1008" s="13"/>
      <c r="C1008" s="13"/>
      <c r="D1008" s="162"/>
      <c r="E1008" s="163"/>
      <c r="F1008" s="177"/>
      <c r="G1008" s="177"/>
      <c r="H1008" s="177"/>
      <c r="I1008" s="177"/>
      <c r="J1008" s="177"/>
      <c r="K1008" s="177"/>
      <c r="L1008" s="177"/>
      <c r="M1008" s="177"/>
      <c r="N1008" s="177"/>
      <c r="O1008" s="165"/>
      <c r="P1008" s="168"/>
    </row>
    <row r="1009" spans="16:16">
      <c r="A1009" s="161"/>
      <c r="B1009" s="13"/>
      <c r="C1009" s="13"/>
      <c r="D1009" s="162"/>
      <c r="E1009" s="163"/>
      <c r="F1009" s="177"/>
      <c r="G1009" s="177"/>
      <c r="H1009" s="177"/>
      <c r="I1009" s="177"/>
      <c r="J1009" s="177"/>
      <c r="K1009" s="177"/>
      <c r="L1009" s="177"/>
      <c r="M1009" s="177"/>
      <c r="N1009" s="177"/>
      <c r="O1009" s="165"/>
      <c r="P1009" s="168"/>
    </row>
    <row r="1010" spans="16:16">
      <c r="A1010" s="161"/>
      <c r="B1010" s="13"/>
      <c r="C1010" s="13"/>
      <c r="D1010" s="162"/>
      <c r="E1010" s="163"/>
      <c r="F1010" s="177"/>
      <c r="G1010" s="177"/>
      <c r="H1010" s="177"/>
      <c r="I1010" s="177"/>
      <c r="J1010" s="177"/>
      <c r="K1010" s="177"/>
      <c r="L1010" s="177"/>
      <c r="M1010" s="177"/>
      <c r="N1010" s="177"/>
      <c r="O1010" s="165"/>
      <c r="P1010" s="168"/>
    </row>
    <row r="1011" s="176" customFormat="1" spans="1:16">
      <c r="A1011" s="169"/>
      <c r="B1011" s="13"/>
      <c r="C1011" s="13"/>
      <c r="D1011" s="162"/>
      <c r="E1011" s="163"/>
      <c r="F1011" s="177"/>
      <c r="G1011" s="177"/>
      <c r="H1011" s="177"/>
      <c r="I1011" s="177"/>
      <c r="J1011" s="177"/>
      <c r="K1011" s="177"/>
      <c r="L1011" s="177"/>
      <c r="M1011" s="177"/>
      <c r="N1011" s="177"/>
      <c r="O1011" s="165"/>
      <c r="P1011" s="168"/>
    </row>
    <row r="1012" spans="16:16">
      <c r="A1012" s="161"/>
      <c r="B1012" s="13"/>
      <c r="C1012" s="13"/>
      <c r="D1012" s="162"/>
      <c r="E1012" s="163"/>
      <c r="F1012" s="177"/>
      <c r="G1012" s="177"/>
      <c r="H1012" s="177"/>
      <c r="I1012" s="177"/>
      <c r="J1012" s="177"/>
      <c r="K1012" s="177"/>
      <c r="L1012" s="177"/>
      <c r="M1012" s="177"/>
      <c r="N1012" s="177"/>
      <c r="O1012" s="165"/>
      <c r="P1012" s="168"/>
    </row>
    <row r="1013" spans="16:16">
      <c r="A1013" s="161"/>
      <c r="B1013" s="13"/>
      <c r="C1013" s="13"/>
      <c r="D1013" s="162"/>
      <c r="E1013" s="163"/>
      <c r="F1013" s="177"/>
      <c r="G1013" s="177"/>
      <c r="H1013" s="177"/>
      <c r="I1013" s="177"/>
      <c r="J1013" s="177"/>
      <c r="K1013" s="177"/>
      <c r="L1013" s="177"/>
      <c r="M1013" s="177"/>
      <c r="N1013" s="177"/>
      <c r="O1013" s="165"/>
      <c r="P1013" s="168"/>
    </row>
    <row r="1014" spans="16:16">
      <c r="A1014" s="161"/>
      <c r="B1014" s="13"/>
      <c r="C1014" s="13"/>
      <c r="D1014" s="162"/>
      <c r="E1014" s="163"/>
      <c r="F1014" s="177"/>
      <c r="G1014" s="177"/>
      <c r="H1014" s="177"/>
      <c r="I1014" s="177"/>
      <c r="J1014" s="177"/>
      <c r="K1014" s="177"/>
      <c r="L1014" s="177"/>
      <c r="M1014" s="177"/>
      <c r="N1014" s="177"/>
      <c r="O1014" s="165"/>
      <c r="P1014" s="168"/>
    </row>
    <row r="1015" spans="16:16">
      <c r="A1015" s="161"/>
      <c r="B1015" s="13"/>
      <c r="C1015" s="13"/>
      <c r="D1015" s="162"/>
      <c r="E1015" s="163"/>
      <c r="F1015" s="177"/>
      <c r="G1015" s="177"/>
      <c r="H1015" s="177"/>
      <c r="I1015" s="177"/>
      <c r="J1015" s="177"/>
      <c r="K1015" s="177"/>
      <c r="L1015" s="177"/>
      <c r="M1015" s="177"/>
      <c r="N1015" s="177"/>
      <c r="O1015" s="165"/>
      <c r="P1015" s="168"/>
    </row>
    <row r="1016" spans="16:16">
      <c r="A1016" s="161"/>
      <c r="B1016" s="13"/>
      <c r="C1016" s="13"/>
      <c r="D1016" s="162"/>
      <c r="E1016" s="163"/>
      <c r="F1016" s="177"/>
      <c r="G1016" s="177"/>
      <c r="H1016" s="177"/>
      <c r="I1016" s="177"/>
      <c r="J1016" s="177"/>
      <c r="K1016" s="177"/>
      <c r="L1016" s="177"/>
      <c r="M1016" s="177"/>
      <c r="N1016" s="177"/>
      <c r="O1016" s="165"/>
      <c r="P1016" s="168"/>
    </row>
    <row r="1017" spans="16:16">
      <c r="A1017" s="161"/>
      <c r="B1017" s="13"/>
      <c r="C1017" s="13"/>
      <c r="D1017" s="162"/>
      <c r="E1017" s="163"/>
      <c r="F1017" s="177"/>
      <c r="G1017" s="177"/>
      <c r="H1017" s="177"/>
      <c r="I1017" s="177"/>
      <c r="J1017" s="177"/>
      <c r="K1017" s="177"/>
      <c r="L1017" s="177"/>
      <c r="M1017" s="177"/>
      <c r="N1017" s="177"/>
      <c r="O1017" s="165"/>
      <c r="P1017" s="168"/>
    </row>
    <row r="1018" spans="4:16">
      <c r="A1018" s="161"/>
      <c r="B1018" s="13"/>
      <c r="C1018" s="13"/>
      <c r="D1018" s="170"/>
      <c r="E1018" s="171"/>
      <c r="F1018" s="177"/>
      <c r="G1018" s="177"/>
      <c r="H1018" s="177"/>
      <c r="I1018" s="177"/>
      <c r="J1018" s="177"/>
      <c r="K1018" s="177"/>
      <c r="L1018" s="177"/>
      <c r="M1018" s="177"/>
      <c r="N1018" s="177"/>
      <c r="O1018" s="165"/>
      <c r="P1018" s="168"/>
    </row>
    <row r="1019" spans="16:16">
      <c r="A1019" s="161"/>
      <c r="B1019" s="13"/>
      <c r="C1019" s="13"/>
      <c r="D1019" s="162"/>
      <c r="E1019" s="163"/>
      <c r="F1019" s="177"/>
      <c r="G1019" s="177"/>
      <c r="H1019" s="177"/>
      <c r="I1019" s="177"/>
      <c r="J1019" s="177"/>
      <c r="K1019" s="177"/>
      <c r="L1019" s="177"/>
      <c r="M1019" s="177"/>
      <c r="N1019" s="177"/>
      <c r="O1019" s="165"/>
      <c r="P1019" s="168"/>
    </row>
    <row r="1020" spans="16:16">
      <c r="A1020" s="161"/>
      <c r="B1020" s="13"/>
      <c r="C1020" s="13"/>
      <c r="D1020" s="162"/>
      <c r="E1020" s="163"/>
      <c r="F1020" s="177"/>
      <c r="G1020" s="177"/>
      <c r="H1020" s="177"/>
      <c r="I1020" s="177"/>
      <c r="J1020" s="177"/>
      <c r="K1020" s="177"/>
      <c r="L1020" s="177"/>
      <c r="M1020" s="177"/>
      <c r="N1020" s="177"/>
      <c r="O1020" s="165"/>
      <c r="P1020" s="168"/>
    </row>
    <row r="1021" spans="16:16">
      <c r="A1021" s="161"/>
      <c r="B1021" s="13"/>
      <c r="C1021" s="13"/>
      <c r="D1021" s="162"/>
      <c r="E1021" s="163"/>
      <c r="F1021" s="177"/>
      <c r="G1021" s="177"/>
      <c r="H1021" s="177"/>
      <c r="I1021" s="177"/>
      <c r="J1021" s="177"/>
      <c r="K1021" s="177"/>
      <c r="L1021" s="177"/>
      <c r="M1021" s="177"/>
      <c r="N1021" s="177"/>
      <c r="O1021" s="165"/>
      <c r="P1021" s="168"/>
    </row>
    <row r="1022" spans="16:16">
      <c r="A1022" s="161"/>
      <c r="B1022" s="13"/>
      <c r="C1022" s="13"/>
      <c r="D1022" s="162"/>
      <c r="E1022" s="163"/>
      <c r="F1022" s="177"/>
      <c r="G1022" s="177"/>
      <c r="H1022" s="177"/>
      <c r="I1022" s="177"/>
      <c r="J1022" s="177"/>
      <c r="K1022" s="177"/>
      <c r="L1022" s="177"/>
      <c r="M1022" s="177"/>
      <c r="N1022" s="177"/>
      <c r="O1022" s="165"/>
      <c r="P1022" s="168"/>
    </row>
    <row r="1023" spans="16:16">
      <c r="A1023" s="161"/>
      <c r="B1023" s="13"/>
      <c r="C1023" s="13"/>
      <c r="D1023" s="162"/>
      <c r="E1023" s="163"/>
      <c r="F1023" s="177"/>
      <c r="G1023" s="177"/>
      <c r="H1023" s="177"/>
      <c r="I1023" s="177"/>
      <c r="J1023" s="177"/>
      <c r="K1023" s="177"/>
      <c r="L1023" s="177"/>
      <c r="M1023" s="177"/>
      <c r="N1023" s="177"/>
      <c r="O1023" s="165"/>
      <c r="P1023" s="168"/>
    </row>
    <row r="1024" spans="16:16">
      <c r="A1024" s="161"/>
      <c r="B1024" s="13"/>
      <c r="C1024" s="13"/>
      <c r="D1024" s="162"/>
      <c r="E1024" s="163"/>
      <c r="F1024" s="177"/>
      <c r="G1024" s="177"/>
      <c r="H1024" s="177"/>
      <c r="I1024" s="177"/>
      <c r="J1024" s="177"/>
      <c r="K1024" s="177"/>
      <c r="L1024" s="177"/>
      <c r="M1024" s="177"/>
      <c r="N1024" s="177"/>
      <c r="O1024" s="165"/>
      <c r="P1024" s="168"/>
    </row>
    <row r="1025" spans="16:16">
      <c r="A1025" s="161"/>
      <c r="B1025" s="13"/>
      <c r="C1025" s="13"/>
      <c r="D1025" s="162"/>
      <c r="E1025" s="163"/>
      <c r="F1025" s="177"/>
      <c r="G1025" s="177"/>
      <c r="H1025" s="177"/>
      <c r="I1025" s="177"/>
      <c r="J1025" s="177"/>
      <c r="K1025" s="177"/>
      <c r="L1025" s="177"/>
      <c r="M1025" s="177"/>
      <c r="N1025" s="177"/>
      <c r="O1025" s="165"/>
      <c r="P1025" s="168"/>
    </row>
    <row r="1026" spans="16:16">
      <c r="A1026" s="161"/>
      <c r="B1026" s="13"/>
      <c r="C1026" s="13"/>
      <c r="D1026" s="162"/>
      <c r="E1026" s="163"/>
      <c r="F1026" s="177"/>
      <c r="G1026" s="177"/>
      <c r="H1026" s="177"/>
      <c r="I1026" s="177"/>
      <c r="J1026" s="177"/>
      <c r="K1026" s="177"/>
      <c r="L1026" s="177"/>
      <c r="M1026" s="177"/>
      <c r="N1026" s="177"/>
      <c r="O1026" s="165"/>
      <c r="P1026" s="168"/>
    </row>
    <row r="1027" spans="16:16">
      <c r="A1027" s="161"/>
      <c r="B1027" s="13"/>
      <c r="C1027" s="13"/>
      <c r="D1027" s="162"/>
      <c r="E1027" s="163"/>
      <c r="F1027" s="177"/>
      <c r="G1027" s="177"/>
      <c r="H1027" s="177"/>
      <c r="I1027" s="177"/>
      <c r="J1027" s="177"/>
      <c r="K1027" s="177"/>
      <c r="L1027" s="177"/>
      <c r="M1027" s="177"/>
      <c r="N1027" s="177"/>
      <c r="O1027" s="165"/>
      <c r="P1027" s="168"/>
    </row>
    <row r="1028" spans="16:16">
      <c r="A1028" s="161"/>
      <c r="B1028" s="13"/>
      <c r="C1028" s="13"/>
      <c r="D1028" s="162"/>
      <c r="E1028" s="163"/>
      <c r="F1028" s="177"/>
      <c r="G1028" s="177"/>
      <c r="H1028" s="177"/>
      <c r="I1028" s="177"/>
      <c r="J1028" s="177"/>
      <c r="K1028" s="177"/>
      <c r="L1028" s="177"/>
      <c r="M1028" s="177"/>
      <c r="N1028" s="177"/>
      <c r="O1028" s="165"/>
      <c r="P1028" s="168"/>
    </row>
    <row r="1029" spans="16:16">
      <c r="A1029" s="161"/>
      <c r="B1029" s="13"/>
      <c r="C1029" s="13"/>
      <c r="D1029" s="162"/>
      <c r="E1029" s="163"/>
      <c r="F1029" s="177"/>
      <c r="G1029" s="177"/>
      <c r="H1029" s="177"/>
      <c r="I1029" s="177"/>
      <c r="J1029" s="177"/>
      <c r="K1029" s="177"/>
      <c r="L1029" s="177"/>
      <c r="M1029" s="177"/>
      <c r="N1029" s="177"/>
      <c r="O1029" s="165"/>
      <c r="P1029" s="168"/>
    </row>
    <row r="1030" spans="16:16">
      <c r="A1030" s="161"/>
      <c r="B1030" s="13"/>
      <c r="C1030" s="13"/>
      <c r="D1030" s="162"/>
      <c r="E1030" s="163"/>
      <c r="F1030" s="177"/>
      <c r="G1030" s="177"/>
      <c r="H1030" s="177"/>
      <c r="I1030" s="177"/>
      <c r="J1030" s="177"/>
      <c r="K1030" s="177"/>
      <c r="L1030" s="177"/>
      <c r="M1030" s="177"/>
      <c r="N1030" s="177"/>
      <c r="O1030" s="165"/>
      <c r="P1030" s="168"/>
    </row>
    <row r="1031" spans="16:16">
      <c r="A1031" s="161"/>
      <c r="B1031" s="13"/>
      <c r="C1031" s="13"/>
      <c r="D1031" s="162"/>
      <c r="E1031" s="163"/>
      <c r="F1031" s="177"/>
      <c r="G1031" s="177"/>
      <c r="H1031" s="177"/>
      <c r="I1031" s="177"/>
      <c r="J1031" s="177"/>
      <c r="K1031" s="177"/>
      <c r="L1031" s="177"/>
      <c r="M1031" s="177"/>
      <c r="N1031" s="177"/>
      <c r="O1031" s="165"/>
      <c r="P1031" s="168"/>
    </row>
    <row r="1032" spans="16:16">
      <c r="A1032" s="161"/>
      <c r="B1032" s="13"/>
      <c r="C1032" s="13"/>
      <c r="D1032" s="162"/>
      <c r="E1032" s="163"/>
      <c r="F1032" s="177"/>
      <c r="G1032" s="177"/>
      <c r="H1032" s="177"/>
      <c r="I1032" s="177"/>
      <c r="J1032" s="177"/>
      <c r="K1032" s="177"/>
      <c r="L1032" s="177"/>
      <c r="M1032" s="177"/>
      <c r="N1032" s="177"/>
      <c r="O1032" s="165"/>
      <c r="P1032" s="168"/>
    </row>
    <row r="1033" spans="16:16">
      <c r="A1033" s="161"/>
      <c r="B1033" s="13"/>
      <c r="C1033" s="13"/>
      <c r="D1033" s="162"/>
      <c r="E1033" s="163"/>
      <c r="F1033" s="177"/>
      <c r="G1033" s="177"/>
      <c r="H1033" s="177"/>
      <c r="I1033" s="177"/>
      <c r="J1033" s="177"/>
      <c r="K1033" s="177"/>
      <c r="L1033" s="177"/>
      <c r="M1033" s="177"/>
      <c r="N1033" s="177"/>
      <c r="O1033" s="165"/>
      <c r="P1033" s="168"/>
    </row>
    <row r="1034" spans="16:16">
      <c r="A1034" s="161"/>
      <c r="B1034" s="13"/>
      <c r="C1034" s="13"/>
      <c r="D1034" s="162"/>
      <c r="E1034" s="163"/>
      <c r="F1034" s="177"/>
      <c r="G1034" s="177"/>
      <c r="H1034" s="177"/>
      <c r="I1034" s="177"/>
      <c r="J1034" s="177"/>
      <c r="K1034" s="177"/>
      <c r="L1034" s="177"/>
      <c r="M1034" s="177"/>
      <c r="N1034" s="177"/>
      <c r="O1034" s="165"/>
      <c r="P1034" s="168"/>
    </row>
    <row r="1035" spans="16:16">
      <c r="A1035" s="161"/>
      <c r="B1035" s="13"/>
      <c r="C1035" s="13"/>
      <c r="D1035" s="162"/>
      <c r="E1035" s="163"/>
      <c r="F1035" s="177"/>
      <c r="G1035" s="177"/>
      <c r="H1035" s="177"/>
      <c r="I1035" s="177"/>
      <c r="J1035" s="177"/>
      <c r="K1035" s="177"/>
      <c r="L1035" s="177"/>
      <c r="M1035" s="177"/>
      <c r="N1035" s="177"/>
      <c r="O1035" s="165"/>
      <c r="P1035" s="168"/>
    </row>
    <row r="1036" spans="16:16">
      <c r="A1036" s="161"/>
      <c r="B1036" s="13"/>
      <c r="C1036" s="13"/>
      <c r="D1036" s="162"/>
      <c r="E1036" s="163"/>
      <c r="F1036" s="177"/>
      <c r="G1036" s="177"/>
      <c r="H1036" s="177"/>
      <c r="I1036" s="177"/>
      <c r="J1036" s="177"/>
      <c r="K1036" s="177"/>
      <c r="L1036" s="177"/>
      <c r="M1036" s="177"/>
      <c r="N1036" s="177"/>
      <c r="O1036" s="165"/>
      <c r="P1036" s="168"/>
    </row>
    <row r="1037" spans="16:16">
      <c r="A1037" s="161"/>
      <c r="B1037" s="13"/>
      <c r="C1037" s="13"/>
      <c r="D1037" s="162"/>
      <c r="E1037" s="163"/>
      <c r="F1037" s="177"/>
      <c r="G1037" s="177"/>
      <c r="H1037" s="177"/>
      <c r="I1037" s="177"/>
      <c r="J1037" s="177"/>
      <c r="K1037" s="177"/>
      <c r="L1037" s="177"/>
      <c r="M1037" s="177"/>
      <c r="N1037" s="177"/>
      <c r="O1037" s="165"/>
      <c r="P1037" s="168"/>
    </row>
    <row r="1038" spans="16:16">
      <c r="A1038" s="161"/>
      <c r="B1038" s="13"/>
      <c r="C1038" s="13"/>
      <c r="D1038" s="162"/>
      <c r="E1038" s="163"/>
      <c r="F1038" s="177"/>
      <c r="G1038" s="177"/>
      <c r="H1038" s="177"/>
      <c r="I1038" s="177"/>
      <c r="J1038" s="177"/>
      <c r="K1038" s="177"/>
      <c r="L1038" s="177"/>
      <c r="M1038" s="177"/>
      <c r="N1038" s="177"/>
      <c r="O1038" s="165"/>
      <c r="P1038" s="168"/>
    </row>
    <row r="1039" spans="16:16">
      <c r="A1039" s="161"/>
      <c r="B1039" s="13"/>
      <c r="C1039" s="13"/>
      <c r="D1039" s="162"/>
      <c r="E1039" s="163"/>
      <c r="F1039" s="177"/>
      <c r="G1039" s="177"/>
      <c r="H1039" s="177"/>
      <c r="I1039" s="177"/>
      <c r="J1039" s="177"/>
      <c r="K1039" s="177"/>
      <c r="L1039" s="177"/>
      <c r="M1039" s="177"/>
      <c r="N1039" s="177"/>
      <c r="O1039" s="165"/>
      <c r="P1039" s="168"/>
    </row>
    <row r="1040" spans="16:16">
      <c r="A1040" s="161"/>
      <c r="B1040" s="13"/>
      <c r="C1040" s="13"/>
      <c r="D1040" s="162"/>
      <c r="E1040" s="163"/>
      <c r="F1040" s="177"/>
      <c r="G1040" s="177"/>
      <c r="H1040" s="177"/>
      <c r="I1040" s="177"/>
      <c r="J1040" s="177"/>
      <c r="K1040" s="177"/>
      <c r="L1040" s="177"/>
      <c r="M1040" s="177"/>
      <c r="N1040" s="177"/>
      <c r="O1040" s="165"/>
      <c r="P1040" s="168"/>
    </row>
    <row r="1041" spans="16:16">
      <c r="A1041" s="161"/>
      <c r="B1041" s="13"/>
      <c r="C1041" s="13"/>
      <c r="D1041" s="162"/>
      <c r="E1041" s="163"/>
      <c r="F1041" s="177"/>
      <c r="G1041" s="177"/>
      <c r="H1041" s="177"/>
      <c r="I1041" s="177"/>
      <c r="J1041" s="177"/>
      <c r="K1041" s="177"/>
      <c r="L1041" s="177"/>
      <c r="M1041" s="177"/>
      <c r="N1041" s="177"/>
      <c r="O1041" s="165"/>
      <c r="P1041" s="168"/>
    </row>
    <row r="1042" spans="16:16">
      <c r="A1042" s="161"/>
      <c r="B1042" s="13"/>
      <c r="C1042" s="13"/>
      <c r="D1042" s="162"/>
      <c r="E1042" s="163"/>
      <c r="F1042" s="177"/>
      <c r="G1042" s="177"/>
      <c r="H1042" s="177"/>
      <c r="I1042" s="177"/>
      <c r="J1042" s="177"/>
      <c r="K1042" s="177"/>
      <c r="L1042" s="177"/>
      <c r="M1042" s="177"/>
      <c r="N1042" s="177"/>
      <c r="O1042" s="165"/>
      <c r="P1042" s="168"/>
    </row>
    <row r="1043" spans="16:16">
      <c r="A1043" s="161"/>
      <c r="B1043" s="13"/>
      <c r="C1043" s="13"/>
      <c r="D1043" s="162"/>
      <c r="E1043" s="163"/>
      <c r="F1043" s="177"/>
      <c r="G1043" s="177"/>
      <c r="H1043" s="177"/>
      <c r="I1043" s="177"/>
      <c r="J1043" s="177"/>
      <c r="K1043" s="177"/>
      <c r="L1043" s="177"/>
      <c r="M1043" s="177"/>
      <c r="N1043" s="177"/>
      <c r="O1043" s="165"/>
      <c r="P1043" s="168"/>
    </row>
    <row r="1044" spans="16:16">
      <c r="A1044" s="161"/>
      <c r="B1044" s="13"/>
      <c r="C1044" s="13"/>
      <c r="D1044" s="162"/>
      <c r="E1044" s="163"/>
      <c r="F1044" s="177"/>
      <c r="G1044" s="177"/>
      <c r="H1044" s="177"/>
      <c r="I1044" s="177"/>
      <c r="J1044" s="177"/>
      <c r="K1044" s="177"/>
      <c r="L1044" s="177"/>
      <c r="M1044" s="177"/>
      <c r="N1044" s="177"/>
      <c r="O1044" s="165"/>
      <c r="P1044" s="168"/>
    </row>
    <row r="1045" spans="16:16">
      <c r="A1045" s="161"/>
      <c r="B1045" s="13"/>
      <c r="C1045" s="13"/>
      <c r="D1045" s="162"/>
      <c r="E1045" s="163"/>
      <c r="F1045" s="177"/>
      <c r="G1045" s="177"/>
      <c r="H1045" s="177"/>
      <c r="I1045" s="177"/>
      <c r="J1045" s="177"/>
      <c r="K1045" s="177"/>
      <c r="L1045" s="177"/>
      <c r="M1045" s="177"/>
      <c r="N1045" s="177"/>
      <c r="O1045" s="165"/>
      <c r="P1045" s="168"/>
    </row>
    <row r="1046" spans="16:16">
      <c r="A1046" s="161"/>
      <c r="B1046" s="13"/>
      <c r="C1046" s="13"/>
      <c r="D1046" s="162"/>
      <c r="E1046" s="163"/>
      <c r="F1046" s="177"/>
      <c r="G1046" s="177"/>
      <c r="H1046" s="177"/>
      <c r="I1046" s="177"/>
      <c r="J1046" s="177"/>
      <c r="K1046" s="177"/>
      <c r="L1046" s="177"/>
      <c r="M1046" s="177"/>
      <c r="N1046" s="177"/>
      <c r="O1046" s="165"/>
      <c r="P1046" s="168"/>
    </row>
    <row r="1047" spans="16:16">
      <c r="A1047" s="161"/>
      <c r="B1047" s="13"/>
      <c r="C1047" s="13"/>
      <c r="D1047" s="162"/>
      <c r="E1047" s="163"/>
      <c r="F1047" s="177"/>
      <c r="G1047" s="177"/>
      <c r="H1047" s="177"/>
      <c r="I1047" s="177"/>
      <c r="J1047" s="177"/>
      <c r="K1047" s="177"/>
      <c r="L1047" s="177"/>
      <c r="M1047" s="177"/>
      <c r="N1047" s="177"/>
      <c r="O1047" s="165"/>
      <c r="P1047" s="168"/>
    </row>
    <row r="1048" spans="16:16">
      <c r="A1048" s="161"/>
      <c r="B1048" s="13"/>
      <c r="C1048" s="13"/>
      <c r="D1048" s="162"/>
      <c r="E1048" s="163"/>
      <c r="F1048" s="177"/>
      <c r="G1048" s="177"/>
      <c r="H1048" s="177"/>
      <c r="I1048" s="177"/>
      <c r="J1048" s="177"/>
      <c r="K1048" s="177"/>
      <c r="L1048" s="177"/>
      <c r="M1048" s="177"/>
      <c r="N1048" s="177"/>
      <c r="O1048" s="165"/>
      <c r="P1048" s="168"/>
    </row>
    <row r="1049" spans="16:16">
      <c r="A1049" s="161"/>
      <c r="B1049" s="13"/>
      <c r="C1049" s="13"/>
      <c r="D1049" s="162"/>
      <c r="E1049" s="163"/>
      <c r="F1049" s="177"/>
      <c r="G1049" s="177"/>
      <c r="H1049" s="177"/>
      <c r="I1049" s="177"/>
      <c r="J1049" s="177"/>
      <c r="K1049" s="177"/>
      <c r="L1049" s="177"/>
      <c r="M1049" s="177"/>
      <c r="N1049" s="177"/>
      <c r="O1049" s="165"/>
      <c r="P1049" s="168"/>
    </row>
    <row r="1050" spans="16:16">
      <c r="A1050" s="161"/>
      <c r="B1050" s="13"/>
      <c r="C1050" s="13"/>
      <c r="D1050" s="162"/>
      <c r="E1050" s="163"/>
      <c r="F1050" s="177"/>
      <c r="G1050" s="177"/>
      <c r="H1050" s="177"/>
      <c r="I1050" s="177"/>
      <c r="J1050" s="177"/>
      <c r="K1050" s="177"/>
      <c r="L1050" s="177"/>
      <c r="M1050" s="177"/>
      <c r="N1050" s="177"/>
      <c r="O1050" s="165"/>
      <c r="P1050" s="168"/>
    </row>
    <row r="1051" spans="16:16">
      <c r="A1051" s="161"/>
      <c r="B1051" s="13"/>
      <c r="C1051" s="13"/>
      <c r="D1051" s="162"/>
      <c r="E1051" s="163"/>
      <c r="F1051" s="177"/>
      <c r="G1051" s="177"/>
      <c r="H1051" s="177"/>
      <c r="I1051" s="177"/>
      <c r="J1051" s="177"/>
      <c r="K1051" s="177"/>
      <c r="L1051" s="177"/>
      <c r="M1051" s="177"/>
      <c r="N1051" s="177"/>
      <c r="O1051" s="165"/>
      <c r="P1051" s="168"/>
    </row>
    <row r="1052" spans="16:16">
      <c r="A1052" s="161"/>
      <c r="B1052" s="13"/>
      <c r="C1052" s="13"/>
      <c r="D1052" s="162"/>
      <c r="E1052" s="163"/>
      <c r="F1052" s="177"/>
      <c r="G1052" s="177"/>
      <c r="H1052" s="177"/>
      <c r="I1052" s="177"/>
      <c r="J1052" s="177"/>
      <c r="K1052" s="177"/>
      <c r="L1052" s="177"/>
      <c r="M1052" s="177"/>
      <c r="N1052" s="177"/>
      <c r="O1052" s="165"/>
      <c r="P1052" s="168"/>
    </row>
    <row r="1053" spans="16:16">
      <c r="A1053" s="161"/>
      <c r="B1053" s="13"/>
      <c r="C1053" s="13"/>
      <c r="D1053" s="162"/>
      <c r="E1053" s="163"/>
      <c r="F1053" s="177"/>
      <c r="G1053" s="177"/>
      <c r="H1053" s="177"/>
      <c r="I1053" s="177"/>
      <c r="J1053" s="177"/>
      <c r="K1053" s="177"/>
      <c r="L1053" s="177"/>
      <c r="M1053" s="177"/>
      <c r="N1053" s="177"/>
      <c r="O1053" s="165"/>
      <c r="P1053" s="168"/>
    </row>
    <row r="1054" spans="16:16">
      <c r="A1054" s="161"/>
      <c r="B1054" s="13"/>
      <c r="C1054" s="13"/>
      <c r="D1054" s="162"/>
      <c r="E1054" s="163"/>
      <c r="F1054" s="177"/>
      <c r="G1054" s="177"/>
      <c r="H1054" s="177"/>
      <c r="I1054" s="177"/>
      <c r="J1054" s="177"/>
      <c r="K1054" s="177"/>
      <c r="L1054" s="177"/>
      <c r="M1054" s="177"/>
      <c r="N1054" s="177"/>
      <c r="O1054" s="165"/>
      <c r="P1054" s="168"/>
    </row>
    <row r="1055" spans="16:16">
      <c r="A1055" s="161"/>
      <c r="B1055" s="13"/>
      <c r="C1055" s="13"/>
      <c r="D1055" s="162"/>
      <c r="E1055" s="163"/>
      <c r="F1055" s="177"/>
      <c r="G1055" s="177"/>
      <c r="H1055" s="177"/>
      <c r="I1055" s="177"/>
      <c r="J1055" s="177"/>
      <c r="K1055" s="177"/>
      <c r="L1055" s="177"/>
      <c r="M1055" s="177"/>
      <c r="N1055" s="177"/>
      <c r="O1055" s="165"/>
      <c r="P1055" s="168"/>
    </row>
    <row r="1056" spans="16:16">
      <c r="A1056" s="161"/>
      <c r="B1056" s="13"/>
      <c r="C1056" s="13"/>
      <c r="D1056" s="162"/>
      <c r="E1056" s="163"/>
      <c r="F1056" s="177"/>
      <c r="G1056" s="177"/>
      <c r="H1056" s="177"/>
      <c r="I1056" s="177"/>
      <c r="J1056" s="177"/>
      <c r="K1056" s="177"/>
      <c r="L1056" s="177"/>
      <c r="M1056" s="177"/>
      <c r="N1056" s="177"/>
      <c r="O1056" s="165"/>
      <c r="P1056" s="168"/>
    </row>
    <row r="1057" spans="16:16">
      <c r="A1057" s="161"/>
      <c r="B1057" s="13"/>
      <c r="C1057" s="13"/>
      <c r="D1057" s="162"/>
      <c r="E1057" s="163"/>
      <c r="F1057" s="177"/>
      <c r="G1057" s="177"/>
      <c r="H1057" s="177"/>
      <c r="I1057" s="177"/>
      <c r="J1057" s="177"/>
      <c r="K1057" s="177"/>
      <c r="L1057" s="177"/>
      <c r="M1057" s="177"/>
      <c r="N1057" s="177"/>
      <c r="O1057" s="165"/>
      <c r="P1057" s="168"/>
    </row>
    <row r="1058" spans="16:16">
      <c r="A1058" s="161"/>
      <c r="B1058" s="13"/>
      <c r="C1058" s="13"/>
      <c r="D1058" s="162"/>
      <c r="E1058" s="163"/>
      <c r="F1058" s="177"/>
      <c r="G1058" s="177"/>
      <c r="H1058" s="177"/>
      <c r="I1058" s="177"/>
      <c r="J1058" s="177"/>
      <c r="K1058" s="177"/>
      <c r="L1058" s="177"/>
      <c r="M1058" s="177"/>
      <c r="N1058" s="177"/>
      <c r="O1058" s="165"/>
      <c r="P1058" s="168"/>
    </row>
    <row r="1059" spans="16:16">
      <c r="A1059" s="161"/>
      <c r="B1059" s="13"/>
      <c r="C1059" s="13"/>
      <c r="D1059" s="162"/>
      <c r="E1059" s="163"/>
      <c r="F1059" s="177"/>
      <c r="G1059" s="177"/>
      <c r="H1059" s="177"/>
      <c r="I1059" s="177"/>
      <c r="J1059" s="177"/>
      <c r="K1059" s="177"/>
      <c r="L1059" s="177"/>
      <c r="M1059" s="177"/>
      <c r="N1059" s="177"/>
      <c r="O1059" s="165"/>
      <c r="P1059" s="168"/>
    </row>
    <row r="1060" spans="16:16">
      <c r="A1060" s="161"/>
      <c r="B1060" s="13"/>
      <c r="C1060" s="13"/>
      <c r="D1060" s="162"/>
      <c r="E1060" s="163"/>
      <c r="F1060" s="177"/>
      <c r="G1060" s="177"/>
      <c r="H1060" s="177"/>
      <c r="I1060" s="177"/>
      <c r="J1060" s="177"/>
      <c r="K1060" s="177"/>
      <c r="L1060" s="177"/>
      <c r="M1060" s="177"/>
      <c r="N1060" s="177"/>
      <c r="O1060" s="165"/>
      <c r="P1060" s="168"/>
    </row>
    <row r="1061" spans="16:16">
      <c r="A1061" s="161"/>
      <c r="B1061" s="13"/>
      <c r="C1061" s="13"/>
      <c r="D1061" s="162"/>
      <c r="E1061" s="163"/>
      <c r="F1061" s="177"/>
      <c r="G1061" s="177"/>
      <c r="H1061" s="177"/>
      <c r="I1061" s="177"/>
      <c r="J1061" s="177"/>
      <c r="K1061" s="177"/>
      <c r="L1061" s="177"/>
      <c r="M1061" s="177"/>
      <c r="N1061" s="177"/>
      <c r="O1061" s="165"/>
      <c r="P1061" s="168"/>
    </row>
    <row r="1062" spans="16:16">
      <c r="A1062" s="161"/>
      <c r="B1062" s="13"/>
      <c r="C1062" s="13"/>
      <c r="D1062" s="162"/>
      <c r="E1062" s="163"/>
      <c r="F1062" s="177"/>
      <c r="G1062" s="177"/>
      <c r="H1062" s="177"/>
      <c r="I1062" s="177"/>
      <c r="J1062" s="177"/>
      <c r="K1062" s="177"/>
      <c r="L1062" s="177"/>
      <c r="M1062" s="177"/>
      <c r="N1062" s="177"/>
      <c r="O1062" s="165"/>
      <c r="P1062" s="168"/>
    </row>
    <row r="1063" spans="16:16">
      <c r="A1063" s="161"/>
      <c r="B1063" s="13"/>
      <c r="C1063" s="13"/>
      <c r="D1063" s="162"/>
      <c r="E1063" s="163"/>
      <c r="F1063" s="177"/>
      <c r="G1063" s="177"/>
      <c r="H1063" s="177"/>
      <c r="I1063" s="177"/>
      <c r="J1063" s="177"/>
      <c r="K1063" s="177"/>
      <c r="L1063" s="177"/>
      <c r="M1063" s="177"/>
      <c r="N1063" s="177"/>
      <c r="O1063" s="165"/>
      <c r="P1063" s="168"/>
    </row>
    <row r="1064" spans="16:16">
      <c r="A1064" s="161"/>
      <c r="B1064" s="13"/>
      <c r="C1064" s="13"/>
      <c r="D1064" s="162"/>
      <c r="E1064" s="163"/>
      <c r="F1064" s="177"/>
      <c r="G1064" s="177"/>
      <c r="H1064" s="177"/>
      <c r="I1064" s="177"/>
      <c r="J1064" s="177"/>
      <c r="K1064" s="177"/>
      <c r="L1064" s="177"/>
      <c r="M1064" s="177"/>
      <c r="N1064" s="177"/>
      <c r="O1064" s="165"/>
      <c r="P1064" s="168"/>
    </row>
    <row r="1065" spans="16:16">
      <c r="A1065" s="161"/>
      <c r="B1065" s="13"/>
      <c r="C1065" s="13"/>
      <c r="D1065" s="162"/>
      <c r="E1065" s="163"/>
      <c r="F1065" s="177"/>
      <c r="G1065" s="177"/>
      <c r="H1065" s="177"/>
      <c r="I1065" s="177"/>
      <c r="J1065" s="177"/>
      <c r="K1065" s="177"/>
      <c r="L1065" s="177"/>
      <c r="M1065" s="177"/>
      <c r="N1065" s="177"/>
      <c r="O1065" s="165"/>
      <c r="P1065" s="168"/>
    </row>
    <row r="1066" spans="16:16">
      <c r="A1066" s="161"/>
      <c r="B1066" s="13"/>
      <c r="C1066" s="13"/>
      <c r="D1066" s="162"/>
      <c r="E1066" s="163"/>
      <c r="F1066" s="177"/>
      <c r="G1066" s="177"/>
      <c r="H1066" s="177"/>
      <c r="I1066" s="177"/>
      <c r="J1066" s="177"/>
      <c r="K1066" s="177"/>
      <c r="L1066" s="177"/>
      <c r="M1066" s="177"/>
      <c r="N1066" s="177"/>
      <c r="O1066" s="165"/>
      <c r="P1066" s="168"/>
    </row>
    <row r="1067" spans="16:16">
      <c r="A1067" s="161"/>
      <c r="B1067" s="13"/>
      <c r="C1067" s="13"/>
      <c r="D1067" s="162"/>
      <c r="E1067" s="163"/>
      <c r="F1067" s="177"/>
      <c r="G1067" s="177"/>
      <c r="H1067" s="177"/>
      <c r="I1067" s="177"/>
      <c r="J1067" s="177"/>
      <c r="K1067" s="177"/>
      <c r="L1067" s="177"/>
      <c r="M1067" s="177"/>
      <c r="N1067" s="177"/>
      <c r="O1067" s="165"/>
      <c r="P1067" s="168"/>
    </row>
    <row r="1068" spans="16:16">
      <c r="A1068" s="161"/>
      <c r="B1068" s="13"/>
      <c r="C1068" s="13"/>
      <c r="D1068" s="162"/>
      <c r="E1068" s="163"/>
      <c r="F1068" s="177"/>
      <c r="G1068" s="177"/>
      <c r="H1068" s="177"/>
      <c r="I1068" s="177"/>
      <c r="J1068" s="177"/>
      <c r="K1068" s="177"/>
      <c r="L1068" s="177"/>
      <c r="M1068" s="177"/>
      <c r="N1068" s="177"/>
      <c r="O1068" s="165"/>
      <c r="P1068" s="168"/>
    </row>
    <row r="1069" spans="16:16">
      <c r="A1069" s="161"/>
      <c r="B1069" s="13"/>
      <c r="C1069" s="13"/>
      <c r="D1069" s="162"/>
      <c r="E1069" s="163"/>
      <c r="F1069" s="177"/>
      <c r="G1069" s="177"/>
      <c r="H1069" s="177"/>
      <c r="I1069" s="177"/>
      <c r="J1069" s="177"/>
      <c r="K1069" s="177"/>
      <c r="L1069" s="177"/>
      <c r="M1069" s="177"/>
      <c r="N1069" s="177"/>
      <c r="O1069" s="165"/>
      <c r="P1069" s="168"/>
    </row>
    <row r="1070" spans="16:16">
      <c r="A1070" s="161"/>
      <c r="B1070" s="13"/>
      <c r="C1070" s="13"/>
      <c r="D1070" s="162"/>
      <c r="E1070" s="163"/>
      <c r="F1070" s="177"/>
      <c r="G1070" s="177"/>
      <c r="H1070" s="177"/>
      <c r="I1070" s="177"/>
      <c r="J1070" s="177"/>
      <c r="K1070" s="177"/>
      <c r="L1070" s="177"/>
      <c r="M1070" s="177"/>
      <c r="N1070" s="177"/>
      <c r="O1070" s="165"/>
      <c r="P1070" s="168"/>
    </row>
    <row r="1071" spans="16:16">
      <c r="A1071" s="161"/>
      <c r="B1071" s="13"/>
      <c r="C1071" s="13"/>
      <c r="D1071" s="162"/>
      <c r="E1071" s="163"/>
      <c r="F1071" s="177"/>
      <c r="G1071" s="177"/>
      <c r="H1071" s="177"/>
      <c r="I1071" s="177"/>
      <c r="J1071" s="177"/>
      <c r="K1071" s="177"/>
      <c r="L1071" s="177"/>
      <c r="M1071" s="177"/>
      <c r="N1071" s="177"/>
      <c r="O1071" s="165"/>
      <c r="P1071" s="168"/>
    </row>
    <row r="1072" spans="16:16">
      <c r="A1072" s="161"/>
      <c r="B1072" s="13"/>
      <c r="C1072" s="13"/>
      <c r="D1072" s="162"/>
      <c r="E1072" s="163"/>
      <c r="F1072" s="177"/>
      <c r="G1072" s="177"/>
      <c r="H1072" s="177"/>
      <c r="I1072" s="177"/>
      <c r="J1072" s="177"/>
      <c r="K1072" s="177"/>
      <c r="L1072" s="177"/>
      <c r="M1072" s="177"/>
      <c r="N1072" s="177"/>
      <c r="O1072" s="165"/>
      <c r="P1072" s="168"/>
    </row>
    <row r="1073" spans="16:16">
      <c r="A1073" s="161"/>
      <c r="B1073" s="13"/>
      <c r="C1073" s="13"/>
      <c r="D1073" s="162"/>
      <c r="E1073" s="163"/>
      <c r="F1073" s="177"/>
      <c r="G1073" s="177"/>
      <c r="H1073" s="177"/>
      <c r="I1073" s="177"/>
      <c r="J1073" s="177"/>
      <c r="K1073" s="177"/>
      <c r="L1073" s="177"/>
      <c r="M1073" s="177"/>
      <c r="N1073" s="177"/>
      <c r="O1073" s="165"/>
      <c r="P1073" s="168"/>
    </row>
    <row r="1074" spans="16:16">
      <c r="A1074" s="161"/>
      <c r="B1074" s="13"/>
      <c r="C1074" s="13"/>
      <c r="D1074" s="162"/>
      <c r="E1074" s="163"/>
      <c r="F1074" s="177"/>
      <c r="G1074" s="177"/>
      <c r="H1074" s="177"/>
      <c r="I1074" s="177"/>
      <c r="J1074" s="177"/>
      <c r="K1074" s="177"/>
      <c r="L1074" s="177"/>
      <c r="M1074" s="177"/>
      <c r="N1074" s="177"/>
      <c r="O1074" s="165"/>
      <c r="P1074" s="168"/>
    </row>
    <row r="1075" spans="16:16">
      <c r="A1075" s="161"/>
      <c r="B1075" s="13"/>
      <c r="C1075" s="13"/>
      <c r="D1075" s="162"/>
      <c r="E1075" s="163"/>
      <c r="F1075" s="177"/>
      <c r="G1075" s="177"/>
      <c r="H1075" s="177"/>
      <c r="I1075" s="177"/>
      <c r="J1075" s="177"/>
      <c r="K1075" s="177"/>
      <c r="L1075" s="177"/>
      <c r="M1075" s="177"/>
      <c r="N1075" s="177"/>
      <c r="O1075" s="165"/>
      <c r="P1075" s="168"/>
    </row>
    <row r="1076" spans="16:16">
      <c r="A1076" s="161"/>
      <c r="B1076" s="13"/>
      <c r="C1076" s="13"/>
      <c r="D1076" s="162"/>
      <c r="E1076" s="163"/>
      <c r="F1076" s="177"/>
      <c r="G1076" s="177"/>
      <c r="H1076" s="177"/>
      <c r="I1076" s="177"/>
      <c r="J1076" s="177"/>
      <c r="K1076" s="177"/>
      <c r="L1076" s="177"/>
      <c r="M1076" s="177"/>
      <c r="N1076" s="177"/>
      <c r="O1076" s="165"/>
      <c r="P1076" s="168"/>
    </row>
    <row r="1077" spans="16:16">
      <c r="A1077" s="161"/>
      <c r="B1077" s="13"/>
      <c r="C1077" s="13"/>
      <c r="D1077" s="162"/>
      <c r="E1077" s="163"/>
      <c r="F1077" s="177"/>
      <c r="G1077" s="177"/>
      <c r="H1077" s="177"/>
      <c r="I1077" s="177"/>
      <c r="J1077" s="177"/>
      <c r="K1077" s="177"/>
      <c r="L1077" s="177"/>
      <c r="M1077" s="177"/>
      <c r="N1077" s="177"/>
      <c r="O1077" s="165"/>
      <c r="P1077" s="168"/>
    </row>
    <row r="1078" spans="16:16">
      <c r="A1078" s="161"/>
      <c r="B1078" s="13"/>
      <c r="C1078" s="13"/>
      <c r="D1078" s="162"/>
      <c r="E1078" s="163"/>
      <c r="F1078" s="177"/>
      <c r="G1078" s="177"/>
      <c r="H1078" s="177"/>
      <c r="I1078" s="177"/>
      <c r="J1078" s="177"/>
      <c r="K1078" s="177"/>
      <c r="L1078" s="177"/>
      <c r="M1078" s="177"/>
      <c r="N1078" s="177"/>
      <c r="O1078" s="165"/>
      <c r="P1078" s="168"/>
    </row>
    <row r="1079" spans="16:16">
      <c r="A1079" s="161"/>
      <c r="B1079" s="13"/>
      <c r="C1079" s="13"/>
      <c r="D1079" s="162"/>
      <c r="E1079" s="163"/>
      <c r="F1079" s="177"/>
      <c r="G1079" s="177"/>
      <c r="H1079" s="177"/>
      <c r="I1079" s="177"/>
      <c r="J1079" s="177"/>
      <c r="K1079" s="177"/>
      <c r="L1079" s="177"/>
      <c r="M1079" s="177"/>
      <c r="N1079" s="177"/>
      <c r="O1079" s="165"/>
      <c r="P1079" s="168"/>
    </row>
    <row r="1080" spans="16:16">
      <c r="A1080" s="161"/>
      <c r="B1080" s="13"/>
      <c r="C1080" s="13"/>
      <c r="D1080" s="162"/>
      <c r="E1080" s="163"/>
      <c r="F1080" s="177"/>
      <c r="G1080" s="177"/>
      <c r="H1080" s="177"/>
      <c r="I1080" s="177"/>
      <c r="J1080" s="177"/>
      <c r="K1080" s="177"/>
      <c r="L1080" s="177"/>
      <c r="M1080" s="177"/>
      <c r="N1080" s="177"/>
      <c r="O1080" s="165"/>
      <c r="P1080" s="168"/>
    </row>
    <row r="1081" spans="16:16">
      <c r="A1081" s="161"/>
      <c r="B1081" s="13"/>
      <c r="C1081" s="13"/>
      <c r="D1081" s="162"/>
      <c r="E1081" s="163"/>
      <c r="F1081" s="177"/>
      <c r="G1081" s="177"/>
      <c r="H1081" s="177"/>
      <c r="I1081" s="177"/>
      <c r="J1081" s="177"/>
      <c r="K1081" s="177"/>
      <c r="L1081" s="177"/>
      <c r="M1081" s="177"/>
      <c r="N1081" s="177"/>
      <c r="O1081" s="165"/>
      <c r="P1081" s="168"/>
    </row>
    <row r="1082" spans="16:16">
      <c r="A1082" s="161"/>
      <c r="B1082" s="13"/>
      <c r="C1082" s="13"/>
      <c r="D1082" s="162"/>
      <c r="E1082" s="163"/>
      <c r="F1082" s="177"/>
      <c r="G1082" s="177"/>
      <c r="H1082" s="177"/>
      <c r="I1082" s="177"/>
      <c r="J1082" s="177"/>
      <c r="K1082" s="177"/>
      <c r="L1082" s="177"/>
      <c r="M1082" s="177"/>
      <c r="N1082" s="177"/>
      <c r="O1082" s="165"/>
      <c r="P1082" s="168"/>
    </row>
    <row r="1083" spans="16:16">
      <c r="A1083" s="161"/>
      <c r="B1083" s="13"/>
      <c r="C1083" s="13"/>
      <c r="D1083" s="162"/>
      <c r="E1083" s="163"/>
      <c r="F1083" s="177"/>
      <c r="G1083" s="177"/>
      <c r="H1083" s="177"/>
      <c r="I1083" s="177"/>
      <c r="J1083" s="177"/>
      <c r="K1083" s="177"/>
      <c r="L1083" s="177"/>
      <c r="M1083" s="177"/>
      <c r="N1083" s="177"/>
      <c r="O1083" s="165"/>
      <c r="P1083" s="168"/>
    </row>
    <row r="1084" spans="16:16">
      <c r="A1084" s="161"/>
      <c r="B1084" s="13"/>
      <c r="C1084" s="13"/>
      <c r="D1084" s="162"/>
      <c r="E1084" s="163"/>
      <c r="F1084" s="177"/>
      <c r="G1084" s="177"/>
      <c r="H1084" s="177"/>
      <c r="I1084" s="177"/>
      <c r="J1084" s="177"/>
      <c r="K1084" s="177"/>
      <c r="L1084" s="177"/>
      <c r="M1084" s="177"/>
      <c r="N1084" s="177"/>
      <c r="O1084" s="165"/>
      <c r="P1084" s="168"/>
    </row>
    <row r="1085" spans="16:16">
      <c r="A1085" s="161"/>
      <c r="B1085" s="13"/>
      <c r="C1085" s="13"/>
      <c r="D1085" s="162"/>
      <c r="E1085" s="163"/>
      <c r="F1085" s="177"/>
      <c r="G1085" s="177"/>
      <c r="H1085" s="177"/>
      <c r="I1085" s="177"/>
      <c r="J1085" s="177"/>
      <c r="K1085" s="177"/>
      <c r="L1085" s="177"/>
      <c r="M1085" s="177"/>
      <c r="N1085" s="177"/>
      <c r="O1085" s="165"/>
      <c r="P1085" s="168"/>
    </row>
    <row r="1086" spans="16:16">
      <c r="A1086" s="161"/>
      <c r="B1086" s="13"/>
      <c r="C1086" s="13"/>
      <c r="D1086" s="162"/>
      <c r="E1086" s="163"/>
      <c r="F1086" s="177"/>
      <c r="G1086" s="177"/>
      <c r="H1086" s="177"/>
      <c r="I1086" s="177"/>
      <c r="J1086" s="177"/>
      <c r="K1086" s="177"/>
      <c r="L1086" s="177"/>
      <c r="M1086" s="177"/>
      <c r="N1086" s="177"/>
      <c r="O1086" s="165"/>
      <c r="P1086" s="168"/>
    </row>
    <row r="1087" spans="16:16">
      <c r="A1087" s="161"/>
      <c r="B1087" s="13"/>
      <c r="C1087" s="13"/>
      <c r="D1087" s="162"/>
      <c r="E1087" s="163"/>
      <c r="F1087" s="177"/>
      <c r="G1087" s="177"/>
      <c r="H1087" s="177"/>
      <c r="I1087" s="177"/>
      <c r="J1087" s="177"/>
      <c r="K1087" s="177"/>
      <c r="L1087" s="177"/>
      <c r="M1087" s="177"/>
      <c r="N1087" s="177"/>
      <c r="O1087" s="165"/>
      <c r="P1087" s="168"/>
    </row>
    <row r="1088" spans="16:16">
      <c r="A1088" s="161"/>
      <c r="B1088" s="13"/>
      <c r="C1088" s="13"/>
      <c r="D1088" s="162"/>
      <c r="E1088" s="163"/>
      <c r="F1088" s="177"/>
      <c r="G1088" s="177"/>
      <c r="H1088" s="177"/>
      <c r="I1088" s="177"/>
      <c r="J1088" s="177"/>
      <c r="K1088" s="177"/>
      <c r="L1088" s="177"/>
      <c r="M1088" s="177"/>
      <c r="N1088" s="177"/>
      <c r="O1088" s="165"/>
      <c r="P1088" s="168"/>
    </row>
    <row r="1089" spans="16:16">
      <c r="A1089" s="161"/>
      <c r="B1089" s="13"/>
      <c r="C1089" s="13"/>
      <c r="D1089" s="162"/>
      <c r="E1089" s="163"/>
      <c r="F1089" s="177"/>
      <c r="G1089" s="177"/>
      <c r="H1089" s="177"/>
      <c r="I1089" s="177"/>
      <c r="J1089" s="177"/>
      <c r="K1089" s="177"/>
      <c r="L1089" s="177"/>
      <c r="M1089" s="177"/>
      <c r="N1089" s="177"/>
      <c r="O1089" s="165"/>
      <c r="P1089" s="168"/>
    </row>
    <row r="1090" spans="16:16">
      <c r="A1090" s="161"/>
      <c r="B1090" s="13"/>
      <c r="C1090" s="13"/>
      <c r="D1090" s="162"/>
      <c r="E1090" s="163"/>
      <c r="F1090" s="177"/>
      <c r="G1090" s="177"/>
      <c r="H1090" s="177"/>
      <c r="I1090" s="177"/>
      <c r="J1090" s="177"/>
      <c r="K1090" s="177"/>
      <c r="L1090" s="177"/>
      <c r="M1090" s="177"/>
      <c r="N1090" s="177"/>
      <c r="O1090" s="165"/>
      <c r="P1090" s="168"/>
    </row>
    <row r="1091" spans="16:16">
      <c r="A1091" s="161"/>
      <c r="B1091" s="13"/>
      <c r="C1091" s="13"/>
      <c r="D1091" s="162"/>
      <c r="E1091" s="163"/>
      <c r="F1091" s="177"/>
      <c r="G1091" s="177"/>
      <c r="H1091" s="177"/>
      <c r="I1091" s="177"/>
      <c r="J1091" s="177"/>
      <c r="K1091" s="177"/>
      <c r="L1091" s="177"/>
      <c r="M1091" s="177"/>
      <c r="N1091" s="177"/>
      <c r="O1091" s="165"/>
      <c r="P1091" s="168"/>
    </row>
    <row r="1092" spans="16:16">
      <c r="A1092" s="161"/>
      <c r="B1092" s="13"/>
      <c r="C1092" s="13"/>
      <c r="D1092" s="162"/>
      <c r="E1092" s="163"/>
      <c r="F1092" s="177"/>
      <c r="G1092" s="177"/>
      <c r="H1092" s="177"/>
      <c r="I1092" s="177"/>
      <c r="J1092" s="177"/>
      <c r="K1092" s="177"/>
      <c r="L1092" s="177"/>
      <c r="M1092" s="177"/>
      <c r="N1092" s="177"/>
      <c r="O1092" s="165"/>
      <c r="P1092" s="168"/>
    </row>
    <row r="1093" spans="16:16">
      <c r="A1093" s="161"/>
      <c r="B1093" s="13"/>
      <c r="C1093" s="13"/>
      <c r="D1093" s="162"/>
      <c r="E1093" s="163"/>
      <c r="F1093" s="177"/>
      <c r="G1093" s="177"/>
      <c r="H1093" s="177"/>
      <c r="I1093" s="177"/>
      <c r="J1093" s="177"/>
      <c r="K1093" s="177"/>
      <c r="L1093" s="177"/>
      <c r="M1093" s="177"/>
      <c r="N1093" s="177"/>
      <c r="O1093" s="165"/>
      <c r="P1093" s="168"/>
    </row>
    <row r="1094" spans="16:16">
      <c r="A1094" s="161"/>
      <c r="B1094" s="13"/>
      <c r="C1094" s="13"/>
      <c r="D1094" s="162"/>
      <c r="E1094" s="163"/>
      <c r="F1094" s="177"/>
      <c r="G1094" s="177"/>
      <c r="H1094" s="177"/>
      <c r="I1094" s="177"/>
      <c r="J1094" s="177"/>
      <c r="K1094" s="177"/>
      <c r="L1094" s="177"/>
      <c r="M1094" s="177"/>
      <c r="N1094" s="177"/>
      <c r="O1094" s="165"/>
      <c r="P1094" s="168"/>
    </row>
    <row r="1095" spans="16:16">
      <c r="A1095" s="161"/>
      <c r="B1095" s="13"/>
      <c r="C1095" s="13"/>
      <c r="D1095" s="162"/>
      <c r="E1095" s="163"/>
      <c r="F1095" s="177"/>
      <c r="G1095" s="177"/>
      <c r="H1095" s="177"/>
      <c r="I1095" s="177"/>
      <c r="J1095" s="177"/>
      <c r="K1095" s="177"/>
      <c r="L1095" s="177"/>
      <c r="M1095" s="177"/>
      <c r="N1095" s="177"/>
      <c r="O1095" s="165"/>
      <c r="P1095" s="168"/>
    </row>
    <row r="1096" spans="16:16">
      <c r="A1096" s="161"/>
      <c r="B1096" s="13"/>
      <c r="C1096" s="13"/>
      <c r="D1096" s="162"/>
      <c r="E1096" s="163"/>
      <c r="F1096" s="177"/>
      <c r="G1096" s="177"/>
      <c r="H1096" s="177"/>
      <c r="I1096" s="177"/>
      <c r="J1096" s="177"/>
      <c r="K1096" s="177"/>
      <c r="L1096" s="177"/>
      <c r="M1096" s="177"/>
      <c r="N1096" s="177"/>
      <c r="O1096" s="165"/>
      <c r="P1096" s="168"/>
    </row>
    <row r="1097" spans="16:16">
      <c r="A1097" s="161"/>
      <c r="B1097" s="13"/>
      <c r="C1097" s="13"/>
      <c r="D1097" s="162"/>
      <c r="E1097" s="163"/>
      <c r="F1097" s="177"/>
      <c r="G1097" s="177"/>
      <c r="H1097" s="177"/>
      <c r="I1097" s="177"/>
      <c r="J1097" s="177"/>
      <c r="K1097" s="177"/>
      <c r="L1097" s="177"/>
      <c r="M1097" s="177"/>
      <c r="N1097" s="177"/>
      <c r="O1097" s="165"/>
      <c r="P1097" s="168"/>
    </row>
    <row r="1098" spans="16:16">
      <c r="A1098" s="161"/>
      <c r="B1098" s="13"/>
      <c r="C1098" s="13"/>
      <c r="D1098" s="162"/>
      <c r="E1098" s="163"/>
      <c r="F1098" s="177"/>
      <c r="G1098" s="177"/>
      <c r="H1098" s="177"/>
      <c r="I1098" s="177"/>
      <c r="J1098" s="177"/>
      <c r="K1098" s="177"/>
      <c r="L1098" s="177"/>
      <c r="M1098" s="177"/>
      <c r="N1098" s="177"/>
      <c r="O1098" s="165"/>
      <c r="P1098" s="168"/>
    </row>
    <row r="1099" spans="16:16">
      <c r="A1099" s="161"/>
      <c r="B1099" s="13"/>
      <c r="C1099" s="13"/>
      <c r="D1099" s="162"/>
      <c r="E1099" s="163"/>
      <c r="F1099" s="177"/>
      <c r="G1099" s="177"/>
      <c r="H1099" s="177"/>
      <c r="I1099" s="177"/>
      <c r="J1099" s="177"/>
      <c r="K1099" s="177"/>
      <c r="L1099" s="177"/>
      <c r="M1099" s="177"/>
      <c r="N1099" s="177"/>
      <c r="O1099" s="165"/>
      <c r="P1099" s="168"/>
    </row>
    <row r="1100" spans="16:16">
      <c r="A1100" s="161"/>
      <c r="B1100" s="13"/>
      <c r="C1100" s="13"/>
      <c r="D1100" s="162"/>
      <c r="E1100" s="163"/>
      <c r="F1100" s="177"/>
      <c r="G1100" s="177"/>
      <c r="H1100" s="177"/>
      <c r="I1100" s="177"/>
      <c r="J1100" s="177"/>
      <c r="K1100" s="177"/>
      <c r="L1100" s="177"/>
      <c r="M1100" s="177"/>
      <c r="N1100" s="177"/>
      <c r="O1100" s="165"/>
      <c r="P1100" s="168"/>
    </row>
    <row r="1101" spans="16:16">
      <c r="A1101" s="161"/>
      <c r="B1101" s="13"/>
      <c r="C1101" s="13"/>
      <c r="D1101" s="162"/>
      <c r="E1101" s="163"/>
      <c r="F1101" s="177"/>
      <c r="G1101" s="177"/>
      <c r="H1101" s="177"/>
      <c r="I1101" s="177"/>
      <c r="J1101" s="177"/>
      <c r="K1101" s="177"/>
      <c r="L1101" s="177"/>
      <c r="M1101" s="177"/>
      <c r="N1101" s="177"/>
      <c r="O1101" s="165"/>
      <c r="P1101" s="168"/>
    </row>
    <row r="1102" spans="16:16">
      <c r="A1102" s="161"/>
      <c r="B1102" s="13"/>
      <c r="C1102" s="13"/>
      <c r="D1102" s="162"/>
      <c r="E1102" s="163"/>
      <c r="F1102" s="177"/>
      <c r="G1102" s="177"/>
      <c r="H1102" s="177"/>
      <c r="I1102" s="177"/>
      <c r="J1102" s="177"/>
      <c r="K1102" s="177"/>
      <c r="L1102" s="177"/>
      <c r="M1102" s="177"/>
      <c r="N1102" s="177"/>
      <c r="O1102" s="165"/>
      <c r="P1102" s="168"/>
    </row>
    <row r="1103" spans="16:16">
      <c r="A1103" s="161"/>
      <c r="B1103" s="13"/>
      <c r="C1103" s="13"/>
      <c r="D1103" s="162"/>
      <c r="E1103" s="163"/>
      <c r="F1103" s="177"/>
      <c r="G1103" s="177"/>
      <c r="H1103" s="177"/>
      <c r="I1103" s="177"/>
      <c r="J1103" s="177"/>
      <c r="K1103" s="177"/>
      <c r="L1103" s="177"/>
      <c r="M1103" s="177"/>
      <c r="N1103" s="177"/>
      <c r="O1103" s="165"/>
      <c r="P1103" s="168"/>
    </row>
    <row r="1104" spans="16:16">
      <c r="A1104" s="161"/>
      <c r="B1104" s="13"/>
      <c r="C1104" s="13"/>
      <c r="D1104" s="162"/>
      <c r="E1104" s="163"/>
      <c r="F1104" s="177"/>
      <c r="G1104" s="177"/>
      <c r="H1104" s="177"/>
      <c r="I1104" s="177"/>
      <c r="J1104" s="177"/>
      <c r="K1104" s="177"/>
      <c r="L1104" s="177"/>
      <c r="M1104" s="177"/>
      <c r="N1104" s="177"/>
      <c r="O1104" s="165"/>
      <c r="P1104" s="168"/>
    </row>
    <row r="1105" spans="16:16">
      <c r="A1105" s="161"/>
      <c r="B1105" s="13"/>
      <c r="C1105" s="13"/>
      <c r="D1105" s="162"/>
      <c r="E1105" s="163"/>
      <c r="F1105" s="177"/>
      <c r="G1105" s="177"/>
      <c r="H1105" s="177"/>
      <c r="I1105" s="177"/>
      <c r="J1105" s="177"/>
      <c r="K1105" s="177"/>
      <c r="L1105" s="177"/>
      <c r="M1105" s="177"/>
      <c r="N1105" s="177"/>
      <c r="O1105" s="165"/>
      <c r="P1105" s="168"/>
    </row>
    <row r="1106" spans="16:16">
      <c r="A1106" s="161"/>
      <c r="B1106" s="13"/>
      <c r="C1106" s="13"/>
      <c r="D1106" s="162"/>
      <c r="E1106" s="163"/>
      <c r="F1106" s="177"/>
      <c r="G1106" s="177"/>
      <c r="H1106" s="177"/>
      <c r="I1106" s="177"/>
      <c r="J1106" s="177"/>
      <c r="K1106" s="177"/>
      <c r="L1106" s="177"/>
      <c r="M1106" s="177"/>
      <c r="N1106" s="177"/>
      <c r="O1106" s="165"/>
      <c r="P1106" s="168"/>
    </row>
    <row r="1107" spans="16:16">
      <c r="A1107" s="161"/>
      <c r="B1107" s="13"/>
      <c r="C1107" s="13"/>
      <c r="D1107" s="162"/>
      <c r="E1107" s="163"/>
      <c r="F1107" s="177"/>
      <c r="G1107" s="177"/>
      <c r="H1107" s="177"/>
      <c r="I1107" s="177"/>
      <c r="J1107" s="177"/>
      <c r="K1107" s="177"/>
      <c r="L1107" s="177"/>
      <c r="M1107" s="177"/>
      <c r="N1107" s="177"/>
      <c r="O1107" s="165"/>
      <c r="P1107" s="168"/>
    </row>
    <row r="1108" spans="16:16">
      <c r="A1108" s="161"/>
      <c r="B1108" s="13"/>
      <c r="C1108" s="13"/>
      <c r="D1108" s="162"/>
      <c r="E1108" s="163"/>
      <c r="F1108" s="177"/>
      <c r="G1108" s="177"/>
      <c r="H1108" s="177"/>
      <c r="I1108" s="177"/>
      <c r="J1108" s="177"/>
      <c r="K1108" s="177"/>
      <c r="L1108" s="177"/>
      <c r="M1108" s="177"/>
      <c r="N1108" s="177"/>
      <c r="O1108" s="165"/>
      <c r="P1108" s="168"/>
    </row>
    <row r="1109" spans="16:16">
      <c r="A1109" s="161"/>
      <c r="B1109" s="13"/>
      <c r="C1109" s="13"/>
      <c r="D1109" s="162"/>
      <c r="E1109" s="163"/>
      <c r="F1109" s="177"/>
      <c r="G1109" s="177"/>
      <c r="H1109" s="177"/>
      <c r="I1109" s="177"/>
      <c r="J1109" s="177"/>
      <c r="K1109" s="177"/>
      <c r="L1109" s="177"/>
      <c r="M1109" s="177"/>
      <c r="N1109" s="177"/>
      <c r="O1109" s="165"/>
      <c r="P1109" s="168"/>
    </row>
    <row r="1110" spans="16:16">
      <c r="A1110" s="161"/>
      <c r="B1110" s="13"/>
      <c r="C1110" s="13"/>
      <c r="D1110" s="162"/>
      <c r="E1110" s="163"/>
      <c r="F1110" s="177"/>
      <c r="G1110" s="177"/>
      <c r="H1110" s="177"/>
      <c r="I1110" s="177"/>
      <c r="J1110" s="177"/>
      <c r="K1110" s="177"/>
      <c r="L1110" s="177"/>
      <c r="M1110" s="177"/>
      <c r="N1110" s="177"/>
      <c r="O1110" s="165"/>
      <c r="P1110" s="168"/>
    </row>
    <row r="1111" s="176" customFormat="1" spans="1:16">
      <c r="A1111" s="169"/>
      <c r="B1111" s="13"/>
      <c r="C1111" s="13"/>
      <c r="D1111" s="162"/>
      <c r="E1111" s="163"/>
      <c r="F1111" s="177"/>
      <c r="G1111" s="177"/>
      <c r="H1111" s="177"/>
      <c r="I1111" s="177"/>
      <c r="J1111" s="177"/>
      <c r="K1111" s="177"/>
      <c r="L1111" s="177"/>
      <c r="M1111" s="177"/>
      <c r="N1111" s="177"/>
      <c r="O1111" s="165"/>
      <c r="P1111" s="168"/>
    </row>
    <row r="1112" s="176" customFormat="1" spans="1:16">
      <c r="A1112" s="169"/>
      <c r="B1112" s="13"/>
      <c r="C1112" s="13"/>
      <c r="D1112" s="162"/>
      <c r="E1112" s="163"/>
      <c r="F1112" s="177"/>
      <c r="G1112" s="177"/>
      <c r="H1112" s="177"/>
      <c r="I1112" s="177"/>
      <c r="J1112" s="177"/>
      <c r="K1112" s="177"/>
      <c r="L1112" s="177"/>
      <c r="M1112" s="177"/>
      <c r="N1112" s="177"/>
      <c r="O1112" s="165"/>
      <c r="P1112" s="168"/>
    </row>
    <row r="1113" s="176" customFormat="1" spans="1:16">
      <c r="A1113" s="169"/>
      <c r="B1113" s="13"/>
      <c r="C1113" s="13"/>
      <c r="D1113" s="162"/>
      <c r="E1113" s="163"/>
      <c r="F1113" s="177"/>
      <c r="G1113" s="177"/>
      <c r="H1113" s="177"/>
      <c r="I1113" s="177"/>
      <c r="J1113" s="177"/>
      <c r="K1113" s="177"/>
      <c r="L1113" s="177"/>
      <c r="M1113" s="177"/>
      <c r="N1113" s="177"/>
      <c r="O1113" s="165"/>
      <c r="P1113" s="168"/>
    </row>
    <row r="1114" s="176" customFormat="1" spans="1:16">
      <c r="A1114" s="169"/>
      <c r="B1114" s="13"/>
      <c r="C1114" s="13"/>
      <c r="D1114" s="162"/>
      <c r="E1114" s="163"/>
      <c r="F1114" s="177"/>
      <c r="G1114" s="177"/>
      <c r="H1114" s="177"/>
      <c r="I1114" s="177"/>
      <c r="J1114" s="177"/>
      <c r="K1114" s="177"/>
      <c r="L1114" s="177"/>
      <c r="M1114" s="177"/>
      <c r="N1114" s="177"/>
      <c r="O1114" s="165"/>
      <c r="P1114" s="168"/>
    </row>
    <row r="1115" spans="16:16">
      <c r="A1115" s="161"/>
      <c r="B1115" s="13"/>
      <c r="C1115" s="13"/>
      <c r="D1115" s="162"/>
      <c r="E1115" s="163"/>
      <c r="F1115" s="177"/>
      <c r="G1115" s="177"/>
      <c r="H1115" s="177"/>
      <c r="I1115" s="177"/>
      <c r="J1115" s="177"/>
      <c r="K1115" s="177"/>
      <c r="L1115" s="177"/>
      <c r="M1115" s="177"/>
      <c r="N1115" s="177"/>
      <c r="O1115" s="165"/>
      <c r="P1115" s="168"/>
    </row>
    <row r="1116" spans="16:16">
      <c r="A1116" s="161"/>
      <c r="B1116" s="13"/>
      <c r="C1116" s="13"/>
      <c r="D1116" s="162"/>
      <c r="E1116" s="163"/>
      <c r="F1116" s="177"/>
      <c r="G1116" s="177"/>
      <c r="H1116" s="177"/>
      <c r="I1116" s="177"/>
      <c r="J1116" s="177"/>
      <c r="K1116" s="177"/>
      <c r="L1116" s="177"/>
      <c r="M1116" s="177"/>
      <c r="N1116" s="177"/>
      <c r="O1116" s="165"/>
      <c r="P1116" s="168"/>
    </row>
    <row r="1117" spans="16:16">
      <c r="A1117" s="161"/>
      <c r="B1117" s="13"/>
      <c r="C1117" s="13"/>
      <c r="D1117" s="162"/>
      <c r="E1117" s="163"/>
      <c r="F1117" s="177"/>
      <c r="G1117" s="177"/>
      <c r="H1117" s="177"/>
      <c r="I1117" s="177"/>
      <c r="J1117" s="177"/>
      <c r="K1117" s="177"/>
      <c r="L1117" s="177"/>
      <c r="M1117" s="177"/>
      <c r="N1117" s="177"/>
      <c r="O1117" s="165"/>
      <c r="P1117" s="168"/>
    </row>
    <row r="1118" spans="4:16">
      <c r="A1118" s="161"/>
      <c r="B1118" s="13"/>
      <c r="C1118" s="13"/>
      <c r="D1118" s="170"/>
      <c r="E1118" s="171"/>
      <c r="F1118" s="177"/>
      <c r="G1118" s="177"/>
      <c r="H1118" s="177"/>
      <c r="I1118" s="177"/>
      <c r="J1118" s="177"/>
      <c r="K1118" s="177"/>
      <c r="L1118" s="177"/>
      <c r="M1118" s="177"/>
      <c r="N1118" s="177"/>
      <c r="O1118" s="165"/>
      <c r="P1118" s="168"/>
    </row>
    <row r="1119" spans="4:16">
      <c r="A1119" s="161"/>
      <c r="B1119" s="13"/>
      <c r="C1119" s="13"/>
      <c r="D1119" s="170"/>
      <c r="E1119" s="171"/>
      <c r="F1119" s="177"/>
      <c r="G1119" s="177"/>
      <c r="H1119" s="177"/>
      <c r="I1119" s="177"/>
      <c r="J1119" s="177"/>
      <c r="K1119" s="177"/>
      <c r="L1119" s="177"/>
      <c r="M1119" s="177"/>
      <c r="N1119" s="177"/>
      <c r="O1119" s="165"/>
      <c r="P1119" s="168"/>
    </row>
    <row r="1120" spans="4:16">
      <c r="A1120" s="161"/>
      <c r="B1120" s="13"/>
      <c r="C1120" s="13"/>
      <c r="D1120" s="170"/>
      <c r="E1120" s="171"/>
      <c r="F1120" s="177"/>
      <c r="G1120" s="177"/>
      <c r="H1120" s="177"/>
      <c r="I1120" s="177"/>
      <c r="J1120" s="177"/>
      <c r="K1120" s="177"/>
      <c r="L1120" s="177"/>
      <c r="M1120" s="177"/>
      <c r="N1120" s="177"/>
      <c r="O1120" s="165"/>
      <c r="P1120" s="168"/>
    </row>
    <row r="1121" spans="4:16">
      <c r="A1121" s="161"/>
      <c r="B1121" s="13"/>
      <c r="C1121" s="13"/>
      <c r="D1121" s="170"/>
      <c r="E1121" s="171"/>
      <c r="F1121" s="177"/>
      <c r="G1121" s="177"/>
      <c r="H1121" s="177"/>
      <c r="I1121" s="177"/>
      <c r="J1121" s="177"/>
      <c r="K1121" s="177"/>
      <c r="L1121" s="177"/>
      <c r="M1121" s="177"/>
      <c r="N1121" s="177"/>
      <c r="O1121" s="165"/>
      <c r="P1121" s="168"/>
    </row>
    <row r="1122" spans="16:16">
      <c r="A1122" s="161"/>
      <c r="B1122" s="13"/>
      <c r="C1122" s="13"/>
      <c r="D1122" s="162"/>
      <c r="E1122" s="163"/>
      <c r="F1122" s="177"/>
      <c r="G1122" s="177"/>
      <c r="H1122" s="177"/>
      <c r="I1122" s="177"/>
      <c r="J1122" s="177"/>
      <c r="K1122" s="177"/>
      <c r="L1122" s="177"/>
      <c r="M1122" s="177"/>
      <c r="N1122" s="177"/>
      <c r="O1122" s="165"/>
      <c r="P1122" s="168"/>
    </row>
    <row r="1123" spans="16:16">
      <c r="A1123" s="161"/>
      <c r="B1123" s="13"/>
      <c r="C1123" s="13"/>
      <c r="D1123" s="162"/>
      <c r="E1123" s="163"/>
      <c r="F1123" s="177"/>
      <c r="G1123" s="177"/>
      <c r="H1123" s="177"/>
      <c r="I1123" s="177"/>
      <c r="J1123" s="177"/>
      <c r="K1123" s="177"/>
      <c r="L1123" s="177"/>
      <c r="M1123" s="177"/>
      <c r="N1123" s="177"/>
      <c r="O1123" s="165"/>
      <c r="P1123" s="168"/>
    </row>
    <row r="1124" spans="16:16">
      <c r="A1124" s="161"/>
      <c r="B1124" s="13"/>
      <c r="C1124" s="13"/>
      <c r="D1124" s="162"/>
      <c r="E1124" s="163"/>
      <c r="F1124" s="177"/>
      <c r="G1124" s="177"/>
      <c r="H1124" s="177"/>
      <c r="I1124" s="177"/>
      <c r="J1124" s="177"/>
      <c r="K1124" s="177"/>
      <c r="L1124" s="177"/>
      <c r="M1124" s="177"/>
      <c r="N1124" s="177"/>
      <c r="O1124" s="165"/>
      <c r="P1124" s="168"/>
    </row>
    <row r="1125" spans="16:16">
      <c r="A1125" s="161"/>
      <c r="B1125" s="13"/>
      <c r="C1125" s="13"/>
      <c r="D1125" s="162"/>
      <c r="E1125" s="163"/>
      <c r="F1125" s="177"/>
      <c r="G1125" s="177"/>
      <c r="H1125" s="177"/>
      <c r="I1125" s="177"/>
      <c r="J1125" s="177"/>
      <c r="K1125" s="177"/>
      <c r="L1125" s="177"/>
      <c r="M1125" s="177"/>
      <c r="N1125" s="177"/>
      <c r="O1125" s="165"/>
      <c r="P1125" s="168"/>
    </row>
    <row r="1126" spans="16:16">
      <c r="A1126" s="161"/>
      <c r="B1126" s="13"/>
      <c r="C1126" s="13"/>
      <c r="D1126" s="162"/>
      <c r="E1126" s="163"/>
      <c r="F1126" s="177"/>
      <c r="G1126" s="177"/>
      <c r="H1126" s="177"/>
      <c r="I1126" s="177"/>
      <c r="J1126" s="177"/>
      <c r="K1126" s="177"/>
      <c r="L1126" s="177"/>
      <c r="M1126" s="177"/>
      <c r="N1126" s="177"/>
      <c r="O1126" s="165"/>
      <c r="P1126" s="168"/>
    </row>
    <row r="1127" spans="16:16">
      <c r="A1127" s="161"/>
      <c r="B1127" s="13"/>
      <c r="C1127" s="13"/>
      <c r="D1127" s="162"/>
      <c r="E1127" s="163"/>
      <c r="F1127" s="177"/>
      <c r="G1127" s="177"/>
      <c r="H1127" s="177"/>
      <c r="I1127" s="177"/>
      <c r="J1127" s="177"/>
      <c r="K1127" s="177"/>
      <c r="L1127" s="177"/>
      <c r="M1127" s="177"/>
      <c r="N1127" s="177"/>
      <c r="O1127" s="165"/>
      <c r="P1127" s="168"/>
    </row>
    <row r="1128" spans="16:16">
      <c r="A1128" s="161"/>
      <c r="B1128" s="13"/>
      <c r="C1128" s="13"/>
      <c r="D1128" s="162"/>
      <c r="E1128" s="163"/>
      <c r="F1128" s="177"/>
      <c r="G1128" s="177"/>
      <c r="H1128" s="177"/>
      <c r="I1128" s="177"/>
      <c r="J1128" s="177"/>
      <c r="K1128" s="177"/>
      <c r="L1128" s="177"/>
      <c r="M1128" s="177"/>
      <c r="N1128" s="177"/>
      <c r="O1128" s="165"/>
      <c r="P1128" s="168"/>
    </row>
    <row r="1129" spans="16:16">
      <c r="A1129" s="161"/>
      <c r="B1129" s="13"/>
      <c r="C1129" s="13"/>
      <c r="D1129" s="162"/>
      <c r="E1129" s="163"/>
      <c r="F1129" s="177"/>
      <c r="G1129" s="177"/>
      <c r="H1129" s="177"/>
      <c r="I1129" s="177"/>
      <c r="J1129" s="177"/>
      <c r="K1129" s="177"/>
      <c r="L1129" s="177"/>
      <c r="M1129" s="177"/>
      <c r="N1129" s="177"/>
      <c r="O1129" s="165"/>
      <c r="P1129" s="168"/>
    </row>
    <row r="1130" spans="16:16">
      <c r="A1130" s="161"/>
      <c r="B1130" s="13"/>
      <c r="C1130" s="13"/>
      <c r="D1130" s="162"/>
      <c r="E1130" s="163"/>
      <c r="F1130" s="177"/>
      <c r="G1130" s="177"/>
      <c r="H1130" s="177"/>
      <c r="I1130" s="177"/>
      <c r="J1130" s="177"/>
      <c r="K1130" s="177"/>
      <c r="L1130" s="177"/>
      <c r="M1130" s="177"/>
      <c r="N1130" s="177"/>
      <c r="O1130" s="165"/>
      <c r="P1130" s="168"/>
    </row>
    <row r="1131" spans="16:16">
      <c r="A1131" s="161"/>
      <c r="B1131" s="13"/>
      <c r="C1131" s="13"/>
      <c r="D1131" s="162"/>
      <c r="E1131" s="163"/>
      <c r="F1131" s="177"/>
      <c r="G1131" s="177"/>
      <c r="H1131" s="177"/>
      <c r="I1131" s="177"/>
      <c r="J1131" s="177"/>
      <c r="K1131" s="177"/>
      <c r="L1131" s="177"/>
      <c r="M1131" s="177"/>
      <c r="N1131" s="177"/>
      <c r="O1131" s="165"/>
      <c r="P1131" s="168"/>
    </row>
    <row r="1132" spans="16:16">
      <c r="A1132" s="161"/>
      <c r="B1132" s="13"/>
      <c r="C1132" s="13"/>
      <c r="D1132" s="162"/>
      <c r="E1132" s="163"/>
      <c r="F1132" s="177"/>
      <c r="G1132" s="177"/>
      <c r="H1132" s="177"/>
      <c r="I1132" s="177"/>
      <c r="J1132" s="177"/>
      <c r="K1132" s="177"/>
      <c r="L1132" s="177"/>
      <c r="M1132" s="177"/>
      <c r="N1132" s="177"/>
      <c r="O1132" s="165"/>
      <c r="P1132" s="168"/>
    </row>
    <row r="1133" spans="16:16">
      <c r="A1133" s="161"/>
      <c r="B1133" s="13"/>
      <c r="C1133" s="13"/>
      <c r="D1133" s="162"/>
      <c r="E1133" s="163"/>
      <c r="F1133" s="177"/>
      <c r="G1133" s="177"/>
      <c r="H1133" s="177"/>
      <c r="I1133" s="177"/>
      <c r="J1133" s="177"/>
      <c r="K1133" s="177"/>
      <c r="L1133" s="177"/>
      <c r="M1133" s="177"/>
      <c r="N1133" s="177"/>
      <c r="O1133" s="165"/>
      <c r="P1133" s="168"/>
    </row>
    <row r="1134" spans="16:16">
      <c r="A1134" s="161"/>
      <c r="B1134" s="13"/>
      <c r="C1134" s="13"/>
      <c r="D1134" s="162"/>
      <c r="E1134" s="163"/>
      <c r="F1134" s="177"/>
      <c r="G1134" s="177"/>
      <c r="H1134" s="177"/>
      <c r="I1134" s="177"/>
      <c r="J1134" s="177"/>
      <c r="K1134" s="177"/>
      <c r="L1134" s="177"/>
      <c r="M1134" s="177"/>
      <c r="N1134" s="177"/>
      <c r="O1134" s="165"/>
      <c r="P1134" s="168"/>
    </row>
    <row r="1135" spans="16:16">
      <c r="A1135" s="161"/>
      <c r="B1135" s="13"/>
      <c r="C1135" s="13"/>
      <c r="D1135" s="162"/>
      <c r="E1135" s="163"/>
      <c r="F1135" s="177"/>
      <c r="G1135" s="177"/>
      <c r="H1135" s="177"/>
      <c r="I1135" s="177"/>
      <c r="J1135" s="177"/>
      <c r="K1135" s="177"/>
      <c r="L1135" s="177"/>
      <c r="M1135" s="177"/>
      <c r="N1135" s="177"/>
      <c r="O1135" s="165"/>
      <c r="P1135" s="168"/>
    </row>
    <row r="1136" spans="16:16">
      <c r="A1136" s="161"/>
      <c r="B1136" s="13"/>
      <c r="C1136" s="13"/>
      <c r="D1136" s="162"/>
      <c r="E1136" s="163"/>
      <c r="F1136" s="177"/>
      <c r="G1136" s="177"/>
      <c r="H1136" s="177"/>
      <c r="I1136" s="177"/>
      <c r="J1136" s="177"/>
      <c r="K1136" s="177"/>
      <c r="L1136" s="177"/>
      <c r="M1136" s="177"/>
      <c r="N1136" s="177"/>
      <c r="O1136" s="165"/>
      <c r="P1136" s="168"/>
    </row>
    <row r="1137" spans="16:16">
      <c r="A1137" s="161"/>
      <c r="B1137" s="13"/>
      <c r="C1137" s="13"/>
      <c r="D1137" s="162"/>
      <c r="E1137" s="163"/>
      <c r="F1137" s="177"/>
      <c r="G1137" s="177"/>
      <c r="H1137" s="177"/>
      <c r="I1137" s="177"/>
      <c r="J1137" s="177"/>
      <c r="K1137" s="177"/>
      <c r="L1137" s="177"/>
      <c r="M1137" s="177"/>
      <c r="N1137" s="177"/>
      <c r="O1137" s="165"/>
      <c r="P1137" s="168"/>
    </row>
    <row r="1138" spans="16:16">
      <c r="A1138" s="161"/>
      <c r="B1138" s="13"/>
      <c r="C1138" s="13"/>
      <c r="D1138" s="162"/>
      <c r="E1138" s="163"/>
      <c r="F1138" s="177"/>
      <c r="G1138" s="177"/>
      <c r="H1138" s="177"/>
      <c r="I1138" s="177"/>
      <c r="J1138" s="177"/>
      <c r="K1138" s="177"/>
      <c r="L1138" s="177"/>
      <c r="M1138" s="177"/>
      <c r="N1138" s="177"/>
      <c r="O1138" s="165"/>
      <c r="P1138" s="168"/>
    </row>
    <row r="1139" spans="16:16">
      <c r="A1139" s="161"/>
      <c r="B1139" s="13"/>
      <c r="C1139" s="13"/>
      <c r="D1139" s="162"/>
      <c r="E1139" s="163"/>
      <c r="F1139" s="177"/>
      <c r="G1139" s="177"/>
      <c r="H1139" s="177"/>
      <c r="I1139" s="177"/>
      <c r="J1139" s="177"/>
      <c r="K1139" s="177"/>
      <c r="L1139" s="177"/>
      <c r="M1139" s="177"/>
      <c r="N1139" s="177"/>
      <c r="O1139" s="165"/>
      <c r="P1139" s="168"/>
    </row>
    <row r="1140" spans="16:16">
      <c r="A1140" s="161"/>
      <c r="B1140" s="13"/>
      <c r="C1140" s="13"/>
      <c r="D1140" s="162"/>
      <c r="E1140" s="163"/>
      <c r="F1140" s="177"/>
      <c r="G1140" s="177"/>
      <c r="H1140" s="177"/>
      <c r="I1140" s="177"/>
      <c r="J1140" s="177"/>
      <c r="K1140" s="177"/>
      <c r="L1140" s="177"/>
      <c r="M1140" s="177"/>
      <c r="N1140" s="177"/>
      <c r="O1140" s="165"/>
      <c r="P1140" s="168"/>
    </row>
    <row r="1141" spans="16:16">
      <c r="A1141" s="161"/>
      <c r="B1141" s="13"/>
      <c r="C1141" s="13"/>
      <c r="D1141" s="162"/>
      <c r="E1141" s="163"/>
      <c r="F1141" s="177"/>
      <c r="G1141" s="177"/>
      <c r="H1141" s="177"/>
      <c r="I1141" s="177"/>
      <c r="J1141" s="177"/>
      <c r="K1141" s="177"/>
      <c r="L1141" s="177"/>
      <c r="M1141" s="177"/>
      <c r="N1141" s="177"/>
      <c r="O1141" s="165"/>
      <c r="P1141" s="168"/>
    </row>
    <row r="1142" spans="16:16">
      <c r="A1142" s="161"/>
      <c r="B1142" s="13"/>
      <c r="C1142" s="13"/>
      <c r="D1142" s="162"/>
      <c r="E1142" s="163"/>
      <c r="F1142" s="177"/>
      <c r="G1142" s="177"/>
      <c r="H1142" s="177"/>
      <c r="I1142" s="177"/>
      <c r="J1142" s="177"/>
      <c r="K1142" s="177"/>
      <c r="L1142" s="177"/>
      <c r="M1142" s="177"/>
      <c r="N1142" s="177"/>
      <c r="O1142" s="165"/>
      <c r="P1142" s="168"/>
    </row>
    <row r="1143" spans="16:16">
      <c r="A1143" s="161"/>
      <c r="B1143" s="13"/>
      <c r="C1143" s="13"/>
      <c r="D1143" s="162"/>
      <c r="E1143" s="163"/>
      <c r="F1143" s="177"/>
      <c r="G1143" s="177"/>
      <c r="H1143" s="177"/>
      <c r="I1143" s="177"/>
      <c r="J1143" s="177"/>
      <c r="K1143" s="177"/>
      <c r="L1143" s="177"/>
      <c r="M1143" s="177"/>
      <c r="N1143" s="177"/>
      <c r="O1143" s="165"/>
      <c r="P1143" s="168"/>
    </row>
    <row r="1144" spans="16:16">
      <c r="A1144" s="161"/>
      <c r="B1144" s="13"/>
      <c r="C1144" s="13"/>
      <c r="D1144" s="162"/>
      <c r="E1144" s="163"/>
      <c r="F1144" s="177"/>
      <c r="G1144" s="177"/>
      <c r="H1144" s="177"/>
      <c r="I1144" s="177"/>
      <c r="J1144" s="177"/>
      <c r="K1144" s="177"/>
      <c r="L1144" s="177"/>
      <c r="M1144" s="177"/>
      <c r="N1144" s="177"/>
      <c r="O1144" s="165"/>
      <c r="P1144" s="168"/>
    </row>
    <row r="1145" spans="16:16">
      <c r="A1145" s="161"/>
      <c r="B1145" s="13"/>
      <c r="C1145" s="13"/>
      <c r="D1145" s="162"/>
      <c r="E1145" s="163"/>
      <c r="F1145" s="177"/>
      <c r="G1145" s="177"/>
      <c r="H1145" s="177"/>
      <c r="I1145" s="177"/>
      <c r="J1145" s="177"/>
      <c r="K1145" s="177"/>
      <c r="L1145" s="177"/>
      <c r="M1145" s="177"/>
      <c r="N1145" s="177"/>
      <c r="O1145" s="165"/>
      <c r="P1145" s="168"/>
    </row>
    <row r="1146" spans="16:16">
      <c r="A1146" s="161"/>
      <c r="B1146" s="13"/>
      <c r="C1146" s="13"/>
      <c r="D1146" s="162"/>
      <c r="E1146" s="163"/>
      <c r="F1146" s="177"/>
      <c r="G1146" s="177"/>
      <c r="H1146" s="177"/>
      <c r="I1146" s="177"/>
      <c r="J1146" s="177"/>
      <c r="K1146" s="177"/>
      <c r="L1146" s="177"/>
      <c r="M1146" s="177"/>
      <c r="N1146" s="177"/>
      <c r="O1146" s="165"/>
      <c r="P1146" s="168"/>
    </row>
    <row r="1147" spans="16:16">
      <c r="A1147" s="161"/>
      <c r="B1147" s="13"/>
      <c r="C1147" s="13"/>
      <c r="D1147" s="162"/>
      <c r="E1147" s="163"/>
      <c r="F1147" s="177"/>
      <c r="G1147" s="177"/>
      <c r="H1147" s="177"/>
      <c r="I1147" s="177"/>
      <c r="J1147" s="177"/>
      <c r="K1147" s="177"/>
      <c r="L1147" s="177"/>
      <c r="M1147" s="177"/>
      <c r="N1147" s="177"/>
      <c r="O1147" s="165"/>
      <c r="P1147" s="168"/>
    </row>
    <row r="1148" spans="16:16">
      <c r="A1148" s="161"/>
      <c r="B1148" s="13"/>
      <c r="C1148" s="13"/>
      <c r="D1148" s="162"/>
      <c r="E1148" s="163"/>
      <c r="F1148" s="177"/>
      <c r="G1148" s="177"/>
      <c r="H1148" s="177"/>
      <c r="I1148" s="177"/>
      <c r="J1148" s="177"/>
      <c r="K1148" s="177"/>
      <c r="L1148" s="177"/>
      <c r="M1148" s="177"/>
      <c r="N1148" s="177"/>
      <c r="O1148" s="165"/>
      <c r="P1148" s="168"/>
    </row>
    <row r="1149" spans="16:16">
      <c r="A1149" s="161"/>
      <c r="B1149" s="13"/>
      <c r="C1149" s="13"/>
      <c r="D1149" s="162"/>
      <c r="E1149" s="163"/>
      <c r="F1149" s="177"/>
      <c r="G1149" s="177"/>
      <c r="H1149" s="177"/>
      <c r="I1149" s="177"/>
      <c r="J1149" s="177"/>
      <c r="K1149" s="177"/>
      <c r="L1149" s="177"/>
      <c r="M1149" s="177"/>
      <c r="N1149" s="177"/>
      <c r="O1149" s="165"/>
      <c r="P1149" s="168"/>
    </row>
    <row r="1150" spans="16:16">
      <c r="A1150" s="161"/>
      <c r="B1150" s="13"/>
      <c r="C1150" s="13"/>
      <c r="D1150" s="162"/>
      <c r="E1150" s="163"/>
      <c r="F1150" s="177"/>
      <c r="G1150" s="177"/>
      <c r="H1150" s="177"/>
      <c r="I1150" s="177"/>
      <c r="J1150" s="177"/>
      <c r="K1150" s="177"/>
      <c r="L1150" s="177"/>
      <c r="M1150" s="177"/>
      <c r="N1150" s="177"/>
      <c r="O1150" s="165"/>
      <c r="P1150" s="168"/>
    </row>
    <row r="1151" spans="16:16">
      <c r="A1151" s="161"/>
      <c r="B1151" s="13"/>
      <c r="C1151" s="13"/>
      <c r="D1151" s="162"/>
      <c r="E1151" s="163"/>
      <c r="F1151" s="177"/>
      <c r="G1151" s="177"/>
      <c r="H1151" s="177"/>
      <c r="I1151" s="177"/>
      <c r="J1151" s="177"/>
      <c r="K1151" s="177"/>
      <c r="L1151" s="177"/>
      <c r="M1151" s="177"/>
      <c r="N1151" s="177"/>
      <c r="O1151" s="165"/>
      <c r="P1151" s="168"/>
    </row>
    <row r="1152" spans="16:16">
      <c r="A1152" s="161"/>
      <c r="B1152" s="13"/>
      <c r="C1152" s="13"/>
      <c r="D1152" s="162"/>
      <c r="E1152" s="163"/>
      <c r="F1152" s="177"/>
      <c r="G1152" s="177"/>
      <c r="H1152" s="177"/>
      <c r="I1152" s="177"/>
      <c r="J1152" s="177"/>
      <c r="K1152" s="177"/>
      <c r="L1152" s="177"/>
      <c r="M1152" s="177"/>
      <c r="N1152" s="177"/>
      <c r="O1152" s="165"/>
      <c r="P1152" s="168"/>
    </row>
    <row r="1153" spans="16:16">
      <c r="A1153" s="161"/>
      <c r="B1153" s="13"/>
      <c r="C1153" s="13"/>
      <c r="D1153" s="162"/>
      <c r="E1153" s="163"/>
      <c r="F1153" s="177"/>
      <c r="G1153" s="177"/>
      <c r="H1153" s="177"/>
      <c r="I1153" s="177"/>
      <c r="J1153" s="177"/>
      <c r="K1153" s="177"/>
      <c r="L1153" s="177"/>
      <c r="M1153" s="177"/>
      <c r="N1153" s="177"/>
      <c r="O1153" s="165"/>
      <c r="P1153" s="168"/>
    </row>
    <row r="1154" spans="16:16">
      <c r="A1154" s="161"/>
      <c r="B1154" s="13"/>
      <c r="C1154" s="13"/>
      <c r="D1154" s="162"/>
      <c r="E1154" s="163"/>
      <c r="F1154" s="177"/>
      <c r="G1154" s="177"/>
      <c r="H1154" s="177"/>
      <c r="I1154" s="177"/>
      <c r="J1154" s="177"/>
      <c r="K1154" s="177"/>
      <c r="L1154" s="177"/>
      <c r="M1154" s="177"/>
      <c r="N1154" s="177"/>
      <c r="O1154" s="165"/>
      <c r="P1154" s="168"/>
    </row>
    <row r="1155" spans="16:16">
      <c r="A1155" s="161"/>
      <c r="B1155" s="13"/>
      <c r="C1155" s="13"/>
      <c r="D1155" s="162"/>
      <c r="E1155" s="163"/>
      <c r="F1155" s="177"/>
      <c r="G1155" s="177"/>
      <c r="H1155" s="177"/>
      <c r="I1155" s="177"/>
      <c r="J1155" s="177"/>
      <c r="K1155" s="177"/>
      <c r="L1155" s="177"/>
      <c r="M1155" s="177"/>
      <c r="N1155" s="177"/>
      <c r="O1155" s="165"/>
      <c r="P1155" s="168"/>
    </row>
    <row r="1156" spans="16:16">
      <c r="A1156" s="161"/>
      <c r="B1156" s="13"/>
      <c r="C1156" s="13"/>
      <c r="D1156" s="162"/>
      <c r="E1156" s="163"/>
      <c r="F1156" s="177"/>
      <c r="G1156" s="177"/>
      <c r="H1156" s="177"/>
      <c r="I1156" s="177"/>
      <c r="J1156" s="177"/>
      <c r="K1156" s="177"/>
      <c r="L1156" s="177"/>
      <c r="M1156" s="177"/>
      <c r="N1156" s="177"/>
      <c r="O1156" s="165"/>
      <c r="P1156" s="168"/>
    </row>
    <row r="1157" spans="16:16">
      <c r="A1157" s="161"/>
      <c r="B1157" s="13"/>
      <c r="C1157" s="13"/>
      <c r="D1157" s="162"/>
      <c r="E1157" s="163"/>
      <c r="F1157" s="177"/>
      <c r="G1157" s="177"/>
      <c r="H1157" s="177"/>
      <c r="I1157" s="177"/>
      <c r="J1157" s="177"/>
      <c r="K1157" s="177"/>
      <c r="L1157" s="177"/>
      <c r="M1157" s="177"/>
      <c r="N1157" s="177"/>
      <c r="O1157" s="165"/>
      <c r="P1157" s="168"/>
    </row>
    <row r="1158" spans="16:16">
      <c r="A1158" s="161"/>
      <c r="B1158" s="13"/>
      <c r="C1158" s="13"/>
      <c r="D1158" s="162"/>
      <c r="E1158" s="163"/>
      <c r="F1158" s="177"/>
      <c r="G1158" s="177"/>
      <c r="H1158" s="177"/>
      <c r="I1158" s="177"/>
      <c r="J1158" s="177"/>
      <c r="K1158" s="177"/>
      <c r="L1158" s="177"/>
      <c r="M1158" s="177"/>
      <c r="N1158" s="177"/>
      <c r="O1158" s="165"/>
      <c r="P1158" s="168"/>
    </row>
    <row r="1159" spans="16:16">
      <c r="A1159" s="161"/>
      <c r="B1159" s="13"/>
      <c r="C1159" s="13"/>
      <c r="D1159" s="162"/>
      <c r="E1159" s="163"/>
      <c r="F1159" s="177"/>
      <c r="G1159" s="177"/>
      <c r="H1159" s="177"/>
      <c r="I1159" s="177"/>
      <c r="J1159" s="177"/>
      <c r="K1159" s="177"/>
      <c r="L1159" s="177"/>
      <c r="M1159" s="177"/>
      <c r="N1159" s="177"/>
      <c r="O1159" s="165"/>
      <c r="P1159" s="168"/>
    </row>
    <row r="1160" spans="16:16">
      <c r="A1160" s="161"/>
      <c r="B1160" s="13"/>
      <c r="C1160" s="13"/>
      <c r="D1160" s="162"/>
      <c r="E1160" s="163"/>
      <c r="F1160" s="177"/>
      <c r="G1160" s="177"/>
      <c r="H1160" s="177"/>
      <c r="I1160" s="177"/>
      <c r="J1160" s="177"/>
      <c r="K1160" s="177"/>
      <c r="L1160" s="177"/>
      <c r="M1160" s="177"/>
      <c r="N1160" s="177"/>
      <c r="O1160" s="165"/>
      <c r="P1160" s="168"/>
    </row>
    <row r="1161" spans="16:16">
      <c r="A1161" s="161"/>
      <c r="B1161" s="13"/>
      <c r="C1161" s="13"/>
      <c r="D1161" s="162"/>
      <c r="E1161" s="163"/>
      <c r="F1161" s="177"/>
      <c r="G1161" s="177"/>
      <c r="H1161" s="177"/>
      <c r="I1161" s="177"/>
      <c r="J1161" s="177"/>
      <c r="K1161" s="177"/>
      <c r="L1161" s="177"/>
      <c r="M1161" s="177"/>
      <c r="N1161" s="177"/>
      <c r="O1161" s="165"/>
      <c r="P1161" s="168"/>
    </row>
    <row r="1162" spans="16:16">
      <c r="A1162" s="161"/>
      <c r="B1162" s="13"/>
      <c r="C1162" s="13"/>
      <c r="D1162" s="162"/>
      <c r="E1162" s="163"/>
      <c r="F1162" s="177"/>
      <c r="G1162" s="177"/>
      <c r="H1162" s="177"/>
      <c r="I1162" s="177"/>
      <c r="J1162" s="177"/>
      <c r="K1162" s="177"/>
      <c r="L1162" s="177"/>
      <c r="M1162" s="177"/>
      <c r="N1162" s="177"/>
      <c r="O1162" s="165"/>
      <c r="P1162" s="168"/>
    </row>
    <row r="1163" spans="16:16">
      <c r="A1163" s="161"/>
      <c r="B1163" s="13"/>
      <c r="C1163" s="13"/>
      <c r="D1163" s="162"/>
      <c r="E1163" s="163"/>
      <c r="F1163" s="177"/>
      <c r="G1163" s="177"/>
      <c r="H1163" s="177"/>
      <c r="I1163" s="177"/>
      <c r="J1163" s="177"/>
      <c r="K1163" s="177"/>
      <c r="L1163" s="177"/>
      <c r="M1163" s="177"/>
      <c r="N1163" s="177"/>
      <c r="O1163" s="165"/>
      <c r="P1163" s="168"/>
    </row>
    <row r="1164" spans="16:16">
      <c r="A1164" s="161"/>
      <c r="B1164" s="13"/>
      <c r="C1164" s="13"/>
      <c r="D1164" s="162"/>
      <c r="E1164" s="163"/>
      <c r="F1164" s="177"/>
      <c r="G1164" s="177"/>
      <c r="H1164" s="177"/>
      <c r="I1164" s="177"/>
      <c r="J1164" s="177"/>
      <c r="K1164" s="177"/>
      <c r="L1164" s="177"/>
      <c r="M1164" s="177"/>
      <c r="N1164" s="177"/>
      <c r="O1164" s="165"/>
      <c r="P1164" s="168"/>
    </row>
    <row r="1165" spans="16:16">
      <c r="A1165" s="161"/>
      <c r="B1165" s="13"/>
      <c r="C1165" s="13"/>
      <c r="D1165" s="162"/>
      <c r="E1165" s="163"/>
      <c r="F1165" s="177"/>
      <c r="G1165" s="177"/>
      <c r="H1165" s="177"/>
      <c r="I1165" s="177"/>
      <c r="J1165" s="177"/>
      <c r="K1165" s="177"/>
      <c r="L1165" s="177"/>
      <c r="M1165" s="177"/>
      <c r="N1165" s="177"/>
      <c r="O1165" s="165"/>
      <c r="P1165" s="168"/>
    </row>
    <row r="1166" spans="16:16">
      <c r="A1166" s="161"/>
      <c r="B1166" s="13"/>
      <c r="C1166" s="13"/>
      <c r="D1166" s="162"/>
      <c r="E1166" s="163"/>
      <c r="F1166" s="177"/>
      <c r="G1166" s="177"/>
      <c r="H1166" s="177"/>
      <c r="I1166" s="177"/>
      <c r="J1166" s="177"/>
      <c r="K1166" s="177"/>
      <c r="L1166" s="177"/>
      <c r="M1166" s="177"/>
      <c r="N1166" s="177"/>
      <c r="O1166" s="165"/>
      <c r="P1166" s="168"/>
    </row>
    <row r="1167" spans="16:16">
      <c r="A1167" s="161"/>
      <c r="B1167" s="13"/>
      <c r="C1167" s="13"/>
      <c r="D1167" s="162"/>
      <c r="E1167" s="163"/>
      <c r="F1167" s="177"/>
      <c r="G1167" s="177"/>
      <c r="H1167" s="177"/>
      <c r="I1167" s="177"/>
      <c r="J1167" s="177"/>
      <c r="K1167" s="177"/>
      <c r="L1167" s="177"/>
      <c r="M1167" s="177"/>
      <c r="N1167" s="177"/>
      <c r="O1167" s="165"/>
      <c r="P1167" s="168"/>
    </row>
    <row r="1168" spans="16:16">
      <c r="A1168" s="161"/>
      <c r="B1168" s="13"/>
      <c r="C1168" s="13"/>
      <c r="D1168" s="162"/>
      <c r="E1168" s="163"/>
      <c r="F1168" s="177"/>
      <c r="G1168" s="177"/>
      <c r="H1168" s="177"/>
      <c r="I1168" s="177"/>
      <c r="J1168" s="177"/>
      <c r="K1168" s="177"/>
      <c r="L1168" s="177"/>
      <c r="M1168" s="177"/>
      <c r="N1168" s="177"/>
      <c r="O1168" s="165"/>
      <c r="P1168" s="168"/>
    </row>
    <row r="1169" spans="16:16">
      <c r="A1169" s="161"/>
      <c r="B1169" s="13"/>
      <c r="C1169" s="13"/>
      <c r="D1169" s="162"/>
      <c r="E1169" s="163"/>
      <c r="F1169" s="177"/>
      <c r="G1169" s="177"/>
      <c r="H1169" s="177"/>
      <c r="I1169" s="177"/>
      <c r="J1169" s="177"/>
      <c r="K1169" s="177"/>
      <c r="L1169" s="177"/>
      <c r="M1169" s="177"/>
      <c r="N1169" s="177"/>
      <c r="O1169" s="165"/>
      <c r="P1169" s="168"/>
    </row>
    <row r="1170" spans="16:16">
      <c r="A1170" s="161"/>
      <c r="B1170" s="13"/>
      <c r="C1170" s="13"/>
      <c r="D1170" s="162"/>
      <c r="E1170" s="163"/>
      <c r="F1170" s="177"/>
      <c r="G1170" s="177"/>
      <c r="H1170" s="177"/>
      <c r="I1170" s="177"/>
      <c r="J1170" s="177"/>
      <c r="K1170" s="177"/>
      <c r="L1170" s="177"/>
      <c r="M1170" s="177"/>
      <c r="N1170" s="177"/>
      <c r="O1170" s="165"/>
      <c r="P1170" s="168"/>
    </row>
    <row r="1171" spans="16:16">
      <c r="A1171" s="161"/>
      <c r="B1171" s="13"/>
      <c r="C1171" s="13"/>
      <c r="D1171" s="162"/>
      <c r="E1171" s="163"/>
      <c r="F1171" s="177"/>
      <c r="G1171" s="177"/>
      <c r="H1171" s="177"/>
      <c r="I1171" s="177"/>
      <c r="J1171" s="177"/>
      <c r="K1171" s="177"/>
      <c r="L1171" s="177"/>
      <c r="M1171" s="177"/>
      <c r="N1171" s="177"/>
      <c r="O1171" s="165"/>
      <c r="P1171" s="168"/>
    </row>
    <row r="1172" spans="16:16">
      <c r="A1172" s="161"/>
      <c r="B1172" s="13"/>
      <c r="C1172" s="13"/>
      <c r="D1172" s="162"/>
      <c r="E1172" s="163"/>
      <c r="F1172" s="177"/>
      <c r="G1172" s="177"/>
      <c r="H1172" s="177"/>
      <c r="I1172" s="177"/>
      <c r="J1172" s="177"/>
      <c r="K1172" s="177"/>
      <c r="L1172" s="177"/>
      <c r="M1172" s="177"/>
      <c r="N1172" s="177"/>
      <c r="O1172" s="165"/>
      <c r="P1172" s="168"/>
    </row>
    <row r="1173" spans="16:16">
      <c r="A1173" s="161"/>
      <c r="B1173" s="13"/>
      <c r="C1173" s="13"/>
      <c r="D1173" s="162"/>
      <c r="E1173" s="163"/>
      <c r="F1173" s="177"/>
      <c r="G1173" s="177"/>
      <c r="H1173" s="177"/>
      <c r="I1173" s="177"/>
      <c r="J1173" s="177"/>
      <c r="K1173" s="177"/>
      <c r="L1173" s="177"/>
      <c r="M1173" s="177"/>
      <c r="N1173" s="177"/>
      <c r="O1173" s="165"/>
      <c r="P1173" s="168"/>
    </row>
    <row r="1174" spans="16:16">
      <c r="A1174" s="161"/>
      <c r="B1174" s="13"/>
      <c r="C1174" s="13"/>
      <c r="D1174" s="162"/>
      <c r="E1174" s="163"/>
      <c r="F1174" s="177"/>
      <c r="G1174" s="177"/>
      <c r="H1174" s="177"/>
      <c r="I1174" s="177"/>
      <c r="J1174" s="177"/>
      <c r="K1174" s="177"/>
      <c r="L1174" s="177"/>
      <c r="M1174" s="177"/>
      <c r="N1174" s="177"/>
      <c r="O1174" s="165"/>
      <c r="P1174" s="168"/>
    </row>
    <row r="1175" spans="16:16">
      <c r="A1175" s="161"/>
      <c r="B1175" s="13"/>
      <c r="C1175" s="13"/>
      <c r="D1175" s="162"/>
      <c r="E1175" s="163"/>
      <c r="F1175" s="177"/>
      <c r="G1175" s="177"/>
      <c r="H1175" s="177"/>
      <c r="I1175" s="177"/>
      <c r="J1175" s="177"/>
      <c r="K1175" s="177"/>
      <c r="L1175" s="177"/>
      <c r="M1175" s="177"/>
      <c r="N1175" s="177"/>
      <c r="O1175" s="165"/>
      <c r="P1175" s="168"/>
    </row>
    <row r="1176" spans="16:16">
      <c r="A1176" s="161"/>
      <c r="B1176" s="13"/>
      <c r="C1176" s="13"/>
      <c r="D1176" s="162"/>
      <c r="E1176" s="163"/>
      <c r="F1176" s="177"/>
      <c r="G1176" s="177"/>
      <c r="H1176" s="177"/>
      <c r="I1176" s="177"/>
      <c r="J1176" s="177"/>
      <c r="K1176" s="177"/>
      <c r="L1176" s="177"/>
      <c r="M1176" s="177"/>
      <c r="N1176" s="177"/>
      <c r="O1176" s="165"/>
      <c r="P1176" s="168"/>
    </row>
    <row r="1177" spans="16:16">
      <c r="A1177" s="161"/>
      <c r="B1177" s="13"/>
      <c r="C1177" s="13"/>
      <c r="D1177" s="162"/>
      <c r="E1177" s="163"/>
      <c r="F1177" s="177"/>
      <c r="G1177" s="177"/>
      <c r="H1177" s="177"/>
      <c r="I1177" s="177"/>
      <c r="J1177" s="177"/>
      <c r="K1177" s="177"/>
      <c r="L1177" s="177"/>
      <c r="M1177" s="177"/>
      <c r="N1177" s="177"/>
      <c r="O1177" s="165"/>
      <c r="P1177" s="168"/>
    </row>
    <row r="1178" spans="16:16">
      <c r="A1178" s="161"/>
      <c r="B1178" s="13"/>
      <c r="C1178" s="13"/>
      <c r="D1178" s="162"/>
      <c r="E1178" s="163"/>
      <c r="F1178" s="177"/>
      <c r="G1178" s="177"/>
      <c r="H1178" s="177"/>
      <c r="I1178" s="177"/>
      <c r="J1178" s="177"/>
      <c r="K1178" s="177"/>
      <c r="L1178" s="177"/>
      <c r="M1178" s="177"/>
      <c r="N1178" s="177"/>
      <c r="O1178" s="165"/>
      <c r="P1178" s="168"/>
    </row>
    <row r="1179" spans="16:16">
      <c r="A1179" s="161"/>
      <c r="B1179" s="13"/>
      <c r="C1179" s="13"/>
      <c r="D1179" s="162"/>
      <c r="E1179" s="163"/>
      <c r="F1179" s="177"/>
      <c r="G1179" s="177"/>
      <c r="H1179" s="177"/>
      <c r="I1179" s="177"/>
      <c r="J1179" s="177"/>
      <c r="K1179" s="177"/>
      <c r="L1179" s="177"/>
      <c r="M1179" s="177"/>
      <c r="N1179" s="177"/>
      <c r="O1179" s="165"/>
      <c r="P1179" s="168"/>
    </row>
    <row r="1180" spans="16:16">
      <c r="A1180" s="161"/>
      <c r="B1180" s="13"/>
      <c r="C1180" s="13"/>
      <c r="D1180" s="162"/>
      <c r="E1180" s="163"/>
      <c r="F1180" s="177"/>
      <c r="G1180" s="177"/>
      <c r="H1180" s="177"/>
      <c r="I1180" s="177"/>
      <c r="J1180" s="177"/>
      <c r="K1180" s="177"/>
      <c r="L1180" s="177"/>
      <c r="M1180" s="177"/>
      <c r="N1180" s="177"/>
      <c r="O1180" s="165"/>
      <c r="P1180" s="168"/>
    </row>
    <row r="1181" spans="16:16">
      <c r="A1181" s="161"/>
      <c r="B1181" s="13"/>
      <c r="C1181" s="13"/>
      <c r="D1181" s="162"/>
      <c r="E1181" s="163"/>
      <c r="F1181" s="177"/>
      <c r="G1181" s="177"/>
      <c r="H1181" s="177"/>
      <c r="I1181" s="177"/>
      <c r="J1181" s="177"/>
      <c r="K1181" s="177"/>
      <c r="L1181" s="177"/>
      <c r="M1181" s="177"/>
      <c r="N1181" s="177"/>
      <c r="O1181" s="165"/>
      <c r="P1181" s="168"/>
    </row>
    <row r="1182" spans="16:16">
      <c r="A1182" s="161"/>
      <c r="B1182" s="13"/>
      <c r="C1182" s="13"/>
      <c r="D1182" s="162"/>
      <c r="E1182" s="163"/>
      <c r="F1182" s="177"/>
      <c r="G1182" s="177"/>
      <c r="H1182" s="177"/>
      <c r="I1182" s="177"/>
      <c r="J1182" s="177"/>
      <c r="K1182" s="177"/>
      <c r="L1182" s="177"/>
      <c r="M1182" s="177"/>
      <c r="N1182" s="177"/>
      <c r="O1182" s="165"/>
      <c r="P1182" s="168"/>
    </row>
    <row r="1183" spans="16:16">
      <c r="A1183" s="161"/>
      <c r="B1183" s="13"/>
      <c r="C1183" s="13"/>
      <c r="D1183" s="162"/>
      <c r="E1183" s="163"/>
      <c r="F1183" s="177"/>
      <c r="G1183" s="177"/>
      <c r="H1183" s="177"/>
      <c r="I1183" s="177"/>
      <c r="J1183" s="177"/>
      <c r="K1183" s="177"/>
      <c r="L1183" s="177"/>
      <c r="M1183" s="177"/>
      <c r="N1183" s="177"/>
      <c r="O1183" s="165"/>
      <c r="P1183" s="168"/>
    </row>
    <row r="1184" spans="16:16">
      <c r="A1184" s="161"/>
      <c r="B1184" s="13"/>
      <c r="C1184" s="13"/>
      <c r="D1184" s="162"/>
      <c r="E1184" s="163"/>
      <c r="F1184" s="177"/>
      <c r="G1184" s="177"/>
      <c r="H1184" s="177"/>
      <c r="I1184" s="177"/>
      <c r="J1184" s="177"/>
      <c r="K1184" s="177"/>
      <c r="L1184" s="177"/>
      <c r="M1184" s="177"/>
      <c r="N1184" s="177"/>
      <c r="O1184" s="165"/>
      <c r="P1184" s="168"/>
    </row>
    <row r="1185" spans="16:16">
      <c r="A1185" s="161"/>
      <c r="B1185" s="13"/>
      <c r="C1185" s="13"/>
      <c r="D1185" s="162"/>
      <c r="E1185" s="163"/>
      <c r="F1185" s="177"/>
      <c r="G1185" s="177"/>
      <c r="H1185" s="177"/>
      <c r="I1185" s="177"/>
      <c r="J1185" s="177"/>
      <c r="K1185" s="177"/>
      <c r="L1185" s="177"/>
      <c r="M1185" s="177"/>
      <c r="N1185" s="177"/>
      <c r="O1185" s="165"/>
      <c r="P1185" s="168"/>
    </row>
    <row r="1186" spans="16:16">
      <c r="A1186" s="161"/>
      <c r="B1186" s="13"/>
      <c r="C1186" s="13"/>
      <c r="D1186" s="162"/>
      <c r="E1186" s="163"/>
      <c r="F1186" s="177"/>
      <c r="G1186" s="177"/>
      <c r="H1186" s="177"/>
      <c r="I1186" s="177"/>
      <c r="J1186" s="177"/>
      <c r="K1186" s="177"/>
      <c r="L1186" s="177"/>
      <c r="M1186" s="177"/>
      <c r="N1186" s="177"/>
      <c r="O1186" s="165"/>
      <c r="P1186" s="168"/>
    </row>
    <row r="1187" spans="16:16">
      <c r="A1187" s="161"/>
      <c r="B1187" s="13"/>
      <c r="C1187" s="13"/>
      <c r="D1187" s="162"/>
      <c r="E1187" s="163"/>
      <c r="F1187" s="177"/>
      <c r="G1187" s="177"/>
      <c r="H1187" s="177"/>
      <c r="I1187" s="177"/>
      <c r="J1187" s="177"/>
      <c r="K1187" s="177"/>
      <c r="L1187" s="177"/>
      <c r="M1187" s="177"/>
      <c r="N1187" s="177"/>
      <c r="O1187" s="165"/>
      <c r="P1187" s="168"/>
    </row>
    <row r="1188" spans="16:16">
      <c r="A1188" s="161"/>
      <c r="B1188" s="13"/>
      <c r="C1188" s="13"/>
      <c r="D1188" s="162"/>
      <c r="E1188" s="163"/>
      <c r="F1188" s="177"/>
      <c r="G1188" s="177"/>
      <c r="H1188" s="177"/>
      <c r="I1188" s="177"/>
      <c r="J1188" s="177"/>
      <c r="K1188" s="177"/>
      <c r="L1188" s="177"/>
      <c r="M1188" s="177"/>
      <c r="N1188" s="177"/>
      <c r="O1188" s="165"/>
      <c r="P1188" s="168"/>
    </row>
    <row r="1189" spans="16:16">
      <c r="A1189" s="161"/>
      <c r="B1189" s="13"/>
      <c r="C1189" s="13"/>
      <c r="D1189" s="162"/>
      <c r="E1189" s="163"/>
      <c r="F1189" s="177"/>
      <c r="G1189" s="177"/>
      <c r="H1189" s="177"/>
      <c r="I1189" s="177"/>
      <c r="J1189" s="177"/>
      <c r="K1189" s="177"/>
      <c r="L1189" s="177"/>
      <c r="M1189" s="177"/>
      <c r="N1189" s="177"/>
      <c r="O1189" s="165"/>
      <c r="P1189" s="168"/>
    </row>
    <row r="1190" spans="16:16">
      <c r="A1190" s="161"/>
      <c r="B1190" s="13"/>
      <c r="C1190" s="13"/>
      <c r="D1190" s="162"/>
      <c r="E1190" s="163"/>
      <c r="F1190" s="177"/>
      <c r="G1190" s="177"/>
      <c r="H1190" s="177"/>
      <c r="I1190" s="177"/>
      <c r="J1190" s="177"/>
      <c r="K1190" s="177"/>
      <c r="L1190" s="177"/>
      <c r="M1190" s="177"/>
      <c r="N1190" s="177"/>
      <c r="O1190" s="165"/>
      <c r="P1190" s="168"/>
    </row>
    <row r="1191" spans="16:16">
      <c r="A1191" s="161"/>
      <c r="B1191" s="13"/>
      <c r="C1191" s="13"/>
      <c r="D1191" s="162"/>
      <c r="E1191" s="163"/>
      <c r="F1191" s="177"/>
      <c r="G1191" s="177"/>
      <c r="H1191" s="177"/>
      <c r="I1191" s="177"/>
      <c r="J1191" s="177"/>
      <c r="K1191" s="177"/>
      <c r="L1191" s="177"/>
      <c r="M1191" s="177"/>
      <c r="N1191" s="177"/>
      <c r="O1191" s="165"/>
      <c r="P1191" s="168"/>
    </row>
    <row r="1192" spans="16:16">
      <c r="A1192" s="161"/>
      <c r="B1192" s="13"/>
      <c r="C1192" s="13"/>
      <c r="D1192" s="162"/>
      <c r="E1192" s="163"/>
      <c r="F1192" s="177"/>
      <c r="G1192" s="177"/>
      <c r="H1192" s="177"/>
      <c r="I1192" s="177"/>
      <c r="J1192" s="177"/>
      <c r="K1192" s="177"/>
      <c r="L1192" s="177"/>
      <c r="M1192" s="177"/>
      <c r="N1192" s="177"/>
      <c r="O1192" s="165"/>
      <c r="P1192" s="168"/>
    </row>
    <row r="1193" spans="16:16">
      <c r="A1193" s="161"/>
      <c r="B1193" s="13"/>
      <c r="C1193" s="13"/>
      <c r="D1193" s="162"/>
      <c r="E1193" s="163"/>
      <c r="F1193" s="177"/>
      <c r="G1193" s="177"/>
      <c r="H1193" s="177"/>
      <c r="I1193" s="177"/>
      <c r="J1193" s="177"/>
      <c r="K1193" s="177"/>
      <c r="L1193" s="177"/>
      <c r="M1193" s="177"/>
      <c r="N1193" s="177"/>
      <c r="O1193" s="165"/>
      <c r="P1193" s="168"/>
    </row>
    <row r="1194" spans="16:16">
      <c r="A1194" s="161"/>
      <c r="B1194" s="13"/>
      <c r="C1194" s="13"/>
      <c r="D1194" s="162"/>
      <c r="E1194" s="163"/>
      <c r="F1194" s="177"/>
      <c r="G1194" s="177"/>
      <c r="H1194" s="177"/>
      <c r="I1194" s="177"/>
      <c r="J1194" s="177"/>
      <c r="K1194" s="177"/>
      <c r="L1194" s="177"/>
      <c r="M1194" s="177"/>
      <c r="N1194" s="177"/>
      <c r="O1194" s="165"/>
      <c r="P1194" s="168"/>
    </row>
    <row r="1195" spans="16:16">
      <c r="A1195" s="161"/>
      <c r="B1195" s="13"/>
      <c r="C1195" s="13"/>
      <c r="D1195" s="162"/>
      <c r="E1195" s="163"/>
      <c r="F1195" s="177"/>
      <c r="G1195" s="177"/>
      <c r="H1195" s="177"/>
      <c r="I1195" s="177"/>
      <c r="J1195" s="177"/>
      <c r="K1195" s="177"/>
      <c r="L1195" s="177"/>
      <c r="M1195" s="177"/>
      <c r="N1195" s="177"/>
      <c r="O1195" s="165"/>
      <c r="P1195" s="168"/>
    </row>
    <row r="1196" spans="16:16">
      <c r="A1196" s="161"/>
      <c r="B1196" s="13"/>
      <c r="C1196" s="13"/>
      <c r="D1196" s="162"/>
      <c r="E1196" s="163"/>
      <c r="F1196" s="177"/>
      <c r="G1196" s="177"/>
      <c r="H1196" s="177"/>
      <c r="I1196" s="177"/>
      <c r="J1196" s="177"/>
      <c r="K1196" s="177"/>
      <c r="L1196" s="177"/>
      <c r="M1196" s="177"/>
      <c r="N1196" s="177"/>
      <c r="O1196" s="165"/>
      <c r="P1196" s="168"/>
    </row>
    <row r="1197" spans="16:16">
      <c r="A1197" s="161"/>
      <c r="B1197" s="13"/>
      <c r="C1197" s="13"/>
      <c r="D1197" s="162"/>
      <c r="E1197" s="163"/>
      <c r="F1197" s="177"/>
      <c r="G1197" s="177"/>
      <c r="H1197" s="177"/>
      <c r="I1197" s="177"/>
      <c r="J1197" s="177"/>
      <c r="K1197" s="177"/>
      <c r="L1197" s="177"/>
      <c r="M1197" s="177"/>
      <c r="N1197" s="177"/>
      <c r="O1197" s="165"/>
      <c r="P1197" s="168"/>
    </row>
    <row r="1198" spans="16:16">
      <c r="A1198" s="161"/>
      <c r="B1198" s="13"/>
      <c r="C1198" s="13"/>
      <c r="D1198" s="162"/>
      <c r="E1198" s="163"/>
      <c r="F1198" s="177"/>
      <c r="G1198" s="177"/>
      <c r="H1198" s="177"/>
      <c r="I1198" s="177"/>
      <c r="J1198" s="177"/>
      <c r="K1198" s="177"/>
      <c r="L1198" s="177"/>
      <c r="M1198" s="177"/>
      <c r="N1198" s="177"/>
      <c r="O1198" s="165"/>
      <c r="P1198" s="168"/>
    </row>
    <row r="1199" spans="16:16">
      <c r="A1199" s="161"/>
      <c r="B1199" s="13"/>
      <c r="C1199" s="13"/>
      <c r="D1199" s="162"/>
      <c r="E1199" s="163"/>
      <c r="F1199" s="177"/>
      <c r="G1199" s="177"/>
      <c r="H1199" s="177"/>
      <c r="I1199" s="177"/>
      <c r="J1199" s="177"/>
      <c r="K1199" s="177"/>
      <c r="L1199" s="177"/>
      <c r="M1199" s="177"/>
      <c r="N1199" s="177"/>
      <c r="O1199" s="165"/>
      <c r="P1199" s="168"/>
    </row>
    <row r="1200" spans="16:16">
      <c r="A1200" s="161"/>
      <c r="B1200" s="13"/>
      <c r="C1200" s="13"/>
      <c r="D1200" s="162"/>
      <c r="E1200" s="163"/>
      <c r="F1200" s="177"/>
      <c r="G1200" s="177"/>
      <c r="H1200" s="177"/>
      <c r="I1200" s="177"/>
      <c r="J1200" s="177"/>
      <c r="K1200" s="177"/>
      <c r="L1200" s="177"/>
      <c r="M1200" s="177"/>
      <c r="N1200" s="177"/>
      <c r="O1200" s="165"/>
      <c r="P1200" s="168"/>
    </row>
    <row r="1201" spans="16:16">
      <c r="A1201" s="161"/>
      <c r="B1201" s="13"/>
      <c r="C1201" s="13"/>
      <c r="D1201" s="162"/>
      <c r="E1201" s="163"/>
      <c r="F1201" s="177"/>
      <c r="G1201" s="177"/>
      <c r="H1201" s="177"/>
      <c r="I1201" s="177"/>
      <c r="J1201" s="177"/>
      <c r="K1201" s="177"/>
      <c r="L1201" s="177"/>
      <c r="M1201" s="177"/>
      <c r="N1201" s="177"/>
      <c r="O1201" s="165"/>
      <c r="P1201" s="168"/>
    </row>
    <row r="1202" spans="16:16">
      <c r="A1202" s="161"/>
      <c r="B1202" s="13"/>
      <c r="C1202" s="13"/>
      <c r="D1202" s="162"/>
      <c r="E1202" s="163"/>
      <c r="F1202" s="177"/>
      <c r="G1202" s="177"/>
      <c r="H1202" s="177"/>
      <c r="I1202" s="177"/>
      <c r="J1202" s="177"/>
      <c r="K1202" s="177"/>
      <c r="L1202" s="177"/>
      <c r="M1202" s="177"/>
      <c r="N1202" s="177"/>
      <c r="O1202" s="165"/>
      <c r="P1202" s="168"/>
    </row>
    <row r="1203" spans="16:16">
      <c r="A1203" s="161"/>
      <c r="B1203" s="13"/>
      <c r="C1203" s="13"/>
      <c r="D1203" s="162"/>
      <c r="E1203" s="163"/>
      <c r="F1203" s="177"/>
      <c r="G1203" s="177"/>
      <c r="H1203" s="177"/>
      <c r="I1203" s="177"/>
      <c r="J1203" s="177"/>
      <c r="K1203" s="177"/>
      <c r="L1203" s="177"/>
      <c r="M1203" s="177"/>
      <c r="N1203" s="177"/>
      <c r="O1203" s="165"/>
      <c r="P1203" s="168"/>
    </row>
    <row r="1204" spans="16:16">
      <c r="A1204" s="161"/>
      <c r="B1204" s="13"/>
      <c r="C1204" s="13"/>
      <c r="D1204" s="162"/>
      <c r="E1204" s="163"/>
      <c r="F1204" s="177"/>
      <c r="G1204" s="177"/>
      <c r="H1204" s="177"/>
      <c r="I1204" s="177"/>
      <c r="J1204" s="177"/>
      <c r="K1204" s="177"/>
      <c r="L1204" s="177"/>
      <c r="M1204" s="177"/>
      <c r="N1204" s="177"/>
      <c r="O1204" s="165"/>
      <c r="P1204" s="168"/>
    </row>
    <row r="1205" spans="16:16">
      <c r="A1205" s="161"/>
      <c r="B1205" s="13"/>
      <c r="C1205" s="13"/>
      <c r="D1205" s="162"/>
      <c r="E1205" s="163"/>
      <c r="F1205" s="177"/>
      <c r="G1205" s="177"/>
      <c r="H1205" s="177"/>
      <c r="I1205" s="177"/>
      <c r="J1205" s="177"/>
      <c r="K1205" s="177"/>
      <c r="L1205" s="177"/>
      <c r="M1205" s="177"/>
      <c r="N1205" s="177"/>
      <c r="O1205" s="165"/>
      <c r="P1205" s="168"/>
    </row>
    <row r="1206" spans="16:16">
      <c r="A1206" s="161"/>
      <c r="B1206" s="13"/>
      <c r="C1206" s="13"/>
      <c r="D1206" s="162"/>
      <c r="E1206" s="163"/>
      <c r="F1206" s="177"/>
      <c r="G1206" s="177"/>
      <c r="H1206" s="177"/>
      <c r="I1206" s="177"/>
      <c r="J1206" s="177"/>
      <c r="K1206" s="177"/>
      <c r="L1206" s="177"/>
      <c r="M1206" s="177"/>
      <c r="N1206" s="177"/>
      <c r="O1206" s="165"/>
      <c r="P1206" s="168"/>
    </row>
    <row r="1207" spans="16:16">
      <c r="A1207" s="161"/>
      <c r="B1207" s="13"/>
      <c r="C1207" s="13"/>
      <c r="D1207" s="162"/>
      <c r="E1207" s="163"/>
      <c r="F1207" s="177"/>
      <c r="G1207" s="177"/>
      <c r="H1207" s="177"/>
      <c r="I1207" s="177"/>
      <c r="J1207" s="177"/>
      <c r="K1207" s="177"/>
      <c r="L1207" s="177"/>
      <c r="M1207" s="177"/>
      <c r="N1207" s="177"/>
      <c r="O1207" s="165"/>
      <c r="P1207" s="168"/>
    </row>
    <row r="1208" spans="16:16">
      <c r="A1208" s="161"/>
      <c r="B1208" s="13"/>
      <c r="C1208" s="13"/>
      <c r="D1208" s="162"/>
      <c r="E1208" s="163"/>
      <c r="F1208" s="177"/>
      <c r="G1208" s="177"/>
      <c r="H1208" s="177"/>
      <c r="I1208" s="177"/>
      <c r="J1208" s="177"/>
      <c r="K1208" s="177"/>
      <c r="L1208" s="177"/>
      <c r="M1208" s="177"/>
      <c r="N1208" s="177"/>
      <c r="O1208" s="165"/>
      <c r="P1208" s="168"/>
    </row>
    <row r="1209" s="176" customFormat="1" spans="1:16">
      <c r="A1209" s="169"/>
      <c r="B1209" s="13"/>
      <c r="C1209" s="13"/>
      <c r="D1209" s="162"/>
      <c r="E1209" s="163"/>
      <c r="F1209" s="177"/>
      <c r="G1209" s="177"/>
      <c r="H1209" s="177"/>
      <c r="I1209" s="177"/>
      <c r="J1209" s="177"/>
      <c r="K1209" s="177"/>
      <c r="L1209" s="177"/>
      <c r="M1209" s="177"/>
      <c r="N1209" s="177"/>
      <c r="O1209" s="165"/>
      <c r="P1209" s="168"/>
    </row>
    <row r="1210" s="176" customFormat="1" spans="1:16">
      <c r="A1210" s="169"/>
      <c r="B1210" s="13"/>
      <c r="C1210" s="13"/>
      <c r="D1210" s="162"/>
      <c r="E1210" s="163"/>
      <c r="F1210" s="177"/>
      <c r="G1210" s="177"/>
      <c r="H1210" s="177"/>
      <c r="I1210" s="177"/>
      <c r="J1210" s="177"/>
      <c r="K1210" s="177"/>
      <c r="L1210" s="177"/>
      <c r="M1210" s="177"/>
      <c r="N1210" s="177"/>
      <c r="O1210" s="165"/>
      <c r="P1210" s="168"/>
    </row>
    <row r="1211" s="176" customFormat="1" spans="1:16">
      <c r="A1211" s="169"/>
      <c r="B1211" s="13"/>
      <c r="C1211" s="13"/>
      <c r="D1211" s="162"/>
      <c r="E1211" s="163"/>
      <c r="F1211" s="177"/>
      <c r="G1211" s="177"/>
      <c r="H1211" s="177"/>
      <c r="I1211" s="177"/>
      <c r="J1211" s="177"/>
      <c r="K1211" s="177"/>
      <c r="L1211" s="177"/>
      <c r="M1211" s="177"/>
      <c r="N1211" s="177"/>
      <c r="O1211" s="165"/>
      <c r="P1211" s="168"/>
    </row>
    <row r="1212" s="176" customFormat="1" spans="1:16">
      <c r="A1212" s="169"/>
      <c r="B1212" s="13"/>
      <c r="C1212" s="13"/>
      <c r="D1212" s="162"/>
      <c r="E1212" s="163"/>
      <c r="F1212" s="177"/>
      <c r="G1212" s="177"/>
      <c r="H1212" s="177"/>
      <c r="I1212" s="177"/>
      <c r="J1212" s="177"/>
      <c r="K1212" s="177"/>
      <c r="L1212" s="177"/>
      <c r="M1212" s="177"/>
      <c r="N1212" s="177"/>
      <c r="O1212" s="165"/>
      <c r="P1212" s="168"/>
    </row>
    <row r="1213" spans="16:16">
      <c r="A1213" s="161"/>
      <c r="B1213" s="13"/>
      <c r="C1213" s="13"/>
      <c r="D1213" s="162"/>
      <c r="E1213" s="163"/>
      <c r="F1213" s="177"/>
      <c r="G1213" s="177"/>
      <c r="H1213" s="177"/>
      <c r="I1213" s="177"/>
      <c r="J1213" s="177"/>
      <c r="K1213" s="177"/>
      <c r="L1213" s="177"/>
      <c r="M1213" s="177"/>
      <c r="N1213" s="177"/>
      <c r="O1213" s="165"/>
      <c r="P1213" s="168"/>
    </row>
    <row r="1214" spans="16:16">
      <c r="A1214" s="161"/>
      <c r="B1214" s="13"/>
      <c r="C1214" s="13"/>
      <c r="D1214" s="162"/>
      <c r="E1214" s="163"/>
      <c r="F1214" s="177"/>
      <c r="G1214" s="177"/>
      <c r="H1214" s="177"/>
      <c r="I1214" s="177"/>
      <c r="J1214" s="177"/>
      <c r="K1214" s="177"/>
      <c r="L1214" s="177"/>
      <c r="M1214" s="177"/>
      <c r="N1214" s="177"/>
      <c r="O1214" s="165"/>
      <c r="P1214" s="168"/>
    </row>
    <row r="1215" spans="16:16">
      <c r="A1215" s="161"/>
      <c r="B1215" s="13"/>
      <c r="C1215" s="13"/>
      <c r="D1215" s="162"/>
      <c r="E1215" s="163"/>
      <c r="F1215" s="177"/>
      <c r="G1215" s="177"/>
      <c r="H1215" s="177"/>
      <c r="I1215" s="177"/>
      <c r="J1215" s="177"/>
      <c r="K1215" s="177"/>
      <c r="L1215" s="177"/>
      <c r="M1215" s="177"/>
      <c r="N1215" s="177"/>
      <c r="O1215" s="165"/>
      <c r="P1215" s="168"/>
    </row>
    <row r="1216" spans="4:16">
      <c r="A1216" s="161"/>
      <c r="B1216" s="13"/>
      <c r="C1216" s="13"/>
      <c r="D1216" s="170"/>
      <c r="E1216" s="171"/>
      <c r="F1216" s="177"/>
      <c r="G1216" s="177"/>
      <c r="H1216" s="177"/>
      <c r="I1216" s="177"/>
      <c r="J1216" s="177"/>
      <c r="K1216" s="177"/>
      <c r="L1216" s="177"/>
      <c r="M1216" s="177"/>
      <c r="N1216" s="177"/>
      <c r="O1216" s="165"/>
      <c r="P1216" s="168"/>
    </row>
    <row r="1217" spans="4:16">
      <c r="A1217" s="161"/>
      <c r="B1217" s="13"/>
      <c r="C1217" s="13"/>
      <c r="D1217" s="170"/>
      <c r="E1217" s="171"/>
      <c r="F1217" s="177"/>
      <c r="G1217" s="177"/>
      <c r="H1217" s="177"/>
      <c r="I1217" s="177"/>
      <c r="J1217" s="177"/>
      <c r="K1217" s="177"/>
      <c r="L1217" s="177"/>
      <c r="M1217" s="177"/>
      <c r="N1217" s="177"/>
      <c r="O1217" s="165"/>
      <c r="P1217" s="168"/>
    </row>
    <row r="1218" spans="4:16">
      <c r="A1218" s="161"/>
      <c r="B1218" s="13"/>
      <c r="C1218" s="13"/>
      <c r="D1218" s="170"/>
      <c r="E1218" s="171"/>
      <c r="F1218" s="177"/>
      <c r="G1218" s="177"/>
      <c r="H1218" s="177"/>
      <c r="I1218" s="177"/>
      <c r="J1218" s="177"/>
      <c r="K1218" s="177"/>
      <c r="L1218" s="177"/>
      <c r="M1218" s="177"/>
      <c r="N1218" s="177"/>
      <c r="O1218" s="165"/>
      <c r="P1218" s="168"/>
    </row>
    <row r="1219" spans="4:16">
      <c r="A1219" s="161"/>
      <c r="B1219" s="13"/>
      <c r="C1219" s="13"/>
      <c r="D1219" s="170"/>
      <c r="E1219" s="171"/>
      <c r="F1219" s="177"/>
      <c r="G1219" s="177"/>
      <c r="H1219" s="177"/>
      <c r="I1219" s="177"/>
      <c r="J1219" s="177"/>
      <c r="K1219" s="177"/>
      <c r="L1219" s="177"/>
      <c r="M1219" s="177"/>
      <c r="N1219" s="177"/>
      <c r="O1219" s="165"/>
      <c r="P1219" s="168"/>
    </row>
    <row r="1220" spans="16:16">
      <c r="A1220" s="161"/>
      <c r="B1220" s="13"/>
      <c r="C1220" s="13"/>
      <c r="D1220" s="162"/>
      <c r="E1220" s="163"/>
      <c r="F1220" s="177"/>
      <c r="G1220" s="177"/>
      <c r="H1220" s="177"/>
      <c r="I1220" s="177"/>
      <c r="J1220" s="177"/>
      <c r="K1220" s="177"/>
      <c r="L1220" s="177"/>
      <c r="M1220" s="177"/>
      <c r="N1220" s="177"/>
      <c r="O1220" s="165"/>
      <c r="P1220" s="168"/>
    </row>
    <row r="1221" spans="16:16">
      <c r="A1221" s="161"/>
      <c r="B1221" s="13"/>
      <c r="C1221" s="13"/>
      <c r="D1221" s="162"/>
      <c r="E1221" s="163"/>
      <c r="F1221" s="177"/>
      <c r="G1221" s="177"/>
      <c r="H1221" s="177"/>
      <c r="I1221" s="177"/>
      <c r="J1221" s="177"/>
      <c r="K1221" s="177"/>
      <c r="L1221" s="177"/>
      <c r="M1221" s="177"/>
      <c r="N1221" s="177"/>
      <c r="O1221" s="165"/>
      <c r="P1221" s="168"/>
    </row>
    <row r="1222" spans="16:16">
      <c r="A1222" s="161"/>
      <c r="B1222" s="13"/>
      <c r="C1222" s="13"/>
      <c r="D1222" s="162"/>
      <c r="E1222" s="163"/>
      <c r="F1222" s="177"/>
      <c r="G1222" s="177"/>
      <c r="H1222" s="177"/>
      <c r="I1222" s="177"/>
      <c r="J1222" s="177"/>
      <c r="K1222" s="177"/>
      <c r="L1222" s="177"/>
      <c r="M1222" s="177"/>
      <c r="N1222" s="177"/>
      <c r="O1222" s="165"/>
      <c r="P1222" s="168"/>
    </row>
    <row r="1223" spans="16:16">
      <c r="A1223" s="161"/>
      <c r="B1223" s="13"/>
      <c r="C1223" s="13"/>
      <c r="D1223" s="162"/>
      <c r="E1223" s="163"/>
      <c r="F1223" s="177"/>
      <c r="G1223" s="177"/>
      <c r="H1223" s="177"/>
      <c r="I1223" s="177"/>
      <c r="J1223" s="177"/>
      <c r="K1223" s="177"/>
      <c r="L1223" s="177"/>
      <c r="M1223" s="177"/>
      <c r="N1223" s="177"/>
      <c r="O1223" s="165"/>
      <c r="P1223" s="168"/>
    </row>
    <row r="1224" spans="16:16">
      <c r="A1224" s="161"/>
      <c r="B1224" s="13"/>
      <c r="C1224" s="13"/>
      <c r="D1224" s="162"/>
      <c r="E1224" s="163"/>
      <c r="F1224" s="177"/>
      <c r="G1224" s="177"/>
      <c r="H1224" s="177"/>
      <c r="I1224" s="177"/>
      <c r="J1224" s="177"/>
      <c r="K1224" s="177"/>
      <c r="L1224" s="177"/>
      <c r="M1224" s="177"/>
      <c r="N1224" s="177"/>
      <c r="O1224" s="165"/>
      <c r="P1224" s="168"/>
    </row>
    <row r="1225" spans="16:16">
      <c r="A1225" s="161"/>
      <c r="B1225" s="13"/>
      <c r="C1225" s="13"/>
      <c r="D1225" s="162"/>
      <c r="E1225" s="163"/>
      <c r="F1225" s="177"/>
      <c r="G1225" s="177"/>
      <c r="H1225" s="177"/>
      <c r="I1225" s="177"/>
      <c r="J1225" s="177"/>
      <c r="K1225" s="177"/>
      <c r="L1225" s="177"/>
      <c r="M1225" s="177"/>
      <c r="N1225" s="177"/>
      <c r="O1225" s="165"/>
      <c r="P1225" s="168"/>
    </row>
    <row r="1226" spans="16:16">
      <c r="A1226" s="161"/>
      <c r="B1226" s="13"/>
      <c r="C1226" s="13"/>
      <c r="D1226" s="162"/>
      <c r="E1226" s="163"/>
      <c r="F1226" s="177"/>
      <c r="G1226" s="177"/>
      <c r="H1226" s="177"/>
      <c r="I1226" s="177"/>
      <c r="J1226" s="177"/>
      <c r="K1226" s="177"/>
      <c r="L1226" s="177"/>
      <c r="M1226" s="177"/>
      <c r="N1226" s="177"/>
      <c r="O1226" s="165"/>
      <c r="P1226" s="168"/>
    </row>
    <row r="1227" spans="16:16">
      <c r="A1227" s="161"/>
      <c r="B1227" s="13"/>
      <c r="C1227" s="13"/>
      <c r="D1227" s="162"/>
      <c r="E1227" s="163"/>
      <c r="F1227" s="177"/>
      <c r="G1227" s="177"/>
      <c r="H1227" s="177"/>
      <c r="I1227" s="177"/>
      <c r="J1227" s="177"/>
      <c r="K1227" s="177"/>
      <c r="L1227" s="177"/>
      <c r="M1227" s="177"/>
      <c r="N1227" s="177"/>
      <c r="O1227" s="165"/>
      <c r="P1227" s="168"/>
    </row>
    <row r="1228" spans="16:16">
      <c r="A1228" s="161"/>
      <c r="B1228" s="13"/>
      <c r="C1228" s="13"/>
      <c r="D1228" s="162"/>
      <c r="E1228" s="163"/>
      <c r="F1228" s="177"/>
      <c r="G1228" s="177"/>
      <c r="H1228" s="177"/>
      <c r="I1228" s="177"/>
      <c r="J1228" s="177"/>
      <c r="K1228" s="177"/>
      <c r="L1228" s="177"/>
      <c r="M1228" s="177"/>
      <c r="N1228" s="177"/>
      <c r="O1228" s="165"/>
      <c r="P1228" s="168"/>
    </row>
    <row r="1229" spans="16:16">
      <c r="A1229" s="161"/>
      <c r="B1229" s="13"/>
      <c r="C1229" s="13"/>
      <c r="D1229" s="162"/>
      <c r="E1229" s="163"/>
      <c r="F1229" s="177"/>
      <c r="G1229" s="177"/>
      <c r="H1229" s="177"/>
      <c r="I1229" s="177"/>
      <c r="J1229" s="177"/>
      <c r="K1229" s="177"/>
      <c r="L1229" s="177"/>
      <c r="M1229" s="177"/>
      <c r="N1229" s="177"/>
      <c r="O1229" s="165"/>
      <c r="P1229" s="168"/>
    </row>
    <row r="1230" spans="16:16">
      <c r="A1230" s="161"/>
      <c r="B1230" s="13"/>
      <c r="C1230" s="13"/>
      <c r="D1230" s="162"/>
      <c r="E1230" s="163"/>
      <c r="F1230" s="177"/>
      <c r="G1230" s="177"/>
      <c r="H1230" s="177"/>
      <c r="I1230" s="177"/>
      <c r="J1230" s="177"/>
      <c r="K1230" s="177"/>
      <c r="L1230" s="177"/>
      <c r="M1230" s="177"/>
      <c r="N1230" s="177"/>
      <c r="O1230" s="165"/>
      <c r="P1230" s="168"/>
    </row>
    <row r="1231" spans="16:16">
      <c r="A1231" s="161"/>
      <c r="B1231" s="13"/>
      <c r="C1231" s="13"/>
      <c r="D1231" s="162"/>
      <c r="E1231" s="163"/>
      <c r="F1231" s="177"/>
      <c r="G1231" s="177"/>
      <c r="H1231" s="177"/>
      <c r="I1231" s="177"/>
      <c r="J1231" s="177"/>
      <c r="K1231" s="177"/>
      <c r="L1231" s="177"/>
      <c r="M1231" s="177"/>
      <c r="N1231" s="177"/>
      <c r="O1231" s="165"/>
      <c r="P1231" s="168"/>
    </row>
    <row r="1232" spans="16:16">
      <c r="A1232" s="161"/>
      <c r="B1232" s="13"/>
      <c r="C1232" s="13"/>
      <c r="D1232" s="162"/>
      <c r="E1232" s="163"/>
      <c r="F1232" s="177"/>
      <c r="G1232" s="177"/>
      <c r="H1232" s="177"/>
      <c r="I1232" s="177"/>
      <c r="J1232" s="177"/>
      <c r="K1232" s="177"/>
      <c r="L1232" s="177"/>
      <c r="M1232" s="177"/>
      <c r="N1232" s="177"/>
      <c r="O1232" s="165"/>
      <c r="P1232" s="168"/>
    </row>
    <row r="1233" spans="16:16">
      <c r="A1233" s="161"/>
      <c r="B1233" s="13"/>
      <c r="C1233" s="13"/>
      <c r="D1233" s="162"/>
      <c r="E1233" s="163"/>
      <c r="F1233" s="177"/>
      <c r="G1233" s="177"/>
      <c r="H1233" s="177"/>
      <c r="I1233" s="177"/>
      <c r="J1233" s="177"/>
      <c r="K1233" s="177"/>
      <c r="L1233" s="177"/>
      <c r="M1233" s="177"/>
      <c r="N1233" s="177"/>
      <c r="O1233" s="165"/>
      <c r="P1233" s="168"/>
    </row>
    <row r="1234" spans="16:16">
      <c r="A1234" s="161"/>
      <c r="B1234" s="13"/>
      <c r="C1234" s="13"/>
      <c r="D1234" s="162"/>
      <c r="E1234" s="163"/>
      <c r="F1234" s="177"/>
      <c r="G1234" s="177"/>
      <c r="H1234" s="177"/>
      <c r="I1234" s="177"/>
      <c r="J1234" s="177"/>
      <c r="K1234" s="177"/>
      <c r="L1234" s="177"/>
      <c r="M1234" s="177"/>
      <c r="N1234" s="177"/>
      <c r="O1234" s="165"/>
      <c r="P1234" s="168"/>
    </row>
    <row r="1235" spans="16:16">
      <c r="A1235" s="161"/>
      <c r="B1235" s="13"/>
      <c r="C1235" s="13"/>
      <c r="D1235" s="162"/>
      <c r="E1235" s="163"/>
      <c r="F1235" s="177"/>
      <c r="G1235" s="177"/>
      <c r="H1235" s="177"/>
      <c r="I1235" s="177"/>
      <c r="J1235" s="177"/>
      <c r="K1235" s="177"/>
      <c r="L1235" s="177"/>
      <c r="M1235" s="177"/>
      <c r="N1235" s="177"/>
      <c r="O1235" s="165"/>
      <c r="P1235" s="168"/>
    </row>
    <row r="1236" spans="16:16">
      <c r="A1236" s="161"/>
      <c r="B1236" s="13"/>
      <c r="C1236" s="13"/>
      <c r="D1236" s="162"/>
      <c r="E1236" s="163"/>
      <c r="F1236" s="177"/>
      <c r="G1236" s="177"/>
      <c r="H1236" s="177"/>
      <c r="I1236" s="177"/>
      <c r="J1236" s="177"/>
      <c r="K1236" s="177"/>
      <c r="L1236" s="177"/>
      <c r="M1236" s="177"/>
      <c r="N1236" s="177"/>
      <c r="O1236" s="165"/>
      <c r="P1236" s="168"/>
    </row>
    <row r="1237" spans="16:16">
      <c r="A1237" s="161"/>
      <c r="B1237" s="13"/>
      <c r="C1237" s="13"/>
      <c r="D1237" s="162"/>
      <c r="E1237" s="163"/>
      <c r="F1237" s="177"/>
      <c r="G1237" s="177"/>
      <c r="H1237" s="177"/>
      <c r="I1237" s="177"/>
      <c r="J1237" s="177"/>
      <c r="K1237" s="177"/>
      <c r="L1237" s="177"/>
      <c r="M1237" s="177"/>
      <c r="N1237" s="177"/>
      <c r="O1237" s="165"/>
      <c r="P1237" s="168"/>
    </row>
    <row r="1238" spans="16:16">
      <c r="A1238" s="161"/>
      <c r="B1238" s="13"/>
      <c r="C1238" s="13"/>
      <c r="D1238" s="162"/>
      <c r="E1238" s="163"/>
      <c r="F1238" s="177"/>
      <c r="G1238" s="177"/>
      <c r="H1238" s="177"/>
      <c r="I1238" s="177"/>
      <c r="J1238" s="177"/>
      <c r="K1238" s="177"/>
      <c r="L1238" s="177"/>
      <c r="M1238" s="177"/>
      <c r="N1238" s="177"/>
      <c r="O1238" s="165"/>
      <c r="P1238" s="168"/>
    </row>
    <row r="1239" spans="16:16">
      <c r="A1239" s="161"/>
      <c r="B1239" s="13"/>
      <c r="C1239" s="13"/>
      <c r="D1239" s="162"/>
      <c r="E1239" s="163"/>
      <c r="F1239" s="177"/>
      <c r="G1239" s="177"/>
      <c r="H1239" s="177"/>
      <c r="I1239" s="177"/>
      <c r="J1239" s="177"/>
      <c r="K1239" s="177"/>
      <c r="L1239" s="177"/>
      <c r="M1239" s="177"/>
      <c r="N1239" s="177"/>
      <c r="O1239" s="165"/>
      <c r="P1239" s="168"/>
    </row>
    <row r="1240" spans="16:16">
      <c r="A1240" s="161"/>
      <c r="B1240" s="13"/>
      <c r="C1240" s="13"/>
      <c r="D1240" s="162"/>
      <c r="E1240" s="163"/>
      <c r="F1240" s="177"/>
      <c r="G1240" s="177"/>
      <c r="H1240" s="177"/>
      <c r="I1240" s="177"/>
      <c r="J1240" s="177"/>
      <c r="K1240" s="177"/>
      <c r="L1240" s="177"/>
      <c r="M1240" s="177"/>
      <c r="N1240" s="177"/>
      <c r="O1240" s="165"/>
      <c r="P1240" s="168"/>
    </row>
    <row r="1241" spans="16:16">
      <c r="A1241" s="161"/>
      <c r="B1241" s="13"/>
      <c r="C1241" s="13"/>
      <c r="D1241" s="162"/>
      <c r="E1241" s="163"/>
      <c r="F1241" s="177"/>
      <c r="G1241" s="177"/>
      <c r="H1241" s="177"/>
      <c r="I1241" s="177"/>
      <c r="J1241" s="177"/>
      <c r="K1241" s="177"/>
      <c r="L1241" s="177"/>
      <c r="M1241" s="177"/>
      <c r="N1241" s="177"/>
      <c r="O1241" s="165"/>
      <c r="P1241" s="168"/>
    </row>
    <row r="1242" spans="16:16">
      <c r="A1242" s="161"/>
      <c r="B1242" s="13"/>
      <c r="C1242" s="13"/>
      <c r="D1242" s="162"/>
      <c r="E1242" s="163"/>
      <c r="F1242" s="177"/>
      <c r="G1242" s="177"/>
      <c r="H1242" s="177"/>
      <c r="I1242" s="177"/>
      <c r="J1242" s="177"/>
      <c r="K1242" s="177"/>
      <c r="L1242" s="177"/>
      <c r="M1242" s="177"/>
      <c r="N1242" s="177"/>
      <c r="O1242" s="165"/>
      <c r="P1242" s="168"/>
    </row>
    <row r="1243" spans="16:16">
      <c r="A1243" s="161"/>
      <c r="B1243" s="13"/>
      <c r="C1243" s="13"/>
      <c r="D1243" s="162"/>
      <c r="E1243" s="163"/>
      <c r="F1243" s="177"/>
      <c r="G1243" s="177"/>
      <c r="H1243" s="177"/>
      <c r="I1243" s="177"/>
      <c r="J1243" s="177"/>
      <c r="K1243" s="177"/>
      <c r="L1243" s="177"/>
      <c r="M1243" s="177"/>
      <c r="N1243" s="177"/>
      <c r="O1243" s="165"/>
      <c r="P1243" s="168"/>
    </row>
    <row r="1244" spans="16:16">
      <c r="A1244" s="161"/>
      <c r="B1244" s="13"/>
      <c r="C1244" s="13"/>
      <c r="D1244" s="162"/>
      <c r="E1244" s="163"/>
      <c r="F1244" s="177"/>
      <c r="G1244" s="177"/>
      <c r="H1244" s="177"/>
      <c r="I1244" s="177"/>
      <c r="J1244" s="177"/>
      <c r="K1244" s="177"/>
      <c r="L1244" s="177"/>
      <c r="M1244" s="177"/>
      <c r="N1244" s="177"/>
      <c r="O1244" s="165"/>
      <c r="P1244" s="168"/>
    </row>
    <row r="1245" spans="16:16">
      <c r="A1245" s="161"/>
      <c r="B1245" s="13"/>
      <c r="C1245" s="13"/>
      <c r="D1245" s="162"/>
      <c r="E1245" s="163"/>
      <c r="F1245" s="177"/>
      <c r="G1245" s="177"/>
      <c r="H1245" s="177"/>
      <c r="I1245" s="177"/>
      <c r="J1245" s="177"/>
      <c r="K1245" s="177"/>
      <c r="L1245" s="177"/>
      <c r="M1245" s="177"/>
      <c r="N1245" s="177"/>
      <c r="O1245" s="165"/>
      <c r="P1245" s="168"/>
    </row>
    <row r="1246" spans="16:16">
      <c r="A1246" s="161"/>
      <c r="B1246" s="13"/>
      <c r="C1246" s="13"/>
      <c r="D1246" s="162"/>
      <c r="E1246" s="163"/>
      <c r="F1246" s="177"/>
      <c r="G1246" s="177"/>
      <c r="H1246" s="177"/>
      <c r="I1246" s="177"/>
      <c r="J1246" s="177"/>
      <c r="K1246" s="177"/>
      <c r="L1246" s="177"/>
      <c r="M1246" s="177"/>
      <c r="N1246" s="177"/>
      <c r="O1246" s="165"/>
      <c r="P1246" s="168"/>
    </row>
    <row r="1247" spans="16:16">
      <c r="A1247" s="161"/>
      <c r="B1247" s="13"/>
      <c r="C1247" s="13"/>
      <c r="D1247" s="162"/>
      <c r="E1247" s="163"/>
      <c r="F1247" s="177"/>
      <c r="G1247" s="177"/>
      <c r="H1247" s="177"/>
      <c r="I1247" s="177"/>
      <c r="J1247" s="177"/>
      <c r="K1247" s="177"/>
      <c r="L1247" s="177"/>
      <c r="M1247" s="177"/>
      <c r="N1247" s="177"/>
      <c r="O1247" s="165"/>
      <c r="P1247" s="168"/>
    </row>
    <row r="1248" spans="16:16">
      <c r="A1248" s="161"/>
      <c r="B1248" s="13"/>
      <c r="C1248" s="13"/>
      <c r="D1248" s="162"/>
      <c r="E1248" s="163"/>
      <c r="F1248" s="177"/>
      <c r="G1248" s="177"/>
      <c r="H1248" s="177"/>
      <c r="I1248" s="177"/>
      <c r="J1248" s="177"/>
      <c r="K1248" s="177"/>
      <c r="L1248" s="177"/>
      <c r="M1248" s="177"/>
      <c r="N1248" s="177"/>
      <c r="O1248" s="165"/>
      <c r="P1248" s="168"/>
    </row>
    <row r="1249" spans="16:16">
      <c r="A1249" s="161"/>
      <c r="B1249" s="13"/>
      <c r="C1249" s="13"/>
      <c r="D1249" s="162"/>
      <c r="E1249" s="163"/>
      <c r="F1249" s="177"/>
      <c r="G1249" s="177"/>
      <c r="H1249" s="177"/>
      <c r="I1249" s="177"/>
      <c r="J1249" s="177"/>
      <c r="K1249" s="177"/>
      <c r="L1249" s="177"/>
      <c r="M1249" s="177"/>
      <c r="N1249" s="177"/>
      <c r="O1249" s="165"/>
      <c r="P1249" s="168"/>
    </row>
    <row r="1250" spans="16:16">
      <c r="A1250" s="161"/>
      <c r="B1250" s="13"/>
      <c r="C1250" s="13"/>
      <c r="D1250" s="162"/>
      <c r="E1250" s="163"/>
      <c r="F1250" s="177"/>
      <c r="G1250" s="177"/>
      <c r="H1250" s="177"/>
      <c r="I1250" s="177"/>
      <c r="J1250" s="177"/>
      <c r="K1250" s="177"/>
      <c r="L1250" s="177"/>
      <c r="M1250" s="177"/>
      <c r="N1250" s="177"/>
      <c r="O1250" s="165"/>
      <c r="P1250" s="168"/>
    </row>
    <row r="1251" spans="16:16">
      <c r="A1251" s="161"/>
      <c r="B1251" s="13"/>
      <c r="C1251" s="13"/>
      <c r="D1251" s="162"/>
      <c r="E1251" s="163"/>
      <c r="F1251" s="177"/>
      <c r="G1251" s="177"/>
      <c r="H1251" s="177"/>
      <c r="I1251" s="177"/>
      <c r="J1251" s="177"/>
      <c r="K1251" s="177"/>
      <c r="L1251" s="177"/>
      <c r="M1251" s="177"/>
      <c r="N1251" s="177"/>
      <c r="O1251" s="165"/>
      <c r="P1251" s="168"/>
    </row>
    <row r="1252" spans="16:16">
      <c r="A1252" s="161"/>
      <c r="B1252" s="13"/>
      <c r="C1252" s="13"/>
      <c r="D1252" s="162"/>
      <c r="E1252" s="163"/>
      <c r="F1252" s="177"/>
      <c r="G1252" s="177"/>
      <c r="H1252" s="177"/>
      <c r="I1252" s="177"/>
      <c r="J1252" s="177"/>
      <c r="K1252" s="177"/>
      <c r="L1252" s="177"/>
      <c r="M1252" s="177"/>
      <c r="N1252" s="177"/>
      <c r="O1252" s="165"/>
      <c r="P1252" s="168"/>
    </row>
    <row r="1253" spans="16:16">
      <c r="A1253" s="161"/>
      <c r="B1253" s="13"/>
      <c r="C1253" s="13"/>
      <c r="D1253" s="162"/>
      <c r="E1253" s="163"/>
      <c r="F1253" s="177"/>
      <c r="G1253" s="177"/>
      <c r="H1253" s="177"/>
      <c r="I1253" s="177"/>
      <c r="J1253" s="177"/>
      <c r="K1253" s="177"/>
      <c r="L1253" s="177"/>
      <c r="M1253" s="177"/>
      <c r="N1253" s="177"/>
      <c r="O1253" s="165"/>
      <c r="P1253" s="168"/>
    </row>
    <row r="1254" spans="16:16">
      <c r="A1254" s="161"/>
      <c r="B1254" s="13"/>
      <c r="C1254" s="13"/>
      <c r="D1254" s="162"/>
      <c r="E1254" s="163"/>
      <c r="F1254" s="177"/>
      <c r="G1254" s="177"/>
      <c r="H1254" s="177"/>
      <c r="I1254" s="177"/>
      <c r="J1254" s="177"/>
      <c r="K1254" s="177"/>
      <c r="L1254" s="177"/>
      <c r="M1254" s="177"/>
      <c r="N1254" s="177"/>
      <c r="O1254" s="165"/>
      <c r="P1254" s="168"/>
    </row>
    <row r="1255" spans="16:16">
      <c r="A1255" s="161"/>
      <c r="B1255" s="13"/>
      <c r="C1255" s="13"/>
      <c r="D1255" s="162"/>
      <c r="E1255" s="163"/>
      <c r="F1255" s="177"/>
      <c r="G1255" s="177"/>
      <c r="H1255" s="177"/>
      <c r="I1255" s="177"/>
      <c r="J1255" s="177"/>
      <c r="K1255" s="177"/>
      <c r="L1255" s="177"/>
      <c r="M1255" s="177"/>
      <c r="N1255" s="177"/>
      <c r="O1255" s="165"/>
      <c r="P1255" s="168"/>
    </row>
    <row r="1256" spans="16:16">
      <c r="A1256" s="161"/>
      <c r="B1256" s="13"/>
      <c r="C1256" s="13"/>
      <c r="D1256" s="162"/>
      <c r="E1256" s="163"/>
      <c r="F1256" s="177"/>
      <c r="G1256" s="177"/>
      <c r="H1256" s="177"/>
      <c r="I1256" s="177"/>
      <c r="J1256" s="177"/>
      <c r="K1256" s="177"/>
      <c r="L1256" s="177"/>
      <c r="M1256" s="177"/>
      <c r="N1256" s="177"/>
      <c r="O1256" s="165"/>
      <c r="P1256" s="168"/>
    </row>
    <row r="1257" spans="16:16">
      <c r="A1257" s="161"/>
      <c r="B1257" s="13"/>
      <c r="C1257" s="13"/>
      <c r="D1257" s="162"/>
      <c r="E1257" s="163"/>
      <c r="F1257" s="177"/>
      <c r="G1257" s="177"/>
      <c r="H1257" s="177"/>
      <c r="I1257" s="177"/>
      <c r="J1257" s="177"/>
      <c r="K1257" s="177"/>
      <c r="L1257" s="177"/>
      <c r="M1257" s="177"/>
      <c r="N1257" s="177"/>
      <c r="O1257" s="165"/>
      <c r="P1257" s="168"/>
    </row>
    <row r="1258" spans="16:16">
      <c r="A1258" s="161"/>
      <c r="B1258" s="13"/>
      <c r="C1258" s="13"/>
      <c r="D1258" s="162"/>
      <c r="E1258" s="163"/>
      <c r="F1258" s="177"/>
      <c r="G1258" s="177"/>
      <c r="H1258" s="177"/>
      <c r="I1258" s="177"/>
      <c r="J1258" s="177"/>
      <c r="K1258" s="177"/>
      <c r="L1258" s="177"/>
      <c r="M1258" s="177"/>
      <c r="N1258" s="177"/>
      <c r="O1258" s="165"/>
      <c r="P1258" s="168"/>
    </row>
    <row r="1259" spans="16:16">
      <c r="A1259" s="161"/>
      <c r="B1259" s="13"/>
      <c r="C1259" s="13"/>
      <c r="D1259" s="162"/>
      <c r="E1259" s="163"/>
      <c r="F1259" s="177"/>
      <c r="G1259" s="177"/>
      <c r="H1259" s="177"/>
      <c r="I1259" s="177"/>
      <c r="J1259" s="177"/>
      <c r="K1259" s="177"/>
      <c r="L1259" s="177"/>
      <c r="M1259" s="177"/>
      <c r="N1259" s="177"/>
      <c r="O1259" s="165"/>
      <c r="P1259" s="168"/>
    </row>
    <row r="1260" spans="16:16">
      <c r="A1260" s="161"/>
      <c r="B1260" s="13"/>
      <c r="C1260" s="13"/>
      <c r="D1260" s="162"/>
      <c r="E1260" s="163"/>
      <c r="F1260" s="177"/>
      <c r="G1260" s="177"/>
      <c r="H1260" s="177"/>
      <c r="I1260" s="177"/>
      <c r="J1260" s="177"/>
      <c r="K1260" s="177"/>
      <c r="L1260" s="177"/>
      <c r="M1260" s="177"/>
      <c r="N1260" s="177"/>
      <c r="O1260" s="165"/>
      <c r="P1260" s="168"/>
    </row>
    <row r="1261" spans="16:16">
      <c r="A1261" s="161"/>
      <c r="B1261" s="13"/>
      <c r="C1261" s="13"/>
      <c r="D1261" s="162"/>
      <c r="E1261" s="163"/>
      <c r="F1261" s="177"/>
      <c r="G1261" s="177"/>
      <c r="H1261" s="177"/>
      <c r="I1261" s="177"/>
      <c r="J1261" s="177"/>
      <c r="K1261" s="177"/>
      <c r="L1261" s="177"/>
      <c r="M1261" s="177"/>
      <c r="N1261" s="177"/>
      <c r="O1261" s="165"/>
      <c r="P1261" s="168"/>
    </row>
    <row r="1262" spans="16:16">
      <c r="A1262" s="161"/>
      <c r="B1262" s="13"/>
      <c r="C1262" s="13"/>
      <c r="D1262" s="162"/>
      <c r="E1262" s="163"/>
      <c r="F1262" s="177"/>
      <c r="G1262" s="177"/>
      <c r="H1262" s="177"/>
      <c r="I1262" s="177"/>
      <c r="J1262" s="177"/>
      <c r="K1262" s="177"/>
      <c r="L1262" s="177"/>
      <c r="M1262" s="177"/>
      <c r="N1262" s="177"/>
      <c r="O1262" s="165"/>
      <c r="P1262" s="168"/>
    </row>
    <row r="1263" spans="16:16">
      <c r="A1263" s="161"/>
      <c r="B1263" s="13"/>
      <c r="C1263" s="13"/>
      <c r="D1263" s="162"/>
      <c r="E1263" s="163"/>
      <c r="F1263" s="177"/>
      <c r="G1263" s="177"/>
      <c r="H1263" s="177"/>
      <c r="I1263" s="177"/>
      <c r="J1263" s="177"/>
      <c r="K1263" s="177"/>
      <c r="L1263" s="177"/>
      <c r="M1263" s="177"/>
      <c r="N1263" s="177"/>
      <c r="O1263" s="165"/>
      <c r="P1263" s="168"/>
    </row>
    <row r="1264" spans="16:16">
      <c r="A1264" s="161"/>
      <c r="B1264" s="13"/>
      <c r="C1264" s="13"/>
      <c r="D1264" s="162"/>
      <c r="E1264" s="163"/>
      <c r="F1264" s="177"/>
      <c r="G1264" s="177"/>
      <c r="H1264" s="177"/>
      <c r="I1264" s="177"/>
      <c r="J1264" s="177"/>
      <c r="K1264" s="177"/>
      <c r="L1264" s="177"/>
      <c r="M1264" s="177"/>
      <c r="N1264" s="177"/>
      <c r="O1264" s="165"/>
      <c r="P1264" s="168"/>
    </row>
    <row r="1265" spans="16:16">
      <c r="A1265" s="161"/>
      <c r="B1265" s="13"/>
      <c r="C1265" s="13"/>
      <c r="D1265" s="162"/>
      <c r="E1265" s="163"/>
      <c r="F1265" s="177"/>
      <c r="G1265" s="177"/>
      <c r="H1265" s="177"/>
      <c r="I1265" s="177"/>
      <c r="J1265" s="177"/>
      <c r="K1265" s="177"/>
      <c r="L1265" s="177"/>
      <c r="M1265" s="177"/>
      <c r="N1265" s="177"/>
      <c r="O1265" s="165"/>
      <c r="P1265" s="168"/>
    </row>
    <row r="1266" spans="16:16">
      <c r="A1266" s="161"/>
      <c r="B1266" s="13"/>
      <c r="C1266" s="13"/>
      <c r="D1266" s="162"/>
      <c r="E1266" s="163"/>
      <c r="F1266" s="177"/>
      <c r="G1266" s="177"/>
      <c r="H1266" s="177"/>
      <c r="I1266" s="177"/>
      <c r="J1266" s="177"/>
      <c r="K1266" s="177"/>
      <c r="L1266" s="177"/>
      <c r="M1266" s="177"/>
      <c r="N1266" s="177"/>
      <c r="O1266" s="165"/>
      <c r="P1266" s="168"/>
    </row>
    <row r="1267" spans="16:16">
      <c r="A1267" s="161"/>
      <c r="B1267" s="13"/>
      <c r="C1267" s="13"/>
      <c r="D1267" s="162"/>
      <c r="E1267" s="163"/>
      <c r="F1267" s="177"/>
      <c r="G1267" s="177"/>
      <c r="H1267" s="177"/>
      <c r="I1267" s="177"/>
      <c r="J1267" s="177"/>
      <c r="K1267" s="177"/>
      <c r="L1267" s="177"/>
      <c r="M1267" s="177"/>
      <c r="N1267" s="177"/>
      <c r="O1267" s="165"/>
      <c r="P1267" s="168"/>
    </row>
    <row r="1268" spans="16:16">
      <c r="A1268" s="161"/>
      <c r="B1268" s="13"/>
      <c r="C1268" s="13"/>
      <c r="D1268" s="162"/>
      <c r="E1268" s="163"/>
      <c r="F1268" s="177"/>
      <c r="G1268" s="177"/>
      <c r="H1268" s="177"/>
      <c r="I1268" s="177"/>
      <c r="J1268" s="177"/>
      <c r="K1268" s="177"/>
      <c r="L1268" s="177"/>
      <c r="M1268" s="177"/>
      <c r="N1268" s="177"/>
      <c r="O1268" s="165"/>
      <c r="P1268" s="168"/>
    </row>
    <row r="1269" spans="16:16">
      <c r="A1269" s="161"/>
      <c r="B1269" s="13"/>
      <c r="C1269" s="13"/>
      <c r="D1269" s="162"/>
      <c r="E1269" s="163"/>
      <c r="F1269" s="177"/>
      <c r="G1269" s="177"/>
      <c r="H1269" s="177"/>
      <c r="I1269" s="177"/>
      <c r="J1269" s="177"/>
      <c r="K1269" s="177"/>
      <c r="L1269" s="177"/>
      <c r="M1269" s="177"/>
      <c r="N1269" s="177"/>
      <c r="O1269" s="165"/>
      <c r="P1269" s="168"/>
    </row>
    <row r="1270" spans="16:16">
      <c r="A1270" s="161"/>
      <c r="B1270" s="13"/>
      <c r="C1270" s="13"/>
      <c r="D1270" s="162"/>
      <c r="E1270" s="163"/>
      <c r="F1270" s="177"/>
      <c r="G1270" s="177"/>
      <c r="H1270" s="177"/>
      <c r="I1270" s="177"/>
      <c r="J1270" s="177"/>
      <c r="K1270" s="177"/>
      <c r="L1270" s="177"/>
      <c r="M1270" s="177"/>
      <c r="N1270" s="177"/>
      <c r="O1270" s="165"/>
      <c r="P1270" s="168"/>
    </row>
    <row r="1271" spans="16:16">
      <c r="A1271" s="161"/>
      <c r="B1271" s="13"/>
      <c r="C1271" s="13"/>
      <c r="D1271" s="162"/>
      <c r="E1271" s="163"/>
      <c r="F1271" s="177"/>
      <c r="G1271" s="177"/>
      <c r="H1271" s="177"/>
      <c r="I1271" s="177"/>
      <c r="J1271" s="177"/>
      <c r="K1271" s="177"/>
      <c r="L1271" s="177"/>
      <c r="M1271" s="177"/>
      <c r="N1271" s="177"/>
      <c r="O1271" s="165"/>
      <c r="P1271" s="168"/>
    </row>
    <row r="1272" spans="16:16">
      <c r="A1272" s="161"/>
      <c r="B1272" s="13"/>
      <c r="C1272" s="13"/>
      <c r="D1272" s="162"/>
      <c r="E1272" s="163"/>
      <c r="F1272" s="177"/>
      <c r="G1272" s="177"/>
      <c r="H1272" s="177"/>
      <c r="I1272" s="177"/>
      <c r="J1272" s="177"/>
      <c r="K1272" s="177"/>
      <c r="L1272" s="177"/>
      <c r="M1272" s="177"/>
      <c r="N1272" s="177"/>
      <c r="O1272" s="165"/>
      <c r="P1272" s="168"/>
    </row>
    <row r="1273" spans="16:16">
      <c r="A1273" s="161"/>
      <c r="B1273" s="13"/>
      <c r="C1273" s="13"/>
      <c r="D1273" s="162"/>
      <c r="E1273" s="163"/>
      <c r="F1273" s="177"/>
      <c r="G1273" s="177"/>
      <c r="H1273" s="177"/>
      <c r="I1273" s="177"/>
      <c r="J1273" s="177"/>
      <c r="K1273" s="177"/>
      <c r="L1273" s="177"/>
      <c r="M1273" s="177"/>
      <c r="N1273" s="177"/>
      <c r="O1273" s="165"/>
      <c r="P1273" s="168"/>
    </row>
    <row r="1274" spans="16:16">
      <c r="A1274" s="161"/>
      <c r="B1274" s="13"/>
      <c r="C1274" s="13"/>
      <c r="D1274" s="162"/>
      <c r="E1274" s="163"/>
      <c r="F1274" s="177"/>
      <c r="G1274" s="177"/>
      <c r="H1274" s="177"/>
      <c r="I1274" s="177"/>
      <c r="J1274" s="177"/>
      <c r="K1274" s="177"/>
      <c r="L1274" s="177"/>
      <c r="M1274" s="177"/>
      <c r="N1274" s="177"/>
      <c r="O1274" s="165"/>
      <c r="P1274" s="168"/>
    </row>
    <row r="1275" spans="16:16">
      <c r="A1275" s="161"/>
      <c r="B1275" s="13"/>
      <c r="C1275" s="13"/>
      <c r="D1275" s="162"/>
      <c r="E1275" s="163"/>
      <c r="F1275" s="177"/>
      <c r="G1275" s="177"/>
      <c r="H1275" s="177"/>
      <c r="I1275" s="177"/>
      <c r="J1275" s="177"/>
      <c r="K1275" s="177"/>
      <c r="L1275" s="177"/>
      <c r="M1275" s="177"/>
      <c r="N1275" s="177"/>
      <c r="O1275" s="165"/>
      <c r="P1275" s="168"/>
    </row>
    <row r="1276" spans="16:16">
      <c r="A1276" s="161"/>
      <c r="B1276" s="13"/>
      <c r="C1276" s="13"/>
      <c r="D1276" s="162"/>
      <c r="E1276" s="163"/>
      <c r="F1276" s="177"/>
      <c r="G1276" s="177"/>
      <c r="H1276" s="177"/>
      <c r="I1276" s="177"/>
      <c r="J1276" s="177"/>
      <c r="K1276" s="177"/>
      <c r="L1276" s="177"/>
      <c r="M1276" s="177"/>
      <c r="N1276" s="177"/>
      <c r="O1276" s="165"/>
      <c r="P1276" s="168"/>
    </row>
    <row r="1277" spans="16:16">
      <c r="A1277" s="161"/>
      <c r="B1277" s="13"/>
      <c r="C1277" s="13"/>
      <c r="D1277" s="162"/>
      <c r="E1277" s="163"/>
      <c r="F1277" s="177"/>
      <c r="G1277" s="177"/>
      <c r="H1277" s="177"/>
      <c r="I1277" s="177"/>
      <c r="J1277" s="177"/>
      <c r="K1277" s="177"/>
      <c r="L1277" s="177"/>
      <c r="M1277" s="177"/>
      <c r="N1277" s="177"/>
      <c r="O1277" s="165"/>
      <c r="P1277" s="168"/>
    </row>
    <row r="1278" spans="16:16">
      <c r="A1278" s="161"/>
      <c r="B1278" s="13"/>
      <c r="C1278" s="13"/>
      <c r="D1278" s="162"/>
      <c r="E1278" s="163"/>
      <c r="F1278" s="177"/>
      <c r="G1278" s="177"/>
      <c r="H1278" s="177"/>
      <c r="I1278" s="177"/>
      <c r="J1278" s="177"/>
      <c r="K1278" s="177"/>
      <c r="L1278" s="177"/>
      <c r="M1278" s="177"/>
      <c r="N1278" s="177"/>
      <c r="O1278" s="165"/>
      <c r="P1278" s="168"/>
    </row>
    <row r="1279" spans="16:16">
      <c r="A1279" s="161"/>
      <c r="B1279" s="13"/>
      <c r="C1279" s="13"/>
      <c r="D1279" s="162"/>
      <c r="E1279" s="163"/>
      <c r="F1279" s="177"/>
      <c r="G1279" s="177"/>
      <c r="H1279" s="177"/>
      <c r="I1279" s="177"/>
      <c r="J1279" s="177"/>
      <c r="K1279" s="177"/>
      <c r="L1279" s="177"/>
      <c r="M1279" s="177"/>
      <c r="N1279" s="177"/>
      <c r="O1279" s="165"/>
      <c r="P1279" s="168"/>
    </row>
    <row r="1280" spans="16:16">
      <c r="A1280" s="161"/>
      <c r="B1280" s="13"/>
      <c r="C1280" s="13"/>
      <c r="D1280" s="162"/>
      <c r="E1280" s="163"/>
      <c r="F1280" s="177"/>
      <c r="G1280" s="177"/>
      <c r="H1280" s="177"/>
      <c r="I1280" s="177"/>
      <c r="J1280" s="177"/>
      <c r="K1280" s="177"/>
      <c r="L1280" s="177"/>
      <c r="M1280" s="177"/>
      <c r="N1280" s="177"/>
      <c r="O1280" s="165"/>
      <c r="P1280" s="168"/>
    </row>
    <row r="1281" spans="16:16">
      <c r="A1281" s="161"/>
      <c r="B1281" s="13"/>
      <c r="C1281" s="13"/>
      <c r="D1281" s="162"/>
      <c r="E1281" s="163"/>
      <c r="F1281" s="177"/>
      <c r="G1281" s="177"/>
      <c r="H1281" s="177"/>
      <c r="I1281" s="177"/>
      <c r="J1281" s="177"/>
      <c r="K1281" s="177"/>
      <c r="L1281" s="177"/>
      <c r="M1281" s="177"/>
      <c r="N1281" s="177"/>
      <c r="O1281" s="165"/>
      <c r="P1281" s="168"/>
    </row>
    <row r="1282" spans="16:16">
      <c r="A1282" s="161"/>
      <c r="B1282" s="13"/>
      <c r="C1282" s="13"/>
      <c r="D1282" s="162"/>
      <c r="E1282" s="163"/>
      <c r="F1282" s="177"/>
      <c r="G1282" s="177"/>
      <c r="H1282" s="177"/>
      <c r="I1282" s="177"/>
      <c r="J1282" s="177"/>
      <c r="K1282" s="177"/>
      <c r="L1282" s="177"/>
      <c r="M1282" s="177"/>
      <c r="N1282" s="177"/>
      <c r="O1282" s="165"/>
      <c r="P1282" s="168"/>
    </row>
    <row r="1283" spans="16:16">
      <c r="A1283" s="161"/>
      <c r="B1283" s="13"/>
      <c r="C1283" s="13"/>
      <c r="D1283" s="162"/>
      <c r="E1283" s="163"/>
      <c r="F1283" s="177"/>
      <c r="G1283" s="177"/>
      <c r="H1283" s="177"/>
      <c r="I1283" s="177"/>
      <c r="J1283" s="177"/>
      <c r="K1283" s="177"/>
      <c r="L1283" s="177"/>
      <c r="M1283" s="177"/>
      <c r="N1283" s="177"/>
      <c r="O1283" s="165"/>
      <c r="P1283" s="168"/>
    </row>
    <row r="1284" spans="16:16">
      <c r="A1284" s="161"/>
      <c r="B1284" s="13"/>
      <c r="C1284" s="13"/>
      <c r="D1284" s="162"/>
      <c r="E1284" s="163"/>
      <c r="F1284" s="177"/>
      <c r="G1284" s="177"/>
      <c r="H1284" s="177"/>
      <c r="I1284" s="177"/>
      <c r="J1284" s="177"/>
      <c r="K1284" s="177"/>
      <c r="L1284" s="177"/>
      <c r="M1284" s="177"/>
      <c r="N1284" s="177"/>
      <c r="O1284" s="165"/>
      <c r="P1284" s="168"/>
    </row>
    <row r="1285" spans="16:16">
      <c r="A1285" s="161"/>
      <c r="B1285" s="13"/>
      <c r="C1285" s="13"/>
      <c r="D1285" s="162"/>
      <c r="E1285" s="163"/>
      <c r="F1285" s="177"/>
      <c r="G1285" s="177"/>
      <c r="H1285" s="177"/>
      <c r="I1285" s="177"/>
      <c r="J1285" s="177"/>
      <c r="K1285" s="177"/>
      <c r="L1285" s="177"/>
      <c r="M1285" s="177"/>
      <c r="N1285" s="177"/>
      <c r="O1285" s="165"/>
      <c r="P1285" s="168"/>
    </row>
    <row r="1286" spans="16:16">
      <c r="A1286" s="161"/>
      <c r="B1286" s="13"/>
      <c r="C1286" s="13"/>
      <c r="D1286" s="162"/>
      <c r="E1286" s="163"/>
      <c r="F1286" s="177"/>
      <c r="G1286" s="177"/>
      <c r="H1286" s="177"/>
      <c r="I1286" s="177"/>
      <c r="J1286" s="177"/>
      <c r="K1286" s="177"/>
      <c r="L1286" s="177"/>
      <c r="M1286" s="177"/>
      <c r="N1286" s="177"/>
      <c r="O1286" s="165"/>
      <c r="P1286" s="168"/>
    </row>
    <row r="1287" spans="16:16">
      <c r="A1287" s="161"/>
      <c r="B1287" s="13"/>
      <c r="C1287" s="13"/>
      <c r="D1287" s="162"/>
      <c r="E1287" s="163"/>
      <c r="F1287" s="177"/>
      <c r="G1287" s="177"/>
      <c r="H1287" s="177"/>
      <c r="I1287" s="177"/>
      <c r="J1287" s="177"/>
      <c r="K1287" s="177"/>
      <c r="L1287" s="177"/>
      <c r="M1287" s="177"/>
      <c r="N1287" s="177"/>
      <c r="O1287" s="165"/>
      <c r="P1287" s="168"/>
    </row>
    <row r="1288" spans="16:16">
      <c r="A1288" s="161"/>
      <c r="B1288" s="13"/>
      <c r="C1288" s="13"/>
      <c r="D1288" s="162"/>
      <c r="E1288" s="163"/>
      <c r="F1288" s="177"/>
      <c r="G1288" s="177"/>
      <c r="H1288" s="177"/>
      <c r="I1288" s="177"/>
      <c r="J1288" s="177"/>
      <c r="K1288" s="177"/>
      <c r="L1288" s="177"/>
      <c r="M1288" s="177"/>
      <c r="N1288" s="177"/>
      <c r="O1288" s="165"/>
      <c r="P1288" s="168"/>
    </row>
    <row r="1289" spans="16:16">
      <c r="A1289" s="161"/>
      <c r="B1289" s="13"/>
      <c r="C1289" s="13"/>
      <c r="D1289" s="162"/>
      <c r="E1289" s="163"/>
      <c r="F1289" s="177"/>
      <c r="G1289" s="177"/>
      <c r="H1289" s="177"/>
      <c r="I1289" s="177"/>
      <c r="J1289" s="177"/>
      <c r="K1289" s="177"/>
      <c r="L1289" s="177"/>
      <c r="M1289" s="177"/>
      <c r="N1289" s="177"/>
      <c r="O1289" s="165"/>
      <c r="P1289" s="168"/>
    </row>
    <row r="1290" spans="16:16">
      <c r="A1290" s="161"/>
      <c r="B1290" s="13"/>
      <c r="C1290" s="13"/>
      <c r="D1290" s="162"/>
      <c r="E1290" s="163"/>
      <c r="F1290" s="177"/>
      <c r="G1290" s="177"/>
      <c r="H1290" s="177"/>
      <c r="I1290" s="177"/>
      <c r="J1290" s="177"/>
      <c r="K1290" s="177"/>
      <c r="L1290" s="177"/>
      <c r="M1290" s="177"/>
      <c r="N1290" s="177"/>
      <c r="O1290" s="165"/>
      <c r="P1290" s="168"/>
    </row>
    <row r="1291" spans="16:16">
      <c r="A1291" s="161"/>
      <c r="B1291" s="13"/>
      <c r="C1291" s="13"/>
      <c r="D1291" s="162"/>
      <c r="E1291" s="163"/>
      <c r="F1291" s="177"/>
      <c r="G1291" s="177"/>
      <c r="H1291" s="177"/>
      <c r="I1291" s="177"/>
      <c r="J1291" s="177"/>
      <c r="K1291" s="177"/>
      <c r="L1291" s="177"/>
      <c r="M1291" s="177"/>
      <c r="N1291" s="177"/>
      <c r="O1291" s="165"/>
      <c r="P1291" s="168"/>
    </row>
    <row r="1292" spans="16:16">
      <c r="A1292" s="161"/>
      <c r="B1292" s="13"/>
      <c r="C1292" s="13"/>
      <c r="D1292" s="162"/>
      <c r="E1292" s="163"/>
      <c r="F1292" s="177"/>
      <c r="G1292" s="177"/>
      <c r="H1292" s="177"/>
      <c r="I1292" s="177"/>
      <c r="J1292" s="177"/>
      <c r="K1292" s="177"/>
      <c r="L1292" s="177"/>
      <c r="M1292" s="177"/>
      <c r="N1292" s="177"/>
      <c r="O1292" s="165"/>
      <c r="P1292" s="168"/>
    </row>
    <row r="1293" spans="16:16">
      <c r="A1293" s="161"/>
      <c r="B1293" s="13"/>
      <c r="C1293" s="13"/>
      <c r="D1293" s="162"/>
      <c r="E1293" s="163"/>
      <c r="F1293" s="177"/>
      <c r="G1293" s="177"/>
      <c r="H1293" s="177"/>
      <c r="I1293" s="177"/>
      <c r="J1293" s="177"/>
      <c r="K1293" s="177"/>
      <c r="L1293" s="177"/>
      <c r="M1293" s="177"/>
      <c r="N1293" s="177"/>
      <c r="O1293" s="165"/>
      <c r="P1293" s="168"/>
    </row>
    <row r="1294" spans="16:16">
      <c r="A1294" s="161"/>
      <c r="B1294" s="13"/>
      <c r="C1294" s="13"/>
      <c r="D1294" s="162"/>
      <c r="E1294" s="163"/>
      <c r="F1294" s="177"/>
      <c r="G1294" s="177"/>
      <c r="H1294" s="177"/>
      <c r="I1294" s="177"/>
      <c r="J1294" s="177"/>
      <c r="K1294" s="177"/>
      <c r="L1294" s="177"/>
      <c r="M1294" s="177"/>
      <c r="N1294" s="177"/>
      <c r="O1294" s="165"/>
      <c r="P1294" s="168"/>
    </row>
    <row r="1295" spans="16:16">
      <c r="A1295" s="161"/>
      <c r="B1295" s="13"/>
      <c r="C1295" s="13"/>
      <c r="D1295" s="162"/>
      <c r="E1295" s="163"/>
      <c r="F1295" s="177"/>
      <c r="G1295" s="177"/>
      <c r="H1295" s="177"/>
      <c r="I1295" s="177"/>
      <c r="J1295" s="177"/>
      <c r="K1295" s="177"/>
      <c r="L1295" s="177"/>
      <c r="M1295" s="177"/>
      <c r="N1295" s="177"/>
      <c r="O1295" s="165"/>
      <c r="P1295" s="168"/>
    </row>
    <row r="1296" spans="16:16">
      <c r="A1296" s="161"/>
      <c r="B1296" s="13"/>
      <c r="C1296" s="13"/>
      <c r="D1296" s="162"/>
      <c r="E1296" s="163"/>
      <c r="F1296" s="177"/>
      <c r="G1296" s="177"/>
      <c r="H1296" s="177"/>
      <c r="I1296" s="177"/>
      <c r="J1296" s="177"/>
      <c r="K1296" s="177"/>
      <c r="L1296" s="177"/>
      <c r="M1296" s="177"/>
      <c r="N1296" s="177"/>
      <c r="O1296" s="165"/>
      <c r="P1296" s="168"/>
    </row>
    <row r="1297" spans="16:16">
      <c r="A1297" s="161"/>
      <c r="B1297" s="13"/>
      <c r="C1297" s="13"/>
      <c r="D1297" s="162"/>
      <c r="E1297" s="163"/>
      <c r="F1297" s="177"/>
      <c r="G1297" s="177"/>
      <c r="H1297" s="177"/>
      <c r="I1297" s="177"/>
      <c r="J1297" s="177"/>
      <c r="K1297" s="177"/>
      <c r="L1297" s="177"/>
      <c r="M1297" s="177"/>
      <c r="N1297" s="177"/>
      <c r="O1297" s="165"/>
      <c r="P1297" s="168"/>
    </row>
    <row r="1298" spans="16:16">
      <c r="A1298" s="161"/>
      <c r="B1298" s="13"/>
      <c r="C1298" s="13"/>
      <c r="D1298" s="162"/>
      <c r="E1298" s="163"/>
      <c r="F1298" s="177"/>
      <c r="G1298" s="177"/>
      <c r="H1298" s="177"/>
      <c r="I1298" s="177"/>
      <c r="J1298" s="177"/>
      <c r="K1298" s="177"/>
      <c r="L1298" s="177"/>
      <c r="M1298" s="177"/>
      <c r="N1298" s="177"/>
      <c r="O1298" s="165"/>
      <c r="P1298" s="168"/>
    </row>
    <row r="1299" spans="16:16">
      <c r="A1299" s="161"/>
      <c r="B1299" s="13"/>
      <c r="C1299" s="13"/>
      <c r="D1299" s="162"/>
      <c r="E1299" s="163"/>
      <c r="F1299" s="177"/>
      <c r="G1299" s="177"/>
      <c r="H1299" s="177"/>
      <c r="I1299" s="177"/>
      <c r="J1299" s="177"/>
      <c r="K1299" s="177"/>
      <c r="L1299" s="177"/>
      <c r="M1299" s="177"/>
      <c r="N1299" s="177"/>
      <c r="O1299" s="165"/>
      <c r="P1299" s="168"/>
    </row>
    <row r="1300" spans="16:16">
      <c r="A1300" s="161"/>
      <c r="B1300" s="13"/>
      <c r="C1300" s="13"/>
      <c r="D1300" s="162"/>
      <c r="E1300" s="163"/>
      <c r="F1300" s="177"/>
      <c r="G1300" s="177"/>
      <c r="H1300" s="177"/>
      <c r="I1300" s="177"/>
      <c r="J1300" s="177"/>
      <c r="K1300" s="177"/>
      <c r="L1300" s="177"/>
      <c r="M1300" s="177"/>
      <c r="N1300" s="177"/>
      <c r="O1300" s="165"/>
      <c r="P1300" s="168"/>
    </row>
    <row r="1301" spans="16:16">
      <c r="A1301" s="161"/>
      <c r="B1301" s="13"/>
      <c r="C1301" s="13"/>
      <c r="D1301" s="162"/>
      <c r="E1301" s="163"/>
      <c r="F1301" s="177"/>
      <c r="G1301" s="177"/>
      <c r="H1301" s="177"/>
      <c r="I1301" s="177"/>
      <c r="J1301" s="177"/>
      <c r="K1301" s="177"/>
      <c r="L1301" s="177"/>
      <c r="M1301" s="177"/>
      <c r="N1301" s="177"/>
      <c r="O1301" s="165"/>
      <c r="P1301" s="168"/>
    </row>
    <row r="1302" spans="16:16">
      <c r="A1302" s="161"/>
      <c r="B1302" s="13"/>
      <c r="C1302" s="13"/>
      <c r="D1302" s="162"/>
      <c r="E1302" s="163"/>
      <c r="F1302" s="177"/>
      <c r="G1302" s="177"/>
      <c r="H1302" s="177"/>
      <c r="I1302" s="177"/>
      <c r="J1302" s="177"/>
      <c r="K1302" s="177"/>
      <c r="L1302" s="177"/>
      <c r="M1302" s="177"/>
      <c r="N1302" s="177"/>
      <c r="O1302" s="165"/>
      <c r="P1302" s="168"/>
    </row>
    <row r="1303" spans="16:16">
      <c r="A1303" s="161"/>
      <c r="B1303" s="13"/>
      <c r="C1303" s="13"/>
      <c r="D1303" s="162"/>
      <c r="E1303" s="163"/>
      <c r="F1303" s="177"/>
      <c r="G1303" s="177"/>
      <c r="H1303" s="177"/>
      <c r="I1303" s="177"/>
      <c r="J1303" s="177"/>
      <c r="K1303" s="177"/>
      <c r="L1303" s="177"/>
      <c r="M1303" s="177"/>
      <c r="N1303" s="177"/>
      <c r="O1303" s="165"/>
      <c r="P1303" s="168"/>
    </row>
    <row r="1304" spans="16:16">
      <c r="A1304" s="161"/>
      <c r="B1304" s="13"/>
      <c r="C1304" s="13"/>
      <c r="D1304" s="162"/>
      <c r="E1304" s="163"/>
      <c r="F1304" s="177"/>
      <c r="G1304" s="177"/>
      <c r="H1304" s="177"/>
      <c r="I1304" s="177"/>
      <c r="J1304" s="177"/>
      <c r="K1304" s="177"/>
      <c r="L1304" s="177"/>
      <c r="M1304" s="177"/>
      <c r="N1304" s="177"/>
      <c r="O1304" s="165"/>
      <c r="P1304" s="168"/>
    </row>
    <row r="1305" spans="16:16">
      <c r="A1305" s="161"/>
      <c r="B1305" s="13"/>
      <c r="C1305" s="13"/>
      <c r="D1305" s="162"/>
      <c r="E1305" s="163"/>
      <c r="F1305" s="177"/>
      <c r="G1305" s="177"/>
      <c r="H1305" s="177"/>
      <c r="I1305" s="177"/>
      <c r="J1305" s="177"/>
      <c r="K1305" s="177"/>
      <c r="L1305" s="177"/>
      <c r="M1305" s="177"/>
      <c r="N1305" s="177"/>
      <c r="O1305" s="165"/>
      <c r="P1305" s="168"/>
    </row>
    <row r="1306" spans="16:16">
      <c r="A1306" s="161"/>
      <c r="B1306" s="13"/>
      <c r="C1306" s="13"/>
      <c r="D1306" s="162"/>
      <c r="E1306" s="163"/>
      <c r="F1306" s="177"/>
      <c r="G1306" s="177"/>
      <c r="H1306" s="177"/>
      <c r="I1306" s="177"/>
      <c r="J1306" s="177"/>
      <c r="K1306" s="177"/>
      <c r="L1306" s="177"/>
      <c r="M1306" s="177"/>
      <c r="N1306" s="177"/>
      <c r="O1306" s="165"/>
      <c r="P1306" s="168"/>
    </row>
    <row r="1307" spans="16:16">
      <c r="A1307" s="161"/>
      <c r="B1307" s="13"/>
      <c r="C1307" s="13"/>
      <c r="D1307" s="162"/>
      <c r="E1307" s="163"/>
      <c r="F1307" s="177"/>
      <c r="G1307" s="177"/>
      <c r="H1307" s="177"/>
      <c r="I1307" s="177"/>
      <c r="J1307" s="177"/>
      <c r="K1307" s="177"/>
      <c r="L1307" s="177"/>
      <c r="M1307" s="177"/>
      <c r="N1307" s="177"/>
      <c r="O1307" s="165"/>
      <c r="P1307" s="168"/>
    </row>
    <row r="1308" spans="16:16">
      <c r="A1308" s="161"/>
      <c r="B1308" s="13"/>
      <c r="C1308" s="13"/>
      <c r="D1308" s="162"/>
      <c r="E1308" s="163"/>
      <c r="F1308" s="177"/>
      <c r="G1308" s="177"/>
      <c r="H1308" s="177"/>
      <c r="I1308" s="177"/>
      <c r="J1308" s="177"/>
      <c r="K1308" s="177"/>
      <c r="L1308" s="177"/>
      <c r="M1308" s="177"/>
      <c r="N1308" s="177"/>
      <c r="O1308" s="165"/>
      <c r="P1308" s="168"/>
    </row>
    <row r="1309" spans="16:16">
      <c r="A1309" s="161"/>
      <c r="B1309" s="13"/>
      <c r="C1309" s="13"/>
      <c r="D1309" s="162"/>
      <c r="E1309" s="163"/>
      <c r="F1309" s="177"/>
      <c r="G1309" s="177"/>
      <c r="H1309" s="177"/>
      <c r="I1309" s="177"/>
      <c r="J1309" s="177"/>
      <c r="K1309" s="177"/>
      <c r="L1309" s="177"/>
      <c r="M1309" s="177"/>
      <c r="N1309" s="177"/>
      <c r="O1309" s="165"/>
      <c r="P1309" s="168"/>
    </row>
    <row r="1310" spans="16:16">
      <c r="A1310" s="161"/>
      <c r="B1310" s="13"/>
      <c r="C1310" s="13"/>
      <c r="D1310" s="162"/>
      <c r="E1310" s="163"/>
      <c r="F1310" s="177"/>
      <c r="G1310" s="177"/>
      <c r="H1310" s="177"/>
      <c r="I1310" s="177"/>
      <c r="J1310" s="177"/>
      <c r="K1310" s="177"/>
      <c r="L1310" s="177"/>
      <c r="M1310" s="177"/>
      <c r="N1310" s="177"/>
      <c r="O1310" s="165"/>
      <c r="P1310" s="168"/>
    </row>
    <row r="1311" spans="16:16">
      <c r="A1311" s="161"/>
      <c r="B1311" s="13"/>
      <c r="C1311" s="13"/>
      <c r="D1311" s="162"/>
      <c r="E1311" s="163"/>
      <c r="F1311" s="177"/>
      <c r="G1311" s="177"/>
      <c r="H1311" s="177"/>
      <c r="I1311" s="177"/>
      <c r="J1311" s="177"/>
      <c r="K1311" s="177"/>
      <c r="L1311" s="177"/>
      <c r="M1311" s="177"/>
      <c r="N1311" s="177"/>
      <c r="O1311" s="165"/>
      <c r="P1311" s="168"/>
    </row>
    <row r="1312" s="176" customFormat="1" spans="1:16">
      <c r="A1312" s="169"/>
      <c r="B1312" s="13"/>
      <c r="C1312" s="13"/>
      <c r="D1312" s="162"/>
      <c r="E1312" s="163"/>
      <c r="F1312" s="177"/>
      <c r="G1312" s="177"/>
      <c r="H1312" s="177"/>
      <c r="I1312" s="177"/>
      <c r="J1312" s="177"/>
      <c r="K1312" s="177"/>
      <c r="L1312" s="177"/>
      <c r="M1312" s="177"/>
      <c r="N1312" s="177"/>
      <c r="O1312" s="165"/>
      <c r="P1312" s="168"/>
    </row>
    <row r="1313" s="176" customFormat="1" spans="1:16">
      <c r="A1313" s="169"/>
      <c r="B1313" s="13"/>
      <c r="C1313" s="13"/>
      <c r="D1313" s="162"/>
      <c r="E1313" s="163"/>
      <c r="F1313" s="177"/>
      <c r="G1313" s="177"/>
      <c r="H1313" s="177"/>
      <c r="I1313" s="177"/>
      <c r="J1313" s="177"/>
      <c r="K1313" s="177"/>
      <c r="L1313" s="177"/>
      <c r="M1313" s="177"/>
      <c r="N1313" s="177"/>
      <c r="O1313" s="165"/>
      <c r="P1313" s="168"/>
    </row>
    <row r="1314" s="176" customFormat="1" spans="1:16">
      <c r="A1314" s="169"/>
      <c r="B1314" s="13"/>
      <c r="C1314" s="13"/>
      <c r="D1314" s="162"/>
      <c r="E1314" s="163"/>
      <c r="F1314" s="177"/>
      <c r="G1314" s="177"/>
      <c r="H1314" s="177"/>
      <c r="I1314" s="177"/>
      <c r="J1314" s="177"/>
      <c r="K1314" s="177"/>
      <c r="L1314" s="177"/>
      <c r="M1314" s="177"/>
      <c r="N1314" s="177"/>
      <c r="O1314" s="165"/>
      <c r="P1314" s="168"/>
    </row>
    <row r="1315" spans="16:16">
      <c r="A1315" s="161"/>
      <c r="B1315" s="13"/>
      <c r="C1315" s="13"/>
      <c r="D1315" s="162"/>
      <c r="E1315" s="163"/>
      <c r="F1315" s="177"/>
      <c r="G1315" s="177"/>
      <c r="H1315" s="177"/>
      <c r="I1315" s="177"/>
      <c r="J1315" s="177"/>
      <c r="K1315" s="177"/>
      <c r="L1315" s="177"/>
      <c r="M1315" s="177"/>
      <c r="N1315" s="177"/>
      <c r="O1315" s="165"/>
      <c r="P1315" s="168"/>
    </row>
    <row r="1316" spans="16:16">
      <c r="A1316" s="161"/>
      <c r="B1316" s="13"/>
      <c r="C1316" s="13"/>
      <c r="D1316" s="162"/>
      <c r="E1316" s="163"/>
      <c r="F1316" s="177"/>
      <c r="G1316" s="177"/>
      <c r="H1316" s="177"/>
      <c r="I1316" s="177"/>
      <c r="J1316" s="177"/>
      <c r="K1316" s="177"/>
      <c r="L1316" s="177"/>
      <c r="M1316" s="177"/>
      <c r="N1316" s="177"/>
      <c r="O1316" s="165"/>
      <c r="P1316" s="168"/>
    </row>
    <row r="1317" spans="16:16">
      <c r="A1317" s="161"/>
      <c r="B1317" s="13"/>
      <c r="C1317" s="13"/>
      <c r="D1317" s="162"/>
      <c r="E1317" s="163"/>
      <c r="F1317" s="177"/>
      <c r="G1317" s="177"/>
      <c r="H1317" s="177"/>
      <c r="I1317" s="177"/>
      <c r="J1317" s="177"/>
      <c r="K1317" s="177"/>
      <c r="L1317" s="177"/>
      <c r="M1317" s="177"/>
      <c r="N1317" s="177"/>
      <c r="O1317" s="165"/>
      <c r="P1317" s="168"/>
    </row>
    <row r="1318" spans="16:16">
      <c r="A1318" s="161"/>
      <c r="B1318" s="13"/>
      <c r="C1318" s="13"/>
      <c r="D1318" s="162"/>
      <c r="E1318" s="163"/>
      <c r="F1318" s="177"/>
      <c r="G1318" s="177"/>
      <c r="H1318" s="177"/>
      <c r="I1318" s="177"/>
      <c r="J1318" s="177"/>
      <c r="K1318" s="177"/>
      <c r="L1318" s="177"/>
      <c r="M1318" s="177"/>
      <c r="N1318" s="177"/>
      <c r="O1318" s="165"/>
      <c r="P1318" s="168"/>
    </row>
    <row r="1319" spans="4:16">
      <c r="A1319" s="161"/>
      <c r="B1319" s="13"/>
      <c r="C1319" s="13"/>
      <c r="D1319" s="170"/>
      <c r="E1319" s="171"/>
      <c r="F1319" s="177"/>
      <c r="G1319" s="177"/>
      <c r="H1319" s="177"/>
      <c r="I1319" s="177"/>
      <c r="J1319" s="177"/>
      <c r="K1319" s="177"/>
      <c r="L1319" s="177"/>
      <c r="M1319" s="177"/>
      <c r="N1319" s="177"/>
      <c r="O1319" s="165"/>
      <c r="P1319" s="168"/>
    </row>
    <row r="1320" spans="4:16">
      <c r="A1320" s="161"/>
      <c r="B1320" s="13"/>
      <c r="C1320" s="13"/>
      <c r="D1320" s="170"/>
      <c r="E1320" s="171"/>
      <c r="F1320" s="177"/>
      <c r="G1320" s="177"/>
      <c r="H1320" s="177"/>
      <c r="I1320" s="177"/>
      <c r="J1320" s="177"/>
      <c r="K1320" s="177"/>
      <c r="L1320" s="177"/>
      <c r="M1320" s="177"/>
      <c r="N1320" s="177"/>
      <c r="O1320" s="165"/>
      <c r="P1320" s="168"/>
    </row>
    <row r="1321" spans="4:16">
      <c r="A1321" s="161"/>
      <c r="B1321" s="13"/>
      <c r="C1321" s="13"/>
      <c r="D1321" s="170"/>
      <c r="E1321" s="171"/>
      <c r="F1321" s="177"/>
      <c r="G1321" s="177"/>
      <c r="H1321" s="177"/>
      <c r="I1321" s="177"/>
      <c r="J1321" s="177"/>
      <c r="K1321" s="177"/>
      <c r="L1321" s="177"/>
      <c r="M1321" s="177"/>
      <c r="N1321" s="177"/>
      <c r="O1321" s="165"/>
      <c r="P1321" s="168"/>
    </row>
    <row r="1322" spans="16:16">
      <c r="A1322" s="161"/>
      <c r="B1322" s="13"/>
      <c r="C1322" s="13"/>
      <c r="D1322" s="162"/>
      <c r="E1322" s="163"/>
      <c r="F1322" s="177"/>
      <c r="G1322" s="177"/>
      <c r="H1322" s="177"/>
      <c r="I1322" s="177"/>
      <c r="J1322" s="177"/>
      <c r="K1322" s="177"/>
      <c r="L1322" s="177"/>
      <c r="M1322" s="177"/>
      <c r="N1322" s="177"/>
      <c r="O1322" s="165"/>
      <c r="P1322" s="168"/>
    </row>
    <row r="1323" spans="16:16">
      <c r="A1323" s="161"/>
      <c r="B1323" s="13"/>
      <c r="C1323" s="13"/>
      <c r="D1323" s="162"/>
      <c r="E1323" s="163"/>
      <c r="F1323" s="177"/>
      <c r="G1323" s="177"/>
      <c r="H1323" s="177"/>
      <c r="I1323" s="177"/>
      <c r="J1323" s="177"/>
      <c r="K1323" s="177"/>
      <c r="L1323" s="177"/>
      <c r="M1323" s="177"/>
      <c r="N1323" s="177"/>
      <c r="O1323" s="165"/>
      <c r="P1323" s="168"/>
    </row>
    <row r="1324" spans="16:16">
      <c r="A1324" s="161"/>
      <c r="B1324" s="13"/>
      <c r="C1324" s="13"/>
      <c r="D1324" s="162"/>
      <c r="E1324" s="163"/>
      <c r="F1324" s="177"/>
      <c r="G1324" s="177"/>
      <c r="H1324" s="177"/>
      <c r="I1324" s="177"/>
      <c r="J1324" s="177"/>
      <c r="K1324" s="177"/>
      <c r="L1324" s="177"/>
      <c r="M1324" s="177"/>
      <c r="N1324" s="177"/>
      <c r="O1324" s="165"/>
      <c r="P1324" s="168"/>
    </row>
    <row r="1325" spans="16:16">
      <c r="A1325" s="161"/>
      <c r="B1325" s="13"/>
      <c r="C1325" s="13"/>
      <c r="D1325" s="162"/>
      <c r="E1325" s="163"/>
      <c r="F1325" s="177"/>
      <c r="G1325" s="177"/>
      <c r="H1325" s="177"/>
      <c r="I1325" s="177"/>
      <c r="J1325" s="177"/>
      <c r="K1325" s="177"/>
      <c r="L1325" s="177"/>
      <c r="M1325" s="177"/>
      <c r="N1325" s="177"/>
      <c r="O1325" s="165"/>
      <c r="P1325" s="168"/>
    </row>
    <row r="1326" spans="16:16">
      <c r="A1326" s="161"/>
      <c r="B1326" s="13"/>
      <c r="C1326" s="13"/>
      <c r="D1326" s="162"/>
      <c r="E1326" s="163"/>
      <c r="F1326" s="177"/>
      <c r="G1326" s="177"/>
      <c r="H1326" s="177"/>
      <c r="I1326" s="177"/>
      <c r="J1326" s="177"/>
      <c r="K1326" s="177"/>
      <c r="L1326" s="177"/>
      <c r="M1326" s="177"/>
      <c r="N1326" s="177"/>
      <c r="O1326" s="165"/>
      <c r="P1326" s="168"/>
    </row>
    <row r="1327" spans="16:16">
      <c r="A1327" s="161"/>
      <c r="B1327" s="13"/>
      <c r="C1327" s="13"/>
      <c r="D1327" s="162"/>
      <c r="E1327" s="163"/>
      <c r="F1327" s="177"/>
      <c r="G1327" s="177"/>
      <c r="H1327" s="177"/>
      <c r="I1327" s="177"/>
      <c r="J1327" s="177"/>
      <c r="K1327" s="177"/>
      <c r="L1327" s="177"/>
      <c r="M1327" s="177"/>
      <c r="N1327" s="177"/>
      <c r="O1327" s="165"/>
      <c r="P1327" s="168"/>
    </row>
    <row r="1328" spans="16:16">
      <c r="A1328" s="161"/>
      <c r="B1328" s="13"/>
      <c r="C1328" s="13"/>
      <c r="D1328" s="162"/>
      <c r="E1328" s="163"/>
      <c r="F1328" s="177"/>
      <c r="G1328" s="177"/>
      <c r="H1328" s="177"/>
      <c r="I1328" s="177"/>
      <c r="J1328" s="177"/>
      <c r="K1328" s="177"/>
      <c r="L1328" s="177"/>
      <c r="M1328" s="177"/>
      <c r="N1328" s="177"/>
      <c r="O1328" s="165"/>
      <c r="P1328" s="168"/>
    </row>
    <row r="1329" spans="16:16">
      <c r="A1329" s="161"/>
      <c r="B1329" s="13"/>
      <c r="C1329" s="13"/>
      <c r="D1329" s="162"/>
      <c r="E1329" s="163"/>
      <c r="F1329" s="177"/>
      <c r="G1329" s="177"/>
      <c r="H1329" s="177"/>
      <c r="I1329" s="177"/>
      <c r="J1329" s="177"/>
      <c r="K1329" s="177"/>
      <c r="L1329" s="177"/>
      <c r="M1329" s="177"/>
      <c r="N1329" s="177"/>
      <c r="O1329" s="165"/>
      <c r="P1329" s="168"/>
    </row>
    <row r="1330" spans="16:16">
      <c r="A1330" s="161"/>
      <c r="B1330" s="13"/>
      <c r="C1330" s="13"/>
      <c r="D1330" s="162"/>
      <c r="E1330" s="163"/>
      <c r="F1330" s="177"/>
      <c r="G1330" s="177"/>
      <c r="H1330" s="177"/>
      <c r="I1330" s="177"/>
      <c r="J1330" s="177"/>
      <c r="K1330" s="177"/>
      <c r="L1330" s="177"/>
      <c r="M1330" s="177"/>
      <c r="N1330" s="177"/>
      <c r="O1330" s="165"/>
      <c r="P1330" s="168"/>
    </row>
    <row r="1331" spans="16:16">
      <c r="A1331" s="161"/>
      <c r="B1331" s="13"/>
      <c r="C1331" s="13"/>
      <c r="D1331" s="162"/>
      <c r="E1331" s="163"/>
      <c r="F1331" s="177"/>
      <c r="G1331" s="177"/>
      <c r="H1331" s="177"/>
      <c r="I1331" s="177"/>
      <c r="J1331" s="177"/>
      <c r="K1331" s="177"/>
      <c r="L1331" s="177"/>
      <c r="M1331" s="177"/>
      <c r="N1331" s="177"/>
      <c r="O1331" s="165"/>
      <c r="P1331" s="168"/>
    </row>
    <row r="1332" spans="16:16">
      <c r="A1332" s="161"/>
      <c r="B1332" s="13"/>
      <c r="C1332" s="13"/>
      <c r="D1332" s="162"/>
      <c r="E1332" s="163"/>
      <c r="F1332" s="177"/>
      <c r="G1332" s="177"/>
      <c r="H1332" s="177"/>
      <c r="I1332" s="177"/>
      <c r="J1332" s="177"/>
      <c r="K1332" s="177"/>
      <c r="L1332" s="177"/>
      <c r="M1332" s="177"/>
      <c r="N1332" s="177"/>
      <c r="O1332" s="165"/>
      <c r="P1332" s="168"/>
    </row>
    <row r="1333" spans="16:16">
      <c r="A1333" s="161"/>
      <c r="B1333" s="13"/>
      <c r="C1333" s="13"/>
      <c r="D1333" s="162"/>
      <c r="E1333" s="163"/>
      <c r="F1333" s="177"/>
      <c r="G1333" s="177"/>
      <c r="H1333" s="177"/>
      <c r="I1333" s="177"/>
      <c r="J1333" s="177"/>
      <c r="K1333" s="177"/>
      <c r="L1333" s="177"/>
      <c r="M1333" s="177"/>
      <c r="N1333" s="177"/>
      <c r="O1333" s="165"/>
      <c r="P1333" s="168"/>
    </row>
    <row r="1334" spans="16:16">
      <c r="A1334" s="161"/>
      <c r="B1334" s="13"/>
      <c r="C1334" s="13"/>
      <c r="D1334" s="162"/>
      <c r="E1334" s="163"/>
      <c r="F1334" s="177"/>
      <c r="G1334" s="177"/>
      <c r="H1334" s="177"/>
      <c r="I1334" s="177"/>
      <c r="J1334" s="177"/>
      <c r="K1334" s="177"/>
      <c r="L1334" s="177"/>
      <c r="M1334" s="177"/>
      <c r="N1334" s="177"/>
      <c r="O1334" s="165"/>
      <c r="P1334" s="168"/>
    </row>
    <row r="1335" spans="16:16">
      <c r="A1335" s="161"/>
      <c r="B1335" s="13"/>
      <c r="C1335" s="13"/>
      <c r="D1335" s="162"/>
      <c r="E1335" s="163"/>
      <c r="F1335" s="177"/>
      <c r="G1335" s="177"/>
      <c r="H1335" s="177"/>
      <c r="I1335" s="177"/>
      <c r="J1335" s="177"/>
      <c r="K1335" s="177"/>
      <c r="L1335" s="177"/>
      <c r="M1335" s="177"/>
      <c r="N1335" s="177"/>
      <c r="O1335" s="165"/>
      <c r="P1335" s="168"/>
    </row>
    <row r="1336" spans="16:16">
      <c r="A1336" s="161"/>
      <c r="B1336" s="13"/>
      <c r="C1336" s="13"/>
      <c r="D1336" s="162"/>
      <c r="E1336" s="163"/>
      <c r="F1336" s="177"/>
      <c r="G1336" s="177"/>
      <c r="H1336" s="177"/>
      <c r="I1336" s="177"/>
      <c r="J1336" s="177"/>
      <c r="K1336" s="177"/>
      <c r="L1336" s="177"/>
      <c r="M1336" s="177"/>
      <c r="N1336" s="177"/>
      <c r="O1336" s="165"/>
      <c r="P1336" s="168"/>
    </row>
    <row r="1337" spans="16:16">
      <c r="A1337" s="161"/>
      <c r="B1337" s="13"/>
      <c r="C1337" s="13"/>
      <c r="D1337" s="162"/>
      <c r="E1337" s="163"/>
      <c r="F1337" s="177"/>
      <c r="G1337" s="177"/>
      <c r="H1337" s="177"/>
      <c r="I1337" s="177"/>
      <c r="J1337" s="177"/>
      <c r="K1337" s="177"/>
      <c r="L1337" s="177"/>
      <c r="M1337" s="177"/>
      <c r="N1337" s="177"/>
      <c r="O1337" s="165"/>
      <c r="P1337" s="168"/>
    </row>
    <row r="1338" spans="16:16">
      <c r="A1338" s="161"/>
      <c r="B1338" s="13"/>
      <c r="C1338" s="13"/>
      <c r="D1338" s="162"/>
      <c r="E1338" s="163"/>
      <c r="F1338" s="177"/>
      <c r="G1338" s="177"/>
      <c r="H1338" s="177"/>
      <c r="I1338" s="177"/>
      <c r="J1338" s="177"/>
      <c r="K1338" s="177"/>
      <c r="L1338" s="177"/>
      <c r="M1338" s="177"/>
      <c r="N1338" s="177"/>
      <c r="O1338" s="165"/>
      <c r="P1338" s="168"/>
    </row>
    <row r="1339" spans="16:16">
      <c r="A1339" s="161"/>
      <c r="B1339" s="13"/>
      <c r="C1339" s="13"/>
      <c r="D1339" s="162"/>
      <c r="E1339" s="163"/>
      <c r="F1339" s="177"/>
      <c r="G1339" s="177"/>
      <c r="H1339" s="177"/>
      <c r="I1339" s="177"/>
      <c r="J1339" s="177"/>
      <c r="K1339" s="177"/>
      <c r="L1339" s="177"/>
      <c r="M1339" s="177"/>
      <c r="N1339" s="177"/>
      <c r="O1339" s="165"/>
      <c r="P1339" s="168"/>
    </row>
    <row r="1340" spans="16:16">
      <c r="A1340" s="161"/>
      <c r="B1340" s="13"/>
      <c r="C1340" s="13"/>
      <c r="D1340" s="162"/>
      <c r="E1340" s="163"/>
      <c r="F1340" s="177"/>
      <c r="G1340" s="177"/>
      <c r="H1340" s="177"/>
      <c r="I1340" s="177"/>
      <c r="J1340" s="177"/>
      <c r="K1340" s="177"/>
      <c r="L1340" s="177"/>
      <c r="M1340" s="177"/>
      <c r="N1340" s="177"/>
      <c r="O1340" s="165"/>
      <c r="P1340" s="168"/>
    </row>
    <row r="1341" spans="16:16">
      <c r="A1341" s="161"/>
      <c r="B1341" s="13"/>
      <c r="C1341" s="13"/>
      <c r="D1341" s="162"/>
      <c r="E1341" s="163"/>
      <c r="F1341" s="177"/>
      <c r="G1341" s="177"/>
      <c r="H1341" s="177"/>
      <c r="I1341" s="177"/>
      <c r="J1341" s="177"/>
      <c r="K1341" s="177"/>
      <c r="L1341" s="177"/>
      <c r="M1341" s="177"/>
      <c r="N1341" s="177"/>
      <c r="O1341" s="165"/>
      <c r="P1341" s="168"/>
    </row>
    <row r="1342" spans="16:16">
      <c r="A1342" s="161"/>
      <c r="B1342" s="13"/>
      <c r="C1342" s="13"/>
      <c r="D1342" s="162"/>
      <c r="E1342" s="163"/>
      <c r="F1342" s="177"/>
      <c r="G1342" s="177"/>
      <c r="H1342" s="177"/>
      <c r="I1342" s="177"/>
      <c r="J1342" s="177"/>
      <c r="K1342" s="177"/>
      <c r="L1342" s="177"/>
      <c r="M1342" s="177"/>
      <c r="N1342" s="177"/>
      <c r="O1342" s="165"/>
      <c r="P1342" s="168"/>
    </row>
    <row r="1343" spans="16:16">
      <c r="A1343" s="161"/>
      <c r="B1343" s="13"/>
      <c r="C1343" s="13"/>
      <c r="D1343" s="162"/>
      <c r="E1343" s="163"/>
      <c r="F1343" s="177"/>
      <c r="G1343" s="177"/>
      <c r="H1343" s="177"/>
      <c r="I1343" s="177"/>
      <c r="J1343" s="177"/>
      <c r="K1343" s="177"/>
      <c r="L1343" s="177"/>
      <c r="M1343" s="177"/>
      <c r="N1343" s="177"/>
      <c r="O1343" s="165"/>
      <c r="P1343" s="168"/>
    </row>
    <row r="1344" spans="16:16">
      <c r="A1344" s="161"/>
      <c r="B1344" s="13"/>
      <c r="C1344" s="13"/>
      <c r="D1344" s="162"/>
      <c r="E1344" s="163"/>
      <c r="F1344" s="177"/>
      <c r="G1344" s="177"/>
      <c r="H1344" s="177"/>
      <c r="I1344" s="177"/>
      <c r="J1344" s="177"/>
      <c r="K1344" s="177"/>
      <c r="L1344" s="177"/>
      <c r="M1344" s="177"/>
      <c r="N1344" s="177"/>
      <c r="O1344" s="165"/>
      <c r="P1344" s="168"/>
    </row>
    <row r="1345" spans="16:16">
      <c r="A1345" s="161"/>
      <c r="B1345" s="13"/>
      <c r="C1345" s="13"/>
      <c r="D1345" s="162"/>
      <c r="E1345" s="163"/>
      <c r="F1345" s="177"/>
      <c r="G1345" s="177"/>
      <c r="H1345" s="177"/>
      <c r="I1345" s="177"/>
      <c r="J1345" s="177"/>
      <c r="K1345" s="177"/>
      <c r="L1345" s="177"/>
      <c r="M1345" s="177"/>
      <c r="N1345" s="177"/>
      <c r="O1345" s="165"/>
      <c r="P1345" s="168"/>
    </row>
    <row r="1346" spans="16:16">
      <c r="A1346" s="161"/>
      <c r="B1346" s="13"/>
      <c r="C1346" s="13"/>
      <c r="D1346" s="162"/>
      <c r="E1346" s="163"/>
      <c r="F1346" s="177"/>
      <c r="G1346" s="177"/>
      <c r="H1346" s="177"/>
      <c r="I1346" s="177"/>
      <c r="J1346" s="177"/>
      <c r="K1346" s="177"/>
      <c r="L1346" s="177"/>
      <c r="M1346" s="177"/>
      <c r="N1346" s="177"/>
      <c r="O1346" s="165"/>
      <c r="P1346" s="168"/>
    </row>
    <row r="1347" spans="16:16">
      <c r="A1347" s="161"/>
      <c r="B1347" s="13"/>
      <c r="C1347" s="13"/>
      <c r="D1347" s="162"/>
      <c r="E1347" s="163"/>
      <c r="F1347" s="177"/>
      <c r="G1347" s="177"/>
      <c r="H1347" s="177"/>
      <c r="I1347" s="177"/>
      <c r="J1347" s="177"/>
      <c r="K1347" s="177"/>
      <c r="L1347" s="177"/>
      <c r="M1347" s="177"/>
      <c r="N1347" s="177"/>
      <c r="O1347" s="165"/>
      <c r="P1347" s="168"/>
    </row>
    <row r="1348" spans="16:16">
      <c r="A1348" s="161"/>
      <c r="B1348" s="13"/>
      <c r="C1348" s="13"/>
      <c r="D1348" s="162"/>
      <c r="E1348" s="163"/>
      <c r="F1348" s="177"/>
      <c r="G1348" s="177"/>
      <c r="H1348" s="177"/>
      <c r="I1348" s="177"/>
      <c r="J1348" s="177"/>
      <c r="K1348" s="177"/>
      <c r="L1348" s="177"/>
      <c r="M1348" s="177"/>
      <c r="N1348" s="177"/>
      <c r="O1348" s="165"/>
      <c r="P1348" s="168"/>
    </row>
    <row r="1349" spans="16:16">
      <c r="A1349" s="161"/>
      <c r="B1349" s="13"/>
      <c r="C1349" s="13"/>
      <c r="D1349" s="162"/>
      <c r="E1349" s="163"/>
      <c r="F1349" s="177"/>
      <c r="G1349" s="177"/>
      <c r="H1349" s="177"/>
      <c r="I1349" s="177"/>
      <c r="J1349" s="177"/>
      <c r="K1349" s="177"/>
      <c r="L1349" s="177"/>
      <c r="M1349" s="177"/>
      <c r="N1349" s="177"/>
      <c r="O1349" s="165"/>
      <c r="P1349" s="168"/>
    </row>
    <row r="1350" spans="16:16">
      <c r="A1350" s="161"/>
      <c r="B1350" s="13"/>
      <c r="C1350" s="13"/>
      <c r="D1350" s="162"/>
      <c r="E1350" s="163"/>
      <c r="F1350" s="177"/>
      <c r="G1350" s="177"/>
      <c r="H1350" s="177"/>
      <c r="I1350" s="177"/>
      <c r="J1350" s="177"/>
      <c r="K1350" s="177"/>
      <c r="L1350" s="177"/>
      <c r="M1350" s="177"/>
      <c r="N1350" s="177"/>
      <c r="O1350" s="165"/>
      <c r="P1350" s="168"/>
    </row>
    <row r="1351" spans="16:16">
      <c r="A1351" s="161"/>
      <c r="B1351" s="13"/>
      <c r="C1351" s="13"/>
      <c r="D1351" s="162"/>
      <c r="E1351" s="163"/>
      <c r="F1351" s="177"/>
      <c r="G1351" s="177"/>
      <c r="H1351" s="177"/>
      <c r="I1351" s="177"/>
      <c r="J1351" s="177"/>
      <c r="K1351" s="177"/>
      <c r="L1351" s="177"/>
      <c r="M1351" s="177"/>
      <c r="N1351" s="177"/>
      <c r="O1351" s="165"/>
      <c r="P1351" s="168"/>
    </row>
    <row r="1352" spans="16:16">
      <c r="A1352" s="161"/>
      <c r="B1352" s="13"/>
      <c r="C1352" s="13"/>
      <c r="D1352" s="162"/>
      <c r="E1352" s="163"/>
      <c r="F1352" s="177"/>
      <c r="G1352" s="177"/>
      <c r="H1352" s="177"/>
      <c r="I1352" s="177"/>
      <c r="J1352" s="177"/>
      <c r="K1352" s="177"/>
      <c r="L1352" s="177"/>
      <c r="M1352" s="177"/>
      <c r="N1352" s="177"/>
      <c r="O1352" s="165"/>
      <c r="P1352" s="168"/>
    </row>
    <row r="1353" spans="16:16">
      <c r="A1353" s="161"/>
      <c r="B1353" s="13"/>
      <c r="C1353" s="13"/>
      <c r="D1353" s="162"/>
      <c r="E1353" s="163"/>
      <c r="F1353" s="177"/>
      <c r="G1353" s="177"/>
      <c r="H1353" s="177"/>
      <c r="I1353" s="177"/>
      <c r="J1353" s="177"/>
      <c r="K1353" s="177"/>
      <c r="L1353" s="177"/>
      <c r="M1353" s="177"/>
      <c r="N1353" s="177"/>
      <c r="O1353" s="165"/>
      <c r="P1353" s="168"/>
    </row>
    <row r="1354" spans="16:16">
      <c r="A1354" s="161"/>
      <c r="B1354" s="13"/>
      <c r="C1354" s="13"/>
      <c r="D1354" s="162"/>
      <c r="E1354" s="163"/>
      <c r="F1354" s="177"/>
      <c r="G1354" s="177"/>
      <c r="H1354" s="177"/>
      <c r="I1354" s="177"/>
      <c r="J1354" s="177"/>
      <c r="K1354" s="177"/>
      <c r="L1354" s="177"/>
      <c r="M1354" s="177"/>
      <c r="N1354" s="177"/>
      <c r="O1354" s="165"/>
      <c r="P1354" s="168"/>
    </row>
    <row r="1355" spans="16:16">
      <c r="A1355" s="161"/>
      <c r="B1355" s="13"/>
      <c r="C1355" s="13"/>
      <c r="D1355" s="162"/>
      <c r="E1355" s="163"/>
      <c r="F1355" s="177"/>
      <c r="G1355" s="177"/>
      <c r="H1355" s="177"/>
      <c r="I1355" s="177"/>
      <c r="J1355" s="177"/>
      <c r="K1355" s="177"/>
      <c r="L1355" s="177"/>
      <c r="M1355" s="177"/>
      <c r="N1355" s="177"/>
      <c r="O1355" s="165"/>
      <c r="P1355" s="168"/>
    </row>
    <row r="1356" spans="16:16">
      <c r="A1356" s="161"/>
      <c r="B1356" s="13"/>
      <c r="C1356" s="13"/>
      <c r="D1356" s="162"/>
      <c r="E1356" s="163"/>
      <c r="F1356" s="177"/>
      <c r="G1356" s="177"/>
      <c r="H1356" s="177"/>
      <c r="I1356" s="177"/>
      <c r="J1356" s="177"/>
      <c r="K1356" s="177"/>
      <c r="L1356" s="177"/>
      <c r="M1356" s="177"/>
      <c r="N1356" s="177"/>
      <c r="O1356" s="165"/>
      <c r="P1356" s="168"/>
    </row>
    <row r="1357" spans="16:16">
      <c r="A1357" s="161"/>
      <c r="B1357" s="13"/>
      <c r="C1357" s="13"/>
      <c r="D1357" s="162"/>
      <c r="E1357" s="163"/>
      <c r="F1357" s="177"/>
      <c r="G1357" s="177"/>
      <c r="H1357" s="177"/>
      <c r="I1357" s="177"/>
      <c r="J1357" s="177"/>
      <c r="K1357" s="177"/>
      <c r="L1357" s="177"/>
      <c r="M1357" s="177"/>
      <c r="N1357" s="177"/>
      <c r="O1357" s="165"/>
      <c r="P1357" s="168"/>
    </row>
    <row r="1358" spans="16:16">
      <c r="A1358" s="161"/>
      <c r="B1358" s="13"/>
      <c r="C1358" s="13"/>
      <c r="D1358" s="162"/>
      <c r="E1358" s="163"/>
      <c r="F1358" s="177"/>
      <c r="G1358" s="177"/>
      <c r="H1358" s="177"/>
      <c r="I1358" s="177"/>
      <c r="J1358" s="177"/>
      <c r="K1358" s="177"/>
      <c r="L1358" s="177"/>
      <c r="M1358" s="177"/>
      <c r="N1358" s="177"/>
      <c r="O1358" s="165"/>
      <c r="P1358" s="168"/>
    </row>
    <row r="1359" spans="16:16">
      <c r="A1359" s="161"/>
      <c r="B1359" s="13"/>
      <c r="C1359" s="13"/>
      <c r="D1359" s="162"/>
      <c r="E1359" s="163"/>
      <c r="F1359" s="177"/>
      <c r="G1359" s="177"/>
      <c r="H1359" s="177"/>
      <c r="I1359" s="177"/>
      <c r="J1359" s="177"/>
      <c r="K1359" s="177"/>
      <c r="L1359" s="177"/>
      <c r="M1359" s="177"/>
      <c r="N1359" s="177"/>
      <c r="O1359" s="165"/>
      <c r="P1359" s="168"/>
    </row>
    <row r="1360" spans="16:16">
      <c r="A1360" s="161"/>
      <c r="B1360" s="13"/>
      <c r="C1360" s="13"/>
      <c r="D1360" s="162"/>
      <c r="E1360" s="163"/>
      <c r="F1360" s="177"/>
      <c r="G1360" s="177"/>
      <c r="H1360" s="177"/>
      <c r="I1360" s="177"/>
      <c r="J1360" s="177"/>
      <c r="K1360" s="177"/>
      <c r="L1360" s="177"/>
      <c r="M1360" s="177"/>
      <c r="N1360" s="177"/>
      <c r="O1360" s="165"/>
      <c r="P1360" s="168"/>
    </row>
    <row r="1361" spans="16:16">
      <c r="A1361" s="161"/>
      <c r="B1361" s="13"/>
      <c r="C1361" s="13"/>
      <c r="D1361" s="162"/>
      <c r="E1361" s="163"/>
      <c r="F1361" s="177"/>
      <c r="G1361" s="177"/>
      <c r="H1361" s="177"/>
      <c r="I1361" s="177"/>
      <c r="J1361" s="177"/>
      <c r="K1361" s="177"/>
      <c r="L1361" s="177"/>
      <c r="M1361" s="177"/>
      <c r="N1361" s="177"/>
      <c r="O1361" s="165"/>
      <c r="P1361" s="168"/>
    </row>
    <row r="1362" spans="16:16">
      <c r="A1362" s="161"/>
      <c r="B1362" s="13"/>
      <c r="C1362" s="13"/>
      <c r="D1362" s="162"/>
      <c r="E1362" s="163"/>
      <c r="F1362" s="177"/>
      <c r="G1362" s="177"/>
      <c r="H1362" s="177"/>
      <c r="I1362" s="177"/>
      <c r="J1362" s="177"/>
      <c r="K1362" s="177"/>
      <c r="L1362" s="177"/>
      <c r="M1362" s="177"/>
      <c r="N1362" s="177"/>
      <c r="O1362" s="165"/>
      <c r="P1362" s="168"/>
    </row>
    <row r="1363" spans="16:16">
      <c r="A1363" s="161"/>
      <c r="B1363" s="13"/>
      <c r="C1363" s="13"/>
      <c r="D1363" s="162"/>
      <c r="E1363" s="163"/>
      <c r="F1363" s="177"/>
      <c r="G1363" s="177"/>
      <c r="H1363" s="177"/>
      <c r="I1363" s="177"/>
      <c r="J1363" s="177"/>
      <c r="K1363" s="177"/>
      <c r="L1363" s="177"/>
      <c r="M1363" s="177"/>
      <c r="N1363" s="177"/>
      <c r="O1363" s="165"/>
      <c r="P1363" s="168"/>
    </row>
    <row r="1364" spans="16:16">
      <c r="A1364" s="161"/>
      <c r="B1364" s="13"/>
      <c r="C1364" s="13"/>
      <c r="D1364" s="162"/>
      <c r="E1364" s="163"/>
      <c r="F1364" s="177"/>
      <c r="G1364" s="177"/>
      <c r="H1364" s="177"/>
      <c r="I1364" s="177"/>
      <c r="J1364" s="177"/>
      <c r="K1364" s="177"/>
      <c r="L1364" s="177"/>
      <c r="M1364" s="177"/>
      <c r="N1364" s="177"/>
      <c r="O1364" s="165"/>
      <c r="P1364" s="168"/>
    </row>
    <row r="1365" spans="16:16">
      <c r="A1365" s="161"/>
      <c r="B1365" s="13"/>
      <c r="C1365" s="13"/>
      <c r="D1365" s="162"/>
      <c r="E1365" s="163"/>
      <c r="F1365" s="177"/>
      <c r="G1365" s="177"/>
      <c r="H1365" s="177"/>
      <c r="I1365" s="177"/>
      <c r="J1365" s="177"/>
      <c r="K1365" s="177"/>
      <c r="L1365" s="177"/>
      <c r="M1365" s="177"/>
      <c r="N1365" s="177"/>
      <c r="O1365" s="165"/>
      <c r="P1365" s="168"/>
    </row>
    <row r="1366" spans="16:16">
      <c r="A1366" s="161"/>
      <c r="B1366" s="13"/>
      <c r="C1366" s="13"/>
      <c r="D1366" s="162"/>
      <c r="E1366" s="163"/>
      <c r="F1366" s="177"/>
      <c r="G1366" s="177"/>
      <c r="H1366" s="177"/>
      <c r="I1366" s="177"/>
      <c r="J1366" s="177"/>
      <c r="K1366" s="177"/>
      <c r="L1366" s="177"/>
      <c r="M1366" s="177"/>
      <c r="N1366" s="177"/>
      <c r="O1366" s="165"/>
      <c r="P1366" s="168"/>
    </row>
    <row r="1367" spans="16:16">
      <c r="A1367" s="161"/>
      <c r="B1367" s="13"/>
      <c r="C1367" s="13"/>
      <c r="D1367" s="162"/>
      <c r="E1367" s="163"/>
      <c r="F1367" s="177"/>
      <c r="G1367" s="177"/>
      <c r="H1367" s="177"/>
      <c r="I1367" s="177"/>
      <c r="J1367" s="177"/>
      <c r="K1367" s="177"/>
      <c r="L1367" s="177"/>
      <c r="M1367" s="177"/>
      <c r="N1367" s="177"/>
      <c r="O1367" s="165"/>
      <c r="P1367" s="168"/>
    </row>
    <row r="1368" spans="16:16">
      <c r="A1368" s="161"/>
      <c r="B1368" s="13"/>
      <c r="C1368" s="13"/>
      <c r="D1368" s="162"/>
      <c r="E1368" s="163"/>
      <c r="F1368" s="177"/>
      <c r="G1368" s="177"/>
      <c r="H1368" s="177"/>
      <c r="I1368" s="177"/>
      <c r="J1368" s="177"/>
      <c r="K1368" s="177"/>
      <c r="L1368" s="177"/>
      <c r="M1368" s="177"/>
      <c r="N1368" s="177"/>
      <c r="O1368" s="165"/>
      <c r="P1368" s="168"/>
    </row>
    <row r="1369" spans="16:16">
      <c r="A1369" s="161"/>
      <c r="B1369" s="13"/>
      <c r="C1369" s="13"/>
      <c r="D1369" s="162"/>
      <c r="E1369" s="163"/>
      <c r="F1369" s="177"/>
      <c r="G1369" s="177"/>
      <c r="H1369" s="177"/>
      <c r="I1369" s="177"/>
      <c r="J1369" s="177"/>
      <c r="K1369" s="177"/>
      <c r="L1369" s="177"/>
      <c r="M1369" s="177"/>
      <c r="N1369" s="177"/>
      <c r="O1369" s="165"/>
      <c r="P1369" s="168"/>
    </row>
    <row r="1370" spans="16:16">
      <c r="A1370" s="161"/>
      <c r="B1370" s="13"/>
      <c r="C1370" s="13"/>
      <c r="D1370" s="162"/>
      <c r="E1370" s="163"/>
      <c r="F1370" s="177"/>
      <c r="G1370" s="177"/>
      <c r="H1370" s="177"/>
      <c r="I1370" s="177"/>
      <c r="J1370" s="177"/>
      <c r="K1370" s="177"/>
      <c r="L1370" s="177"/>
      <c r="M1370" s="177"/>
      <c r="N1370" s="177"/>
      <c r="O1370" s="165"/>
      <c r="P1370" s="168"/>
    </row>
    <row r="1371" spans="16:16">
      <c r="A1371" s="161"/>
      <c r="B1371" s="13"/>
      <c r="C1371" s="13"/>
      <c r="D1371" s="162"/>
      <c r="E1371" s="163"/>
      <c r="F1371" s="177"/>
      <c r="G1371" s="177"/>
      <c r="H1371" s="177"/>
      <c r="I1371" s="177"/>
      <c r="J1371" s="177"/>
      <c r="K1371" s="177"/>
      <c r="L1371" s="177"/>
      <c r="M1371" s="177"/>
      <c r="N1371" s="177"/>
      <c r="O1371" s="165"/>
      <c r="P1371" s="168"/>
    </row>
    <row r="1372" spans="16:16">
      <c r="A1372" s="161"/>
      <c r="B1372" s="13"/>
      <c r="C1372" s="13"/>
      <c r="D1372" s="162"/>
      <c r="E1372" s="163"/>
      <c r="F1372" s="177"/>
      <c r="G1372" s="177"/>
      <c r="H1372" s="177"/>
      <c r="I1372" s="177"/>
      <c r="J1372" s="177"/>
      <c r="K1372" s="177"/>
      <c r="L1372" s="177"/>
      <c r="M1372" s="177"/>
      <c r="N1372" s="177"/>
      <c r="O1372" s="165"/>
      <c r="P1372" s="168"/>
    </row>
    <row r="1373" spans="16:16">
      <c r="A1373" s="161"/>
      <c r="B1373" s="13"/>
      <c r="C1373" s="13"/>
      <c r="D1373" s="162"/>
      <c r="E1373" s="163"/>
      <c r="F1373" s="177"/>
      <c r="G1373" s="177"/>
      <c r="H1373" s="177"/>
      <c r="I1373" s="177"/>
      <c r="J1373" s="177"/>
      <c r="K1373" s="177"/>
      <c r="L1373" s="177"/>
      <c r="M1373" s="177"/>
      <c r="N1373" s="177"/>
      <c r="O1373" s="165"/>
      <c r="P1373" s="168"/>
    </row>
    <row r="1374" spans="16:16">
      <c r="A1374" s="161"/>
      <c r="B1374" s="13"/>
      <c r="C1374" s="13"/>
      <c r="D1374" s="162"/>
      <c r="E1374" s="163"/>
      <c r="F1374" s="177"/>
      <c r="G1374" s="177"/>
      <c r="H1374" s="177"/>
      <c r="I1374" s="177"/>
      <c r="J1374" s="177"/>
      <c r="K1374" s="177"/>
      <c r="L1374" s="177"/>
      <c r="M1374" s="177"/>
      <c r="N1374" s="177"/>
      <c r="O1374" s="165"/>
      <c r="P1374" s="168"/>
    </row>
    <row r="1375" spans="16:16">
      <c r="A1375" s="161"/>
      <c r="B1375" s="13"/>
      <c r="C1375" s="13"/>
      <c r="D1375" s="162"/>
      <c r="E1375" s="163"/>
      <c r="F1375" s="177"/>
      <c r="G1375" s="177"/>
      <c r="H1375" s="177"/>
      <c r="I1375" s="177"/>
      <c r="J1375" s="177"/>
      <c r="K1375" s="177"/>
      <c r="L1375" s="177"/>
      <c r="M1375" s="177"/>
      <c r="N1375" s="177"/>
      <c r="O1375" s="165"/>
      <c r="P1375" s="168"/>
    </row>
    <row r="1376" spans="16:16">
      <c r="A1376" s="161"/>
      <c r="B1376" s="13"/>
      <c r="C1376" s="13"/>
      <c r="D1376" s="162"/>
      <c r="E1376" s="163"/>
      <c r="F1376" s="177"/>
      <c r="G1376" s="177"/>
      <c r="H1376" s="177"/>
      <c r="I1376" s="177"/>
      <c r="J1376" s="177"/>
      <c r="K1376" s="177"/>
      <c r="L1376" s="177"/>
      <c r="M1376" s="177"/>
      <c r="N1376" s="177"/>
      <c r="O1376" s="165"/>
      <c r="P1376" s="168"/>
    </row>
    <row r="1377" spans="16:16">
      <c r="A1377" s="161"/>
      <c r="B1377" s="13"/>
      <c r="C1377" s="13"/>
      <c r="D1377" s="162"/>
      <c r="E1377" s="163"/>
      <c r="F1377" s="177"/>
      <c r="G1377" s="177"/>
      <c r="H1377" s="177"/>
      <c r="I1377" s="177"/>
      <c r="J1377" s="177"/>
      <c r="K1377" s="177"/>
      <c r="L1377" s="177"/>
      <c r="M1377" s="177"/>
      <c r="N1377" s="177"/>
      <c r="O1377" s="165"/>
      <c r="P1377" s="168"/>
    </row>
    <row r="1378" spans="16:16">
      <c r="A1378" s="161"/>
      <c r="B1378" s="13"/>
      <c r="C1378" s="13"/>
      <c r="D1378" s="162"/>
      <c r="E1378" s="163"/>
      <c r="F1378" s="177"/>
      <c r="G1378" s="177"/>
      <c r="H1378" s="177"/>
      <c r="I1378" s="177"/>
      <c r="J1378" s="177"/>
      <c r="K1378" s="177"/>
      <c r="L1378" s="177"/>
      <c r="M1378" s="177"/>
      <c r="N1378" s="177"/>
      <c r="O1378" s="165"/>
      <c r="P1378" s="168"/>
    </row>
    <row r="1379" spans="16:16">
      <c r="A1379" s="161"/>
      <c r="B1379" s="13"/>
      <c r="C1379" s="13"/>
      <c r="D1379" s="162"/>
      <c r="E1379" s="163"/>
      <c r="F1379" s="177"/>
      <c r="G1379" s="177"/>
      <c r="H1379" s="177"/>
      <c r="I1379" s="177"/>
      <c r="J1379" s="177"/>
      <c r="K1379" s="177"/>
      <c r="L1379" s="177"/>
      <c r="M1379" s="177"/>
      <c r="N1379" s="177"/>
      <c r="O1379" s="165"/>
      <c r="P1379" s="168"/>
    </row>
    <row r="1380" spans="16:16">
      <c r="A1380" s="161"/>
      <c r="B1380" s="13"/>
      <c r="C1380" s="13"/>
      <c r="D1380" s="162"/>
      <c r="E1380" s="163"/>
      <c r="F1380" s="177"/>
      <c r="G1380" s="177"/>
      <c r="H1380" s="177"/>
      <c r="I1380" s="177"/>
      <c r="J1380" s="177"/>
      <c r="K1380" s="177"/>
      <c r="L1380" s="177"/>
      <c r="M1380" s="177"/>
      <c r="N1380" s="177"/>
      <c r="O1380" s="165"/>
      <c r="P1380" s="168"/>
    </row>
    <row r="1381" spans="16:16">
      <c r="A1381" s="161"/>
      <c r="B1381" s="13"/>
      <c r="C1381" s="13"/>
      <c r="D1381" s="162"/>
      <c r="E1381" s="163"/>
      <c r="F1381" s="177"/>
      <c r="G1381" s="177"/>
      <c r="H1381" s="177"/>
      <c r="I1381" s="177"/>
      <c r="J1381" s="177"/>
      <c r="K1381" s="177"/>
      <c r="L1381" s="177"/>
      <c r="M1381" s="177"/>
      <c r="N1381" s="177"/>
      <c r="O1381" s="165"/>
      <c r="P1381" s="168"/>
    </row>
    <row r="1382" spans="16:16">
      <c r="A1382" s="161"/>
      <c r="B1382" s="13"/>
      <c r="C1382" s="13"/>
      <c r="D1382" s="162"/>
      <c r="E1382" s="163"/>
      <c r="F1382" s="177"/>
      <c r="G1382" s="177"/>
      <c r="H1382" s="177"/>
      <c r="I1382" s="177"/>
      <c r="J1382" s="177"/>
      <c r="K1382" s="177"/>
      <c r="L1382" s="177"/>
      <c r="M1382" s="177"/>
      <c r="N1382" s="177"/>
      <c r="O1382" s="165"/>
      <c r="P1382" s="168"/>
    </row>
    <row r="1383" spans="16:16">
      <c r="A1383" s="161"/>
      <c r="B1383" s="13"/>
      <c r="C1383" s="13"/>
      <c r="D1383" s="162"/>
      <c r="E1383" s="163"/>
      <c r="F1383" s="177"/>
      <c r="G1383" s="177"/>
      <c r="H1383" s="177"/>
      <c r="I1383" s="177"/>
      <c r="J1383" s="177"/>
      <c r="K1383" s="177"/>
      <c r="L1383" s="177"/>
      <c r="M1383" s="177"/>
      <c r="N1383" s="177"/>
      <c r="O1383" s="165"/>
      <c r="P1383" s="168"/>
    </row>
    <row r="1384" spans="16:16">
      <c r="A1384" s="161"/>
      <c r="B1384" s="13"/>
      <c r="C1384" s="13"/>
      <c r="D1384" s="162"/>
      <c r="E1384" s="163"/>
      <c r="F1384" s="177"/>
      <c r="G1384" s="177"/>
      <c r="H1384" s="177"/>
      <c r="I1384" s="177"/>
      <c r="J1384" s="177"/>
      <c r="K1384" s="177"/>
      <c r="L1384" s="177"/>
      <c r="M1384" s="177"/>
      <c r="N1384" s="177"/>
      <c r="O1384" s="165"/>
      <c r="P1384" s="168"/>
    </row>
    <row r="1385" spans="16:16">
      <c r="A1385" s="161"/>
      <c r="B1385" s="13"/>
      <c r="C1385" s="13"/>
      <c r="D1385" s="162"/>
      <c r="E1385" s="163"/>
      <c r="F1385" s="177"/>
      <c r="G1385" s="177"/>
      <c r="H1385" s="177"/>
      <c r="I1385" s="177"/>
      <c r="J1385" s="177"/>
      <c r="K1385" s="177"/>
      <c r="L1385" s="177"/>
      <c r="M1385" s="177"/>
      <c r="N1385" s="177"/>
      <c r="O1385" s="165"/>
      <c r="P1385" s="168"/>
    </row>
    <row r="1386" spans="16:16">
      <c r="A1386" s="161"/>
      <c r="B1386" s="13"/>
      <c r="C1386" s="13"/>
      <c r="D1386" s="162"/>
      <c r="E1386" s="163"/>
      <c r="F1386" s="177"/>
      <c r="G1386" s="177"/>
      <c r="H1386" s="177"/>
      <c r="I1386" s="177"/>
      <c r="J1386" s="177"/>
      <c r="K1386" s="177"/>
      <c r="L1386" s="177"/>
      <c r="M1386" s="177"/>
      <c r="N1386" s="177"/>
      <c r="O1386" s="165"/>
      <c r="P1386" s="168"/>
    </row>
    <row r="1387" spans="16:16">
      <c r="A1387" s="161"/>
      <c r="B1387" s="13"/>
      <c r="C1387" s="13"/>
      <c r="D1387" s="162"/>
      <c r="E1387" s="163"/>
      <c r="F1387" s="177"/>
      <c r="G1387" s="177"/>
      <c r="H1387" s="177"/>
      <c r="I1387" s="177"/>
      <c r="J1387" s="177"/>
      <c r="K1387" s="177"/>
      <c r="L1387" s="177"/>
      <c r="M1387" s="177"/>
      <c r="N1387" s="177"/>
      <c r="O1387" s="165"/>
      <c r="P1387" s="168"/>
    </row>
    <row r="1388" spans="16:16">
      <c r="A1388" s="161"/>
      <c r="B1388" s="13"/>
      <c r="C1388" s="13"/>
      <c r="D1388" s="162"/>
      <c r="E1388" s="163"/>
      <c r="F1388" s="177"/>
      <c r="G1388" s="177"/>
      <c r="H1388" s="177"/>
      <c r="I1388" s="177"/>
      <c r="J1388" s="177"/>
      <c r="K1388" s="177"/>
      <c r="L1388" s="177"/>
      <c r="M1388" s="177"/>
      <c r="N1388" s="177"/>
      <c r="O1388" s="165"/>
      <c r="P1388" s="168"/>
    </row>
    <row r="1389" spans="16:16">
      <c r="A1389" s="161"/>
      <c r="B1389" s="13"/>
      <c r="C1389" s="13"/>
      <c r="D1389" s="162"/>
      <c r="E1389" s="163"/>
      <c r="F1389" s="177"/>
      <c r="G1389" s="177"/>
      <c r="H1389" s="177"/>
      <c r="I1389" s="177"/>
      <c r="J1389" s="177"/>
      <c r="K1389" s="177"/>
      <c r="L1389" s="177"/>
      <c r="M1389" s="177"/>
      <c r="N1389" s="177"/>
      <c r="O1389" s="165"/>
      <c r="P1389" s="168"/>
    </row>
    <row r="1390" spans="16:16">
      <c r="A1390" s="161"/>
      <c r="B1390" s="13"/>
      <c r="C1390" s="13"/>
      <c r="D1390" s="162"/>
      <c r="E1390" s="163"/>
      <c r="F1390" s="177"/>
      <c r="G1390" s="177"/>
      <c r="H1390" s="177"/>
      <c r="I1390" s="177"/>
      <c r="J1390" s="177"/>
      <c r="K1390" s="177"/>
      <c r="L1390" s="177"/>
      <c r="M1390" s="177"/>
      <c r="N1390" s="177"/>
      <c r="O1390" s="165"/>
      <c r="P1390" s="168"/>
    </row>
    <row r="1391" spans="16:16">
      <c r="A1391" s="161"/>
      <c r="B1391" s="13"/>
      <c r="C1391" s="13"/>
      <c r="D1391" s="162"/>
      <c r="E1391" s="163"/>
      <c r="F1391" s="177"/>
      <c r="G1391" s="177"/>
      <c r="H1391" s="177"/>
      <c r="I1391" s="177"/>
      <c r="J1391" s="177"/>
      <c r="K1391" s="177"/>
      <c r="L1391" s="177"/>
      <c r="M1391" s="177"/>
      <c r="N1391" s="177"/>
      <c r="O1391" s="165"/>
      <c r="P1391" s="168"/>
    </row>
    <row r="1392" spans="16:16">
      <c r="A1392" s="161"/>
      <c r="B1392" s="13"/>
      <c r="C1392" s="13"/>
      <c r="D1392" s="162"/>
      <c r="E1392" s="163"/>
      <c r="F1392" s="177"/>
      <c r="G1392" s="177"/>
      <c r="H1392" s="177"/>
      <c r="I1392" s="177"/>
      <c r="J1392" s="177"/>
      <c r="K1392" s="177"/>
      <c r="L1392" s="177"/>
      <c r="M1392" s="177"/>
      <c r="N1392" s="177"/>
      <c r="O1392" s="165"/>
      <c r="P1392" s="168"/>
    </row>
    <row r="1393" spans="16:16">
      <c r="A1393" s="161"/>
      <c r="B1393" s="13"/>
      <c r="C1393" s="13"/>
      <c r="D1393" s="162"/>
      <c r="E1393" s="163"/>
      <c r="F1393" s="177"/>
      <c r="G1393" s="177"/>
      <c r="H1393" s="177"/>
      <c r="I1393" s="177"/>
      <c r="J1393" s="177"/>
      <c r="K1393" s="177"/>
      <c r="L1393" s="177"/>
      <c r="M1393" s="177"/>
      <c r="N1393" s="177"/>
      <c r="O1393" s="165"/>
      <c r="P1393" s="168"/>
    </row>
    <row r="1394" spans="16:16">
      <c r="A1394" s="161"/>
      <c r="B1394" s="13"/>
      <c r="C1394" s="13"/>
      <c r="D1394" s="162"/>
      <c r="E1394" s="163"/>
      <c r="F1394" s="177"/>
      <c r="G1394" s="177"/>
      <c r="H1394" s="177"/>
      <c r="I1394" s="177"/>
      <c r="J1394" s="177"/>
      <c r="K1394" s="177"/>
      <c r="L1394" s="177"/>
      <c r="M1394" s="177"/>
      <c r="N1394" s="177"/>
      <c r="O1394" s="165"/>
      <c r="P1394" s="168"/>
    </row>
    <row r="1395" spans="16:16">
      <c r="A1395" s="161"/>
      <c r="B1395" s="13"/>
      <c r="C1395" s="13"/>
      <c r="D1395" s="162"/>
      <c r="E1395" s="163"/>
      <c r="F1395" s="177"/>
      <c r="G1395" s="177"/>
      <c r="H1395" s="177"/>
      <c r="I1395" s="177"/>
      <c r="J1395" s="177"/>
      <c r="K1395" s="177"/>
      <c r="L1395" s="177"/>
      <c r="M1395" s="177"/>
      <c r="N1395" s="177"/>
      <c r="O1395" s="165"/>
      <c r="P1395" s="168"/>
    </row>
    <row r="1396" spans="16:16">
      <c r="A1396" s="161"/>
      <c r="B1396" s="13"/>
      <c r="C1396" s="13"/>
      <c r="D1396" s="162"/>
      <c r="E1396" s="163"/>
      <c r="F1396" s="177"/>
      <c r="G1396" s="177"/>
      <c r="H1396" s="177"/>
      <c r="I1396" s="177"/>
      <c r="J1396" s="177"/>
      <c r="K1396" s="177"/>
      <c r="L1396" s="177"/>
      <c r="M1396" s="177"/>
      <c r="N1396" s="177"/>
      <c r="O1396" s="165"/>
      <c r="P1396" s="168"/>
    </row>
    <row r="1397" spans="16:16">
      <c r="A1397" s="161"/>
      <c r="B1397" s="13"/>
      <c r="C1397" s="13"/>
      <c r="D1397" s="162"/>
      <c r="E1397" s="163"/>
      <c r="F1397" s="177"/>
      <c r="G1397" s="177"/>
      <c r="H1397" s="177"/>
      <c r="I1397" s="177"/>
      <c r="J1397" s="177"/>
      <c r="K1397" s="177"/>
      <c r="L1397" s="177"/>
      <c r="M1397" s="177"/>
      <c r="N1397" s="177"/>
      <c r="O1397" s="165"/>
      <c r="P1397" s="168"/>
    </row>
    <row r="1398" spans="16:16">
      <c r="A1398" s="161"/>
      <c r="B1398" s="13"/>
      <c r="C1398" s="13"/>
      <c r="D1398" s="162"/>
      <c r="E1398" s="163"/>
      <c r="F1398" s="177"/>
      <c r="G1398" s="177"/>
      <c r="H1398" s="177"/>
      <c r="I1398" s="177"/>
      <c r="J1398" s="177"/>
      <c r="K1398" s="177"/>
      <c r="L1398" s="177"/>
      <c r="M1398" s="177"/>
      <c r="N1398" s="177"/>
      <c r="O1398" s="165"/>
      <c r="P1398" s="168"/>
    </row>
    <row r="1399" spans="16:16">
      <c r="A1399" s="161"/>
      <c r="B1399" s="13"/>
      <c r="C1399" s="13"/>
      <c r="D1399" s="162"/>
      <c r="E1399" s="163"/>
      <c r="F1399" s="177"/>
      <c r="G1399" s="177"/>
      <c r="H1399" s="177"/>
      <c r="I1399" s="177"/>
      <c r="J1399" s="177"/>
      <c r="K1399" s="177"/>
      <c r="L1399" s="177"/>
      <c r="M1399" s="177"/>
      <c r="N1399" s="177"/>
      <c r="O1399" s="165"/>
      <c r="P1399" s="168"/>
    </row>
    <row r="1400" spans="16:16">
      <c r="A1400" s="161"/>
      <c r="B1400" s="13"/>
      <c r="C1400" s="13"/>
      <c r="D1400" s="162"/>
      <c r="E1400" s="163"/>
      <c r="F1400" s="177"/>
      <c r="G1400" s="177"/>
      <c r="H1400" s="177"/>
      <c r="I1400" s="177"/>
      <c r="J1400" s="177"/>
      <c r="K1400" s="177"/>
      <c r="L1400" s="177"/>
      <c r="M1400" s="177"/>
      <c r="N1400" s="177"/>
      <c r="O1400" s="165"/>
      <c r="P1400" s="168"/>
    </row>
    <row r="1401" spans="16:16">
      <c r="A1401" s="161"/>
      <c r="B1401" s="13"/>
      <c r="C1401" s="13"/>
      <c r="D1401" s="162"/>
      <c r="E1401" s="163"/>
      <c r="F1401" s="177"/>
      <c r="G1401" s="177"/>
      <c r="H1401" s="177"/>
      <c r="I1401" s="177"/>
      <c r="J1401" s="177"/>
      <c r="K1401" s="177"/>
      <c r="L1401" s="177"/>
      <c r="M1401" s="177"/>
      <c r="N1401" s="177"/>
      <c r="O1401" s="165"/>
      <c r="P1401" s="168"/>
    </row>
    <row r="1402" spans="16:16">
      <c r="A1402" s="161"/>
      <c r="B1402" s="13"/>
      <c r="C1402" s="13"/>
      <c r="D1402" s="162"/>
      <c r="E1402" s="163"/>
      <c r="F1402" s="177"/>
      <c r="G1402" s="177"/>
      <c r="H1402" s="177"/>
      <c r="I1402" s="177"/>
      <c r="J1402" s="177"/>
      <c r="K1402" s="177"/>
      <c r="L1402" s="177"/>
      <c r="M1402" s="177"/>
      <c r="N1402" s="177"/>
      <c r="O1402" s="165"/>
      <c r="P1402" s="168"/>
    </row>
    <row r="1403" spans="16:16">
      <c r="A1403" s="161"/>
      <c r="B1403" s="13"/>
      <c r="C1403" s="13"/>
      <c r="D1403" s="162"/>
      <c r="E1403" s="163"/>
      <c r="F1403" s="177"/>
      <c r="G1403" s="177"/>
      <c r="H1403" s="177"/>
      <c r="I1403" s="177"/>
      <c r="J1403" s="177"/>
      <c r="K1403" s="177"/>
      <c r="L1403" s="177"/>
      <c r="M1403" s="177"/>
      <c r="N1403" s="177"/>
      <c r="O1403" s="165"/>
      <c r="P1403" s="168"/>
    </row>
    <row r="1404" spans="16:16">
      <c r="A1404" s="161"/>
      <c r="B1404" s="13"/>
      <c r="C1404" s="13"/>
      <c r="D1404" s="162"/>
      <c r="E1404" s="163"/>
      <c r="F1404" s="177"/>
      <c r="G1404" s="177"/>
      <c r="H1404" s="177"/>
      <c r="I1404" s="177"/>
      <c r="J1404" s="177"/>
      <c r="K1404" s="177"/>
      <c r="L1404" s="177"/>
      <c r="M1404" s="177"/>
      <c r="N1404" s="177"/>
      <c r="O1404" s="165"/>
      <c r="P1404" s="168"/>
    </row>
    <row r="1405" spans="16:16">
      <c r="A1405" s="161"/>
      <c r="B1405" s="13"/>
      <c r="C1405" s="13"/>
      <c r="D1405" s="162"/>
      <c r="E1405" s="163"/>
      <c r="F1405" s="177"/>
      <c r="G1405" s="177"/>
      <c r="H1405" s="177"/>
      <c r="I1405" s="177"/>
      <c r="J1405" s="177"/>
      <c r="K1405" s="177"/>
      <c r="L1405" s="177"/>
      <c r="M1405" s="177"/>
      <c r="N1405" s="177"/>
      <c r="O1405" s="165"/>
      <c r="P1405" s="168"/>
    </row>
    <row r="1406" spans="16:16">
      <c r="A1406" s="161"/>
      <c r="B1406" s="13"/>
      <c r="C1406" s="13"/>
      <c r="D1406" s="162"/>
      <c r="E1406" s="163"/>
      <c r="F1406" s="177"/>
      <c r="G1406" s="177"/>
      <c r="H1406" s="177"/>
      <c r="I1406" s="177"/>
      <c r="J1406" s="177"/>
      <c r="K1406" s="177"/>
      <c r="L1406" s="177"/>
      <c r="M1406" s="177"/>
      <c r="N1406" s="177"/>
      <c r="O1406" s="165"/>
      <c r="P1406" s="168"/>
    </row>
    <row r="1407" spans="16:16">
      <c r="A1407" s="161"/>
      <c r="B1407" s="13"/>
      <c r="C1407" s="13"/>
      <c r="D1407" s="162"/>
      <c r="E1407" s="163"/>
      <c r="F1407" s="177"/>
      <c r="G1407" s="177"/>
      <c r="H1407" s="177"/>
      <c r="I1407" s="177"/>
      <c r="J1407" s="177"/>
      <c r="K1407" s="177"/>
      <c r="L1407" s="177"/>
      <c r="M1407" s="177"/>
      <c r="N1407" s="177"/>
      <c r="O1407" s="165"/>
      <c r="P1407" s="168"/>
    </row>
    <row r="1408" spans="16:16">
      <c r="A1408" s="161"/>
      <c r="B1408" s="13"/>
      <c r="C1408" s="13"/>
      <c r="D1408" s="162"/>
      <c r="E1408" s="163"/>
      <c r="F1408" s="177"/>
      <c r="G1408" s="177"/>
      <c r="H1408" s="177"/>
      <c r="I1408" s="177"/>
      <c r="J1408" s="177"/>
      <c r="K1408" s="177"/>
      <c r="L1408" s="177"/>
      <c r="M1408" s="177"/>
      <c r="N1408" s="177"/>
      <c r="O1408" s="165"/>
      <c r="P1408" s="168"/>
    </row>
    <row r="1409" spans="16:16">
      <c r="A1409" s="161"/>
      <c r="B1409" s="13"/>
      <c r="C1409" s="13"/>
      <c r="D1409" s="162"/>
      <c r="E1409" s="163"/>
      <c r="F1409" s="177"/>
      <c r="G1409" s="177"/>
      <c r="H1409" s="177"/>
      <c r="I1409" s="177"/>
      <c r="J1409" s="177"/>
      <c r="K1409" s="177"/>
      <c r="L1409" s="177"/>
      <c r="M1409" s="177"/>
      <c r="N1409" s="177"/>
      <c r="O1409" s="165"/>
      <c r="P1409" s="168"/>
    </row>
    <row r="1410" spans="16:16">
      <c r="A1410" s="161"/>
      <c r="B1410" s="13"/>
      <c r="C1410" s="13"/>
      <c r="D1410" s="162"/>
      <c r="E1410" s="163"/>
      <c r="F1410" s="177"/>
      <c r="G1410" s="177"/>
      <c r="H1410" s="177"/>
      <c r="I1410" s="177"/>
      <c r="J1410" s="177"/>
      <c r="K1410" s="177"/>
      <c r="L1410" s="177"/>
      <c r="M1410" s="177"/>
      <c r="N1410" s="177"/>
      <c r="O1410" s="165"/>
      <c r="P1410" s="168"/>
    </row>
    <row r="1411" spans="16:16">
      <c r="A1411" s="161"/>
      <c r="B1411" s="13"/>
      <c r="C1411" s="13"/>
      <c r="D1411" s="162"/>
      <c r="E1411" s="163"/>
      <c r="F1411" s="177"/>
      <c r="G1411" s="177"/>
      <c r="H1411" s="177"/>
      <c r="I1411" s="177"/>
      <c r="J1411" s="177"/>
      <c r="K1411" s="177"/>
      <c r="L1411" s="177"/>
      <c r="M1411" s="177"/>
      <c r="N1411" s="177"/>
      <c r="O1411" s="165"/>
      <c r="P1411" s="168"/>
    </row>
    <row r="1412" s="176" customFormat="1" spans="1:16">
      <c r="A1412" s="169"/>
      <c r="B1412" s="13"/>
      <c r="C1412" s="13"/>
      <c r="D1412" s="162"/>
      <c r="E1412" s="163"/>
      <c r="F1412" s="177"/>
      <c r="G1412" s="177"/>
      <c r="H1412" s="177"/>
      <c r="I1412" s="177"/>
      <c r="J1412" s="177"/>
      <c r="K1412" s="177"/>
      <c r="L1412" s="177"/>
      <c r="M1412" s="177"/>
      <c r="N1412" s="177"/>
      <c r="O1412" s="165"/>
      <c r="P1412" s="168"/>
    </row>
    <row r="1413" s="176" customFormat="1" spans="1:16">
      <c r="A1413" s="169"/>
      <c r="B1413" s="13"/>
      <c r="C1413" s="13"/>
      <c r="D1413" s="162"/>
      <c r="E1413" s="163"/>
      <c r="F1413" s="177"/>
      <c r="G1413" s="177"/>
      <c r="H1413" s="177"/>
      <c r="I1413" s="177"/>
      <c r="J1413" s="177"/>
      <c r="K1413" s="177"/>
      <c r="L1413" s="177"/>
      <c r="M1413" s="177"/>
      <c r="N1413" s="177"/>
      <c r="O1413" s="165"/>
      <c r="P1413" s="168"/>
    </row>
    <row r="1414" s="176" customFormat="1" spans="1:16">
      <c r="A1414" s="169"/>
      <c r="B1414" s="13"/>
      <c r="C1414" s="13"/>
      <c r="D1414" s="162"/>
      <c r="E1414" s="163"/>
      <c r="F1414" s="177"/>
      <c r="G1414" s="177"/>
      <c r="H1414" s="177"/>
      <c r="I1414" s="177"/>
      <c r="J1414" s="177"/>
      <c r="K1414" s="177"/>
      <c r="L1414" s="177"/>
      <c r="M1414" s="177"/>
      <c r="N1414" s="177"/>
      <c r="O1414" s="165"/>
      <c r="P1414" s="168"/>
    </row>
    <row r="1415" s="176" customFormat="1" spans="1:16">
      <c r="A1415" s="169"/>
      <c r="B1415" s="13"/>
      <c r="C1415" s="13"/>
      <c r="D1415" s="162"/>
      <c r="E1415" s="163"/>
      <c r="F1415" s="177"/>
      <c r="G1415" s="177"/>
      <c r="H1415" s="177"/>
      <c r="I1415" s="177"/>
      <c r="J1415" s="177"/>
      <c r="K1415" s="177"/>
      <c r="L1415" s="177"/>
      <c r="M1415" s="177"/>
      <c r="N1415" s="177"/>
      <c r="O1415" s="165"/>
      <c r="P1415" s="168"/>
    </row>
    <row r="1416" spans="16:16">
      <c r="A1416" s="161"/>
      <c r="B1416" s="13"/>
      <c r="C1416" s="13"/>
      <c r="D1416" s="162"/>
      <c r="E1416" s="163"/>
      <c r="F1416" s="177"/>
      <c r="G1416" s="177"/>
      <c r="H1416" s="177"/>
      <c r="I1416" s="177"/>
      <c r="J1416" s="177"/>
      <c r="K1416" s="177"/>
      <c r="L1416" s="177"/>
      <c r="M1416" s="177"/>
      <c r="N1416" s="177"/>
      <c r="O1416" s="165"/>
      <c r="P1416" s="168"/>
    </row>
    <row r="1417" spans="16:16">
      <c r="A1417" s="161"/>
      <c r="B1417" s="13"/>
      <c r="C1417" s="13"/>
      <c r="D1417" s="162"/>
      <c r="E1417" s="163"/>
      <c r="F1417" s="177"/>
      <c r="G1417" s="177"/>
      <c r="H1417" s="177"/>
      <c r="I1417" s="177"/>
      <c r="J1417" s="177"/>
      <c r="K1417" s="177"/>
      <c r="L1417" s="177"/>
      <c r="M1417" s="177"/>
      <c r="N1417" s="177"/>
      <c r="O1417" s="165"/>
      <c r="P1417" s="168"/>
    </row>
    <row r="1418" spans="16:16">
      <c r="A1418" s="161"/>
      <c r="B1418" s="13"/>
      <c r="C1418" s="13"/>
      <c r="D1418" s="162"/>
      <c r="E1418" s="163"/>
      <c r="F1418" s="177"/>
      <c r="G1418" s="177"/>
      <c r="H1418" s="177"/>
      <c r="I1418" s="177"/>
      <c r="J1418" s="177"/>
      <c r="K1418" s="177"/>
      <c r="L1418" s="177"/>
      <c r="M1418" s="177"/>
      <c r="N1418" s="177"/>
      <c r="O1418" s="165"/>
      <c r="P1418" s="168"/>
    </row>
    <row r="1419" spans="4:16">
      <c r="A1419" s="161"/>
      <c r="B1419" s="13"/>
      <c r="C1419" s="13"/>
      <c r="D1419" s="170"/>
      <c r="E1419" s="171"/>
      <c r="F1419" s="177"/>
      <c r="G1419" s="177"/>
      <c r="H1419" s="177"/>
      <c r="I1419" s="177"/>
      <c r="J1419" s="177"/>
      <c r="K1419" s="177"/>
      <c r="L1419" s="177"/>
      <c r="M1419" s="177"/>
      <c r="N1419" s="177"/>
      <c r="O1419" s="165"/>
      <c r="P1419" s="168"/>
    </row>
    <row r="1420" spans="4:16">
      <c r="A1420" s="161"/>
      <c r="B1420" s="13"/>
      <c r="C1420" s="13"/>
      <c r="D1420" s="170"/>
      <c r="E1420" s="171"/>
      <c r="F1420" s="177"/>
      <c r="G1420" s="177"/>
      <c r="H1420" s="177"/>
      <c r="I1420" s="177"/>
      <c r="J1420" s="177"/>
      <c r="K1420" s="177"/>
      <c r="L1420" s="177"/>
      <c r="M1420" s="177"/>
      <c r="N1420" s="177"/>
      <c r="O1420" s="165"/>
      <c r="P1420" s="168"/>
    </row>
    <row r="1421" spans="4:16">
      <c r="A1421" s="161"/>
      <c r="B1421" s="13"/>
      <c r="C1421" s="13"/>
      <c r="D1421" s="170"/>
      <c r="E1421" s="171"/>
      <c r="F1421" s="177"/>
      <c r="G1421" s="177"/>
      <c r="H1421" s="177"/>
      <c r="I1421" s="177"/>
      <c r="J1421" s="177"/>
      <c r="K1421" s="177"/>
      <c r="L1421" s="177"/>
      <c r="M1421" s="177"/>
      <c r="N1421" s="177"/>
      <c r="O1421" s="165"/>
      <c r="P1421" s="168"/>
    </row>
    <row r="1422" spans="4:16">
      <c r="A1422" s="161"/>
      <c r="B1422" s="13"/>
      <c r="C1422" s="13"/>
      <c r="D1422" s="170"/>
      <c r="E1422" s="171"/>
      <c r="F1422" s="177"/>
      <c r="G1422" s="177"/>
      <c r="H1422" s="177"/>
      <c r="I1422" s="177"/>
      <c r="J1422" s="177"/>
      <c r="K1422" s="177"/>
      <c r="L1422" s="177"/>
      <c r="M1422" s="177"/>
      <c r="N1422" s="177"/>
      <c r="O1422" s="165"/>
      <c r="P1422" s="168"/>
    </row>
    <row r="1423" spans="16:16">
      <c r="A1423" s="161"/>
      <c r="B1423" s="13"/>
      <c r="C1423" s="13"/>
      <c r="D1423" s="162"/>
      <c r="E1423" s="163"/>
      <c r="F1423" s="177"/>
      <c r="G1423" s="177"/>
      <c r="H1423" s="177"/>
      <c r="I1423" s="177"/>
      <c r="J1423" s="177"/>
      <c r="K1423" s="177"/>
      <c r="L1423" s="177"/>
      <c r="M1423" s="177"/>
      <c r="N1423" s="177"/>
      <c r="O1423" s="165"/>
      <c r="P1423" s="168"/>
    </row>
    <row r="1424" spans="16:16">
      <c r="A1424" s="161"/>
      <c r="B1424" s="13"/>
      <c r="C1424" s="13"/>
      <c r="D1424" s="162"/>
      <c r="E1424" s="163"/>
      <c r="F1424" s="177"/>
      <c r="G1424" s="177"/>
      <c r="H1424" s="177"/>
      <c r="I1424" s="177"/>
      <c r="J1424" s="177"/>
      <c r="K1424" s="177"/>
      <c r="L1424" s="177"/>
      <c r="M1424" s="177"/>
      <c r="N1424" s="177"/>
      <c r="O1424" s="165"/>
      <c r="P1424" s="168"/>
    </row>
    <row r="1425" spans="16:16">
      <c r="A1425" s="161"/>
      <c r="B1425" s="13"/>
      <c r="C1425" s="13"/>
      <c r="D1425" s="162"/>
      <c r="E1425" s="163"/>
      <c r="F1425" s="177"/>
      <c r="G1425" s="177"/>
      <c r="H1425" s="177"/>
      <c r="I1425" s="177"/>
      <c r="J1425" s="177"/>
      <c r="K1425" s="177"/>
      <c r="L1425" s="177"/>
      <c r="M1425" s="177"/>
      <c r="N1425" s="177"/>
      <c r="O1425" s="165"/>
      <c r="P1425" s="168"/>
    </row>
    <row r="1426" spans="16:16">
      <c r="A1426" s="161"/>
      <c r="B1426" s="13"/>
      <c r="C1426" s="13"/>
      <c r="D1426" s="162"/>
      <c r="E1426" s="163"/>
      <c r="F1426" s="177"/>
      <c r="G1426" s="177"/>
      <c r="H1426" s="177"/>
      <c r="I1426" s="177"/>
      <c r="J1426" s="177"/>
      <c r="K1426" s="177"/>
      <c r="L1426" s="177"/>
      <c r="M1426" s="177"/>
      <c r="N1426" s="177"/>
      <c r="O1426" s="165"/>
      <c r="P1426" s="168"/>
    </row>
    <row r="1427" spans="16:16">
      <c r="A1427" s="161"/>
      <c r="B1427" s="13"/>
      <c r="C1427" s="13"/>
      <c r="D1427" s="162"/>
      <c r="E1427" s="163"/>
      <c r="F1427" s="177"/>
      <c r="G1427" s="177"/>
      <c r="H1427" s="177"/>
      <c r="I1427" s="177"/>
      <c r="J1427" s="177"/>
      <c r="K1427" s="177"/>
      <c r="L1427" s="177"/>
      <c r="M1427" s="177"/>
      <c r="N1427" s="177"/>
      <c r="O1427" s="165"/>
      <c r="P1427" s="168"/>
    </row>
    <row r="1428" spans="16:16">
      <c r="A1428" s="161"/>
      <c r="B1428" s="13"/>
      <c r="C1428" s="13"/>
      <c r="D1428" s="162"/>
      <c r="E1428" s="163"/>
      <c r="F1428" s="177"/>
      <c r="G1428" s="177"/>
      <c r="H1428" s="177"/>
      <c r="I1428" s="177"/>
      <c r="J1428" s="177"/>
      <c r="K1428" s="177"/>
      <c r="L1428" s="177"/>
      <c r="M1428" s="177"/>
      <c r="N1428" s="177"/>
      <c r="O1428" s="165"/>
      <c r="P1428" s="168"/>
    </row>
    <row r="1429" spans="16:16">
      <c r="A1429" s="161"/>
      <c r="B1429" s="13"/>
      <c r="C1429" s="13"/>
      <c r="D1429" s="162"/>
      <c r="E1429" s="163"/>
      <c r="F1429" s="177"/>
      <c r="G1429" s="177"/>
      <c r="H1429" s="177"/>
      <c r="I1429" s="177"/>
      <c r="J1429" s="177"/>
      <c r="K1429" s="177"/>
      <c r="L1429" s="177"/>
      <c r="M1429" s="177"/>
      <c r="N1429" s="177"/>
      <c r="O1429" s="165"/>
      <c r="P1429" s="168"/>
    </row>
    <row r="1430" spans="16:16">
      <c r="A1430" s="161"/>
      <c r="B1430" s="13"/>
      <c r="C1430" s="13"/>
      <c r="D1430" s="162"/>
      <c r="E1430" s="163"/>
      <c r="F1430" s="177"/>
      <c r="G1430" s="177"/>
      <c r="H1430" s="177"/>
      <c r="I1430" s="177"/>
      <c r="J1430" s="177"/>
      <c r="K1430" s="177"/>
      <c r="L1430" s="177"/>
      <c r="M1430" s="177"/>
      <c r="N1430" s="177"/>
      <c r="O1430" s="165"/>
      <c r="P1430" s="168"/>
    </row>
    <row r="1431" spans="16:16">
      <c r="A1431" s="161"/>
      <c r="B1431" s="13"/>
      <c r="C1431" s="13"/>
      <c r="D1431" s="162"/>
      <c r="E1431" s="163"/>
      <c r="F1431" s="177"/>
      <c r="G1431" s="177"/>
      <c r="H1431" s="177"/>
      <c r="I1431" s="177"/>
      <c r="J1431" s="177"/>
      <c r="K1431" s="177"/>
      <c r="L1431" s="177"/>
      <c r="M1431" s="177"/>
      <c r="N1431" s="177"/>
      <c r="O1431" s="165"/>
      <c r="P1431" s="168"/>
    </row>
    <row r="1432" spans="16:16">
      <c r="A1432" s="161"/>
      <c r="B1432" s="13"/>
      <c r="C1432" s="13"/>
      <c r="D1432" s="162"/>
      <c r="E1432" s="163"/>
      <c r="F1432" s="177"/>
      <c r="G1432" s="177"/>
      <c r="H1432" s="177"/>
      <c r="I1432" s="177"/>
      <c r="J1432" s="177"/>
      <c r="K1432" s="177"/>
      <c r="L1432" s="177"/>
      <c r="M1432" s="177"/>
      <c r="N1432" s="177"/>
      <c r="O1432" s="165"/>
      <c r="P1432" s="168"/>
    </row>
    <row r="1433" spans="16:16">
      <c r="A1433" s="161"/>
      <c r="B1433" s="13"/>
      <c r="C1433" s="13"/>
      <c r="D1433" s="162"/>
      <c r="E1433" s="163"/>
      <c r="F1433" s="177"/>
      <c r="G1433" s="177"/>
      <c r="H1433" s="177"/>
      <c r="I1433" s="177"/>
      <c r="J1433" s="177"/>
      <c r="K1433" s="177"/>
      <c r="L1433" s="177"/>
      <c r="M1433" s="177"/>
      <c r="N1433" s="177"/>
      <c r="O1433" s="165"/>
      <c r="P1433" s="168"/>
    </row>
    <row r="1434" spans="16:16">
      <c r="A1434" s="161"/>
      <c r="B1434" s="13"/>
      <c r="C1434" s="13"/>
      <c r="D1434" s="162"/>
      <c r="E1434" s="163"/>
      <c r="F1434" s="177"/>
      <c r="G1434" s="177"/>
      <c r="H1434" s="177"/>
      <c r="I1434" s="177"/>
      <c r="J1434" s="177"/>
      <c r="K1434" s="177"/>
      <c r="L1434" s="177"/>
      <c r="M1434" s="177"/>
      <c r="N1434" s="177"/>
      <c r="O1434" s="165"/>
      <c r="P1434" s="168"/>
    </row>
    <row r="1435" spans="16:16">
      <c r="A1435" s="161"/>
      <c r="B1435" s="13"/>
      <c r="C1435" s="13"/>
      <c r="D1435" s="162"/>
      <c r="E1435" s="163"/>
      <c r="F1435" s="177"/>
      <c r="G1435" s="177"/>
      <c r="H1435" s="177"/>
      <c r="I1435" s="177"/>
      <c r="J1435" s="177"/>
      <c r="K1435" s="177"/>
      <c r="L1435" s="177"/>
      <c r="M1435" s="177"/>
      <c r="N1435" s="177"/>
      <c r="O1435" s="165"/>
      <c r="P1435" s="168"/>
    </row>
    <row r="1436" spans="16:16">
      <c r="A1436" s="161"/>
      <c r="B1436" s="13"/>
      <c r="C1436" s="13"/>
      <c r="D1436" s="162"/>
      <c r="E1436" s="163"/>
      <c r="F1436" s="177"/>
      <c r="G1436" s="177"/>
      <c r="H1436" s="177"/>
      <c r="I1436" s="177"/>
      <c r="J1436" s="177"/>
      <c r="K1436" s="177"/>
      <c r="L1436" s="177"/>
      <c r="M1436" s="177"/>
      <c r="N1436" s="177"/>
      <c r="O1436" s="165"/>
      <c r="P1436" s="168"/>
    </row>
    <row r="1437" spans="16:16">
      <c r="A1437" s="161"/>
      <c r="B1437" s="13"/>
      <c r="C1437" s="13"/>
      <c r="D1437" s="162"/>
      <c r="E1437" s="163"/>
      <c r="F1437" s="177"/>
      <c r="G1437" s="177"/>
      <c r="H1437" s="177"/>
      <c r="I1437" s="177"/>
      <c r="J1437" s="177"/>
      <c r="K1437" s="177"/>
      <c r="L1437" s="177"/>
      <c r="M1437" s="177"/>
      <c r="N1437" s="177"/>
      <c r="O1437" s="165"/>
      <c r="P1437" s="168"/>
    </row>
    <row r="1438" spans="16:16">
      <c r="A1438" s="161"/>
      <c r="B1438" s="13"/>
      <c r="C1438" s="13"/>
      <c r="D1438" s="162"/>
      <c r="E1438" s="163"/>
      <c r="F1438" s="177"/>
      <c r="G1438" s="177"/>
      <c r="H1438" s="177"/>
      <c r="I1438" s="177"/>
      <c r="J1438" s="177"/>
      <c r="K1438" s="177"/>
      <c r="L1438" s="177"/>
      <c r="M1438" s="177"/>
      <c r="N1438" s="177"/>
      <c r="O1438" s="165"/>
      <c r="P1438" s="168"/>
    </row>
    <row r="1439" spans="16:16">
      <c r="A1439" s="161"/>
      <c r="B1439" s="13"/>
      <c r="C1439" s="13"/>
      <c r="D1439" s="162"/>
      <c r="E1439" s="163"/>
      <c r="F1439" s="177"/>
      <c r="G1439" s="177"/>
      <c r="H1439" s="177"/>
      <c r="I1439" s="177"/>
      <c r="J1439" s="177"/>
      <c r="K1439" s="177"/>
      <c r="L1439" s="177"/>
      <c r="M1439" s="177"/>
      <c r="N1439" s="177"/>
      <c r="O1439" s="165"/>
      <c r="P1439" s="168"/>
    </row>
    <row r="1440" spans="16:16">
      <c r="A1440" s="161"/>
      <c r="B1440" s="13"/>
      <c r="C1440" s="13"/>
      <c r="D1440" s="162"/>
      <c r="E1440" s="163"/>
      <c r="F1440" s="177"/>
      <c r="G1440" s="177"/>
      <c r="H1440" s="177"/>
      <c r="I1440" s="177"/>
      <c r="J1440" s="177"/>
      <c r="K1440" s="177"/>
      <c r="L1440" s="177"/>
      <c r="M1440" s="177"/>
      <c r="N1440" s="177"/>
      <c r="O1440" s="165"/>
      <c r="P1440" s="168"/>
    </row>
    <row r="1441" spans="16:16">
      <c r="A1441" s="161"/>
      <c r="B1441" s="13"/>
      <c r="C1441" s="13"/>
      <c r="D1441" s="162"/>
      <c r="E1441" s="163"/>
      <c r="F1441" s="177"/>
      <c r="G1441" s="177"/>
      <c r="H1441" s="177"/>
      <c r="I1441" s="177"/>
      <c r="J1441" s="177"/>
      <c r="K1441" s="177"/>
      <c r="L1441" s="177"/>
      <c r="M1441" s="177"/>
      <c r="N1441" s="177"/>
      <c r="O1441" s="165"/>
      <c r="P1441" s="168"/>
    </row>
    <row r="1442" spans="16:16">
      <c r="A1442" s="161"/>
      <c r="B1442" s="13"/>
      <c r="C1442" s="13"/>
      <c r="D1442" s="162"/>
      <c r="E1442" s="163"/>
      <c r="F1442" s="177"/>
      <c r="G1442" s="177"/>
      <c r="H1442" s="177"/>
      <c r="I1442" s="177"/>
      <c r="J1442" s="177"/>
      <c r="K1442" s="177"/>
      <c r="L1442" s="177"/>
      <c r="M1442" s="177"/>
      <c r="N1442" s="177"/>
      <c r="O1442" s="165"/>
      <c r="P1442" s="168"/>
    </row>
    <row r="1443" spans="16:16">
      <c r="A1443" s="161"/>
      <c r="B1443" s="13"/>
      <c r="C1443" s="13"/>
      <c r="D1443" s="162"/>
      <c r="E1443" s="163"/>
      <c r="F1443" s="177"/>
      <c r="G1443" s="177"/>
      <c r="H1443" s="177"/>
      <c r="I1443" s="177"/>
      <c r="J1443" s="177"/>
      <c r="K1443" s="177"/>
      <c r="L1443" s="177"/>
      <c r="M1443" s="177"/>
      <c r="N1443" s="177"/>
      <c r="O1443" s="165"/>
      <c r="P1443" s="168"/>
    </row>
    <row r="1444" spans="16:16">
      <c r="A1444" s="161"/>
      <c r="B1444" s="13"/>
      <c r="C1444" s="13"/>
      <c r="D1444" s="162"/>
      <c r="E1444" s="163"/>
      <c r="F1444" s="177"/>
      <c r="G1444" s="177"/>
      <c r="H1444" s="177"/>
      <c r="I1444" s="177"/>
      <c r="J1444" s="177"/>
      <c r="K1444" s="177"/>
      <c r="L1444" s="177"/>
      <c r="M1444" s="177"/>
      <c r="N1444" s="177"/>
      <c r="O1444" s="165"/>
      <c r="P1444" s="168"/>
    </row>
    <row r="1445" spans="16:16">
      <c r="A1445" s="161"/>
      <c r="B1445" s="13"/>
      <c r="C1445" s="13"/>
      <c r="D1445" s="162"/>
      <c r="E1445" s="163"/>
      <c r="F1445" s="177"/>
      <c r="G1445" s="177"/>
      <c r="H1445" s="177"/>
      <c r="I1445" s="177"/>
      <c r="J1445" s="177"/>
      <c r="K1445" s="177"/>
      <c r="L1445" s="177"/>
      <c r="M1445" s="177"/>
      <c r="N1445" s="177"/>
      <c r="O1445" s="165"/>
      <c r="P1445" s="168"/>
    </row>
    <row r="1446" spans="16:16">
      <c r="A1446" s="161"/>
      <c r="B1446" s="13"/>
      <c r="C1446" s="13"/>
      <c r="D1446" s="162"/>
      <c r="E1446" s="163"/>
      <c r="F1446" s="177"/>
      <c r="G1446" s="177"/>
      <c r="H1446" s="177"/>
      <c r="I1446" s="177"/>
      <c r="J1446" s="177"/>
      <c r="K1446" s="177"/>
      <c r="L1446" s="177"/>
      <c r="M1446" s="177"/>
      <c r="N1446" s="177"/>
      <c r="O1446" s="165"/>
      <c r="P1446" s="168"/>
    </row>
    <row r="1447" spans="16:16">
      <c r="A1447" s="161"/>
      <c r="B1447" s="13"/>
      <c r="C1447" s="13"/>
      <c r="D1447" s="162"/>
      <c r="E1447" s="163"/>
      <c r="F1447" s="177"/>
      <c r="G1447" s="177"/>
      <c r="H1447" s="177"/>
      <c r="I1447" s="177"/>
      <c r="J1447" s="177"/>
      <c r="K1447" s="177"/>
      <c r="L1447" s="177"/>
      <c r="M1447" s="177"/>
      <c r="N1447" s="177"/>
      <c r="O1447" s="165"/>
      <c r="P1447" s="168"/>
    </row>
    <row r="1448" spans="16:16">
      <c r="A1448" s="161"/>
      <c r="B1448" s="13"/>
      <c r="C1448" s="13"/>
      <c r="D1448" s="162"/>
      <c r="E1448" s="163"/>
      <c r="F1448" s="177"/>
      <c r="G1448" s="177"/>
      <c r="H1448" s="177"/>
      <c r="I1448" s="177"/>
      <c r="J1448" s="177"/>
      <c r="K1448" s="177"/>
      <c r="L1448" s="177"/>
      <c r="M1448" s="177"/>
      <c r="N1448" s="177"/>
      <c r="O1448" s="165"/>
      <c r="P1448" s="168"/>
    </row>
    <row r="1449" spans="16:16">
      <c r="A1449" s="161"/>
      <c r="B1449" s="13"/>
      <c r="C1449" s="13"/>
      <c r="D1449" s="162"/>
      <c r="E1449" s="163"/>
      <c r="F1449" s="177"/>
      <c r="G1449" s="177"/>
      <c r="H1449" s="177"/>
      <c r="I1449" s="177"/>
      <c r="J1449" s="177"/>
      <c r="K1449" s="177"/>
      <c r="L1449" s="177"/>
      <c r="M1449" s="177"/>
      <c r="N1449" s="177"/>
      <c r="O1449" s="165"/>
      <c r="P1449" s="168"/>
    </row>
    <row r="1450" spans="16:16">
      <c r="A1450" s="161"/>
      <c r="B1450" s="13"/>
      <c r="C1450" s="13"/>
      <c r="D1450" s="162"/>
      <c r="E1450" s="163"/>
      <c r="F1450" s="177"/>
      <c r="G1450" s="177"/>
      <c r="H1450" s="177"/>
      <c r="I1450" s="177"/>
      <c r="J1450" s="177"/>
      <c r="K1450" s="177"/>
      <c r="L1450" s="177"/>
      <c r="M1450" s="177"/>
      <c r="N1450" s="177"/>
      <c r="O1450" s="165"/>
      <c r="P1450" s="168"/>
    </row>
    <row r="1451" spans="16:16">
      <c r="A1451" s="161"/>
      <c r="B1451" s="13"/>
      <c r="C1451" s="13"/>
      <c r="D1451" s="162"/>
      <c r="E1451" s="163"/>
      <c r="F1451" s="177"/>
      <c r="G1451" s="177"/>
      <c r="H1451" s="177"/>
      <c r="I1451" s="177"/>
      <c r="J1451" s="177"/>
      <c r="K1451" s="177"/>
      <c r="L1451" s="177"/>
      <c r="M1451" s="177"/>
      <c r="N1451" s="177"/>
      <c r="O1451" s="165"/>
      <c r="P1451" s="168"/>
    </row>
    <row r="1452" spans="16:16">
      <c r="A1452" s="161"/>
      <c r="B1452" s="13"/>
      <c r="C1452" s="13"/>
      <c r="D1452" s="162"/>
      <c r="E1452" s="163"/>
      <c r="F1452" s="177"/>
      <c r="G1452" s="177"/>
      <c r="H1452" s="177"/>
      <c r="I1452" s="177"/>
      <c r="J1452" s="177"/>
      <c r="K1452" s="177"/>
      <c r="L1452" s="177"/>
      <c r="M1452" s="177"/>
      <c r="N1452" s="177"/>
      <c r="O1452" s="165"/>
      <c r="P1452" s="168"/>
    </row>
    <row r="1453" spans="16:16">
      <c r="A1453" s="161"/>
      <c r="B1453" s="13"/>
      <c r="C1453" s="13"/>
      <c r="D1453" s="162"/>
      <c r="E1453" s="163"/>
      <c r="F1453" s="177"/>
      <c r="G1453" s="177"/>
      <c r="H1453" s="177"/>
      <c r="I1453" s="177"/>
      <c r="J1453" s="177"/>
      <c r="K1453" s="177"/>
      <c r="L1453" s="177"/>
      <c r="M1453" s="177"/>
      <c r="N1453" s="177"/>
      <c r="O1453" s="165"/>
      <c r="P1453" s="168"/>
    </row>
    <row r="1454" spans="16:16">
      <c r="A1454" s="161"/>
      <c r="B1454" s="13"/>
      <c r="C1454" s="13"/>
      <c r="D1454" s="162"/>
      <c r="E1454" s="163"/>
      <c r="F1454" s="177"/>
      <c r="G1454" s="177"/>
      <c r="H1454" s="177"/>
      <c r="I1454" s="177"/>
      <c r="J1454" s="177"/>
      <c r="K1454" s="177"/>
      <c r="L1454" s="177"/>
      <c r="M1454" s="177"/>
      <c r="N1454" s="177"/>
      <c r="O1454" s="165"/>
      <c r="P1454" s="168"/>
    </row>
    <row r="1455" spans="16:16">
      <c r="A1455" s="161"/>
      <c r="B1455" s="13"/>
      <c r="C1455" s="13"/>
      <c r="D1455" s="162"/>
      <c r="E1455" s="163"/>
      <c r="F1455" s="177"/>
      <c r="G1455" s="177"/>
      <c r="H1455" s="177"/>
      <c r="I1455" s="177"/>
      <c r="J1455" s="177"/>
      <c r="K1455" s="177"/>
      <c r="L1455" s="177"/>
      <c r="M1455" s="177"/>
      <c r="N1455" s="177"/>
      <c r="O1455" s="165"/>
      <c r="P1455" s="168"/>
    </row>
    <row r="1456" spans="16:16">
      <c r="A1456" s="161"/>
      <c r="B1456" s="13"/>
      <c r="C1456" s="13"/>
      <c r="D1456" s="162"/>
      <c r="E1456" s="163"/>
      <c r="F1456" s="177"/>
      <c r="G1456" s="177"/>
      <c r="H1456" s="177"/>
      <c r="I1456" s="177"/>
      <c r="J1456" s="177"/>
      <c r="K1456" s="177"/>
      <c r="L1456" s="177"/>
      <c r="M1456" s="177"/>
      <c r="N1456" s="177"/>
      <c r="O1456" s="165"/>
      <c r="P1456" s="168"/>
    </row>
    <row r="1457" spans="16:16">
      <c r="A1457" s="161"/>
      <c r="B1457" s="13"/>
      <c r="C1457" s="13"/>
      <c r="D1457" s="162"/>
      <c r="E1457" s="163"/>
      <c r="F1457" s="177"/>
      <c r="G1457" s="177"/>
      <c r="H1457" s="177"/>
      <c r="I1457" s="177"/>
      <c r="J1457" s="177"/>
      <c r="K1457" s="177"/>
      <c r="L1457" s="177"/>
      <c r="M1457" s="177"/>
      <c r="N1457" s="177"/>
      <c r="O1457" s="165"/>
      <c r="P1457" s="168"/>
    </row>
    <row r="1458" spans="16:16">
      <c r="A1458" s="161"/>
      <c r="B1458" s="13"/>
      <c r="C1458" s="13"/>
      <c r="D1458" s="162"/>
      <c r="E1458" s="163"/>
      <c r="F1458" s="177"/>
      <c r="G1458" s="177"/>
      <c r="H1458" s="177"/>
      <c r="I1458" s="177"/>
      <c r="J1458" s="177"/>
      <c r="K1458" s="177"/>
      <c r="L1458" s="177"/>
      <c r="M1458" s="177"/>
      <c r="N1458" s="177"/>
      <c r="O1458" s="165"/>
      <c r="P1458" s="168"/>
    </row>
    <row r="1459" spans="16:16">
      <c r="A1459" s="161"/>
      <c r="B1459" s="13"/>
      <c r="C1459" s="13"/>
      <c r="D1459" s="162"/>
      <c r="E1459" s="163"/>
      <c r="F1459" s="177"/>
      <c r="G1459" s="177"/>
      <c r="H1459" s="177"/>
      <c r="I1459" s="177"/>
      <c r="J1459" s="177"/>
      <c r="K1459" s="177"/>
      <c r="L1459" s="177"/>
      <c r="M1459" s="177"/>
      <c r="N1459" s="177"/>
      <c r="O1459" s="165"/>
      <c r="P1459" s="168"/>
    </row>
    <row r="1460" spans="16:16">
      <c r="A1460" s="161"/>
      <c r="B1460" s="13"/>
      <c r="C1460" s="13"/>
      <c r="D1460" s="162"/>
      <c r="E1460" s="163"/>
      <c r="F1460" s="177"/>
      <c r="G1460" s="177"/>
      <c r="H1460" s="177"/>
      <c r="I1460" s="177"/>
      <c r="J1460" s="177"/>
      <c r="K1460" s="177"/>
      <c r="L1460" s="177"/>
      <c r="M1460" s="177"/>
      <c r="N1460" s="177"/>
      <c r="O1460" s="165"/>
      <c r="P1460" s="168"/>
    </row>
    <row r="1461" spans="16:16">
      <c r="A1461" s="161"/>
      <c r="B1461" s="13"/>
      <c r="C1461" s="13"/>
      <c r="D1461" s="162"/>
      <c r="E1461" s="163"/>
      <c r="F1461" s="177"/>
      <c r="G1461" s="177"/>
      <c r="H1461" s="177"/>
      <c r="I1461" s="177"/>
      <c r="J1461" s="177"/>
      <c r="K1461" s="177"/>
      <c r="L1461" s="177"/>
      <c r="M1461" s="177"/>
      <c r="N1461" s="177"/>
      <c r="O1461" s="165"/>
      <c r="P1461" s="168"/>
    </row>
    <row r="1462" spans="16:16">
      <c r="A1462" s="161"/>
      <c r="B1462" s="13"/>
      <c r="C1462" s="13"/>
      <c r="D1462" s="162"/>
      <c r="E1462" s="163"/>
      <c r="F1462" s="177"/>
      <c r="G1462" s="177"/>
      <c r="H1462" s="177"/>
      <c r="I1462" s="177"/>
      <c r="J1462" s="177"/>
      <c r="K1462" s="177"/>
      <c r="L1462" s="177"/>
      <c r="M1462" s="177"/>
      <c r="N1462" s="177"/>
      <c r="O1462" s="165"/>
      <c r="P1462" s="168"/>
    </row>
    <row r="1463" spans="16:16">
      <c r="A1463" s="161"/>
      <c r="B1463" s="13"/>
      <c r="C1463" s="13"/>
      <c r="D1463" s="162"/>
      <c r="E1463" s="163"/>
      <c r="F1463" s="177"/>
      <c r="G1463" s="177"/>
      <c r="H1463" s="177"/>
      <c r="I1463" s="177"/>
      <c r="J1463" s="177"/>
      <c r="K1463" s="177"/>
      <c r="L1463" s="177"/>
      <c r="M1463" s="177"/>
      <c r="N1463" s="177"/>
      <c r="O1463" s="165"/>
      <c r="P1463" s="168"/>
    </row>
    <row r="1464" spans="16:16">
      <c r="A1464" s="161"/>
      <c r="B1464" s="13"/>
      <c r="C1464" s="13"/>
      <c r="D1464" s="162"/>
      <c r="E1464" s="163"/>
      <c r="F1464" s="177"/>
      <c r="G1464" s="177"/>
      <c r="H1464" s="177"/>
      <c r="I1464" s="177"/>
      <c r="J1464" s="177"/>
      <c r="K1464" s="177"/>
      <c r="L1464" s="177"/>
      <c r="M1464" s="177"/>
      <c r="N1464" s="177"/>
      <c r="O1464" s="165"/>
      <c r="P1464" s="168"/>
    </row>
    <row r="1465" spans="16:16">
      <c r="A1465" s="161"/>
      <c r="B1465" s="13"/>
      <c r="C1465" s="13"/>
      <c r="D1465" s="162"/>
      <c r="E1465" s="163"/>
      <c r="F1465" s="177"/>
      <c r="G1465" s="177"/>
      <c r="H1465" s="177"/>
      <c r="I1465" s="177"/>
      <c r="J1465" s="177"/>
      <c r="K1465" s="177"/>
      <c r="L1465" s="177"/>
      <c r="M1465" s="177"/>
      <c r="N1465" s="177"/>
      <c r="O1465" s="165"/>
      <c r="P1465" s="168"/>
    </row>
    <row r="1466" spans="16:16">
      <c r="A1466" s="161"/>
      <c r="B1466" s="13"/>
      <c r="C1466" s="13"/>
      <c r="D1466" s="162"/>
      <c r="E1466" s="163"/>
      <c r="F1466" s="177"/>
      <c r="G1466" s="177"/>
      <c r="H1466" s="177"/>
      <c r="I1466" s="177"/>
      <c r="J1466" s="177"/>
      <c r="K1466" s="177"/>
      <c r="L1466" s="177"/>
      <c r="M1466" s="177"/>
      <c r="N1466" s="177"/>
      <c r="O1466" s="165"/>
      <c r="P1466" s="168"/>
    </row>
    <row r="1467" spans="16:16">
      <c r="A1467" s="161"/>
      <c r="B1467" s="13"/>
      <c r="C1467" s="13"/>
      <c r="D1467" s="162"/>
      <c r="E1467" s="163"/>
      <c r="F1467" s="177"/>
      <c r="G1467" s="177"/>
      <c r="H1467" s="177"/>
      <c r="I1467" s="177"/>
      <c r="J1467" s="177"/>
      <c r="K1467" s="177"/>
      <c r="L1467" s="177"/>
      <c r="M1467" s="177"/>
      <c r="N1467" s="177"/>
      <c r="O1467" s="165"/>
      <c r="P1467" s="168"/>
    </row>
    <row r="1468" spans="16:16">
      <c r="A1468" s="161"/>
      <c r="B1468" s="13"/>
      <c r="C1468" s="13"/>
      <c r="D1468" s="162"/>
      <c r="E1468" s="163"/>
      <c r="F1468" s="177"/>
      <c r="G1468" s="177"/>
      <c r="H1468" s="177"/>
      <c r="I1468" s="177"/>
      <c r="J1468" s="177"/>
      <c r="K1468" s="177"/>
      <c r="L1468" s="177"/>
      <c r="M1468" s="177"/>
      <c r="N1468" s="177"/>
      <c r="O1468" s="165"/>
      <c r="P1468" s="168"/>
    </row>
    <row r="1469" spans="16:16">
      <c r="A1469" s="161"/>
      <c r="B1469" s="13"/>
      <c r="C1469" s="13"/>
      <c r="D1469" s="162"/>
      <c r="E1469" s="163"/>
      <c r="F1469" s="177"/>
      <c r="G1469" s="177"/>
      <c r="H1469" s="177"/>
      <c r="I1469" s="177"/>
      <c r="J1469" s="177"/>
      <c r="K1469" s="177"/>
      <c r="L1469" s="177"/>
      <c r="M1469" s="177"/>
      <c r="N1469" s="177"/>
      <c r="O1469" s="165"/>
      <c r="P1469" s="168"/>
    </row>
    <row r="1470" spans="16:16">
      <c r="A1470" s="161"/>
      <c r="B1470" s="13"/>
      <c r="C1470" s="13"/>
      <c r="D1470" s="162"/>
      <c r="E1470" s="163"/>
      <c r="F1470" s="177"/>
      <c r="G1470" s="177"/>
      <c r="H1470" s="177"/>
      <c r="I1470" s="177"/>
      <c r="J1470" s="177"/>
      <c r="K1470" s="177"/>
      <c r="L1470" s="177"/>
      <c r="M1470" s="177"/>
      <c r="N1470" s="177"/>
      <c r="O1470" s="165"/>
      <c r="P1470" s="168"/>
    </row>
    <row r="1471" spans="16:16">
      <c r="A1471" s="161"/>
      <c r="B1471" s="13"/>
      <c r="C1471" s="13"/>
      <c r="D1471" s="162"/>
      <c r="E1471" s="163"/>
      <c r="F1471" s="177"/>
      <c r="G1471" s="177"/>
      <c r="H1471" s="177"/>
      <c r="I1471" s="177"/>
      <c r="J1471" s="177"/>
      <c r="K1471" s="177"/>
      <c r="L1471" s="177"/>
      <c r="M1471" s="177"/>
      <c r="N1471" s="177"/>
      <c r="O1471" s="165"/>
      <c r="P1471" s="168"/>
    </row>
    <row r="1472" spans="16:16">
      <c r="A1472" s="161"/>
      <c r="B1472" s="13"/>
      <c r="C1472" s="13"/>
      <c r="D1472" s="162"/>
      <c r="E1472" s="163"/>
      <c r="F1472" s="177"/>
      <c r="G1472" s="177"/>
      <c r="H1472" s="177"/>
      <c r="I1472" s="177"/>
      <c r="J1472" s="177"/>
      <c r="K1472" s="177"/>
      <c r="L1472" s="177"/>
      <c r="M1472" s="177"/>
      <c r="N1472" s="177"/>
      <c r="O1472" s="165"/>
      <c r="P1472" s="168"/>
    </row>
    <row r="1473" spans="16:16">
      <c r="A1473" s="161"/>
      <c r="B1473" s="13"/>
      <c r="C1473" s="13"/>
      <c r="D1473" s="162"/>
      <c r="E1473" s="163"/>
      <c r="F1473" s="177"/>
      <c r="G1473" s="177"/>
      <c r="H1473" s="177"/>
      <c r="I1473" s="177"/>
      <c r="J1473" s="177"/>
      <c r="K1473" s="177"/>
      <c r="L1473" s="177"/>
      <c r="M1473" s="177"/>
      <c r="N1473" s="177"/>
      <c r="O1473" s="165"/>
      <c r="P1473" s="168"/>
    </row>
    <row r="1474" spans="16:16">
      <c r="A1474" s="161"/>
      <c r="B1474" s="13"/>
      <c r="C1474" s="13"/>
      <c r="D1474" s="162"/>
      <c r="E1474" s="163"/>
      <c r="F1474" s="177"/>
      <c r="G1474" s="177"/>
      <c r="H1474" s="177"/>
      <c r="I1474" s="177"/>
      <c r="J1474" s="177"/>
      <c r="K1474" s="177"/>
      <c r="L1474" s="177"/>
      <c r="M1474" s="177"/>
      <c r="N1474" s="177"/>
      <c r="O1474" s="165"/>
      <c r="P1474" s="168"/>
    </row>
    <row r="1475" spans="16:16">
      <c r="A1475" s="161"/>
      <c r="B1475" s="13"/>
      <c r="C1475" s="13"/>
      <c r="D1475" s="162"/>
      <c r="E1475" s="163"/>
      <c r="F1475" s="177"/>
      <c r="G1475" s="177"/>
      <c r="H1475" s="177"/>
      <c r="I1475" s="177"/>
      <c r="J1475" s="177"/>
      <c r="K1475" s="177"/>
      <c r="L1475" s="177"/>
      <c r="M1475" s="177"/>
      <c r="N1475" s="177"/>
      <c r="O1475" s="165"/>
      <c r="P1475" s="168"/>
    </row>
    <row r="1476" spans="16:16">
      <c r="A1476" s="161"/>
      <c r="B1476" s="13"/>
      <c r="C1476" s="13"/>
      <c r="D1476" s="162"/>
      <c r="E1476" s="163"/>
      <c r="F1476" s="177"/>
      <c r="G1476" s="177"/>
      <c r="H1476" s="177"/>
      <c r="I1476" s="177"/>
      <c r="J1476" s="177"/>
      <c r="K1476" s="177"/>
      <c r="L1476" s="177"/>
      <c r="M1476" s="177"/>
      <c r="N1476" s="177"/>
      <c r="O1476" s="165"/>
      <c r="P1476" s="168"/>
    </row>
    <row r="1477" spans="16:16">
      <c r="A1477" s="161"/>
      <c r="B1477" s="13"/>
      <c r="C1477" s="13"/>
      <c r="D1477" s="162"/>
      <c r="E1477" s="163"/>
      <c r="F1477" s="177"/>
      <c r="G1477" s="177"/>
      <c r="H1477" s="177"/>
      <c r="I1477" s="177"/>
      <c r="J1477" s="177"/>
      <c r="K1477" s="177"/>
      <c r="L1477" s="177"/>
      <c r="M1477" s="177"/>
      <c r="N1477" s="177"/>
      <c r="O1477" s="165"/>
      <c r="P1477" s="168"/>
    </row>
    <row r="1478" spans="16:16">
      <c r="A1478" s="161"/>
      <c r="B1478" s="13"/>
      <c r="C1478" s="13"/>
      <c r="D1478" s="162"/>
      <c r="E1478" s="163"/>
      <c r="F1478" s="177"/>
      <c r="G1478" s="177"/>
      <c r="H1478" s="177"/>
      <c r="I1478" s="177"/>
      <c r="J1478" s="177"/>
      <c r="K1478" s="177"/>
      <c r="L1478" s="177"/>
      <c r="M1478" s="177"/>
      <c r="N1478" s="177"/>
      <c r="O1478" s="165"/>
      <c r="P1478" s="168"/>
    </row>
    <row r="1479" spans="16:16">
      <c r="A1479" s="161"/>
      <c r="B1479" s="13"/>
      <c r="C1479" s="13"/>
      <c r="D1479" s="162"/>
      <c r="E1479" s="163"/>
      <c r="F1479" s="177"/>
      <c r="G1479" s="177"/>
      <c r="H1479" s="177"/>
      <c r="I1479" s="177"/>
      <c r="J1479" s="177"/>
      <c r="K1479" s="177"/>
      <c r="L1479" s="177"/>
      <c r="M1479" s="177"/>
      <c r="N1479" s="177"/>
      <c r="O1479" s="165"/>
      <c r="P1479" s="168"/>
    </row>
    <row r="1480" spans="16:16">
      <c r="A1480" s="161"/>
      <c r="B1480" s="13"/>
      <c r="C1480" s="13"/>
      <c r="D1480" s="162"/>
      <c r="E1480" s="163"/>
      <c r="F1480" s="177"/>
      <c r="G1480" s="177"/>
      <c r="H1480" s="177"/>
      <c r="I1480" s="177"/>
      <c r="J1480" s="177"/>
      <c r="K1480" s="177"/>
      <c r="L1480" s="177"/>
      <c r="M1480" s="177"/>
      <c r="N1480" s="177"/>
      <c r="O1480" s="165"/>
      <c r="P1480" s="168"/>
    </row>
    <row r="1481" spans="16:16">
      <c r="A1481" s="161"/>
      <c r="B1481" s="13"/>
      <c r="C1481" s="13"/>
      <c r="D1481" s="162"/>
      <c r="E1481" s="163"/>
      <c r="F1481" s="177"/>
      <c r="G1481" s="177"/>
      <c r="H1481" s="177"/>
      <c r="I1481" s="177"/>
      <c r="J1481" s="177"/>
      <c r="K1481" s="177"/>
      <c r="L1481" s="177"/>
      <c r="M1481" s="177"/>
      <c r="N1481" s="177"/>
      <c r="O1481" s="165"/>
      <c r="P1481" s="168"/>
    </row>
    <row r="1482" spans="16:16">
      <c r="A1482" s="161"/>
      <c r="B1482" s="13"/>
      <c r="C1482" s="13"/>
      <c r="D1482" s="162"/>
      <c r="E1482" s="163"/>
      <c r="F1482" s="177"/>
      <c r="G1482" s="177"/>
      <c r="H1482" s="177"/>
      <c r="I1482" s="177"/>
      <c r="J1482" s="177"/>
      <c r="K1482" s="177"/>
      <c r="L1482" s="177"/>
      <c r="M1482" s="177"/>
      <c r="N1482" s="177"/>
      <c r="O1482" s="165"/>
      <c r="P1482" s="168"/>
    </row>
    <row r="1483" spans="16:16">
      <c r="A1483" s="161"/>
      <c r="B1483" s="13"/>
      <c r="C1483" s="13"/>
      <c r="D1483" s="162"/>
      <c r="E1483" s="163"/>
      <c r="F1483" s="177"/>
      <c r="G1483" s="177"/>
      <c r="H1483" s="177"/>
      <c r="I1483" s="177"/>
      <c r="J1483" s="177"/>
      <c r="K1483" s="177"/>
      <c r="L1483" s="177"/>
      <c r="M1483" s="177"/>
      <c r="N1483" s="177"/>
      <c r="O1483" s="165"/>
      <c r="P1483" s="168"/>
    </row>
    <row r="1484" spans="16:16">
      <c r="A1484" s="161"/>
      <c r="B1484" s="13"/>
      <c r="C1484" s="13"/>
      <c r="D1484" s="162"/>
      <c r="E1484" s="163"/>
      <c r="F1484" s="177"/>
      <c r="G1484" s="177"/>
      <c r="H1484" s="177"/>
      <c r="I1484" s="177"/>
      <c r="J1484" s="177"/>
      <c r="K1484" s="177"/>
      <c r="L1484" s="177"/>
      <c r="M1484" s="177"/>
      <c r="N1484" s="177"/>
      <c r="O1484" s="165"/>
      <c r="P1484" s="168"/>
    </row>
    <row r="1485" spans="16:16">
      <c r="A1485" s="161"/>
      <c r="B1485" s="13"/>
      <c r="C1485" s="13"/>
      <c r="D1485" s="162"/>
      <c r="E1485" s="163"/>
      <c r="F1485" s="177"/>
      <c r="G1485" s="177"/>
      <c r="H1485" s="177"/>
      <c r="I1485" s="177"/>
      <c r="J1485" s="177"/>
      <c r="K1485" s="177"/>
      <c r="L1485" s="177"/>
      <c r="M1485" s="177"/>
      <c r="N1485" s="177"/>
      <c r="O1485" s="165"/>
      <c r="P1485" s="168"/>
    </row>
    <row r="1486" spans="16:16">
      <c r="A1486" s="161"/>
      <c r="B1486" s="13"/>
      <c r="C1486" s="13"/>
      <c r="D1486" s="162"/>
      <c r="E1486" s="163"/>
      <c r="F1486" s="177"/>
      <c r="G1486" s="177"/>
      <c r="H1486" s="177"/>
      <c r="I1486" s="177"/>
      <c r="J1486" s="177"/>
      <c r="K1486" s="177"/>
      <c r="L1486" s="177"/>
      <c r="M1486" s="177"/>
      <c r="N1486" s="177"/>
      <c r="O1486" s="165"/>
      <c r="P1486" s="168"/>
    </row>
    <row r="1487" spans="16:16">
      <c r="A1487" s="161"/>
      <c r="B1487" s="13"/>
      <c r="C1487" s="13"/>
      <c r="D1487" s="162"/>
      <c r="E1487" s="163"/>
      <c r="F1487" s="177"/>
      <c r="G1487" s="177"/>
      <c r="H1487" s="177"/>
      <c r="I1487" s="177"/>
      <c r="J1487" s="177"/>
      <c r="K1487" s="177"/>
      <c r="L1487" s="177"/>
      <c r="M1487" s="177"/>
      <c r="N1487" s="177"/>
      <c r="O1487" s="165"/>
      <c r="P1487" s="168"/>
    </row>
    <row r="1488" spans="16:16">
      <c r="A1488" s="161"/>
      <c r="B1488" s="13"/>
      <c r="C1488" s="13"/>
      <c r="D1488" s="162"/>
      <c r="E1488" s="163"/>
      <c r="F1488" s="177"/>
      <c r="G1488" s="177"/>
      <c r="H1488" s="177"/>
      <c r="I1488" s="177"/>
      <c r="J1488" s="177"/>
      <c r="K1488" s="177"/>
      <c r="L1488" s="177"/>
      <c r="M1488" s="177"/>
      <c r="N1488" s="177"/>
      <c r="O1488" s="165"/>
      <c r="P1488" s="168"/>
    </row>
    <row r="1489" spans="16:16">
      <c r="A1489" s="161"/>
      <c r="B1489" s="13"/>
      <c r="C1489" s="13"/>
      <c r="D1489" s="162"/>
      <c r="E1489" s="163"/>
      <c r="F1489" s="177"/>
      <c r="G1489" s="177"/>
      <c r="H1489" s="177"/>
      <c r="I1489" s="177"/>
      <c r="J1489" s="177"/>
      <c r="K1489" s="177"/>
      <c r="L1489" s="177"/>
      <c r="M1489" s="177"/>
      <c r="N1489" s="177"/>
      <c r="O1489" s="165"/>
      <c r="P1489" s="168"/>
    </row>
    <row r="1490" spans="16:16">
      <c r="A1490" s="161"/>
      <c r="B1490" s="13"/>
      <c r="C1490" s="13"/>
      <c r="D1490" s="162"/>
      <c r="E1490" s="163"/>
      <c r="F1490" s="177"/>
      <c r="G1490" s="177"/>
      <c r="H1490" s="177"/>
      <c r="I1490" s="177"/>
      <c r="J1490" s="177"/>
      <c r="K1490" s="177"/>
      <c r="L1490" s="177"/>
      <c r="M1490" s="177"/>
      <c r="N1490" s="177"/>
      <c r="O1490" s="165"/>
      <c r="P1490" s="168"/>
    </row>
    <row r="1491" spans="16:16">
      <c r="A1491" s="161"/>
      <c r="B1491" s="13"/>
      <c r="C1491" s="13"/>
      <c r="D1491" s="162"/>
      <c r="E1491" s="163"/>
      <c r="F1491" s="177"/>
      <c r="G1491" s="177"/>
      <c r="H1491" s="177"/>
      <c r="I1491" s="177"/>
      <c r="J1491" s="177"/>
      <c r="K1491" s="177"/>
      <c r="L1491" s="177"/>
      <c r="M1491" s="177"/>
      <c r="N1491" s="177"/>
      <c r="O1491" s="165"/>
      <c r="P1491" s="168"/>
    </row>
    <row r="1492" spans="16:16">
      <c r="A1492" s="161"/>
      <c r="B1492" s="13"/>
      <c r="C1492" s="13"/>
      <c r="D1492" s="162"/>
      <c r="E1492" s="163"/>
      <c r="F1492" s="177"/>
      <c r="G1492" s="177"/>
      <c r="H1492" s="177"/>
      <c r="I1492" s="177"/>
      <c r="J1492" s="177"/>
      <c r="K1492" s="177"/>
      <c r="L1492" s="177"/>
      <c r="M1492" s="177"/>
      <c r="N1492" s="177"/>
      <c r="O1492" s="165"/>
      <c r="P1492" s="168"/>
    </row>
    <row r="1493" spans="16:16">
      <c r="A1493" s="161"/>
      <c r="B1493" s="13"/>
      <c r="C1493" s="13"/>
      <c r="D1493" s="162"/>
      <c r="E1493" s="163"/>
      <c r="F1493" s="177"/>
      <c r="G1493" s="177"/>
      <c r="H1493" s="177"/>
      <c r="I1493" s="177"/>
      <c r="J1493" s="177"/>
      <c r="K1493" s="177"/>
      <c r="L1493" s="177"/>
      <c r="M1493" s="177"/>
      <c r="N1493" s="177"/>
      <c r="O1493" s="165"/>
      <c r="P1493" s="168"/>
    </row>
    <row r="1494" spans="16:16">
      <c r="A1494" s="161"/>
      <c r="B1494" s="13"/>
      <c r="C1494" s="13"/>
      <c r="D1494" s="162"/>
      <c r="E1494" s="163"/>
      <c r="F1494" s="177"/>
      <c r="G1494" s="177"/>
      <c r="H1494" s="177"/>
      <c r="I1494" s="177"/>
      <c r="J1494" s="177"/>
      <c r="K1494" s="177"/>
      <c r="L1494" s="177"/>
      <c r="M1494" s="177"/>
      <c r="N1494" s="177"/>
      <c r="O1494" s="165"/>
      <c r="P1494" s="168"/>
    </row>
    <row r="1495" spans="16:16">
      <c r="A1495" s="161"/>
      <c r="B1495" s="13"/>
      <c r="C1495" s="13"/>
      <c r="D1495" s="162"/>
      <c r="E1495" s="163"/>
      <c r="F1495" s="177"/>
      <c r="G1495" s="177"/>
      <c r="H1495" s="177"/>
      <c r="I1495" s="177"/>
      <c r="J1495" s="177"/>
      <c r="K1495" s="177"/>
      <c r="L1495" s="177"/>
      <c r="M1495" s="177"/>
      <c r="N1495" s="177"/>
      <c r="O1495" s="165"/>
      <c r="P1495" s="168"/>
    </row>
    <row r="1496" spans="16:16">
      <c r="A1496" s="161"/>
      <c r="B1496" s="13"/>
      <c r="C1496" s="13"/>
      <c r="D1496" s="162"/>
      <c r="E1496" s="163"/>
      <c r="F1496" s="177"/>
      <c r="G1496" s="177"/>
      <c r="H1496" s="177"/>
      <c r="I1496" s="177"/>
      <c r="J1496" s="177"/>
      <c r="K1496" s="177"/>
      <c r="L1496" s="177"/>
      <c r="M1496" s="177"/>
      <c r="N1496" s="177"/>
      <c r="O1496" s="165"/>
      <c r="P1496" s="168"/>
    </row>
    <row r="1497" spans="16:16">
      <c r="A1497" s="161"/>
      <c r="B1497" s="13"/>
      <c r="C1497" s="13"/>
      <c r="D1497" s="162"/>
      <c r="E1497" s="163"/>
      <c r="F1497" s="177"/>
      <c r="G1497" s="177"/>
      <c r="H1497" s="177"/>
      <c r="I1497" s="177"/>
      <c r="J1497" s="177"/>
      <c r="K1497" s="177"/>
      <c r="L1497" s="177"/>
      <c r="M1497" s="177"/>
      <c r="N1497" s="177"/>
      <c r="O1497" s="165"/>
      <c r="P1497" s="168"/>
    </row>
    <row r="1498" spans="16:16">
      <c r="A1498" s="161"/>
      <c r="B1498" s="13"/>
      <c r="C1498" s="13"/>
      <c r="D1498" s="162"/>
      <c r="E1498" s="163"/>
      <c r="F1498" s="177"/>
      <c r="G1498" s="177"/>
      <c r="H1498" s="177"/>
      <c r="I1498" s="177"/>
      <c r="J1498" s="177"/>
      <c r="K1498" s="177"/>
      <c r="L1498" s="177"/>
      <c r="M1498" s="177"/>
      <c r="N1498" s="177"/>
      <c r="O1498" s="165"/>
      <c r="P1498" s="168"/>
    </row>
    <row r="1499" spans="16:16">
      <c r="A1499" s="161"/>
      <c r="B1499" s="13"/>
      <c r="C1499" s="13"/>
      <c r="D1499" s="162"/>
      <c r="E1499" s="163"/>
      <c r="F1499" s="177"/>
      <c r="G1499" s="177"/>
      <c r="H1499" s="177"/>
      <c r="I1499" s="177"/>
      <c r="J1499" s="177"/>
      <c r="K1499" s="177"/>
      <c r="L1499" s="177"/>
      <c r="M1499" s="177"/>
      <c r="N1499" s="177"/>
      <c r="O1499" s="165"/>
      <c r="P1499" s="168"/>
    </row>
    <row r="1500" spans="16:16">
      <c r="A1500" s="161"/>
      <c r="B1500" s="13"/>
      <c r="C1500" s="13"/>
      <c r="D1500" s="162"/>
      <c r="E1500" s="163"/>
      <c r="F1500" s="177"/>
      <c r="G1500" s="177"/>
      <c r="H1500" s="177"/>
      <c r="I1500" s="177"/>
      <c r="J1500" s="177"/>
      <c r="K1500" s="177"/>
      <c r="L1500" s="177"/>
      <c r="M1500" s="177"/>
      <c r="N1500" s="177"/>
      <c r="O1500" s="165"/>
      <c r="P1500" s="168"/>
    </row>
    <row r="1501" spans="16:16">
      <c r="A1501" s="161"/>
      <c r="B1501" s="13"/>
      <c r="C1501" s="13"/>
      <c r="D1501" s="162"/>
      <c r="E1501" s="163"/>
      <c r="F1501" s="177"/>
      <c r="G1501" s="177"/>
      <c r="H1501" s="177"/>
      <c r="I1501" s="177"/>
      <c r="J1501" s="177"/>
      <c r="K1501" s="177"/>
      <c r="L1501" s="177"/>
      <c r="M1501" s="177"/>
      <c r="N1501" s="177"/>
      <c r="O1501" s="165"/>
      <c r="P1501" s="168"/>
    </row>
    <row r="1502" spans="16:16">
      <c r="A1502" s="161"/>
      <c r="B1502" s="13"/>
      <c r="C1502" s="13"/>
      <c r="D1502" s="162"/>
      <c r="E1502" s="163"/>
      <c r="F1502" s="177"/>
      <c r="G1502" s="177"/>
      <c r="H1502" s="177"/>
      <c r="I1502" s="177"/>
      <c r="J1502" s="177"/>
      <c r="K1502" s="177"/>
      <c r="L1502" s="177"/>
      <c r="M1502" s="177"/>
      <c r="N1502" s="177"/>
      <c r="O1502" s="165"/>
      <c r="P1502" s="168"/>
    </row>
    <row r="1503" spans="16:16">
      <c r="A1503" s="161"/>
      <c r="B1503" s="13"/>
      <c r="C1503" s="13"/>
      <c r="D1503" s="162"/>
      <c r="E1503" s="163"/>
      <c r="F1503" s="177"/>
      <c r="G1503" s="177"/>
      <c r="H1503" s="177"/>
      <c r="I1503" s="177"/>
      <c r="J1503" s="177"/>
      <c r="K1503" s="177"/>
      <c r="L1503" s="177"/>
      <c r="M1503" s="177"/>
      <c r="N1503" s="177"/>
      <c r="O1503" s="165"/>
      <c r="P1503" s="168"/>
    </row>
    <row r="1504" spans="16:16">
      <c r="A1504" s="161"/>
      <c r="B1504" s="13"/>
      <c r="C1504" s="13"/>
      <c r="D1504" s="162"/>
      <c r="E1504" s="163"/>
      <c r="F1504" s="177"/>
      <c r="G1504" s="177"/>
      <c r="H1504" s="177"/>
      <c r="I1504" s="177"/>
      <c r="J1504" s="177"/>
      <c r="K1504" s="177"/>
      <c r="L1504" s="177"/>
      <c r="M1504" s="177"/>
      <c r="N1504" s="177"/>
      <c r="O1504" s="165"/>
      <c r="P1504" s="168"/>
    </row>
    <row r="1505" spans="16:16">
      <c r="A1505" s="161"/>
      <c r="B1505" s="13"/>
      <c r="C1505" s="13"/>
      <c r="D1505" s="162"/>
      <c r="E1505" s="163"/>
      <c r="F1505" s="177"/>
      <c r="G1505" s="177"/>
      <c r="H1505" s="177"/>
      <c r="I1505" s="177"/>
      <c r="J1505" s="177"/>
      <c r="K1505" s="177"/>
      <c r="L1505" s="177"/>
      <c r="M1505" s="177"/>
      <c r="N1505" s="177"/>
      <c r="O1505" s="165"/>
      <c r="P1505" s="168"/>
    </row>
    <row r="1506" spans="16:16">
      <c r="A1506" s="161"/>
      <c r="B1506" s="13"/>
      <c r="C1506" s="13"/>
      <c r="D1506" s="162"/>
      <c r="E1506" s="163"/>
      <c r="F1506" s="177"/>
      <c r="G1506" s="177"/>
      <c r="H1506" s="177"/>
      <c r="I1506" s="177"/>
      <c r="J1506" s="177"/>
      <c r="K1506" s="177"/>
      <c r="L1506" s="177"/>
      <c r="M1506" s="177"/>
      <c r="N1506" s="177"/>
      <c r="O1506" s="165"/>
      <c r="P1506" s="168"/>
    </row>
    <row r="1507" spans="16:16">
      <c r="A1507" s="161"/>
      <c r="B1507" s="13"/>
      <c r="C1507" s="13"/>
      <c r="D1507" s="162"/>
      <c r="E1507" s="163"/>
      <c r="F1507" s="177"/>
      <c r="G1507" s="177"/>
      <c r="H1507" s="177"/>
      <c r="I1507" s="177"/>
      <c r="J1507" s="177"/>
      <c r="K1507" s="177"/>
      <c r="L1507" s="177"/>
      <c r="M1507" s="177"/>
      <c r="N1507" s="177"/>
      <c r="O1507" s="165"/>
      <c r="P1507" s="168"/>
    </row>
    <row r="1508" spans="16:16">
      <c r="A1508" s="161"/>
      <c r="B1508" s="13"/>
      <c r="C1508" s="13"/>
      <c r="D1508" s="162"/>
      <c r="E1508" s="163"/>
      <c r="F1508" s="177"/>
      <c r="G1508" s="177"/>
      <c r="H1508" s="177"/>
      <c r="I1508" s="177"/>
      <c r="J1508" s="177"/>
      <c r="K1508" s="177"/>
      <c r="L1508" s="177"/>
      <c r="M1508" s="177"/>
      <c r="N1508" s="177"/>
      <c r="O1508" s="165"/>
      <c r="P1508" s="168"/>
    </row>
    <row r="1509" spans="16:16">
      <c r="A1509" s="161"/>
      <c r="B1509" s="13"/>
      <c r="C1509" s="13"/>
      <c r="D1509" s="162"/>
      <c r="E1509" s="163"/>
      <c r="F1509" s="177"/>
      <c r="G1509" s="177"/>
      <c r="H1509" s="177"/>
      <c r="I1509" s="177"/>
      <c r="J1509" s="177"/>
      <c r="K1509" s="177"/>
      <c r="L1509" s="177"/>
      <c r="M1509" s="177"/>
      <c r="N1509" s="177"/>
      <c r="O1509" s="165"/>
      <c r="P1509" s="168"/>
    </row>
    <row r="1510" spans="16:16">
      <c r="A1510" s="161"/>
      <c r="B1510" s="13"/>
      <c r="C1510" s="13"/>
      <c r="D1510" s="162"/>
      <c r="E1510" s="163"/>
      <c r="F1510" s="177"/>
      <c r="G1510" s="177"/>
      <c r="H1510" s="177"/>
      <c r="I1510" s="177"/>
      <c r="J1510" s="177"/>
      <c r="K1510" s="177"/>
      <c r="L1510" s="177"/>
      <c r="M1510" s="177"/>
      <c r="N1510" s="177"/>
      <c r="O1510" s="165"/>
      <c r="P1510" s="168"/>
    </row>
    <row r="1511" spans="16:16">
      <c r="A1511" s="161"/>
      <c r="B1511" s="13"/>
      <c r="C1511" s="13"/>
      <c r="D1511" s="162"/>
      <c r="E1511" s="163"/>
      <c r="F1511" s="177"/>
      <c r="G1511" s="177"/>
      <c r="H1511" s="177"/>
      <c r="I1511" s="177"/>
      <c r="J1511" s="177"/>
      <c r="K1511" s="177"/>
      <c r="L1511" s="177"/>
      <c r="M1511" s="177"/>
      <c r="N1511" s="177"/>
      <c r="O1511" s="165"/>
      <c r="P1511" s="168"/>
    </row>
    <row r="1512" s="176" customFormat="1" spans="1:16">
      <c r="A1512" s="169"/>
      <c r="B1512" s="13"/>
      <c r="C1512" s="13"/>
      <c r="D1512" s="162"/>
      <c r="E1512" s="163"/>
      <c r="F1512" s="177"/>
      <c r="G1512" s="177"/>
      <c r="H1512" s="177"/>
      <c r="I1512" s="177"/>
      <c r="J1512" s="177"/>
      <c r="K1512" s="177"/>
      <c r="L1512" s="177"/>
      <c r="M1512" s="177"/>
      <c r="N1512" s="177"/>
      <c r="O1512" s="165"/>
      <c r="P1512" s="168"/>
    </row>
    <row r="1513" s="176" customFormat="1" spans="1:16">
      <c r="A1513" s="169"/>
      <c r="B1513" s="13"/>
      <c r="C1513" s="13"/>
      <c r="D1513" s="162"/>
      <c r="E1513" s="163"/>
      <c r="F1513" s="177"/>
      <c r="G1513" s="177"/>
      <c r="H1513" s="177"/>
      <c r="I1513" s="177"/>
      <c r="J1513" s="177"/>
      <c r="K1513" s="177"/>
      <c r="L1513" s="177"/>
      <c r="M1513" s="177"/>
      <c r="N1513" s="177"/>
      <c r="O1513" s="165"/>
      <c r="P1513" s="168"/>
    </row>
    <row r="1514" s="176" customFormat="1" spans="1:16">
      <c r="A1514" s="169"/>
      <c r="B1514" s="13"/>
      <c r="C1514" s="13"/>
      <c r="D1514" s="162"/>
      <c r="E1514" s="163"/>
      <c r="F1514" s="177"/>
      <c r="G1514" s="177"/>
      <c r="H1514" s="177"/>
      <c r="I1514" s="177"/>
      <c r="J1514" s="177"/>
      <c r="K1514" s="177"/>
      <c r="L1514" s="177"/>
      <c r="M1514" s="177"/>
      <c r="N1514" s="177"/>
      <c r="O1514" s="165"/>
      <c r="P1514" s="168"/>
    </row>
    <row r="1515" spans="16:16">
      <c r="A1515" s="161"/>
      <c r="B1515" s="13"/>
      <c r="C1515" s="13"/>
      <c r="D1515" s="162"/>
      <c r="E1515" s="163"/>
      <c r="F1515" s="177"/>
      <c r="G1515" s="177"/>
      <c r="H1515" s="177"/>
      <c r="I1515" s="177"/>
      <c r="J1515" s="177"/>
      <c r="K1515" s="177"/>
      <c r="L1515" s="177"/>
      <c r="M1515" s="177"/>
      <c r="N1515" s="177"/>
      <c r="O1515" s="165"/>
      <c r="P1515" s="168"/>
    </row>
    <row r="1516" spans="16:16">
      <c r="A1516" s="161"/>
      <c r="B1516" s="13"/>
      <c r="C1516" s="13"/>
      <c r="D1516" s="162"/>
      <c r="E1516" s="163"/>
      <c r="F1516" s="177"/>
      <c r="G1516" s="177"/>
      <c r="H1516" s="177"/>
      <c r="I1516" s="177"/>
      <c r="J1516" s="177"/>
      <c r="K1516" s="177"/>
      <c r="L1516" s="177"/>
      <c r="M1516" s="177"/>
      <c r="N1516" s="177"/>
      <c r="O1516" s="165"/>
      <c r="P1516" s="168"/>
    </row>
    <row r="1517" spans="16:16">
      <c r="A1517" s="161"/>
      <c r="B1517" s="13"/>
      <c r="C1517" s="13"/>
      <c r="D1517" s="162"/>
      <c r="E1517" s="163"/>
      <c r="F1517" s="177"/>
      <c r="G1517" s="177"/>
      <c r="H1517" s="177"/>
      <c r="I1517" s="177"/>
      <c r="J1517" s="177"/>
      <c r="K1517" s="177"/>
      <c r="L1517" s="177"/>
      <c r="M1517" s="177"/>
      <c r="N1517" s="177"/>
      <c r="O1517" s="165"/>
      <c r="P1517" s="168"/>
    </row>
    <row r="1518" spans="16:16">
      <c r="A1518" s="161"/>
      <c r="B1518" s="13"/>
      <c r="C1518" s="13"/>
      <c r="D1518" s="162"/>
      <c r="E1518" s="163"/>
      <c r="F1518" s="177"/>
      <c r="G1518" s="177"/>
      <c r="H1518" s="177"/>
      <c r="I1518" s="177"/>
      <c r="J1518" s="177"/>
      <c r="K1518" s="177"/>
      <c r="L1518" s="177"/>
      <c r="M1518" s="177"/>
      <c r="N1518" s="177"/>
      <c r="O1518" s="165"/>
      <c r="P1518" s="168"/>
    </row>
    <row r="1519" spans="4:16">
      <c r="A1519" s="161"/>
      <c r="B1519" s="13"/>
      <c r="C1519" s="13"/>
      <c r="D1519" s="170"/>
      <c r="E1519" s="171"/>
      <c r="F1519" s="177"/>
      <c r="G1519" s="177"/>
      <c r="H1519" s="177"/>
      <c r="I1519" s="177"/>
      <c r="J1519" s="177"/>
      <c r="K1519" s="177"/>
      <c r="L1519" s="177"/>
      <c r="M1519" s="177"/>
      <c r="N1519" s="177"/>
      <c r="O1519" s="165"/>
      <c r="P1519" s="168"/>
    </row>
    <row r="1520" spans="4:16">
      <c r="A1520" s="161"/>
      <c r="B1520" s="13"/>
      <c r="C1520" s="13"/>
      <c r="D1520" s="170"/>
      <c r="E1520" s="171"/>
      <c r="F1520" s="177"/>
      <c r="G1520" s="177"/>
      <c r="H1520" s="177"/>
      <c r="I1520" s="177"/>
      <c r="J1520" s="177"/>
      <c r="K1520" s="177"/>
      <c r="L1520" s="177"/>
      <c r="M1520" s="177"/>
      <c r="N1520" s="177"/>
      <c r="O1520" s="165"/>
      <c r="P1520" s="168"/>
    </row>
    <row r="1521" spans="4:16">
      <c r="A1521" s="161"/>
      <c r="B1521" s="13"/>
      <c r="C1521" s="13"/>
      <c r="D1521" s="170"/>
      <c r="E1521" s="171"/>
      <c r="F1521" s="177"/>
      <c r="G1521" s="177"/>
      <c r="H1521" s="177"/>
      <c r="I1521" s="177"/>
      <c r="J1521" s="177"/>
      <c r="K1521" s="177"/>
      <c r="L1521" s="177"/>
      <c r="M1521" s="177"/>
      <c r="N1521" s="177"/>
      <c r="O1521" s="165"/>
      <c r="P1521" s="168"/>
    </row>
    <row r="1522" spans="16:16">
      <c r="A1522" s="161"/>
      <c r="B1522" s="13"/>
      <c r="C1522" s="13"/>
      <c r="D1522" s="162"/>
      <c r="E1522" s="163"/>
      <c r="F1522" s="177"/>
      <c r="G1522" s="177"/>
      <c r="H1522" s="177"/>
      <c r="I1522" s="177"/>
      <c r="J1522" s="177"/>
      <c r="K1522" s="177"/>
      <c r="L1522" s="177"/>
      <c r="M1522" s="177"/>
      <c r="N1522" s="177"/>
      <c r="O1522" s="165"/>
      <c r="P1522" s="168"/>
    </row>
    <row r="1523" spans="16:16">
      <c r="A1523" s="161"/>
      <c r="B1523" s="13"/>
      <c r="C1523" s="13"/>
      <c r="D1523" s="162"/>
      <c r="E1523" s="163"/>
      <c r="F1523" s="177"/>
      <c r="G1523" s="177"/>
      <c r="H1523" s="177"/>
      <c r="I1523" s="177"/>
      <c r="J1523" s="177"/>
      <c r="K1523" s="177"/>
      <c r="L1523" s="177"/>
      <c r="M1523" s="177"/>
      <c r="N1523" s="177"/>
      <c r="O1523" s="165"/>
      <c r="P1523" s="168"/>
    </row>
    <row r="1524" spans="16:16">
      <c r="A1524" s="161"/>
      <c r="B1524" s="13"/>
      <c r="C1524" s="13"/>
      <c r="D1524" s="162"/>
      <c r="E1524" s="163"/>
      <c r="F1524" s="177"/>
      <c r="G1524" s="177"/>
      <c r="H1524" s="177"/>
      <c r="I1524" s="177"/>
      <c r="J1524" s="177"/>
      <c r="K1524" s="177"/>
      <c r="L1524" s="177"/>
      <c r="M1524" s="177"/>
      <c r="N1524" s="177"/>
      <c r="O1524" s="165"/>
      <c r="P1524" s="168"/>
    </row>
    <row r="1525" spans="16:16">
      <c r="A1525" s="161"/>
      <c r="B1525" s="13"/>
      <c r="C1525" s="13"/>
      <c r="D1525" s="162"/>
      <c r="E1525" s="163"/>
      <c r="F1525" s="177"/>
      <c r="G1525" s="177"/>
      <c r="H1525" s="177"/>
      <c r="I1525" s="177"/>
      <c r="J1525" s="177"/>
      <c r="K1525" s="177"/>
      <c r="L1525" s="177"/>
      <c r="M1525" s="177"/>
      <c r="N1525" s="177"/>
      <c r="O1525" s="165"/>
      <c r="P1525" s="168"/>
    </row>
    <row r="1526" spans="16:16">
      <c r="A1526" s="161"/>
      <c r="B1526" s="13"/>
      <c r="C1526" s="13"/>
      <c r="D1526" s="162"/>
      <c r="E1526" s="163"/>
      <c r="F1526" s="177"/>
      <c r="G1526" s="177"/>
      <c r="H1526" s="177"/>
      <c r="I1526" s="177"/>
      <c r="J1526" s="177"/>
      <c r="K1526" s="177"/>
      <c r="L1526" s="177"/>
      <c r="M1526" s="177"/>
      <c r="N1526" s="177"/>
      <c r="O1526" s="165"/>
      <c r="P1526" s="168"/>
    </row>
    <row r="1527" spans="16:16">
      <c r="A1527" s="161"/>
      <c r="B1527" s="13"/>
      <c r="C1527" s="13"/>
      <c r="D1527" s="162"/>
      <c r="E1527" s="163"/>
      <c r="F1527" s="177"/>
      <c r="G1527" s="177"/>
      <c r="H1527" s="177"/>
      <c r="I1527" s="177"/>
      <c r="J1527" s="177"/>
      <c r="K1527" s="177"/>
      <c r="L1527" s="177"/>
      <c r="M1527" s="177"/>
      <c r="N1527" s="177"/>
      <c r="O1527" s="165"/>
      <c r="P1527" s="168"/>
    </row>
    <row r="1528" spans="16:16">
      <c r="A1528" s="161"/>
      <c r="B1528" s="13"/>
      <c r="C1528" s="13"/>
      <c r="D1528" s="162"/>
      <c r="E1528" s="163"/>
      <c r="F1528" s="177"/>
      <c r="G1528" s="177"/>
      <c r="H1528" s="177"/>
      <c r="I1528" s="177"/>
      <c r="J1528" s="177"/>
      <c r="K1528" s="177"/>
      <c r="L1528" s="177"/>
      <c r="M1528" s="177"/>
      <c r="N1528" s="177"/>
      <c r="O1528" s="165"/>
      <c r="P1528" s="168"/>
    </row>
    <row r="1529" spans="16:16">
      <c r="A1529" s="161"/>
      <c r="B1529" s="13"/>
      <c r="C1529" s="13"/>
      <c r="D1529" s="162"/>
      <c r="E1529" s="163"/>
      <c r="F1529" s="177"/>
      <c r="G1529" s="177"/>
      <c r="H1529" s="177"/>
      <c r="I1529" s="177"/>
      <c r="J1529" s="177"/>
      <c r="K1529" s="177"/>
      <c r="L1529" s="177"/>
      <c r="M1529" s="177"/>
      <c r="N1529" s="177"/>
      <c r="O1529" s="165"/>
      <c r="P1529" s="168"/>
    </row>
    <row r="1530" spans="16:16">
      <c r="A1530" s="161"/>
      <c r="B1530" s="13"/>
      <c r="C1530" s="13"/>
      <c r="D1530" s="162"/>
      <c r="E1530" s="163"/>
      <c r="F1530" s="177"/>
      <c r="G1530" s="177"/>
      <c r="H1530" s="177"/>
      <c r="I1530" s="177"/>
      <c r="J1530" s="177"/>
      <c r="K1530" s="177"/>
      <c r="L1530" s="177"/>
      <c r="M1530" s="177"/>
      <c r="N1530" s="177"/>
      <c r="O1530" s="165"/>
      <c r="P1530" s="168"/>
    </row>
    <row r="1531" spans="16:16">
      <c r="A1531" s="161"/>
      <c r="B1531" s="13"/>
      <c r="C1531" s="13"/>
      <c r="D1531" s="162"/>
      <c r="E1531" s="163"/>
      <c r="F1531" s="177"/>
      <c r="G1531" s="177"/>
      <c r="H1531" s="177"/>
      <c r="I1531" s="177"/>
      <c r="J1531" s="177"/>
      <c r="K1531" s="177"/>
      <c r="L1531" s="177"/>
      <c r="M1531" s="177"/>
      <c r="N1531" s="177"/>
      <c r="O1531" s="165"/>
      <c r="P1531" s="168"/>
    </row>
    <row r="1532" spans="16:16">
      <c r="A1532" s="161"/>
      <c r="B1532" s="13"/>
      <c r="C1532" s="13"/>
      <c r="D1532" s="162"/>
      <c r="E1532" s="163"/>
      <c r="F1532" s="177"/>
      <c r="G1532" s="177"/>
      <c r="H1532" s="177"/>
      <c r="I1532" s="177"/>
      <c r="J1532" s="177"/>
      <c r="K1532" s="177"/>
      <c r="L1532" s="177"/>
      <c r="M1532" s="177"/>
      <c r="N1532" s="177"/>
      <c r="O1532" s="165"/>
      <c r="P1532" s="168"/>
    </row>
    <row r="1533" spans="16:16">
      <c r="A1533" s="161"/>
      <c r="B1533" s="13"/>
      <c r="C1533" s="13"/>
      <c r="D1533" s="162"/>
      <c r="E1533" s="163"/>
      <c r="F1533" s="177"/>
      <c r="G1533" s="177"/>
      <c r="H1533" s="177"/>
      <c r="I1533" s="177"/>
      <c r="J1533" s="177"/>
      <c r="K1533" s="177"/>
      <c r="L1533" s="177"/>
      <c r="M1533" s="177"/>
      <c r="N1533" s="177"/>
      <c r="O1533" s="165"/>
      <c r="P1533" s="168"/>
    </row>
    <row r="1534" spans="16:16">
      <c r="A1534" s="161"/>
      <c r="B1534" s="13"/>
      <c r="C1534" s="13"/>
      <c r="D1534" s="162"/>
      <c r="E1534" s="163"/>
      <c r="F1534" s="177"/>
      <c r="G1534" s="177"/>
      <c r="H1534" s="177"/>
      <c r="I1534" s="177"/>
      <c r="J1534" s="177"/>
      <c r="K1534" s="177"/>
      <c r="L1534" s="177"/>
      <c r="M1534" s="177"/>
      <c r="N1534" s="177"/>
      <c r="O1534" s="165"/>
      <c r="P1534" s="168"/>
    </row>
    <row r="1535" spans="16:16">
      <c r="A1535" s="161"/>
      <c r="B1535" s="13"/>
      <c r="C1535" s="13"/>
      <c r="D1535" s="162"/>
      <c r="E1535" s="163"/>
      <c r="F1535" s="177"/>
      <c r="G1535" s="177"/>
      <c r="H1535" s="177"/>
      <c r="I1535" s="177"/>
      <c r="J1535" s="177"/>
      <c r="K1535" s="177"/>
      <c r="L1535" s="177"/>
      <c r="M1535" s="177"/>
      <c r="N1535" s="177"/>
      <c r="O1535" s="165"/>
      <c r="P1535" s="168"/>
    </row>
    <row r="1536" spans="16:16">
      <c r="A1536" s="161"/>
      <c r="B1536" s="13"/>
      <c r="C1536" s="13"/>
      <c r="D1536" s="162"/>
      <c r="E1536" s="163"/>
      <c r="F1536" s="177"/>
      <c r="G1536" s="177"/>
      <c r="H1536" s="177"/>
      <c r="I1536" s="177"/>
      <c r="J1536" s="177"/>
      <c r="K1536" s="177"/>
      <c r="L1536" s="177"/>
      <c r="M1536" s="177"/>
      <c r="N1536" s="177"/>
      <c r="O1536" s="165"/>
      <c r="P1536" s="168"/>
    </row>
    <row r="1537" spans="16:16">
      <c r="A1537" s="161"/>
      <c r="B1537" s="13"/>
      <c r="C1537" s="13"/>
      <c r="D1537" s="162"/>
      <c r="E1537" s="163"/>
      <c r="F1537" s="177"/>
      <c r="G1537" s="177"/>
      <c r="H1537" s="177"/>
      <c r="I1537" s="177"/>
      <c r="J1537" s="177"/>
      <c r="K1537" s="177"/>
      <c r="L1537" s="177"/>
      <c r="M1537" s="177"/>
      <c r="N1537" s="177"/>
      <c r="O1537" s="165"/>
      <c r="P1537" s="168"/>
    </row>
    <row r="1538" spans="16:16">
      <c r="A1538" s="161"/>
      <c r="B1538" s="13"/>
      <c r="C1538" s="13"/>
      <c r="D1538" s="162"/>
      <c r="E1538" s="163"/>
      <c r="F1538" s="177"/>
      <c r="G1538" s="177"/>
      <c r="H1538" s="177"/>
      <c r="I1538" s="177"/>
      <c r="J1538" s="177"/>
      <c r="K1538" s="177"/>
      <c r="L1538" s="177"/>
      <c r="M1538" s="177"/>
      <c r="N1538" s="177"/>
      <c r="O1538" s="165"/>
      <c r="P1538" s="168"/>
    </row>
    <row r="1539" spans="16:16">
      <c r="A1539" s="161"/>
      <c r="B1539" s="13"/>
      <c r="C1539" s="13"/>
      <c r="D1539" s="162"/>
      <c r="E1539" s="163"/>
      <c r="F1539" s="177"/>
      <c r="G1539" s="177"/>
      <c r="H1539" s="177"/>
      <c r="I1539" s="177"/>
      <c r="J1539" s="177"/>
      <c r="K1539" s="177"/>
      <c r="L1539" s="177"/>
      <c r="M1539" s="177"/>
      <c r="N1539" s="177"/>
      <c r="O1539" s="165"/>
      <c r="P1539" s="168"/>
    </row>
    <row r="1540" spans="16:16">
      <c r="A1540" s="161"/>
      <c r="B1540" s="13"/>
      <c r="C1540" s="13"/>
      <c r="D1540" s="162"/>
      <c r="E1540" s="163"/>
      <c r="F1540" s="177"/>
      <c r="G1540" s="177"/>
      <c r="H1540" s="177"/>
      <c r="I1540" s="177"/>
      <c r="J1540" s="177"/>
      <c r="K1540" s="177"/>
      <c r="L1540" s="177"/>
      <c r="M1540" s="177"/>
      <c r="N1540" s="177"/>
      <c r="O1540" s="165"/>
      <c r="P1540" s="168"/>
    </row>
    <row r="1541" spans="16:16">
      <c r="A1541" s="161"/>
      <c r="B1541" s="13"/>
      <c r="C1541" s="13"/>
      <c r="D1541" s="162"/>
      <c r="E1541" s="163"/>
      <c r="F1541" s="177"/>
      <c r="G1541" s="177"/>
      <c r="H1541" s="177"/>
      <c r="I1541" s="177"/>
      <c r="J1541" s="177"/>
      <c r="K1541" s="177"/>
      <c r="L1541" s="177"/>
      <c r="M1541" s="177"/>
      <c r="N1541" s="177"/>
      <c r="O1541" s="165"/>
      <c r="P1541" s="168"/>
    </row>
    <row r="1542" spans="16:16">
      <c r="A1542" s="161"/>
      <c r="B1542" s="13"/>
      <c r="C1542" s="13"/>
      <c r="D1542" s="162"/>
      <c r="E1542" s="163"/>
      <c r="F1542" s="177"/>
      <c r="G1542" s="177"/>
      <c r="H1542" s="177"/>
      <c r="I1542" s="177"/>
      <c r="J1542" s="177"/>
      <c r="K1542" s="177"/>
      <c r="L1542" s="177"/>
      <c r="M1542" s="177"/>
      <c r="N1542" s="177"/>
      <c r="O1542" s="165"/>
      <c r="P1542" s="168"/>
    </row>
    <row r="1543" spans="16:16">
      <c r="A1543" s="161"/>
      <c r="B1543" s="13"/>
      <c r="C1543" s="13"/>
      <c r="D1543" s="162"/>
      <c r="E1543" s="163"/>
      <c r="F1543" s="177"/>
      <c r="G1543" s="177"/>
      <c r="H1543" s="177"/>
      <c r="I1543" s="177"/>
      <c r="J1543" s="177"/>
      <c r="K1543" s="177"/>
      <c r="L1543" s="177"/>
      <c r="M1543" s="177"/>
      <c r="N1543" s="177"/>
      <c r="O1543" s="165"/>
      <c r="P1543" s="168"/>
    </row>
    <row r="1544" spans="16:16">
      <c r="A1544" s="161"/>
      <c r="B1544" s="13"/>
      <c r="C1544" s="13"/>
      <c r="D1544" s="162"/>
      <c r="E1544" s="163"/>
      <c r="F1544" s="177"/>
      <c r="G1544" s="177"/>
      <c r="H1544" s="177"/>
      <c r="I1544" s="177"/>
      <c r="J1544" s="177"/>
      <c r="K1544" s="177"/>
      <c r="L1544" s="177"/>
      <c r="M1544" s="177"/>
      <c r="N1544" s="177"/>
      <c r="O1544" s="165"/>
      <c r="P1544" s="168"/>
    </row>
    <row r="1545" spans="16:16">
      <c r="A1545" s="161"/>
      <c r="B1545" s="13"/>
      <c r="C1545" s="13"/>
      <c r="D1545" s="162"/>
      <c r="E1545" s="163"/>
      <c r="F1545" s="177"/>
      <c r="G1545" s="177"/>
      <c r="H1545" s="177"/>
      <c r="I1545" s="177"/>
      <c r="J1545" s="177"/>
      <c r="K1545" s="177"/>
      <c r="L1545" s="177"/>
      <c r="M1545" s="177"/>
      <c r="N1545" s="177"/>
      <c r="O1545" s="165"/>
      <c r="P1545" s="168"/>
    </row>
    <row r="1546" spans="16:16">
      <c r="A1546" s="161"/>
      <c r="B1546" s="13"/>
      <c r="C1546" s="13"/>
      <c r="D1546" s="162"/>
      <c r="E1546" s="163"/>
      <c r="F1546" s="177"/>
      <c r="G1546" s="177"/>
      <c r="H1546" s="177"/>
      <c r="I1546" s="177"/>
      <c r="J1546" s="177"/>
      <c r="K1546" s="177"/>
      <c r="L1546" s="177"/>
      <c r="M1546" s="177"/>
      <c r="N1546" s="177"/>
      <c r="O1546" s="165"/>
      <c r="P1546" s="168"/>
    </row>
    <row r="1547" spans="16:16">
      <c r="A1547" s="161"/>
      <c r="B1547" s="13"/>
      <c r="C1547" s="13"/>
      <c r="D1547" s="162"/>
      <c r="E1547" s="163"/>
      <c r="F1547" s="177"/>
      <c r="G1547" s="177"/>
      <c r="H1547" s="177"/>
      <c r="I1547" s="177"/>
      <c r="J1547" s="177"/>
      <c r="K1547" s="177"/>
      <c r="L1547" s="177"/>
      <c r="M1547" s="177"/>
      <c r="N1547" s="177"/>
      <c r="O1547" s="165"/>
      <c r="P1547" s="168"/>
    </row>
    <row r="1548" spans="16:16">
      <c r="A1548" s="161"/>
      <c r="B1548" s="13"/>
      <c r="C1548" s="13"/>
      <c r="D1548" s="162"/>
      <c r="E1548" s="163"/>
      <c r="F1548" s="177"/>
      <c r="G1548" s="177"/>
      <c r="H1548" s="177"/>
      <c r="I1548" s="177"/>
      <c r="J1548" s="177"/>
      <c r="K1548" s="177"/>
      <c r="L1548" s="177"/>
      <c r="M1548" s="177"/>
      <c r="N1548" s="177"/>
      <c r="O1548" s="165"/>
      <c r="P1548" s="168"/>
    </row>
    <row r="1549" spans="16:16">
      <c r="A1549" s="161"/>
      <c r="B1549" s="13"/>
      <c r="C1549" s="13"/>
      <c r="D1549" s="162"/>
      <c r="E1549" s="163"/>
      <c r="F1549" s="177"/>
      <c r="G1549" s="177"/>
      <c r="H1549" s="177"/>
      <c r="I1549" s="177"/>
      <c r="J1549" s="177"/>
      <c r="K1549" s="177"/>
      <c r="L1549" s="177"/>
      <c r="M1549" s="177"/>
      <c r="N1549" s="177"/>
      <c r="O1549" s="165"/>
      <c r="P1549" s="168"/>
    </row>
    <row r="1550" spans="16:16">
      <c r="A1550" s="161"/>
      <c r="B1550" s="13"/>
      <c r="C1550" s="13"/>
      <c r="D1550" s="162"/>
      <c r="E1550" s="163"/>
      <c r="F1550" s="177"/>
      <c r="G1550" s="177"/>
      <c r="H1550" s="177"/>
      <c r="I1550" s="177"/>
      <c r="J1550" s="177"/>
      <c r="K1550" s="177"/>
      <c r="L1550" s="177"/>
      <c r="M1550" s="177"/>
      <c r="N1550" s="177"/>
      <c r="O1550" s="165"/>
      <c r="P1550" s="168"/>
    </row>
    <row r="1551" spans="16:16">
      <c r="A1551" s="161"/>
      <c r="B1551" s="13"/>
      <c r="C1551" s="13"/>
      <c r="D1551" s="162"/>
      <c r="E1551" s="163"/>
      <c r="F1551" s="177"/>
      <c r="G1551" s="177"/>
      <c r="H1551" s="177"/>
      <c r="I1551" s="177"/>
      <c r="J1551" s="177"/>
      <c r="K1551" s="177"/>
      <c r="L1551" s="177"/>
      <c r="M1551" s="177"/>
      <c r="N1551" s="177"/>
      <c r="O1551" s="165"/>
      <c r="P1551" s="168"/>
    </row>
    <row r="1552" spans="16:16">
      <c r="A1552" s="161"/>
      <c r="B1552" s="13"/>
      <c r="C1552" s="13"/>
      <c r="D1552" s="162"/>
      <c r="E1552" s="163"/>
      <c r="F1552" s="177"/>
      <c r="G1552" s="177"/>
      <c r="H1552" s="177"/>
      <c r="I1552" s="177"/>
      <c r="J1552" s="177"/>
      <c r="K1552" s="177"/>
      <c r="L1552" s="177"/>
      <c r="M1552" s="177"/>
      <c r="N1552" s="177"/>
      <c r="O1552" s="165"/>
      <c r="P1552" s="168"/>
    </row>
    <row r="1553" spans="16:16">
      <c r="A1553" s="161"/>
      <c r="B1553" s="13"/>
      <c r="C1553" s="13"/>
      <c r="D1553" s="162"/>
      <c r="E1553" s="163"/>
      <c r="F1553" s="177"/>
      <c r="G1553" s="177"/>
      <c r="H1553" s="177"/>
      <c r="I1553" s="177"/>
      <c r="J1553" s="177"/>
      <c r="K1553" s="177"/>
      <c r="L1553" s="177"/>
      <c r="M1553" s="177"/>
      <c r="N1553" s="177"/>
      <c r="O1553" s="165"/>
      <c r="P1553" s="168"/>
    </row>
    <row r="1554" spans="16:16">
      <c r="A1554" s="161"/>
      <c r="B1554" s="13"/>
      <c r="C1554" s="13"/>
      <c r="D1554" s="162"/>
      <c r="E1554" s="163"/>
      <c r="F1554" s="177"/>
      <c r="G1554" s="177"/>
      <c r="H1554" s="177"/>
      <c r="I1554" s="177"/>
      <c r="J1554" s="177"/>
      <c r="K1554" s="177"/>
      <c r="L1554" s="177"/>
      <c r="M1554" s="177"/>
      <c r="N1554" s="177"/>
      <c r="O1554" s="165"/>
      <c r="P1554" s="168"/>
    </row>
    <row r="1555" spans="16:16">
      <c r="A1555" s="161"/>
      <c r="B1555" s="13"/>
      <c r="C1555" s="13"/>
      <c r="D1555" s="162"/>
      <c r="E1555" s="163"/>
      <c r="F1555" s="177"/>
      <c r="G1555" s="177"/>
      <c r="H1555" s="177"/>
      <c r="I1555" s="177"/>
      <c r="J1555" s="177"/>
      <c r="K1555" s="177"/>
      <c r="L1555" s="177"/>
      <c r="M1555" s="177"/>
      <c r="N1555" s="177"/>
      <c r="O1555" s="165"/>
      <c r="P1555" s="168"/>
    </row>
    <row r="1556" spans="16:16">
      <c r="A1556" s="161"/>
      <c r="B1556" s="13"/>
      <c r="C1556" s="13"/>
      <c r="D1556" s="162"/>
      <c r="E1556" s="163"/>
      <c r="F1556" s="177"/>
      <c r="G1556" s="177"/>
      <c r="H1556" s="177"/>
      <c r="I1556" s="177"/>
      <c r="J1556" s="177"/>
      <c r="K1556" s="177"/>
      <c r="L1556" s="177"/>
      <c r="M1556" s="177"/>
      <c r="N1556" s="177"/>
      <c r="O1556" s="165"/>
      <c r="P1556" s="168"/>
    </row>
    <row r="1557" spans="16:16">
      <c r="A1557" s="161"/>
      <c r="B1557" s="13"/>
      <c r="C1557" s="13"/>
      <c r="D1557" s="162"/>
      <c r="E1557" s="163"/>
      <c r="F1557" s="177"/>
      <c r="G1557" s="177"/>
      <c r="H1557" s="177"/>
      <c r="I1557" s="177"/>
      <c r="J1557" s="177"/>
      <c r="K1557" s="177"/>
      <c r="L1557" s="177"/>
      <c r="M1557" s="177"/>
      <c r="N1557" s="177"/>
      <c r="O1557" s="165"/>
      <c r="P1557" s="168"/>
    </row>
    <row r="1558" spans="16:16">
      <c r="A1558" s="161"/>
      <c r="B1558" s="13"/>
      <c r="C1558" s="13"/>
      <c r="D1558" s="162"/>
      <c r="E1558" s="163"/>
      <c r="F1558" s="177"/>
      <c r="G1558" s="177"/>
      <c r="H1558" s="177"/>
      <c r="I1558" s="177"/>
      <c r="J1558" s="177"/>
      <c r="K1558" s="177"/>
      <c r="L1558" s="177"/>
      <c r="M1558" s="177"/>
      <c r="N1558" s="177"/>
      <c r="O1558" s="165"/>
      <c r="P1558" s="168"/>
    </row>
    <row r="1559" spans="16:16">
      <c r="A1559" s="161"/>
      <c r="B1559" s="13"/>
      <c r="C1559" s="13"/>
      <c r="D1559" s="162"/>
      <c r="E1559" s="163"/>
      <c r="F1559" s="177"/>
      <c r="G1559" s="177"/>
      <c r="H1559" s="177"/>
      <c r="I1559" s="177"/>
      <c r="J1559" s="177"/>
      <c r="K1559" s="177"/>
      <c r="L1559" s="177"/>
      <c r="M1559" s="177"/>
      <c r="N1559" s="177"/>
      <c r="O1559" s="165"/>
      <c r="P1559" s="168"/>
    </row>
    <row r="1560" spans="16:16">
      <c r="A1560" s="161"/>
      <c r="B1560" s="13"/>
      <c r="C1560" s="13"/>
      <c r="D1560" s="162"/>
      <c r="E1560" s="163"/>
      <c r="F1560" s="177"/>
      <c r="G1560" s="177"/>
      <c r="H1560" s="177"/>
      <c r="I1560" s="177"/>
      <c r="J1560" s="177"/>
      <c r="K1560" s="177"/>
      <c r="L1560" s="177"/>
      <c r="M1560" s="177"/>
      <c r="N1560" s="177"/>
      <c r="O1560" s="165"/>
      <c r="P1560" s="168"/>
    </row>
    <row r="1561" spans="16:16">
      <c r="A1561" s="161"/>
      <c r="B1561" s="13"/>
      <c r="C1561" s="13"/>
      <c r="D1561" s="162"/>
      <c r="E1561" s="163"/>
      <c r="F1561" s="177"/>
      <c r="G1561" s="177"/>
      <c r="H1561" s="177"/>
      <c r="I1561" s="177"/>
      <c r="J1561" s="177"/>
      <c r="K1561" s="177"/>
      <c r="L1561" s="177"/>
      <c r="M1561" s="177"/>
      <c r="N1561" s="177"/>
      <c r="O1561" s="165"/>
      <c r="P1561" s="168"/>
    </row>
    <row r="1562" spans="16:16">
      <c r="A1562" s="161"/>
      <c r="B1562" s="13"/>
      <c r="C1562" s="13"/>
      <c r="D1562" s="162"/>
      <c r="E1562" s="163"/>
      <c r="F1562" s="177"/>
      <c r="G1562" s="177"/>
      <c r="H1562" s="177"/>
      <c r="I1562" s="177"/>
      <c r="J1562" s="177"/>
      <c r="K1562" s="177"/>
      <c r="L1562" s="177"/>
      <c r="M1562" s="177"/>
      <c r="N1562" s="177"/>
      <c r="O1562" s="165"/>
      <c r="P1562" s="168"/>
    </row>
    <row r="1563" spans="16:16">
      <c r="A1563" s="161"/>
      <c r="B1563" s="13"/>
      <c r="C1563" s="13"/>
      <c r="D1563" s="162"/>
      <c r="E1563" s="163"/>
      <c r="F1563" s="177"/>
      <c r="G1563" s="177"/>
      <c r="H1563" s="177"/>
      <c r="I1563" s="177"/>
      <c r="J1563" s="177"/>
      <c r="K1563" s="177"/>
      <c r="L1563" s="177"/>
      <c r="M1563" s="177"/>
      <c r="N1563" s="177"/>
      <c r="O1563" s="165"/>
      <c r="P1563" s="168"/>
    </row>
    <row r="1564" spans="16:16">
      <c r="A1564" s="161"/>
      <c r="B1564" s="13"/>
      <c r="C1564" s="13"/>
      <c r="D1564" s="162"/>
      <c r="E1564" s="163"/>
      <c r="F1564" s="177"/>
      <c r="G1564" s="177"/>
      <c r="H1564" s="177"/>
      <c r="I1564" s="177"/>
      <c r="J1564" s="177"/>
      <c r="K1564" s="177"/>
      <c r="L1564" s="177"/>
      <c r="M1564" s="177"/>
      <c r="N1564" s="177"/>
      <c r="O1564" s="165"/>
      <c r="P1564" s="168"/>
    </row>
    <row r="1565" spans="16:16">
      <c r="A1565" s="161"/>
      <c r="B1565" s="13"/>
      <c r="C1565" s="13"/>
      <c r="D1565" s="162"/>
      <c r="E1565" s="163"/>
      <c r="F1565" s="177"/>
      <c r="G1565" s="177"/>
      <c r="H1565" s="177"/>
      <c r="I1565" s="177"/>
      <c r="J1565" s="177"/>
      <c r="K1565" s="177"/>
      <c r="L1565" s="177"/>
      <c r="M1565" s="177"/>
      <c r="N1565" s="177"/>
      <c r="O1565" s="165"/>
      <c r="P1565" s="168"/>
    </row>
    <row r="1566" spans="16:16">
      <c r="A1566" s="161"/>
      <c r="B1566" s="13"/>
      <c r="C1566" s="13"/>
      <c r="D1566" s="162"/>
      <c r="E1566" s="163"/>
      <c r="F1566" s="177"/>
      <c r="G1566" s="177"/>
      <c r="H1566" s="177"/>
      <c r="I1566" s="177"/>
      <c r="J1566" s="177"/>
      <c r="K1566" s="177"/>
      <c r="L1566" s="177"/>
      <c r="M1566" s="177"/>
      <c r="N1566" s="177"/>
      <c r="O1566" s="165"/>
      <c r="P1566" s="168"/>
    </row>
    <row r="1567" spans="16:16">
      <c r="A1567" s="161"/>
      <c r="B1567" s="13"/>
      <c r="C1567" s="13"/>
      <c r="D1567" s="162"/>
      <c r="E1567" s="163"/>
      <c r="F1567" s="177"/>
      <c r="G1567" s="177"/>
      <c r="H1567" s="177"/>
      <c r="I1567" s="177"/>
      <c r="J1567" s="177"/>
      <c r="K1567" s="177"/>
      <c r="L1567" s="177"/>
      <c r="M1567" s="177"/>
      <c r="N1567" s="177"/>
      <c r="O1567" s="165"/>
      <c r="P1567" s="168"/>
    </row>
    <row r="1568" spans="16:16">
      <c r="A1568" s="161"/>
      <c r="B1568" s="13"/>
      <c r="C1568" s="13"/>
      <c r="D1568" s="162"/>
      <c r="E1568" s="163"/>
      <c r="F1568" s="177"/>
      <c r="G1568" s="177"/>
      <c r="H1568" s="177"/>
      <c r="I1568" s="177"/>
      <c r="J1568" s="177"/>
      <c r="K1568" s="177"/>
      <c r="L1568" s="177"/>
      <c r="M1568" s="177"/>
      <c r="N1568" s="177"/>
      <c r="O1568" s="165"/>
      <c r="P1568" s="168"/>
    </row>
    <row r="1569" spans="16:16">
      <c r="A1569" s="161"/>
      <c r="B1569" s="13"/>
      <c r="C1569" s="13"/>
      <c r="D1569" s="162"/>
      <c r="E1569" s="163"/>
      <c r="F1569" s="177"/>
      <c r="G1569" s="177"/>
      <c r="H1569" s="177"/>
      <c r="I1569" s="177"/>
      <c r="J1569" s="177"/>
      <c r="K1569" s="177"/>
      <c r="L1569" s="177"/>
      <c r="M1569" s="177"/>
      <c r="N1569" s="177"/>
      <c r="O1569" s="165"/>
      <c r="P1569" s="168"/>
    </row>
    <row r="1570" spans="16:16">
      <c r="A1570" s="161"/>
      <c r="B1570" s="13"/>
      <c r="C1570" s="13"/>
      <c r="D1570" s="162"/>
      <c r="E1570" s="163"/>
      <c r="F1570" s="177"/>
      <c r="G1570" s="177"/>
      <c r="H1570" s="177"/>
      <c r="I1570" s="177"/>
      <c r="J1570" s="177"/>
      <c r="K1570" s="177"/>
      <c r="L1570" s="177"/>
      <c r="M1570" s="177"/>
      <c r="N1570" s="177"/>
      <c r="O1570" s="165"/>
      <c r="P1570" s="168"/>
    </row>
    <row r="1571" spans="16:16">
      <c r="A1571" s="161"/>
      <c r="B1571" s="13"/>
      <c r="C1571" s="13"/>
      <c r="D1571" s="162"/>
      <c r="E1571" s="163"/>
      <c r="F1571" s="177"/>
      <c r="G1571" s="177"/>
      <c r="H1571" s="177"/>
      <c r="I1571" s="177"/>
      <c r="J1571" s="177"/>
      <c r="K1571" s="177"/>
      <c r="L1571" s="177"/>
      <c r="M1571" s="177"/>
      <c r="N1571" s="177"/>
      <c r="O1571" s="165"/>
      <c r="P1571" s="168"/>
    </row>
    <row r="1572" spans="16:16">
      <c r="A1572" s="161"/>
      <c r="B1572" s="13"/>
      <c r="C1572" s="13"/>
      <c r="D1572" s="162"/>
      <c r="E1572" s="163"/>
      <c r="F1572" s="177"/>
      <c r="G1572" s="177"/>
      <c r="H1572" s="177"/>
      <c r="I1572" s="177"/>
      <c r="J1572" s="177"/>
      <c r="K1572" s="177"/>
      <c r="L1572" s="177"/>
      <c r="M1572" s="177"/>
      <c r="N1572" s="177"/>
      <c r="O1572" s="165"/>
      <c r="P1572" s="168"/>
    </row>
    <row r="1573" spans="16:16">
      <c r="A1573" s="161"/>
      <c r="B1573" s="13"/>
      <c r="C1573" s="13"/>
      <c r="D1573" s="162"/>
      <c r="E1573" s="163"/>
      <c r="F1573" s="177"/>
      <c r="G1573" s="177"/>
      <c r="H1573" s="177"/>
      <c r="I1573" s="177"/>
      <c r="J1573" s="177"/>
      <c r="K1573" s="177"/>
      <c r="L1573" s="177"/>
      <c r="M1573" s="177"/>
      <c r="N1573" s="177"/>
      <c r="O1573" s="165"/>
      <c r="P1573" s="168"/>
    </row>
    <row r="1574" spans="16:16">
      <c r="A1574" s="161"/>
      <c r="B1574" s="13"/>
      <c r="C1574" s="13"/>
      <c r="D1574" s="162"/>
      <c r="E1574" s="163"/>
      <c r="F1574" s="177"/>
      <c r="G1574" s="177"/>
      <c r="H1574" s="177"/>
      <c r="I1574" s="177"/>
      <c r="J1574" s="177"/>
      <c r="K1574" s="177"/>
      <c r="L1574" s="177"/>
      <c r="M1574" s="177"/>
      <c r="N1574" s="177"/>
      <c r="O1574" s="165"/>
      <c r="P1574" s="168"/>
    </row>
    <row r="1575" spans="16:16">
      <c r="A1575" s="161"/>
      <c r="B1575" s="13"/>
      <c r="C1575" s="13"/>
      <c r="D1575" s="162"/>
      <c r="E1575" s="163"/>
      <c r="F1575" s="177"/>
      <c r="G1575" s="177"/>
      <c r="H1575" s="177"/>
      <c r="I1575" s="177"/>
      <c r="J1575" s="177"/>
      <c r="K1575" s="177"/>
      <c r="L1575" s="177"/>
      <c r="M1575" s="177"/>
      <c r="N1575" s="177"/>
      <c r="O1575" s="165"/>
      <c r="P1575" s="168"/>
    </row>
    <row r="1576" spans="16:16">
      <c r="A1576" s="161"/>
      <c r="B1576" s="13"/>
      <c r="C1576" s="13"/>
      <c r="D1576" s="162"/>
      <c r="E1576" s="163"/>
      <c r="F1576" s="177"/>
      <c r="G1576" s="177"/>
      <c r="H1576" s="177"/>
      <c r="I1576" s="177"/>
      <c r="J1576" s="177"/>
      <c r="K1576" s="177"/>
      <c r="L1576" s="177"/>
      <c r="M1576" s="177"/>
      <c r="N1576" s="177"/>
      <c r="O1576" s="165"/>
      <c r="P1576" s="168"/>
    </row>
    <row r="1577" spans="16:16">
      <c r="A1577" s="161"/>
      <c r="B1577" s="13"/>
      <c r="C1577" s="13"/>
      <c r="D1577" s="162"/>
      <c r="E1577" s="163"/>
      <c r="F1577" s="177"/>
      <c r="G1577" s="177"/>
      <c r="H1577" s="177"/>
      <c r="I1577" s="177"/>
      <c r="J1577" s="177"/>
      <c r="K1577" s="177"/>
      <c r="L1577" s="177"/>
      <c r="M1577" s="177"/>
      <c r="N1577" s="177"/>
      <c r="O1577" s="165"/>
      <c r="P1577" s="168"/>
    </row>
    <row r="1578" spans="16:16">
      <c r="A1578" s="161"/>
      <c r="B1578" s="13"/>
      <c r="C1578" s="13"/>
      <c r="D1578" s="162"/>
      <c r="E1578" s="163"/>
      <c r="F1578" s="177"/>
      <c r="G1578" s="177"/>
      <c r="H1578" s="177"/>
      <c r="I1578" s="177"/>
      <c r="J1578" s="177"/>
      <c r="K1578" s="177"/>
      <c r="L1578" s="177"/>
      <c r="M1578" s="177"/>
      <c r="N1578" s="177"/>
      <c r="O1578" s="165"/>
      <c r="P1578" s="168"/>
    </row>
    <row r="1579" spans="16:16">
      <c r="A1579" s="161"/>
      <c r="B1579" s="13"/>
      <c r="C1579" s="13"/>
      <c r="D1579" s="162"/>
      <c r="E1579" s="163"/>
      <c r="F1579" s="177"/>
      <c r="G1579" s="177"/>
      <c r="H1579" s="177"/>
      <c r="I1579" s="177"/>
      <c r="J1579" s="177"/>
      <c r="K1579" s="177"/>
      <c r="L1579" s="177"/>
      <c r="M1579" s="177"/>
      <c r="N1579" s="177"/>
      <c r="O1579" s="165"/>
      <c r="P1579" s="168"/>
    </row>
    <row r="1580" spans="16:16">
      <c r="A1580" s="161"/>
      <c r="B1580" s="13"/>
      <c r="C1580" s="13"/>
      <c r="D1580" s="162"/>
      <c r="E1580" s="163"/>
      <c r="F1580" s="177"/>
      <c r="G1580" s="177"/>
      <c r="H1580" s="177"/>
      <c r="I1580" s="177"/>
      <c r="J1580" s="177"/>
      <c r="K1580" s="177"/>
      <c r="L1580" s="177"/>
      <c r="M1580" s="177"/>
      <c r="N1580" s="177"/>
      <c r="O1580" s="165"/>
      <c r="P1580" s="168"/>
    </row>
    <row r="1581" spans="16:16">
      <c r="A1581" s="161"/>
      <c r="B1581" s="13"/>
      <c r="C1581" s="13"/>
      <c r="D1581" s="162"/>
      <c r="E1581" s="163"/>
      <c r="F1581" s="177"/>
      <c r="G1581" s="177"/>
      <c r="H1581" s="177"/>
      <c r="I1581" s="177"/>
      <c r="J1581" s="177"/>
      <c r="K1581" s="177"/>
      <c r="L1581" s="177"/>
      <c r="M1581" s="177"/>
      <c r="N1581" s="177"/>
      <c r="O1581" s="165"/>
      <c r="P1581" s="168"/>
    </row>
    <row r="1582" spans="16:16">
      <c r="A1582" s="161"/>
      <c r="B1582" s="13"/>
      <c r="C1582" s="13"/>
      <c r="D1582" s="162"/>
      <c r="E1582" s="163"/>
      <c r="F1582" s="177"/>
      <c r="G1582" s="177"/>
      <c r="H1582" s="177"/>
      <c r="I1582" s="177"/>
      <c r="J1582" s="177"/>
      <c r="K1582" s="177"/>
      <c r="L1582" s="177"/>
      <c r="M1582" s="177"/>
      <c r="N1582" s="177"/>
      <c r="O1582" s="165"/>
      <c r="P1582" s="168"/>
    </row>
    <row r="1583" spans="16:16">
      <c r="A1583" s="161"/>
      <c r="B1583" s="13"/>
      <c r="C1583" s="13"/>
      <c r="D1583" s="162"/>
      <c r="E1583" s="163"/>
      <c r="F1583" s="177"/>
      <c r="G1583" s="177"/>
      <c r="H1583" s="177"/>
      <c r="I1583" s="177"/>
      <c r="J1583" s="177"/>
      <c r="K1583" s="177"/>
      <c r="L1583" s="177"/>
      <c r="M1583" s="177"/>
      <c r="N1583" s="177"/>
      <c r="O1583" s="165"/>
      <c r="P1583" s="168"/>
    </row>
    <row r="1584" spans="16:16">
      <c r="A1584" s="161"/>
      <c r="B1584" s="13"/>
      <c r="C1584" s="13"/>
      <c r="D1584" s="162"/>
      <c r="E1584" s="163"/>
      <c r="F1584" s="177"/>
      <c r="G1584" s="177"/>
      <c r="H1584" s="177"/>
      <c r="I1584" s="177"/>
      <c r="J1584" s="177"/>
      <c r="K1584" s="177"/>
      <c r="L1584" s="177"/>
      <c r="M1584" s="177"/>
      <c r="N1584" s="177"/>
      <c r="O1584" s="165"/>
      <c r="P1584" s="168"/>
    </row>
    <row r="1585" spans="16:16">
      <c r="A1585" s="161"/>
      <c r="B1585" s="13"/>
      <c r="C1585" s="13"/>
      <c r="D1585" s="162"/>
      <c r="E1585" s="163"/>
      <c r="F1585" s="177"/>
      <c r="G1585" s="177"/>
      <c r="H1585" s="177"/>
      <c r="I1585" s="177"/>
      <c r="J1585" s="177"/>
      <c r="K1585" s="177"/>
      <c r="L1585" s="177"/>
      <c r="M1585" s="177"/>
      <c r="N1585" s="177"/>
      <c r="O1585" s="165"/>
      <c r="P1585" s="168"/>
    </row>
    <row r="1586" spans="16:16">
      <c r="A1586" s="161"/>
      <c r="B1586" s="13"/>
      <c r="C1586" s="13"/>
      <c r="D1586" s="162"/>
      <c r="E1586" s="163"/>
      <c r="F1586" s="177"/>
      <c r="G1586" s="177"/>
      <c r="H1586" s="177"/>
      <c r="I1586" s="177"/>
      <c r="J1586" s="177"/>
      <c r="K1586" s="177"/>
      <c r="L1586" s="177"/>
      <c r="M1586" s="177"/>
      <c r="N1586" s="177"/>
      <c r="O1586" s="165"/>
      <c r="P1586" s="168"/>
    </row>
    <row r="1587" spans="16:16">
      <c r="A1587" s="161"/>
      <c r="B1587" s="13"/>
      <c r="C1587" s="13"/>
      <c r="D1587" s="162"/>
      <c r="E1587" s="163"/>
      <c r="F1587" s="177"/>
      <c r="G1587" s="177"/>
      <c r="H1587" s="177"/>
      <c r="I1587" s="177"/>
      <c r="J1587" s="177"/>
      <c r="K1587" s="177"/>
      <c r="L1587" s="177"/>
      <c r="M1587" s="177"/>
      <c r="N1587" s="177"/>
      <c r="O1587" s="165"/>
      <c r="P1587" s="168"/>
    </row>
    <row r="1588" spans="16:16">
      <c r="A1588" s="161"/>
      <c r="B1588" s="13"/>
      <c r="C1588" s="13"/>
      <c r="D1588" s="162"/>
      <c r="E1588" s="163"/>
      <c r="F1588" s="177"/>
      <c r="G1588" s="177"/>
      <c r="H1588" s="177"/>
      <c r="I1588" s="177"/>
      <c r="J1588" s="177"/>
      <c r="K1588" s="177"/>
      <c r="L1588" s="177"/>
      <c r="M1588" s="177"/>
      <c r="N1588" s="177"/>
      <c r="O1588" s="165"/>
      <c r="P1588" s="168"/>
    </row>
    <row r="1589" spans="16:16">
      <c r="A1589" s="161"/>
      <c r="B1589" s="13"/>
      <c r="C1589" s="13"/>
      <c r="D1589" s="162"/>
      <c r="E1589" s="163"/>
      <c r="F1589" s="177"/>
      <c r="G1589" s="177"/>
      <c r="H1589" s="177"/>
      <c r="I1589" s="177"/>
      <c r="J1589" s="177"/>
      <c r="K1589" s="177"/>
      <c r="L1589" s="177"/>
      <c r="M1589" s="177"/>
      <c r="N1589" s="177"/>
      <c r="O1589" s="165"/>
      <c r="P1589" s="168"/>
    </row>
    <row r="1590" spans="16:16">
      <c r="A1590" s="161"/>
      <c r="B1590" s="13"/>
      <c r="C1590" s="13"/>
      <c r="D1590" s="162"/>
      <c r="E1590" s="163"/>
      <c r="F1590" s="177"/>
      <c r="G1590" s="177"/>
      <c r="H1590" s="177"/>
      <c r="I1590" s="177"/>
      <c r="J1590" s="177"/>
      <c r="K1590" s="177"/>
      <c r="L1590" s="177"/>
      <c r="M1590" s="177"/>
      <c r="N1590" s="177"/>
      <c r="O1590" s="165"/>
      <c r="P1590" s="168"/>
    </row>
    <row r="1591" spans="16:16">
      <c r="A1591" s="161"/>
      <c r="B1591" s="13"/>
      <c r="C1591" s="13"/>
      <c r="D1591" s="162"/>
      <c r="E1591" s="163"/>
      <c r="F1591" s="177"/>
      <c r="G1591" s="177"/>
      <c r="H1591" s="177"/>
      <c r="I1591" s="177"/>
      <c r="J1591" s="177"/>
      <c r="K1591" s="177"/>
      <c r="L1591" s="177"/>
      <c r="M1591" s="177"/>
      <c r="N1591" s="177"/>
      <c r="O1591" s="165"/>
      <c r="P1591" s="168"/>
    </row>
    <row r="1592" spans="16:16">
      <c r="A1592" s="161"/>
      <c r="B1592" s="13"/>
      <c r="C1592" s="13"/>
      <c r="D1592" s="162"/>
      <c r="E1592" s="163"/>
      <c r="F1592" s="177"/>
      <c r="G1592" s="177"/>
      <c r="H1592" s="177"/>
      <c r="I1592" s="177"/>
      <c r="J1592" s="177"/>
      <c r="K1592" s="177"/>
      <c r="L1592" s="177"/>
      <c r="M1592" s="177"/>
      <c r="N1592" s="177"/>
      <c r="O1592" s="165"/>
      <c r="P1592" s="168"/>
    </row>
    <row r="1593" spans="16:16">
      <c r="A1593" s="161"/>
      <c r="B1593" s="13"/>
      <c r="C1593" s="13"/>
      <c r="D1593" s="162"/>
      <c r="E1593" s="163"/>
      <c r="F1593" s="177"/>
      <c r="G1593" s="177"/>
      <c r="H1593" s="177"/>
      <c r="I1593" s="177"/>
      <c r="J1593" s="177"/>
      <c r="K1593" s="177"/>
      <c r="L1593" s="177"/>
      <c r="M1593" s="177"/>
      <c r="N1593" s="177"/>
      <c r="O1593" s="165"/>
      <c r="P1593" s="168"/>
    </row>
    <row r="1594" spans="16:16">
      <c r="A1594" s="161"/>
      <c r="B1594" s="13"/>
      <c r="C1594" s="13"/>
      <c r="D1594" s="162"/>
      <c r="E1594" s="163"/>
      <c r="F1594" s="177"/>
      <c r="G1594" s="177"/>
      <c r="H1594" s="177"/>
      <c r="I1594" s="177"/>
      <c r="J1594" s="177"/>
      <c r="K1594" s="177"/>
      <c r="L1594" s="177"/>
      <c r="M1594" s="177"/>
      <c r="N1594" s="177"/>
      <c r="O1594" s="165"/>
      <c r="P1594" s="168"/>
    </row>
    <row r="1595" spans="16:16">
      <c r="A1595" s="161"/>
      <c r="B1595" s="13"/>
      <c r="C1595" s="13"/>
      <c r="D1595" s="162"/>
      <c r="E1595" s="163"/>
      <c r="F1595" s="177"/>
      <c r="G1595" s="177"/>
      <c r="H1595" s="177"/>
      <c r="I1595" s="177"/>
      <c r="J1595" s="177"/>
      <c r="K1595" s="177"/>
      <c r="L1595" s="177"/>
      <c r="M1595" s="177"/>
      <c r="N1595" s="177"/>
      <c r="O1595" s="165"/>
      <c r="P1595" s="168"/>
    </row>
    <row r="1596" spans="16:16">
      <c r="A1596" s="161"/>
      <c r="B1596" s="13"/>
      <c r="C1596" s="13"/>
      <c r="D1596" s="162"/>
      <c r="E1596" s="163"/>
      <c r="F1596" s="177"/>
      <c r="G1596" s="177"/>
      <c r="H1596" s="177"/>
      <c r="I1596" s="177"/>
      <c r="J1596" s="177"/>
      <c r="K1596" s="177"/>
      <c r="L1596" s="177"/>
      <c r="M1596" s="177"/>
      <c r="N1596" s="177"/>
      <c r="O1596" s="165"/>
      <c r="P1596" s="168"/>
    </row>
    <row r="1597" spans="16:16">
      <c r="A1597" s="161"/>
      <c r="B1597" s="13"/>
      <c r="C1597" s="13"/>
      <c r="D1597" s="162"/>
      <c r="E1597" s="163"/>
      <c r="F1597" s="177"/>
      <c r="G1597" s="177"/>
      <c r="H1597" s="177"/>
      <c r="I1597" s="177"/>
      <c r="J1597" s="177"/>
      <c r="K1597" s="177"/>
      <c r="L1597" s="177"/>
      <c r="M1597" s="177"/>
      <c r="N1597" s="177"/>
      <c r="O1597" s="165"/>
      <c r="P1597" s="168"/>
    </row>
    <row r="1598" spans="16:16">
      <c r="A1598" s="161"/>
      <c r="B1598" s="13"/>
      <c r="C1598" s="13"/>
      <c r="D1598" s="162"/>
      <c r="E1598" s="163"/>
      <c r="F1598" s="177"/>
      <c r="G1598" s="177"/>
      <c r="H1598" s="177"/>
      <c r="I1598" s="177"/>
      <c r="J1598" s="177"/>
      <c r="K1598" s="177"/>
      <c r="L1598" s="177"/>
      <c r="M1598" s="177"/>
      <c r="N1598" s="177"/>
      <c r="O1598" s="165"/>
      <c r="P1598" s="168"/>
    </row>
    <row r="1599" spans="16:16">
      <c r="A1599" s="161"/>
      <c r="B1599" s="13"/>
      <c r="C1599" s="13"/>
      <c r="D1599" s="162"/>
      <c r="E1599" s="163"/>
      <c r="F1599" s="177"/>
      <c r="G1599" s="177"/>
      <c r="H1599" s="177"/>
      <c r="I1599" s="177"/>
      <c r="J1599" s="177"/>
      <c r="K1599" s="177"/>
      <c r="L1599" s="177"/>
      <c r="M1599" s="177"/>
      <c r="N1599" s="177"/>
      <c r="O1599" s="165"/>
      <c r="P1599" s="168"/>
    </row>
    <row r="1600" spans="16:16">
      <c r="A1600" s="161"/>
      <c r="B1600" s="13"/>
      <c r="C1600" s="13"/>
      <c r="D1600" s="162"/>
      <c r="E1600" s="163"/>
      <c r="F1600" s="177"/>
      <c r="G1600" s="177"/>
      <c r="H1600" s="177"/>
      <c r="I1600" s="177"/>
      <c r="J1600" s="177"/>
      <c r="K1600" s="177"/>
      <c r="L1600" s="177"/>
      <c r="M1600" s="177"/>
      <c r="N1600" s="177"/>
      <c r="O1600" s="165"/>
      <c r="P1600" s="168"/>
    </row>
    <row r="1601" spans="16:16">
      <c r="A1601" s="161"/>
      <c r="B1601" s="13"/>
      <c r="C1601" s="13"/>
      <c r="D1601" s="162"/>
      <c r="E1601" s="163"/>
      <c r="F1601" s="177"/>
      <c r="G1601" s="177"/>
      <c r="H1601" s="177"/>
      <c r="I1601" s="177"/>
      <c r="J1601" s="177"/>
      <c r="K1601" s="177"/>
      <c r="L1601" s="177"/>
      <c r="M1601" s="177"/>
      <c r="N1601" s="177"/>
      <c r="O1601" s="165"/>
      <c r="P1601" s="168"/>
    </row>
    <row r="1602" spans="16:16">
      <c r="A1602" s="161"/>
      <c r="B1602" s="13"/>
      <c r="C1602" s="13"/>
      <c r="D1602" s="162"/>
      <c r="E1602" s="163"/>
      <c r="F1602" s="177"/>
      <c r="G1602" s="177"/>
      <c r="H1602" s="177"/>
      <c r="I1602" s="177"/>
      <c r="J1602" s="177"/>
      <c r="K1602" s="177"/>
      <c r="L1602" s="177"/>
      <c r="M1602" s="177"/>
      <c r="N1602" s="177"/>
      <c r="O1602" s="165"/>
      <c r="P1602" s="168"/>
    </row>
    <row r="1603" spans="16:16">
      <c r="A1603" s="161"/>
      <c r="B1603" s="13"/>
      <c r="C1603" s="13"/>
      <c r="D1603" s="162"/>
      <c r="E1603" s="163"/>
      <c r="F1603" s="177"/>
      <c r="G1603" s="177"/>
      <c r="H1603" s="177"/>
      <c r="I1603" s="177"/>
      <c r="J1603" s="177"/>
      <c r="K1603" s="177"/>
      <c r="L1603" s="177"/>
      <c r="M1603" s="177"/>
      <c r="N1603" s="177"/>
      <c r="O1603" s="165"/>
      <c r="P1603" s="168"/>
    </row>
    <row r="1604" spans="16:16">
      <c r="A1604" s="161"/>
      <c r="B1604" s="13"/>
      <c r="C1604" s="13"/>
      <c r="D1604" s="162"/>
      <c r="E1604" s="163"/>
      <c r="F1604" s="177"/>
      <c r="G1604" s="177"/>
      <c r="H1604" s="177"/>
      <c r="I1604" s="177"/>
      <c r="J1604" s="177"/>
      <c r="K1604" s="177"/>
      <c r="L1604" s="177"/>
      <c r="M1604" s="177"/>
      <c r="N1604" s="177"/>
      <c r="O1604" s="165"/>
      <c r="P1604" s="168"/>
    </row>
    <row r="1605" spans="16:16">
      <c r="A1605" s="161"/>
      <c r="B1605" s="13"/>
      <c r="C1605" s="13"/>
      <c r="D1605" s="162"/>
      <c r="E1605" s="163"/>
      <c r="F1605" s="177"/>
      <c r="G1605" s="177"/>
      <c r="H1605" s="177"/>
      <c r="I1605" s="177"/>
      <c r="J1605" s="177"/>
      <c r="K1605" s="177"/>
      <c r="L1605" s="177"/>
      <c r="M1605" s="177"/>
      <c r="N1605" s="177"/>
      <c r="O1605" s="165"/>
      <c r="P1605" s="168"/>
    </row>
    <row r="1606" spans="16:16">
      <c r="A1606" s="161"/>
      <c r="B1606" s="13"/>
      <c r="C1606" s="13"/>
      <c r="D1606" s="162"/>
      <c r="E1606" s="163"/>
      <c r="F1606" s="177"/>
      <c r="G1606" s="177"/>
      <c r="H1606" s="177"/>
      <c r="I1606" s="177"/>
      <c r="J1606" s="177"/>
      <c r="K1606" s="177"/>
      <c r="L1606" s="177"/>
      <c r="M1606" s="177"/>
      <c r="N1606" s="177"/>
      <c r="O1606" s="165"/>
      <c r="P1606" s="168"/>
    </row>
    <row r="1607" spans="16:16">
      <c r="A1607" s="161"/>
      <c r="B1607" s="13"/>
      <c r="C1607" s="13"/>
      <c r="D1607" s="162"/>
      <c r="E1607" s="163"/>
      <c r="F1607" s="177"/>
      <c r="G1607" s="177"/>
      <c r="H1607" s="177"/>
      <c r="I1607" s="177"/>
      <c r="J1607" s="177"/>
      <c r="K1607" s="177"/>
      <c r="L1607" s="177"/>
      <c r="M1607" s="177"/>
      <c r="N1607" s="177"/>
      <c r="O1607" s="165"/>
      <c r="P1607" s="168"/>
    </row>
    <row r="1608" spans="16:16">
      <c r="A1608" s="161"/>
      <c r="B1608" s="13"/>
      <c r="C1608" s="13"/>
      <c r="D1608" s="162"/>
      <c r="E1608" s="163"/>
      <c r="F1608" s="177"/>
      <c r="G1608" s="177"/>
      <c r="H1608" s="177"/>
      <c r="I1608" s="177"/>
      <c r="J1608" s="177"/>
      <c r="K1608" s="177"/>
      <c r="L1608" s="177"/>
      <c r="M1608" s="177"/>
      <c r="N1608" s="177"/>
      <c r="O1608" s="165"/>
      <c r="P1608" s="168"/>
    </row>
    <row r="1609" spans="16:16">
      <c r="A1609" s="161"/>
      <c r="B1609" s="13"/>
      <c r="C1609" s="13"/>
      <c r="D1609" s="162"/>
      <c r="E1609" s="163"/>
      <c r="F1609" s="177"/>
      <c r="G1609" s="177"/>
      <c r="H1609" s="177"/>
      <c r="I1609" s="177"/>
      <c r="J1609" s="177"/>
      <c r="K1609" s="177"/>
      <c r="L1609" s="177"/>
      <c r="M1609" s="177"/>
      <c r="N1609" s="177"/>
      <c r="O1609" s="165"/>
      <c r="P1609" s="168"/>
    </row>
    <row r="1610" spans="16:16">
      <c r="A1610" s="161"/>
      <c r="B1610" s="13"/>
      <c r="C1610" s="13"/>
      <c r="D1610" s="162"/>
      <c r="E1610" s="163"/>
      <c r="F1610" s="177"/>
      <c r="G1610" s="177"/>
      <c r="H1610" s="177"/>
      <c r="I1610" s="177"/>
      <c r="J1610" s="177"/>
      <c r="K1610" s="177"/>
      <c r="L1610" s="177"/>
      <c r="M1610" s="177"/>
      <c r="N1610" s="177"/>
      <c r="O1610" s="165"/>
      <c r="P1610" s="168"/>
    </row>
    <row r="1611" s="176" customFormat="1" spans="1:16">
      <c r="A1611" s="169"/>
      <c r="B1611" s="13"/>
      <c r="C1611" s="13"/>
      <c r="D1611" s="162"/>
      <c r="E1611" s="163"/>
      <c r="F1611" s="177"/>
      <c r="G1611" s="177"/>
      <c r="H1611" s="177"/>
      <c r="I1611" s="177"/>
      <c r="J1611" s="177"/>
      <c r="K1611" s="177"/>
      <c r="L1611" s="177"/>
      <c r="M1611" s="177"/>
      <c r="N1611" s="177"/>
      <c r="O1611" s="165"/>
      <c r="P1611" s="168"/>
    </row>
    <row r="1612" s="176" customFormat="1" spans="1:16">
      <c r="A1612" s="169"/>
      <c r="B1612" s="13"/>
      <c r="C1612" s="13"/>
      <c r="D1612" s="162"/>
      <c r="E1612" s="163"/>
      <c r="F1612" s="177"/>
      <c r="G1612" s="177"/>
      <c r="H1612" s="177"/>
      <c r="I1612" s="177"/>
      <c r="J1612" s="177"/>
      <c r="K1612" s="177"/>
      <c r="L1612" s="177"/>
      <c r="M1612" s="177"/>
      <c r="N1612" s="177"/>
      <c r="O1612" s="165"/>
      <c r="P1612" s="168"/>
    </row>
    <row r="1613" s="176" customFormat="1" spans="1:16">
      <c r="A1613" s="169"/>
      <c r="B1613" s="13"/>
      <c r="C1613" s="13"/>
      <c r="D1613" s="162"/>
      <c r="E1613" s="163"/>
      <c r="F1613" s="177"/>
      <c r="G1613" s="177"/>
      <c r="H1613" s="177"/>
      <c r="I1613" s="177"/>
      <c r="J1613" s="177"/>
      <c r="K1613" s="177"/>
      <c r="L1613" s="177"/>
      <c r="M1613" s="177"/>
      <c r="N1613" s="177"/>
      <c r="O1613" s="165"/>
      <c r="P1613" s="168"/>
    </row>
    <row r="1614" spans="16:16">
      <c r="A1614" s="161"/>
      <c r="B1614" s="13"/>
      <c r="C1614" s="13"/>
      <c r="D1614" s="162"/>
      <c r="E1614" s="163"/>
      <c r="F1614" s="177"/>
      <c r="G1614" s="177"/>
      <c r="H1614" s="177"/>
      <c r="I1614" s="177"/>
      <c r="J1614" s="177"/>
      <c r="K1614" s="177"/>
      <c r="L1614" s="177"/>
      <c r="M1614" s="177"/>
      <c r="N1614" s="177"/>
      <c r="O1614" s="165"/>
      <c r="P1614" s="168"/>
    </row>
    <row r="1615">
      <c r="A1615" s="161"/>
      <c r="B1615" s="13"/>
      <c r="C1615" s="13"/>
      <c r="D1615" s="162"/>
      <c r="E1615" s="163"/>
      <c r="F1615" s="177"/>
      <c r="G1615" s="177"/>
      <c r="H1615" s="177"/>
      <c r="I1615" s="177"/>
      <c r="J1615" s="177"/>
      <c r="K1615" s="177"/>
      <c r="L1615" s="177"/>
      <c r="M1615" s="177"/>
      <c r="N1615" s="177"/>
      <c r="O1615" s="165"/>
      <c r="P1615" s="165"/>
    </row>
    <row r="1616">
      <c r="A1616" s="161"/>
      <c r="B1616" s="13"/>
      <c r="C1616" s="13"/>
      <c r="D1616" s="162"/>
      <c r="E1616" s="163"/>
      <c r="F1616" s="177"/>
      <c r="G1616" s="177"/>
      <c r="H1616" s="177"/>
      <c r="I1616" s="177"/>
      <c r="J1616" s="177"/>
      <c r="K1616" s="177"/>
      <c r="L1616" s="177"/>
      <c r="M1616" s="177"/>
      <c r="N1616" s="177"/>
      <c r="O1616" s="165"/>
      <c r="P1616" s="165"/>
    </row>
    <row r="1617">
      <c r="A1617" s="161"/>
      <c r="B1617" s="13"/>
      <c r="C1617" s="13"/>
      <c r="D1617" s="162"/>
      <c r="E1617" s="163"/>
      <c r="F1617" s="177"/>
      <c r="G1617" s="177"/>
      <c r="H1617" s="177"/>
      <c r="I1617" s="177"/>
      <c r="J1617" s="177"/>
      <c r="K1617" s="177"/>
      <c r="L1617" s="177"/>
      <c r="M1617" s="177"/>
      <c r="N1617" s="177"/>
      <c r="O1617" s="165"/>
      <c r="P1617" s="165"/>
    </row>
    <row r="1618" spans="4:5">
      <c r="A1618" s="161"/>
      <c r="B1618" s="13"/>
      <c r="C1618" s="13"/>
      <c r="D1618" s="170"/>
      <c r="E1618" s="171"/>
      <c r="F1618" s="177"/>
      <c r="G1618" s="177"/>
      <c r="H1618" s="177"/>
      <c r="I1618" s="177"/>
      <c r="J1618" s="177"/>
      <c r="K1618" s="177"/>
      <c r="L1618" s="177"/>
      <c r="M1618" s="177"/>
      <c r="N1618" s="177"/>
      <c r="O1618" s="165"/>
      <c r="P1618" s="165"/>
    </row>
    <row r="1619" spans="4:5">
      <c r="A1619" s="161"/>
      <c r="B1619" s="13"/>
      <c r="C1619" s="13"/>
      <c r="D1619" s="170"/>
      <c r="E1619" s="171"/>
      <c r="F1619" s="177"/>
      <c r="G1619" s="177"/>
      <c r="H1619" s="177"/>
      <c r="I1619" s="177"/>
      <c r="J1619" s="177"/>
      <c r="K1619" s="177"/>
      <c r="L1619" s="177"/>
      <c r="M1619" s="177"/>
      <c r="N1619" s="177"/>
      <c r="O1619" s="165"/>
      <c r="P1619" s="165"/>
    </row>
    <row r="1620" spans="4:5">
      <c r="A1620" s="161"/>
      <c r="B1620" s="13"/>
      <c r="C1620" s="13"/>
      <c r="D1620" s="170"/>
      <c r="E1620" s="171"/>
      <c r="F1620" s="177"/>
      <c r="G1620" s="177"/>
      <c r="H1620" s="177"/>
      <c r="I1620" s="177"/>
      <c r="J1620" s="177"/>
      <c r="K1620" s="177"/>
      <c r="L1620" s="177"/>
      <c r="M1620" s="177"/>
      <c r="N1620" s="177"/>
      <c r="O1620" s="165"/>
      <c r="P1620" s="165"/>
    </row>
    <row r="1621">
      <c r="A1621" s="161"/>
      <c r="B1621" s="13"/>
      <c r="C1621" s="13"/>
      <c r="D1621" s="162"/>
      <c r="E1621" s="163"/>
      <c r="F1621" s="177"/>
      <c r="G1621" s="177"/>
      <c r="H1621" s="177"/>
      <c r="I1621" s="177"/>
      <c r="J1621" s="177"/>
      <c r="K1621" s="177"/>
      <c r="L1621" s="177"/>
      <c r="M1621" s="177"/>
      <c r="N1621" s="177"/>
      <c r="O1621" s="165"/>
      <c r="P1621" s="165"/>
    </row>
    <row r="1622">
      <c r="A1622" s="161"/>
      <c r="B1622" s="13"/>
      <c r="C1622" s="13"/>
      <c r="D1622" s="162"/>
      <c r="E1622" s="163"/>
      <c r="F1622" s="177"/>
      <c r="G1622" s="177"/>
      <c r="H1622" s="177"/>
      <c r="I1622" s="177"/>
      <c r="J1622" s="177"/>
      <c r="K1622" s="177"/>
      <c r="L1622" s="177"/>
      <c r="M1622" s="177"/>
      <c r="N1622" s="177"/>
      <c r="O1622" s="165"/>
      <c r="P1622" s="165"/>
    </row>
    <row r="1623">
      <c r="A1623" s="161"/>
      <c r="B1623" s="13"/>
      <c r="C1623" s="13"/>
      <c r="D1623" s="162"/>
      <c r="E1623" s="163"/>
      <c r="F1623" s="177"/>
      <c r="G1623" s="177"/>
      <c r="H1623" s="177"/>
      <c r="I1623" s="177"/>
      <c r="J1623" s="177"/>
      <c r="K1623" s="177"/>
      <c r="L1623" s="177"/>
      <c r="M1623" s="177"/>
      <c r="N1623" s="177"/>
      <c r="O1623" s="165"/>
      <c r="P1623" s="165"/>
    </row>
    <row r="1624">
      <c r="A1624" s="161"/>
      <c r="B1624" s="13"/>
      <c r="C1624" s="13"/>
      <c r="D1624" s="162"/>
      <c r="E1624" s="163"/>
      <c r="F1624" s="177"/>
      <c r="G1624" s="177"/>
      <c r="H1624" s="177"/>
      <c r="I1624" s="177"/>
      <c r="J1624" s="177"/>
      <c r="K1624" s="177"/>
      <c r="L1624" s="177"/>
      <c r="M1624" s="177"/>
      <c r="N1624" s="177"/>
      <c r="O1624" s="165"/>
      <c r="P1624" s="165"/>
    </row>
    <row r="1625">
      <c r="A1625" s="161"/>
      <c r="B1625" s="13"/>
      <c r="C1625" s="13"/>
      <c r="D1625" s="162"/>
      <c r="E1625" s="163"/>
      <c r="F1625" s="177"/>
      <c r="G1625" s="177"/>
      <c r="H1625" s="177"/>
      <c r="I1625" s="177"/>
      <c r="J1625" s="177"/>
      <c r="K1625" s="177"/>
      <c r="L1625" s="177"/>
      <c r="M1625" s="177"/>
      <c r="N1625" s="177"/>
      <c r="O1625" s="165"/>
      <c r="P1625" s="165"/>
    </row>
    <row r="1626">
      <c r="A1626" s="161"/>
      <c r="B1626" s="13"/>
      <c r="C1626" s="13"/>
      <c r="D1626" s="162"/>
      <c r="E1626" s="163"/>
      <c r="F1626" s="177"/>
      <c r="G1626" s="177"/>
      <c r="H1626" s="177"/>
      <c r="I1626" s="177"/>
      <c r="J1626" s="177"/>
      <c r="K1626" s="177"/>
      <c r="L1626" s="177"/>
      <c r="M1626" s="177"/>
      <c r="N1626" s="177"/>
      <c r="O1626" s="165"/>
      <c r="P1626" s="165"/>
    </row>
    <row r="1627">
      <c r="A1627" s="161"/>
      <c r="B1627" s="13"/>
      <c r="C1627" s="13"/>
      <c r="D1627" s="162"/>
      <c r="E1627" s="163"/>
      <c r="F1627" s="177"/>
      <c r="G1627" s="177"/>
      <c r="H1627" s="177"/>
      <c r="I1627" s="177"/>
      <c r="J1627" s="177"/>
      <c r="K1627" s="177"/>
      <c r="L1627" s="177"/>
      <c r="M1627" s="177"/>
      <c r="N1627" s="177"/>
      <c r="O1627" s="165"/>
      <c r="P1627" s="165"/>
    </row>
    <row r="1628">
      <c r="A1628" s="161"/>
      <c r="B1628" s="13"/>
      <c r="C1628" s="13"/>
      <c r="D1628" s="162"/>
      <c r="E1628" s="163"/>
      <c r="F1628" s="177"/>
      <c r="G1628" s="177"/>
      <c r="H1628" s="177"/>
      <c r="I1628" s="177"/>
      <c r="J1628" s="177"/>
      <c r="K1628" s="177"/>
      <c r="L1628" s="177"/>
      <c r="M1628" s="177"/>
      <c r="N1628" s="177"/>
      <c r="O1628" s="165"/>
      <c r="P1628" s="165"/>
    </row>
    <row r="1629">
      <c r="A1629" s="161"/>
      <c r="B1629" s="13"/>
      <c r="C1629" s="13"/>
      <c r="D1629" s="162"/>
      <c r="E1629" s="163"/>
      <c r="F1629" s="177"/>
      <c r="G1629" s="177"/>
      <c r="H1629" s="177"/>
      <c r="I1629" s="177"/>
      <c r="J1629" s="177"/>
      <c r="K1629" s="177"/>
      <c r="L1629" s="177"/>
      <c r="M1629" s="177"/>
      <c r="N1629" s="177"/>
      <c r="O1629" s="165"/>
      <c r="P1629" s="165"/>
    </row>
    <row r="1630">
      <c r="A1630" s="161"/>
      <c r="B1630" s="13"/>
      <c r="C1630" s="13"/>
      <c r="D1630" s="162"/>
      <c r="E1630" s="163"/>
      <c r="F1630" s="177"/>
      <c r="G1630" s="177"/>
      <c r="H1630" s="177"/>
      <c r="I1630" s="177"/>
      <c r="J1630" s="177"/>
      <c r="K1630" s="177"/>
      <c r="L1630" s="177"/>
      <c r="M1630" s="177"/>
      <c r="N1630" s="177"/>
      <c r="O1630" s="165"/>
      <c r="P1630" s="165"/>
    </row>
    <row r="1631">
      <c r="A1631" s="161"/>
      <c r="B1631" s="13"/>
      <c r="C1631" s="13"/>
      <c r="D1631" s="162"/>
      <c r="E1631" s="163"/>
      <c r="F1631" s="177"/>
      <c r="G1631" s="177"/>
      <c r="H1631" s="177"/>
      <c r="I1631" s="177"/>
      <c r="J1631" s="177"/>
      <c r="K1631" s="177"/>
      <c r="L1631" s="177"/>
      <c r="M1631" s="177"/>
      <c r="N1631" s="177"/>
      <c r="O1631" s="165"/>
      <c r="P1631" s="165"/>
    </row>
    <row r="1632">
      <c r="A1632" s="161"/>
      <c r="B1632" s="13"/>
      <c r="C1632" s="13"/>
      <c r="D1632" s="162"/>
      <c r="E1632" s="163"/>
      <c r="F1632" s="177"/>
      <c r="G1632" s="177"/>
      <c r="H1632" s="177"/>
      <c r="I1632" s="177"/>
      <c r="J1632" s="177"/>
      <c r="K1632" s="177"/>
      <c r="L1632" s="177"/>
      <c r="M1632" s="177"/>
      <c r="N1632" s="177"/>
      <c r="O1632" s="165"/>
      <c r="P1632" s="165"/>
    </row>
    <row r="1633">
      <c r="A1633" s="161"/>
      <c r="B1633" s="13"/>
      <c r="C1633" s="13"/>
      <c r="D1633" s="162"/>
      <c r="E1633" s="163"/>
      <c r="F1633" s="177"/>
      <c r="G1633" s="177"/>
      <c r="H1633" s="177"/>
      <c r="I1633" s="177"/>
      <c r="J1633" s="177"/>
      <c r="K1633" s="177"/>
      <c r="L1633" s="177"/>
      <c r="M1633" s="177"/>
      <c r="N1633" s="177"/>
      <c r="O1633" s="165"/>
      <c r="P1633" s="165"/>
    </row>
    <row r="1634">
      <c r="A1634" s="161"/>
      <c r="B1634" s="13"/>
      <c r="C1634" s="13"/>
      <c r="D1634" s="162"/>
      <c r="E1634" s="163"/>
      <c r="F1634" s="177"/>
      <c r="G1634" s="177"/>
      <c r="H1634" s="177"/>
      <c r="I1634" s="177"/>
      <c r="J1634" s="177"/>
      <c r="K1634" s="177"/>
      <c r="L1634" s="177"/>
      <c r="M1634" s="177"/>
      <c r="N1634" s="177"/>
      <c r="O1634" s="165"/>
      <c r="P1634" s="165"/>
    </row>
    <row r="1635">
      <c r="A1635" s="161"/>
      <c r="B1635" s="13"/>
      <c r="C1635" s="13"/>
      <c r="D1635" s="162"/>
      <c r="E1635" s="163"/>
      <c r="F1635" s="177"/>
      <c r="G1635" s="177"/>
      <c r="H1635" s="177"/>
      <c r="I1635" s="177"/>
      <c r="J1635" s="177"/>
      <c r="K1635" s="177"/>
      <c r="L1635" s="177"/>
      <c r="M1635" s="177"/>
      <c r="N1635" s="177"/>
      <c r="O1635" s="165"/>
      <c r="P1635" s="165"/>
    </row>
    <row r="1636">
      <c r="A1636" s="161"/>
      <c r="B1636" s="13"/>
      <c r="C1636" s="13"/>
      <c r="D1636" s="162"/>
      <c r="E1636" s="163"/>
      <c r="F1636" s="177"/>
      <c r="G1636" s="177"/>
      <c r="H1636" s="177"/>
      <c r="I1636" s="177"/>
      <c r="J1636" s="177"/>
      <c r="K1636" s="177"/>
      <c r="L1636" s="177"/>
      <c r="M1636" s="177"/>
      <c r="N1636" s="177"/>
      <c r="O1636" s="165"/>
      <c r="P1636" s="165"/>
    </row>
    <row r="1637">
      <c r="A1637" s="161"/>
      <c r="B1637" s="13"/>
      <c r="C1637" s="13"/>
      <c r="D1637" s="162"/>
      <c r="E1637" s="163"/>
      <c r="F1637" s="177"/>
      <c r="G1637" s="177"/>
      <c r="H1637" s="177"/>
      <c r="I1637" s="177"/>
      <c r="J1637" s="177"/>
      <c r="K1637" s="177"/>
      <c r="L1637" s="177"/>
      <c r="M1637" s="177"/>
      <c r="N1637" s="177"/>
      <c r="O1637" s="165"/>
      <c r="P1637" s="165"/>
    </row>
    <row r="1638">
      <c r="A1638" s="161"/>
      <c r="B1638" s="13"/>
      <c r="C1638" s="13"/>
      <c r="D1638" s="162"/>
      <c r="E1638" s="163"/>
      <c r="F1638" s="177"/>
      <c r="G1638" s="177"/>
      <c r="H1638" s="177"/>
      <c r="I1638" s="177"/>
      <c r="J1638" s="177"/>
      <c r="K1638" s="177"/>
      <c r="L1638" s="177"/>
      <c r="M1638" s="177"/>
      <c r="N1638" s="177"/>
      <c r="O1638" s="165"/>
      <c r="P1638" s="165"/>
    </row>
    <row r="1639">
      <c r="A1639" s="161"/>
      <c r="B1639" s="13"/>
      <c r="C1639" s="13"/>
      <c r="D1639" s="162"/>
      <c r="E1639" s="163"/>
      <c r="F1639" s="177"/>
      <c r="G1639" s="177"/>
      <c r="H1639" s="177"/>
      <c r="I1639" s="177"/>
      <c r="J1639" s="177"/>
      <c r="K1639" s="177"/>
      <c r="L1639" s="177"/>
      <c r="M1639" s="177"/>
      <c r="N1639" s="177"/>
      <c r="O1639" s="165"/>
      <c r="P1639" s="165"/>
    </row>
    <row r="1640">
      <c r="A1640" s="161"/>
      <c r="B1640" s="13"/>
      <c r="C1640" s="13"/>
      <c r="D1640" s="162"/>
      <c r="E1640" s="163"/>
      <c r="F1640" s="177"/>
      <c r="G1640" s="177"/>
      <c r="H1640" s="177"/>
      <c r="I1640" s="177"/>
      <c r="J1640" s="177"/>
      <c r="K1640" s="177"/>
      <c r="L1640" s="177"/>
      <c r="M1640" s="177"/>
      <c r="N1640" s="177"/>
      <c r="O1640" s="165"/>
      <c r="P1640" s="165"/>
    </row>
    <row r="1641">
      <c r="A1641" s="161"/>
      <c r="B1641" s="13"/>
      <c r="C1641" s="13"/>
      <c r="D1641" s="162"/>
      <c r="E1641" s="163"/>
      <c r="F1641" s="177"/>
      <c r="G1641" s="177"/>
      <c r="H1641" s="177"/>
      <c r="I1641" s="177"/>
      <c r="J1641" s="177"/>
      <c r="K1641" s="177"/>
      <c r="L1641" s="177"/>
      <c r="M1641" s="177"/>
      <c r="N1641" s="177"/>
      <c r="O1641" s="165"/>
      <c r="P1641" s="165"/>
    </row>
    <row r="1642">
      <c r="A1642" s="161"/>
      <c r="B1642" s="13"/>
      <c r="C1642" s="13"/>
      <c r="D1642" s="162"/>
      <c r="E1642" s="163"/>
      <c r="F1642" s="177"/>
      <c r="G1642" s="177"/>
      <c r="H1642" s="177"/>
      <c r="I1642" s="177"/>
      <c r="J1642" s="177"/>
      <c r="K1642" s="177"/>
      <c r="L1642" s="177"/>
      <c r="M1642" s="177"/>
      <c r="N1642" s="177"/>
      <c r="O1642" s="165"/>
      <c r="P1642" s="165"/>
    </row>
    <row r="1643">
      <c r="A1643" s="161"/>
      <c r="B1643" s="13"/>
      <c r="C1643" s="13"/>
      <c r="D1643" s="162"/>
      <c r="E1643" s="163"/>
      <c r="F1643" s="177"/>
      <c r="G1643" s="177"/>
      <c r="H1643" s="177"/>
      <c r="I1643" s="177"/>
      <c r="J1643" s="177"/>
      <c r="K1643" s="177"/>
      <c r="L1643" s="177"/>
      <c r="M1643" s="177"/>
      <c r="N1643" s="177"/>
      <c r="O1643" s="165"/>
      <c r="P1643" s="165"/>
    </row>
    <row r="1644">
      <c r="A1644" s="161"/>
      <c r="B1644" s="13"/>
      <c r="C1644" s="13"/>
      <c r="D1644" s="162"/>
      <c r="E1644" s="163"/>
      <c r="F1644" s="177"/>
      <c r="G1644" s="177"/>
      <c r="H1644" s="177"/>
      <c r="I1644" s="177"/>
      <c r="J1644" s="177"/>
      <c r="K1644" s="177"/>
      <c r="L1644" s="177"/>
      <c r="M1644" s="177"/>
      <c r="N1644" s="177"/>
      <c r="O1644" s="165"/>
      <c r="P1644" s="165"/>
    </row>
    <row r="1645">
      <c r="A1645" s="161"/>
      <c r="B1645" s="13"/>
      <c r="C1645" s="13"/>
      <c r="D1645" s="162"/>
      <c r="E1645" s="163"/>
      <c r="F1645" s="177"/>
      <c r="G1645" s="177"/>
      <c r="H1645" s="177"/>
      <c r="I1645" s="177"/>
      <c r="J1645" s="177"/>
      <c r="K1645" s="177"/>
      <c r="L1645" s="177"/>
      <c r="M1645" s="177"/>
      <c r="N1645" s="177"/>
      <c r="O1645" s="165"/>
      <c r="P1645" s="165"/>
    </row>
    <row r="1646">
      <c r="A1646" s="161"/>
      <c r="B1646" s="13"/>
      <c r="C1646" s="13"/>
      <c r="D1646" s="162"/>
      <c r="E1646" s="163"/>
      <c r="F1646" s="177"/>
      <c r="G1646" s="177"/>
      <c r="H1646" s="177"/>
      <c r="I1646" s="177"/>
      <c r="J1646" s="177"/>
      <c r="K1646" s="177"/>
      <c r="L1646" s="177"/>
      <c r="M1646" s="177"/>
      <c r="N1646" s="177"/>
      <c r="O1646" s="165"/>
      <c r="P1646" s="165"/>
    </row>
    <row r="1647">
      <c r="A1647" s="161"/>
      <c r="B1647" s="13"/>
      <c r="C1647" s="13"/>
      <c r="D1647" s="162"/>
      <c r="E1647" s="163"/>
      <c r="F1647" s="177"/>
      <c r="G1647" s="177"/>
      <c r="H1647" s="177"/>
      <c r="I1647" s="177"/>
      <c r="J1647" s="177"/>
      <c r="K1647" s="177"/>
      <c r="L1647" s="177"/>
      <c r="M1647" s="177"/>
      <c r="N1647" s="177"/>
      <c r="O1647" s="165"/>
      <c r="P1647" s="165"/>
    </row>
    <row r="1648">
      <c r="A1648" s="161"/>
      <c r="B1648" s="13"/>
      <c r="C1648" s="13"/>
      <c r="D1648" s="162"/>
      <c r="E1648" s="163"/>
      <c r="F1648" s="177"/>
      <c r="G1648" s="177"/>
      <c r="H1648" s="177"/>
      <c r="I1648" s="177"/>
      <c r="J1648" s="177"/>
      <c r="K1648" s="177"/>
      <c r="L1648" s="177"/>
      <c r="M1648" s="177"/>
      <c r="N1648" s="177"/>
      <c r="O1648" s="165"/>
      <c r="P1648" s="165"/>
    </row>
    <row r="1649">
      <c r="A1649" s="161"/>
      <c r="B1649" s="13"/>
      <c r="C1649" s="13"/>
      <c r="D1649" s="162"/>
      <c r="E1649" s="163"/>
      <c r="F1649" s="177"/>
      <c r="G1649" s="177"/>
      <c r="H1649" s="177"/>
      <c r="I1649" s="177"/>
      <c r="J1649" s="177"/>
      <c r="K1649" s="177"/>
      <c r="L1649" s="177"/>
      <c r="M1649" s="177"/>
      <c r="N1649" s="177"/>
      <c r="O1649" s="165"/>
      <c r="P1649" s="165"/>
    </row>
    <row r="1650">
      <c r="A1650" s="161"/>
      <c r="B1650" s="13"/>
      <c r="C1650" s="13"/>
      <c r="D1650" s="162"/>
      <c r="E1650" s="163"/>
      <c r="F1650" s="177"/>
      <c r="G1650" s="177"/>
      <c r="H1650" s="177"/>
      <c r="I1650" s="177"/>
      <c r="J1650" s="177"/>
      <c r="K1650" s="177"/>
      <c r="L1650" s="177"/>
      <c r="M1650" s="177"/>
      <c r="N1650" s="177"/>
      <c r="O1650" s="165"/>
      <c r="P1650" s="165"/>
    </row>
    <row r="1651">
      <c r="A1651" s="161"/>
      <c r="B1651" s="13"/>
      <c r="C1651" s="13"/>
      <c r="D1651" s="162"/>
      <c r="E1651" s="163"/>
      <c r="F1651" s="177"/>
      <c r="G1651" s="177"/>
      <c r="H1651" s="177"/>
      <c r="I1651" s="177"/>
      <c r="J1651" s="177"/>
      <c r="K1651" s="177"/>
      <c r="L1651" s="177"/>
      <c r="M1651" s="177"/>
      <c r="N1651" s="177"/>
      <c r="O1651" s="165"/>
      <c r="P1651" s="165"/>
    </row>
    <row r="1652">
      <c r="A1652" s="161"/>
      <c r="B1652" s="13"/>
      <c r="C1652" s="13"/>
      <c r="D1652" s="162"/>
      <c r="E1652" s="163"/>
      <c r="F1652" s="177"/>
      <c r="G1652" s="177"/>
      <c r="H1652" s="177"/>
      <c r="I1652" s="177"/>
      <c r="J1652" s="177"/>
      <c r="K1652" s="177"/>
      <c r="L1652" s="177"/>
      <c r="M1652" s="177"/>
      <c r="N1652" s="177"/>
      <c r="O1652" s="165"/>
      <c r="P1652" s="165"/>
    </row>
    <row r="1653">
      <c r="A1653" s="161"/>
      <c r="B1653" s="13"/>
      <c r="C1653" s="13"/>
      <c r="D1653" s="162"/>
      <c r="E1653" s="163"/>
      <c r="F1653" s="177"/>
      <c r="G1653" s="177"/>
      <c r="H1653" s="177"/>
      <c r="I1653" s="177"/>
      <c r="J1653" s="177"/>
      <c r="K1653" s="177"/>
      <c r="L1653" s="177"/>
      <c r="M1653" s="177"/>
      <c r="N1653" s="177"/>
      <c r="O1653" s="165"/>
      <c r="P1653" s="165"/>
    </row>
    <row r="1654">
      <c r="A1654" s="161"/>
      <c r="B1654" s="13"/>
      <c r="C1654" s="13"/>
      <c r="D1654" s="162"/>
      <c r="E1654" s="163"/>
      <c r="F1654" s="177"/>
      <c r="G1654" s="177"/>
      <c r="H1654" s="177"/>
      <c r="I1654" s="177"/>
      <c r="J1654" s="177"/>
      <c r="K1654" s="177"/>
      <c r="L1654" s="177"/>
      <c r="M1654" s="177"/>
      <c r="N1654" s="177"/>
      <c r="O1654" s="165"/>
      <c r="P1654" s="165"/>
    </row>
    <row r="1655">
      <c r="A1655" s="161"/>
      <c r="B1655" s="13"/>
      <c r="C1655" s="13"/>
      <c r="D1655" s="162"/>
      <c r="E1655" s="163"/>
      <c r="F1655" s="177"/>
      <c r="G1655" s="177"/>
      <c r="H1655" s="177"/>
      <c r="I1655" s="177"/>
      <c r="J1655" s="177"/>
      <c r="K1655" s="177"/>
      <c r="L1655" s="177"/>
      <c r="M1655" s="177"/>
      <c r="N1655" s="177"/>
      <c r="O1655" s="165"/>
      <c r="P1655" s="165"/>
    </row>
    <row r="1656">
      <c r="A1656" s="161"/>
      <c r="B1656" s="13"/>
      <c r="C1656" s="13"/>
      <c r="D1656" s="162"/>
      <c r="E1656" s="163"/>
      <c r="F1656" s="177"/>
      <c r="G1656" s="177"/>
      <c r="H1656" s="177"/>
      <c r="I1656" s="177"/>
      <c r="J1656" s="177"/>
      <c r="K1656" s="177"/>
      <c r="L1656" s="177"/>
      <c r="M1656" s="177"/>
      <c r="N1656" s="177"/>
      <c r="O1656" s="165"/>
      <c r="P1656" s="165"/>
    </row>
    <row r="1657">
      <c r="A1657" s="161"/>
      <c r="B1657" s="13"/>
      <c r="C1657" s="13"/>
      <c r="D1657" s="162"/>
      <c r="E1657" s="163"/>
      <c r="F1657" s="177"/>
      <c r="G1657" s="177"/>
      <c r="H1657" s="177"/>
      <c r="I1657" s="177"/>
      <c r="J1657" s="177"/>
      <c r="K1657" s="177"/>
      <c r="L1657" s="177"/>
      <c r="M1657" s="177"/>
      <c r="N1657" s="177"/>
      <c r="O1657" s="165"/>
      <c r="P1657" s="165"/>
    </row>
    <row r="1658">
      <c r="A1658" s="161"/>
      <c r="B1658" s="13"/>
      <c r="C1658" s="13"/>
      <c r="D1658" s="162"/>
      <c r="E1658" s="163"/>
      <c r="F1658" s="177"/>
      <c r="G1658" s="177"/>
      <c r="H1658" s="177"/>
      <c r="I1658" s="177"/>
      <c r="J1658" s="177"/>
      <c r="K1658" s="177"/>
      <c r="L1658" s="177"/>
      <c r="M1658" s="177"/>
      <c r="N1658" s="177"/>
      <c r="O1658" s="165"/>
      <c r="P1658" s="165"/>
    </row>
    <row r="1659">
      <c r="A1659" s="161"/>
      <c r="B1659" s="13"/>
      <c r="C1659" s="13"/>
      <c r="D1659" s="162"/>
      <c r="E1659" s="163"/>
      <c r="F1659" s="177"/>
      <c r="G1659" s="177"/>
      <c r="H1659" s="177"/>
      <c r="I1659" s="177"/>
      <c r="J1659" s="177"/>
      <c r="K1659" s="177"/>
      <c r="L1659" s="177"/>
      <c r="M1659" s="177"/>
      <c r="N1659" s="177"/>
      <c r="O1659" s="165"/>
      <c r="P1659" s="165"/>
    </row>
    <row r="1660">
      <c r="A1660" s="161"/>
      <c r="B1660" s="13"/>
      <c r="C1660" s="13"/>
      <c r="D1660" s="162"/>
      <c r="E1660" s="163"/>
      <c r="F1660" s="177"/>
      <c r="G1660" s="177"/>
      <c r="H1660" s="177"/>
      <c r="I1660" s="177"/>
      <c r="J1660" s="177"/>
      <c r="K1660" s="177"/>
      <c r="L1660" s="177"/>
      <c r="M1660" s="177"/>
      <c r="N1660" s="177"/>
      <c r="O1660" s="165"/>
      <c r="P1660" s="165"/>
    </row>
    <row r="1661">
      <c r="A1661" s="161"/>
      <c r="B1661" s="13"/>
      <c r="C1661" s="13"/>
      <c r="D1661" s="162"/>
      <c r="E1661" s="163"/>
      <c r="F1661" s="177"/>
      <c r="G1661" s="177"/>
      <c r="H1661" s="177"/>
      <c r="I1661" s="177"/>
      <c r="J1661" s="177"/>
      <c r="K1661" s="177"/>
      <c r="L1661" s="177"/>
      <c r="M1661" s="177"/>
      <c r="N1661" s="177"/>
      <c r="O1661" s="165"/>
      <c r="P1661" s="165"/>
    </row>
    <row r="1662">
      <c r="A1662" s="161"/>
      <c r="B1662" s="13"/>
      <c r="C1662" s="13"/>
      <c r="D1662" s="162"/>
      <c r="E1662" s="163"/>
      <c r="F1662" s="177"/>
      <c r="G1662" s="177"/>
      <c r="H1662" s="177"/>
      <c r="I1662" s="177"/>
      <c r="J1662" s="177"/>
      <c r="K1662" s="177"/>
      <c r="L1662" s="177"/>
      <c r="M1662" s="177"/>
      <c r="N1662" s="177"/>
      <c r="O1662" s="165"/>
      <c r="P1662" s="165"/>
    </row>
    <row r="1663">
      <c r="A1663" s="161"/>
      <c r="B1663" s="13"/>
      <c r="C1663" s="13"/>
      <c r="D1663" s="162"/>
      <c r="E1663" s="163"/>
      <c r="F1663" s="177"/>
      <c r="G1663" s="177"/>
      <c r="H1663" s="177"/>
      <c r="I1663" s="177"/>
      <c r="J1663" s="177"/>
      <c r="K1663" s="177"/>
      <c r="L1663" s="177"/>
      <c r="M1663" s="177"/>
      <c r="N1663" s="177"/>
      <c r="O1663" s="165"/>
      <c r="P1663" s="165"/>
    </row>
    <row r="1664" spans="16:16">
      <c r="A1664" s="161"/>
      <c r="B1664" s="13"/>
      <c r="C1664" s="13"/>
      <c r="D1664" s="162"/>
      <c r="E1664" s="163"/>
      <c r="F1664" s="177"/>
      <c r="G1664" s="177"/>
      <c r="H1664" s="177"/>
      <c r="I1664" s="177"/>
      <c r="J1664" s="177"/>
      <c r="K1664" s="177"/>
      <c r="L1664" s="177"/>
      <c r="M1664" s="177"/>
      <c r="N1664" s="177"/>
      <c r="O1664" s="165"/>
      <c r="P1664" s="172"/>
    </row>
    <row r="1665" spans="16:16">
      <c r="A1665" s="161"/>
      <c r="B1665" s="13"/>
      <c r="C1665" s="13"/>
      <c r="D1665" s="162"/>
      <c r="E1665" s="163"/>
      <c r="F1665" s="177"/>
      <c r="G1665" s="177"/>
      <c r="H1665" s="177"/>
      <c r="I1665" s="177"/>
      <c r="J1665" s="177"/>
      <c r="K1665" s="177"/>
      <c r="L1665" s="177"/>
      <c r="M1665" s="177"/>
      <c r="N1665" s="177"/>
      <c r="O1665" s="165"/>
      <c r="P1665" s="173"/>
    </row>
  </sheetData>
  <sortState ref="A2:P1763">
    <sortCondition ref="D2"/>
  </sortState>
  <conditionalFormatting sqref="D2:D664">
    <cfRule type="duplicateValues" dxfId="0" priority="1"/>
  </conditionalFormatting>
  <conditionalFormatting sqref="F1:N1 F665:N1048576">
    <cfRule type="cellIs" dxfId="1" priority="2" operator="equal">
      <formula>0</formula>
    </cfRule>
  </conditionalFormatting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71"/>
  <sheetViews>
    <sheetView view="pageBreakPreview" zoomScale="82" zoomScaleNormal="85" workbookViewId="0">
      <pane xSplit="2" ySplit="10" topLeftCell="C11" activePane="bottomRight" state="frozen"/>
      <selection/>
      <selection pane="topRight"/>
      <selection pane="bottomLeft"/>
      <selection pane="bottomRight" activeCell="D24" sqref="D24"/>
    </sheetView>
  </sheetViews>
  <sheetFormatPr defaultColWidth="9" defaultRowHeight="13.5"/>
  <cols>
    <col min="1" max="1" width="9.25" style="26" customWidth="1"/>
    <col min="2" max="2" width="9.5" style="26" customWidth="1"/>
    <col min="3" max="3" width="8.5" style="26" customWidth="1"/>
    <col min="4" max="4" width="8.625" style="26" customWidth="1"/>
    <col min="5" max="7" width="8.5" style="26" customWidth="1"/>
    <col min="8" max="8" width="8.125" style="26" customWidth="1"/>
    <col min="9" max="17" width="8.5" style="26" customWidth="1"/>
    <col min="18" max="18" width="9" style="26" customWidth="1"/>
    <col min="19" max="19" width="9.375" style="26" customWidth="1"/>
    <col min="20" max="20" width="9.625" style="26" customWidth="1"/>
    <col min="21" max="32" width="9" style="26"/>
    <col min="33" max="33" width="14.875" style="26" customWidth="1"/>
    <col min="34" max="16384" width="9" style="26"/>
  </cols>
  <sheetData>
    <row r="1" ht="24" customHeight="1" spans="1:20">
      <c r="A1" s="27" t="s">
        <v>1738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</row>
    <row r="2" ht="15.95" customHeight="1" spans="1:20">
      <c r="A2" s="9" t="s">
        <v>1</v>
      </c>
      <c r="B2" s="9"/>
      <c r="C2" s="9">
        <v>1</v>
      </c>
      <c r="D2" s="9">
        <v>2</v>
      </c>
      <c r="E2" s="9">
        <v>3</v>
      </c>
      <c r="F2" s="9">
        <v>4</v>
      </c>
      <c r="G2" s="9">
        <v>5</v>
      </c>
      <c r="H2" s="9">
        <v>6</v>
      </c>
      <c r="I2" s="9">
        <v>7</v>
      </c>
      <c r="J2" s="9">
        <v>8</v>
      </c>
      <c r="K2" s="9">
        <v>9</v>
      </c>
      <c r="L2" s="9">
        <v>10</v>
      </c>
      <c r="M2" s="9">
        <v>11</v>
      </c>
      <c r="N2" s="9">
        <v>12</v>
      </c>
      <c r="O2" s="9">
        <v>13</v>
      </c>
      <c r="P2" s="9">
        <v>14</v>
      </c>
      <c r="Q2" s="9">
        <v>15</v>
      </c>
      <c r="R2" s="9">
        <v>16</v>
      </c>
      <c r="S2" s="9">
        <v>17</v>
      </c>
      <c r="T2" s="9">
        <v>18</v>
      </c>
    </row>
    <row r="3" spans="1:20">
      <c r="A3" s="28" t="s">
        <v>1739</v>
      </c>
      <c r="B3" s="29"/>
      <c r="C3" s="30" t="s">
        <v>1740</v>
      </c>
      <c r="D3" s="14" t="s">
        <v>1741</v>
      </c>
      <c r="E3" s="14" t="s">
        <v>1742</v>
      </c>
      <c r="F3" s="14" t="s">
        <v>1742</v>
      </c>
      <c r="G3" s="14" t="s">
        <v>1742</v>
      </c>
      <c r="H3" s="14" t="s">
        <v>1743</v>
      </c>
      <c r="I3" s="14" t="s">
        <v>1743</v>
      </c>
      <c r="J3" s="30" t="s">
        <v>1744</v>
      </c>
      <c r="K3" s="30" t="s">
        <v>1744</v>
      </c>
      <c r="L3" s="30" t="s">
        <v>1744</v>
      </c>
      <c r="M3" s="30" t="s">
        <v>1744</v>
      </c>
      <c r="N3" s="30" t="s">
        <v>1744</v>
      </c>
      <c r="O3" s="30" t="s">
        <v>1744</v>
      </c>
      <c r="P3" s="14" t="s">
        <v>1745</v>
      </c>
      <c r="Q3" s="14" t="s">
        <v>1745</v>
      </c>
      <c r="R3" s="13" t="s">
        <v>1746</v>
      </c>
      <c r="S3" s="14" t="s">
        <v>1747</v>
      </c>
      <c r="T3" s="14" t="s">
        <v>1747</v>
      </c>
    </row>
    <row r="4" ht="15.95" customHeight="1" spans="1:20">
      <c r="A4" s="9" t="s">
        <v>1748</v>
      </c>
      <c r="B4" s="9"/>
      <c r="C4" s="9">
        <v>64</v>
      </c>
      <c r="D4" s="9">
        <v>48</v>
      </c>
      <c r="E4" s="9">
        <v>49</v>
      </c>
      <c r="F4" s="9">
        <v>46</v>
      </c>
      <c r="G4" s="9">
        <v>48</v>
      </c>
      <c r="H4" s="9">
        <v>40</v>
      </c>
      <c r="I4" s="9">
        <v>39</v>
      </c>
      <c r="J4" s="9">
        <v>58</v>
      </c>
      <c r="K4" s="9">
        <v>54</v>
      </c>
      <c r="L4" s="9">
        <v>58</v>
      </c>
      <c r="M4" s="9">
        <v>57</v>
      </c>
      <c r="N4" s="9">
        <v>58</v>
      </c>
      <c r="O4" s="9">
        <v>58</v>
      </c>
      <c r="P4" s="9">
        <v>42</v>
      </c>
      <c r="Q4" s="9">
        <v>44</v>
      </c>
      <c r="R4" s="9">
        <v>40</v>
      </c>
      <c r="S4" s="9">
        <v>45</v>
      </c>
      <c r="T4" s="9">
        <v>44</v>
      </c>
    </row>
    <row r="5" ht="15.95" customHeight="1" spans="1:20">
      <c r="A5" s="9" t="s">
        <v>1749</v>
      </c>
      <c r="B5" s="9"/>
      <c r="C5" s="9">
        <f>COUNTIF(原始分!$B:$B,C2)</f>
        <v>63</v>
      </c>
      <c r="D5" s="9">
        <f>COUNTIF(原始分!$B:$B,D2)</f>
        <v>48</v>
      </c>
      <c r="E5" s="9">
        <f>COUNTIF(原始分!$B:$B,E2)</f>
        <v>49</v>
      </c>
      <c r="F5" s="9">
        <f>COUNTIF(原始分!$B:$B,F2)</f>
        <v>44</v>
      </c>
      <c r="G5" s="9">
        <f>COUNTIF(原始分!$B:$B,G2)</f>
        <v>47</v>
      </c>
      <c r="H5" s="9">
        <f>COUNTIF(原始分!$B:$B,H2)</f>
        <v>39</v>
      </c>
      <c r="I5" s="9">
        <f>COUNTIF(原始分!$B:$B,I2)</f>
        <v>38</v>
      </c>
      <c r="J5" s="9">
        <f>COUNTIF(原始分!$B:$B,J2)</f>
        <v>57</v>
      </c>
      <c r="K5" s="9">
        <f>COUNTIF(原始分!$B:$B,K2)</f>
        <v>54</v>
      </c>
      <c r="L5" s="9">
        <f>COUNTIF(原始分!$B:$B,L2)</f>
        <v>57</v>
      </c>
      <c r="M5" s="9">
        <f>COUNTIF(原始分!$B:$B,M2)</f>
        <v>57</v>
      </c>
      <c r="N5" s="9">
        <f>COUNTIF(原始分!$B:$B,N2)</f>
        <v>56</v>
      </c>
      <c r="O5" s="9">
        <f>COUNTIF(原始分!$B:$B,O2)</f>
        <v>54</v>
      </c>
      <c r="P5" s="9">
        <f>COUNTIF(原始分!$B:$B,P2)</f>
        <v>40</v>
      </c>
      <c r="Q5" s="9">
        <f>COUNTIF(原始分!$B:$B,Q2)</f>
        <v>42</v>
      </c>
      <c r="R5" s="9">
        <f>COUNTIF(原始分!$B:$B,R2)</f>
        <v>38</v>
      </c>
      <c r="S5" s="9">
        <f>COUNTIF(原始分!$B:$B,S2)</f>
        <v>43</v>
      </c>
      <c r="T5" s="9">
        <f>COUNTIF(原始分!$B:$B,T2)</f>
        <v>43</v>
      </c>
    </row>
    <row r="6" ht="15.95" customHeight="1" spans="1:20">
      <c r="A6" s="31" t="s">
        <v>1750</v>
      </c>
      <c r="B6" s="13" t="s">
        <v>1751</v>
      </c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  <c r="M6" s="13" t="s">
        <v>1752</v>
      </c>
      <c r="N6" s="13" t="s">
        <v>1753</v>
      </c>
      <c r="O6" s="13"/>
      <c r="P6" s="13"/>
      <c r="Q6" s="13"/>
      <c r="R6" s="13"/>
      <c r="S6" s="13"/>
      <c r="T6" s="13"/>
    </row>
    <row r="7" ht="15.95" customHeight="1" spans="1:20">
      <c r="A7" s="31"/>
      <c r="B7" s="13" t="s">
        <v>1754</v>
      </c>
      <c r="C7" s="13">
        <f>MAX(原始分!F:F)</f>
        <v>119.5</v>
      </c>
      <c r="D7" s="13">
        <f>MAX(原始分!G:G)</f>
        <v>140</v>
      </c>
      <c r="E7" s="13">
        <f>MAX(原始分!H:H)</f>
        <v>138.75</v>
      </c>
      <c r="F7" s="13">
        <f>MAX(原始分!I:I)</f>
        <v>89</v>
      </c>
      <c r="G7" s="13">
        <f>MAX(原始分!J:J)</f>
        <v>82.5</v>
      </c>
      <c r="H7" s="13">
        <f>MAX(原始分!K:K)</f>
        <v>75.5</v>
      </c>
      <c r="I7" s="13">
        <f>MAX(原始分!L:L)</f>
        <v>68.5</v>
      </c>
      <c r="J7" s="13">
        <f>MAX(原始分!M:M)</f>
        <v>80</v>
      </c>
      <c r="K7" s="13">
        <f>MAX(原始分!N:N)</f>
        <v>78</v>
      </c>
      <c r="L7" s="13">
        <f>MAX(原始分!O:O)</f>
        <v>373</v>
      </c>
      <c r="M7" s="13">
        <f>MAX(原始分!P2:P673)</f>
        <v>599.5</v>
      </c>
      <c r="N7" s="13">
        <f>MAX(原始分!P674:P966)</f>
        <v>576.75</v>
      </c>
      <c r="O7" s="13"/>
      <c r="P7" s="13"/>
      <c r="Q7" s="13"/>
      <c r="R7" s="13"/>
      <c r="S7" s="13"/>
      <c r="T7" s="13"/>
    </row>
    <row r="8" ht="15.95" customHeight="1" spans="1:20">
      <c r="A8" s="31"/>
      <c r="B8" s="13" t="s">
        <v>1755</v>
      </c>
      <c r="C8" s="13">
        <f>MIN(原始分!F:F)</f>
        <v>64</v>
      </c>
      <c r="D8" s="13">
        <f>MIN(原始分!G:G)</f>
        <v>12</v>
      </c>
      <c r="E8" s="13">
        <f>MIN(原始分!H:H)</f>
        <v>26</v>
      </c>
      <c r="F8" s="13">
        <f>MIN(原始分!I:I)</f>
        <v>14</v>
      </c>
      <c r="G8" s="13">
        <f>MIN(原始分!J:J)</f>
        <v>36.5</v>
      </c>
      <c r="H8" s="13">
        <f>MIN(原始分!K:K)</f>
        <v>11</v>
      </c>
      <c r="I8" s="13">
        <f>MIN(原始分!L:L)</f>
        <v>28</v>
      </c>
      <c r="J8" s="13">
        <f>MIN(原始分!M:M)</f>
        <v>35.5</v>
      </c>
      <c r="K8" s="13">
        <f>MIN(原始分!N:N)</f>
        <v>13</v>
      </c>
      <c r="L8" s="13">
        <f>MIN(原始分!O:O)</f>
        <v>112.25</v>
      </c>
      <c r="M8" s="13">
        <f>MIN(原始分!P2:P673)</f>
        <v>155.25</v>
      </c>
      <c r="N8" s="13">
        <f>MIN(原始分!P674:P966)</f>
        <v>308.5</v>
      </c>
      <c r="O8" s="13"/>
      <c r="P8" s="13"/>
      <c r="Q8" s="13"/>
      <c r="R8" s="13"/>
      <c r="S8" s="13"/>
      <c r="T8" s="13"/>
    </row>
    <row r="9" ht="15.95" customHeight="1" spans="1:20">
      <c r="A9" s="31"/>
      <c r="B9" s="13" t="s">
        <v>1756</v>
      </c>
      <c r="C9" s="32">
        <f>AVERAGE(原始分!F2:F897)</f>
        <v>99.0785385500575</v>
      </c>
      <c r="D9" s="32">
        <f>AVERAGE(原始分!G2:G897)</f>
        <v>98.1731875719217</v>
      </c>
      <c r="E9" s="32">
        <f>AVERAGE(原始分!H2:H897)</f>
        <v>96.4277905638665</v>
      </c>
      <c r="F9" s="32">
        <f>AVERAGE(原始分!I2:I897)</f>
        <v>51.0806938159879</v>
      </c>
      <c r="G9" s="32">
        <f>AVERAGE(原始分!J2:J897)</f>
        <v>56.8216019417476</v>
      </c>
      <c r="H9" s="32">
        <f>AVERAGE(原始分!K2:K897)</f>
        <v>42.2532407407407</v>
      </c>
      <c r="I9" s="32">
        <f>AVERAGE(原始分!L2:L897)</f>
        <v>50.0713166144201</v>
      </c>
      <c r="J9" s="32">
        <f>AVERAGE(原始分!M2:M897)</f>
        <v>57.0357142857143</v>
      </c>
      <c r="K9" s="32">
        <f>AVERAGE(原始分!N2:N897)</f>
        <v>50.7734929078014</v>
      </c>
      <c r="L9" s="32">
        <f>SUM(C9:E9)</f>
        <v>293.679516685846</v>
      </c>
      <c r="M9" s="32">
        <f>AVERAGE(原始分!P2:P665)</f>
        <v>438.427710843374</v>
      </c>
      <c r="N9" s="32">
        <f>AVERAGE(原始分!P666:P966)</f>
        <v>463.684146341463</v>
      </c>
      <c r="O9" s="13"/>
      <c r="P9" s="13"/>
      <c r="Q9" s="13"/>
      <c r="R9" s="13"/>
      <c r="S9" s="13"/>
      <c r="T9" s="13"/>
    </row>
    <row r="10" ht="15.95" customHeight="1" spans="1:20">
      <c r="A10" s="31"/>
      <c r="B10" s="13" t="s">
        <v>1757</v>
      </c>
      <c r="C10" s="32">
        <f>MAX(C18:T18)-MIN(C18:T18)</f>
        <v>11.6225832438238</v>
      </c>
      <c r="D10" s="32">
        <f>MAX(C24:T24)-MIN(C24:T24)</f>
        <v>36.3485142118863</v>
      </c>
      <c r="E10" s="32">
        <f>MAX(C30:T30)-MIN(C30:T30)</f>
        <v>33.8421052631579</v>
      </c>
      <c r="F10" s="32">
        <f>MAX(C36:T36)-MIN(C36:T36)</f>
        <v>31.0872319688109</v>
      </c>
      <c r="G10" s="32">
        <f>MAX(P36:T36)-MIN(P36:T36)</f>
        <v>8.01667686658507</v>
      </c>
      <c r="H10" s="32">
        <f>MAX(C42:T42)-MIN(C42:T42)</f>
        <v>14.2106481481481</v>
      </c>
      <c r="I10" s="32">
        <f>MAX(C48:T48)-MIN(C48:T48)</f>
        <v>9.9599358974359</v>
      </c>
      <c r="J10" s="32">
        <f>MAX(C54:T54)-MIN(C54:T54)</f>
        <v>9.72718253968254</v>
      </c>
      <c r="K10" s="32">
        <f>MAX(C60:T60)-MIN(C60:T60)</f>
        <v>16.7446393762183</v>
      </c>
      <c r="L10" s="32">
        <f>MAX(C14:T14)-MIN(C14:T14)</f>
        <v>61.3335769980507</v>
      </c>
      <c r="M10" s="32">
        <f>MAX(C11:T11)-MIN(C11:T11)</f>
        <v>113.353070175439</v>
      </c>
      <c r="N10" s="13"/>
      <c r="O10" s="13"/>
      <c r="P10" s="13"/>
      <c r="Q10" s="13"/>
      <c r="R10" s="13"/>
      <c r="S10" s="13"/>
      <c r="T10" s="13"/>
    </row>
    <row r="11" ht="15.95" customHeight="1" spans="1:20">
      <c r="A11" s="34" t="s">
        <v>15</v>
      </c>
      <c r="B11" s="34" t="s">
        <v>1756</v>
      </c>
      <c r="C11" s="35">
        <f>AVERAGEIFS(原始分!$P$2:$P$1664,原始分!$B$2:$B$1664,C2)</f>
        <v>434.103174603175</v>
      </c>
      <c r="D11" s="35">
        <f>AVERAGEIFS(原始分!$P$2:$P$1664,原始分!$B$2:$B$1664,D2)</f>
        <v>441.119791666667</v>
      </c>
      <c r="E11" s="35">
        <f>AVERAGEIFS(原始分!$P$2:$P$1664,原始分!$B$2:$B$1664,E2)</f>
        <v>424.142857142857</v>
      </c>
      <c r="F11" s="35">
        <f>AVERAGEIFS(原始分!$P$2:$P$1664,原始分!$B$2:$B$1664,F2)</f>
        <v>429.147727272727</v>
      </c>
      <c r="G11" s="35">
        <f>AVERAGEIFS(原始分!$P$2:$P$1664,原始分!$B$2:$B$1664,G2)</f>
        <v>438.452127659574</v>
      </c>
      <c r="H11" s="35">
        <f>AVERAGEIFS(原始分!$P$2:$P$1664,原始分!$B$2:$B$1664,H2)</f>
        <v>424.166666666667</v>
      </c>
      <c r="I11" s="35">
        <f>AVERAGEIFS(原始分!$P$2:$P$1664,原始分!$B$2:$B$1664,I2)</f>
        <v>407.480263157895</v>
      </c>
      <c r="J11" s="35">
        <f>AVERAGEIFS(原始分!$P$2:$P$1664,原始分!$B$2:$B$1664,J2)</f>
        <v>427.118421052632</v>
      </c>
      <c r="K11" s="35">
        <f>AVERAGEIFS(原始分!$P$2:$P$1664,原始分!$B$2:$B$1664,K2)</f>
        <v>520.833333333333</v>
      </c>
      <c r="L11" s="35">
        <f>AVERAGEIFS(原始分!$P$2:$P$1664,原始分!$B$2:$B$1664,L2)</f>
        <v>484.732456140351</v>
      </c>
      <c r="M11" s="35">
        <f>AVERAGEIFS(原始分!$P$2:$P$1664,原始分!$B$2:$B$1664,M2)</f>
        <v>419.40350877193</v>
      </c>
      <c r="N11" s="35">
        <f>AVERAGEIFS(原始分!$P$2:$P$1664,原始分!$B$2:$B$1664,N2)</f>
        <v>408.133928571429</v>
      </c>
      <c r="O11" s="35">
        <f>AVERAGEIFS(原始分!$P$2:$P$1664,原始分!$B$2:$B$1664,O2)</f>
        <v>425.833333333333</v>
      </c>
      <c r="P11" s="35">
        <f>AVERAGEIFS(原始分!$P$2:$P$1664,原始分!$B$2:$B$1664,P2)</f>
        <v>450.8625</v>
      </c>
      <c r="Q11" s="35">
        <f>AVERAGEIFS(原始分!$P$2:$P$1664,原始分!$B$2:$B$1664,Q2)</f>
        <v>454.10119047619</v>
      </c>
      <c r="R11" s="35">
        <f>AVERAGEIFS(原始分!$P$2:$P$1664,原始分!$B$2:$B$1664,R2)</f>
        <v>515.809210526316</v>
      </c>
      <c r="S11" s="35">
        <f>AVERAGEIFS(原始分!$P$2:$P$1664,原始分!$B$2:$B$1664,S2)</f>
        <v>454.837209302326</v>
      </c>
      <c r="T11" s="35">
        <f>AVERAGEIFS(原始分!$P$2:$P$1664,原始分!$B$2:$B$1664,T2)</f>
        <v>447.139534883721</v>
      </c>
    </row>
    <row r="12" ht="15.95" customHeight="1" spans="1:20">
      <c r="A12" s="34"/>
      <c r="B12" s="34" t="s">
        <v>1758</v>
      </c>
      <c r="C12" s="34">
        <f>RANK(C11,$C$11:$O$11)</f>
        <v>5</v>
      </c>
      <c r="D12" s="34">
        <f t="shared" ref="D12:O12" si="0">RANK(D11,$C$11:$O$11)</f>
        <v>3</v>
      </c>
      <c r="E12" s="34">
        <f t="shared" si="0"/>
        <v>10</v>
      </c>
      <c r="F12" s="34">
        <f t="shared" si="0"/>
        <v>6</v>
      </c>
      <c r="G12" s="34">
        <f t="shared" si="0"/>
        <v>4</v>
      </c>
      <c r="H12" s="34">
        <f t="shared" si="0"/>
        <v>9</v>
      </c>
      <c r="I12" s="34">
        <f t="shared" si="0"/>
        <v>13</v>
      </c>
      <c r="J12" s="34">
        <f t="shared" si="0"/>
        <v>7</v>
      </c>
      <c r="K12" s="34">
        <f t="shared" si="0"/>
        <v>1</v>
      </c>
      <c r="L12" s="34">
        <f t="shared" si="0"/>
        <v>2</v>
      </c>
      <c r="M12" s="34">
        <f t="shared" si="0"/>
        <v>11</v>
      </c>
      <c r="N12" s="34">
        <f t="shared" si="0"/>
        <v>12</v>
      </c>
      <c r="O12" s="34">
        <f t="shared" si="0"/>
        <v>8</v>
      </c>
      <c r="P12" s="34">
        <f>RANK(P11,$P$11:$T$11)</f>
        <v>4</v>
      </c>
      <c r="Q12" s="34">
        <f>RANK(Q11,$P$11:$T$11)</f>
        <v>3</v>
      </c>
      <c r="R12" s="34">
        <f>RANK(R11,$P$11:$T$11)</f>
        <v>1</v>
      </c>
      <c r="S12" s="34">
        <f>RANK(S11,$P$11:$T$11)</f>
        <v>2</v>
      </c>
      <c r="T12" s="34">
        <f>RANK(T11,$P$11:$T$11)</f>
        <v>5</v>
      </c>
    </row>
    <row r="13" ht="15.95" customHeight="1" spans="1:20">
      <c r="A13" s="34"/>
      <c r="B13" s="34" t="s">
        <v>1759</v>
      </c>
      <c r="C13" s="35">
        <f>C11-$M$9</f>
        <v>-4.32453624019894</v>
      </c>
      <c r="D13" s="35">
        <f t="shared" ref="D13:T13" si="1">D11-$M$9</f>
        <v>2.69208082329317</v>
      </c>
      <c r="E13" s="35">
        <f t="shared" si="1"/>
        <v>-14.2848537005164</v>
      </c>
      <c r="F13" s="35">
        <f t="shared" si="1"/>
        <v>-9.27998357064627</v>
      </c>
      <c r="G13" s="35">
        <f t="shared" si="1"/>
        <v>0.024416816200926</v>
      </c>
      <c r="H13" s="35">
        <f t="shared" si="1"/>
        <v>-14.2610441767068</v>
      </c>
      <c r="I13" s="35">
        <f t="shared" si="1"/>
        <v>-30.9474476854788</v>
      </c>
      <c r="J13" s="35">
        <f t="shared" si="1"/>
        <v>-11.309289790742</v>
      </c>
      <c r="K13" s="35">
        <f t="shared" si="1"/>
        <v>82.4056224899599</v>
      </c>
      <c r="L13" s="35">
        <f t="shared" si="1"/>
        <v>46.3047452969774</v>
      </c>
      <c r="M13" s="35">
        <f t="shared" si="1"/>
        <v>-19.0242020714437</v>
      </c>
      <c r="N13" s="35">
        <f t="shared" si="1"/>
        <v>-30.293782271945</v>
      </c>
      <c r="O13" s="35">
        <f t="shared" si="1"/>
        <v>-12.5943775100402</v>
      </c>
      <c r="P13" s="35">
        <f t="shared" si="1"/>
        <v>12.4347891566265</v>
      </c>
      <c r="Q13" s="35">
        <f t="shared" si="1"/>
        <v>15.673479632817</v>
      </c>
      <c r="R13" s="35">
        <f t="shared" si="1"/>
        <v>77.3814996829423</v>
      </c>
      <c r="S13" s="35">
        <f t="shared" si="1"/>
        <v>16.409498458952</v>
      </c>
      <c r="T13" s="35">
        <f t="shared" si="1"/>
        <v>8.71182404034744</v>
      </c>
    </row>
    <row r="14" ht="15.95" customHeight="1" spans="1:20">
      <c r="A14" s="34" t="s">
        <v>14</v>
      </c>
      <c r="B14" s="34" t="s">
        <v>1756</v>
      </c>
      <c r="C14" s="35">
        <f>AVERAGEIFS(原始分!$O$2:$O$1664,原始分!$B$2:$B$1664,C2)</f>
        <v>290.420634920635</v>
      </c>
      <c r="D14" s="35">
        <f>AVERAGEIFS(原始分!$O$2:$O$1664,原始分!$B$2:$B$1664,D2)</f>
        <v>288.776041666667</v>
      </c>
      <c r="E14" s="35">
        <f>AVERAGEIFS(原始分!$O$2:$O$1664,原始分!$B$2:$B$1664,E2)</f>
        <v>286.775510204082</v>
      </c>
      <c r="F14" s="35">
        <f>AVERAGEIFS(原始分!$O$2:$O$1664,原始分!$B$2:$B$1664,F2)</f>
        <v>291.346590909091</v>
      </c>
      <c r="G14" s="35">
        <f>AVERAGEIFS(原始分!$O$2:$O$1664,原始分!$B$2:$B$1664,G2)</f>
        <v>297.191489361702</v>
      </c>
      <c r="H14" s="35">
        <f>AVERAGEIFS(原始分!$O$2:$O$1664,原始分!$B$2:$B$1664,H2)</f>
        <v>279.057692307692</v>
      </c>
      <c r="I14" s="35">
        <f>AVERAGEIFS(原始分!$O$2:$O$1664,原始分!$B$2:$B$1664,I2)</f>
        <v>275.546052631579</v>
      </c>
      <c r="J14" s="35">
        <f>AVERAGEIFS(原始分!$O$2:$O$1664,原始分!$B$2:$B$1664,J2)</f>
        <v>287.232456140351</v>
      </c>
      <c r="K14" s="35">
        <f>AVERAGEIFS(原始分!$O$2:$O$1664,原始分!$B$2:$B$1664,K2)</f>
        <v>336.87962962963</v>
      </c>
      <c r="L14" s="35">
        <f>AVERAGEIFS(原始分!$O$2:$O$1664,原始分!$B$2:$B$1664,L2)</f>
        <v>314.828947368421</v>
      </c>
      <c r="M14" s="35">
        <f>AVERAGEIFS(原始分!$O$2:$O$1664,原始分!$B$2:$B$1664,M2)</f>
        <v>282.811403508772</v>
      </c>
      <c r="N14" s="35">
        <f>AVERAGEIFS(原始分!$O$2:$O$1664,原始分!$B$2:$B$1664,N2)</f>
        <v>278.8125</v>
      </c>
      <c r="O14" s="35">
        <f>AVERAGEIFS(原始分!$O$2:$O$1664,原始分!$B$2:$B$1664,O2)</f>
        <v>284.305555555556</v>
      </c>
      <c r="P14" s="35">
        <f>AVERAGEIFS(原始分!$O$2:$O$1664,原始分!$B$2:$B$1664,P2)</f>
        <v>290.74375</v>
      </c>
      <c r="Q14" s="35">
        <f>AVERAGEIFS(原始分!$O$2:$O$1664,原始分!$B$2:$B$1664,Q2)</f>
        <v>290.422619047619</v>
      </c>
      <c r="R14" s="35">
        <f>AVERAGEIFS(原始分!$O$2:$O$1664,原始分!$B$2:$B$1664,R2)</f>
        <v>332.585526315789</v>
      </c>
      <c r="S14" s="35">
        <f>AVERAGEIFS(原始分!$O$2:$O$1664,原始分!$B$2:$B$1664,S2)</f>
        <v>290.145348837209</v>
      </c>
      <c r="T14" s="35">
        <f>AVERAGEIFS(原始分!$O$2:$O$1664,原始分!$B$2:$B$1664,T2)</f>
        <v>286.494186046512</v>
      </c>
    </row>
    <row r="15" ht="15.95" customHeight="1" spans="1:20">
      <c r="A15" s="34"/>
      <c r="B15" s="34" t="s">
        <v>1758</v>
      </c>
      <c r="C15" s="34">
        <f>RANK(C14,$C$14:$T$14)</f>
        <v>8</v>
      </c>
      <c r="D15" s="34">
        <f>RANK(D14,$C$14:$T$14)</f>
        <v>10</v>
      </c>
      <c r="E15" s="34">
        <f t="shared" ref="E15:T15" si="2">RANK(E14,$C$14:$T$14)</f>
        <v>12</v>
      </c>
      <c r="F15" s="34">
        <f t="shared" si="2"/>
        <v>5</v>
      </c>
      <c r="G15" s="34">
        <f t="shared" si="2"/>
        <v>4</v>
      </c>
      <c r="H15" s="34">
        <f t="shared" si="2"/>
        <v>16</v>
      </c>
      <c r="I15" s="34">
        <f t="shared" si="2"/>
        <v>18</v>
      </c>
      <c r="J15" s="34">
        <f t="shared" si="2"/>
        <v>11</v>
      </c>
      <c r="K15" s="34">
        <f t="shared" si="2"/>
        <v>1</v>
      </c>
      <c r="L15" s="34">
        <f t="shared" si="2"/>
        <v>3</v>
      </c>
      <c r="M15" s="34">
        <f t="shared" si="2"/>
        <v>15</v>
      </c>
      <c r="N15" s="34">
        <f t="shared" si="2"/>
        <v>17</v>
      </c>
      <c r="O15" s="34">
        <f t="shared" si="2"/>
        <v>14</v>
      </c>
      <c r="P15" s="34">
        <f t="shared" si="2"/>
        <v>6</v>
      </c>
      <c r="Q15" s="34">
        <f t="shared" si="2"/>
        <v>7</v>
      </c>
      <c r="R15" s="34">
        <f t="shared" si="2"/>
        <v>2</v>
      </c>
      <c r="S15" s="34">
        <f t="shared" si="2"/>
        <v>9</v>
      </c>
      <c r="T15" s="34">
        <f t="shared" si="2"/>
        <v>13</v>
      </c>
    </row>
    <row r="16" ht="15.95" customHeight="1" spans="1:20">
      <c r="A16" s="34"/>
      <c r="B16" s="34" t="s">
        <v>1759</v>
      </c>
      <c r="C16" s="35">
        <f>C14-$L$9</f>
        <v>-3.25888176521084</v>
      </c>
      <c r="D16" s="35">
        <f t="shared" ref="D16:T16" si="3">D14-$L$9</f>
        <v>-4.9034750191791</v>
      </c>
      <c r="E16" s="35">
        <f t="shared" si="3"/>
        <v>-6.90400648176416</v>
      </c>
      <c r="F16" s="35">
        <f t="shared" si="3"/>
        <v>-2.33292577675485</v>
      </c>
      <c r="G16" s="35">
        <f t="shared" si="3"/>
        <v>3.51197267585633</v>
      </c>
      <c r="H16" s="35">
        <f t="shared" si="3"/>
        <v>-14.6218243781535</v>
      </c>
      <c r="I16" s="35">
        <f t="shared" si="3"/>
        <v>-18.1334640542668</v>
      </c>
      <c r="J16" s="35">
        <f t="shared" si="3"/>
        <v>-6.44706054549488</v>
      </c>
      <c r="K16" s="35">
        <f t="shared" si="3"/>
        <v>43.2001129437838</v>
      </c>
      <c r="L16" s="35">
        <f t="shared" si="3"/>
        <v>21.1494306825753</v>
      </c>
      <c r="M16" s="35">
        <f t="shared" si="3"/>
        <v>-10.8681131770738</v>
      </c>
      <c r="N16" s="35">
        <f t="shared" si="3"/>
        <v>-14.8670166858458</v>
      </c>
      <c r="O16" s="35">
        <f t="shared" si="3"/>
        <v>-9.37396113029024</v>
      </c>
      <c r="P16" s="35">
        <f t="shared" si="3"/>
        <v>-2.93576668584581</v>
      </c>
      <c r="Q16" s="35">
        <f t="shared" si="3"/>
        <v>-3.25689763822675</v>
      </c>
      <c r="R16" s="35">
        <f t="shared" si="3"/>
        <v>38.9060096299437</v>
      </c>
      <c r="S16" s="35">
        <f t="shared" si="3"/>
        <v>-3.53416784863646</v>
      </c>
      <c r="T16" s="35">
        <f t="shared" si="3"/>
        <v>-7.18533063933415</v>
      </c>
    </row>
    <row r="17" ht="15.95" customHeight="1" spans="1:20">
      <c r="A17" s="34"/>
      <c r="B17" s="34" t="s">
        <v>1760</v>
      </c>
      <c r="C17" s="30" t="s">
        <v>1761</v>
      </c>
      <c r="D17" s="30" t="s">
        <v>1762</v>
      </c>
      <c r="E17" s="14" t="s">
        <v>1763</v>
      </c>
      <c r="F17" s="30" t="s">
        <v>1764</v>
      </c>
      <c r="G17" s="14" t="s">
        <v>1765</v>
      </c>
      <c r="H17" s="30" t="s">
        <v>1766</v>
      </c>
      <c r="I17" s="30" t="s">
        <v>1767</v>
      </c>
      <c r="J17" s="30" t="s">
        <v>1768</v>
      </c>
      <c r="K17" s="30" t="s">
        <v>1769</v>
      </c>
      <c r="L17" s="30" t="s">
        <v>1770</v>
      </c>
      <c r="M17" s="30" t="s">
        <v>1771</v>
      </c>
      <c r="N17" s="14" t="s">
        <v>1772</v>
      </c>
      <c r="O17" s="30" t="s">
        <v>1773</v>
      </c>
      <c r="P17" s="30" t="s">
        <v>1774</v>
      </c>
      <c r="Q17" s="14" t="s">
        <v>1775</v>
      </c>
      <c r="R17" s="30" t="s">
        <v>1776</v>
      </c>
      <c r="S17" s="30" t="s">
        <v>1777</v>
      </c>
      <c r="T17" s="30" t="s">
        <v>1778</v>
      </c>
    </row>
    <row r="18" ht="15.95" customHeight="1" spans="1:20">
      <c r="A18" s="9" t="s">
        <v>5</v>
      </c>
      <c r="B18" s="9" t="s">
        <v>1756</v>
      </c>
      <c r="C18" s="39">
        <f>AVERAGEIFS(原始分!$F$2:$F$1664,原始分!$B$2:$B$1664,C2)</f>
        <v>99.1547619047619</v>
      </c>
      <c r="D18" s="39">
        <f>AVERAGEIFS(原始分!$F$2:$F$1664,原始分!$B$2:$B$1664,D2)</f>
        <v>99.1875</v>
      </c>
      <c r="E18" s="39">
        <f>AVERAGEIFS(原始分!$F$2:$F$1664,原始分!$B$2:$B$1664,E2)</f>
        <v>94.9234693877551</v>
      </c>
      <c r="F18" s="39">
        <f>AVERAGEIFS(原始分!$F$2:$F$1664,原始分!$B$2:$B$1664,F2)</f>
        <v>96.4147727272727</v>
      </c>
      <c r="G18" s="39">
        <f>AVERAGEIFS(原始分!$F$2:$F$1664,原始分!$B$2:$B$1664,G2)</f>
        <v>96.2234042553192</v>
      </c>
      <c r="H18" s="39">
        <f>AVERAGEIFS(原始分!$F$2:$F$1664,原始分!$B$2:$B$1664,H2)</f>
        <v>97.0512820512821</v>
      </c>
      <c r="I18" s="39">
        <f>AVERAGEIFS(原始分!$F$2:$F$1664,原始分!$B$2:$B$1664,I2)</f>
        <v>97.6644736842105</v>
      </c>
      <c r="J18" s="39">
        <f>AVERAGEIFS(原始分!$F$2:$F$1664,原始分!$B$2:$B$1664,J2)</f>
        <v>98.640350877193</v>
      </c>
      <c r="K18" s="39">
        <f>AVERAGEIFS(原始分!$F$2:$F$1664,原始分!$B$2:$B$1664,K2)</f>
        <v>102.828703703704</v>
      </c>
      <c r="L18" s="39">
        <f>AVERAGEIFS(原始分!$F$2:$F$1664,原始分!$B$2:$B$1664,L2)</f>
        <v>102.171052631579</v>
      </c>
      <c r="M18" s="39">
        <f>AVERAGEIFS(原始分!$F$2:$F$1664,原始分!$B$2:$B$1664,M2)</f>
        <v>96.8640350877193</v>
      </c>
      <c r="N18" s="39">
        <f>AVERAGEIFS(原始分!$F$2:$F$1664,原始分!$B$2:$B$1664,N2)</f>
        <v>95.53125</v>
      </c>
      <c r="O18" s="39">
        <f>AVERAGEIFS(原始分!$F$2:$F$1664,原始分!$B$2:$B$1664,O2)</f>
        <v>97.3240740740741</v>
      </c>
      <c r="P18" s="39">
        <f>AVERAGEIFS(原始分!$F$2:$F$1664,原始分!$B$2:$B$1664,P2)</f>
        <v>100.00625</v>
      </c>
      <c r="Q18" s="39">
        <f>AVERAGEIFS(原始分!$F$2:$F$1664,原始分!$B$2:$B$1664,Q2)</f>
        <v>99.7261904761905</v>
      </c>
      <c r="R18" s="39">
        <f>AVERAGEIFS(原始分!$F$2:$F$1664,原始分!$B$2:$B$1664,R2)</f>
        <v>106.546052631579</v>
      </c>
      <c r="S18" s="39">
        <f>AVERAGEIFS(原始分!$F$2:$F$1664,原始分!$B$2:$B$1664,S2)</f>
        <v>102.046511627907</v>
      </c>
      <c r="T18" s="39">
        <f>AVERAGEIFS(原始分!$F$2:$F$1664,原始分!$B$2:$B$1664,T2)</f>
        <v>102.982558139535</v>
      </c>
    </row>
    <row r="19" ht="15.95" customHeight="1" spans="1:20">
      <c r="A19" s="9"/>
      <c r="B19" s="9" t="s">
        <v>1758</v>
      </c>
      <c r="C19" s="9">
        <f>RANK(C18,$C$18:$T$18)</f>
        <v>9</v>
      </c>
      <c r="D19" s="9">
        <f t="shared" ref="D19:T19" si="4">RANK(D18,$C$18:$T$18)</f>
        <v>8</v>
      </c>
      <c r="E19" s="9">
        <f t="shared" si="4"/>
        <v>18</v>
      </c>
      <c r="F19" s="9">
        <f t="shared" si="4"/>
        <v>15</v>
      </c>
      <c r="G19" s="9">
        <f t="shared" si="4"/>
        <v>16</v>
      </c>
      <c r="H19" s="9">
        <f t="shared" si="4"/>
        <v>13</v>
      </c>
      <c r="I19" s="9">
        <f t="shared" si="4"/>
        <v>11</v>
      </c>
      <c r="J19" s="9">
        <f t="shared" si="4"/>
        <v>10</v>
      </c>
      <c r="K19" s="9">
        <f t="shared" si="4"/>
        <v>3</v>
      </c>
      <c r="L19" s="9">
        <f t="shared" si="4"/>
        <v>4</v>
      </c>
      <c r="M19" s="9">
        <f t="shared" si="4"/>
        <v>14</v>
      </c>
      <c r="N19" s="9">
        <f t="shared" si="4"/>
        <v>17</v>
      </c>
      <c r="O19" s="9">
        <f t="shared" si="4"/>
        <v>12</v>
      </c>
      <c r="P19" s="9">
        <f t="shared" si="4"/>
        <v>6</v>
      </c>
      <c r="Q19" s="9">
        <f t="shared" si="4"/>
        <v>7</v>
      </c>
      <c r="R19" s="9">
        <f t="shared" si="4"/>
        <v>1</v>
      </c>
      <c r="S19" s="9">
        <f t="shared" si="4"/>
        <v>5</v>
      </c>
      <c r="T19" s="9">
        <f t="shared" si="4"/>
        <v>2</v>
      </c>
    </row>
    <row r="20" ht="15.95" customHeight="1" spans="1:20">
      <c r="A20" s="9"/>
      <c r="B20" s="9" t="s">
        <v>1759</v>
      </c>
      <c r="C20" s="39">
        <f>C18-$C$9</f>
        <v>0.0762233547043536</v>
      </c>
      <c r="D20" s="39">
        <f t="shared" ref="D20:T20" si="5">D18-$C$9</f>
        <v>0.108961449942456</v>
      </c>
      <c r="E20" s="39">
        <f t="shared" si="5"/>
        <v>-4.15506916230244</v>
      </c>
      <c r="F20" s="39">
        <f t="shared" si="5"/>
        <v>-2.66376582278481</v>
      </c>
      <c r="G20" s="39">
        <f t="shared" si="5"/>
        <v>-2.85513429473839</v>
      </c>
      <c r="H20" s="39">
        <f t="shared" si="5"/>
        <v>-2.02725649877549</v>
      </c>
      <c r="I20" s="39">
        <f t="shared" si="5"/>
        <v>-1.41406486584702</v>
      </c>
      <c r="J20" s="39">
        <f t="shared" si="5"/>
        <v>-0.438187672864558</v>
      </c>
      <c r="K20" s="39">
        <f t="shared" si="5"/>
        <v>3.75016515364616</v>
      </c>
      <c r="L20" s="39">
        <f t="shared" si="5"/>
        <v>3.0925140815214</v>
      </c>
      <c r="M20" s="39">
        <f t="shared" si="5"/>
        <v>-2.21450346233824</v>
      </c>
      <c r="N20" s="39">
        <f t="shared" si="5"/>
        <v>-3.54728855005754</v>
      </c>
      <c r="O20" s="39">
        <f t="shared" si="5"/>
        <v>-1.75446447598347</v>
      </c>
      <c r="P20" s="39">
        <f t="shared" si="5"/>
        <v>0.92771144994245</v>
      </c>
      <c r="Q20" s="39">
        <f t="shared" si="5"/>
        <v>0.647651926132937</v>
      </c>
      <c r="R20" s="39">
        <f t="shared" si="5"/>
        <v>7.4675140815214</v>
      </c>
      <c r="S20" s="39">
        <f t="shared" si="5"/>
        <v>2.96797307784944</v>
      </c>
      <c r="T20" s="39">
        <f t="shared" si="5"/>
        <v>3.90401958947734</v>
      </c>
    </row>
    <row r="21" ht="15.95" customHeight="1" spans="1:20">
      <c r="A21" s="9"/>
      <c r="B21" s="9" t="s">
        <v>1779</v>
      </c>
      <c r="C21" s="158">
        <f t="array" ref="C21">SUM((原始分!$B$2:$B$1664=C2)*(原始分!$F$2:$F$1664&gt;=90))/C5</f>
        <v>0.904761904761905</v>
      </c>
      <c r="D21" s="158">
        <f t="array" ref="D21">SUM((原始分!$B$2:$B$1664=D2)*(原始分!$F$2:$F$1664&gt;=90))/D5</f>
        <v>0.979166666666667</v>
      </c>
      <c r="E21" s="158">
        <f t="array" ref="E21">SUM((原始分!$B$2:$B$1664=E2)*(原始分!$F$2:$F$1664&gt;=90))/E5</f>
        <v>0.836734693877551</v>
      </c>
      <c r="F21" s="158">
        <f t="array" ref="F21">SUM((原始分!$B$2:$B$1664=F2)*(原始分!$F$2:$F$1664&gt;=90))/F5</f>
        <v>0.727272727272727</v>
      </c>
      <c r="G21" s="158">
        <f t="array" ref="G21">SUM((原始分!$B$2:$B$1664=G2)*(原始分!$F$2:$F$1664&gt;=90))/G5</f>
        <v>0.851063829787234</v>
      </c>
      <c r="H21" s="158">
        <f t="array" ref="H21">SUM((原始分!$B$2:$B$1664=H2)*(原始分!$F$2:$F$1664&gt;=90))/H5</f>
        <v>0.846153846153846</v>
      </c>
      <c r="I21" s="158">
        <f t="array" ref="I21">SUM((原始分!$B$2:$B$1664=I2)*(原始分!$F$2:$F$1664&gt;=90))/I5</f>
        <v>0.868421052631579</v>
      </c>
      <c r="J21" s="158">
        <f t="array" ref="J21">SUM((原始分!$B$2:$B$1664=J2)*(原始分!$F$2:$F$1664&gt;=90))/J5</f>
        <v>0.87719298245614</v>
      </c>
      <c r="K21" s="158">
        <f t="array" ref="K21">SUM((原始分!$B$2:$B$1664=K2)*(原始分!$F$2:$F$1664&gt;=90))/K5</f>
        <v>1</v>
      </c>
      <c r="L21" s="158">
        <f t="array" ref="L21">SUM((原始分!$B$2:$B$1664=L2)*(原始分!$F$2:$F$1664&gt;=90))/L5</f>
        <v>0.982456140350877</v>
      </c>
      <c r="M21" s="158">
        <f t="array" ref="M21">SUM((原始分!$B$2:$B$1664=M2)*(原始分!$F$2:$F$1664&gt;=90))/M5</f>
        <v>0.894736842105263</v>
      </c>
      <c r="N21" s="158">
        <f t="array" ref="N21">SUM((原始分!$B$2:$B$1664=N2)*(原始分!$F$2:$F$1664&gt;=90))/N5</f>
        <v>0.803571428571429</v>
      </c>
      <c r="O21" s="158">
        <f t="array" ref="O21">SUM((原始分!$B$2:$B$1664=O2)*(原始分!$F$2:$F$1664&gt;=90))/O5</f>
        <v>0.888888888888889</v>
      </c>
      <c r="P21" s="158">
        <f t="array" ref="P21">SUM((原始分!$B$2:$B$1664=P2)*(原始分!$F$2:$F$1664&gt;=90))/P5</f>
        <v>0.925</v>
      </c>
      <c r="Q21" s="158">
        <f t="array" ref="Q21">SUM((原始分!$B$2:$B$1664=Q2)*(原始分!$F$2:$F$1664&gt;=90))/Q5</f>
        <v>0.952380952380952</v>
      </c>
      <c r="R21" s="158">
        <f t="array" ref="R21">SUM((原始分!$B$2:$B$1664=R2)*(原始分!$F$2:$F$1664&gt;=90))/R5</f>
        <v>1</v>
      </c>
      <c r="S21" s="158">
        <f t="array" ref="S21">SUM((原始分!$B$2:$B$1664=S2)*(原始分!$F$2:$F$1664&gt;=90))/S5</f>
        <v>0.976744186046512</v>
      </c>
      <c r="T21" s="158">
        <f t="array" ref="T21">SUM((原始分!$B$2:$B$1664=T2)*(原始分!$F$2:$F$1664&gt;=90))/T5</f>
        <v>1</v>
      </c>
    </row>
    <row r="22" ht="15.95" customHeight="1" spans="1:20">
      <c r="A22" s="9"/>
      <c r="B22" s="9" t="s">
        <v>1780</v>
      </c>
      <c r="C22" s="158">
        <f t="array" ref="C22">SUM((原始分!$B$2:$B$1664=C2)*(原始分!$F$2:$F$1664&gt;=120))/C5</f>
        <v>0</v>
      </c>
      <c r="D22" s="158">
        <f t="array" ref="D22">SUM((原始分!$B$2:$B$1664=D2)*(原始分!$F$2:$F$1664&gt;=120))/D5</f>
        <v>0</v>
      </c>
      <c r="E22" s="158">
        <f t="array" ref="E22">SUM((原始分!$B$2:$B$1664=E2)*(原始分!$F$2:$F$1664&gt;=120))/E5</f>
        <v>0</v>
      </c>
      <c r="F22" s="158">
        <f t="array" ref="F22">SUM((原始分!$B$2:$B$1664=F2)*(原始分!$F$2:$F$1664&gt;=120))/F5</f>
        <v>0</v>
      </c>
      <c r="G22" s="158">
        <f t="array" ref="G22">SUM((原始分!$B$2:$B$1664=G2)*(原始分!$F$2:$F$1664&gt;=120))/G5</f>
        <v>0</v>
      </c>
      <c r="H22" s="158">
        <f t="array" ref="H22">SUM((原始分!$B$2:$B$1664=H2)*(原始分!$F$2:$F$1664&gt;=120))/H5</f>
        <v>0</v>
      </c>
      <c r="I22" s="158">
        <f t="array" ref="I22">SUM((原始分!$B$2:$B$1664=I2)*(原始分!$F$2:$F$1664&gt;=120))/I5</f>
        <v>0</v>
      </c>
      <c r="J22" s="158">
        <f t="array" ref="J22">SUM((原始分!$B$2:$B$1664=J2)*(原始分!$F$2:$F$1664&gt;=120))/J5</f>
        <v>0</v>
      </c>
      <c r="K22" s="158">
        <f t="array" ref="K22">SUM((原始分!$B$2:$B$1664=K2)*(原始分!$F$2:$F$1664&gt;=120))/K5</f>
        <v>0</v>
      </c>
      <c r="L22" s="158">
        <f t="array" ref="L22">SUM((原始分!$B$2:$B$1664=L2)*(原始分!$F$2:$F$1664&gt;=120))/L5</f>
        <v>0</v>
      </c>
      <c r="M22" s="158">
        <f t="array" ref="M22">SUM((原始分!$B$2:$B$1664=M2)*(原始分!$F$2:$F$1664&gt;=120))/M5</f>
        <v>0</v>
      </c>
      <c r="N22" s="158">
        <f t="array" ref="N22">SUM((原始分!$B$2:$B$1664=N2)*(原始分!$F$2:$F$1664&gt;=120))/N5</f>
        <v>0</v>
      </c>
      <c r="O22" s="158">
        <f t="array" ref="O22">SUM((原始分!$B$2:$B$1664=O2)*(原始分!$F$2:$F$1664&gt;=120))/O5</f>
        <v>0</v>
      </c>
      <c r="P22" s="158">
        <f t="array" ref="P22">SUM((原始分!$B$2:$B$1664=P2)*(原始分!$F$2:$F$1664&gt;=120))/P5</f>
        <v>0</v>
      </c>
      <c r="Q22" s="158">
        <f t="array" ref="Q22">SUM((原始分!$B$2:$B$1664=Q2)*(原始分!$F$2:$F$1664&gt;=120))/Q5</f>
        <v>0</v>
      </c>
      <c r="R22" s="158">
        <f t="array" ref="R22">SUM((原始分!$B$2:$B$1664=R2)*(原始分!$F$2:$F$1664&gt;=120))/R5</f>
        <v>0</v>
      </c>
      <c r="S22" s="158">
        <f t="array" ref="S22">SUM((原始分!$B$2:$B$1664=S2)*(原始分!$F$2:$F$1664&gt;=120))/S5</f>
        <v>0</v>
      </c>
      <c r="T22" s="158">
        <f t="array" ref="T22">SUM((原始分!$B$2:$B$1664=T2)*(原始分!$F$2:$F$1664&gt;=120))/T5</f>
        <v>0</v>
      </c>
    </row>
    <row r="23" ht="15.95" customHeight="1" spans="1:20">
      <c r="A23" s="9"/>
      <c r="B23" s="9" t="s">
        <v>1781</v>
      </c>
      <c r="C23" s="40" t="s">
        <v>1782</v>
      </c>
      <c r="D23" s="40" t="s">
        <v>1783</v>
      </c>
      <c r="E23" s="40" t="s">
        <v>1784</v>
      </c>
      <c r="F23" s="40" t="s">
        <v>1785</v>
      </c>
      <c r="G23" s="40" t="s">
        <v>1784</v>
      </c>
      <c r="H23" s="40" t="s">
        <v>1772</v>
      </c>
      <c r="I23" s="40" t="s">
        <v>1786</v>
      </c>
      <c r="J23" s="40" t="s">
        <v>1782</v>
      </c>
      <c r="K23" s="40" t="s">
        <v>1787</v>
      </c>
      <c r="L23" s="40" t="s">
        <v>1771</v>
      </c>
      <c r="M23" s="40" t="s">
        <v>1771</v>
      </c>
      <c r="N23" s="40" t="s">
        <v>1772</v>
      </c>
      <c r="O23" s="40" t="s">
        <v>1788</v>
      </c>
      <c r="P23" s="40" t="s">
        <v>1789</v>
      </c>
      <c r="Q23" s="40" t="s">
        <v>1788</v>
      </c>
      <c r="R23" s="40" t="s">
        <v>1790</v>
      </c>
      <c r="S23" s="40" t="s">
        <v>1783</v>
      </c>
      <c r="T23" s="40" t="s">
        <v>1786</v>
      </c>
    </row>
    <row r="24" ht="15.95" customHeight="1" spans="1:20">
      <c r="A24" s="34" t="s">
        <v>6</v>
      </c>
      <c r="B24" s="34" t="s">
        <v>1756</v>
      </c>
      <c r="C24" s="35">
        <f>AVERAGEIFS(原始分!$G$2:$G$1664,原始分!$B$2:$B$1664,C2)</f>
        <v>97.7936507936508</v>
      </c>
      <c r="D24" s="35">
        <f>AVERAGEIFS(原始分!$G$2:$G$1664,原始分!$B$2:$B$1664,D2)</f>
        <v>92.03125</v>
      </c>
      <c r="E24" s="35">
        <f>AVERAGEIFS(原始分!$G$2:$G$1664,原始分!$B$2:$B$1664,E2)</f>
        <v>96.7857142857143</v>
      </c>
      <c r="F24" s="35">
        <f>AVERAGEIFS(原始分!$G$2:$G$1664,原始分!$B$2:$B$1664,F2)</f>
        <v>100.477272727273</v>
      </c>
      <c r="G24" s="35">
        <f>AVERAGEIFS(原始分!$G$2:$G$1664,原始分!$B$2:$B$1664,G2)</f>
        <v>106.026595744681</v>
      </c>
      <c r="H24" s="35">
        <f>AVERAGEIFS(原始分!$G$2:$G$1664,原始分!$B$2:$B$1664,H2)</f>
        <v>89.1666666666667</v>
      </c>
      <c r="I24" s="35">
        <f>AVERAGEIFS(原始分!$G$2:$G$1664,原始分!$B$2:$B$1664,I2)</f>
        <v>92.7631578947368</v>
      </c>
      <c r="J24" s="35">
        <f>AVERAGEIFS(原始分!$G$2:$G$1664,原始分!$B$2:$B$1664,J2)</f>
        <v>98.3070175438596</v>
      </c>
      <c r="K24" s="35">
        <f>AVERAGEIFS(原始分!$G$2:$G$1664,原始分!$B$2:$B$1664,K2)</f>
        <v>121.069444444444</v>
      </c>
      <c r="L24" s="35">
        <f>AVERAGEIFS(原始分!$G$2:$G$1664,原始分!$B$2:$B$1664,L2)</f>
        <v>110.263157894737</v>
      </c>
      <c r="M24" s="35">
        <f>AVERAGEIFS(原始分!$G$2:$G$1664,原始分!$B$2:$B$1664,M2)</f>
        <v>96.7017543859649</v>
      </c>
      <c r="N24" s="35">
        <f>AVERAGEIFS(原始分!$G$2:$G$1664,原始分!$B$2:$B$1664,N2)</f>
        <v>95.8214285714286</v>
      </c>
      <c r="O24" s="35">
        <f>AVERAGEIFS(原始分!$G$2:$G$1664,原始分!$B$2:$B$1664,O2)</f>
        <v>98.3611111111111</v>
      </c>
      <c r="P24" s="35">
        <f>AVERAGEIFS(原始分!$G$2:$G$1664,原始分!$B$2:$B$1664,P2)</f>
        <v>91.125</v>
      </c>
      <c r="Q24" s="35">
        <f>AVERAGEIFS(原始分!$G$2:$G$1664,原始分!$B$2:$B$1664,Q2)</f>
        <v>91.3809523809524</v>
      </c>
      <c r="R24" s="35">
        <f>AVERAGEIFS(原始分!$G$2:$G$1664,原始分!$B$2:$B$1664,R2)</f>
        <v>107.078947368421</v>
      </c>
      <c r="S24" s="35">
        <f>AVERAGEIFS(原始分!$G$2:$G$1664,原始分!$B$2:$B$1664,S2)</f>
        <v>87.7674418604651</v>
      </c>
      <c r="T24" s="35">
        <f>AVERAGEIFS(原始分!$G$2:$G$1664,原始分!$B$2:$B$1664,T2)</f>
        <v>84.7209302325581</v>
      </c>
    </row>
    <row r="25" ht="15.95" customHeight="1" spans="1:20">
      <c r="A25" s="34"/>
      <c r="B25" s="34" t="s">
        <v>1758</v>
      </c>
      <c r="C25" s="34">
        <f>RANK(C24,$C$24:$T$24)</f>
        <v>8</v>
      </c>
      <c r="D25" s="34">
        <f t="shared" ref="D25:T25" si="6">RANK(D24,$C$24:$T$24)</f>
        <v>13</v>
      </c>
      <c r="E25" s="34">
        <f t="shared" si="6"/>
        <v>9</v>
      </c>
      <c r="F25" s="34">
        <f t="shared" si="6"/>
        <v>5</v>
      </c>
      <c r="G25" s="34">
        <f t="shared" si="6"/>
        <v>4</v>
      </c>
      <c r="H25" s="34">
        <f t="shared" si="6"/>
        <v>16</v>
      </c>
      <c r="I25" s="34">
        <f t="shared" si="6"/>
        <v>12</v>
      </c>
      <c r="J25" s="34">
        <f t="shared" si="6"/>
        <v>7</v>
      </c>
      <c r="K25" s="34">
        <f t="shared" si="6"/>
        <v>1</v>
      </c>
      <c r="L25" s="34">
        <f t="shared" si="6"/>
        <v>2</v>
      </c>
      <c r="M25" s="34">
        <f t="shared" si="6"/>
        <v>10</v>
      </c>
      <c r="N25" s="34">
        <f t="shared" si="6"/>
        <v>11</v>
      </c>
      <c r="O25" s="34">
        <f t="shared" si="6"/>
        <v>6</v>
      </c>
      <c r="P25" s="34">
        <f t="shared" si="6"/>
        <v>15</v>
      </c>
      <c r="Q25" s="34">
        <f t="shared" si="6"/>
        <v>14</v>
      </c>
      <c r="R25" s="34">
        <f t="shared" si="6"/>
        <v>3</v>
      </c>
      <c r="S25" s="34">
        <f t="shared" si="6"/>
        <v>17</v>
      </c>
      <c r="T25" s="34">
        <f t="shared" si="6"/>
        <v>18</v>
      </c>
    </row>
    <row r="26" ht="15.95" customHeight="1" spans="1:20">
      <c r="A26" s="34"/>
      <c r="B26" s="34" t="s">
        <v>1759</v>
      </c>
      <c r="C26" s="35">
        <f>C24-$D$9</f>
        <v>-0.379536778270946</v>
      </c>
      <c r="D26" s="35">
        <f t="shared" ref="D26:T26" si="7">D24-$D$9</f>
        <v>-6.14193757192174</v>
      </c>
      <c r="E26" s="35">
        <f t="shared" si="7"/>
        <v>-1.38747328620745</v>
      </c>
      <c r="F26" s="35">
        <f t="shared" si="7"/>
        <v>2.30408515535099</v>
      </c>
      <c r="G26" s="35">
        <f t="shared" si="7"/>
        <v>7.8534081727591</v>
      </c>
      <c r="H26" s="35">
        <f t="shared" si="7"/>
        <v>-9.00652090525507</v>
      </c>
      <c r="I26" s="35">
        <f t="shared" si="7"/>
        <v>-5.41002967718491</v>
      </c>
      <c r="J26" s="35">
        <f t="shared" si="7"/>
        <v>0.133829971937899</v>
      </c>
      <c r="K26" s="35">
        <f t="shared" si="7"/>
        <v>22.8962568725227</v>
      </c>
      <c r="L26" s="35">
        <f t="shared" si="7"/>
        <v>12.0899703228151</v>
      </c>
      <c r="M26" s="35">
        <f t="shared" si="7"/>
        <v>-1.47143318595683</v>
      </c>
      <c r="N26" s="35">
        <f t="shared" si="7"/>
        <v>-2.35175900049317</v>
      </c>
      <c r="O26" s="35">
        <f t="shared" si="7"/>
        <v>0.18792353918937</v>
      </c>
      <c r="P26" s="35">
        <f t="shared" si="7"/>
        <v>-7.04818757192174</v>
      </c>
      <c r="Q26" s="35">
        <f t="shared" si="7"/>
        <v>-6.79223519096936</v>
      </c>
      <c r="R26" s="35">
        <f t="shared" si="7"/>
        <v>8.90575979649931</v>
      </c>
      <c r="S26" s="35">
        <f t="shared" si="7"/>
        <v>-10.4057457114566</v>
      </c>
      <c r="T26" s="35">
        <f t="shared" si="7"/>
        <v>-13.4522573393636</v>
      </c>
    </row>
    <row r="27" ht="15.95" customHeight="1" spans="1:20">
      <c r="A27" s="34"/>
      <c r="B27" s="34" t="s">
        <v>1779</v>
      </c>
      <c r="C27" s="159">
        <f t="array" ref="C27">SUM((原始分!$B$2:$B$1664=C2)*(原始分!$G$2:$G$1664&gt;=90))/C5</f>
        <v>0.73015873015873</v>
      </c>
      <c r="D27" s="159">
        <f t="array" ref="D27">SUM((原始分!$B$2:$B$1664=D2)*(原始分!$G$2:$G$1664&gt;=90))/D5</f>
        <v>0.645833333333333</v>
      </c>
      <c r="E27" s="159">
        <f t="array" ref="E27">SUM((原始分!$B$2:$B$1664=E2)*(原始分!$G$2:$G$1664&gt;=90))/E5</f>
        <v>0.673469387755102</v>
      </c>
      <c r="F27" s="159">
        <f t="array" ref="F27">SUM((原始分!$B$2:$B$1664=F2)*(原始分!$G$2:$G$1664&gt;=90))/F5</f>
        <v>0.772727272727273</v>
      </c>
      <c r="G27" s="159">
        <f t="array" ref="G27">SUM((原始分!$B$2:$B$1664=G2)*(原始分!$G$2:$G$1664&gt;=90))/G5</f>
        <v>0.893617021276596</v>
      </c>
      <c r="H27" s="159">
        <f t="array" ref="H27">SUM((原始分!$B$2:$B$1664=H2)*(原始分!$G$2:$G$1664&gt;=90))/H5</f>
        <v>0.487179487179487</v>
      </c>
      <c r="I27" s="159">
        <f t="array" ref="I27">SUM((原始分!$B$2:$B$1664=I2)*(原始分!$G$2:$G$1664&gt;=90))/I5</f>
        <v>0.552631578947368</v>
      </c>
      <c r="J27" s="159">
        <f t="array" ref="J27">SUM((原始分!$B$2:$B$1664=J2)*(原始分!$G$2:$G$1664&gt;=90))/J5</f>
        <v>0.754385964912281</v>
      </c>
      <c r="K27" s="159">
        <f t="array" ref="K27">SUM((原始分!$B$2:$B$1664=K2)*(原始分!$G$2:$G$1664&gt;=90))/K5</f>
        <v>0.981481481481482</v>
      </c>
      <c r="L27" s="159">
        <f t="array" ref="L27">SUM((原始分!$B$2:$B$1664=L2)*(原始分!$G$2:$G$1664&gt;=90))/L5</f>
        <v>0.982456140350877</v>
      </c>
      <c r="M27" s="159">
        <f t="array" ref="M27">SUM((原始分!$B$2:$B$1664=M2)*(原始分!$G$2:$G$1664&gt;=90))/M5</f>
        <v>0.701754385964912</v>
      </c>
      <c r="N27" s="159">
        <f t="array" ref="N27">SUM((原始分!$B$2:$B$1664=N2)*(原始分!$G$2:$G$1664&gt;=90))/N5</f>
        <v>0.767857142857143</v>
      </c>
      <c r="O27" s="159">
        <f t="array" ref="O27">SUM((原始分!$B$2:$B$1664=O2)*(原始分!$G$2:$G$1664&gt;=90))/O5</f>
        <v>0.685185185185185</v>
      </c>
      <c r="P27" s="159">
        <f t="array" ref="P27">SUM((原始分!$B$2:$B$1664=P2)*(原始分!$G$2:$G$1664&gt;=90))/P5</f>
        <v>0.6</v>
      </c>
      <c r="Q27" s="159">
        <f t="array" ref="Q27">SUM((原始分!$B$2:$B$1664=Q2)*(原始分!$G$2:$G$1664&gt;=90))/Q5</f>
        <v>0.5</v>
      </c>
      <c r="R27" s="159">
        <f t="array" ref="R27">SUM((原始分!$B$2:$B$1664=R2)*(原始分!$G$2:$G$1664&gt;=90))/R5</f>
        <v>0.921052631578947</v>
      </c>
      <c r="S27" s="159">
        <f t="array" ref="S27">SUM((原始分!$B$2:$B$1664=S2)*(原始分!$G$2:$G$1664&gt;=90))/S5</f>
        <v>0.534883720930233</v>
      </c>
      <c r="T27" s="159">
        <f t="array" ref="T27">SUM((原始分!$B$2:$B$1664=T2)*(原始分!$G$2:$G$1664&gt;=90))/T5</f>
        <v>0.465116279069767</v>
      </c>
    </row>
    <row r="28" ht="15.95" customHeight="1" spans="1:20">
      <c r="A28" s="34"/>
      <c r="B28" s="34" t="s">
        <v>1780</v>
      </c>
      <c r="C28" s="159">
        <f t="array" ref="C28">SUM((原始分!$B$2:$B$1664=C2)*(原始分!$G$2:$G$1664&gt;=120))/C5</f>
        <v>0.0634920634920635</v>
      </c>
      <c r="D28" s="159">
        <f t="array" ref="D28">SUM((原始分!$B$2:$B$1664=D2)*(原始分!$G$2:$G$1664&gt;=120))/D5</f>
        <v>0</v>
      </c>
      <c r="E28" s="159">
        <f t="array" ref="E28">SUM((原始分!$B$2:$B$1664=E2)*(原始分!$G$2:$G$1664&gt;=120))/E5</f>
        <v>0.0612244897959184</v>
      </c>
      <c r="F28" s="159">
        <f t="array" ref="F28">SUM((原始分!$B$2:$B$1664=F2)*(原始分!$G$2:$G$1664&gt;=120))/F5</f>
        <v>0.0454545454545455</v>
      </c>
      <c r="G28" s="159">
        <f t="array" ref="G28">SUM((原始分!$B$2:$B$1664=G2)*(原始分!$G$2:$G$1664&gt;=120))/G5</f>
        <v>0.127659574468085</v>
      </c>
      <c r="H28" s="159">
        <f t="array" ref="H28">SUM((原始分!$B$2:$B$1664=H2)*(原始分!$G$2:$G$1664&gt;=120))/H5</f>
        <v>0.0256410256410256</v>
      </c>
      <c r="I28" s="159">
        <f t="array" ref="I28">SUM((原始分!$B$2:$B$1664=I2)*(原始分!$G$2:$G$1664&gt;=120))/I5</f>
        <v>0</v>
      </c>
      <c r="J28" s="159">
        <f t="array" ref="J28">SUM((原始分!$B$2:$B$1664=J2)*(原始分!$G$2:$G$1664&gt;=120))/J5</f>
        <v>0.087719298245614</v>
      </c>
      <c r="K28" s="159">
        <f t="array" ref="K28">SUM((原始分!$B$2:$B$1664=K2)*(原始分!$G$2:$G$1664&gt;=120))/K5</f>
        <v>0.555555555555556</v>
      </c>
      <c r="L28" s="159">
        <f t="array" ref="L28">SUM((原始分!$B$2:$B$1664=L2)*(原始分!$G$2:$G$1664&gt;=120))/L5</f>
        <v>0.0701754385964912</v>
      </c>
      <c r="M28" s="159">
        <f t="array" ref="M28">SUM((原始分!$B$2:$B$1664=M2)*(原始分!$G$2:$G$1664&gt;=120))/M5</f>
        <v>0.087719298245614</v>
      </c>
      <c r="N28" s="159">
        <f t="array" ref="N28">SUM((原始分!$B$2:$B$1664=N2)*(原始分!$G$2:$G$1664&gt;=120))/N5</f>
        <v>0</v>
      </c>
      <c r="O28" s="159">
        <f t="array" ref="O28">SUM((原始分!$B$2:$B$1664=O2)*(原始分!$G$2:$G$1664&gt;=120))/O5</f>
        <v>0.0555555555555556</v>
      </c>
      <c r="P28" s="159">
        <f t="array" ref="P28">SUM((原始分!$B$2:$B$1664=P2)*(原始分!$G$2:$G$1664&gt;=120))/P5</f>
        <v>0</v>
      </c>
      <c r="Q28" s="159">
        <f t="array" ref="Q28">SUM((原始分!$B$2:$B$1664=Q2)*(原始分!$G$2:$G$1664&gt;=120))/Q5</f>
        <v>0.0238095238095238</v>
      </c>
      <c r="R28" s="159">
        <f t="array" ref="R28">SUM((原始分!$B$2:$B$1664=R2)*(原始分!$G$2:$G$1664&gt;=120))/R5</f>
        <v>0.131578947368421</v>
      </c>
      <c r="S28" s="159">
        <f t="array" ref="S28">SUM((原始分!$B$2:$B$1664=S2)*(原始分!$G$2:$G$1664&gt;=120))/S5</f>
        <v>0</v>
      </c>
      <c r="T28" s="159">
        <f t="array" ref="T28">SUM((原始分!$B$2:$B$1664=T2)*(原始分!$G$2:$G$1664&gt;=120))/T5</f>
        <v>0</v>
      </c>
    </row>
    <row r="29" ht="15.95" customHeight="1" spans="1:20">
      <c r="A29" s="34"/>
      <c r="B29" s="34" t="s">
        <v>1781</v>
      </c>
      <c r="C29" s="40" t="s">
        <v>1791</v>
      </c>
      <c r="D29" s="41" t="s">
        <v>1792</v>
      </c>
      <c r="E29" s="40" t="s">
        <v>1763</v>
      </c>
      <c r="F29" s="40" t="s">
        <v>1793</v>
      </c>
      <c r="G29" s="40" t="s">
        <v>1765</v>
      </c>
      <c r="H29" s="40" t="s">
        <v>294</v>
      </c>
      <c r="I29" s="40" t="s">
        <v>1794</v>
      </c>
      <c r="J29" s="40" t="s">
        <v>1794</v>
      </c>
      <c r="K29" s="40" t="s">
        <v>1769</v>
      </c>
      <c r="L29" s="40" t="s">
        <v>1770</v>
      </c>
      <c r="M29" s="40" t="s">
        <v>1763</v>
      </c>
      <c r="N29" s="40" t="s">
        <v>1795</v>
      </c>
      <c r="O29" s="40" t="s">
        <v>1777</v>
      </c>
      <c r="P29" s="40" t="s">
        <v>1774</v>
      </c>
      <c r="Q29" s="40" t="s">
        <v>1765</v>
      </c>
      <c r="R29" s="40" t="s">
        <v>1776</v>
      </c>
      <c r="S29" s="40" t="s">
        <v>1777</v>
      </c>
      <c r="T29" s="40" t="s">
        <v>1774</v>
      </c>
    </row>
    <row r="30" ht="15.95" customHeight="1" spans="1:20">
      <c r="A30" s="9" t="s">
        <v>7</v>
      </c>
      <c r="B30" s="9" t="s">
        <v>1756</v>
      </c>
      <c r="C30" s="39">
        <f>AVERAGEIFS(原始分!$H$2:$H$1664,原始分!$B$2:$B$1664,C2)</f>
        <v>93.4722222222222</v>
      </c>
      <c r="D30" s="39">
        <f>AVERAGEIFS(原始分!$H$2:$H$1664,原始分!$B$2:$B$1664,D2)</f>
        <v>97.5572916666667</v>
      </c>
      <c r="E30" s="39">
        <f>AVERAGEIFS(原始分!$H$2:$H$1664,原始分!$B$2:$B$1664,E2)</f>
        <v>95.0663265306122</v>
      </c>
      <c r="F30" s="39">
        <f>AVERAGEIFS(原始分!$H$2:$H$1664,原始分!$B$2:$B$1664,F2)</f>
        <v>94.4545454545455</v>
      </c>
      <c r="G30" s="39">
        <f>AVERAGEIFS(原始分!$H$2:$H$1664,原始分!$B$2:$B$1664,G2)</f>
        <v>94.9414893617021</v>
      </c>
      <c r="H30" s="39">
        <f>AVERAGEIFS(原始分!$H$2:$H$1664,原始分!$B$2:$B$1664,H2)</f>
        <v>92.8397435897436</v>
      </c>
      <c r="I30" s="39">
        <f>AVERAGEIFS(原始分!$H$2:$H$1664,原始分!$B$2:$B$1664,I2)</f>
        <v>85.1184210526316</v>
      </c>
      <c r="J30" s="39">
        <f>AVERAGEIFS(原始分!$H$2:$H$1664,原始分!$B$2:$B$1664,J2)</f>
        <v>90.2850877192982</v>
      </c>
      <c r="K30" s="39">
        <f>AVERAGEIFS(原始分!$H$2:$H$1664,原始分!$B$2:$B$1664,K2)</f>
        <v>112.981481481481</v>
      </c>
      <c r="L30" s="39">
        <f>AVERAGEIFS(原始分!$H$2:$H$1664,原始分!$B$2:$B$1664,L2)</f>
        <v>102.394736842105</v>
      </c>
      <c r="M30" s="39">
        <f>AVERAGEIFS(原始分!$H$2:$H$1664,原始分!$B$2:$B$1664,M2)</f>
        <v>89.2456140350877</v>
      </c>
      <c r="N30" s="39">
        <f>AVERAGEIFS(原始分!$H$2:$H$1664,原始分!$B$2:$B$1664,N2)</f>
        <v>87.4598214285714</v>
      </c>
      <c r="O30" s="39">
        <f>AVERAGEIFS(原始分!$H$2:$H$1664,原始分!$B$2:$B$1664,O2)</f>
        <v>88.6203703703704</v>
      </c>
      <c r="P30" s="39">
        <f>AVERAGEIFS(原始分!$H$2:$H$1664,原始分!$B$2:$B$1664,P2)</f>
        <v>99.6125</v>
      </c>
      <c r="Q30" s="39">
        <f>AVERAGEIFS(原始分!$H$2:$H$1664,原始分!$B$2:$B$1664,Q2)</f>
        <v>99.3154761904762</v>
      </c>
      <c r="R30" s="39">
        <f>AVERAGEIFS(原始分!$H$2:$H$1664,原始分!$B$2:$B$1664,R2)</f>
        <v>118.960526315789</v>
      </c>
      <c r="S30" s="39">
        <f>AVERAGEIFS(原始分!$H$2:$H$1664,原始分!$B$2:$B$1664,S2)</f>
        <v>100.331395348837</v>
      </c>
      <c r="T30" s="39">
        <f>AVERAGEIFS(原始分!$H$2:$H$1664,原始分!$B$2:$B$1664,T2)</f>
        <v>98.7906976744186</v>
      </c>
    </row>
    <row r="31" ht="15.95" customHeight="1" spans="1:20">
      <c r="A31" s="9"/>
      <c r="B31" s="9" t="s">
        <v>1758</v>
      </c>
      <c r="C31" s="9">
        <f>RANK(C30,$C$30:$T$30)</f>
        <v>12</v>
      </c>
      <c r="D31" s="9">
        <f t="shared" ref="D31:T31" si="8">RANK(D30,$C$30:$T$30)</f>
        <v>8</v>
      </c>
      <c r="E31" s="9">
        <f t="shared" si="8"/>
        <v>9</v>
      </c>
      <c r="F31" s="9">
        <f t="shared" si="8"/>
        <v>11</v>
      </c>
      <c r="G31" s="9">
        <f t="shared" si="8"/>
        <v>10</v>
      </c>
      <c r="H31" s="9">
        <f t="shared" si="8"/>
        <v>13</v>
      </c>
      <c r="I31" s="9">
        <f t="shared" si="8"/>
        <v>18</v>
      </c>
      <c r="J31" s="9">
        <f t="shared" si="8"/>
        <v>14</v>
      </c>
      <c r="K31" s="9">
        <f t="shared" si="8"/>
        <v>2</v>
      </c>
      <c r="L31" s="9">
        <f t="shared" si="8"/>
        <v>3</v>
      </c>
      <c r="M31" s="9">
        <f t="shared" si="8"/>
        <v>15</v>
      </c>
      <c r="N31" s="9">
        <f t="shared" si="8"/>
        <v>17</v>
      </c>
      <c r="O31" s="9">
        <f t="shared" si="8"/>
        <v>16</v>
      </c>
      <c r="P31" s="9">
        <f t="shared" si="8"/>
        <v>5</v>
      </c>
      <c r="Q31" s="9">
        <f t="shared" si="8"/>
        <v>6</v>
      </c>
      <c r="R31" s="9">
        <f t="shared" si="8"/>
        <v>1</v>
      </c>
      <c r="S31" s="9">
        <f t="shared" si="8"/>
        <v>4</v>
      </c>
      <c r="T31" s="9">
        <f t="shared" si="8"/>
        <v>7</v>
      </c>
    </row>
    <row r="32" ht="15.95" customHeight="1" spans="1:20">
      <c r="A32" s="9"/>
      <c r="B32" s="9" t="s">
        <v>1759</v>
      </c>
      <c r="C32" s="39">
        <f>C30-$E$9</f>
        <v>-2.95556834164428</v>
      </c>
      <c r="D32" s="39">
        <f t="shared" ref="D32:T32" si="9">D30-$E$9</f>
        <v>1.12950110280016</v>
      </c>
      <c r="E32" s="39">
        <f t="shared" si="9"/>
        <v>-1.36146403325426</v>
      </c>
      <c r="F32" s="39">
        <f t="shared" si="9"/>
        <v>-1.97324510932106</v>
      </c>
      <c r="G32" s="39">
        <f t="shared" si="9"/>
        <v>-1.48630120216438</v>
      </c>
      <c r="H32" s="39">
        <f t="shared" si="9"/>
        <v>-3.58804697412292</v>
      </c>
      <c r="I32" s="39">
        <f t="shared" si="9"/>
        <v>-11.3093695112349</v>
      </c>
      <c r="J32" s="39">
        <f t="shared" si="9"/>
        <v>-6.14270284456826</v>
      </c>
      <c r="K32" s="39">
        <f t="shared" si="9"/>
        <v>16.553690917615</v>
      </c>
      <c r="L32" s="39">
        <f t="shared" si="9"/>
        <v>5.96694627823875</v>
      </c>
      <c r="M32" s="39">
        <f t="shared" si="9"/>
        <v>-7.18217652877878</v>
      </c>
      <c r="N32" s="39">
        <f t="shared" si="9"/>
        <v>-8.96796913529508</v>
      </c>
      <c r="O32" s="39">
        <f t="shared" si="9"/>
        <v>-7.80742019349614</v>
      </c>
      <c r="P32" s="39">
        <f t="shared" si="9"/>
        <v>3.18470943613349</v>
      </c>
      <c r="Q32" s="39">
        <f t="shared" si="9"/>
        <v>2.88768562660968</v>
      </c>
      <c r="R32" s="39">
        <f t="shared" si="9"/>
        <v>22.532735751923</v>
      </c>
      <c r="S32" s="39">
        <f t="shared" si="9"/>
        <v>3.9036047849707</v>
      </c>
      <c r="T32" s="39">
        <f t="shared" si="9"/>
        <v>2.3629071105521</v>
      </c>
    </row>
    <row r="33" ht="15.95" customHeight="1" spans="1:20">
      <c r="A33" s="9"/>
      <c r="B33" s="9" t="s">
        <v>1779</v>
      </c>
      <c r="C33" s="158">
        <f t="array" ref="C33">SUM((原始分!$B$2:$B$1664=C2)*(原始分!$H$2:$H$1664&gt;=90))/C5</f>
        <v>0.603174603174603</v>
      </c>
      <c r="D33" s="158">
        <f t="array" ref="D33">SUM((原始分!$B$2:$B$1664=D2)*(原始分!$H$2:$H$1664&gt;=90))/D5</f>
        <v>0.770833333333333</v>
      </c>
      <c r="E33" s="158">
        <f t="array" ref="E33">SUM((原始分!$B$2:$B$1664=E2)*(原始分!$H$2:$H$1664&gt;=90))/E5</f>
        <v>0.612244897959184</v>
      </c>
      <c r="F33" s="158">
        <f t="array" ref="F33">SUM((原始分!$B$2:$B$1664=F2)*(原始分!$H$2:$H$1664&gt;=90))/F5</f>
        <v>0.727272727272727</v>
      </c>
      <c r="G33" s="158">
        <f t="array" ref="G33">SUM((原始分!$B$2:$B$1664=G2)*(原始分!$H$2:$H$1664&gt;=90))/G5</f>
        <v>0.659574468085106</v>
      </c>
      <c r="H33" s="158">
        <f t="array" ref="H33">SUM((原始分!$B$2:$B$1664=H2)*(原始分!$H$2:$H$1664&gt;=90))/H5</f>
        <v>0.615384615384615</v>
      </c>
      <c r="I33" s="158">
        <f t="array" ref="I33">SUM((原始分!$B$2:$B$1664=I2)*(原始分!$H$2:$H$1664&gt;=90))/I5</f>
        <v>0.368421052631579</v>
      </c>
      <c r="J33" s="158">
        <f t="array" ref="J33">SUM((原始分!$B$2:$B$1664=J2)*(原始分!$H$2:$H$1664&gt;=90))/J5</f>
        <v>0.526315789473684</v>
      </c>
      <c r="K33" s="158">
        <f t="array" ref="K33">SUM((原始分!$B$2:$B$1664=K2)*(原始分!$H$2:$H$1664&gt;=90))/K5</f>
        <v>0.981481481481482</v>
      </c>
      <c r="L33" s="158">
        <f t="array" ref="L33">SUM((原始分!$B$2:$B$1664=L2)*(原始分!$H$2:$H$1664&gt;=90))/L5</f>
        <v>0.859649122807018</v>
      </c>
      <c r="M33" s="158">
        <f t="array" ref="M33">SUM((原始分!$B$2:$B$1664=M2)*(原始分!$H$2:$H$1664&gt;=90))/M5</f>
        <v>0.56140350877193</v>
      </c>
      <c r="N33" s="158">
        <f t="array" ref="N33">SUM((原始分!$B$2:$B$1664=N2)*(原始分!$H$2:$H$1664&gt;=90))/N5</f>
        <v>0.517857142857143</v>
      </c>
      <c r="O33" s="158">
        <f t="array" ref="O33">SUM((原始分!$B$2:$B$1664=O2)*(原始分!$H$2:$H$1664&gt;=90))/O5</f>
        <v>0.444444444444444</v>
      </c>
      <c r="P33" s="158">
        <f t="array" ref="P33">SUM((原始分!$B$2:$B$1664=P2)*(原始分!$H$2:$H$1664&gt;=90))/P5</f>
        <v>0.8</v>
      </c>
      <c r="Q33" s="158">
        <f t="array" ref="Q33">SUM((原始分!$B$2:$B$1664=Q2)*(原始分!$H$2:$H$1664&gt;=90))/Q5</f>
        <v>0.761904761904762</v>
      </c>
      <c r="R33" s="158">
        <f t="array" ref="R33">SUM((原始分!$B$2:$B$1664=R2)*(原始分!$H$2:$H$1664&gt;=90))/R5</f>
        <v>1</v>
      </c>
      <c r="S33" s="158">
        <f t="array" ref="S33">SUM((原始分!$B$2:$B$1664=S2)*(原始分!$H$2:$H$1664&gt;=90))/S5</f>
        <v>0.767441860465116</v>
      </c>
      <c r="T33" s="158">
        <f t="array" ref="T33">SUM((原始分!$B$2:$B$1664=T2)*(原始分!$H$2:$H$1664&gt;=90))/T5</f>
        <v>0.697674418604651</v>
      </c>
    </row>
    <row r="34" ht="15.95" customHeight="1" spans="1:20">
      <c r="A34" s="9"/>
      <c r="B34" s="9" t="s">
        <v>1780</v>
      </c>
      <c r="C34" s="158">
        <f t="array" ref="C34">SUM((原始分!$B$2:$B$1664=C2)*(原始分!$H$2:$H$1664&gt;=120))/C5</f>
        <v>0.0158730158730159</v>
      </c>
      <c r="D34" s="158">
        <f t="array" ref="D34">SUM((原始分!$B$2:$B$1664=D2)*(原始分!$H$2:$H$1664&gt;=120))/D5</f>
        <v>0.0625</v>
      </c>
      <c r="E34" s="158">
        <f t="array" ref="E34">SUM((原始分!$B$2:$B$1664=E2)*(原始分!$H$2:$H$1664&gt;=120))/E5</f>
        <v>0.0204081632653061</v>
      </c>
      <c r="F34" s="158">
        <f t="array" ref="F34">SUM((原始分!$B$2:$B$1664=F2)*(原始分!$H$2:$H$1664&gt;=120))/F5</f>
        <v>0</v>
      </c>
      <c r="G34" s="158">
        <f t="array" ref="G34">SUM((原始分!$B$2:$B$1664=G2)*(原始分!$H$2:$H$1664&gt;=120))/G5</f>
        <v>0</v>
      </c>
      <c r="H34" s="158">
        <f t="array" ref="H34">SUM((原始分!$B$2:$B$1664=H2)*(原始分!$H$2:$H$1664&gt;=120))/H5</f>
        <v>0</v>
      </c>
      <c r="I34" s="158">
        <f t="array" ref="I34">SUM((原始分!$B$2:$B$1664=I2)*(原始分!$H$2:$H$1664&gt;=120))/I5</f>
        <v>0.0263157894736842</v>
      </c>
      <c r="J34" s="158">
        <f t="array" ref="J34">SUM((原始分!$B$2:$B$1664=J2)*(原始分!$H$2:$H$1664&gt;=120))/J5</f>
        <v>0</v>
      </c>
      <c r="K34" s="158">
        <f t="array" ref="K34">SUM((原始分!$B$2:$B$1664=K2)*(原始分!$H$2:$H$1664&gt;=120))/K5</f>
        <v>0.259259259259259</v>
      </c>
      <c r="L34" s="158">
        <f t="array" ref="L34">SUM((原始分!$B$2:$B$1664=L2)*(原始分!$H$2:$H$1664&gt;=120))/L5</f>
        <v>0.0175438596491228</v>
      </c>
      <c r="M34" s="158">
        <f t="array" ref="M34">SUM((原始分!$B$2:$B$1664=M2)*(原始分!$H$2:$H$1664&gt;=120))/M5</f>
        <v>0</v>
      </c>
      <c r="N34" s="158">
        <f t="array" ref="N34">SUM((原始分!$B$2:$B$1664=N2)*(原始分!$H$2:$H$1664&gt;=120))/N5</f>
        <v>0.0357142857142857</v>
      </c>
      <c r="O34" s="158">
        <f t="array" ref="O34">SUM((原始分!$B$2:$B$1664=O2)*(原始分!$H$2:$H$1664&gt;=120))/O5</f>
        <v>0</v>
      </c>
      <c r="P34" s="158">
        <f t="array" ref="P34">SUM((原始分!$B$2:$B$1664=P2)*(原始分!$H$2:$H$1664&gt;=120))/P5</f>
        <v>0</v>
      </c>
      <c r="Q34" s="158">
        <f t="array" ref="Q34">SUM((原始分!$B$2:$B$1664=Q2)*(原始分!$H$2:$H$1664&gt;=120))/Q5</f>
        <v>0.0714285714285714</v>
      </c>
      <c r="R34" s="158">
        <f t="array" ref="R34">SUM((原始分!$B$2:$B$1664=R2)*(原始分!$H$2:$H$1664&gt;=120))/R5</f>
        <v>0.5</v>
      </c>
      <c r="S34" s="158">
        <f t="array" ref="S34">SUM((原始分!$B$2:$B$1664=S2)*(原始分!$H$2:$H$1664&gt;=120))/S5</f>
        <v>0</v>
      </c>
      <c r="T34" s="158">
        <f t="array" ref="T34">SUM((原始分!$B$2:$B$1664=T2)*(原始分!$H$2:$H$1664&gt;=120))/T5</f>
        <v>0.0465116279069767</v>
      </c>
    </row>
    <row r="35" ht="15.95" customHeight="1" spans="1:20">
      <c r="A35" s="9"/>
      <c r="B35" s="9" t="s">
        <v>1781</v>
      </c>
      <c r="C35" s="40" t="s">
        <v>1796</v>
      </c>
      <c r="D35" s="40" t="s">
        <v>1797</v>
      </c>
      <c r="E35" s="40" t="s">
        <v>1798</v>
      </c>
      <c r="F35" s="40" t="s">
        <v>1764</v>
      </c>
      <c r="G35" s="40" t="s">
        <v>1798</v>
      </c>
      <c r="H35" s="40" t="s">
        <v>1799</v>
      </c>
      <c r="I35" s="40" t="s">
        <v>1767</v>
      </c>
      <c r="J35" s="40" t="s">
        <v>1764</v>
      </c>
      <c r="K35" s="40" t="s">
        <v>1800</v>
      </c>
      <c r="L35" s="40" t="s">
        <v>1801</v>
      </c>
      <c r="M35" s="40" t="s">
        <v>1767</v>
      </c>
      <c r="N35" s="40" t="s">
        <v>1802</v>
      </c>
      <c r="O35" s="40" t="s">
        <v>1803</v>
      </c>
      <c r="P35" s="40" t="s">
        <v>1803</v>
      </c>
      <c r="Q35" s="40" t="s">
        <v>1799</v>
      </c>
      <c r="R35" s="40" t="s">
        <v>1804</v>
      </c>
      <c r="S35" s="40" t="s">
        <v>1805</v>
      </c>
      <c r="T35" s="40" t="s">
        <v>1797</v>
      </c>
    </row>
    <row r="36" ht="15.95" customHeight="1" spans="1:20">
      <c r="A36" s="42" t="s">
        <v>1806</v>
      </c>
      <c r="B36" s="34" t="s">
        <v>1756</v>
      </c>
      <c r="C36" s="35">
        <f>AVERAGEIFS(原始分!$I$2:$I$1664,原始分!$B$2:$B$1664,C2)</f>
        <v>48.5634920634921</v>
      </c>
      <c r="D36" s="35">
        <f>AVERAGEIFS(原始分!$I$2:$I$1664,原始分!$B$2:$B$1664,D2)</f>
        <v>46.3229166666667</v>
      </c>
      <c r="E36" s="35">
        <f>AVERAGEIFS(原始分!$I$2:$I$1664,原始分!$B$2:$B$1664,E2)</f>
        <v>49.4285714285714</v>
      </c>
      <c r="F36" s="35">
        <f>AVERAGEIFS(原始分!$I$2:$I$1664,原始分!$B$2:$B$1664,F2)</f>
        <v>47.1931818181818</v>
      </c>
      <c r="G36" s="35">
        <f>AVERAGEIFS(原始分!$I$2:$I$1664,原始分!$B$2:$B$1664,G2)</f>
        <v>49.4148936170213</v>
      </c>
      <c r="H36" s="35">
        <f>AVERAGEIFS(原始分!$I$2:$I$1664,原始分!$B$2:$B$1664,H2)</f>
        <v>49.3076923076923</v>
      </c>
      <c r="I36" s="35">
        <f>AVERAGEIFS(原始分!$I$2:$I$1664,原始分!$B$2:$B$1664,I2)</f>
        <v>39.7368421052632</v>
      </c>
      <c r="J36" s="35">
        <f>AVERAGEIFS(原始分!$I$2:$I$1664,原始分!$B$2:$B$1664,J2)</f>
        <v>52.1315789473684</v>
      </c>
      <c r="K36" s="35">
        <f>AVERAGEIFS(原始分!$I$2:$I$1664,原始分!$B$2:$B$1664,K2)</f>
        <v>70.8240740740741</v>
      </c>
      <c r="L36" s="35">
        <f>AVERAGEIFS(原始分!$I$2:$I$1664,原始分!$B$2:$B$1664,L2)</f>
        <v>63.2982456140351</v>
      </c>
      <c r="M36" s="35">
        <f>AVERAGEIFS(原始分!$I$2:$I$1664,原始分!$B$2:$B$1664,M2)</f>
        <v>45.8947368421053</v>
      </c>
      <c r="N36" s="35">
        <f>AVERAGEIFS(原始分!$I$2:$I$1664,原始分!$B$2:$B$1664,N2)</f>
        <v>46.9285714285714</v>
      </c>
      <c r="O36" s="35">
        <f>AVERAGEIFS(原始分!$I$2:$I$1664,原始分!$B$2:$B$1664,O2)</f>
        <v>49.6574074074074</v>
      </c>
      <c r="P36" s="39">
        <f>AVERAGEIFS(原始分!$J$2:$J$1664,原始分!$B$2:$B$1664,P2)</f>
        <v>56.34375</v>
      </c>
      <c r="Q36" s="39">
        <f>AVERAGEIFS(原始分!$J$2:$J$1664,原始分!$B$2:$B$1664,Q2)</f>
        <v>55.6964285714286</v>
      </c>
      <c r="R36" s="39">
        <f>AVERAGEIFS(原始分!$J$2:$J$1664,原始分!$B$2:$B$1664,R2)</f>
        <v>62.4934210526316</v>
      </c>
      <c r="S36" s="39">
        <f>AVERAGEIFS(原始分!$J$2:$J$1664,原始分!$B$2:$B$1664,S2)</f>
        <v>55.6976744186046</v>
      </c>
      <c r="T36" s="39">
        <f>AVERAGEIFS(原始分!$J$2:$J$1664,原始分!$B$2:$B$1664,T2)</f>
        <v>54.4767441860465</v>
      </c>
    </row>
    <row r="37" ht="15.95" customHeight="1" spans="1:20">
      <c r="A37" s="42"/>
      <c r="B37" s="34" t="s">
        <v>1758</v>
      </c>
      <c r="C37" s="34">
        <f>RANK(C36,$C$36:$O$36)</f>
        <v>8</v>
      </c>
      <c r="D37" s="34">
        <f t="shared" ref="D37:O37" si="10">RANK(D36,$C$36:$O$36)</f>
        <v>11</v>
      </c>
      <c r="E37" s="34">
        <f t="shared" si="10"/>
        <v>5</v>
      </c>
      <c r="F37" s="34">
        <f t="shared" si="10"/>
        <v>9</v>
      </c>
      <c r="G37" s="34">
        <f t="shared" si="10"/>
        <v>6</v>
      </c>
      <c r="H37" s="34">
        <f t="shared" si="10"/>
        <v>7</v>
      </c>
      <c r="I37" s="34">
        <f t="shared" si="10"/>
        <v>13</v>
      </c>
      <c r="J37" s="34">
        <f t="shared" si="10"/>
        <v>3</v>
      </c>
      <c r="K37" s="34">
        <f t="shared" si="10"/>
        <v>1</v>
      </c>
      <c r="L37" s="34">
        <f t="shared" si="10"/>
        <v>2</v>
      </c>
      <c r="M37" s="34">
        <f t="shared" si="10"/>
        <v>12</v>
      </c>
      <c r="N37" s="34">
        <f t="shared" si="10"/>
        <v>10</v>
      </c>
      <c r="O37" s="34">
        <f t="shared" si="10"/>
        <v>4</v>
      </c>
      <c r="P37" s="9">
        <f>RANK(P36,$P$36:$T$36)</f>
        <v>2</v>
      </c>
      <c r="Q37" s="9">
        <f>RANK(Q36,$P$36:$T$36)</f>
        <v>4</v>
      </c>
      <c r="R37" s="9">
        <f>RANK(R36,$P$36:$T$36)</f>
        <v>1</v>
      </c>
      <c r="S37" s="9">
        <f>RANK(S36,$P$36:$T$36)</f>
        <v>3</v>
      </c>
      <c r="T37" s="9">
        <f>RANK(T36,$P$36:$T$36)</f>
        <v>5</v>
      </c>
    </row>
    <row r="38" ht="15.95" customHeight="1" spans="1:20">
      <c r="A38" s="42"/>
      <c r="B38" s="34" t="s">
        <v>1759</v>
      </c>
      <c r="C38" s="35">
        <f>C36-$F$9</f>
        <v>-2.51720175249587</v>
      </c>
      <c r="D38" s="35">
        <f t="shared" ref="D38:O38" si="11">D36-$F$9</f>
        <v>-4.75777714932127</v>
      </c>
      <c r="E38" s="35">
        <f t="shared" si="11"/>
        <v>-1.6521223874165</v>
      </c>
      <c r="F38" s="35">
        <f t="shared" si="11"/>
        <v>-3.88751199780611</v>
      </c>
      <c r="G38" s="35">
        <f t="shared" si="11"/>
        <v>-1.66580019896666</v>
      </c>
      <c r="H38" s="35">
        <f t="shared" si="11"/>
        <v>-1.77300150829563</v>
      </c>
      <c r="I38" s="35">
        <f t="shared" si="11"/>
        <v>-11.3438517107248</v>
      </c>
      <c r="J38" s="35">
        <f t="shared" si="11"/>
        <v>1.05088513138048</v>
      </c>
      <c r="K38" s="35">
        <f t="shared" si="11"/>
        <v>19.7433802580861</v>
      </c>
      <c r="L38" s="35">
        <f t="shared" si="11"/>
        <v>12.2175517980472</v>
      </c>
      <c r="M38" s="35">
        <f t="shared" si="11"/>
        <v>-5.18595697388267</v>
      </c>
      <c r="N38" s="35">
        <f t="shared" si="11"/>
        <v>-4.1521223874165</v>
      </c>
      <c r="O38" s="35">
        <f t="shared" si="11"/>
        <v>-1.42328640858053</v>
      </c>
      <c r="P38" s="39">
        <f>P36-$G$9</f>
        <v>-0.477851941747574</v>
      </c>
      <c r="Q38" s="39">
        <f>Q36-$G$9</f>
        <v>-1.125173370319</v>
      </c>
      <c r="R38" s="39">
        <f>R36-$G$9</f>
        <v>5.67181911088401</v>
      </c>
      <c r="S38" s="39">
        <f>S36-$G$9</f>
        <v>-1.12392752314292</v>
      </c>
      <c r="T38" s="39">
        <f>T36-$G$9</f>
        <v>-2.34485775570106</v>
      </c>
    </row>
    <row r="39" ht="15.95" customHeight="1" spans="1:20">
      <c r="A39" s="42"/>
      <c r="B39" s="34" t="s">
        <v>1779</v>
      </c>
      <c r="C39" s="159">
        <f t="array" ref="C39">SUM((原始分!$B$2:$B$1664=C2)*(原始分!$I$2:$I$1664&gt;=60))/C5</f>
        <v>0.19047619047619</v>
      </c>
      <c r="D39" s="159">
        <f t="array" ref="D39">SUM((原始分!$B$2:$B$1664=D2)*(原始分!$I$2:$I$1664&gt;=60))/D5</f>
        <v>0.166666666666667</v>
      </c>
      <c r="E39" s="159">
        <f t="array" ref="E39">SUM((原始分!$B$2:$B$1664=E2)*(原始分!$I$2:$I$1664&gt;=60))/E5</f>
        <v>0.244897959183673</v>
      </c>
      <c r="F39" s="159">
        <f t="array" ref="F39">SUM((原始分!$B$2:$B$1664=F2)*(原始分!$I$2:$I$1664&gt;=60))/F5</f>
        <v>0.0909090909090909</v>
      </c>
      <c r="G39" s="159">
        <f t="array" ref="G39">SUM((原始分!$B$2:$B$1664=G2)*(原始分!$I$2:$I$1664&gt;=60))/G5</f>
        <v>0.234042553191489</v>
      </c>
      <c r="H39" s="159">
        <f t="array" ref="H39">SUM((原始分!$B$2:$B$1664=H2)*(原始分!$I$2:$I$1664&gt;=60))/H5</f>
        <v>0.230769230769231</v>
      </c>
      <c r="I39" s="159">
        <f t="array" ref="I39">SUM((原始分!$B$2:$B$1664=I2)*(原始分!$I$2:$I$1664&gt;=60))/I5</f>
        <v>0.0526315789473684</v>
      </c>
      <c r="J39" s="159">
        <f t="array" ref="J39">SUM((原始分!$B$2:$B$1664=J2)*(原始分!$I$2:$I$1664&gt;=60))/J5</f>
        <v>0.298245614035088</v>
      </c>
      <c r="K39" s="159">
        <f t="array" ref="K39">SUM((原始分!$B$2:$B$1664=K2)*(原始分!$I$2:$I$1664&gt;=60))/K5</f>
        <v>0.851851851851852</v>
      </c>
      <c r="L39" s="159">
        <f t="array" ref="L39">SUM((原始分!$B$2:$B$1664=L2)*(原始分!$I$2:$I$1664&gt;=60))/L5</f>
        <v>0.701754385964912</v>
      </c>
      <c r="M39" s="159">
        <f t="array" ref="M39">SUM((原始分!$B$2:$B$1664=M2)*(原始分!$I$2:$I$1664&gt;=60))/M5</f>
        <v>0.157894736842105</v>
      </c>
      <c r="N39" s="159">
        <f t="array" ref="N39">SUM((原始分!$B$2:$B$1664=N2)*(原始分!$I$2:$I$1664&gt;=60))/N5</f>
        <v>0.178571428571429</v>
      </c>
      <c r="O39" s="159">
        <f t="array" ref="O39">SUM((原始分!$B$2:$B$1664=O2)*(原始分!$I$2:$I$1664&gt;=60))/O5</f>
        <v>0.259259259259259</v>
      </c>
      <c r="P39" s="158">
        <f t="array" ref="P39">SUM((原始分!$B$2:$B$1664=P2)*(原始分!$J$2:$J$1664&gt;=60))/P5</f>
        <v>0.325</v>
      </c>
      <c r="Q39" s="158">
        <f t="array" ref="Q39">SUM((原始分!$B$2:$B$1664=Q2)*(原始分!$J$2:$J$1664&gt;=60))/Q5</f>
        <v>0.214285714285714</v>
      </c>
      <c r="R39" s="158">
        <f t="array" ref="R39">SUM((原始分!$B$2:$B$1664=R2)*(原始分!$J$2:$J$1664&gt;=60))/R5</f>
        <v>0.631578947368421</v>
      </c>
      <c r="S39" s="158">
        <f t="array" ref="S39">SUM((原始分!$B$2:$B$1664=S2)*(原始分!$J$2:$J$1664&gt;=60))/S5</f>
        <v>0.27906976744186</v>
      </c>
      <c r="T39" s="158">
        <f t="array" ref="T39">SUM((原始分!$B$2:$B$1664=T2)*(原始分!$J$2:$J$1664&gt;=60))/T5</f>
        <v>0.232558139534884</v>
      </c>
    </row>
    <row r="40" ht="15.95" customHeight="1" spans="1:20">
      <c r="A40" s="42"/>
      <c r="B40" s="34" t="s">
        <v>1780</v>
      </c>
      <c r="C40" s="159">
        <f t="array" ref="C40">SUM((原始分!$B$2:$B$1664=C2)*(原始分!$I$2:$I$1664&gt;=80))/C5</f>
        <v>0</v>
      </c>
      <c r="D40" s="159">
        <f t="array" ref="D40">SUM((原始分!$B$2:$B$1664=D2)*(原始分!$I$2:$I$1664&gt;=80))/D5</f>
        <v>0</v>
      </c>
      <c r="E40" s="159">
        <f t="array" ref="E40">SUM((原始分!$B$2:$B$1664=E2)*(原始分!$I$2:$I$1664&gt;=80))/E5</f>
        <v>0.0204081632653061</v>
      </c>
      <c r="F40" s="159">
        <f t="array" ref="F40">SUM((原始分!$B$2:$B$1664=F2)*(原始分!$I$2:$I$1664&gt;=80))/F5</f>
        <v>0</v>
      </c>
      <c r="G40" s="159">
        <f t="array" ref="G40">SUM((原始分!$B$2:$B$1664=G2)*(原始分!$I$2:$I$1664&gt;=80))/G5</f>
        <v>0.0212765957446809</v>
      </c>
      <c r="H40" s="159">
        <f t="array" ref="H40">SUM((原始分!$B$2:$B$1664=H2)*(原始分!$I$2:$I$1664&gt;=80))/H5</f>
        <v>0.0256410256410256</v>
      </c>
      <c r="I40" s="159">
        <f t="array" ref="I40">SUM((原始分!$B$2:$B$1664=I2)*(原始分!$I$2:$I$1664&gt;=80))/I5</f>
        <v>0</v>
      </c>
      <c r="J40" s="159">
        <f t="array" ref="J40">SUM((原始分!$B$2:$B$1664=J2)*(原始分!$I$2:$I$1664&gt;=80))/J5</f>
        <v>0</v>
      </c>
      <c r="K40" s="159">
        <f t="array" ref="K40">SUM((原始分!$B$2:$B$1664=K2)*(原始分!$I$2:$I$1664&gt;=80))/K5</f>
        <v>0.12962962962963</v>
      </c>
      <c r="L40" s="159">
        <f t="array" ref="L40">SUM((原始分!$B$2:$B$1664=L2)*(原始分!$I$2:$I$1664&gt;=80))/L5</f>
        <v>0.0526315789473684</v>
      </c>
      <c r="M40" s="159">
        <f t="array" ref="M40">SUM((原始分!$B$2:$B$1664=M2)*(原始分!$I$2:$I$1664&gt;=80))/M5</f>
        <v>0</v>
      </c>
      <c r="N40" s="159">
        <f t="array" ref="N40">SUM((原始分!$B$2:$B$1664=N2)*(原始分!$I$2:$I$1664&gt;=80))/N5</f>
        <v>0</v>
      </c>
      <c r="O40" s="159">
        <f t="array" ref="O40">SUM((原始分!$B$2:$B$1664=O2)*(原始分!$I$2:$I$1664&gt;=80))/O5</f>
        <v>0</v>
      </c>
      <c r="P40" s="159">
        <f t="array" ref="P40">SUM((原始分!$B$2:$B$1664=P2)*(原始分!$J$2:$J$1664&gt;=80))/P5</f>
        <v>0</v>
      </c>
      <c r="Q40" s="159">
        <f t="array" ref="Q40">SUM((原始分!$B$2:$B$1664=Q2)*(原始分!$J$2:$J$1664&gt;=80))/Q5</f>
        <v>0</v>
      </c>
      <c r="R40" s="159">
        <f t="array" ref="R40">SUM((原始分!$B$2:$B$1664=R2)*(原始分!$J$2:$J$1664&gt;=80))/R5</f>
        <v>0.0263157894736842</v>
      </c>
      <c r="S40" s="159">
        <f t="array" ref="S40">SUM((原始分!$B$2:$B$1664=S2)*(原始分!$J$2:$J$1664&gt;=80))/S5</f>
        <v>0</v>
      </c>
      <c r="T40" s="159">
        <f t="array" ref="T40">SUM((原始分!$B$2:$B$1664=T2)*(原始分!$J$2:$J$1664&gt;=80))/T5</f>
        <v>0</v>
      </c>
    </row>
    <row r="41" ht="15.95" customHeight="1" spans="1:20">
      <c r="A41" s="42"/>
      <c r="B41" s="34" t="s">
        <v>1781</v>
      </c>
      <c r="C41" s="40" t="s">
        <v>1761</v>
      </c>
      <c r="D41" s="13" t="s">
        <v>1766</v>
      </c>
      <c r="E41" s="40" t="s">
        <v>1807</v>
      </c>
      <c r="F41" s="40" t="s">
        <v>1808</v>
      </c>
      <c r="G41" s="40" t="s">
        <v>1809</v>
      </c>
      <c r="H41" s="13" t="s">
        <v>1766</v>
      </c>
      <c r="I41" s="40" t="s">
        <v>1810</v>
      </c>
      <c r="J41" s="40" t="s">
        <v>1768</v>
      </c>
      <c r="K41" s="40" t="s">
        <v>1811</v>
      </c>
      <c r="L41" s="40" t="s">
        <v>1768</v>
      </c>
      <c r="M41" s="40" t="s">
        <v>1809</v>
      </c>
      <c r="N41" s="40" t="s">
        <v>1807</v>
      </c>
      <c r="O41" s="40" t="s">
        <v>1761</v>
      </c>
      <c r="P41" s="40" t="s">
        <v>1812</v>
      </c>
      <c r="Q41" s="40" t="s">
        <v>1775</v>
      </c>
      <c r="R41" s="40" t="s">
        <v>1813</v>
      </c>
      <c r="S41" s="40" t="s">
        <v>1814</v>
      </c>
      <c r="T41" s="40" t="s">
        <v>1814</v>
      </c>
    </row>
    <row r="42" ht="15.95" customHeight="1" spans="1:20">
      <c r="A42" s="34" t="s">
        <v>10</v>
      </c>
      <c r="B42" s="34" t="s">
        <v>1756</v>
      </c>
      <c r="C42" s="35">
        <f>AVERAGEIFS(原始分!$K$2:$K$1664,原始分!$B$2:$B$1664,C2)</f>
        <v>40.7698412698413</v>
      </c>
      <c r="D42" s="35"/>
      <c r="E42" s="35">
        <f>AVERAGEIFS(原始分!$K$2:$K$1664,原始分!$B$2:$B$1664,E2)</f>
        <v>38.8571428571429</v>
      </c>
      <c r="F42" s="35">
        <f>AVERAGEIFS(原始分!$K$2:$K$1664,原始分!$B$2:$B$1664,F2)</f>
        <v>39</v>
      </c>
      <c r="G42" s="35">
        <f>AVERAGEIFS(原始分!$K$2:$K$1664,原始分!$B$2:$B$1664,G2)</f>
        <v>41.8085106382979</v>
      </c>
      <c r="H42" s="35"/>
      <c r="I42" s="35"/>
      <c r="J42" s="35">
        <f>AVERAGEIFS(原始分!$K$2:$K$1664,原始分!$B$2:$B$1664,J2)</f>
        <v>40.0438596491228</v>
      </c>
      <c r="K42" s="35">
        <f>AVERAGEIFS(原始分!$K$2:$K$1664,原始分!$B$2:$B$1664,K2)</f>
        <v>51.6481481481481</v>
      </c>
      <c r="L42" s="35">
        <f>AVERAGEIFS(原始分!$K$2:$K$1664,原始分!$B$2:$B$1664,L2)</f>
        <v>49.3157894736842</v>
      </c>
      <c r="M42" s="35">
        <f>AVERAGEIFS(原始分!$K$2:$K$1664,原始分!$B$2:$B$1664,M2)</f>
        <v>41.5657894736842</v>
      </c>
      <c r="N42" s="35">
        <f>AVERAGEIFS(原始分!$K$2:$K$1664,原始分!$B$2:$B$1664,N2)</f>
        <v>37.4375</v>
      </c>
      <c r="O42" s="35">
        <f>AVERAGEIFS(原始分!$K$2:$K$1664,原始分!$B$2:$B$1664,O2)</f>
        <v>41.1574074074074</v>
      </c>
      <c r="P42" s="35"/>
      <c r="Q42" s="35"/>
      <c r="R42" s="35"/>
      <c r="S42" s="35"/>
      <c r="T42" s="35"/>
    </row>
    <row r="43" ht="15.95" customHeight="1" spans="1:20">
      <c r="A43" s="34"/>
      <c r="B43" s="34" t="s">
        <v>1758</v>
      </c>
      <c r="C43" s="34">
        <f>RANK(C42,$C$42:$T$42)</f>
        <v>6</v>
      </c>
      <c r="D43" s="34"/>
      <c r="E43" s="34">
        <f t="shared" ref="E43:O43" si="12">RANK(E42,$C$42:$T$42)</f>
        <v>9</v>
      </c>
      <c r="F43" s="34">
        <f t="shared" si="12"/>
        <v>8</v>
      </c>
      <c r="G43" s="34">
        <f t="shared" si="12"/>
        <v>3</v>
      </c>
      <c r="H43" s="34"/>
      <c r="I43" s="34"/>
      <c r="J43" s="34">
        <f t="shared" si="12"/>
        <v>7</v>
      </c>
      <c r="K43" s="34">
        <f t="shared" si="12"/>
        <v>1</v>
      </c>
      <c r="L43" s="34">
        <f t="shared" si="12"/>
        <v>2</v>
      </c>
      <c r="M43" s="34">
        <f t="shared" si="12"/>
        <v>4</v>
      </c>
      <c r="N43" s="34">
        <f t="shared" si="12"/>
        <v>10</v>
      </c>
      <c r="O43" s="34">
        <f t="shared" si="12"/>
        <v>5</v>
      </c>
      <c r="P43" s="34"/>
      <c r="Q43" s="34"/>
      <c r="R43" s="34"/>
      <c r="S43" s="34"/>
      <c r="T43" s="34"/>
    </row>
    <row r="44" ht="15.95" customHeight="1" spans="1:20">
      <c r="A44" s="34"/>
      <c r="B44" s="34" t="s">
        <v>1759</v>
      </c>
      <c r="C44" s="35">
        <f>C42-$H$9</f>
        <v>-1.48339947089947</v>
      </c>
      <c r="D44" s="35"/>
      <c r="E44" s="35">
        <f t="shared" ref="E44:O44" si="13">E42-$H$9</f>
        <v>-3.39609788359789</v>
      </c>
      <c r="F44" s="35">
        <f t="shared" si="13"/>
        <v>-3.25324074074074</v>
      </c>
      <c r="G44" s="35">
        <f t="shared" si="13"/>
        <v>-0.444730102442868</v>
      </c>
      <c r="H44" s="35"/>
      <c r="I44" s="35"/>
      <c r="J44" s="35">
        <f t="shared" si="13"/>
        <v>-2.20938109161793</v>
      </c>
      <c r="K44" s="35">
        <f t="shared" si="13"/>
        <v>9.3949074074074</v>
      </c>
      <c r="L44" s="35">
        <f t="shared" si="13"/>
        <v>7.06254873294347</v>
      </c>
      <c r="M44" s="35">
        <f t="shared" si="13"/>
        <v>-0.687451267056531</v>
      </c>
      <c r="N44" s="35">
        <f t="shared" si="13"/>
        <v>-4.81574074074074</v>
      </c>
      <c r="O44" s="35">
        <f t="shared" si="13"/>
        <v>-1.09583333333334</v>
      </c>
      <c r="P44" s="35"/>
      <c r="Q44" s="35"/>
      <c r="R44" s="35"/>
      <c r="S44" s="35"/>
      <c r="T44" s="35"/>
    </row>
    <row r="45" ht="15.95" customHeight="1" spans="1:20">
      <c r="A45" s="34"/>
      <c r="B45" s="34" t="s">
        <v>1779</v>
      </c>
      <c r="C45" s="159">
        <f t="array" ref="C45">SUM((原始分!$B$2:$B$1664=C2)*(原始分!$K$2:$K$1664&gt;=60))/C5</f>
        <v>0</v>
      </c>
      <c r="D45" s="159"/>
      <c r="E45" s="159">
        <f t="array" ref="E45">SUM((原始分!$B$2:$B$1664=E2)*(原始分!$K$2:$K$1664&gt;=60))/E5</f>
        <v>0.0204081632653061</v>
      </c>
      <c r="F45" s="159">
        <f t="array" ref="F45">SUM((原始分!$B$2:$B$1664=F2)*(原始分!$K$2:$K$1664&gt;=60))/F5</f>
        <v>0.0227272727272727</v>
      </c>
      <c r="G45" s="159">
        <f t="array" ref="G45">SUM((原始分!$B$2:$B$1664=G2)*(原始分!$K$2:$K$1664&gt;=60))/G5</f>
        <v>0.0212765957446809</v>
      </c>
      <c r="H45" s="159"/>
      <c r="I45" s="159"/>
      <c r="J45" s="159">
        <f t="array" ref="J45">SUM((原始分!$B$2:$B$1664=J2)*(原始分!$K$2:$K$1664&gt;=60))/J5</f>
        <v>0.0350877192982456</v>
      </c>
      <c r="K45" s="159">
        <f t="array" ref="K45">SUM((原始分!$B$2:$B$1664=K2)*(原始分!$K$2:$K$1664&gt;=60))/K5</f>
        <v>0.259259259259259</v>
      </c>
      <c r="L45" s="159">
        <f t="array" ref="L45">SUM((原始分!$B$2:$B$1664=L2)*(原始分!$K$2:$K$1664&gt;=60))/L5</f>
        <v>0.12280701754386</v>
      </c>
      <c r="M45" s="159">
        <f t="array" ref="M45">SUM((原始分!$B$2:$B$1664=M2)*(原始分!$K$2:$K$1664&gt;=60))/M5</f>
        <v>0</v>
      </c>
      <c r="N45" s="159">
        <f t="array" ref="N45">SUM((原始分!$B$2:$B$1664=N2)*(原始分!$K$2:$K$1664&gt;=60))/N5</f>
        <v>0.0178571428571429</v>
      </c>
      <c r="O45" s="159">
        <f t="array" ref="O45">SUM((原始分!$B$2:$B$1664=O2)*(原始分!$K$2:$K$1664&gt;=60))/O5</f>
        <v>0.037037037037037</v>
      </c>
      <c r="P45" s="159"/>
      <c r="Q45" s="159"/>
      <c r="R45" s="159"/>
      <c r="S45" s="159"/>
      <c r="T45" s="159"/>
    </row>
    <row r="46" ht="15.95" customHeight="1" spans="1:20">
      <c r="A46" s="34"/>
      <c r="B46" s="34" t="s">
        <v>1780</v>
      </c>
      <c r="C46" s="159">
        <f t="array" ref="C46">SUM((原始分!$B$2:$B$1664=C2)*(原始分!$K$2:$K$1664&gt;=80))/C5</f>
        <v>0</v>
      </c>
      <c r="D46" s="159"/>
      <c r="E46" s="159">
        <f t="array" ref="E46">SUM((原始分!$B$2:$B$1664=E2)*(原始分!$K$2:$K$1664&gt;=80))/E5</f>
        <v>0</v>
      </c>
      <c r="F46" s="159">
        <f t="array" ref="F46">SUM((原始分!$B$2:$B$1664=F2)*(原始分!$K$2:$K$1664&gt;=80))/F5</f>
        <v>0</v>
      </c>
      <c r="G46" s="159">
        <f t="array" ref="G46">SUM((原始分!$B$2:$B$1664=G2)*(原始分!$K$2:$K$1664&gt;=80))/G5</f>
        <v>0</v>
      </c>
      <c r="H46" s="159"/>
      <c r="I46" s="159"/>
      <c r="J46" s="159">
        <f t="array" ref="J46">SUM((原始分!$B$2:$B$1664=J2)*(原始分!$K$2:$K$1664&gt;=80))/J5</f>
        <v>0</v>
      </c>
      <c r="K46" s="159">
        <f t="array" ref="K46">SUM((原始分!$B$2:$B$1664=K2)*(原始分!$K$2:$K$1664&gt;=80))/K5</f>
        <v>0</v>
      </c>
      <c r="L46" s="159">
        <f t="array" ref="L46">SUM((原始分!$B$2:$B$1664=L2)*(原始分!$K$2:$K$1664&gt;=80))/L5</f>
        <v>0</v>
      </c>
      <c r="M46" s="159">
        <f t="array" ref="M46">SUM((原始分!$B$2:$B$1664=M2)*(原始分!$K$2:$K$1664&gt;=80))/M5</f>
        <v>0</v>
      </c>
      <c r="N46" s="159">
        <f t="array" ref="N46">SUM((原始分!$B$2:$B$1664=N2)*(原始分!$K$2:$K$1664&gt;=80))/N5</f>
        <v>0</v>
      </c>
      <c r="O46" s="159">
        <f t="array" ref="O46">SUM((原始分!$B$2:$B$1664=O2)*(原始分!$K$2:$K$1664&gt;=80))/O5</f>
        <v>0</v>
      </c>
      <c r="P46" s="159"/>
      <c r="Q46" s="159"/>
      <c r="R46" s="159"/>
      <c r="S46" s="159"/>
      <c r="T46" s="159"/>
    </row>
    <row r="47" ht="15.95" customHeight="1" spans="1:20">
      <c r="A47" s="34"/>
      <c r="B47" s="34" t="s">
        <v>1781</v>
      </c>
      <c r="C47" s="13" t="s">
        <v>1815</v>
      </c>
      <c r="D47" s="40"/>
      <c r="E47" s="40" t="s">
        <v>1816</v>
      </c>
      <c r="F47" s="40" t="s">
        <v>1817</v>
      </c>
      <c r="G47" s="40" t="s">
        <v>1773</v>
      </c>
      <c r="H47" s="40"/>
      <c r="I47" s="40"/>
      <c r="J47" s="40" t="s">
        <v>1818</v>
      </c>
      <c r="K47" s="40" t="s">
        <v>1819</v>
      </c>
      <c r="L47" s="40" t="s">
        <v>1817</v>
      </c>
      <c r="M47" s="13" t="s">
        <v>1815</v>
      </c>
      <c r="N47" s="40" t="s">
        <v>1818</v>
      </c>
      <c r="O47" s="40" t="s">
        <v>1773</v>
      </c>
      <c r="P47" s="30"/>
      <c r="Q47" s="14"/>
      <c r="R47" s="14"/>
      <c r="S47" s="34"/>
      <c r="T47" s="34"/>
    </row>
    <row r="48" ht="15.95" customHeight="1" spans="1:20">
      <c r="A48" s="9" t="s">
        <v>11</v>
      </c>
      <c r="B48" s="9" t="s">
        <v>1756</v>
      </c>
      <c r="C48" s="39"/>
      <c r="D48" s="39"/>
      <c r="E48" s="39">
        <f>AVERAGEIFS(原始分!$L$2:$L$1664,原始分!$B$2:$B$1664,E2)</f>
        <v>49.0816326530612</v>
      </c>
      <c r="F48" s="39">
        <f>AVERAGEIFS(原始分!$L$2:$L$1664,原始分!$B$2:$B$1664,F2)</f>
        <v>51.6079545454545</v>
      </c>
      <c r="G48" s="39">
        <f>AVERAGEIFS(原始分!$L$2:$L$1664,原始分!$B$2:$B$1664,G2)</f>
        <v>50.0372340425532</v>
      </c>
      <c r="H48" s="39">
        <f>AVERAGEIFS(原始分!$L$2:$L$1664,原始分!$B$2:$B$1664,H2)</f>
        <v>47.1025641025641</v>
      </c>
      <c r="I48" s="39">
        <f>AVERAGEIFS(原始分!$L$2:$L$1664,原始分!$B$2:$B$1664,I2)</f>
        <v>47.4605263157895</v>
      </c>
      <c r="J48" s="39"/>
      <c r="K48" s="39"/>
      <c r="L48" s="39"/>
      <c r="M48" s="39"/>
      <c r="N48" s="39"/>
      <c r="O48" s="39"/>
      <c r="P48" s="39"/>
      <c r="Q48" s="39"/>
      <c r="R48" s="39">
        <f>AVERAGEIFS(原始分!$L$2:$L$1664,原始分!$B$2:$B$1664,R2)</f>
        <v>57.0625</v>
      </c>
      <c r="S48" s="39">
        <f>AVERAGEIFS(原始分!$L$2:$L$1664,原始分!$B$2:$B$1664,S2)</f>
        <v>50.3720930232558</v>
      </c>
      <c r="T48" s="39">
        <f>AVERAGEIFS(原始分!$L$2:$L$1664,原始分!$B$2:$B$1664,T2)</f>
        <v>51.7616279069767</v>
      </c>
    </row>
    <row r="49" ht="15.95" customHeight="1" spans="1:20">
      <c r="A49" s="9"/>
      <c r="B49" s="9" t="s">
        <v>1758</v>
      </c>
      <c r="C49" s="9"/>
      <c r="D49" s="9"/>
      <c r="E49" s="9">
        <f t="shared" ref="E49:T49" si="14">RANK(E48,$C$48:$T$48)</f>
        <v>6</v>
      </c>
      <c r="F49" s="9">
        <f t="shared" si="14"/>
        <v>3</v>
      </c>
      <c r="G49" s="9">
        <f t="shared" si="14"/>
        <v>5</v>
      </c>
      <c r="H49" s="9">
        <f t="shared" si="14"/>
        <v>8</v>
      </c>
      <c r="I49" s="9">
        <f t="shared" si="14"/>
        <v>7</v>
      </c>
      <c r="J49" s="9"/>
      <c r="K49" s="9"/>
      <c r="L49" s="9"/>
      <c r="M49" s="9"/>
      <c r="N49" s="9"/>
      <c r="O49" s="9"/>
      <c r="P49" s="9"/>
      <c r="Q49" s="9"/>
      <c r="R49" s="9">
        <f t="shared" si="14"/>
        <v>1</v>
      </c>
      <c r="S49" s="9">
        <f t="shared" si="14"/>
        <v>4</v>
      </c>
      <c r="T49" s="9">
        <f t="shared" si="14"/>
        <v>2</v>
      </c>
    </row>
    <row r="50" ht="15.95" customHeight="1" spans="1:20">
      <c r="A50" s="9"/>
      <c r="B50" s="9" t="s">
        <v>1759</v>
      </c>
      <c r="C50" s="39"/>
      <c r="D50" s="39"/>
      <c r="E50" s="39">
        <f t="shared" ref="E50:T50" si="15">E48-$I$9</f>
        <v>-0.989683961358836</v>
      </c>
      <c r="F50" s="39">
        <f t="shared" si="15"/>
        <v>1.53663793103448</v>
      </c>
      <c r="G50" s="39">
        <f t="shared" si="15"/>
        <v>-0.0340825718668682</v>
      </c>
      <c r="H50" s="39">
        <f t="shared" si="15"/>
        <v>-2.96875251185596</v>
      </c>
      <c r="I50" s="39">
        <f t="shared" si="15"/>
        <v>-2.61079029863059</v>
      </c>
      <c r="J50" s="39"/>
      <c r="K50" s="39"/>
      <c r="L50" s="39"/>
      <c r="M50" s="39"/>
      <c r="N50" s="39"/>
      <c r="O50" s="39"/>
      <c r="P50" s="39"/>
      <c r="Q50" s="39"/>
      <c r="R50" s="39">
        <f t="shared" si="15"/>
        <v>6.99118338557994</v>
      </c>
      <c r="S50" s="39">
        <f t="shared" si="15"/>
        <v>0.300776408835752</v>
      </c>
      <c r="T50" s="39">
        <f t="shared" si="15"/>
        <v>1.69031129255668</v>
      </c>
    </row>
    <row r="51" ht="15.95" customHeight="1" spans="1:20">
      <c r="A51" s="9"/>
      <c r="B51" s="9" t="s">
        <v>1779</v>
      </c>
      <c r="C51" s="158"/>
      <c r="D51" s="158"/>
      <c r="E51" s="158">
        <f t="array" ref="E51">SUM((原始分!$B$2:$B$1664=E2)*(原始分!$L$2:$L$1664&gt;=60))/E5</f>
        <v>0.0816326530612245</v>
      </c>
      <c r="F51" s="158">
        <f t="array" ref="F51">SUM((原始分!$B$2:$B$1664=F2)*(原始分!$L$2:$L$1664&gt;=60))/F5</f>
        <v>0.113636363636364</v>
      </c>
      <c r="G51" s="158">
        <f t="array" ref="G51">SUM((原始分!$B$2:$B$1664=G2)*(原始分!$L$2:$L$1664&gt;=60))/G5</f>
        <v>0.0638297872340425</v>
      </c>
      <c r="H51" s="158">
        <f t="array" ref="H51">SUM((原始分!$B$2:$B$1664=H2)*(原始分!$L$2:$L$1664&gt;=60))/H5</f>
        <v>0.0512820512820513</v>
      </c>
      <c r="I51" s="158">
        <f t="array" ref="I51">SUM((原始分!$B$2:$B$1664=I2)*(原始分!$L$2:$L$1664&gt;=60))/I5</f>
        <v>0.0263157894736842</v>
      </c>
      <c r="J51" s="158"/>
      <c r="K51" s="158"/>
      <c r="L51" s="158"/>
      <c r="M51" s="158"/>
      <c r="N51" s="158"/>
      <c r="O51" s="158"/>
      <c r="P51" s="158"/>
      <c r="Q51" s="158"/>
      <c r="R51" s="158">
        <f t="array" ref="R51">SUM((原始分!$B$2:$B$1664=R2)*(原始分!$L$2:$L$1664&gt;=60))/R5</f>
        <v>0.157894736842105</v>
      </c>
      <c r="S51" s="158">
        <f t="array" ref="S51">SUM((原始分!$B$2:$B$1664=S2)*(原始分!$L$2:$L$1664&gt;=60))/S5</f>
        <v>0.0697674418604651</v>
      </c>
      <c r="T51" s="158">
        <f t="array" ref="T51">SUM((原始分!$B$2:$B$1664=T2)*(原始分!$L$2:$L$1664&gt;=60))/T5</f>
        <v>0.116279069767442</v>
      </c>
    </row>
    <row r="52" ht="15.95" customHeight="1" spans="1:20">
      <c r="A52" s="9"/>
      <c r="B52" s="9" t="s">
        <v>1780</v>
      </c>
      <c r="C52" s="158"/>
      <c r="D52" s="158"/>
      <c r="E52" s="158">
        <f t="array" ref="E52">SUM((原始分!$B$2:$B$1664=E2)*(原始分!$L$2:$L$1664&gt;=80))/E5</f>
        <v>0</v>
      </c>
      <c r="F52" s="158">
        <f t="array" ref="F52">SUM((原始分!$B$2:$B$1664=F2)*(原始分!$L$2:$L$1664&gt;=80))/F5</f>
        <v>0</v>
      </c>
      <c r="G52" s="158">
        <f t="array" ref="G52">SUM((原始分!$B$2:$B$1664=G2)*(原始分!$L$2:$L$1664&gt;=80))/G5</f>
        <v>0</v>
      </c>
      <c r="H52" s="158">
        <f t="array" ref="H52">SUM((原始分!$B$2:$B$1664=H2)*(原始分!$L$2:$L$1664&gt;=80))/H5</f>
        <v>0</v>
      </c>
      <c r="I52" s="158">
        <f t="array" ref="I52">SUM((原始分!$B$2:$B$1664=I2)*(原始分!$L$2:$L$1664&gt;=80))/I5</f>
        <v>0</v>
      </c>
      <c r="J52" s="158"/>
      <c r="K52" s="158"/>
      <c r="L52" s="158"/>
      <c r="M52" s="158"/>
      <c r="N52" s="158"/>
      <c r="O52" s="158"/>
      <c r="P52" s="158"/>
      <c r="Q52" s="158"/>
      <c r="R52" s="158">
        <f t="array" ref="R52">SUM((原始分!$B$2:$B$1664=R2)*(原始分!$L$2:$L$1664&gt;=80))/R5</f>
        <v>0</v>
      </c>
      <c r="S52" s="158">
        <f t="array" ref="S52">SUM((原始分!$B$2:$B$1664=S2)*(原始分!$L$2:$L$1664&gt;=80))/S5</f>
        <v>0</v>
      </c>
      <c r="T52" s="158">
        <f t="array" ref="T52">SUM((原始分!$B$2:$B$1664=T2)*(原始分!$L$2:$L$1664&gt;=80))/T5</f>
        <v>0</v>
      </c>
    </row>
    <row r="53" ht="15.95" customHeight="1" spans="1:20">
      <c r="A53" s="9"/>
      <c r="B53" s="9" t="s">
        <v>1781</v>
      </c>
      <c r="C53" s="40"/>
      <c r="D53" s="40"/>
      <c r="E53" s="40" t="s">
        <v>1820</v>
      </c>
      <c r="F53" s="40" t="s">
        <v>1820</v>
      </c>
      <c r="G53" s="40" t="s">
        <v>1821</v>
      </c>
      <c r="H53" s="40" t="s">
        <v>1822</v>
      </c>
      <c r="I53" s="40" t="s">
        <v>1823</v>
      </c>
      <c r="J53" s="40"/>
      <c r="K53" s="40"/>
      <c r="L53" s="40"/>
      <c r="M53" s="40"/>
      <c r="N53" s="40"/>
      <c r="O53" s="40"/>
      <c r="P53" s="40"/>
      <c r="Q53" s="40"/>
      <c r="R53" s="40" t="s">
        <v>1778</v>
      </c>
      <c r="S53" s="40" t="s">
        <v>1822</v>
      </c>
      <c r="T53" s="40" t="s">
        <v>1778</v>
      </c>
    </row>
    <row r="54" ht="15.95" customHeight="1" spans="1:20">
      <c r="A54" s="34" t="s">
        <v>12</v>
      </c>
      <c r="B54" s="34" t="s">
        <v>1756</v>
      </c>
      <c r="C54" s="35">
        <f>AVERAGEIFS(原始分!$M$2:$M$1664,原始分!$B$2:$B$1664,C2)</f>
        <v>54.3492063492063</v>
      </c>
      <c r="D54" s="35">
        <f>AVERAGEIFS(原始分!$M$2:$M$1664,原始分!$B$2:$B$1664,D2)</f>
        <v>55.4479166666667</v>
      </c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>
        <f>AVERAGEIFS(原始分!$M$2:$M$1664,原始分!$B$2:$B$1664,P2)</f>
        <v>57.4375</v>
      </c>
      <c r="Q54" s="35">
        <f>AVERAGEIFS(原始分!$M$2:$M$1664,原始分!$B$2:$B$1664,Q2)</f>
        <v>57.5297619047619</v>
      </c>
      <c r="R54" s="35">
        <f>AVERAGEIFS(原始分!$M$2:$M$1664,原始分!$B$2:$B$1664,R2)</f>
        <v>64.0763888888889</v>
      </c>
      <c r="S54" s="35">
        <f>AVERAGEIFS(原始分!$M$2:$M$1664,原始分!$B$2:$B$1664,S2)</f>
        <v>58.6220930232558</v>
      </c>
      <c r="T54" s="35">
        <f>AVERAGEIFS(原始分!$M$2:$M$1664,原始分!$B$2:$B$1664,T2)</f>
        <v>54.406976744186</v>
      </c>
    </row>
    <row r="55" ht="15.95" customHeight="1" spans="1:20">
      <c r="A55" s="34"/>
      <c r="B55" s="34" t="s">
        <v>1758</v>
      </c>
      <c r="C55" s="34">
        <f>RANK(C54,$C$54:$T$54)</f>
        <v>7</v>
      </c>
      <c r="D55" s="34">
        <f>RANK(D54,$C$54:$T$54)</f>
        <v>5</v>
      </c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>
        <f>RANK(P54,$C$54:$T$54)</f>
        <v>4</v>
      </c>
      <c r="Q55" s="34">
        <f>RANK(Q54,$C$54:$T$54)</f>
        <v>3</v>
      </c>
      <c r="R55" s="34">
        <f>RANK(R54,$C$54:$T$54)</f>
        <v>1</v>
      </c>
      <c r="S55" s="34">
        <f>RANK(S54,$C$54:$T$54)</f>
        <v>2</v>
      </c>
      <c r="T55" s="34">
        <f>RANK(T54,$C$54:$T$54)</f>
        <v>6</v>
      </c>
    </row>
    <row r="56" ht="15.95" customHeight="1" spans="1:20">
      <c r="A56" s="34"/>
      <c r="B56" s="34" t="s">
        <v>1759</v>
      </c>
      <c r="C56" s="35">
        <f>C54-$J$9</f>
        <v>-2.68650793650794</v>
      </c>
      <c r="D56" s="35">
        <f>D54-$J$9</f>
        <v>-1.58779761904762</v>
      </c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>
        <f>P54-$J$9</f>
        <v>0.401785714285715</v>
      </c>
      <c r="Q56" s="35">
        <f>Q54-$J$9</f>
        <v>0.49404761904762</v>
      </c>
      <c r="R56" s="35">
        <f>R54-$J$9</f>
        <v>7.0406746031746</v>
      </c>
      <c r="S56" s="35">
        <f>S54-$J$9</f>
        <v>1.58637873754153</v>
      </c>
      <c r="T56" s="35">
        <f>T54-$J$9</f>
        <v>-2.62873754152824</v>
      </c>
    </row>
    <row r="57" ht="15.95" customHeight="1" spans="1:20">
      <c r="A57" s="34"/>
      <c r="B57" s="34" t="s">
        <v>1779</v>
      </c>
      <c r="C57" s="159">
        <f t="array" ref="C57">SUM((原始分!$B$2:$B$1664=C2)*(原始分!$M$2:$M$1664&gt;=60))/C5</f>
        <v>0.206349206349206</v>
      </c>
      <c r="D57" s="159">
        <f t="array" ref="D57">SUM((原始分!$B$2:$B$1664=D2)*(原始分!$M$2:$M$1664&gt;=60))/D5</f>
        <v>0.291666666666667</v>
      </c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>
        <f t="array" ref="P57">SUM((原始分!$B$2:$B$1664=P2)*(原始分!$M$2:$M$1664&gt;=60))/P5</f>
        <v>0.425</v>
      </c>
      <c r="Q57" s="159">
        <f t="array" ref="Q57">SUM((原始分!$B$2:$B$1664=Q2)*(原始分!$M$2:$M$1664&gt;=60))/Q5</f>
        <v>0.238095238095238</v>
      </c>
      <c r="R57" s="159">
        <f t="array" ref="R57">SUM((原始分!$B$2:$B$1664=R2)*(原始分!$M$2:$M$1664&gt;=60))/R5</f>
        <v>0.710526315789474</v>
      </c>
      <c r="S57" s="159">
        <f t="array" ref="S57">SUM((原始分!$B$2:$B$1664=S2)*(原始分!$M$2:$M$1664&gt;=60))/S5</f>
        <v>0.534883720930233</v>
      </c>
      <c r="T57" s="159">
        <f t="array" ref="T57">SUM((原始分!$B$2:$B$1664=T2)*(原始分!$M$2:$M$1664&gt;=60))/T5</f>
        <v>0.255813953488372</v>
      </c>
    </row>
    <row r="58" ht="15.95" customHeight="1" spans="1:20">
      <c r="A58" s="34"/>
      <c r="B58" s="34" t="s">
        <v>1780</v>
      </c>
      <c r="C58" s="159">
        <f t="array" ref="C58">SUM((原始分!$B$2:$B$1664=C2)*(原始分!$M$2:$M$1664&gt;=80))/C5</f>
        <v>0</v>
      </c>
      <c r="D58" s="159">
        <f t="array" ref="D58">SUM((原始分!$B$2:$B$1664=D2)*(原始分!$M$2:$M$1664&gt;=80))/D5</f>
        <v>0</v>
      </c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>
        <f t="array" ref="P58">SUM((原始分!$B$2:$B$1664=P2)*(原始分!$M$2:$M$1664&gt;=80))/P5</f>
        <v>0</v>
      </c>
      <c r="Q58" s="159">
        <f t="array" ref="Q58">SUM((原始分!$B$2:$B$1664=Q2)*(原始分!$M$2:$M$1664&gt;=80))/Q5</f>
        <v>0</v>
      </c>
      <c r="R58" s="159">
        <f t="array" ref="R58">SUM((原始分!$B$2:$B$1664=R2)*(原始分!$M$2:$M$1664&gt;=80))/R5</f>
        <v>0.0263157894736842</v>
      </c>
      <c r="S58" s="159">
        <f t="array" ref="S58">SUM((原始分!$B$2:$B$1664=S2)*(原始分!$M$2:$M$1664&gt;=80))/S5</f>
        <v>0</v>
      </c>
      <c r="T58" s="159">
        <f t="array" ref="T58">SUM((原始分!$B$2:$B$1664=T2)*(原始分!$M$2:$M$1664&gt;=80))/T5</f>
        <v>0</v>
      </c>
    </row>
    <row r="59" ht="15.95" customHeight="1" spans="1:20">
      <c r="A59" s="34"/>
      <c r="B59" s="34" t="s">
        <v>1781</v>
      </c>
      <c r="C59" s="40" t="s">
        <v>1824</v>
      </c>
      <c r="D59" s="40" t="s">
        <v>1825</v>
      </c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 t="s">
        <v>1826</v>
      </c>
      <c r="Q59" s="40" t="s">
        <v>1825</v>
      </c>
      <c r="R59" s="40" t="s">
        <v>1826</v>
      </c>
      <c r="S59" s="40" t="s">
        <v>1824</v>
      </c>
      <c r="T59" s="40" t="s">
        <v>1827</v>
      </c>
    </row>
    <row r="60" ht="15.95" customHeight="1" spans="1:20">
      <c r="A60" s="9" t="s">
        <v>13</v>
      </c>
      <c r="B60" s="9" t="s">
        <v>1756</v>
      </c>
      <c r="C60" s="39"/>
      <c r="D60" s="39">
        <f>AVERAGEIFS(原始分!$N$2:$N$1664,原始分!$B$2:$B$1664,D2)</f>
        <v>50.5729166666667</v>
      </c>
      <c r="E60" s="39"/>
      <c r="F60" s="39"/>
      <c r="G60" s="39"/>
      <c r="H60" s="39">
        <f>AVERAGEIFS(原始分!$N$2:$N$1664,原始分!$B$2:$B$1664,H2)</f>
        <v>48.6987179487179</v>
      </c>
      <c r="I60" s="39">
        <f>AVERAGEIFS(原始分!$N$2:$N$1664,原始分!$B$2:$B$1664,I2)</f>
        <v>44.7368421052632</v>
      </c>
      <c r="J60" s="39">
        <f>AVERAGEIFS(原始分!$N$2:$N$1664,原始分!$B$2:$B$1664,J2)</f>
        <v>47.7105263157895</v>
      </c>
      <c r="K60" s="39">
        <f>AVERAGEIFS(原始分!$N$2:$N$1664,原始分!$B$2:$B$1664,K2)</f>
        <v>61.4814814814815</v>
      </c>
      <c r="L60" s="39">
        <f>AVERAGEIFS(原始分!$N$2:$N$1664,原始分!$B$2:$B$1664,L2)</f>
        <v>57.2894736842105</v>
      </c>
      <c r="M60" s="39">
        <f>AVERAGEIFS(原始分!$N$2:$N$1664,原始分!$B$2:$B$1664,M2)</f>
        <v>49.1315789473684</v>
      </c>
      <c r="N60" s="39">
        <f>AVERAGEIFS(原始分!$N$2:$N$1664,原始分!$B$2:$B$1664,N2)</f>
        <v>44.9553571428571</v>
      </c>
      <c r="O60" s="39">
        <f>AVERAGEIFS(原始分!$N$2:$N$1664,原始分!$B$2:$B$1664,O2)</f>
        <v>50.712962962963</v>
      </c>
      <c r="P60" s="39">
        <f>AVERAGEIFS(原始分!$N$2:$N$1664,原始分!$B$2:$B$1664,P2)</f>
        <v>46.3375</v>
      </c>
      <c r="Q60" s="39">
        <f>AVERAGEIFS(原始分!$N$2:$N$1664,原始分!$B$2:$B$1664,Q2)</f>
        <v>50.4523809523809</v>
      </c>
      <c r="R60" s="39">
        <f>AVERAGEIFS(原始分!$N$2:$N$1664,原始分!$B$2:$B$1664,R2)</f>
        <v>57.9772727272727</v>
      </c>
      <c r="S60" s="39"/>
      <c r="T60" s="39"/>
    </row>
    <row r="61" ht="15.95" customHeight="1" spans="1:20">
      <c r="A61" s="9"/>
      <c r="B61" s="9" t="s">
        <v>1758</v>
      </c>
      <c r="C61" s="9"/>
      <c r="D61" s="9">
        <f t="shared" ref="D61:R61" si="16">RANK(D60,$C$60:$T$60)</f>
        <v>5</v>
      </c>
      <c r="E61" s="9"/>
      <c r="F61" s="9"/>
      <c r="G61" s="9"/>
      <c r="H61" s="9">
        <f t="shared" si="16"/>
        <v>8</v>
      </c>
      <c r="I61" s="9">
        <f t="shared" si="16"/>
        <v>12</v>
      </c>
      <c r="J61" s="9">
        <f t="shared" si="16"/>
        <v>9</v>
      </c>
      <c r="K61" s="9">
        <f t="shared" si="16"/>
        <v>1</v>
      </c>
      <c r="L61" s="9">
        <f t="shared" si="16"/>
        <v>3</v>
      </c>
      <c r="M61" s="9">
        <f t="shared" si="16"/>
        <v>7</v>
      </c>
      <c r="N61" s="9">
        <f t="shared" si="16"/>
        <v>11</v>
      </c>
      <c r="O61" s="9">
        <f t="shared" si="16"/>
        <v>4</v>
      </c>
      <c r="P61" s="9">
        <f t="shared" si="16"/>
        <v>10</v>
      </c>
      <c r="Q61" s="9">
        <f t="shared" si="16"/>
        <v>6</v>
      </c>
      <c r="R61" s="9">
        <f t="shared" si="16"/>
        <v>2</v>
      </c>
      <c r="S61" s="9"/>
      <c r="T61" s="9"/>
    </row>
    <row r="62" ht="15.95" customHeight="1" spans="1:20">
      <c r="A62" s="9"/>
      <c r="B62" s="9" t="s">
        <v>1759</v>
      </c>
      <c r="C62" s="39"/>
      <c r="D62" s="39">
        <f t="shared" ref="D62:R62" si="17">D60-$K$9</f>
        <v>-0.200576241134755</v>
      </c>
      <c r="E62" s="39"/>
      <c r="F62" s="39"/>
      <c r="G62" s="39"/>
      <c r="H62" s="39">
        <f t="shared" si="17"/>
        <v>-2.07477495908347</v>
      </c>
      <c r="I62" s="39">
        <f t="shared" si="17"/>
        <v>-6.03665080253826</v>
      </c>
      <c r="J62" s="39">
        <f t="shared" si="17"/>
        <v>-3.06296659201195</v>
      </c>
      <c r="K62" s="39">
        <f t="shared" si="17"/>
        <v>10.7079885736801</v>
      </c>
      <c r="L62" s="39">
        <f t="shared" si="17"/>
        <v>6.51598077640911</v>
      </c>
      <c r="M62" s="39">
        <f t="shared" si="17"/>
        <v>-1.641913960433</v>
      </c>
      <c r="N62" s="39">
        <f t="shared" si="17"/>
        <v>-5.81813576494427</v>
      </c>
      <c r="O62" s="39">
        <f t="shared" si="17"/>
        <v>-0.0605299448384571</v>
      </c>
      <c r="P62" s="39">
        <f t="shared" si="17"/>
        <v>-4.43599290780142</v>
      </c>
      <c r="Q62" s="39">
        <f t="shared" si="17"/>
        <v>-0.32111195542047</v>
      </c>
      <c r="R62" s="39">
        <f t="shared" si="17"/>
        <v>7.20377981947131</v>
      </c>
      <c r="S62" s="39"/>
      <c r="T62" s="39"/>
    </row>
    <row r="63" ht="15.95" customHeight="1" spans="1:20">
      <c r="A63" s="9"/>
      <c r="B63" s="9" t="s">
        <v>1779</v>
      </c>
      <c r="C63" s="158"/>
      <c r="D63" s="158">
        <f t="array" ref="D63">SUM((原始分!$B$2:$B$1664=D2)*(原始分!$N$2:$N$1664&gt;=60))/D5</f>
        <v>0.0833333333333333</v>
      </c>
      <c r="E63" s="158"/>
      <c r="F63" s="158"/>
      <c r="G63" s="158"/>
      <c r="H63" s="158">
        <f t="array" ref="H63">SUM((原始分!$B$2:$B$1664=H2)*(原始分!$N$2:$N$1664&gt;=60))/H5</f>
        <v>0.0769230769230769</v>
      </c>
      <c r="I63" s="158">
        <f t="array" ref="I63">SUM((原始分!$B$2:$B$1664=I2)*(原始分!$N$2:$N$1664&gt;=60))/I5</f>
        <v>0.0263157894736842</v>
      </c>
      <c r="J63" s="158">
        <f t="array" ref="J63">SUM((原始分!$B$2:$B$1664=J2)*(原始分!$N$2:$N$1664&gt;=60))/J5</f>
        <v>0.12280701754386</v>
      </c>
      <c r="K63" s="158">
        <f t="array" ref="K63">SUM((原始分!$B$2:$B$1664=K2)*(原始分!$N$2:$N$1664&gt;=60))/K5</f>
        <v>0.611111111111111</v>
      </c>
      <c r="L63" s="158">
        <f t="array" ref="L63">SUM((原始分!$B$2:$B$1664=L2)*(原始分!$N$2:$N$1664&gt;=60))/L5</f>
        <v>0.368421052631579</v>
      </c>
      <c r="M63" s="158">
        <f t="array" ref="M63">SUM((原始分!$B$2:$B$1664=M2)*(原始分!$N$2:$N$1664&gt;=60))/M5</f>
        <v>0.105263157894737</v>
      </c>
      <c r="N63" s="158">
        <f t="array" ref="N63">SUM((原始分!$B$2:$B$1664=N2)*(原始分!$N$2:$N$1664&gt;=60))/N5</f>
        <v>0.0535714285714286</v>
      </c>
      <c r="O63" s="158">
        <f t="array" ref="O63">SUM((原始分!$B$2:$B$1664=O2)*(原始分!$N$2:$N$1664&gt;=60))/O5</f>
        <v>0.0925925925925926</v>
      </c>
      <c r="P63" s="158">
        <f t="array" ref="P63">SUM((原始分!$B$2:$B$1664=P2)*(原始分!$N$2:$N$1664&gt;=60))/P5</f>
        <v>0.025</v>
      </c>
      <c r="Q63" s="158">
        <f t="array" ref="Q63">SUM((原始分!$B$2:$B$1664=Q2)*(原始分!$N$2:$N$1664&gt;=60))/Q5</f>
        <v>0.0952380952380952</v>
      </c>
      <c r="R63" s="158">
        <f t="array" ref="R63">SUM((原始分!$B$2:$B$1664=R2)*(原始分!$N$2:$N$1664&gt;=60))/R5</f>
        <v>0.236842105263158</v>
      </c>
      <c r="S63" s="158"/>
      <c r="T63" s="158"/>
    </row>
    <row r="64" ht="15.95" customHeight="1" spans="1:20">
      <c r="A64" s="9"/>
      <c r="B64" s="9" t="s">
        <v>1780</v>
      </c>
      <c r="C64" s="158"/>
      <c r="D64" s="158">
        <f t="array" ref="D64">SUM((原始分!$B$2:$B$1664=D2)*(原始分!$N$2:$N$1664&gt;=80))/D5</f>
        <v>0</v>
      </c>
      <c r="E64" s="158"/>
      <c r="F64" s="158"/>
      <c r="G64" s="158"/>
      <c r="H64" s="158">
        <f t="array" ref="H64">SUM((原始分!$B$2:$B$1664=H2)*(原始分!$N$2:$N$1664&gt;=80))/H5</f>
        <v>0</v>
      </c>
      <c r="I64" s="158">
        <f t="array" ref="I64">SUM((原始分!$B$2:$B$1664=I2)*(原始分!$N$2:$N$1664&gt;=80))/I5</f>
        <v>0</v>
      </c>
      <c r="J64" s="158">
        <f t="array" ref="J64">SUM((原始分!$B$2:$B$1664=J2)*(原始分!$N$2:$N$1664&gt;=80))/J5</f>
        <v>0</v>
      </c>
      <c r="K64" s="158">
        <f t="array" ref="K64">SUM((原始分!$B$2:$B$1664=K2)*(原始分!$N$2:$N$1664&gt;=80))/K5</f>
        <v>0</v>
      </c>
      <c r="L64" s="158">
        <f t="array" ref="L64">SUM((原始分!$B$2:$B$1664=L2)*(原始分!$N$2:$N$1664&gt;=80))/L5</f>
        <v>0</v>
      </c>
      <c r="M64" s="158">
        <f t="array" ref="M64">SUM((原始分!$B$2:$B$1664=M2)*(原始分!$N$2:$N$1664&gt;=80))/M5</f>
        <v>0</v>
      </c>
      <c r="N64" s="158">
        <f t="array" ref="N64">SUM((原始分!$B$2:$B$1664=N2)*(原始分!$N$2:$N$1664&gt;=80))/N5</f>
        <v>0</v>
      </c>
      <c r="O64" s="158">
        <f t="array" ref="O64">SUM((原始分!$B$2:$B$1664=O2)*(原始分!$N$2:$N$1664&gt;=80))/O5</f>
        <v>0</v>
      </c>
      <c r="P64" s="158">
        <f t="array" ref="P64">SUM((原始分!$B$2:$B$1664=P2)*(原始分!$N$2:$N$1664&gt;=80))/P5</f>
        <v>0</v>
      </c>
      <c r="Q64" s="158">
        <f t="array" ref="Q64">SUM((原始分!$B$2:$B$1664=Q2)*(原始分!$N$2:$N$1664&gt;=80))/Q5</f>
        <v>0</v>
      </c>
      <c r="R64" s="158">
        <f t="array" ref="R64">SUM((原始分!$B$2:$B$1664=R2)*(原始分!$N$2:$N$1664&gt;=80))/R5</f>
        <v>0</v>
      </c>
      <c r="S64" s="158"/>
      <c r="T64" s="158"/>
    </row>
    <row r="65" ht="15.95" customHeight="1" spans="1:20">
      <c r="A65" s="9"/>
      <c r="B65" s="9" t="s">
        <v>1781</v>
      </c>
      <c r="C65" s="40"/>
      <c r="D65" s="40" t="s">
        <v>1762</v>
      </c>
      <c r="E65" s="40"/>
      <c r="F65" s="40"/>
      <c r="G65" s="40"/>
      <c r="H65" s="13" t="s">
        <v>1828</v>
      </c>
      <c r="I65" s="44" t="s">
        <v>1829</v>
      </c>
      <c r="J65" s="44" t="s">
        <v>1829</v>
      </c>
      <c r="K65" s="40" t="s">
        <v>1830</v>
      </c>
      <c r="L65" s="40" t="s">
        <v>1830</v>
      </c>
      <c r="M65" s="13" t="s">
        <v>1828</v>
      </c>
      <c r="N65" s="40" t="s">
        <v>1831</v>
      </c>
      <c r="O65" s="40" t="s">
        <v>1762</v>
      </c>
      <c r="P65" s="40" t="s">
        <v>1831</v>
      </c>
      <c r="Q65" s="40" t="s">
        <v>1832</v>
      </c>
      <c r="R65" s="40" t="s">
        <v>1832</v>
      </c>
      <c r="S65" s="9"/>
      <c r="T65" s="9"/>
    </row>
    <row r="66" ht="15.95" customHeight="1"/>
    <row r="67" ht="15.95" customHeight="1"/>
    <row r="68" ht="15.95" customHeight="1"/>
    <row r="69" ht="15.95" customHeight="1"/>
    <row r="70" ht="15.95" customHeight="1"/>
    <row r="71" ht="15.95" customHeight="1"/>
  </sheetData>
  <mergeCells count="16">
    <mergeCell ref="A1:T1"/>
    <mergeCell ref="A2:B2"/>
    <mergeCell ref="A3:B3"/>
    <mergeCell ref="A4:B4"/>
    <mergeCell ref="A5:B5"/>
    <mergeCell ref="A6:A10"/>
    <mergeCell ref="A11:A13"/>
    <mergeCell ref="A14:A17"/>
    <mergeCell ref="A18:A23"/>
    <mergeCell ref="A24:A29"/>
    <mergeCell ref="A30:A35"/>
    <mergeCell ref="A36:A41"/>
    <mergeCell ref="A42:A47"/>
    <mergeCell ref="A48:A53"/>
    <mergeCell ref="A54:A59"/>
    <mergeCell ref="A60:A65"/>
  </mergeCells>
  <printOptions horizontalCentered="1" gridLines="1"/>
  <pageMargins left="0.156944444444444" right="0.118055555555556" top="0.865972222222222" bottom="0.590277777777778" header="0.314583333333333" footer="0.118055555555556"/>
  <pageSetup paperSize="286" scale="75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414"/>
  <sheetViews>
    <sheetView view="pageBreakPreview" zoomScaleNormal="100" workbookViewId="0">
      <selection activeCell="AD35" sqref="AD35"/>
    </sheetView>
  </sheetViews>
  <sheetFormatPr defaultColWidth="9" defaultRowHeight="13.5"/>
  <cols>
    <col min="1" max="1" width="5.375" style="9" customWidth="1"/>
    <col min="2" max="3" width="5.125" style="9" customWidth="1"/>
    <col min="4" max="4" width="5.375" style="10" customWidth="1"/>
    <col min="5" max="5" width="8.875" style="9" customWidth="1"/>
    <col min="6" max="23" width="5.125" style="9" customWidth="1"/>
    <col min="24" max="24" width="7" style="11" customWidth="1"/>
    <col min="25" max="25" width="6.5" style="9" customWidth="1"/>
    <col min="26" max="26" width="6.5" style="11" customWidth="1"/>
    <col min="27" max="27" width="6.125" style="9" customWidth="1"/>
    <col min="28" max="28" width="9" style="12"/>
    <col min="29" max="29" width="6.25" style="12" customWidth="1"/>
    <col min="30" max="31" width="7.375" style="12" customWidth="1"/>
    <col min="32" max="16384" width="9" style="12"/>
  </cols>
  <sheetData>
    <row r="1" ht="27" spans="1:31">
      <c r="A1" s="7" t="s">
        <v>1833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18"/>
      <c r="Y1" s="7"/>
      <c r="Z1" s="18"/>
      <c r="AA1" s="7"/>
      <c r="AC1" s="155" t="s">
        <v>1834</v>
      </c>
      <c r="AD1" s="156" t="s">
        <v>1835</v>
      </c>
      <c r="AE1" s="156" t="s">
        <v>1836</v>
      </c>
    </row>
    <row r="2" spans="1:31">
      <c r="A2" s="13" t="s">
        <v>0</v>
      </c>
      <c r="B2" s="13" t="s">
        <v>1</v>
      </c>
      <c r="C2" s="13" t="s">
        <v>2</v>
      </c>
      <c r="D2" s="14" t="s">
        <v>3</v>
      </c>
      <c r="E2" s="14" t="s">
        <v>4</v>
      </c>
      <c r="F2" s="9" t="s">
        <v>5</v>
      </c>
      <c r="G2" s="9" t="s">
        <v>1837</v>
      </c>
      <c r="H2" s="9" t="s">
        <v>6</v>
      </c>
      <c r="I2" s="9" t="s">
        <v>1838</v>
      </c>
      <c r="J2" s="9" t="s">
        <v>7</v>
      </c>
      <c r="K2" s="9" t="s">
        <v>1839</v>
      </c>
      <c r="L2" s="9" t="s">
        <v>8</v>
      </c>
      <c r="M2" s="9" t="s">
        <v>1840</v>
      </c>
      <c r="N2" s="11" t="s">
        <v>9</v>
      </c>
      <c r="O2" s="11" t="s">
        <v>1841</v>
      </c>
      <c r="P2" s="9" t="s">
        <v>10</v>
      </c>
      <c r="Q2" s="9" t="s">
        <v>1842</v>
      </c>
      <c r="R2" s="9" t="s">
        <v>11</v>
      </c>
      <c r="S2" s="9" t="s">
        <v>1843</v>
      </c>
      <c r="T2" s="9" t="s">
        <v>12</v>
      </c>
      <c r="U2" s="9" t="s">
        <v>1844</v>
      </c>
      <c r="V2" s="9" t="s">
        <v>13</v>
      </c>
      <c r="W2" s="9" t="s">
        <v>1845</v>
      </c>
      <c r="X2" s="11" t="s">
        <v>14</v>
      </c>
      <c r="Y2" s="9" t="s">
        <v>1846</v>
      </c>
      <c r="Z2" s="11" t="s">
        <v>15</v>
      </c>
      <c r="AA2" s="9" t="s">
        <v>1847</v>
      </c>
      <c r="AC2" s="14" t="s">
        <v>1</v>
      </c>
      <c r="AD2" s="9" t="s">
        <v>1848</v>
      </c>
      <c r="AE2" s="9" t="s">
        <v>1848</v>
      </c>
    </row>
    <row r="3" ht="12.95" customHeight="1" spans="1:31">
      <c r="A3" s="13">
        <v>1</v>
      </c>
      <c r="B3" s="15">
        <v>1</v>
      </c>
      <c r="C3" s="16">
        <v>1</v>
      </c>
      <c r="D3" s="17" t="s">
        <v>16</v>
      </c>
      <c r="E3" s="17" t="s">
        <v>17</v>
      </c>
      <c r="F3" s="174">
        <f>VLOOKUP(D3,原始分!$D:$N,3,0)</f>
        <v>95.5</v>
      </c>
      <c r="G3" s="174">
        <f t="shared" ref="G3:G66" si="0">RANK(F3,$F$3:$F$900)</f>
        <v>595</v>
      </c>
      <c r="H3" s="174">
        <f>VLOOKUP(D3,原始分!$D:$N,4,0)</f>
        <v>86.5</v>
      </c>
      <c r="I3" s="174">
        <f t="shared" ref="I3:I66" si="1">RANK(H3,$H$3:$H$900)</f>
        <v>684</v>
      </c>
      <c r="J3" s="174">
        <f>VLOOKUP(D3,原始分!$D:$N,5,0)</f>
        <v>96.5</v>
      </c>
      <c r="K3" s="174">
        <f t="shared" ref="K3:K66" si="2">RANK(J3,$J$3:$J$900)</f>
        <v>455</v>
      </c>
      <c r="L3" s="174">
        <f>VLOOKUP(D3,原始分!$D:$N,6,0)</f>
        <v>39.5</v>
      </c>
      <c r="M3" s="174">
        <f t="shared" ref="M3:M66" si="3">RANK(L3,$L$3:$L$900)</f>
        <v>514</v>
      </c>
      <c r="N3" s="174">
        <f>VLOOKUP(D3,原始分!$D:$N,7,0)</f>
        <v>0</v>
      </c>
      <c r="O3" s="174">
        <f t="shared" ref="O3:O66" si="4">RANK(N3,$N$3:$N$900)</f>
        <v>207</v>
      </c>
      <c r="P3" s="174">
        <f>VLOOKUP(D3,原始分!$D:$N,8,0)</f>
        <v>31</v>
      </c>
      <c r="Q3" s="174">
        <f t="shared" ref="Q3:Q66" si="5">RANK(P3,$P$3:$P$900)</f>
        <v>465</v>
      </c>
      <c r="R3" s="174">
        <f>VLOOKUP(D3,原始分!$D:$N,9,0)</f>
        <v>0</v>
      </c>
      <c r="S3" s="174">
        <f t="shared" ref="S3:S66" si="6">RANK(R3,$R$3:$R$900)</f>
        <v>320</v>
      </c>
      <c r="T3" s="174">
        <f>VLOOKUP(D3,原始分!$D:$N,10,0)</f>
        <v>51</v>
      </c>
      <c r="U3" s="174">
        <f t="shared" ref="U3:U66" si="7">RANK(T3,$T$3:$T$900)</f>
        <v>240</v>
      </c>
      <c r="V3" s="174">
        <f>VLOOKUP(D3,原始分!$D:$N,11,0)</f>
        <v>0</v>
      </c>
      <c r="W3" s="174">
        <f t="shared" ref="W3:W66" si="8">RANK(V3,$V$3:$V$900)</f>
        <v>565</v>
      </c>
      <c r="X3" s="11">
        <f t="shared" ref="X3:X66" si="9">SUM(F3,H3,J3)</f>
        <v>278.5</v>
      </c>
      <c r="Y3" s="9">
        <f t="shared" ref="Y3:Y66" si="10">RANK(X3,$X$3:$X$900)</f>
        <v>613</v>
      </c>
      <c r="Z3" s="11">
        <f t="shared" ref="Z3:Z66" si="11">SUM(F3,H3,J3,L3,N3,P3,R3,T3,V3)</f>
        <v>400</v>
      </c>
      <c r="AA3" s="9">
        <f>RANK(Z3,$Z$3:$Z$665)</f>
        <v>523</v>
      </c>
      <c r="AC3" s="157">
        <v>1</v>
      </c>
      <c r="AD3" s="126">
        <f>COUNTIFS($AA:$AA,"&lt;=100",$B:$B,AC3)</f>
        <v>6</v>
      </c>
      <c r="AE3" s="126">
        <f>COUNTIFS($AA:$AA,"&gt;600",$B:$B,AC3)</f>
        <v>4</v>
      </c>
    </row>
    <row r="4" ht="14.25" spans="1:31">
      <c r="A4" s="13">
        <v>2</v>
      </c>
      <c r="B4" s="15">
        <v>1</v>
      </c>
      <c r="C4" s="16">
        <v>2</v>
      </c>
      <c r="D4" s="17" t="s">
        <v>18</v>
      </c>
      <c r="E4" s="17" t="s">
        <v>19</v>
      </c>
      <c r="F4" s="174">
        <f>VLOOKUP(D4,原始分!$D:$N,3,0)</f>
        <v>97.5</v>
      </c>
      <c r="G4" s="174">
        <f t="shared" si="0"/>
        <v>531</v>
      </c>
      <c r="H4" s="174">
        <f>VLOOKUP(D4,原始分!$D:$N,4,0)</f>
        <v>101.5</v>
      </c>
      <c r="I4" s="174">
        <f t="shared" si="1"/>
        <v>391</v>
      </c>
      <c r="J4" s="174">
        <f>VLOOKUP(D4,原始分!$D:$N,5,0)</f>
        <v>83.5</v>
      </c>
      <c r="K4" s="174">
        <f t="shared" si="2"/>
        <v>694</v>
      </c>
      <c r="L4" s="174">
        <f>VLOOKUP(D4,原始分!$D:$N,6,0)</f>
        <v>32</v>
      </c>
      <c r="M4" s="174">
        <f t="shared" si="3"/>
        <v>603</v>
      </c>
      <c r="N4" s="174">
        <f>VLOOKUP(D4,原始分!$D:$N,7,0)</f>
        <v>0</v>
      </c>
      <c r="O4" s="174">
        <f t="shared" si="4"/>
        <v>207</v>
      </c>
      <c r="P4" s="174">
        <f>VLOOKUP(D4,原始分!$D:$N,8,0)</f>
        <v>36</v>
      </c>
      <c r="Q4" s="174">
        <f t="shared" si="5"/>
        <v>386</v>
      </c>
      <c r="R4" s="174">
        <f>VLOOKUP(D4,原始分!$D:$N,9,0)</f>
        <v>0</v>
      </c>
      <c r="S4" s="174">
        <f t="shared" si="6"/>
        <v>320</v>
      </c>
      <c r="T4" s="174">
        <f>VLOOKUP(D4,原始分!$D:$N,10,0)</f>
        <v>59.5</v>
      </c>
      <c r="U4" s="174">
        <f t="shared" si="7"/>
        <v>116</v>
      </c>
      <c r="V4" s="174">
        <f>VLOOKUP(D4,原始分!$D:$N,11,0)</f>
        <v>0</v>
      </c>
      <c r="W4" s="174">
        <f t="shared" si="8"/>
        <v>565</v>
      </c>
      <c r="X4" s="11">
        <f t="shared" si="9"/>
        <v>282.5</v>
      </c>
      <c r="Y4" s="9">
        <f t="shared" si="10"/>
        <v>571</v>
      </c>
      <c r="Z4" s="11">
        <f t="shared" si="11"/>
        <v>410</v>
      </c>
      <c r="AA4" s="9">
        <f t="shared" ref="AA4:AA32" si="12">RANK(Z4,$Z$3:$Z$665)</f>
        <v>474</v>
      </c>
      <c r="AC4" s="157">
        <v>2</v>
      </c>
      <c r="AD4" s="126">
        <f t="shared" ref="AD4:AD15" si="13">COUNTIFS($AA:$AA,"&lt;=100",$B:$B,AC4)</f>
        <v>4</v>
      </c>
      <c r="AE4" s="126">
        <f t="shared" ref="AE4:AE15" si="14">COUNTIFS($AA:$AA,"&gt;600",$B:$B,AC4)</f>
        <v>2</v>
      </c>
    </row>
    <row r="5" ht="14.25" spans="1:31">
      <c r="A5" s="13">
        <v>3</v>
      </c>
      <c r="B5" s="15">
        <v>1</v>
      </c>
      <c r="C5" s="16">
        <v>4</v>
      </c>
      <c r="D5" s="17" t="s">
        <v>20</v>
      </c>
      <c r="E5" s="17" t="s">
        <v>21</v>
      </c>
      <c r="F5" s="174">
        <f>VLOOKUP(D5,原始分!$D:$N,3,0)</f>
        <v>83</v>
      </c>
      <c r="G5" s="174">
        <f t="shared" si="0"/>
        <v>851</v>
      </c>
      <c r="H5" s="174">
        <f>VLOOKUP(D5,原始分!$D:$N,4,0)</f>
        <v>96.5</v>
      </c>
      <c r="I5" s="174">
        <f t="shared" si="1"/>
        <v>485</v>
      </c>
      <c r="J5" s="174">
        <f>VLOOKUP(D5,原始分!$D:$N,5,0)</f>
        <v>90.5</v>
      </c>
      <c r="K5" s="174">
        <f t="shared" si="2"/>
        <v>579</v>
      </c>
      <c r="L5" s="174">
        <f>VLOOKUP(D5,原始分!$D:$N,6,0)</f>
        <v>56.5</v>
      </c>
      <c r="M5" s="174">
        <f t="shared" si="3"/>
        <v>244</v>
      </c>
      <c r="N5" s="174">
        <f>VLOOKUP(D5,原始分!$D:$N,7,0)</f>
        <v>0</v>
      </c>
      <c r="O5" s="174">
        <f t="shared" si="4"/>
        <v>207</v>
      </c>
      <c r="P5" s="174">
        <f>VLOOKUP(D5,原始分!$D:$N,8,0)</f>
        <v>34</v>
      </c>
      <c r="Q5" s="174">
        <f t="shared" si="5"/>
        <v>414</v>
      </c>
      <c r="R5" s="174">
        <f>VLOOKUP(D5,原始分!$D:$N,9,0)</f>
        <v>0</v>
      </c>
      <c r="S5" s="174">
        <f t="shared" si="6"/>
        <v>320</v>
      </c>
      <c r="T5" s="174">
        <f>VLOOKUP(D5,原始分!$D:$N,10,0)</f>
        <v>51</v>
      </c>
      <c r="U5" s="174">
        <f t="shared" si="7"/>
        <v>240</v>
      </c>
      <c r="V5" s="174">
        <f>VLOOKUP(D5,原始分!$D:$N,11,0)</f>
        <v>0</v>
      </c>
      <c r="W5" s="174">
        <f t="shared" si="8"/>
        <v>565</v>
      </c>
      <c r="X5" s="11">
        <f t="shared" si="9"/>
        <v>270</v>
      </c>
      <c r="Y5" s="9">
        <f t="shared" si="10"/>
        <v>700</v>
      </c>
      <c r="Z5" s="11">
        <f t="shared" si="11"/>
        <v>411.5</v>
      </c>
      <c r="AA5" s="9">
        <f t="shared" si="12"/>
        <v>465</v>
      </c>
      <c r="AC5" s="157">
        <v>3</v>
      </c>
      <c r="AD5" s="126">
        <f t="shared" si="13"/>
        <v>3</v>
      </c>
      <c r="AE5" s="126">
        <f t="shared" si="14"/>
        <v>5</v>
      </c>
    </row>
    <row r="6" ht="14.25" spans="1:31">
      <c r="A6" s="13">
        <v>4</v>
      </c>
      <c r="B6" s="15">
        <v>1</v>
      </c>
      <c r="C6" s="16">
        <v>5</v>
      </c>
      <c r="D6" s="17" t="s">
        <v>22</v>
      </c>
      <c r="E6" s="17" t="s">
        <v>23</v>
      </c>
      <c r="F6" s="174">
        <f>VLOOKUP(D6,原始分!$D:$N,3,0)</f>
        <v>92.5</v>
      </c>
      <c r="G6" s="174">
        <f t="shared" si="0"/>
        <v>713</v>
      </c>
      <c r="H6" s="174">
        <f>VLOOKUP(D6,原始分!$D:$N,4,0)</f>
        <v>114.5</v>
      </c>
      <c r="I6" s="174">
        <f t="shared" si="1"/>
        <v>136</v>
      </c>
      <c r="J6" s="174">
        <f>VLOOKUP(D6,原始分!$D:$N,5,0)</f>
        <v>71.75</v>
      </c>
      <c r="K6" s="174">
        <f t="shared" si="2"/>
        <v>817</v>
      </c>
      <c r="L6" s="174">
        <f>VLOOKUP(D6,原始分!$D:$N,6,0)</f>
        <v>48.5</v>
      </c>
      <c r="M6" s="174">
        <f t="shared" si="3"/>
        <v>364</v>
      </c>
      <c r="N6" s="174">
        <f>VLOOKUP(D6,原始分!$D:$N,7,0)</f>
        <v>0</v>
      </c>
      <c r="O6" s="174">
        <f t="shared" si="4"/>
        <v>207</v>
      </c>
      <c r="P6" s="174">
        <f>VLOOKUP(D6,原始分!$D:$N,8,0)</f>
        <v>39.5</v>
      </c>
      <c r="Q6" s="174">
        <f t="shared" si="5"/>
        <v>335</v>
      </c>
      <c r="R6" s="174">
        <f>VLOOKUP(D6,原始分!$D:$N,9,0)</f>
        <v>0</v>
      </c>
      <c r="S6" s="174">
        <f t="shared" si="6"/>
        <v>320</v>
      </c>
      <c r="T6" s="174">
        <f>VLOOKUP(D6,原始分!$D:$N,10,0)</f>
        <v>47</v>
      </c>
      <c r="U6" s="174">
        <f t="shared" si="7"/>
        <v>284</v>
      </c>
      <c r="V6" s="174">
        <f>VLOOKUP(D6,原始分!$D:$N,11,0)</f>
        <v>0</v>
      </c>
      <c r="W6" s="174">
        <f t="shared" si="8"/>
        <v>565</v>
      </c>
      <c r="X6" s="11">
        <f t="shared" si="9"/>
        <v>278.75</v>
      </c>
      <c r="Y6" s="9">
        <f t="shared" si="10"/>
        <v>610</v>
      </c>
      <c r="Z6" s="11">
        <f t="shared" si="11"/>
        <v>413.75</v>
      </c>
      <c r="AA6" s="9">
        <f t="shared" si="12"/>
        <v>455</v>
      </c>
      <c r="AC6" s="157">
        <v>4</v>
      </c>
      <c r="AD6" s="126">
        <f t="shared" si="13"/>
        <v>1</v>
      </c>
      <c r="AE6" s="126">
        <f t="shared" si="14"/>
        <v>5</v>
      </c>
    </row>
    <row r="7" ht="14.25" spans="1:31">
      <c r="A7" s="13">
        <v>5</v>
      </c>
      <c r="B7" s="15">
        <v>1</v>
      </c>
      <c r="C7" s="16">
        <v>6</v>
      </c>
      <c r="D7" s="17" t="s">
        <v>24</v>
      </c>
      <c r="E7" s="17" t="s">
        <v>25</v>
      </c>
      <c r="F7" s="174">
        <f>VLOOKUP(D7,原始分!$D:$N,3,0)</f>
        <v>111</v>
      </c>
      <c r="G7" s="174">
        <f t="shared" si="0"/>
        <v>35</v>
      </c>
      <c r="H7" s="174">
        <f>VLOOKUP(D7,原始分!$D:$N,4,0)</f>
        <v>107.5</v>
      </c>
      <c r="I7" s="174">
        <f t="shared" si="1"/>
        <v>267</v>
      </c>
      <c r="J7" s="174">
        <f>VLOOKUP(D7,原始分!$D:$N,5,0)</f>
        <v>83.5</v>
      </c>
      <c r="K7" s="174">
        <f t="shared" si="2"/>
        <v>694</v>
      </c>
      <c r="L7" s="174">
        <f>VLOOKUP(D7,原始分!$D:$N,6,0)</f>
        <v>48.5</v>
      </c>
      <c r="M7" s="174">
        <f t="shared" si="3"/>
        <v>364</v>
      </c>
      <c r="N7" s="174">
        <f>VLOOKUP(D7,原始分!$D:$N,7,0)</f>
        <v>0</v>
      </c>
      <c r="O7" s="174">
        <f t="shared" si="4"/>
        <v>207</v>
      </c>
      <c r="P7" s="174">
        <f>VLOOKUP(D7,原始分!$D:$N,8,0)</f>
        <v>43.5</v>
      </c>
      <c r="Q7" s="174">
        <f t="shared" si="5"/>
        <v>242</v>
      </c>
      <c r="R7" s="174">
        <f>VLOOKUP(D7,原始分!$D:$N,9,0)</f>
        <v>0</v>
      </c>
      <c r="S7" s="174">
        <f t="shared" si="6"/>
        <v>320</v>
      </c>
      <c r="T7" s="174">
        <f>VLOOKUP(D7,原始分!$D:$N,10,0)</f>
        <v>54</v>
      </c>
      <c r="U7" s="174">
        <f t="shared" si="7"/>
        <v>204</v>
      </c>
      <c r="V7" s="174">
        <f>VLOOKUP(D7,原始分!$D:$N,11,0)</f>
        <v>0</v>
      </c>
      <c r="W7" s="174">
        <f t="shared" si="8"/>
        <v>565</v>
      </c>
      <c r="X7" s="11">
        <f t="shared" si="9"/>
        <v>302</v>
      </c>
      <c r="Y7" s="9">
        <f t="shared" si="10"/>
        <v>348</v>
      </c>
      <c r="Z7" s="11">
        <f t="shared" si="11"/>
        <v>448</v>
      </c>
      <c r="AA7" s="9">
        <f t="shared" si="12"/>
        <v>289</v>
      </c>
      <c r="AC7" s="157">
        <v>5</v>
      </c>
      <c r="AD7" s="126">
        <f t="shared" si="13"/>
        <v>3</v>
      </c>
      <c r="AE7" s="126">
        <f t="shared" si="14"/>
        <v>4</v>
      </c>
    </row>
    <row r="8" ht="14.25" spans="1:31">
      <c r="A8" s="13">
        <v>6</v>
      </c>
      <c r="B8" s="15">
        <v>1</v>
      </c>
      <c r="C8" s="16">
        <v>7</v>
      </c>
      <c r="D8" s="17" t="s">
        <v>26</v>
      </c>
      <c r="E8" s="17" t="s">
        <v>27</v>
      </c>
      <c r="F8" s="174">
        <f>VLOOKUP(D8,原始分!$D:$N,3,0)</f>
        <v>99.5</v>
      </c>
      <c r="G8" s="174">
        <f t="shared" si="0"/>
        <v>418</v>
      </c>
      <c r="H8" s="174">
        <f>VLOOKUP(D8,原始分!$D:$N,4,0)</f>
        <v>96.5</v>
      </c>
      <c r="I8" s="174">
        <f t="shared" si="1"/>
        <v>485</v>
      </c>
      <c r="J8" s="174">
        <f>VLOOKUP(D8,原始分!$D:$N,5,0)</f>
        <v>109.75</v>
      </c>
      <c r="K8" s="174">
        <f t="shared" si="2"/>
        <v>181</v>
      </c>
      <c r="L8" s="174">
        <f>VLOOKUP(D8,原始分!$D:$N,6,0)</f>
        <v>57</v>
      </c>
      <c r="M8" s="174">
        <f t="shared" si="3"/>
        <v>237</v>
      </c>
      <c r="N8" s="174">
        <f>VLOOKUP(D8,原始分!$D:$N,7,0)</f>
        <v>0</v>
      </c>
      <c r="O8" s="174">
        <f t="shared" si="4"/>
        <v>207</v>
      </c>
      <c r="P8" s="174">
        <f>VLOOKUP(D8,原始分!$D:$N,8,0)</f>
        <v>53.5</v>
      </c>
      <c r="Q8" s="174">
        <f t="shared" si="5"/>
        <v>62</v>
      </c>
      <c r="R8" s="174">
        <f>VLOOKUP(D8,原始分!$D:$N,9,0)</f>
        <v>0</v>
      </c>
      <c r="S8" s="174">
        <f t="shared" si="6"/>
        <v>320</v>
      </c>
      <c r="T8" s="174">
        <f>VLOOKUP(D8,原始分!$D:$N,10,0)</f>
        <v>62</v>
      </c>
      <c r="U8" s="174">
        <f t="shared" si="7"/>
        <v>81</v>
      </c>
      <c r="V8" s="174">
        <f>VLOOKUP(D8,原始分!$D:$N,11,0)</f>
        <v>0</v>
      </c>
      <c r="W8" s="174">
        <f t="shared" si="8"/>
        <v>565</v>
      </c>
      <c r="X8" s="11">
        <f t="shared" si="9"/>
        <v>305.75</v>
      </c>
      <c r="Y8" s="9">
        <f t="shared" si="10"/>
        <v>310</v>
      </c>
      <c r="Z8" s="11">
        <f t="shared" si="11"/>
        <v>478.25</v>
      </c>
      <c r="AA8" s="9">
        <f t="shared" si="12"/>
        <v>140</v>
      </c>
      <c r="AC8" s="157">
        <v>6</v>
      </c>
      <c r="AD8" s="126">
        <f t="shared" si="13"/>
        <v>1</v>
      </c>
      <c r="AE8" s="126">
        <f t="shared" si="14"/>
        <v>3</v>
      </c>
    </row>
    <row r="9" ht="14.25" spans="1:31">
      <c r="A9" s="13">
        <v>7</v>
      </c>
      <c r="B9" s="15">
        <v>1</v>
      </c>
      <c r="C9" s="16">
        <v>8</v>
      </c>
      <c r="D9" s="17" t="s">
        <v>28</v>
      </c>
      <c r="E9" s="17" t="s">
        <v>29</v>
      </c>
      <c r="F9" s="174">
        <f>VLOOKUP(D9,原始分!$D:$N,3,0)</f>
        <v>101.5</v>
      </c>
      <c r="G9" s="174">
        <f t="shared" si="0"/>
        <v>319</v>
      </c>
      <c r="H9" s="174">
        <f>VLOOKUP(D9,原始分!$D:$N,4,0)</f>
        <v>114</v>
      </c>
      <c r="I9" s="174">
        <f t="shared" si="1"/>
        <v>145</v>
      </c>
      <c r="J9" s="174">
        <f>VLOOKUP(D9,原始分!$D:$N,5,0)</f>
        <v>114</v>
      </c>
      <c r="K9" s="174">
        <f t="shared" si="2"/>
        <v>116</v>
      </c>
      <c r="L9" s="174">
        <f>VLOOKUP(D9,原始分!$D:$N,6,0)</f>
        <v>69.5</v>
      </c>
      <c r="M9" s="174">
        <f t="shared" si="3"/>
        <v>67</v>
      </c>
      <c r="N9" s="174">
        <f>VLOOKUP(D9,原始分!$D:$N,7,0)</f>
        <v>0</v>
      </c>
      <c r="O9" s="174">
        <f t="shared" si="4"/>
        <v>207</v>
      </c>
      <c r="P9" s="174">
        <f>VLOOKUP(D9,原始分!$D:$N,8,0)</f>
        <v>55.5</v>
      </c>
      <c r="Q9" s="174">
        <f t="shared" si="5"/>
        <v>47</v>
      </c>
      <c r="R9" s="174">
        <f>VLOOKUP(D9,原始分!$D:$N,9,0)</f>
        <v>0</v>
      </c>
      <c r="S9" s="174">
        <f t="shared" si="6"/>
        <v>320</v>
      </c>
      <c r="T9" s="174">
        <f>VLOOKUP(D9,原始分!$D:$N,10,0)</f>
        <v>65</v>
      </c>
      <c r="U9" s="174">
        <f t="shared" si="7"/>
        <v>47</v>
      </c>
      <c r="V9" s="174">
        <f>VLOOKUP(D9,原始分!$D:$N,11,0)</f>
        <v>0</v>
      </c>
      <c r="W9" s="174">
        <f t="shared" si="8"/>
        <v>565</v>
      </c>
      <c r="X9" s="11">
        <f t="shared" si="9"/>
        <v>329.5</v>
      </c>
      <c r="Y9" s="9">
        <f t="shared" si="10"/>
        <v>93</v>
      </c>
      <c r="Z9" s="11">
        <f t="shared" si="11"/>
        <v>519.5</v>
      </c>
      <c r="AA9" s="9">
        <f t="shared" si="12"/>
        <v>36</v>
      </c>
      <c r="AC9" s="157">
        <v>7</v>
      </c>
      <c r="AD9" s="126">
        <f t="shared" si="13"/>
        <v>0</v>
      </c>
      <c r="AE9" s="126">
        <f t="shared" si="14"/>
        <v>6</v>
      </c>
    </row>
    <row r="10" ht="14.25" spans="1:31">
      <c r="A10" s="13">
        <v>8</v>
      </c>
      <c r="B10" s="15">
        <v>1</v>
      </c>
      <c r="C10" s="16">
        <v>9</v>
      </c>
      <c r="D10" s="17" t="s">
        <v>30</v>
      </c>
      <c r="E10" s="17" t="s">
        <v>31</v>
      </c>
      <c r="F10" s="174">
        <f>VLOOKUP(D10,原始分!$D:$N,3,0)</f>
        <v>100.5</v>
      </c>
      <c r="G10" s="174">
        <f t="shared" si="0"/>
        <v>370</v>
      </c>
      <c r="H10" s="174">
        <f>VLOOKUP(D10,原始分!$D:$N,4,0)</f>
        <v>90.5</v>
      </c>
      <c r="I10" s="174">
        <f t="shared" si="1"/>
        <v>609</v>
      </c>
      <c r="J10" s="174">
        <f>VLOOKUP(D10,原始分!$D:$N,5,0)</f>
        <v>119</v>
      </c>
      <c r="K10" s="174">
        <f t="shared" si="2"/>
        <v>49</v>
      </c>
      <c r="L10" s="174">
        <f>VLOOKUP(D10,原始分!$D:$N,6,0)</f>
        <v>45.5</v>
      </c>
      <c r="M10" s="174">
        <f t="shared" si="3"/>
        <v>417</v>
      </c>
      <c r="N10" s="174">
        <f>VLOOKUP(D10,原始分!$D:$N,7,0)</f>
        <v>0</v>
      </c>
      <c r="O10" s="174">
        <f t="shared" si="4"/>
        <v>207</v>
      </c>
      <c r="P10" s="174">
        <f>VLOOKUP(D10,原始分!$D:$N,8,0)</f>
        <v>49</v>
      </c>
      <c r="Q10" s="174">
        <f t="shared" si="5"/>
        <v>132</v>
      </c>
      <c r="R10" s="174">
        <f>VLOOKUP(D10,原始分!$D:$N,9,0)</f>
        <v>0</v>
      </c>
      <c r="S10" s="174">
        <f t="shared" si="6"/>
        <v>320</v>
      </c>
      <c r="T10" s="174">
        <f>VLOOKUP(D10,原始分!$D:$N,10,0)</f>
        <v>65.25</v>
      </c>
      <c r="U10" s="174">
        <f t="shared" si="7"/>
        <v>44</v>
      </c>
      <c r="V10" s="174">
        <f>VLOOKUP(D10,原始分!$D:$N,11,0)</f>
        <v>0</v>
      </c>
      <c r="W10" s="174">
        <f t="shared" si="8"/>
        <v>565</v>
      </c>
      <c r="X10" s="11">
        <f t="shared" si="9"/>
        <v>310</v>
      </c>
      <c r="Y10" s="9">
        <f t="shared" si="10"/>
        <v>264</v>
      </c>
      <c r="Z10" s="11">
        <f t="shared" si="11"/>
        <v>469.75</v>
      </c>
      <c r="AA10" s="9">
        <f t="shared" si="12"/>
        <v>177</v>
      </c>
      <c r="AC10" s="157">
        <v>8</v>
      </c>
      <c r="AD10" s="126">
        <f t="shared" si="13"/>
        <v>2</v>
      </c>
      <c r="AE10" s="126">
        <f t="shared" si="14"/>
        <v>4</v>
      </c>
    </row>
    <row r="11" ht="14.25" spans="1:31">
      <c r="A11" s="13">
        <v>9</v>
      </c>
      <c r="B11" s="15">
        <v>1</v>
      </c>
      <c r="C11" s="16">
        <v>10</v>
      </c>
      <c r="D11" s="17" t="s">
        <v>32</v>
      </c>
      <c r="E11" s="17" t="s">
        <v>33</v>
      </c>
      <c r="F11" s="174">
        <f>VLOOKUP(D11,原始分!$D:$N,3,0)</f>
        <v>98.5</v>
      </c>
      <c r="G11" s="174">
        <f t="shared" si="0"/>
        <v>469</v>
      </c>
      <c r="H11" s="174">
        <f>VLOOKUP(D11,原始分!$D:$N,4,0)</f>
        <v>94.5</v>
      </c>
      <c r="I11" s="174">
        <f t="shared" si="1"/>
        <v>525</v>
      </c>
      <c r="J11" s="174">
        <f>VLOOKUP(D11,原始分!$D:$N,5,0)</f>
        <v>98.5</v>
      </c>
      <c r="K11" s="174">
        <f t="shared" si="2"/>
        <v>412</v>
      </c>
      <c r="L11" s="174">
        <f>VLOOKUP(D11,原始分!$D:$N,6,0)</f>
        <v>66.5</v>
      </c>
      <c r="M11" s="174">
        <f t="shared" si="3"/>
        <v>88</v>
      </c>
      <c r="N11" s="174">
        <f>VLOOKUP(D11,原始分!$D:$N,7,0)</f>
        <v>0</v>
      </c>
      <c r="O11" s="174">
        <f t="shared" si="4"/>
        <v>207</v>
      </c>
      <c r="P11" s="174">
        <f>VLOOKUP(D11,原始分!$D:$N,8,0)</f>
        <v>30</v>
      </c>
      <c r="Q11" s="174">
        <f t="shared" si="5"/>
        <v>474</v>
      </c>
      <c r="R11" s="174">
        <f>VLOOKUP(D11,原始分!$D:$N,9,0)</f>
        <v>0</v>
      </c>
      <c r="S11" s="174">
        <f t="shared" si="6"/>
        <v>320</v>
      </c>
      <c r="T11" s="174">
        <f>VLOOKUP(D11,原始分!$D:$N,10,0)</f>
        <v>56.5</v>
      </c>
      <c r="U11" s="174">
        <f t="shared" si="7"/>
        <v>172</v>
      </c>
      <c r="V11" s="174">
        <f>VLOOKUP(D11,原始分!$D:$N,11,0)</f>
        <v>0</v>
      </c>
      <c r="W11" s="174">
        <f t="shared" si="8"/>
        <v>565</v>
      </c>
      <c r="X11" s="11">
        <f t="shared" si="9"/>
        <v>291.5</v>
      </c>
      <c r="Y11" s="9">
        <f t="shared" si="10"/>
        <v>482</v>
      </c>
      <c r="Z11" s="11">
        <f t="shared" si="11"/>
        <v>444.5</v>
      </c>
      <c r="AA11" s="9">
        <f t="shared" si="12"/>
        <v>313</v>
      </c>
      <c r="AC11" s="157">
        <v>9</v>
      </c>
      <c r="AD11" s="126">
        <f t="shared" si="13"/>
        <v>49</v>
      </c>
      <c r="AE11" s="126">
        <f t="shared" si="14"/>
        <v>0</v>
      </c>
    </row>
    <row r="12" ht="14.25" spans="1:31">
      <c r="A12" s="13">
        <v>10</v>
      </c>
      <c r="B12" s="15">
        <v>1</v>
      </c>
      <c r="C12" s="16">
        <v>11</v>
      </c>
      <c r="D12" s="17" t="s">
        <v>34</v>
      </c>
      <c r="E12" s="17" t="s">
        <v>35</v>
      </c>
      <c r="F12" s="174">
        <f>VLOOKUP(D12,原始分!$D:$N,3,0)</f>
        <v>104.5</v>
      </c>
      <c r="G12" s="174">
        <f t="shared" si="0"/>
        <v>190</v>
      </c>
      <c r="H12" s="174">
        <f>VLOOKUP(D12,原始分!$D:$N,4,0)</f>
        <v>75</v>
      </c>
      <c r="I12" s="174">
        <f t="shared" si="1"/>
        <v>785</v>
      </c>
      <c r="J12" s="174">
        <f>VLOOKUP(D12,原始分!$D:$N,5,0)</f>
        <v>85.75</v>
      </c>
      <c r="K12" s="174">
        <f t="shared" si="2"/>
        <v>653</v>
      </c>
      <c r="L12" s="174">
        <f>VLOOKUP(D12,原始分!$D:$N,6,0)</f>
        <v>21</v>
      </c>
      <c r="M12" s="174">
        <f t="shared" si="3"/>
        <v>650</v>
      </c>
      <c r="N12" s="174">
        <f>VLOOKUP(D12,原始分!$D:$N,7,0)</f>
        <v>0</v>
      </c>
      <c r="O12" s="174">
        <f t="shared" si="4"/>
        <v>207</v>
      </c>
      <c r="P12" s="174">
        <f>VLOOKUP(D12,原始分!$D:$N,8,0)</f>
        <v>40</v>
      </c>
      <c r="Q12" s="174">
        <f t="shared" si="5"/>
        <v>316</v>
      </c>
      <c r="R12" s="174">
        <f>VLOOKUP(D12,原始分!$D:$N,9,0)</f>
        <v>0</v>
      </c>
      <c r="S12" s="174">
        <f t="shared" si="6"/>
        <v>320</v>
      </c>
      <c r="T12" s="174">
        <f>VLOOKUP(D12,原始分!$D:$N,10,0)</f>
        <v>44</v>
      </c>
      <c r="U12" s="174">
        <f t="shared" si="7"/>
        <v>302</v>
      </c>
      <c r="V12" s="174">
        <f>VLOOKUP(D12,原始分!$D:$N,11,0)</f>
        <v>0</v>
      </c>
      <c r="W12" s="174">
        <f t="shared" si="8"/>
        <v>565</v>
      </c>
      <c r="X12" s="11">
        <f t="shared" si="9"/>
        <v>265.25</v>
      </c>
      <c r="Y12" s="9">
        <f t="shared" si="10"/>
        <v>739</v>
      </c>
      <c r="Z12" s="11">
        <f t="shared" si="11"/>
        <v>370.25</v>
      </c>
      <c r="AA12" s="9">
        <f t="shared" si="12"/>
        <v>609</v>
      </c>
      <c r="AC12" s="157">
        <v>10</v>
      </c>
      <c r="AD12" s="126">
        <f t="shared" si="13"/>
        <v>22</v>
      </c>
      <c r="AE12" s="126">
        <f t="shared" si="14"/>
        <v>0</v>
      </c>
    </row>
    <row r="13" ht="14.25" spans="1:31">
      <c r="A13" s="13">
        <v>11</v>
      </c>
      <c r="B13" s="15">
        <v>1</v>
      </c>
      <c r="C13" s="16">
        <v>12</v>
      </c>
      <c r="D13" s="17" t="s">
        <v>36</v>
      </c>
      <c r="E13" s="17" t="s">
        <v>37</v>
      </c>
      <c r="F13" s="174">
        <f>VLOOKUP(D13,原始分!$D:$N,3,0)</f>
        <v>87.5</v>
      </c>
      <c r="G13" s="174">
        <f t="shared" si="0"/>
        <v>815</v>
      </c>
      <c r="H13" s="174">
        <f>VLOOKUP(D13,原始分!$D:$N,4,0)</f>
        <v>98.5</v>
      </c>
      <c r="I13" s="174">
        <f t="shared" si="1"/>
        <v>442</v>
      </c>
      <c r="J13" s="174">
        <f>VLOOKUP(D13,原始分!$D:$N,5,0)</f>
        <v>85.5</v>
      </c>
      <c r="K13" s="174">
        <f t="shared" si="2"/>
        <v>656</v>
      </c>
      <c r="L13" s="174">
        <f>VLOOKUP(D13,原始分!$D:$N,6,0)</f>
        <v>55</v>
      </c>
      <c r="M13" s="174">
        <f t="shared" si="3"/>
        <v>269</v>
      </c>
      <c r="N13" s="174">
        <f>VLOOKUP(D13,原始分!$D:$N,7,0)</f>
        <v>0</v>
      </c>
      <c r="O13" s="174">
        <f t="shared" si="4"/>
        <v>207</v>
      </c>
      <c r="P13" s="174">
        <f>VLOOKUP(D13,原始分!$D:$N,8,0)</f>
        <v>44</v>
      </c>
      <c r="Q13" s="174">
        <f t="shared" si="5"/>
        <v>227</v>
      </c>
      <c r="R13" s="174">
        <f>VLOOKUP(D13,原始分!$D:$N,9,0)</f>
        <v>0</v>
      </c>
      <c r="S13" s="174">
        <f t="shared" si="6"/>
        <v>320</v>
      </c>
      <c r="T13" s="174">
        <f>VLOOKUP(D13,原始分!$D:$N,10,0)</f>
        <v>57</v>
      </c>
      <c r="U13" s="174">
        <f t="shared" si="7"/>
        <v>157</v>
      </c>
      <c r="V13" s="174">
        <f>VLOOKUP(D13,原始分!$D:$N,11,0)</f>
        <v>0</v>
      </c>
      <c r="W13" s="174">
        <f t="shared" si="8"/>
        <v>565</v>
      </c>
      <c r="X13" s="11">
        <f t="shared" si="9"/>
        <v>271.5</v>
      </c>
      <c r="Y13" s="9">
        <f t="shared" si="10"/>
        <v>683</v>
      </c>
      <c r="Z13" s="11">
        <f t="shared" si="11"/>
        <v>427.5</v>
      </c>
      <c r="AA13" s="9">
        <f t="shared" si="12"/>
        <v>397</v>
      </c>
      <c r="AC13" s="157">
        <v>11</v>
      </c>
      <c r="AD13" s="126">
        <f t="shared" si="13"/>
        <v>2</v>
      </c>
      <c r="AE13" s="126">
        <f t="shared" si="14"/>
        <v>10</v>
      </c>
    </row>
    <row r="14" ht="14.25" spans="1:31">
      <c r="A14" s="13">
        <v>12</v>
      </c>
      <c r="B14" s="15">
        <v>1</v>
      </c>
      <c r="C14" s="16">
        <v>13</v>
      </c>
      <c r="D14" s="17" t="s">
        <v>38</v>
      </c>
      <c r="E14" s="17" t="s">
        <v>39</v>
      </c>
      <c r="F14" s="174">
        <f>VLOOKUP(D14,原始分!$D:$N,3,0)</f>
        <v>98</v>
      </c>
      <c r="G14" s="174">
        <f t="shared" si="0"/>
        <v>500</v>
      </c>
      <c r="H14" s="174">
        <f>VLOOKUP(D14,原始分!$D:$N,4,0)</f>
        <v>85</v>
      </c>
      <c r="I14" s="174">
        <f t="shared" si="1"/>
        <v>701</v>
      </c>
      <c r="J14" s="174">
        <f>VLOOKUP(D14,原始分!$D:$N,5,0)</f>
        <v>104</v>
      </c>
      <c r="K14" s="174">
        <f t="shared" si="2"/>
        <v>292</v>
      </c>
      <c r="L14" s="174">
        <f>VLOOKUP(D14,原始分!$D:$N,6,0)</f>
        <v>39</v>
      </c>
      <c r="M14" s="174">
        <f t="shared" si="3"/>
        <v>520</v>
      </c>
      <c r="N14" s="174">
        <f>VLOOKUP(D14,原始分!$D:$N,7,0)</f>
        <v>0</v>
      </c>
      <c r="O14" s="174">
        <f t="shared" si="4"/>
        <v>207</v>
      </c>
      <c r="P14" s="174">
        <f>VLOOKUP(D14,原始分!$D:$N,8,0)</f>
        <v>48.5</v>
      </c>
      <c r="Q14" s="174">
        <f t="shared" si="5"/>
        <v>139</v>
      </c>
      <c r="R14" s="174">
        <f>VLOOKUP(D14,原始分!$D:$N,9,0)</f>
        <v>0</v>
      </c>
      <c r="S14" s="174">
        <f t="shared" si="6"/>
        <v>320</v>
      </c>
      <c r="T14" s="174">
        <f>VLOOKUP(D14,原始分!$D:$N,10,0)</f>
        <v>46.5</v>
      </c>
      <c r="U14" s="174">
        <f t="shared" si="7"/>
        <v>286</v>
      </c>
      <c r="V14" s="174">
        <f>VLOOKUP(D14,原始分!$D:$N,11,0)</f>
        <v>0</v>
      </c>
      <c r="W14" s="174">
        <f t="shared" si="8"/>
        <v>565</v>
      </c>
      <c r="X14" s="11">
        <f t="shared" si="9"/>
        <v>287</v>
      </c>
      <c r="Y14" s="9">
        <f t="shared" si="10"/>
        <v>522</v>
      </c>
      <c r="Z14" s="11">
        <f t="shared" si="11"/>
        <v>421</v>
      </c>
      <c r="AA14" s="9">
        <f t="shared" si="12"/>
        <v>425</v>
      </c>
      <c r="AC14" s="157">
        <v>12</v>
      </c>
      <c r="AD14" s="126">
        <f t="shared" si="13"/>
        <v>3</v>
      </c>
      <c r="AE14" s="126">
        <f t="shared" si="14"/>
        <v>13</v>
      </c>
    </row>
    <row r="15" ht="14.25" spans="1:31">
      <c r="A15" s="13">
        <v>13</v>
      </c>
      <c r="B15" s="15">
        <v>1</v>
      </c>
      <c r="C15" s="16">
        <v>14</v>
      </c>
      <c r="D15" s="17" t="s">
        <v>40</v>
      </c>
      <c r="E15" s="17" t="s">
        <v>41</v>
      </c>
      <c r="F15" s="174">
        <f>VLOOKUP(D15,原始分!$D:$N,3,0)</f>
        <v>111</v>
      </c>
      <c r="G15" s="174">
        <f t="shared" si="0"/>
        <v>35</v>
      </c>
      <c r="H15" s="174">
        <f>VLOOKUP(D15,原始分!$D:$N,4,0)</f>
        <v>119.5</v>
      </c>
      <c r="I15" s="174">
        <f t="shared" si="1"/>
        <v>70</v>
      </c>
      <c r="J15" s="174">
        <f>VLOOKUP(D15,原始分!$D:$N,5,0)</f>
        <v>106.5</v>
      </c>
      <c r="K15" s="174">
        <f t="shared" si="2"/>
        <v>235</v>
      </c>
      <c r="L15" s="174">
        <f>VLOOKUP(D15,原始分!$D:$N,6,0)</f>
        <v>63.5</v>
      </c>
      <c r="M15" s="174">
        <f t="shared" si="3"/>
        <v>138</v>
      </c>
      <c r="N15" s="174">
        <f>VLOOKUP(D15,原始分!$D:$N,7,0)</f>
        <v>0</v>
      </c>
      <c r="O15" s="174">
        <f t="shared" si="4"/>
        <v>207</v>
      </c>
      <c r="P15" s="174">
        <f>VLOOKUP(D15,原始分!$D:$N,8,0)</f>
        <v>59.5</v>
      </c>
      <c r="Q15" s="174">
        <f t="shared" si="5"/>
        <v>30</v>
      </c>
      <c r="R15" s="174">
        <f>VLOOKUP(D15,原始分!$D:$N,9,0)</f>
        <v>0</v>
      </c>
      <c r="S15" s="174">
        <f t="shared" si="6"/>
        <v>320</v>
      </c>
      <c r="T15" s="174">
        <f>VLOOKUP(D15,原始分!$D:$N,10,0)</f>
        <v>58.5</v>
      </c>
      <c r="U15" s="174">
        <f t="shared" si="7"/>
        <v>132</v>
      </c>
      <c r="V15" s="174">
        <f>VLOOKUP(D15,原始分!$D:$N,11,0)</f>
        <v>0</v>
      </c>
      <c r="W15" s="174">
        <f t="shared" si="8"/>
        <v>565</v>
      </c>
      <c r="X15" s="11">
        <f t="shared" si="9"/>
        <v>337</v>
      </c>
      <c r="Y15" s="9">
        <f t="shared" si="10"/>
        <v>51</v>
      </c>
      <c r="Z15" s="11">
        <f t="shared" si="11"/>
        <v>518.5</v>
      </c>
      <c r="AA15" s="9">
        <f t="shared" si="12"/>
        <v>37</v>
      </c>
      <c r="AC15" s="157">
        <v>13</v>
      </c>
      <c r="AD15" s="126">
        <f t="shared" si="13"/>
        <v>4</v>
      </c>
      <c r="AE15" s="126">
        <f t="shared" si="14"/>
        <v>6</v>
      </c>
    </row>
    <row r="16" ht="14.25" spans="1:31">
      <c r="A16" s="13">
        <v>14</v>
      </c>
      <c r="B16" s="15">
        <v>1</v>
      </c>
      <c r="C16" s="16">
        <v>15</v>
      </c>
      <c r="D16" s="17" t="s">
        <v>42</v>
      </c>
      <c r="E16" s="17" t="s">
        <v>43</v>
      </c>
      <c r="F16" s="174">
        <f>VLOOKUP(D16,原始分!$D:$N,3,0)</f>
        <v>104</v>
      </c>
      <c r="G16" s="174">
        <f t="shared" si="0"/>
        <v>209</v>
      </c>
      <c r="H16" s="174">
        <f>VLOOKUP(D16,原始分!$D:$N,4,0)</f>
        <v>112</v>
      </c>
      <c r="I16" s="174">
        <f t="shared" si="1"/>
        <v>180</v>
      </c>
      <c r="J16" s="174">
        <f>VLOOKUP(D16,原始分!$D:$N,5,0)</f>
        <v>107.5</v>
      </c>
      <c r="K16" s="174">
        <f t="shared" si="2"/>
        <v>216</v>
      </c>
      <c r="L16" s="174">
        <f>VLOOKUP(D16,原始分!$D:$N,6,0)</f>
        <v>56.5</v>
      </c>
      <c r="M16" s="174">
        <f t="shared" si="3"/>
        <v>244</v>
      </c>
      <c r="N16" s="174">
        <f>VLOOKUP(D16,原始分!$D:$N,7,0)</f>
        <v>0</v>
      </c>
      <c r="O16" s="174">
        <f t="shared" si="4"/>
        <v>207</v>
      </c>
      <c r="P16" s="174">
        <f>VLOOKUP(D16,原始分!$D:$N,8,0)</f>
        <v>56.5</v>
      </c>
      <c r="Q16" s="174">
        <f t="shared" si="5"/>
        <v>44</v>
      </c>
      <c r="R16" s="174">
        <f>VLOOKUP(D16,原始分!$D:$N,9,0)</f>
        <v>0</v>
      </c>
      <c r="S16" s="174">
        <f t="shared" si="6"/>
        <v>320</v>
      </c>
      <c r="T16" s="174">
        <f>VLOOKUP(D16,原始分!$D:$N,10,0)</f>
        <v>66.5</v>
      </c>
      <c r="U16" s="174">
        <f t="shared" si="7"/>
        <v>33</v>
      </c>
      <c r="V16" s="174">
        <f>VLOOKUP(D16,原始分!$D:$N,11,0)</f>
        <v>0</v>
      </c>
      <c r="W16" s="174">
        <f t="shared" si="8"/>
        <v>565</v>
      </c>
      <c r="X16" s="11">
        <f t="shared" si="9"/>
        <v>323.5</v>
      </c>
      <c r="Y16" s="9">
        <f t="shared" si="10"/>
        <v>132</v>
      </c>
      <c r="Z16" s="11">
        <f t="shared" si="11"/>
        <v>503</v>
      </c>
      <c r="AA16" s="9">
        <f t="shared" si="12"/>
        <v>71</v>
      </c>
      <c r="AC16" s="14">
        <v>14</v>
      </c>
      <c r="AD16" s="9">
        <f>COUNTIFS($AA:$AA,"&lt;=50",$B:$B,AC16)</f>
        <v>3</v>
      </c>
      <c r="AE16" s="9">
        <f>COUNTIFS($AA:$AA,"&gt;200",$B:$B,AC16)</f>
        <v>1</v>
      </c>
    </row>
    <row r="17" ht="14.25" spans="1:31">
      <c r="A17" s="13">
        <v>15</v>
      </c>
      <c r="B17" s="15">
        <v>1</v>
      </c>
      <c r="C17" s="16">
        <v>17</v>
      </c>
      <c r="D17" s="17" t="s">
        <v>44</v>
      </c>
      <c r="E17" s="17" t="s">
        <v>45</v>
      </c>
      <c r="F17" s="174">
        <f>VLOOKUP(D17,原始分!$D:$N,3,0)</f>
        <v>95.5</v>
      </c>
      <c r="G17" s="174">
        <f t="shared" si="0"/>
        <v>595</v>
      </c>
      <c r="H17" s="174">
        <f>VLOOKUP(D17,原始分!$D:$N,4,0)</f>
        <v>124.5</v>
      </c>
      <c r="I17" s="174">
        <f t="shared" si="1"/>
        <v>37</v>
      </c>
      <c r="J17" s="174">
        <f>VLOOKUP(D17,原始分!$D:$N,5,0)</f>
        <v>91.25</v>
      </c>
      <c r="K17" s="174">
        <f t="shared" si="2"/>
        <v>569</v>
      </c>
      <c r="L17" s="174">
        <f>VLOOKUP(D17,原始分!$D:$N,6,0)</f>
        <v>71</v>
      </c>
      <c r="M17" s="174">
        <f t="shared" si="3"/>
        <v>61</v>
      </c>
      <c r="N17" s="174">
        <f>VLOOKUP(D17,原始分!$D:$N,7,0)</f>
        <v>0</v>
      </c>
      <c r="O17" s="174">
        <f t="shared" si="4"/>
        <v>207</v>
      </c>
      <c r="P17" s="174">
        <f>VLOOKUP(D17,原始分!$D:$N,8,0)</f>
        <v>40</v>
      </c>
      <c r="Q17" s="174">
        <f t="shared" si="5"/>
        <v>316</v>
      </c>
      <c r="R17" s="174">
        <f>VLOOKUP(D17,原始分!$D:$N,9,0)</f>
        <v>0</v>
      </c>
      <c r="S17" s="174">
        <f t="shared" si="6"/>
        <v>320</v>
      </c>
      <c r="T17" s="174">
        <f>VLOOKUP(D17,原始分!$D:$N,10,0)</f>
        <v>57</v>
      </c>
      <c r="U17" s="174">
        <f t="shared" si="7"/>
        <v>157</v>
      </c>
      <c r="V17" s="174">
        <f>VLOOKUP(D17,原始分!$D:$N,11,0)</f>
        <v>0</v>
      </c>
      <c r="W17" s="174">
        <f t="shared" si="8"/>
        <v>565</v>
      </c>
      <c r="X17" s="11">
        <f t="shared" si="9"/>
        <v>311.25</v>
      </c>
      <c r="Y17" s="9">
        <f t="shared" si="10"/>
        <v>244</v>
      </c>
      <c r="Z17" s="11">
        <f t="shared" si="11"/>
        <v>479.25</v>
      </c>
      <c r="AA17" s="9">
        <f t="shared" si="12"/>
        <v>135</v>
      </c>
      <c r="AC17" s="14">
        <v>15</v>
      </c>
      <c r="AD17" s="9">
        <f>COUNTIFS($AA:$AA,"&lt;=50",$B:$B,AC17)</f>
        <v>3</v>
      </c>
      <c r="AE17" s="9">
        <f>COUNTIFS($AA:$AA,"&gt;200",$B:$B,AC17)</f>
        <v>0</v>
      </c>
    </row>
    <row r="18" ht="14.25" spans="1:31">
      <c r="A18" s="13">
        <v>16</v>
      </c>
      <c r="B18" s="15">
        <v>1</v>
      </c>
      <c r="C18" s="16">
        <v>18</v>
      </c>
      <c r="D18" s="17" t="s">
        <v>46</v>
      </c>
      <c r="E18" s="17" t="s">
        <v>47</v>
      </c>
      <c r="F18" s="174">
        <f>VLOOKUP(D18,原始分!$D:$N,3,0)</f>
        <v>97.5</v>
      </c>
      <c r="G18" s="174">
        <f t="shared" si="0"/>
        <v>531</v>
      </c>
      <c r="H18" s="174">
        <f>VLOOKUP(D18,原始分!$D:$N,4,0)</f>
        <v>87</v>
      </c>
      <c r="I18" s="174">
        <f t="shared" si="1"/>
        <v>677</v>
      </c>
      <c r="J18" s="174">
        <f>VLOOKUP(D18,原始分!$D:$N,5,0)</f>
        <v>86</v>
      </c>
      <c r="K18" s="174">
        <f t="shared" si="2"/>
        <v>649</v>
      </c>
      <c r="L18" s="174">
        <f>VLOOKUP(D18,原始分!$D:$N,6,0)</f>
        <v>52</v>
      </c>
      <c r="M18" s="174">
        <f t="shared" si="3"/>
        <v>310</v>
      </c>
      <c r="N18" s="174">
        <f>VLOOKUP(D18,原始分!$D:$N,7,0)</f>
        <v>0</v>
      </c>
      <c r="O18" s="174">
        <f t="shared" si="4"/>
        <v>207</v>
      </c>
      <c r="P18" s="174">
        <f>VLOOKUP(D18,原始分!$D:$N,8,0)</f>
        <v>40.5</v>
      </c>
      <c r="Q18" s="174">
        <f t="shared" si="5"/>
        <v>303</v>
      </c>
      <c r="R18" s="174">
        <f>VLOOKUP(D18,原始分!$D:$N,9,0)</f>
        <v>0</v>
      </c>
      <c r="S18" s="174">
        <f t="shared" si="6"/>
        <v>320</v>
      </c>
      <c r="T18" s="174">
        <f>VLOOKUP(D18,原始分!$D:$N,10,0)</f>
        <v>54.5</v>
      </c>
      <c r="U18" s="174">
        <f t="shared" si="7"/>
        <v>200</v>
      </c>
      <c r="V18" s="174">
        <f>VLOOKUP(D18,原始分!$D:$N,11,0)</f>
        <v>0</v>
      </c>
      <c r="W18" s="174">
        <f t="shared" si="8"/>
        <v>565</v>
      </c>
      <c r="X18" s="11">
        <f t="shared" si="9"/>
        <v>270.5</v>
      </c>
      <c r="Y18" s="9">
        <f t="shared" si="10"/>
        <v>694</v>
      </c>
      <c r="Z18" s="11">
        <f t="shared" si="11"/>
        <v>417.5</v>
      </c>
      <c r="AA18" s="9">
        <f t="shared" si="12"/>
        <v>437</v>
      </c>
      <c r="AC18" s="14">
        <v>16</v>
      </c>
      <c r="AD18" s="9">
        <f>COUNTIFS($AA:$AA,"&lt;=50",$B:$B,AC18)</f>
        <v>35</v>
      </c>
      <c r="AE18" s="9">
        <f>COUNTIFS($AA:$AA,"&gt;200",$B:$B,AC18)</f>
        <v>0</v>
      </c>
    </row>
    <row r="19" ht="14.25" spans="1:31">
      <c r="A19" s="13">
        <v>17</v>
      </c>
      <c r="B19" s="15">
        <v>1</v>
      </c>
      <c r="C19" s="16">
        <v>19</v>
      </c>
      <c r="D19" s="17" t="s">
        <v>48</v>
      </c>
      <c r="E19" s="17" t="s">
        <v>49</v>
      </c>
      <c r="F19" s="174">
        <f>VLOOKUP(D19,原始分!$D:$N,3,0)</f>
        <v>106</v>
      </c>
      <c r="G19" s="174">
        <f t="shared" si="0"/>
        <v>145</v>
      </c>
      <c r="H19" s="174">
        <f>VLOOKUP(D19,原始分!$D:$N,4,0)</f>
        <v>89</v>
      </c>
      <c r="I19" s="174">
        <f t="shared" si="1"/>
        <v>632</v>
      </c>
      <c r="J19" s="174">
        <f>VLOOKUP(D19,原始分!$D:$N,5,0)</f>
        <v>98.75</v>
      </c>
      <c r="K19" s="174">
        <f t="shared" si="2"/>
        <v>407</v>
      </c>
      <c r="L19" s="174">
        <f>VLOOKUP(D19,原始分!$D:$N,6,0)</f>
        <v>57</v>
      </c>
      <c r="M19" s="174">
        <f t="shared" si="3"/>
        <v>237</v>
      </c>
      <c r="N19" s="174">
        <f>VLOOKUP(D19,原始分!$D:$N,7,0)</f>
        <v>0</v>
      </c>
      <c r="O19" s="174">
        <f t="shared" si="4"/>
        <v>207</v>
      </c>
      <c r="P19" s="174">
        <f>VLOOKUP(D19,原始分!$D:$N,8,0)</f>
        <v>41.5</v>
      </c>
      <c r="Q19" s="174">
        <f t="shared" si="5"/>
        <v>279</v>
      </c>
      <c r="R19" s="174">
        <f>VLOOKUP(D19,原始分!$D:$N,9,0)</f>
        <v>0</v>
      </c>
      <c r="S19" s="174">
        <f t="shared" si="6"/>
        <v>320</v>
      </c>
      <c r="T19" s="174">
        <f>VLOOKUP(D19,原始分!$D:$N,10,0)</f>
        <v>52</v>
      </c>
      <c r="U19" s="174">
        <f t="shared" si="7"/>
        <v>233</v>
      </c>
      <c r="V19" s="174">
        <f>VLOOKUP(D19,原始分!$D:$N,11,0)</f>
        <v>0</v>
      </c>
      <c r="W19" s="174">
        <f t="shared" si="8"/>
        <v>565</v>
      </c>
      <c r="X19" s="11">
        <f t="shared" si="9"/>
        <v>293.75</v>
      </c>
      <c r="Y19" s="9">
        <f t="shared" si="10"/>
        <v>447</v>
      </c>
      <c r="Z19" s="11">
        <f t="shared" si="11"/>
        <v>444.25</v>
      </c>
      <c r="AA19" s="9">
        <f t="shared" si="12"/>
        <v>315</v>
      </c>
      <c r="AC19" s="14">
        <v>17</v>
      </c>
      <c r="AD19" s="9">
        <f>COUNTIFS($AA:$AA,"&lt;=50",$B:$B,AC19)</f>
        <v>6</v>
      </c>
      <c r="AE19" s="9">
        <f>COUNTIFS($AA:$AA,"&gt;200",$B:$B,AC19)</f>
        <v>1</v>
      </c>
    </row>
    <row r="20" ht="14.25" spans="1:31">
      <c r="A20" s="13">
        <v>18</v>
      </c>
      <c r="B20" s="15">
        <v>1</v>
      </c>
      <c r="C20" s="16">
        <v>20</v>
      </c>
      <c r="D20" s="17" t="s">
        <v>50</v>
      </c>
      <c r="E20" s="17" t="s">
        <v>51</v>
      </c>
      <c r="F20" s="174">
        <f>VLOOKUP(D20,原始分!$D:$N,3,0)</f>
        <v>104.5</v>
      </c>
      <c r="G20" s="174">
        <f t="shared" si="0"/>
        <v>190</v>
      </c>
      <c r="H20" s="174">
        <f>VLOOKUP(D20,原始分!$D:$N,4,0)</f>
        <v>94.5</v>
      </c>
      <c r="I20" s="174">
        <f t="shared" si="1"/>
        <v>525</v>
      </c>
      <c r="J20" s="174">
        <f>VLOOKUP(D20,原始分!$D:$N,5,0)</f>
        <v>88.25</v>
      </c>
      <c r="K20" s="174">
        <f t="shared" si="2"/>
        <v>613</v>
      </c>
      <c r="L20" s="174">
        <f>VLOOKUP(D20,原始分!$D:$N,6,0)</f>
        <v>62</v>
      </c>
      <c r="M20" s="174">
        <f t="shared" si="3"/>
        <v>157</v>
      </c>
      <c r="N20" s="174">
        <f>VLOOKUP(D20,原始分!$D:$N,7,0)</f>
        <v>0</v>
      </c>
      <c r="O20" s="174">
        <f t="shared" si="4"/>
        <v>207</v>
      </c>
      <c r="P20" s="174">
        <f>VLOOKUP(D20,原始分!$D:$N,8,0)</f>
        <v>39</v>
      </c>
      <c r="Q20" s="174">
        <f t="shared" si="5"/>
        <v>348</v>
      </c>
      <c r="R20" s="174">
        <f>VLOOKUP(D20,原始分!$D:$N,9,0)</f>
        <v>0</v>
      </c>
      <c r="S20" s="174">
        <f t="shared" si="6"/>
        <v>320</v>
      </c>
      <c r="T20" s="174">
        <f>VLOOKUP(D20,原始分!$D:$N,10,0)</f>
        <v>56</v>
      </c>
      <c r="U20" s="174">
        <f t="shared" si="7"/>
        <v>181</v>
      </c>
      <c r="V20" s="174">
        <f>VLOOKUP(D20,原始分!$D:$N,11,0)</f>
        <v>0</v>
      </c>
      <c r="W20" s="174">
        <f t="shared" si="8"/>
        <v>565</v>
      </c>
      <c r="X20" s="11">
        <f t="shared" si="9"/>
        <v>287.25</v>
      </c>
      <c r="Y20" s="9">
        <f t="shared" si="10"/>
        <v>520</v>
      </c>
      <c r="Z20" s="11">
        <f t="shared" si="11"/>
        <v>444.25</v>
      </c>
      <c r="AA20" s="9">
        <f t="shared" si="12"/>
        <v>315</v>
      </c>
      <c r="AC20" s="14">
        <v>18</v>
      </c>
      <c r="AD20" s="9">
        <f>COUNTIFS($AA:$AA,"&lt;=50",$B:$B,AC20)</f>
        <v>3</v>
      </c>
      <c r="AE20" s="9">
        <f>COUNTIFS($AA:$AA,"&gt;200",$B:$B,AC20)</f>
        <v>4</v>
      </c>
    </row>
    <row r="21" ht="14.25" spans="1:31">
      <c r="A21" s="13">
        <v>19</v>
      </c>
      <c r="B21" s="15">
        <v>1</v>
      </c>
      <c r="C21" s="16">
        <v>21</v>
      </c>
      <c r="D21" s="17" t="s">
        <v>52</v>
      </c>
      <c r="E21" s="17" t="s">
        <v>53</v>
      </c>
      <c r="F21" s="174">
        <f>VLOOKUP(D21,原始分!$D:$N,3,0)</f>
        <v>85.5</v>
      </c>
      <c r="G21" s="174">
        <f t="shared" si="0"/>
        <v>833</v>
      </c>
      <c r="H21" s="174">
        <f>VLOOKUP(D21,原始分!$D:$N,4,0)</f>
        <v>125</v>
      </c>
      <c r="I21" s="174">
        <f t="shared" si="1"/>
        <v>33</v>
      </c>
      <c r="J21" s="174">
        <f>VLOOKUP(D21,原始分!$D:$N,5,0)</f>
        <v>87.5</v>
      </c>
      <c r="K21" s="174">
        <f t="shared" si="2"/>
        <v>622</v>
      </c>
      <c r="L21" s="174">
        <f>VLOOKUP(D21,原始分!$D:$N,6,0)</f>
        <v>55</v>
      </c>
      <c r="M21" s="174">
        <f t="shared" si="3"/>
        <v>269</v>
      </c>
      <c r="N21" s="174">
        <f>VLOOKUP(D21,原始分!$D:$N,7,0)</f>
        <v>0</v>
      </c>
      <c r="O21" s="174">
        <f t="shared" si="4"/>
        <v>207</v>
      </c>
      <c r="P21" s="174">
        <f>VLOOKUP(D21,原始分!$D:$N,8,0)</f>
        <v>39.5</v>
      </c>
      <c r="Q21" s="174">
        <f t="shared" si="5"/>
        <v>335</v>
      </c>
      <c r="R21" s="174">
        <f>VLOOKUP(D21,原始分!$D:$N,9,0)</f>
        <v>0</v>
      </c>
      <c r="S21" s="174">
        <f t="shared" si="6"/>
        <v>320</v>
      </c>
      <c r="T21" s="174">
        <f>VLOOKUP(D21,原始分!$D:$N,10,0)</f>
        <v>61</v>
      </c>
      <c r="U21" s="174">
        <f t="shared" si="7"/>
        <v>95</v>
      </c>
      <c r="V21" s="174">
        <f>VLOOKUP(D21,原始分!$D:$N,11,0)</f>
        <v>0</v>
      </c>
      <c r="W21" s="174">
        <f t="shared" si="8"/>
        <v>565</v>
      </c>
      <c r="X21" s="11">
        <f t="shared" si="9"/>
        <v>298</v>
      </c>
      <c r="Y21" s="9">
        <f t="shared" si="10"/>
        <v>396</v>
      </c>
      <c r="Z21" s="11">
        <f t="shared" si="11"/>
        <v>453.5</v>
      </c>
      <c r="AA21" s="9">
        <f t="shared" si="12"/>
        <v>255</v>
      </c>
      <c r="AC21" s="14" t="s">
        <v>1849</v>
      </c>
      <c r="AD21" s="9">
        <f>SUM(AD3:AD20)</f>
        <v>150</v>
      </c>
      <c r="AE21" s="9">
        <f>SUM(AE3:AE20)</f>
        <v>68</v>
      </c>
    </row>
    <row r="22" ht="14.25" spans="1:27">
      <c r="A22" s="13">
        <v>20</v>
      </c>
      <c r="B22" s="15">
        <v>1</v>
      </c>
      <c r="C22" s="16">
        <v>22</v>
      </c>
      <c r="D22" s="17" t="s">
        <v>54</v>
      </c>
      <c r="E22" s="17" t="s">
        <v>55</v>
      </c>
      <c r="F22" s="174">
        <f>VLOOKUP(D22,原始分!$D:$N,3,0)</f>
        <v>93.5</v>
      </c>
      <c r="G22" s="174">
        <f t="shared" si="0"/>
        <v>676</v>
      </c>
      <c r="H22" s="174">
        <f>VLOOKUP(D22,原始分!$D:$N,4,0)</f>
        <v>96.5</v>
      </c>
      <c r="I22" s="174">
        <f t="shared" si="1"/>
        <v>485</v>
      </c>
      <c r="J22" s="174">
        <f>VLOOKUP(D22,原始分!$D:$N,5,0)</f>
        <v>93.25</v>
      </c>
      <c r="K22" s="174">
        <f t="shared" si="2"/>
        <v>524</v>
      </c>
      <c r="L22" s="174">
        <f>VLOOKUP(D22,原始分!$D:$N,6,0)</f>
        <v>46.5</v>
      </c>
      <c r="M22" s="174">
        <f t="shared" si="3"/>
        <v>404</v>
      </c>
      <c r="N22" s="174">
        <f>VLOOKUP(D22,原始分!$D:$N,7,0)</f>
        <v>0</v>
      </c>
      <c r="O22" s="174">
        <f t="shared" si="4"/>
        <v>207</v>
      </c>
      <c r="P22" s="174">
        <f>VLOOKUP(D22,原始分!$D:$N,8,0)</f>
        <v>27.5</v>
      </c>
      <c r="Q22" s="174">
        <f t="shared" si="5"/>
        <v>497</v>
      </c>
      <c r="R22" s="174">
        <f>VLOOKUP(D22,原始分!$D:$N,9,0)</f>
        <v>0</v>
      </c>
      <c r="S22" s="174">
        <f t="shared" si="6"/>
        <v>320</v>
      </c>
      <c r="T22" s="174">
        <f>VLOOKUP(D22,原始分!$D:$N,10,0)</f>
        <v>50.5</v>
      </c>
      <c r="U22" s="174">
        <f t="shared" si="7"/>
        <v>246</v>
      </c>
      <c r="V22" s="174">
        <f>VLOOKUP(D22,原始分!$D:$N,11,0)</f>
        <v>0</v>
      </c>
      <c r="W22" s="174">
        <f t="shared" si="8"/>
        <v>565</v>
      </c>
      <c r="X22" s="11">
        <f t="shared" si="9"/>
        <v>283.25</v>
      </c>
      <c r="Y22" s="9">
        <f t="shared" si="10"/>
        <v>559</v>
      </c>
      <c r="Z22" s="11">
        <f t="shared" si="11"/>
        <v>407.75</v>
      </c>
      <c r="AA22" s="9">
        <f t="shared" si="12"/>
        <v>485</v>
      </c>
    </row>
    <row r="23" ht="14.25" spans="1:27">
      <c r="A23" s="13">
        <v>21</v>
      </c>
      <c r="B23" s="15">
        <v>1</v>
      </c>
      <c r="C23" s="16">
        <v>23</v>
      </c>
      <c r="D23" s="17" t="s">
        <v>56</v>
      </c>
      <c r="E23" s="17" t="s">
        <v>57</v>
      </c>
      <c r="F23" s="174">
        <f>VLOOKUP(D23,原始分!$D:$N,3,0)</f>
        <v>91</v>
      </c>
      <c r="G23" s="174">
        <f t="shared" si="0"/>
        <v>749</v>
      </c>
      <c r="H23" s="174">
        <f>VLOOKUP(D23,原始分!$D:$N,4,0)</f>
        <v>64</v>
      </c>
      <c r="I23" s="174">
        <f t="shared" si="1"/>
        <v>834</v>
      </c>
      <c r="J23" s="174">
        <f>VLOOKUP(D23,原始分!$D:$N,5,0)</f>
        <v>113.25</v>
      </c>
      <c r="K23" s="174">
        <f t="shared" si="2"/>
        <v>127</v>
      </c>
      <c r="L23" s="174">
        <f>VLOOKUP(D23,原始分!$D:$N,6,0)</f>
        <v>43</v>
      </c>
      <c r="M23" s="174">
        <f t="shared" si="3"/>
        <v>461</v>
      </c>
      <c r="N23" s="174">
        <f>VLOOKUP(D23,原始分!$D:$N,7,0)</f>
        <v>0</v>
      </c>
      <c r="O23" s="174">
        <f t="shared" si="4"/>
        <v>207</v>
      </c>
      <c r="P23" s="174">
        <f>VLOOKUP(D23,原始分!$D:$N,8,0)</f>
        <v>39</v>
      </c>
      <c r="Q23" s="174">
        <f t="shared" si="5"/>
        <v>348</v>
      </c>
      <c r="R23" s="174">
        <f>VLOOKUP(D23,原始分!$D:$N,9,0)</f>
        <v>0</v>
      </c>
      <c r="S23" s="174">
        <f t="shared" si="6"/>
        <v>320</v>
      </c>
      <c r="T23" s="174">
        <f>VLOOKUP(D23,原始分!$D:$N,10,0)</f>
        <v>55</v>
      </c>
      <c r="U23" s="174">
        <f t="shared" si="7"/>
        <v>193</v>
      </c>
      <c r="V23" s="174">
        <f>VLOOKUP(D23,原始分!$D:$N,11,0)</f>
        <v>0</v>
      </c>
      <c r="W23" s="174">
        <f t="shared" si="8"/>
        <v>565</v>
      </c>
      <c r="X23" s="11">
        <f t="shared" si="9"/>
        <v>268.25</v>
      </c>
      <c r="Y23" s="9">
        <f t="shared" si="10"/>
        <v>717</v>
      </c>
      <c r="Z23" s="11">
        <f t="shared" si="11"/>
        <v>405.25</v>
      </c>
      <c r="AA23" s="9">
        <f t="shared" si="12"/>
        <v>497</v>
      </c>
    </row>
    <row r="24" ht="14.25" spans="1:27">
      <c r="A24" s="13">
        <v>22</v>
      </c>
      <c r="B24" s="15">
        <v>1</v>
      </c>
      <c r="C24" s="16">
        <v>24</v>
      </c>
      <c r="D24" s="17" t="s">
        <v>58</v>
      </c>
      <c r="E24" s="17" t="s">
        <v>59</v>
      </c>
      <c r="F24" s="174">
        <f>VLOOKUP(D24,原始分!$D:$N,3,0)</f>
        <v>91.25</v>
      </c>
      <c r="G24" s="174">
        <f t="shared" si="0"/>
        <v>745</v>
      </c>
      <c r="H24" s="174">
        <f>VLOOKUP(D24,原始分!$D:$N,4,0)</f>
        <v>102</v>
      </c>
      <c r="I24" s="174">
        <f t="shared" si="1"/>
        <v>383</v>
      </c>
      <c r="J24" s="174">
        <f>VLOOKUP(D24,原始分!$D:$N,5,0)</f>
        <v>87</v>
      </c>
      <c r="K24" s="174">
        <f t="shared" si="2"/>
        <v>632</v>
      </c>
      <c r="L24" s="174">
        <f>VLOOKUP(D24,原始分!$D:$N,6,0)</f>
        <v>43</v>
      </c>
      <c r="M24" s="174">
        <f t="shared" si="3"/>
        <v>461</v>
      </c>
      <c r="N24" s="174">
        <f>VLOOKUP(D24,原始分!$D:$N,7,0)</f>
        <v>0</v>
      </c>
      <c r="O24" s="174">
        <f t="shared" si="4"/>
        <v>207</v>
      </c>
      <c r="P24" s="174">
        <f>VLOOKUP(D24,原始分!$D:$N,8,0)</f>
        <v>38.5</v>
      </c>
      <c r="Q24" s="174">
        <f t="shared" si="5"/>
        <v>355</v>
      </c>
      <c r="R24" s="174">
        <f>VLOOKUP(D24,原始分!$D:$N,9,0)</f>
        <v>0</v>
      </c>
      <c r="S24" s="174">
        <f t="shared" si="6"/>
        <v>320</v>
      </c>
      <c r="T24" s="174">
        <f>VLOOKUP(D24,原始分!$D:$N,10,0)</f>
        <v>51</v>
      </c>
      <c r="U24" s="174">
        <f t="shared" si="7"/>
        <v>240</v>
      </c>
      <c r="V24" s="174">
        <f>VLOOKUP(D24,原始分!$D:$N,11,0)</f>
        <v>0</v>
      </c>
      <c r="W24" s="174">
        <f t="shared" si="8"/>
        <v>565</v>
      </c>
      <c r="X24" s="11">
        <f t="shared" si="9"/>
        <v>280.25</v>
      </c>
      <c r="Y24" s="9">
        <f t="shared" si="10"/>
        <v>597</v>
      </c>
      <c r="Z24" s="11">
        <f t="shared" si="11"/>
        <v>412.75</v>
      </c>
      <c r="AA24" s="9">
        <f t="shared" si="12"/>
        <v>458</v>
      </c>
    </row>
    <row r="25" ht="14.25" spans="1:27">
      <c r="A25" s="13">
        <v>23</v>
      </c>
      <c r="B25" s="15">
        <v>1</v>
      </c>
      <c r="C25" s="16">
        <v>25</v>
      </c>
      <c r="D25" s="17" t="s">
        <v>60</v>
      </c>
      <c r="E25" s="17" t="s">
        <v>61</v>
      </c>
      <c r="F25" s="174">
        <f>VLOOKUP(D25,原始分!$D:$N,3,0)</f>
        <v>102</v>
      </c>
      <c r="G25" s="174">
        <f t="shared" si="0"/>
        <v>304</v>
      </c>
      <c r="H25" s="174">
        <f>VLOOKUP(D25,原始分!$D:$N,4,0)</f>
        <v>103</v>
      </c>
      <c r="I25" s="174">
        <f t="shared" si="1"/>
        <v>366</v>
      </c>
      <c r="J25" s="174">
        <f>VLOOKUP(D25,原始分!$D:$N,5,0)</f>
        <v>95</v>
      </c>
      <c r="K25" s="174">
        <f t="shared" si="2"/>
        <v>484</v>
      </c>
      <c r="L25" s="174">
        <f>VLOOKUP(D25,原始分!$D:$N,6,0)</f>
        <v>32.5</v>
      </c>
      <c r="M25" s="174">
        <f t="shared" si="3"/>
        <v>599</v>
      </c>
      <c r="N25" s="174">
        <f>VLOOKUP(D25,原始分!$D:$N,7,0)</f>
        <v>0</v>
      </c>
      <c r="O25" s="174">
        <f t="shared" si="4"/>
        <v>207</v>
      </c>
      <c r="P25" s="174">
        <f>VLOOKUP(D25,原始分!$D:$N,8,0)</f>
        <v>29</v>
      </c>
      <c r="Q25" s="174">
        <f t="shared" si="5"/>
        <v>484</v>
      </c>
      <c r="R25" s="174">
        <f>VLOOKUP(D25,原始分!$D:$N,9,0)</f>
        <v>0</v>
      </c>
      <c r="S25" s="174">
        <f t="shared" si="6"/>
        <v>320</v>
      </c>
      <c r="T25" s="174">
        <f>VLOOKUP(D25,原始分!$D:$N,10,0)</f>
        <v>58</v>
      </c>
      <c r="U25" s="174">
        <f t="shared" si="7"/>
        <v>144</v>
      </c>
      <c r="V25" s="174">
        <f>VLOOKUP(D25,原始分!$D:$N,11,0)</f>
        <v>0</v>
      </c>
      <c r="W25" s="174">
        <f t="shared" si="8"/>
        <v>565</v>
      </c>
      <c r="X25" s="11">
        <f t="shared" si="9"/>
        <v>300</v>
      </c>
      <c r="Y25" s="9">
        <f t="shared" si="10"/>
        <v>373</v>
      </c>
      <c r="Z25" s="11">
        <f t="shared" si="11"/>
        <v>419.5</v>
      </c>
      <c r="AA25" s="9">
        <f t="shared" si="12"/>
        <v>430</v>
      </c>
    </row>
    <row r="26" ht="14.25" spans="1:27">
      <c r="A26" s="13">
        <v>24</v>
      </c>
      <c r="B26" s="15">
        <v>1</v>
      </c>
      <c r="C26" s="16">
        <v>26</v>
      </c>
      <c r="D26" s="17" t="s">
        <v>62</v>
      </c>
      <c r="E26" s="17" t="s">
        <v>63</v>
      </c>
      <c r="F26" s="174">
        <f>VLOOKUP(D26,原始分!$D:$N,3,0)</f>
        <v>104.25</v>
      </c>
      <c r="G26" s="174">
        <f t="shared" si="0"/>
        <v>205</v>
      </c>
      <c r="H26" s="174">
        <f>VLOOKUP(D26,原始分!$D:$N,4,0)</f>
        <v>94.5</v>
      </c>
      <c r="I26" s="174">
        <f t="shared" si="1"/>
        <v>525</v>
      </c>
      <c r="J26" s="174">
        <f>VLOOKUP(D26,原始分!$D:$N,5,0)</f>
        <v>102.5</v>
      </c>
      <c r="K26" s="174">
        <f t="shared" si="2"/>
        <v>317</v>
      </c>
      <c r="L26" s="174">
        <f>VLOOKUP(D26,原始分!$D:$N,6,0)</f>
        <v>51</v>
      </c>
      <c r="M26" s="174">
        <f t="shared" si="3"/>
        <v>320</v>
      </c>
      <c r="N26" s="174">
        <f>VLOOKUP(D26,原始分!$D:$N,7,0)</f>
        <v>0</v>
      </c>
      <c r="O26" s="174">
        <f t="shared" si="4"/>
        <v>207</v>
      </c>
      <c r="P26" s="174">
        <f>VLOOKUP(D26,原始分!$D:$N,8,0)</f>
        <v>32.5</v>
      </c>
      <c r="Q26" s="174">
        <f t="shared" si="5"/>
        <v>447</v>
      </c>
      <c r="R26" s="174">
        <f>VLOOKUP(D26,原始分!$D:$N,9,0)</f>
        <v>0</v>
      </c>
      <c r="S26" s="174">
        <f t="shared" si="6"/>
        <v>320</v>
      </c>
      <c r="T26" s="174">
        <f>VLOOKUP(D26,原始分!$D:$N,10,0)</f>
        <v>64</v>
      </c>
      <c r="U26" s="174">
        <f t="shared" si="7"/>
        <v>62</v>
      </c>
      <c r="V26" s="174">
        <f>VLOOKUP(D26,原始分!$D:$N,11,0)</f>
        <v>0</v>
      </c>
      <c r="W26" s="174">
        <f t="shared" si="8"/>
        <v>565</v>
      </c>
      <c r="X26" s="11">
        <f t="shared" si="9"/>
        <v>301.25</v>
      </c>
      <c r="Y26" s="9">
        <f t="shared" si="10"/>
        <v>363</v>
      </c>
      <c r="Z26" s="11">
        <f t="shared" si="11"/>
        <v>448.75</v>
      </c>
      <c r="AA26" s="9">
        <f t="shared" si="12"/>
        <v>286</v>
      </c>
    </row>
    <row r="27" ht="14.25" spans="1:27">
      <c r="A27" s="13">
        <v>25</v>
      </c>
      <c r="B27" s="15">
        <v>1</v>
      </c>
      <c r="C27" s="16">
        <v>27</v>
      </c>
      <c r="D27" s="17" t="s">
        <v>64</v>
      </c>
      <c r="E27" s="17" t="s">
        <v>65</v>
      </c>
      <c r="F27" s="174">
        <f>VLOOKUP(D27,原始分!$D:$N,3,0)</f>
        <v>111</v>
      </c>
      <c r="G27" s="174">
        <f t="shared" si="0"/>
        <v>35</v>
      </c>
      <c r="H27" s="174">
        <f>VLOOKUP(D27,原始分!$D:$N,4,0)</f>
        <v>107.5</v>
      </c>
      <c r="I27" s="174">
        <f t="shared" si="1"/>
        <v>267</v>
      </c>
      <c r="J27" s="174">
        <f>VLOOKUP(D27,原始分!$D:$N,5,0)</f>
        <v>91</v>
      </c>
      <c r="K27" s="174">
        <f t="shared" si="2"/>
        <v>572</v>
      </c>
      <c r="L27" s="174">
        <f>VLOOKUP(D27,原始分!$D:$N,6,0)</f>
        <v>56</v>
      </c>
      <c r="M27" s="174">
        <f t="shared" si="3"/>
        <v>252</v>
      </c>
      <c r="N27" s="174">
        <f>VLOOKUP(D27,原始分!$D:$N,7,0)</f>
        <v>0</v>
      </c>
      <c r="O27" s="174">
        <f t="shared" si="4"/>
        <v>207</v>
      </c>
      <c r="P27" s="174">
        <f>VLOOKUP(D27,原始分!$D:$N,8,0)</f>
        <v>38</v>
      </c>
      <c r="Q27" s="174">
        <f t="shared" si="5"/>
        <v>362</v>
      </c>
      <c r="R27" s="174">
        <f>VLOOKUP(D27,原始分!$D:$N,9,0)</f>
        <v>0</v>
      </c>
      <c r="S27" s="174">
        <f t="shared" si="6"/>
        <v>320</v>
      </c>
      <c r="T27" s="174">
        <f>VLOOKUP(D27,原始分!$D:$N,10,0)</f>
        <v>57</v>
      </c>
      <c r="U27" s="174">
        <f t="shared" si="7"/>
        <v>157</v>
      </c>
      <c r="V27" s="174">
        <f>VLOOKUP(D27,原始分!$D:$N,11,0)</f>
        <v>0</v>
      </c>
      <c r="W27" s="174">
        <f t="shared" si="8"/>
        <v>565</v>
      </c>
      <c r="X27" s="11">
        <f t="shared" si="9"/>
        <v>309.5</v>
      </c>
      <c r="Y27" s="9">
        <f t="shared" si="10"/>
        <v>269</v>
      </c>
      <c r="Z27" s="11">
        <f t="shared" si="11"/>
        <v>460.5</v>
      </c>
      <c r="AA27" s="9">
        <f t="shared" si="12"/>
        <v>221</v>
      </c>
    </row>
    <row r="28" ht="14.25" spans="1:27">
      <c r="A28" s="13">
        <v>26</v>
      </c>
      <c r="B28" s="15">
        <v>1</v>
      </c>
      <c r="C28" s="16">
        <v>28</v>
      </c>
      <c r="D28" s="17" t="s">
        <v>66</v>
      </c>
      <c r="E28" s="17" t="s">
        <v>67</v>
      </c>
      <c r="F28" s="174">
        <f>VLOOKUP(D28,原始分!$D:$N,3,0)</f>
        <v>95.5</v>
      </c>
      <c r="G28" s="174">
        <f t="shared" si="0"/>
        <v>595</v>
      </c>
      <c r="H28" s="174">
        <f>VLOOKUP(D28,原始分!$D:$N,4,0)</f>
        <v>115</v>
      </c>
      <c r="I28" s="174">
        <f t="shared" si="1"/>
        <v>130</v>
      </c>
      <c r="J28" s="174">
        <f>VLOOKUP(D28,原始分!$D:$N,5,0)</f>
        <v>109.5</v>
      </c>
      <c r="K28" s="174">
        <f t="shared" si="2"/>
        <v>184</v>
      </c>
      <c r="L28" s="174">
        <f>VLOOKUP(D28,原始分!$D:$N,6,0)</f>
        <v>56.5</v>
      </c>
      <c r="M28" s="174">
        <f t="shared" si="3"/>
        <v>244</v>
      </c>
      <c r="N28" s="174">
        <f>VLOOKUP(D28,原始分!$D:$N,7,0)</f>
        <v>0</v>
      </c>
      <c r="O28" s="174">
        <f t="shared" si="4"/>
        <v>207</v>
      </c>
      <c r="P28" s="174">
        <f>VLOOKUP(D28,原始分!$D:$N,8,0)</f>
        <v>34</v>
      </c>
      <c r="Q28" s="174">
        <f t="shared" si="5"/>
        <v>414</v>
      </c>
      <c r="R28" s="174">
        <f>VLOOKUP(D28,原始分!$D:$N,9,0)</f>
        <v>0</v>
      </c>
      <c r="S28" s="174">
        <f t="shared" si="6"/>
        <v>320</v>
      </c>
      <c r="T28" s="174">
        <f>VLOOKUP(D28,原始分!$D:$N,10,0)</f>
        <v>52.5</v>
      </c>
      <c r="U28" s="174">
        <f t="shared" si="7"/>
        <v>225</v>
      </c>
      <c r="V28" s="174">
        <f>VLOOKUP(D28,原始分!$D:$N,11,0)</f>
        <v>0</v>
      </c>
      <c r="W28" s="174">
        <f t="shared" si="8"/>
        <v>565</v>
      </c>
      <c r="X28" s="11">
        <f t="shared" si="9"/>
        <v>320</v>
      </c>
      <c r="Y28" s="9">
        <f t="shared" si="10"/>
        <v>159</v>
      </c>
      <c r="Z28" s="11">
        <f t="shared" si="11"/>
        <v>463</v>
      </c>
      <c r="AA28" s="9">
        <f t="shared" si="12"/>
        <v>210</v>
      </c>
    </row>
    <row r="29" ht="14.25" spans="1:27">
      <c r="A29" s="13">
        <v>27</v>
      </c>
      <c r="B29" s="15">
        <v>1</v>
      </c>
      <c r="C29" s="16">
        <v>29</v>
      </c>
      <c r="D29" s="17" t="s">
        <v>68</v>
      </c>
      <c r="E29" s="17" t="s">
        <v>69</v>
      </c>
      <c r="F29" s="174">
        <f>VLOOKUP(D29,原始分!$D:$N,3,0)</f>
        <v>108</v>
      </c>
      <c r="G29" s="174">
        <f t="shared" si="0"/>
        <v>77</v>
      </c>
      <c r="H29" s="174">
        <f>VLOOKUP(D29,原始分!$D:$N,4,0)</f>
        <v>108</v>
      </c>
      <c r="I29" s="174">
        <f t="shared" si="1"/>
        <v>257</v>
      </c>
      <c r="J29" s="174">
        <f>VLOOKUP(D29,原始分!$D:$N,5,0)</f>
        <v>121.75</v>
      </c>
      <c r="K29" s="174">
        <f t="shared" si="2"/>
        <v>29</v>
      </c>
      <c r="L29" s="174">
        <f>VLOOKUP(D29,原始分!$D:$N,6,0)</f>
        <v>48</v>
      </c>
      <c r="M29" s="174">
        <f t="shared" si="3"/>
        <v>375</v>
      </c>
      <c r="N29" s="174">
        <f>VLOOKUP(D29,原始分!$D:$N,7,0)</f>
        <v>0</v>
      </c>
      <c r="O29" s="174">
        <f t="shared" si="4"/>
        <v>207</v>
      </c>
      <c r="P29" s="174">
        <f>VLOOKUP(D29,原始分!$D:$N,8,0)</f>
        <v>49.5</v>
      </c>
      <c r="Q29" s="174">
        <f t="shared" si="5"/>
        <v>120</v>
      </c>
      <c r="R29" s="174">
        <f>VLOOKUP(D29,原始分!$D:$N,9,0)</f>
        <v>0</v>
      </c>
      <c r="S29" s="174">
        <f t="shared" si="6"/>
        <v>320</v>
      </c>
      <c r="T29" s="174">
        <f>VLOOKUP(D29,原始分!$D:$N,10,0)</f>
        <v>57.5</v>
      </c>
      <c r="U29" s="174">
        <f t="shared" si="7"/>
        <v>151</v>
      </c>
      <c r="V29" s="174">
        <f>VLOOKUP(D29,原始分!$D:$N,11,0)</f>
        <v>0</v>
      </c>
      <c r="W29" s="174">
        <f t="shared" si="8"/>
        <v>565</v>
      </c>
      <c r="X29" s="11">
        <f t="shared" si="9"/>
        <v>337.75</v>
      </c>
      <c r="Y29" s="9">
        <f t="shared" si="10"/>
        <v>47</v>
      </c>
      <c r="Z29" s="11">
        <f t="shared" si="11"/>
        <v>492.75</v>
      </c>
      <c r="AA29" s="9">
        <f t="shared" si="12"/>
        <v>97</v>
      </c>
    </row>
    <row r="30" ht="14.25" spans="1:27">
      <c r="A30" s="13">
        <v>28</v>
      </c>
      <c r="B30" s="15">
        <v>1</v>
      </c>
      <c r="C30" s="16">
        <v>30</v>
      </c>
      <c r="D30" s="17" t="s">
        <v>70</v>
      </c>
      <c r="E30" s="17" t="s">
        <v>71</v>
      </c>
      <c r="F30" s="174">
        <f>VLOOKUP(D30,原始分!$D:$N,3,0)</f>
        <v>109.5</v>
      </c>
      <c r="G30" s="174">
        <f t="shared" si="0"/>
        <v>53</v>
      </c>
      <c r="H30" s="174">
        <f>VLOOKUP(D30,原始分!$D:$N,4,0)</f>
        <v>113</v>
      </c>
      <c r="I30" s="174">
        <f t="shared" si="1"/>
        <v>160</v>
      </c>
      <c r="J30" s="174">
        <f>VLOOKUP(D30,原始分!$D:$N,5,0)</f>
        <v>117.5</v>
      </c>
      <c r="K30" s="174">
        <f t="shared" si="2"/>
        <v>71</v>
      </c>
      <c r="L30" s="174">
        <f>VLOOKUP(D30,原始分!$D:$N,6,0)</f>
        <v>50.5</v>
      </c>
      <c r="M30" s="174">
        <f t="shared" si="3"/>
        <v>328</v>
      </c>
      <c r="N30" s="174">
        <f>VLOOKUP(D30,原始分!$D:$N,7,0)</f>
        <v>0</v>
      </c>
      <c r="O30" s="174">
        <f t="shared" si="4"/>
        <v>207</v>
      </c>
      <c r="P30" s="174">
        <f>VLOOKUP(D30,原始分!$D:$N,8,0)</f>
        <v>48</v>
      </c>
      <c r="Q30" s="174">
        <f t="shared" si="5"/>
        <v>146</v>
      </c>
      <c r="R30" s="174">
        <f>VLOOKUP(D30,原始分!$D:$N,9,0)</f>
        <v>0</v>
      </c>
      <c r="S30" s="174">
        <f t="shared" si="6"/>
        <v>320</v>
      </c>
      <c r="T30" s="174">
        <f>VLOOKUP(D30,原始分!$D:$N,10,0)</f>
        <v>66</v>
      </c>
      <c r="U30" s="174">
        <f t="shared" si="7"/>
        <v>37</v>
      </c>
      <c r="V30" s="174">
        <f>VLOOKUP(D30,原始分!$D:$N,11,0)</f>
        <v>0</v>
      </c>
      <c r="W30" s="174">
        <f t="shared" si="8"/>
        <v>565</v>
      </c>
      <c r="X30" s="11">
        <f t="shared" si="9"/>
        <v>340</v>
      </c>
      <c r="Y30" s="9">
        <f t="shared" si="10"/>
        <v>41</v>
      </c>
      <c r="Z30" s="11">
        <f t="shared" si="11"/>
        <v>504.5</v>
      </c>
      <c r="AA30" s="9">
        <f t="shared" si="12"/>
        <v>66</v>
      </c>
    </row>
    <row r="31" ht="14.25" spans="1:27">
      <c r="A31" s="13">
        <v>29</v>
      </c>
      <c r="B31" s="15">
        <v>1</v>
      </c>
      <c r="C31" s="16">
        <v>31</v>
      </c>
      <c r="D31" s="17" t="s">
        <v>72</v>
      </c>
      <c r="E31" s="17" t="s">
        <v>73</v>
      </c>
      <c r="F31" s="174">
        <f>VLOOKUP(D31,原始分!$D:$N,3,0)</f>
        <v>105.5</v>
      </c>
      <c r="G31" s="174">
        <f t="shared" si="0"/>
        <v>156</v>
      </c>
      <c r="H31" s="174">
        <f>VLOOKUP(D31,原始分!$D:$N,4,0)</f>
        <v>120.5</v>
      </c>
      <c r="I31" s="174">
        <f t="shared" si="1"/>
        <v>62</v>
      </c>
      <c r="J31" s="174">
        <f>VLOOKUP(D31,原始分!$D:$N,5,0)</f>
        <v>92</v>
      </c>
      <c r="K31" s="174">
        <f t="shared" si="2"/>
        <v>550</v>
      </c>
      <c r="L31" s="174">
        <f>VLOOKUP(D31,原始分!$D:$N,6,0)</f>
        <v>50.5</v>
      </c>
      <c r="M31" s="174">
        <f t="shared" si="3"/>
        <v>328</v>
      </c>
      <c r="N31" s="174">
        <f>VLOOKUP(D31,原始分!$D:$N,7,0)</f>
        <v>0</v>
      </c>
      <c r="O31" s="174">
        <f t="shared" si="4"/>
        <v>207</v>
      </c>
      <c r="P31" s="174">
        <f>VLOOKUP(D31,原始分!$D:$N,8,0)</f>
        <v>36</v>
      </c>
      <c r="Q31" s="174">
        <f t="shared" si="5"/>
        <v>386</v>
      </c>
      <c r="R31" s="174">
        <f>VLOOKUP(D31,原始分!$D:$N,9,0)</f>
        <v>0</v>
      </c>
      <c r="S31" s="174">
        <f t="shared" si="6"/>
        <v>320</v>
      </c>
      <c r="T31" s="174">
        <f>VLOOKUP(D31,原始分!$D:$N,10,0)</f>
        <v>50.5</v>
      </c>
      <c r="U31" s="174">
        <f t="shared" si="7"/>
        <v>246</v>
      </c>
      <c r="V31" s="174">
        <f>VLOOKUP(D31,原始分!$D:$N,11,0)</f>
        <v>0</v>
      </c>
      <c r="W31" s="174">
        <f t="shared" si="8"/>
        <v>565</v>
      </c>
      <c r="X31" s="11">
        <f t="shared" si="9"/>
        <v>318</v>
      </c>
      <c r="Y31" s="9">
        <f t="shared" si="10"/>
        <v>175</v>
      </c>
      <c r="Z31" s="11">
        <f t="shared" si="11"/>
        <v>455</v>
      </c>
      <c r="AA31" s="9">
        <f t="shared" si="12"/>
        <v>250</v>
      </c>
    </row>
    <row r="32" ht="14.25" spans="1:27">
      <c r="A32" s="13">
        <v>30</v>
      </c>
      <c r="B32" s="15">
        <v>1</v>
      </c>
      <c r="C32" s="16">
        <v>32</v>
      </c>
      <c r="D32" s="17" t="s">
        <v>74</v>
      </c>
      <c r="E32" s="17" t="s">
        <v>75</v>
      </c>
      <c r="F32" s="174">
        <f>VLOOKUP(D32,原始分!$D:$N,3,0)</f>
        <v>94</v>
      </c>
      <c r="G32" s="174">
        <f t="shared" si="0"/>
        <v>661</v>
      </c>
      <c r="H32" s="174">
        <f>VLOOKUP(D32,原始分!$D:$N,4,0)</f>
        <v>95</v>
      </c>
      <c r="I32" s="174">
        <f t="shared" si="1"/>
        <v>510</v>
      </c>
      <c r="J32" s="174">
        <f>VLOOKUP(D32,原始分!$D:$N,5,0)</f>
        <v>81</v>
      </c>
      <c r="K32" s="174">
        <f t="shared" si="2"/>
        <v>733</v>
      </c>
      <c r="L32" s="174">
        <f>VLOOKUP(D32,原始分!$D:$N,6,0)</f>
        <v>64.5</v>
      </c>
      <c r="M32" s="174">
        <f t="shared" si="3"/>
        <v>120</v>
      </c>
      <c r="N32" s="174">
        <f>VLOOKUP(D32,原始分!$D:$N,7,0)</f>
        <v>0</v>
      </c>
      <c r="O32" s="174">
        <f t="shared" si="4"/>
        <v>207</v>
      </c>
      <c r="P32" s="174">
        <f>VLOOKUP(D32,原始分!$D:$N,8,0)</f>
        <v>32</v>
      </c>
      <c r="Q32" s="174">
        <f t="shared" si="5"/>
        <v>455</v>
      </c>
      <c r="R32" s="174">
        <f>VLOOKUP(D32,原始分!$D:$N,9,0)</f>
        <v>0</v>
      </c>
      <c r="S32" s="174">
        <f t="shared" si="6"/>
        <v>320</v>
      </c>
      <c r="T32" s="174">
        <f>VLOOKUP(D32,原始分!$D:$N,10,0)</f>
        <v>49</v>
      </c>
      <c r="U32" s="174">
        <f t="shared" si="7"/>
        <v>262</v>
      </c>
      <c r="V32" s="174">
        <f>VLOOKUP(D32,原始分!$D:$N,11,0)</f>
        <v>0</v>
      </c>
      <c r="W32" s="174">
        <f t="shared" si="8"/>
        <v>565</v>
      </c>
      <c r="X32" s="11">
        <f t="shared" si="9"/>
        <v>270</v>
      </c>
      <c r="Y32" s="9">
        <f t="shared" si="10"/>
        <v>700</v>
      </c>
      <c r="Z32" s="11">
        <f t="shared" si="11"/>
        <v>415.5</v>
      </c>
      <c r="AA32" s="9">
        <f t="shared" si="12"/>
        <v>445</v>
      </c>
    </row>
    <row r="33" ht="14.25" spans="1:27">
      <c r="A33" s="13">
        <v>31</v>
      </c>
      <c r="B33" s="15">
        <v>1</v>
      </c>
      <c r="C33" s="16">
        <v>33</v>
      </c>
      <c r="D33" s="17" t="s">
        <v>76</v>
      </c>
      <c r="E33" s="17" t="s">
        <v>77</v>
      </c>
      <c r="F33" s="174">
        <f>VLOOKUP(D33,原始分!$D:$N,3,0)</f>
        <v>101.75</v>
      </c>
      <c r="G33" s="174">
        <f t="shared" si="0"/>
        <v>317</v>
      </c>
      <c r="H33" s="174">
        <f>VLOOKUP(D33,原始分!$D:$N,4,0)</f>
        <v>114.5</v>
      </c>
      <c r="I33" s="174">
        <f t="shared" si="1"/>
        <v>136</v>
      </c>
      <c r="J33" s="174">
        <f>VLOOKUP(D33,原始分!$D:$N,5,0)</f>
        <v>94</v>
      </c>
      <c r="K33" s="174">
        <f t="shared" si="2"/>
        <v>507</v>
      </c>
      <c r="L33" s="174">
        <f>VLOOKUP(D33,原始分!$D:$N,6,0)</f>
        <v>41.5</v>
      </c>
      <c r="M33" s="174">
        <f t="shared" si="3"/>
        <v>483</v>
      </c>
      <c r="N33" s="174">
        <f>VLOOKUP(D33,原始分!$D:$N,7,0)</f>
        <v>0</v>
      </c>
      <c r="O33" s="174">
        <f t="shared" si="4"/>
        <v>207</v>
      </c>
      <c r="P33" s="174">
        <f>VLOOKUP(D33,原始分!$D:$N,8,0)</f>
        <v>36</v>
      </c>
      <c r="Q33" s="174">
        <f t="shared" si="5"/>
        <v>386</v>
      </c>
      <c r="R33" s="174">
        <f>VLOOKUP(D33,原始分!$D:$N,9,0)</f>
        <v>0</v>
      </c>
      <c r="S33" s="174">
        <f t="shared" si="6"/>
        <v>320</v>
      </c>
      <c r="T33" s="174">
        <f>VLOOKUP(D33,原始分!$D:$N,10,0)</f>
        <v>56</v>
      </c>
      <c r="U33" s="174">
        <f t="shared" si="7"/>
        <v>181</v>
      </c>
      <c r="V33" s="174">
        <f>VLOOKUP(D33,原始分!$D:$N,11,0)</f>
        <v>0</v>
      </c>
      <c r="W33" s="174">
        <f t="shared" si="8"/>
        <v>565</v>
      </c>
      <c r="X33" s="11">
        <f t="shared" si="9"/>
        <v>310.25</v>
      </c>
      <c r="Y33" s="9">
        <f t="shared" si="10"/>
        <v>260</v>
      </c>
      <c r="Z33" s="11">
        <f t="shared" si="11"/>
        <v>443.75</v>
      </c>
      <c r="AA33" s="9">
        <f t="shared" ref="AA33:AA96" si="15">RANK(Z33,$Z$3:$Z$665)</f>
        <v>319</v>
      </c>
    </row>
    <row r="34" ht="14.25" spans="1:27">
      <c r="A34" s="13">
        <v>32</v>
      </c>
      <c r="B34" s="15">
        <v>1</v>
      </c>
      <c r="C34" s="16">
        <v>34</v>
      </c>
      <c r="D34" s="17" t="s">
        <v>78</v>
      </c>
      <c r="E34" s="17" t="s">
        <v>79</v>
      </c>
      <c r="F34" s="174">
        <f>VLOOKUP(D34,原始分!$D:$N,3,0)</f>
        <v>100.5</v>
      </c>
      <c r="G34" s="174">
        <f t="shared" si="0"/>
        <v>370</v>
      </c>
      <c r="H34" s="174">
        <f>VLOOKUP(D34,原始分!$D:$N,4,0)</f>
        <v>113</v>
      </c>
      <c r="I34" s="174">
        <f t="shared" si="1"/>
        <v>160</v>
      </c>
      <c r="J34" s="174">
        <f>VLOOKUP(D34,原始分!$D:$N,5,0)</f>
        <v>95.5</v>
      </c>
      <c r="K34" s="174">
        <f t="shared" si="2"/>
        <v>477</v>
      </c>
      <c r="L34" s="174">
        <f>VLOOKUP(D34,原始分!$D:$N,6,0)</f>
        <v>47.5</v>
      </c>
      <c r="M34" s="174">
        <f t="shared" si="3"/>
        <v>382</v>
      </c>
      <c r="N34" s="174">
        <f>VLOOKUP(D34,原始分!$D:$N,7,0)</f>
        <v>0</v>
      </c>
      <c r="O34" s="174">
        <f t="shared" si="4"/>
        <v>207</v>
      </c>
      <c r="P34" s="174">
        <f>VLOOKUP(D34,原始分!$D:$N,8,0)</f>
        <v>34</v>
      </c>
      <c r="Q34" s="174">
        <f t="shared" si="5"/>
        <v>414</v>
      </c>
      <c r="R34" s="174">
        <f>VLOOKUP(D34,原始分!$D:$N,9,0)</f>
        <v>0</v>
      </c>
      <c r="S34" s="174">
        <f t="shared" si="6"/>
        <v>320</v>
      </c>
      <c r="T34" s="174">
        <f>VLOOKUP(D34,原始分!$D:$N,10,0)</f>
        <v>57</v>
      </c>
      <c r="U34" s="174">
        <f t="shared" si="7"/>
        <v>157</v>
      </c>
      <c r="V34" s="174">
        <f>VLOOKUP(D34,原始分!$D:$N,11,0)</f>
        <v>0</v>
      </c>
      <c r="W34" s="174">
        <f t="shared" si="8"/>
        <v>565</v>
      </c>
      <c r="X34" s="11">
        <f t="shared" si="9"/>
        <v>309</v>
      </c>
      <c r="Y34" s="9">
        <f t="shared" si="10"/>
        <v>276</v>
      </c>
      <c r="Z34" s="11">
        <f t="shared" si="11"/>
        <v>447.5</v>
      </c>
      <c r="AA34" s="9">
        <f t="shared" si="15"/>
        <v>291</v>
      </c>
    </row>
    <row r="35" ht="14.25" spans="1:27">
      <c r="A35" s="13">
        <v>33</v>
      </c>
      <c r="B35" s="15">
        <v>1</v>
      </c>
      <c r="C35" s="16">
        <v>35</v>
      </c>
      <c r="D35" s="17" t="s">
        <v>80</v>
      </c>
      <c r="E35" s="17" t="s">
        <v>81</v>
      </c>
      <c r="F35" s="174">
        <f>VLOOKUP(D35,原始分!$D:$N,3,0)</f>
        <v>85</v>
      </c>
      <c r="G35" s="174">
        <f t="shared" si="0"/>
        <v>837</v>
      </c>
      <c r="H35" s="174">
        <f>VLOOKUP(D35,原始分!$D:$N,4,0)</f>
        <v>77.5</v>
      </c>
      <c r="I35" s="174">
        <f t="shared" si="1"/>
        <v>773</v>
      </c>
      <c r="J35" s="174">
        <f>VLOOKUP(D35,原始分!$D:$N,5,0)</f>
        <v>83</v>
      </c>
      <c r="K35" s="174">
        <f t="shared" si="2"/>
        <v>700</v>
      </c>
      <c r="L35" s="174">
        <f>VLOOKUP(D35,原始分!$D:$N,6,0)</f>
        <v>65.5</v>
      </c>
      <c r="M35" s="174">
        <f t="shared" si="3"/>
        <v>105</v>
      </c>
      <c r="N35" s="174">
        <f>VLOOKUP(D35,原始分!$D:$N,7,0)</f>
        <v>0</v>
      </c>
      <c r="O35" s="174">
        <f t="shared" si="4"/>
        <v>207</v>
      </c>
      <c r="P35" s="174">
        <f>VLOOKUP(D35,原始分!$D:$N,8,0)</f>
        <v>40</v>
      </c>
      <c r="Q35" s="174">
        <f t="shared" si="5"/>
        <v>316</v>
      </c>
      <c r="R35" s="174">
        <f>VLOOKUP(D35,原始分!$D:$N,9,0)</f>
        <v>0</v>
      </c>
      <c r="S35" s="174">
        <f t="shared" si="6"/>
        <v>320</v>
      </c>
      <c r="T35" s="174">
        <f>VLOOKUP(D35,原始分!$D:$N,10,0)</f>
        <v>39.25</v>
      </c>
      <c r="U35" s="174">
        <f t="shared" si="7"/>
        <v>311</v>
      </c>
      <c r="V35" s="174">
        <f>VLOOKUP(D35,原始分!$D:$N,11,0)</f>
        <v>0</v>
      </c>
      <c r="W35" s="174">
        <f t="shared" si="8"/>
        <v>565</v>
      </c>
      <c r="X35" s="11">
        <f t="shared" si="9"/>
        <v>245.5</v>
      </c>
      <c r="Y35" s="9">
        <f t="shared" si="10"/>
        <v>817</v>
      </c>
      <c r="Z35" s="11">
        <f t="shared" si="11"/>
        <v>390.25</v>
      </c>
      <c r="AA35" s="9">
        <f t="shared" si="15"/>
        <v>555</v>
      </c>
    </row>
    <row r="36" ht="14.25" spans="1:27">
      <c r="A36" s="13">
        <v>34</v>
      </c>
      <c r="B36" s="15">
        <v>1</v>
      </c>
      <c r="C36" s="16">
        <v>36</v>
      </c>
      <c r="D36" s="17" t="s">
        <v>82</v>
      </c>
      <c r="E36" s="17" t="s">
        <v>83</v>
      </c>
      <c r="F36" s="174">
        <f>VLOOKUP(D36,原始分!$D:$N,3,0)</f>
        <v>105.5</v>
      </c>
      <c r="G36" s="174">
        <f t="shared" si="0"/>
        <v>156</v>
      </c>
      <c r="H36" s="174">
        <f>VLOOKUP(D36,原始分!$D:$N,4,0)</f>
        <v>102.5</v>
      </c>
      <c r="I36" s="174">
        <f t="shared" si="1"/>
        <v>372</v>
      </c>
      <c r="J36" s="174">
        <f>VLOOKUP(D36,原始分!$D:$N,5,0)</f>
        <v>102</v>
      </c>
      <c r="K36" s="174">
        <f t="shared" si="2"/>
        <v>323</v>
      </c>
      <c r="L36" s="174">
        <f>VLOOKUP(D36,原始分!$D:$N,6,0)</f>
        <v>49</v>
      </c>
      <c r="M36" s="174">
        <f t="shared" si="3"/>
        <v>354</v>
      </c>
      <c r="N36" s="174">
        <f>VLOOKUP(D36,原始分!$D:$N,7,0)</f>
        <v>0</v>
      </c>
      <c r="O36" s="174">
        <f t="shared" si="4"/>
        <v>207</v>
      </c>
      <c r="P36" s="174">
        <f>VLOOKUP(D36,原始分!$D:$N,8,0)</f>
        <v>47</v>
      </c>
      <c r="Q36" s="174">
        <f t="shared" si="5"/>
        <v>173</v>
      </c>
      <c r="R36" s="174">
        <f>VLOOKUP(D36,原始分!$D:$N,9,0)</f>
        <v>0</v>
      </c>
      <c r="S36" s="174">
        <f t="shared" si="6"/>
        <v>320</v>
      </c>
      <c r="T36" s="174">
        <f>VLOOKUP(D36,原始分!$D:$N,10,0)</f>
        <v>59</v>
      </c>
      <c r="U36" s="174">
        <f t="shared" si="7"/>
        <v>124</v>
      </c>
      <c r="V36" s="174">
        <f>VLOOKUP(D36,原始分!$D:$N,11,0)</f>
        <v>0</v>
      </c>
      <c r="W36" s="174">
        <f t="shared" si="8"/>
        <v>565</v>
      </c>
      <c r="X36" s="11">
        <f t="shared" si="9"/>
        <v>310</v>
      </c>
      <c r="Y36" s="9">
        <f t="shared" si="10"/>
        <v>264</v>
      </c>
      <c r="Z36" s="11">
        <f t="shared" si="11"/>
        <v>465</v>
      </c>
      <c r="AA36" s="9">
        <f t="shared" si="15"/>
        <v>195</v>
      </c>
    </row>
    <row r="37" ht="14.25" spans="1:27">
      <c r="A37" s="13">
        <v>35</v>
      </c>
      <c r="B37" s="15">
        <v>1</v>
      </c>
      <c r="C37" s="16">
        <v>37</v>
      </c>
      <c r="D37" s="17" t="s">
        <v>84</v>
      </c>
      <c r="E37" s="17" t="s">
        <v>85</v>
      </c>
      <c r="F37" s="174">
        <f>VLOOKUP(D37,原始分!$D:$N,3,0)</f>
        <v>105.5</v>
      </c>
      <c r="G37" s="174">
        <f t="shared" si="0"/>
        <v>156</v>
      </c>
      <c r="H37" s="174">
        <f>VLOOKUP(D37,原始分!$D:$N,4,0)</f>
        <v>97.5</v>
      </c>
      <c r="I37" s="174">
        <f t="shared" si="1"/>
        <v>464</v>
      </c>
      <c r="J37" s="174">
        <f>VLOOKUP(D37,原始分!$D:$N,5,0)</f>
        <v>108.5</v>
      </c>
      <c r="K37" s="174">
        <f t="shared" si="2"/>
        <v>200</v>
      </c>
      <c r="L37" s="174">
        <f>VLOOKUP(D37,原始分!$D:$N,6,0)</f>
        <v>57</v>
      </c>
      <c r="M37" s="174">
        <f t="shared" si="3"/>
        <v>237</v>
      </c>
      <c r="N37" s="174">
        <f>VLOOKUP(D37,原始分!$D:$N,7,0)</f>
        <v>0</v>
      </c>
      <c r="O37" s="174">
        <f t="shared" si="4"/>
        <v>207</v>
      </c>
      <c r="P37" s="174">
        <f>VLOOKUP(D37,原始分!$D:$N,8,0)</f>
        <v>41</v>
      </c>
      <c r="Q37" s="174">
        <f t="shared" si="5"/>
        <v>296</v>
      </c>
      <c r="R37" s="174">
        <f>VLOOKUP(D37,原始分!$D:$N,9,0)</f>
        <v>0</v>
      </c>
      <c r="S37" s="174">
        <f t="shared" si="6"/>
        <v>320</v>
      </c>
      <c r="T37" s="174">
        <f>VLOOKUP(D37,原始分!$D:$N,10,0)</f>
        <v>54.5</v>
      </c>
      <c r="U37" s="174">
        <f t="shared" si="7"/>
        <v>200</v>
      </c>
      <c r="V37" s="174">
        <f>VLOOKUP(D37,原始分!$D:$N,11,0)</f>
        <v>0</v>
      </c>
      <c r="W37" s="174">
        <f t="shared" si="8"/>
        <v>565</v>
      </c>
      <c r="X37" s="11">
        <f t="shared" si="9"/>
        <v>311.5</v>
      </c>
      <c r="Y37" s="9">
        <f t="shared" si="10"/>
        <v>239</v>
      </c>
      <c r="Z37" s="11">
        <f t="shared" si="11"/>
        <v>464</v>
      </c>
      <c r="AA37" s="9">
        <f t="shared" si="15"/>
        <v>202</v>
      </c>
    </row>
    <row r="38" ht="14.25" spans="1:27">
      <c r="A38" s="13">
        <v>36</v>
      </c>
      <c r="B38" s="15">
        <v>1</v>
      </c>
      <c r="C38" s="16">
        <v>38</v>
      </c>
      <c r="D38" s="17" t="s">
        <v>86</v>
      </c>
      <c r="E38" s="17" t="s">
        <v>87</v>
      </c>
      <c r="F38" s="174">
        <f>VLOOKUP(D38,原始分!$D:$N,3,0)</f>
        <v>94.5</v>
      </c>
      <c r="G38" s="174">
        <f t="shared" si="0"/>
        <v>642</v>
      </c>
      <c r="H38" s="174">
        <f>VLOOKUP(D38,原始分!$D:$N,4,0)</f>
        <v>121.5</v>
      </c>
      <c r="I38" s="174">
        <f t="shared" si="1"/>
        <v>54</v>
      </c>
      <c r="J38" s="174">
        <f>VLOOKUP(D38,原始分!$D:$N,5,0)</f>
        <v>87</v>
      </c>
      <c r="K38" s="174">
        <f t="shared" si="2"/>
        <v>632</v>
      </c>
      <c r="L38" s="174">
        <f>VLOOKUP(D38,原始分!$D:$N,6,0)</f>
        <v>37.5</v>
      </c>
      <c r="M38" s="174">
        <f t="shared" si="3"/>
        <v>543</v>
      </c>
      <c r="N38" s="174">
        <f>VLOOKUP(D38,原始分!$D:$N,7,0)</f>
        <v>0</v>
      </c>
      <c r="O38" s="174">
        <f t="shared" si="4"/>
        <v>207</v>
      </c>
      <c r="P38" s="174">
        <f>VLOOKUP(D38,原始分!$D:$N,8,0)</f>
        <v>52.5</v>
      </c>
      <c r="Q38" s="174">
        <f t="shared" si="5"/>
        <v>81</v>
      </c>
      <c r="R38" s="174">
        <f>VLOOKUP(D38,原始分!$D:$N,9,0)</f>
        <v>0</v>
      </c>
      <c r="S38" s="174">
        <f t="shared" si="6"/>
        <v>320</v>
      </c>
      <c r="T38" s="174">
        <f>VLOOKUP(D38,原始分!$D:$N,10,0)</f>
        <v>51</v>
      </c>
      <c r="U38" s="174">
        <f t="shared" si="7"/>
        <v>240</v>
      </c>
      <c r="V38" s="174">
        <f>VLOOKUP(D38,原始分!$D:$N,11,0)</f>
        <v>0</v>
      </c>
      <c r="W38" s="174">
        <f t="shared" si="8"/>
        <v>565</v>
      </c>
      <c r="X38" s="11">
        <f t="shared" si="9"/>
        <v>303</v>
      </c>
      <c r="Y38" s="9">
        <f t="shared" si="10"/>
        <v>335</v>
      </c>
      <c r="Z38" s="11">
        <f t="shared" si="11"/>
        <v>444</v>
      </c>
      <c r="AA38" s="9">
        <f t="shared" si="15"/>
        <v>317</v>
      </c>
    </row>
    <row r="39" ht="14.25" spans="1:27">
      <c r="A39" s="13">
        <v>37</v>
      </c>
      <c r="B39" s="15">
        <v>1</v>
      </c>
      <c r="C39" s="16">
        <v>39</v>
      </c>
      <c r="D39" s="17" t="s">
        <v>88</v>
      </c>
      <c r="E39" s="17" t="s">
        <v>89</v>
      </c>
      <c r="F39" s="174">
        <f>VLOOKUP(D39,原始分!$D:$N,3,0)</f>
        <v>103.5</v>
      </c>
      <c r="G39" s="174">
        <f t="shared" si="0"/>
        <v>230</v>
      </c>
      <c r="H39" s="174">
        <f>VLOOKUP(D39,原始分!$D:$N,4,0)</f>
        <v>99</v>
      </c>
      <c r="I39" s="174">
        <f t="shared" si="1"/>
        <v>433</v>
      </c>
      <c r="J39" s="174">
        <f>VLOOKUP(D39,原始分!$D:$N,5,0)</f>
        <v>53</v>
      </c>
      <c r="K39" s="174">
        <f t="shared" si="2"/>
        <v>861</v>
      </c>
      <c r="L39" s="174">
        <f>VLOOKUP(D39,原始分!$D:$N,6,0)</f>
        <v>60.5</v>
      </c>
      <c r="M39" s="174">
        <f t="shared" si="3"/>
        <v>180</v>
      </c>
      <c r="N39" s="174">
        <f>VLOOKUP(D39,原始分!$D:$N,7,0)</f>
        <v>0</v>
      </c>
      <c r="O39" s="174">
        <f t="shared" si="4"/>
        <v>207</v>
      </c>
      <c r="P39" s="174">
        <f>VLOOKUP(D39,原始分!$D:$N,8,0)</f>
        <v>44</v>
      </c>
      <c r="Q39" s="174">
        <f t="shared" si="5"/>
        <v>227</v>
      </c>
      <c r="R39" s="174">
        <f>VLOOKUP(D39,原始分!$D:$N,9,0)</f>
        <v>0</v>
      </c>
      <c r="S39" s="174">
        <f t="shared" si="6"/>
        <v>320</v>
      </c>
      <c r="T39" s="174">
        <f>VLOOKUP(D39,原始分!$D:$N,10,0)</f>
        <v>57.5</v>
      </c>
      <c r="U39" s="174">
        <f t="shared" si="7"/>
        <v>151</v>
      </c>
      <c r="V39" s="174">
        <f>VLOOKUP(D39,原始分!$D:$N,11,0)</f>
        <v>0</v>
      </c>
      <c r="W39" s="174">
        <f t="shared" si="8"/>
        <v>565</v>
      </c>
      <c r="X39" s="11">
        <f t="shared" si="9"/>
        <v>255.5</v>
      </c>
      <c r="Y39" s="9">
        <f t="shared" si="10"/>
        <v>786</v>
      </c>
      <c r="Z39" s="11">
        <f t="shared" si="11"/>
        <v>417.5</v>
      </c>
      <c r="AA39" s="9">
        <f t="shared" si="15"/>
        <v>437</v>
      </c>
    </row>
    <row r="40" ht="14.25" spans="1:27">
      <c r="A40" s="13">
        <v>38</v>
      </c>
      <c r="B40" s="15">
        <v>1</v>
      </c>
      <c r="C40" s="16">
        <v>40</v>
      </c>
      <c r="D40" s="17" t="s">
        <v>90</v>
      </c>
      <c r="E40" s="17" t="s">
        <v>91</v>
      </c>
      <c r="F40" s="174">
        <f>VLOOKUP(D40,原始分!$D:$N,3,0)</f>
        <v>102.5</v>
      </c>
      <c r="G40" s="174">
        <f t="shared" si="0"/>
        <v>279</v>
      </c>
      <c r="H40" s="174">
        <f>VLOOKUP(D40,原始分!$D:$N,4,0)</f>
        <v>92</v>
      </c>
      <c r="I40" s="174">
        <f t="shared" si="1"/>
        <v>578</v>
      </c>
      <c r="J40" s="174">
        <f>VLOOKUP(D40,原始分!$D:$N,5,0)</f>
        <v>80</v>
      </c>
      <c r="K40" s="174">
        <f t="shared" si="2"/>
        <v>745</v>
      </c>
      <c r="L40" s="174">
        <f>VLOOKUP(D40,原始分!$D:$N,6,0)</f>
        <v>46</v>
      </c>
      <c r="M40" s="174">
        <f t="shared" si="3"/>
        <v>411</v>
      </c>
      <c r="N40" s="174">
        <f>VLOOKUP(D40,原始分!$D:$N,7,0)</f>
        <v>0</v>
      </c>
      <c r="O40" s="174">
        <f t="shared" si="4"/>
        <v>207</v>
      </c>
      <c r="P40" s="174">
        <f>VLOOKUP(D40,原始分!$D:$N,8,0)</f>
        <v>41.5</v>
      </c>
      <c r="Q40" s="174">
        <f t="shared" si="5"/>
        <v>279</v>
      </c>
      <c r="R40" s="174">
        <f>VLOOKUP(D40,原始分!$D:$N,9,0)</f>
        <v>0</v>
      </c>
      <c r="S40" s="174">
        <f t="shared" si="6"/>
        <v>320</v>
      </c>
      <c r="T40" s="174">
        <f>VLOOKUP(D40,原始分!$D:$N,10,0)</f>
        <v>48</v>
      </c>
      <c r="U40" s="174">
        <f t="shared" si="7"/>
        <v>273</v>
      </c>
      <c r="V40" s="174">
        <f>VLOOKUP(D40,原始分!$D:$N,11,0)</f>
        <v>0</v>
      </c>
      <c r="W40" s="174">
        <f t="shared" si="8"/>
        <v>565</v>
      </c>
      <c r="X40" s="11">
        <f t="shared" si="9"/>
        <v>274.5</v>
      </c>
      <c r="Y40" s="9">
        <f t="shared" si="10"/>
        <v>661</v>
      </c>
      <c r="Z40" s="11">
        <f t="shared" si="11"/>
        <v>410</v>
      </c>
      <c r="AA40" s="9">
        <f t="shared" si="15"/>
        <v>474</v>
      </c>
    </row>
    <row r="41" ht="14.25" spans="1:27">
      <c r="A41" s="13">
        <v>39</v>
      </c>
      <c r="B41" s="15">
        <v>1</v>
      </c>
      <c r="C41" s="16">
        <v>41</v>
      </c>
      <c r="D41" s="17" t="s">
        <v>92</v>
      </c>
      <c r="E41" s="17" t="s">
        <v>93</v>
      </c>
      <c r="F41" s="174">
        <f>VLOOKUP(D41,原始分!$D:$N,3,0)</f>
        <v>112</v>
      </c>
      <c r="G41" s="174">
        <f t="shared" si="0"/>
        <v>31</v>
      </c>
      <c r="H41" s="174">
        <f>VLOOKUP(D41,原始分!$D:$N,4,0)</f>
        <v>110.5</v>
      </c>
      <c r="I41" s="174">
        <f t="shared" si="1"/>
        <v>211</v>
      </c>
      <c r="J41" s="174">
        <f>VLOOKUP(D41,原始分!$D:$N,5,0)</f>
        <v>106.25</v>
      </c>
      <c r="K41" s="174">
        <f t="shared" si="2"/>
        <v>242</v>
      </c>
      <c r="L41" s="174">
        <f>VLOOKUP(D41,原始分!$D:$N,6,0)</f>
        <v>65.5</v>
      </c>
      <c r="M41" s="174">
        <f t="shared" si="3"/>
        <v>105</v>
      </c>
      <c r="N41" s="174">
        <f>VLOOKUP(D41,原始分!$D:$N,7,0)</f>
        <v>0</v>
      </c>
      <c r="O41" s="174">
        <f t="shared" si="4"/>
        <v>207</v>
      </c>
      <c r="P41" s="174">
        <f>VLOOKUP(D41,原始分!$D:$N,8,0)</f>
        <v>47.5</v>
      </c>
      <c r="Q41" s="174">
        <f t="shared" si="5"/>
        <v>157</v>
      </c>
      <c r="R41" s="174">
        <f>VLOOKUP(D41,原始分!$D:$N,9,0)</f>
        <v>0</v>
      </c>
      <c r="S41" s="174">
        <f t="shared" si="6"/>
        <v>320</v>
      </c>
      <c r="T41" s="174">
        <f>VLOOKUP(D41,原始分!$D:$N,10,0)</f>
        <v>67.5</v>
      </c>
      <c r="U41" s="174">
        <f t="shared" si="7"/>
        <v>22</v>
      </c>
      <c r="V41" s="174">
        <f>VLOOKUP(D41,原始分!$D:$N,11,0)</f>
        <v>0</v>
      </c>
      <c r="W41" s="174">
        <f t="shared" si="8"/>
        <v>565</v>
      </c>
      <c r="X41" s="11">
        <f t="shared" si="9"/>
        <v>328.75</v>
      </c>
      <c r="Y41" s="9">
        <f t="shared" si="10"/>
        <v>100</v>
      </c>
      <c r="Z41" s="11">
        <f t="shared" si="11"/>
        <v>509.25</v>
      </c>
      <c r="AA41" s="9">
        <f t="shared" si="15"/>
        <v>56</v>
      </c>
    </row>
    <row r="42" ht="14.25" spans="1:27">
      <c r="A42" s="13">
        <v>40</v>
      </c>
      <c r="B42" s="15">
        <v>1</v>
      </c>
      <c r="C42" s="16">
        <v>42</v>
      </c>
      <c r="D42" s="17" t="s">
        <v>94</v>
      </c>
      <c r="E42" s="17" t="s">
        <v>95</v>
      </c>
      <c r="F42" s="174">
        <f>VLOOKUP(D42,原始分!$D:$N,3,0)</f>
        <v>93</v>
      </c>
      <c r="G42" s="174">
        <f t="shared" si="0"/>
        <v>693</v>
      </c>
      <c r="H42" s="174">
        <f>VLOOKUP(D42,原始分!$D:$N,4,0)</f>
        <v>106</v>
      </c>
      <c r="I42" s="174">
        <f t="shared" si="1"/>
        <v>297</v>
      </c>
      <c r="J42" s="174">
        <f>VLOOKUP(D42,原始分!$D:$N,5,0)</f>
        <v>91.5</v>
      </c>
      <c r="K42" s="174">
        <f t="shared" si="2"/>
        <v>565</v>
      </c>
      <c r="L42" s="174">
        <f>VLOOKUP(D42,原始分!$D:$N,6,0)</f>
        <v>67.5</v>
      </c>
      <c r="M42" s="174">
        <f t="shared" si="3"/>
        <v>79</v>
      </c>
      <c r="N42" s="174">
        <f>VLOOKUP(D42,原始分!$D:$N,7,0)</f>
        <v>0</v>
      </c>
      <c r="O42" s="174">
        <f t="shared" si="4"/>
        <v>207</v>
      </c>
      <c r="P42" s="174">
        <f>VLOOKUP(D42,原始分!$D:$N,8,0)</f>
        <v>41.5</v>
      </c>
      <c r="Q42" s="174">
        <f t="shared" si="5"/>
        <v>279</v>
      </c>
      <c r="R42" s="174">
        <f>VLOOKUP(D42,原始分!$D:$N,9,0)</f>
        <v>0</v>
      </c>
      <c r="S42" s="174">
        <f t="shared" si="6"/>
        <v>320</v>
      </c>
      <c r="T42" s="174">
        <f>VLOOKUP(D42,原始分!$D:$N,10,0)</f>
        <v>61.5</v>
      </c>
      <c r="U42" s="174">
        <f t="shared" si="7"/>
        <v>89</v>
      </c>
      <c r="V42" s="174">
        <f>VLOOKUP(D42,原始分!$D:$N,11,0)</f>
        <v>0</v>
      </c>
      <c r="W42" s="174">
        <f t="shared" si="8"/>
        <v>565</v>
      </c>
      <c r="X42" s="11">
        <f t="shared" si="9"/>
        <v>290.5</v>
      </c>
      <c r="Y42" s="9">
        <f t="shared" si="10"/>
        <v>490</v>
      </c>
      <c r="Z42" s="11">
        <f t="shared" si="11"/>
        <v>461</v>
      </c>
      <c r="AA42" s="9">
        <f t="shared" si="15"/>
        <v>217</v>
      </c>
    </row>
    <row r="43" ht="14.25" spans="1:27">
      <c r="A43" s="13">
        <v>41</v>
      </c>
      <c r="B43" s="15">
        <v>1</v>
      </c>
      <c r="C43" s="16">
        <v>43</v>
      </c>
      <c r="D43" s="17" t="s">
        <v>96</v>
      </c>
      <c r="E43" s="17" t="s">
        <v>97</v>
      </c>
      <c r="F43" s="174">
        <f>VLOOKUP(D43,原始分!$D:$N,3,0)</f>
        <v>109.5</v>
      </c>
      <c r="G43" s="174">
        <f t="shared" si="0"/>
        <v>53</v>
      </c>
      <c r="H43" s="174">
        <f>VLOOKUP(D43,原始分!$D:$N,4,0)</f>
        <v>111</v>
      </c>
      <c r="I43" s="174">
        <f t="shared" si="1"/>
        <v>201</v>
      </c>
      <c r="J43" s="174">
        <f>VLOOKUP(D43,原始分!$D:$N,5,0)</f>
        <v>100.25</v>
      </c>
      <c r="K43" s="174">
        <f t="shared" si="2"/>
        <v>364</v>
      </c>
      <c r="L43" s="174">
        <f>VLOOKUP(D43,原始分!$D:$N,6,0)</f>
        <v>54.5</v>
      </c>
      <c r="M43" s="174">
        <f t="shared" si="3"/>
        <v>281</v>
      </c>
      <c r="N43" s="174">
        <f>VLOOKUP(D43,原始分!$D:$N,7,0)</f>
        <v>0</v>
      </c>
      <c r="O43" s="174">
        <f t="shared" si="4"/>
        <v>207</v>
      </c>
      <c r="P43" s="174">
        <f>VLOOKUP(D43,原始分!$D:$N,8,0)</f>
        <v>33.5</v>
      </c>
      <c r="Q43" s="174">
        <f t="shared" si="5"/>
        <v>422</v>
      </c>
      <c r="R43" s="174">
        <f>VLOOKUP(D43,原始分!$D:$N,9,0)</f>
        <v>0</v>
      </c>
      <c r="S43" s="174">
        <f t="shared" si="6"/>
        <v>320</v>
      </c>
      <c r="T43" s="174">
        <f>VLOOKUP(D43,原始分!$D:$N,10,0)</f>
        <v>61</v>
      </c>
      <c r="U43" s="174">
        <f t="shared" si="7"/>
        <v>95</v>
      </c>
      <c r="V43" s="174">
        <f>VLOOKUP(D43,原始分!$D:$N,11,0)</f>
        <v>0</v>
      </c>
      <c r="W43" s="174">
        <f t="shared" si="8"/>
        <v>565</v>
      </c>
      <c r="X43" s="11">
        <f t="shared" si="9"/>
        <v>320.75</v>
      </c>
      <c r="Y43" s="9">
        <f t="shared" si="10"/>
        <v>151</v>
      </c>
      <c r="Z43" s="11">
        <f t="shared" si="11"/>
        <v>469.75</v>
      </c>
      <c r="AA43" s="9">
        <f t="shared" si="15"/>
        <v>177</v>
      </c>
    </row>
    <row r="44" ht="14.25" spans="1:27">
      <c r="A44" s="13">
        <v>42</v>
      </c>
      <c r="B44" s="15">
        <v>1</v>
      </c>
      <c r="C44" s="16">
        <v>44</v>
      </c>
      <c r="D44" s="17" t="s">
        <v>98</v>
      </c>
      <c r="E44" s="17" t="s">
        <v>99</v>
      </c>
      <c r="F44" s="174">
        <f>VLOOKUP(D44,原始分!$D:$N,3,0)</f>
        <v>95.5</v>
      </c>
      <c r="G44" s="174">
        <f t="shared" si="0"/>
        <v>595</v>
      </c>
      <c r="H44" s="174">
        <f>VLOOKUP(D44,原始分!$D:$N,4,0)</f>
        <v>84.5</v>
      </c>
      <c r="I44" s="174">
        <f t="shared" si="1"/>
        <v>708</v>
      </c>
      <c r="J44" s="174">
        <f>VLOOKUP(D44,原始分!$D:$N,5,0)</f>
        <v>83.5</v>
      </c>
      <c r="K44" s="174">
        <f t="shared" si="2"/>
        <v>694</v>
      </c>
      <c r="L44" s="174">
        <f>VLOOKUP(D44,原始分!$D:$N,6,0)</f>
        <v>50.5</v>
      </c>
      <c r="M44" s="174">
        <f t="shared" si="3"/>
        <v>328</v>
      </c>
      <c r="N44" s="174">
        <f>VLOOKUP(D44,原始分!$D:$N,7,0)</f>
        <v>0</v>
      </c>
      <c r="O44" s="174">
        <f t="shared" si="4"/>
        <v>207</v>
      </c>
      <c r="P44" s="174">
        <f>VLOOKUP(D44,原始分!$D:$N,8,0)</f>
        <v>53</v>
      </c>
      <c r="Q44" s="174">
        <f t="shared" si="5"/>
        <v>69</v>
      </c>
      <c r="R44" s="174">
        <f>VLOOKUP(D44,原始分!$D:$N,9,0)</f>
        <v>0</v>
      </c>
      <c r="S44" s="174">
        <f t="shared" si="6"/>
        <v>320</v>
      </c>
      <c r="T44" s="174">
        <f>VLOOKUP(D44,原始分!$D:$N,10,0)</f>
        <v>44.5</v>
      </c>
      <c r="U44" s="174">
        <f t="shared" si="7"/>
        <v>297</v>
      </c>
      <c r="V44" s="174">
        <f>VLOOKUP(D44,原始分!$D:$N,11,0)</f>
        <v>0</v>
      </c>
      <c r="W44" s="174">
        <f t="shared" si="8"/>
        <v>565</v>
      </c>
      <c r="X44" s="11">
        <f t="shared" si="9"/>
        <v>263.5</v>
      </c>
      <c r="Y44" s="9">
        <f t="shared" si="10"/>
        <v>750</v>
      </c>
      <c r="Z44" s="11">
        <f t="shared" si="11"/>
        <v>411.5</v>
      </c>
      <c r="AA44" s="9">
        <f t="shared" si="15"/>
        <v>465</v>
      </c>
    </row>
    <row r="45" ht="14.25" spans="1:27">
      <c r="A45" s="13">
        <v>43</v>
      </c>
      <c r="B45" s="15">
        <v>1</v>
      </c>
      <c r="C45" s="16">
        <v>45</v>
      </c>
      <c r="D45" s="17" t="s">
        <v>100</v>
      </c>
      <c r="E45" s="17" t="s">
        <v>101</v>
      </c>
      <c r="F45" s="174">
        <f>VLOOKUP(D45,原始分!$D:$N,3,0)</f>
        <v>89.5</v>
      </c>
      <c r="G45" s="174">
        <f t="shared" si="0"/>
        <v>789</v>
      </c>
      <c r="H45" s="174">
        <f>VLOOKUP(D45,原始分!$D:$N,4,0)</f>
        <v>104</v>
      </c>
      <c r="I45" s="174">
        <f t="shared" si="1"/>
        <v>341</v>
      </c>
      <c r="J45" s="174">
        <f>VLOOKUP(D45,原始分!$D:$N,5,0)</f>
        <v>85.5</v>
      </c>
      <c r="K45" s="174">
        <f t="shared" si="2"/>
        <v>656</v>
      </c>
      <c r="L45" s="174">
        <f>VLOOKUP(D45,原始分!$D:$N,6,0)</f>
        <v>65</v>
      </c>
      <c r="M45" s="174">
        <f t="shared" si="3"/>
        <v>115</v>
      </c>
      <c r="N45" s="174">
        <f>VLOOKUP(D45,原始分!$D:$N,7,0)</f>
        <v>0</v>
      </c>
      <c r="O45" s="174">
        <f t="shared" si="4"/>
        <v>207</v>
      </c>
      <c r="P45" s="174">
        <f>VLOOKUP(D45,原始分!$D:$N,8,0)</f>
        <v>47</v>
      </c>
      <c r="Q45" s="174">
        <f t="shared" si="5"/>
        <v>173</v>
      </c>
      <c r="R45" s="174">
        <f>VLOOKUP(D45,原始分!$D:$N,9,0)</f>
        <v>0</v>
      </c>
      <c r="S45" s="174">
        <f t="shared" si="6"/>
        <v>320</v>
      </c>
      <c r="T45" s="174">
        <f>VLOOKUP(D45,原始分!$D:$N,10,0)</f>
        <v>46</v>
      </c>
      <c r="U45" s="174">
        <f t="shared" si="7"/>
        <v>289</v>
      </c>
      <c r="V45" s="174">
        <f>VLOOKUP(D45,原始分!$D:$N,11,0)</f>
        <v>0</v>
      </c>
      <c r="W45" s="174">
        <f t="shared" si="8"/>
        <v>565</v>
      </c>
      <c r="X45" s="11">
        <f t="shared" si="9"/>
        <v>279</v>
      </c>
      <c r="Y45" s="9">
        <f t="shared" si="10"/>
        <v>607</v>
      </c>
      <c r="Z45" s="11">
        <f t="shared" si="11"/>
        <v>437</v>
      </c>
      <c r="AA45" s="9">
        <f t="shared" si="15"/>
        <v>347</v>
      </c>
    </row>
    <row r="46" ht="14.25" spans="1:27">
      <c r="A46" s="13">
        <v>44</v>
      </c>
      <c r="B46" s="15">
        <v>1</v>
      </c>
      <c r="C46" s="16">
        <v>46</v>
      </c>
      <c r="D46" s="17" t="s">
        <v>102</v>
      </c>
      <c r="E46" s="17" t="s">
        <v>103</v>
      </c>
      <c r="F46" s="174">
        <f>VLOOKUP(D46,原始分!$D:$N,3,0)</f>
        <v>105.5</v>
      </c>
      <c r="G46" s="174">
        <f t="shared" si="0"/>
        <v>156</v>
      </c>
      <c r="H46" s="174">
        <f>VLOOKUP(D46,原始分!$D:$N,4,0)</f>
        <v>112</v>
      </c>
      <c r="I46" s="174">
        <f t="shared" si="1"/>
        <v>180</v>
      </c>
      <c r="J46" s="174">
        <f>VLOOKUP(D46,原始分!$D:$N,5,0)</f>
        <v>85.5</v>
      </c>
      <c r="K46" s="174">
        <f t="shared" si="2"/>
        <v>656</v>
      </c>
      <c r="L46" s="174">
        <f>VLOOKUP(D46,原始分!$D:$N,6,0)</f>
        <v>46.5</v>
      </c>
      <c r="M46" s="174">
        <f t="shared" si="3"/>
        <v>404</v>
      </c>
      <c r="N46" s="174">
        <f>VLOOKUP(D46,原始分!$D:$N,7,0)</f>
        <v>0</v>
      </c>
      <c r="O46" s="174">
        <f t="shared" si="4"/>
        <v>207</v>
      </c>
      <c r="P46" s="174">
        <f>VLOOKUP(D46,原始分!$D:$N,8,0)</f>
        <v>33.5</v>
      </c>
      <c r="Q46" s="174">
        <f t="shared" si="5"/>
        <v>422</v>
      </c>
      <c r="R46" s="174">
        <f>VLOOKUP(D46,原始分!$D:$N,9,0)</f>
        <v>0</v>
      </c>
      <c r="S46" s="174">
        <f t="shared" si="6"/>
        <v>320</v>
      </c>
      <c r="T46" s="174">
        <f>VLOOKUP(D46,原始分!$D:$N,10,0)</f>
        <v>62.5</v>
      </c>
      <c r="U46" s="174">
        <f t="shared" si="7"/>
        <v>78</v>
      </c>
      <c r="V46" s="174">
        <f>VLOOKUP(D46,原始分!$D:$N,11,0)</f>
        <v>0</v>
      </c>
      <c r="W46" s="174">
        <f t="shared" si="8"/>
        <v>565</v>
      </c>
      <c r="X46" s="11">
        <f t="shared" si="9"/>
        <v>303</v>
      </c>
      <c r="Y46" s="9">
        <f t="shared" si="10"/>
        <v>335</v>
      </c>
      <c r="Z46" s="11">
        <f t="shared" si="11"/>
        <v>445.5</v>
      </c>
      <c r="AA46" s="9">
        <f t="shared" si="15"/>
        <v>306</v>
      </c>
    </row>
    <row r="47" ht="14.25" spans="1:27">
      <c r="A47" s="13">
        <v>45</v>
      </c>
      <c r="B47" s="15">
        <v>1</v>
      </c>
      <c r="C47" s="16">
        <v>47</v>
      </c>
      <c r="D47" s="17" t="s">
        <v>104</v>
      </c>
      <c r="E47" s="17" t="s">
        <v>105</v>
      </c>
      <c r="F47" s="174">
        <f>VLOOKUP(D47,原始分!$D:$N,3,0)</f>
        <v>112.25</v>
      </c>
      <c r="G47" s="174">
        <f t="shared" si="0"/>
        <v>30</v>
      </c>
      <c r="H47" s="174">
        <f>VLOOKUP(D47,原始分!$D:$N,4,0)</f>
        <v>97.5</v>
      </c>
      <c r="I47" s="174">
        <f t="shared" si="1"/>
        <v>464</v>
      </c>
      <c r="J47" s="174">
        <f>VLOOKUP(D47,原始分!$D:$N,5,0)</f>
        <v>101.5</v>
      </c>
      <c r="K47" s="174">
        <f t="shared" si="2"/>
        <v>334</v>
      </c>
      <c r="L47" s="174">
        <f>VLOOKUP(D47,原始分!$D:$N,6,0)</f>
        <v>38</v>
      </c>
      <c r="M47" s="174">
        <f t="shared" si="3"/>
        <v>537</v>
      </c>
      <c r="N47" s="174">
        <f>VLOOKUP(D47,原始分!$D:$N,7,0)</f>
        <v>0</v>
      </c>
      <c r="O47" s="174">
        <f t="shared" si="4"/>
        <v>207</v>
      </c>
      <c r="P47" s="174">
        <f>VLOOKUP(D47,原始分!$D:$N,8,0)</f>
        <v>39</v>
      </c>
      <c r="Q47" s="174">
        <f t="shared" si="5"/>
        <v>348</v>
      </c>
      <c r="R47" s="174">
        <f>VLOOKUP(D47,原始分!$D:$N,9,0)</f>
        <v>0</v>
      </c>
      <c r="S47" s="174">
        <f t="shared" si="6"/>
        <v>320</v>
      </c>
      <c r="T47" s="174">
        <f>VLOOKUP(D47,原始分!$D:$N,10,0)</f>
        <v>63.5</v>
      </c>
      <c r="U47" s="174">
        <f t="shared" si="7"/>
        <v>68</v>
      </c>
      <c r="V47" s="174">
        <f>VLOOKUP(D47,原始分!$D:$N,11,0)</f>
        <v>0</v>
      </c>
      <c r="W47" s="174">
        <f t="shared" si="8"/>
        <v>565</v>
      </c>
      <c r="X47" s="11">
        <f t="shared" si="9"/>
        <v>311.25</v>
      </c>
      <c r="Y47" s="9">
        <f t="shared" si="10"/>
        <v>244</v>
      </c>
      <c r="Z47" s="11">
        <f t="shared" si="11"/>
        <v>451.75</v>
      </c>
      <c r="AA47" s="9">
        <f t="shared" si="15"/>
        <v>268</v>
      </c>
    </row>
    <row r="48" ht="14.25" spans="1:27">
      <c r="A48" s="13">
        <v>46</v>
      </c>
      <c r="B48" s="15">
        <v>1</v>
      </c>
      <c r="C48" s="16">
        <v>48</v>
      </c>
      <c r="D48" s="17" t="s">
        <v>106</v>
      </c>
      <c r="E48" s="17" t="s">
        <v>107</v>
      </c>
      <c r="F48" s="174">
        <f>VLOOKUP(D48,原始分!$D:$N,3,0)</f>
        <v>103.5</v>
      </c>
      <c r="G48" s="174">
        <f t="shared" si="0"/>
        <v>230</v>
      </c>
      <c r="H48" s="174">
        <f>VLOOKUP(D48,原始分!$D:$N,4,0)</f>
        <v>99</v>
      </c>
      <c r="I48" s="174">
        <f t="shared" si="1"/>
        <v>433</v>
      </c>
      <c r="J48" s="174">
        <f>VLOOKUP(D48,原始分!$D:$N,5,0)</f>
        <v>92</v>
      </c>
      <c r="K48" s="174">
        <f t="shared" si="2"/>
        <v>550</v>
      </c>
      <c r="L48" s="174">
        <f>VLOOKUP(D48,原始分!$D:$N,6,0)</f>
        <v>59</v>
      </c>
      <c r="M48" s="174">
        <f t="shared" si="3"/>
        <v>203</v>
      </c>
      <c r="N48" s="174">
        <f>VLOOKUP(D48,原始分!$D:$N,7,0)</f>
        <v>0</v>
      </c>
      <c r="O48" s="174">
        <f t="shared" si="4"/>
        <v>207</v>
      </c>
      <c r="P48" s="174">
        <f>VLOOKUP(D48,原始分!$D:$N,8,0)</f>
        <v>49.5</v>
      </c>
      <c r="Q48" s="174">
        <f t="shared" si="5"/>
        <v>120</v>
      </c>
      <c r="R48" s="174">
        <f>VLOOKUP(D48,原始分!$D:$N,9,0)</f>
        <v>0</v>
      </c>
      <c r="S48" s="174">
        <f t="shared" si="6"/>
        <v>320</v>
      </c>
      <c r="T48" s="174">
        <f>VLOOKUP(D48,原始分!$D:$N,10,0)</f>
        <v>61</v>
      </c>
      <c r="U48" s="174">
        <f t="shared" si="7"/>
        <v>95</v>
      </c>
      <c r="V48" s="174">
        <f>VLOOKUP(D48,原始分!$D:$N,11,0)</f>
        <v>0</v>
      </c>
      <c r="W48" s="174">
        <f t="shared" si="8"/>
        <v>565</v>
      </c>
      <c r="X48" s="11">
        <f t="shared" si="9"/>
        <v>294.5</v>
      </c>
      <c r="Y48" s="9">
        <f t="shared" si="10"/>
        <v>436</v>
      </c>
      <c r="Z48" s="11">
        <f t="shared" si="11"/>
        <v>464</v>
      </c>
      <c r="AA48" s="9">
        <f t="shared" si="15"/>
        <v>202</v>
      </c>
    </row>
    <row r="49" ht="14.25" spans="1:27">
      <c r="A49" s="13">
        <v>47</v>
      </c>
      <c r="B49" s="15">
        <v>1</v>
      </c>
      <c r="C49" s="16">
        <v>49</v>
      </c>
      <c r="D49" s="17" t="s">
        <v>108</v>
      </c>
      <c r="E49" s="17" t="s">
        <v>109</v>
      </c>
      <c r="F49" s="174">
        <f>VLOOKUP(D49,原始分!$D:$N,3,0)</f>
        <v>99.5</v>
      </c>
      <c r="G49" s="174">
        <f t="shared" si="0"/>
        <v>418</v>
      </c>
      <c r="H49" s="174">
        <f>VLOOKUP(D49,原始分!$D:$N,4,0)</f>
        <v>108.5</v>
      </c>
      <c r="I49" s="174">
        <f t="shared" si="1"/>
        <v>251</v>
      </c>
      <c r="J49" s="174">
        <f>VLOOKUP(D49,原始分!$D:$N,5,0)</f>
        <v>77.5</v>
      </c>
      <c r="K49" s="174">
        <f t="shared" si="2"/>
        <v>769</v>
      </c>
      <c r="L49" s="174">
        <f>VLOOKUP(D49,原始分!$D:$N,6,0)</f>
        <v>44</v>
      </c>
      <c r="M49" s="174">
        <f t="shared" si="3"/>
        <v>441</v>
      </c>
      <c r="N49" s="174">
        <f>VLOOKUP(D49,原始分!$D:$N,7,0)</f>
        <v>0</v>
      </c>
      <c r="O49" s="174">
        <f t="shared" si="4"/>
        <v>207</v>
      </c>
      <c r="P49" s="174">
        <f>VLOOKUP(D49,原始分!$D:$N,8,0)</f>
        <v>42.5</v>
      </c>
      <c r="Q49" s="174">
        <f t="shared" si="5"/>
        <v>257</v>
      </c>
      <c r="R49" s="174">
        <f>VLOOKUP(D49,原始分!$D:$N,9,0)</f>
        <v>0</v>
      </c>
      <c r="S49" s="174">
        <f t="shared" si="6"/>
        <v>320</v>
      </c>
      <c r="T49" s="174">
        <f>VLOOKUP(D49,原始分!$D:$N,10,0)</f>
        <v>51.25</v>
      </c>
      <c r="U49" s="174">
        <f t="shared" si="7"/>
        <v>239</v>
      </c>
      <c r="V49" s="174">
        <f>VLOOKUP(D49,原始分!$D:$N,11,0)</f>
        <v>0</v>
      </c>
      <c r="W49" s="174">
        <f t="shared" si="8"/>
        <v>565</v>
      </c>
      <c r="X49" s="11">
        <f t="shared" si="9"/>
        <v>285.5</v>
      </c>
      <c r="Y49" s="9">
        <f t="shared" si="10"/>
        <v>538</v>
      </c>
      <c r="Z49" s="11">
        <f t="shared" si="11"/>
        <v>423.25</v>
      </c>
      <c r="AA49" s="9">
        <f t="shared" si="15"/>
        <v>412</v>
      </c>
    </row>
    <row r="50" ht="14.25" spans="1:27">
      <c r="A50" s="13">
        <v>48</v>
      </c>
      <c r="B50" s="15">
        <v>1</v>
      </c>
      <c r="C50" s="16">
        <v>50</v>
      </c>
      <c r="D50" s="17" t="s">
        <v>110</v>
      </c>
      <c r="E50" s="17" t="s">
        <v>111</v>
      </c>
      <c r="F50" s="174">
        <f>VLOOKUP(D50,原始分!$D:$N,3,0)</f>
        <v>90</v>
      </c>
      <c r="G50" s="174">
        <f t="shared" si="0"/>
        <v>778</v>
      </c>
      <c r="H50" s="174">
        <f>VLOOKUP(D50,原始分!$D:$N,4,0)</f>
        <v>85</v>
      </c>
      <c r="I50" s="174">
        <f t="shared" si="1"/>
        <v>701</v>
      </c>
      <c r="J50" s="174">
        <f>VLOOKUP(D50,原始分!$D:$N,5,0)</f>
        <v>97</v>
      </c>
      <c r="K50" s="174">
        <f t="shared" si="2"/>
        <v>444</v>
      </c>
      <c r="L50" s="174">
        <f>VLOOKUP(D50,原始分!$D:$N,6,0)</f>
        <v>38.5</v>
      </c>
      <c r="M50" s="174">
        <f t="shared" si="3"/>
        <v>528</v>
      </c>
      <c r="N50" s="174">
        <f>VLOOKUP(D50,原始分!$D:$N,7,0)</f>
        <v>0</v>
      </c>
      <c r="O50" s="174">
        <f t="shared" si="4"/>
        <v>207</v>
      </c>
      <c r="P50" s="174">
        <f>VLOOKUP(D50,原始分!$D:$N,8,0)</f>
        <v>44</v>
      </c>
      <c r="Q50" s="174">
        <f t="shared" si="5"/>
        <v>227</v>
      </c>
      <c r="R50" s="174">
        <f>VLOOKUP(D50,原始分!$D:$N,9,0)</f>
        <v>0</v>
      </c>
      <c r="S50" s="174">
        <f t="shared" si="6"/>
        <v>320</v>
      </c>
      <c r="T50" s="174">
        <f>VLOOKUP(D50,原始分!$D:$N,10,0)</f>
        <v>59</v>
      </c>
      <c r="U50" s="174">
        <f t="shared" si="7"/>
        <v>124</v>
      </c>
      <c r="V50" s="174">
        <f>VLOOKUP(D50,原始分!$D:$N,11,0)</f>
        <v>0</v>
      </c>
      <c r="W50" s="174">
        <f t="shared" si="8"/>
        <v>565</v>
      </c>
      <c r="X50" s="11">
        <f t="shared" si="9"/>
        <v>272</v>
      </c>
      <c r="Y50" s="9">
        <f t="shared" si="10"/>
        <v>679</v>
      </c>
      <c r="Z50" s="11">
        <f t="shared" si="11"/>
        <v>413.5</v>
      </c>
      <c r="AA50" s="9">
        <f t="shared" si="15"/>
        <v>456</v>
      </c>
    </row>
    <row r="51" ht="14.25" spans="1:27">
      <c r="A51" s="13">
        <v>49</v>
      </c>
      <c r="B51" s="15">
        <v>1</v>
      </c>
      <c r="C51" s="16">
        <v>51</v>
      </c>
      <c r="D51" s="17" t="s">
        <v>112</v>
      </c>
      <c r="E51" s="17" t="s">
        <v>113</v>
      </c>
      <c r="F51" s="174">
        <f>VLOOKUP(D51,原始分!$D:$N,3,0)</f>
        <v>101.5</v>
      </c>
      <c r="G51" s="174">
        <f t="shared" si="0"/>
        <v>319</v>
      </c>
      <c r="H51" s="174">
        <f>VLOOKUP(D51,原始分!$D:$N,4,0)</f>
        <v>85</v>
      </c>
      <c r="I51" s="174">
        <f t="shared" si="1"/>
        <v>701</v>
      </c>
      <c r="J51" s="174">
        <f>VLOOKUP(D51,原始分!$D:$N,5,0)</f>
        <v>93</v>
      </c>
      <c r="K51" s="174">
        <f t="shared" si="2"/>
        <v>525</v>
      </c>
      <c r="L51" s="174">
        <f>VLOOKUP(D51,原始分!$D:$N,6,0)</f>
        <v>30</v>
      </c>
      <c r="M51" s="174">
        <f t="shared" si="3"/>
        <v>611</v>
      </c>
      <c r="N51" s="174">
        <f>VLOOKUP(D51,原始分!$D:$N,7,0)</f>
        <v>0</v>
      </c>
      <c r="O51" s="174">
        <f t="shared" si="4"/>
        <v>207</v>
      </c>
      <c r="P51" s="174">
        <f>VLOOKUP(D51,原始分!$D:$N,8,0)</f>
        <v>38.5</v>
      </c>
      <c r="Q51" s="174">
        <f t="shared" si="5"/>
        <v>355</v>
      </c>
      <c r="R51" s="174">
        <f>VLOOKUP(D51,原始分!$D:$N,9,0)</f>
        <v>0</v>
      </c>
      <c r="S51" s="174">
        <f t="shared" si="6"/>
        <v>320</v>
      </c>
      <c r="T51" s="174">
        <f>VLOOKUP(D51,原始分!$D:$N,10,0)</f>
        <v>46</v>
      </c>
      <c r="U51" s="174">
        <f t="shared" si="7"/>
        <v>289</v>
      </c>
      <c r="V51" s="174">
        <f>VLOOKUP(D51,原始分!$D:$N,11,0)</f>
        <v>0</v>
      </c>
      <c r="W51" s="174">
        <f t="shared" si="8"/>
        <v>565</v>
      </c>
      <c r="X51" s="11">
        <f t="shared" si="9"/>
        <v>279.5</v>
      </c>
      <c r="Y51" s="9">
        <f t="shared" si="10"/>
        <v>601</v>
      </c>
      <c r="Z51" s="11">
        <f t="shared" si="11"/>
        <v>394</v>
      </c>
      <c r="AA51" s="9">
        <f t="shared" si="15"/>
        <v>541</v>
      </c>
    </row>
    <row r="52" ht="14.25" spans="1:27">
      <c r="A52" s="13">
        <v>50</v>
      </c>
      <c r="B52" s="15">
        <v>1</v>
      </c>
      <c r="C52" s="16">
        <v>52</v>
      </c>
      <c r="D52" s="17" t="s">
        <v>114</v>
      </c>
      <c r="E52" s="17" t="s">
        <v>115</v>
      </c>
      <c r="F52" s="174">
        <f>VLOOKUP(D52,原始分!$D:$N,3,0)</f>
        <v>95</v>
      </c>
      <c r="G52" s="174">
        <f t="shared" si="0"/>
        <v>619</v>
      </c>
      <c r="H52" s="174">
        <f>VLOOKUP(D52,原始分!$D:$N,4,0)</f>
        <v>77</v>
      </c>
      <c r="I52" s="174">
        <f t="shared" si="1"/>
        <v>778</v>
      </c>
      <c r="J52" s="174">
        <f>VLOOKUP(D52,原始分!$D:$N,5,0)</f>
        <v>105.5</v>
      </c>
      <c r="K52" s="174">
        <f t="shared" si="2"/>
        <v>259</v>
      </c>
      <c r="L52" s="174">
        <f>VLOOKUP(D52,原始分!$D:$N,6,0)</f>
        <v>47</v>
      </c>
      <c r="M52" s="174">
        <f t="shared" si="3"/>
        <v>391</v>
      </c>
      <c r="N52" s="174">
        <f>VLOOKUP(D52,原始分!$D:$N,7,0)</f>
        <v>0</v>
      </c>
      <c r="O52" s="174">
        <f t="shared" si="4"/>
        <v>207</v>
      </c>
      <c r="P52" s="174">
        <f>VLOOKUP(D52,原始分!$D:$N,8,0)</f>
        <v>47</v>
      </c>
      <c r="Q52" s="174">
        <f t="shared" si="5"/>
        <v>173</v>
      </c>
      <c r="R52" s="174">
        <f>VLOOKUP(D52,原始分!$D:$N,9,0)</f>
        <v>0</v>
      </c>
      <c r="S52" s="174">
        <f t="shared" si="6"/>
        <v>320</v>
      </c>
      <c r="T52" s="174">
        <f>VLOOKUP(D52,原始分!$D:$N,10,0)</f>
        <v>51.5</v>
      </c>
      <c r="U52" s="174">
        <f t="shared" si="7"/>
        <v>236</v>
      </c>
      <c r="V52" s="174">
        <f>VLOOKUP(D52,原始分!$D:$N,11,0)</f>
        <v>0</v>
      </c>
      <c r="W52" s="174">
        <f t="shared" si="8"/>
        <v>565</v>
      </c>
      <c r="X52" s="11">
        <f t="shared" si="9"/>
        <v>277.5</v>
      </c>
      <c r="Y52" s="9">
        <f t="shared" si="10"/>
        <v>632</v>
      </c>
      <c r="Z52" s="11">
        <f t="shared" si="11"/>
        <v>423</v>
      </c>
      <c r="AA52" s="9">
        <f t="shared" si="15"/>
        <v>415</v>
      </c>
    </row>
    <row r="53" ht="14.25" spans="1:27">
      <c r="A53" s="13">
        <v>51</v>
      </c>
      <c r="B53" s="15">
        <v>1</v>
      </c>
      <c r="C53" s="16">
        <v>53</v>
      </c>
      <c r="D53" s="17" t="s">
        <v>116</v>
      </c>
      <c r="E53" s="17" t="s">
        <v>117</v>
      </c>
      <c r="F53" s="174">
        <f>VLOOKUP(D53,原始分!$D:$N,3,0)</f>
        <v>91</v>
      </c>
      <c r="G53" s="174">
        <f t="shared" si="0"/>
        <v>749</v>
      </c>
      <c r="H53" s="174">
        <f>VLOOKUP(D53,原始分!$D:$N,4,0)</f>
        <v>50</v>
      </c>
      <c r="I53" s="174">
        <f t="shared" si="1"/>
        <v>863</v>
      </c>
      <c r="J53" s="174">
        <f>VLOOKUP(D53,原始分!$D:$N,5,0)</f>
        <v>74</v>
      </c>
      <c r="K53" s="174">
        <f t="shared" si="2"/>
        <v>799</v>
      </c>
      <c r="L53" s="174">
        <f>VLOOKUP(D53,原始分!$D:$N,6,0)</f>
        <v>27</v>
      </c>
      <c r="M53" s="174">
        <f t="shared" si="3"/>
        <v>631</v>
      </c>
      <c r="N53" s="174">
        <f>VLOOKUP(D53,原始分!$D:$N,7,0)</f>
        <v>0</v>
      </c>
      <c r="O53" s="174">
        <f t="shared" si="4"/>
        <v>207</v>
      </c>
      <c r="P53" s="174">
        <f>VLOOKUP(D53,原始分!$D:$N,8,0)</f>
        <v>22</v>
      </c>
      <c r="Q53" s="174">
        <f t="shared" si="5"/>
        <v>523</v>
      </c>
      <c r="R53" s="174">
        <f>VLOOKUP(D53,原始分!$D:$N,9,0)</f>
        <v>0</v>
      </c>
      <c r="S53" s="174">
        <f t="shared" si="6"/>
        <v>320</v>
      </c>
      <c r="T53" s="174">
        <f>VLOOKUP(D53,原始分!$D:$N,10,0)</f>
        <v>46</v>
      </c>
      <c r="U53" s="174">
        <f t="shared" si="7"/>
        <v>289</v>
      </c>
      <c r="V53" s="174">
        <f>VLOOKUP(D53,原始分!$D:$N,11,0)</f>
        <v>0</v>
      </c>
      <c r="W53" s="174">
        <f t="shared" si="8"/>
        <v>565</v>
      </c>
      <c r="X53" s="11">
        <f t="shared" si="9"/>
        <v>215</v>
      </c>
      <c r="Y53" s="9">
        <f t="shared" si="10"/>
        <v>862</v>
      </c>
      <c r="Z53" s="11">
        <f t="shared" si="11"/>
        <v>310</v>
      </c>
      <c r="AA53" s="9">
        <f t="shared" si="15"/>
        <v>656</v>
      </c>
    </row>
    <row r="54" ht="14.25" spans="1:27">
      <c r="A54" s="13">
        <v>52</v>
      </c>
      <c r="B54" s="15">
        <v>1</v>
      </c>
      <c r="C54" s="16">
        <v>54</v>
      </c>
      <c r="D54" s="17" t="s">
        <v>118</v>
      </c>
      <c r="E54" s="17" t="s">
        <v>119</v>
      </c>
      <c r="F54" s="174">
        <f>VLOOKUP(D54,原始分!$D:$N,3,0)</f>
        <v>99.5</v>
      </c>
      <c r="G54" s="174">
        <f t="shared" si="0"/>
        <v>418</v>
      </c>
      <c r="H54" s="174">
        <f>VLOOKUP(D54,原始分!$D:$N,4,0)</f>
        <v>100.5</v>
      </c>
      <c r="I54" s="174">
        <f t="shared" si="1"/>
        <v>410</v>
      </c>
      <c r="J54" s="174">
        <f>VLOOKUP(D54,原始分!$D:$N,5,0)</f>
        <v>109</v>
      </c>
      <c r="K54" s="174">
        <f t="shared" si="2"/>
        <v>193</v>
      </c>
      <c r="L54" s="174">
        <f>VLOOKUP(D54,原始分!$D:$N,6,0)</f>
        <v>54.5</v>
      </c>
      <c r="M54" s="174">
        <f t="shared" si="3"/>
        <v>281</v>
      </c>
      <c r="N54" s="174">
        <f>VLOOKUP(D54,原始分!$D:$N,7,0)</f>
        <v>0</v>
      </c>
      <c r="O54" s="174">
        <f t="shared" si="4"/>
        <v>207</v>
      </c>
      <c r="P54" s="174">
        <f>VLOOKUP(D54,原始分!$D:$N,8,0)</f>
        <v>38.5</v>
      </c>
      <c r="Q54" s="174">
        <f t="shared" si="5"/>
        <v>355</v>
      </c>
      <c r="R54" s="174">
        <f>VLOOKUP(D54,原始分!$D:$N,9,0)</f>
        <v>0</v>
      </c>
      <c r="S54" s="174">
        <f t="shared" si="6"/>
        <v>320</v>
      </c>
      <c r="T54" s="174">
        <f>VLOOKUP(D54,原始分!$D:$N,10,0)</f>
        <v>56.5</v>
      </c>
      <c r="U54" s="174">
        <f t="shared" si="7"/>
        <v>172</v>
      </c>
      <c r="V54" s="174">
        <f>VLOOKUP(D54,原始分!$D:$N,11,0)</f>
        <v>0</v>
      </c>
      <c r="W54" s="174">
        <f t="shared" si="8"/>
        <v>565</v>
      </c>
      <c r="X54" s="11">
        <f t="shared" si="9"/>
        <v>309</v>
      </c>
      <c r="Y54" s="9">
        <f t="shared" si="10"/>
        <v>276</v>
      </c>
      <c r="Z54" s="11">
        <f t="shared" si="11"/>
        <v>458.5</v>
      </c>
      <c r="AA54" s="9">
        <f t="shared" si="15"/>
        <v>232</v>
      </c>
    </row>
    <row r="55" ht="14.25" spans="1:27">
      <c r="A55" s="13">
        <v>53</v>
      </c>
      <c r="B55" s="15">
        <v>1</v>
      </c>
      <c r="C55" s="16">
        <v>55</v>
      </c>
      <c r="D55" s="17" t="s">
        <v>120</v>
      </c>
      <c r="E55" s="17" t="s">
        <v>121</v>
      </c>
      <c r="F55" s="174">
        <f>VLOOKUP(D55,原始分!$D:$N,3,0)</f>
        <v>98.25</v>
      </c>
      <c r="G55" s="174">
        <f t="shared" si="0"/>
        <v>493</v>
      </c>
      <c r="H55" s="174">
        <f>VLOOKUP(D55,原始分!$D:$N,4,0)</f>
        <v>50</v>
      </c>
      <c r="I55" s="174">
        <f t="shared" si="1"/>
        <v>863</v>
      </c>
      <c r="J55" s="174">
        <f>VLOOKUP(D55,原始分!$D:$N,5,0)</f>
        <v>94.5</v>
      </c>
      <c r="K55" s="174">
        <f t="shared" si="2"/>
        <v>497</v>
      </c>
      <c r="L55" s="174">
        <f>VLOOKUP(D55,原始分!$D:$N,6,0)</f>
        <v>27.5</v>
      </c>
      <c r="M55" s="174">
        <f t="shared" si="3"/>
        <v>627</v>
      </c>
      <c r="N55" s="174">
        <f>VLOOKUP(D55,原始分!$D:$N,7,0)</f>
        <v>0</v>
      </c>
      <c r="O55" s="174">
        <f t="shared" si="4"/>
        <v>207</v>
      </c>
      <c r="P55" s="174">
        <f>VLOOKUP(D55,原始分!$D:$N,8,0)</f>
        <v>36</v>
      </c>
      <c r="Q55" s="174">
        <f t="shared" si="5"/>
        <v>386</v>
      </c>
      <c r="R55" s="174">
        <f>VLOOKUP(D55,原始分!$D:$N,9,0)</f>
        <v>0</v>
      </c>
      <c r="S55" s="174">
        <f t="shared" si="6"/>
        <v>320</v>
      </c>
      <c r="T55" s="174">
        <f>VLOOKUP(D55,原始分!$D:$N,10,0)</f>
        <v>59</v>
      </c>
      <c r="U55" s="174">
        <f t="shared" si="7"/>
        <v>124</v>
      </c>
      <c r="V55" s="174">
        <f>VLOOKUP(D55,原始分!$D:$N,11,0)</f>
        <v>0</v>
      </c>
      <c r="W55" s="174">
        <f t="shared" si="8"/>
        <v>565</v>
      </c>
      <c r="X55" s="11">
        <f t="shared" si="9"/>
        <v>242.75</v>
      </c>
      <c r="Y55" s="9">
        <f t="shared" si="10"/>
        <v>824</v>
      </c>
      <c r="Z55" s="11">
        <f t="shared" si="11"/>
        <v>365.25</v>
      </c>
      <c r="AA55" s="9">
        <f t="shared" si="15"/>
        <v>622</v>
      </c>
    </row>
    <row r="56" ht="14.25" spans="1:27">
      <c r="A56" s="13">
        <v>54</v>
      </c>
      <c r="B56" s="15">
        <v>1</v>
      </c>
      <c r="C56" s="16">
        <v>56</v>
      </c>
      <c r="D56" s="17" t="s">
        <v>122</v>
      </c>
      <c r="E56" s="17" t="s">
        <v>123</v>
      </c>
      <c r="F56" s="174">
        <f>VLOOKUP(D56,原始分!$D:$N,3,0)</f>
        <v>85</v>
      </c>
      <c r="G56" s="174">
        <f t="shared" si="0"/>
        <v>837</v>
      </c>
      <c r="H56" s="174">
        <f>VLOOKUP(D56,原始分!$D:$N,4,0)</f>
        <v>98.5</v>
      </c>
      <c r="I56" s="174">
        <f t="shared" si="1"/>
        <v>442</v>
      </c>
      <c r="J56" s="174">
        <f>VLOOKUP(D56,原始分!$D:$N,5,0)</f>
        <v>88</v>
      </c>
      <c r="K56" s="174">
        <f t="shared" si="2"/>
        <v>616</v>
      </c>
      <c r="L56" s="174">
        <f>VLOOKUP(D56,原始分!$D:$N,6,0)</f>
        <v>35</v>
      </c>
      <c r="M56" s="174">
        <f t="shared" si="3"/>
        <v>572</v>
      </c>
      <c r="N56" s="174">
        <f>VLOOKUP(D56,原始分!$D:$N,7,0)</f>
        <v>0</v>
      </c>
      <c r="O56" s="174">
        <f t="shared" si="4"/>
        <v>207</v>
      </c>
      <c r="P56" s="174">
        <f>VLOOKUP(D56,原始分!$D:$N,8,0)</f>
        <v>42</v>
      </c>
      <c r="Q56" s="174">
        <f t="shared" si="5"/>
        <v>266</v>
      </c>
      <c r="R56" s="174">
        <f>VLOOKUP(D56,原始分!$D:$N,9,0)</f>
        <v>0</v>
      </c>
      <c r="S56" s="174">
        <f t="shared" si="6"/>
        <v>320</v>
      </c>
      <c r="T56" s="174">
        <f>VLOOKUP(D56,原始分!$D:$N,10,0)</f>
        <v>55.5</v>
      </c>
      <c r="U56" s="174">
        <f t="shared" si="7"/>
        <v>187</v>
      </c>
      <c r="V56" s="174">
        <f>VLOOKUP(D56,原始分!$D:$N,11,0)</f>
        <v>0</v>
      </c>
      <c r="W56" s="174">
        <f t="shared" si="8"/>
        <v>565</v>
      </c>
      <c r="X56" s="11">
        <f t="shared" si="9"/>
        <v>271.5</v>
      </c>
      <c r="Y56" s="9">
        <f t="shared" si="10"/>
        <v>683</v>
      </c>
      <c r="Z56" s="11">
        <f t="shared" si="11"/>
        <v>404</v>
      </c>
      <c r="AA56" s="9">
        <f t="shared" si="15"/>
        <v>504</v>
      </c>
    </row>
    <row r="57" ht="14.25" spans="1:27">
      <c r="A57" s="13">
        <v>55</v>
      </c>
      <c r="B57" s="15">
        <v>1</v>
      </c>
      <c r="C57" s="16">
        <v>57</v>
      </c>
      <c r="D57" s="17" t="s">
        <v>124</v>
      </c>
      <c r="E57" s="17" t="s">
        <v>125</v>
      </c>
      <c r="F57" s="174">
        <f>VLOOKUP(D57,原始分!$D:$N,3,0)</f>
        <v>101</v>
      </c>
      <c r="G57" s="174">
        <f t="shared" si="0"/>
        <v>338</v>
      </c>
      <c r="H57" s="174">
        <f>VLOOKUP(D57,原始分!$D:$N,4,0)</f>
        <v>72.5</v>
      </c>
      <c r="I57" s="174">
        <f t="shared" si="1"/>
        <v>805</v>
      </c>
      <c r="J57" s="174">
        <f>VLOOKUP(D57,原始分!$D:$N,5,0)</f>
        <v>87.5</v>
      </c>
      <c r="K57" s="174">
        <f t="shared" si="2"/>
        <v>622</v>
      </c>
      <c r="L57" s="174">
        <f>VLOOKUP(D57,原始分!$D:$N,6,0)</f>
        <v>40</v>
      </c>
      <c r="M57" s="174">
        <f t="shared" si="3"/>
        <v>506</v>
      </c>
      <c r="N57" s="174">
        <f>VLOOKUP(D57,原始分!$D:$N,7,0)</f>
        <v>0</v>
      </c>
      <c r="O57" s="174">
        <f t="shared" si="4"/>
        <v>207</v>
      </c>
      <c r="P57" s="174">
        <f>VLOOKUP(D57,原始分!$D:$N,8,0)</f>
        <v>36</v>
      </c>
      <c r="Q57" s="174">
        <f t="shared" si="5"/>
        <v>386</v>
      </c>
      <c r="R57" s="174">
        <f>VLOOKUP(D57,原始分!$D:$N,9,0)</f>
        <v>0</v>
      </c>
      <c r="S57" s="174">
        <f t="shared" si="6"/>
        <v>320</v>
      </c>
      <c r="T57" s="174">
        <f>VLOOKUP(D57,原始分!$D:$N,10,0)</f>
        <v>46.5</v>
      </c>
      <c r="U57" s="174">
        <f t="shared" si="7"/>
        <v>286</v>
      </c>
      <c r="V57" s="174">
        <f>VLOOKUP(D57,原始分!$D:$N,11,0)</f>
        <v>0</v>
      </c>
      <c r="W57" s="174">
        <f t="shared" si="8"/>
        <v>565</v>
      </c>
      <c r="X57" s="11">
        <f t="shared" si="9"/>
        <v>261</v>
      </c>
      <c r="Y57" s="9">
        <f t="shared" si="10"/>
        <v>769</v>
      </c>
      <c r="Z57" s="11">
        <f t="shared" si="11"/>
        <v>383.5</v>
      </c>
      <c r="AA57" s="9">
        <f t="shared" si="15"/>
        <v>567</v>
      </c>
    </row>
    <row r="58" ht="14.25" spans="1:27">
      <c r="A58" s="13">
        <v>56</v>
      </c>
      <c r="B58" s="15">
        <v>1</v>
      </c>
      <c r="C58" s="16">
        <v>58</v>
      </c>
      <c r="D58" s="17" t="s">
        <v>126</v>
      </c>
      <c r="E58" s="17" t="s">
        <v>127</v>
      </c>
      <c r="F58" s="174">
        <f>VLOOKUP(D58,原始分!$D:$N,3,0)</f>
        <v>91</v>
      </c>
      <c r="G58" s="174">
        <f t="shared" si="0"/>
        <v>749</v>
      </c>
      <c r="H58" s="174">
        <f>VLOOKUP(D58,原始分!$D:$N,4,0)</f>
        <v>86</v>
      </c>
      <c r="I58" s="174">
        <f t="shared" si="1"/>
        <v>692</v>
      </c>
      <c r="J58" s="174">
        <f>VLOOKUP(D58,原始分!$D:$N,5,0)</f>
        <v>84.25</v>
      </c>
      <c r="K58" s="174">
        <f t="shared" si="2"/>
        <v>685</v>
      </c>
      <c r="L58" s="174">
        <f>VLOOKUP(D58,原始分!$D:$N,6,0)</f>
        <v>36.5</v>
      </c>
      <c r="M58" s="174">
        <f t="shared" si="3"/>
        <v>554</v>
      </c>
      <c r="N58" s="174">
        <f>VLOOKUP(D58,原始分!$D:$N,7,0)</f>
        <v>0</v>
      </c>
      <c r="O58" s="174">
        <f t="shared" si="4"/>
        <v>207</v>
      </c>
      <c r="P58" s="174">
        <f>VLOOKUP(D58,原始分!$D:$N,8,0)</f>
        <v>33</v>
      </c>
      <c r="Q58" s="174">
        <f t="shared" si="5"/>
        <v>435</v>
      </c>
      <c r="R58" s="174">
        <f>VLOOKUP(D58,原始分!$D:$N,9,0)</f>
        <v>0</v>
      </c>
      <c r="S58" s="174">
        <f t="shared" si="6"/>
        <v>320</v>
      </c>
      <c r="T58" s="174">
        <f>VLOOKUP(D58,原始分!$D:$N,10,0)</f>
        <v>47.75</v>
      </c>
      <c r="U58" s="174">
        <f t="shared" si="7"/>
        <v>276</v>
      </c>
      <c r="V58" s="174">
        <f>VLOOKUP(D58,原始分!$D:$N,11,0)</f>
        <v>0</v>
      </c>
      <c r="W58" s="174">
        <f t="shared" si="8"/>
        <v>565</v>
      </c>
      <c r="X58" s="11">
        <f t="shared" si="9"/>
        <v>261.25</v>
      </c>
      <c r="Y58" s="9">
        <f t="shared" si="10"/>
        <v>765</v>
      </c>
      <c r="Z58" s="11">
        <f t="shared" si="11"/>
        <v>378.5</v>
      </c>
      <c r="AA58" s="9">
        <f t="shared" si="15"/>
        <v>582</v>
      </c>
    </row>
    <row r="59" ht="14.25" spans="1:27">
      <c r="A59" s="13">
        <v>57</v>
      </c>
      <c r="B59" s="15">
        <v>1</v>
      </c>
      <c r="C59" s="16">
        <v>59</v>
      </c>
      <c r="D59" s="17" t="s">
        <v>128</v>
      </c>
      <c r="E59" s="17" t="s">
        <v>129</v>
      </c>
      <c r="F59" s="174">
        <f>VLOOKUP(D59,原始分!$D:$N,3,0)</f>
        <v>104</v>
      </c>
      <c r="G59" s="174">
        <f t="shared" si="0"/>
        <v>209</v>
      </c>
      <c r="H59" s="174">
        <f>VLOOKUP(D59,原始分!$D:$N,4,0)</f>
        <v>103.5</v>
      </c>
      <c r="I59" s="174">
        <f t="shared" si="1"/>
        <v>354</v>
      </c>
      <c r="J59" s="174">
        <f>VLOOKUP(D59,原始分!$D:$N,5,0)</f>
        <v>115.25</v>
      </c>
      <c r="K59" s="174">
        <f t="shared" si="2"/>
        <v>101</v>
      </c>
      <c r="L59" s="174">
        <f>VLOOKUP(D59,原始分!$D:$N,6,0)</f>
        <v>46.5</v>
      </c>
      <c r="M59" s="174">
        <f t="shared" si="3"/>
        <v>404</v>
      </c>
      <c r="N59" s="174">
        <f>VLOOKUP(D59,原始分!$D:$N,7,0)</f>
        <v>0</v>
      </c>
      <c r="O59" s="174">
        <f t="shared" si="4"/>
        <v>207</v>
      </c>
      <c r="P59" s="174">
        <f>VLOOKUP(D59,原始分!$D:$N,8,0)</f>
        <v>31</v>
      </c>
      <c r="Q59" s="174">
        <f t="shared" si="5"/>
        <v>465</v>
      </c>
      <c r="R59" s="174">
        <f>VLOOKUP(D59,原始分!$D:$N,9,0)</f>
        <v>0</v>
      </c>
      <c r="S59" s="174">
        <f t="shared" si="6"/>
        <v>320</v>
      </c>
      <c r="T59" s="174">
        <f>VLOOKUP(D59,原始分!$D:$N,10,0)</f>
        <v>47.25</v>
      </c>
      <c r="U59" s="174">
        <f t="shared" si="7"/>
        <v>283</v>
      </c>
      <c r="V59" s="174">
        <f>VLOOKUP(D59,原始分!$D:$N,11,0)</f>
        <v>0</v>
      </c>
      <c r="W59" s="174">
        <f t="shared" si="8"/>
        <v>565</v>
      </c>
      <c r="X59" s="11">
        <f t="shared" si="9"/>
        <v>322.75</v>
      </c>
      <c r="Y59" s="9">
        <f t="shared" si="10"/>
        <v>140</v>
      </c>
      <c r="Z59" s="11">
        <f t="shared" si="11"/>
        <v>447.5</v>
      </c>
      <c r="AA59" s="9">
        <f t="shared" si="15"/>
        <v>291</v>
      </c>
    </row>
    <row r="60" ht="14.25" spans="1:27">
      <c r="A60" s="13">
        <v>58</v>
      </c>
      <c r="B60" s="15">
        <v>1</v>
      </c>
      <c r="C60" s="16">
        <v>60</v>
      </c>
      <c r="D60" s="17" t="s">
        <v>130</v>
      </c>
      <c r="E60" s="17" t="s">
        <v>131</v>
      </c>
      <c r="F60" s="174">
        <f>VLOOKUP(D60,原始分!$D:$N,3,0)</f>
        <v>101</v>
      </c>
      <c r="G60" s="174">
        <f t="shared" si="0"/>
        <v>338</v>
      </c>
      <c r="H60" s="174">
        <f>VLOOKUP(D60,原始分!$D:$N,4,0)</f>
        <v>106</v>
      </c>
      <c r="I60" s="174">
        <f t="shared" si="1"/>
        <v>297</v>
      </c>
      <c r="J60" s="174">
        <f>VLOOKUP(D60,原始分!$D:$N,5,0)</f>
        <v>77.5</v>
      </c>
      <c r="K60" s="174">
        <f t="shared" si="2"/>
        <v>769</v>
      </c>
      <c r="L60" s="174">
        <f>VLOOKUP(D60,原始分!$D:$N,6,0)</f>
        <v>35</v>
      </c>
      <c r="M60" s="174">
        <f t="shared" si="3"/>
        <v>572</v>
      </c>
      <c r="N60" s="174">
        <f>VLOOKUP(D60,原始分!$D:$N,7,0)</f>
        <v>0</v>
      </c>
      <c r="O60" s="174">
        <f t="shared" si="4"/>
        <v>207</v>
      </c>
      <c r="P60" s="174">
        <f>VLOOKUP(D60,原始分!$D:$N,8,0)</f>
        <v>47.5</v>
      </c>
      <c r="Q60" s="174">
        <f t="shared" si="5"/>
        <v>157</v>
      </c>
      <c r="R60" s="174">
        <f>VLOOKUP(D60,原始分!$D:$N,9,0)</f>
        <v>0</v>
      </c>
      <c r="S60" s="174">
        <f t="shared" si="6"/>
        <v>320</v>
      </c>
      <c r="T60" s="174">
        <f>VLOOKUP(D60,原始分!$D:$N,10,0)</f>
        <v>48.5</v>
      </c>
      <c r="U60" s="174">
        <f t="shared" si="7"/>
        <v>265</v>
      </c>
      <c r="V60" s="174">
        <f>VLOOKUP(D60,原始分!$D:$N,11,0)</f>
        <v>0</v>
      </c>
      <c r="W60" s="174">
        <f t="shared" si="8"/>
        <v>565</v>
      </c>
      <c r="X60" s="11">
        <f t="shared" si="9"/>
        <v>284.5</v>
      </c>
      <c r="Y60" s="9">
        <f t="shared" si="10"/>
        <v>547</v>
      </c>
      <c r="Z60" s="11">
        <f t="shared" si="11"/>
        <v>415.5</v>
      </c>
      <c r="AA60" s="9">
        <f t="shared" si="15"/>
        <v>445</v>
      </c>
    </row>
    <row r="61" ht="14.25" spans="1:27">
      <c r="A61" s="13">
        <v>59</v>
      </c>
      <c r="B61" s="15">
        <v>1</v>
      </c>
      <c r="C61" s="16">
        <v>61</v>
      </c>
      <c r="D61" s="17" t="s">
        <v>132</v>
      </c>
      <c r="E61" s="17" t="s">
        <v>133</v>
      </c>
      <c r="F61" s="174">
        <f>VLOOKUP(D61,原始分!$D:$N,3,0)</f>
        <v>98</v>
      </c>
      <c r="G61" s="174">
        <f t="shared" si="0"/>
        <v>500</v>
      </c>
      <c r="H61" s="174">
        <f>VLOOKUP(D61,原始分!$D:$N,4,0)</f>
        <v>79.5</v>
      </c>
      <c r="I61" s="174">
        <f t="shared" si="1"/>
        <v>755</v>
      </c>
      <c r="J61" s="174">
        <f>VLOOKUP(D61,原始分!$D:$N,5,0)</f>
        <v>64.25</v>
      </c>
      <c r="K61" s="174">
        <f t="shared" si="2"/>
        <v>844</v>
      </c>
      <c r="L61" s="174">
        <f>VLOOKUP(D61,原始分!$D:$N,6,0)</f>
        <v>20.5</v>
      </c>
      <c r="M61" s="174">
        <f t="shared" si="3"/>
        <v>654</v>
      </c>
      <c r="N61" s="174">
        <f>VLOOKUP(D61,原始分!$D:$N,7,0)</f>
        <v>0</v>
      </c>
      <c r="O61" s="174">
        <f t="shared" si="4"/>
        <v>207</v>
      </c>
      <c r="P61" s="174">
        <f>VLOOKUP(D61,原始分!$D:$N,8,0)</f>
        <v>33</v>
      </c>
      <c r="Q61" s="174">
        <f t="shared" si="5"/>
        <v>435</v>
      </c>
      <c r="R61" s="174">
        <f>VLOOKUP(D61,原始分!$D:$N,9,0)</f>
        <v>0</v>
      </c>
      <c r="S61" s="174">
        <f t="shared" si="6"/>
        <v>320</v>
      </c>
      <c r="T61" s="174">
        <f>VLOOKUP(D61,原始分!$D:$N,10,0)</f>
        <v>41.5</v>
      </c>
      <c r="U61" s="174">
        <f t="shared" si="7"/>
        <v>307</v>
      </c>
      <c r="V61" s="174">
        <f>VLOOKUP(D61,原始分!$D:$N,11,0)</f>
        <v>0</v>
      </c>
      <c r="W61" s="174">
        <f t="shared" si="8"/>
        <v>565</v>
      </c>
      <c r="X61" s="11">
        <f t="shared" si="9"/>
        <v>241.75</v>
      </c>
      <c r="Y61" s="9">
        <f t="shared" si="10"/>
        <v>828</v>
      </c>
      <c r="Z61" s="11">
        <f t="shared" si="11"/>
        <v>336.75</v>
      </c>
      <c r="AA61" s="9">
        <f t="shared" si="15"/>
        <v>645</v>
      </c>
    </row>
    <row r="62" ht="14.25" spans="1:27">
      <c r="A62" s="13">
        <v>60</v>
      </c>
      <c r="B62" s="15">
        <v>1</v>
      </c>
      <c r="C62" s="16">
        <v>62</v>
      </c>
      <c r="D62" s="17" t="s">
        <v>134</v>
      </c>
      <c r="E62" s="17" t="s">
        <v>135</v>
      </c>
      <c r="F62" s="174">
        <f>VLOOKUP(D62,原始分!$D:$N,3,0)</f>
        <v>99</v>
      </c>
      <c r="G62" s="174">
        <f t="shared" si="0"/>
        <v>442</v>
      </c>
      <c r="H62" s="174">
        <f>VLOOKUP(D62,原始分!$D:$N,4,0)</f>
        <v>86</v>
      </c>
      <c r="I62" s="174">
        <f t="shared" si="1"/>
        <v>692</v>
      </c>
      <c r="J62" s="174">
        <f>VLOOKUP(D62,原始分!$D:$N,5,0)</f>
        <v>90</v>
      </c>
      <c r="K62" s="174">
        <f t="shared" si="2"/>
        <v>586</v>
      </c>
      <c r="L62" s="174">
        <f>VLOOKUP(D62,原始分!$D:$N,6,0)</f>
        <v>34.5</v>
      </c>
      <c r="M62" s="174">
        <f t="shared" si="3"/>
        <v>582</v>
      </c>
      <c r="N62" s="174">
        <f>VLOOKUP(D62,原始分!$D:$N,7,0)</f>
        <v>0</v>
      </c>
      <c r="O62" s="174">
        <f t="shared" si="4"/>
        <v>207</v>
      </c>
      <c r="P62" s="174">
        <f>VLOOKUP(D62,原始分!$D:$N,8,0)</f>
        <v>41.5</v>
      </c>
      <c r="Q62" s="174">
        <f t="shared" si="5"/>
        <v>279</v>
      </c>
      <c r="R62" s="174">
        <f>VLOOKUP(D62,原始分!$D:$N,9,0)</f>
        <v>0</v>
      </c>
      <c r="S62" s="174">
        <f t="shared" si="6"/>
        <v>320</v>
      </c>
      <c r="T62" s="174">
        <f>VLOOKUP(D62,原始分!$D:$N,10,0)</f>
        <v>56.5</v>
      </c>
      <c r="U62" s="174">
        <f t="shared" si="7"/>
        <v>172</v>
      </c>
      <c r="V62" s="174">
        <f>VLOOKUP(D62,原始分!$D:$N,11,0)</f>
        <v>0</v>
      </c>
      <c r="W62" s="174">
        <f t="shared" si="8"/>
        <v>565</v>
      </c>
      <c r="X62" s="11">
        <f t="shared" si="9"/>
        <v>275</v>
      </c>
      <c r="Y62" s="9">
        <f t="shared" si="10"/>
        <v>655</v>
      </c>
      <c r="Z62" s="11">
        <f t="shared" si="11"/>
        <v>407.5</v>
      </c>
      <c r="AA62" s="9">
        <f t="shared" si="15"/>
        <v>486</v>
      </c>
    </row>
    <row r="63" ht="14.25" spans="1:27">
      <c r="A63" s="13">
        <v>61</v>
      </c>
      <c r="B63" s="15">
        <v>1</v>
      </c>
      <c r="C63" s="16">
        <v>63</v>
      </c>
      <c r="D63" s="17" t="s">
        <v>136</v>
      </c>
      <c r="E63" s="17" t="s">
        <v>137</v>
      </c>
      <c r="F63" s="174">
        <f>VLOOKUP(D63,原始分!$D:$N,3,0)</f>
        <v>95</v>
      </c>
      <c r="G63" s="174">
        <f t="shared" si="0"/>
        <v>619</v>
      </c>
      <c r="H63" s="174">
        <f>VLOOKUP(D63,原始分!$D:$N,4,0)</f>
        <v>97.5</v>
      </c>
      <c r="I63" s="174">
        <f t="shared" si="1"/>
        <v>464</v>
      </c>
      <c r="J63" s="174">
        <f>VLOOKUP(D63,原始分!$D:$N,5,0)</f>
        <v>93.5</v>
      </c>
      <c r="K63" s="174">
        <f t="shared" si="2"/>
        <v>515</v>
      </c>
      <c r="L63" s="174">
        <f>VLOOKUP(D63,原始分!$D:$N,6,0)</f>
        <v>62</v>
      </c>
      <c r="M63" s="174">
        <f t="shared" si="3"/>
        <v>157</v>
      </c>
      <c r="N63" s="174">
        <f>VLOOKUP(D63,原始分!$D:$N,7,0)</f>
        <v>0</v>
      </c>
      <c r="O63" s="174">
        <f t="shared" si="4"/>
        <v>207</v>
      </c>
      <c r="P63" s="174">
        <f>VLOOKUP(D63,原始分!$D:$N,8,0)</f>
        <v>42</v>
      </c>
      <c r="Q63" s="174">
        <f t="shared" si="5"/>
        <v>266</v>
      </c>
      <c r="R63" s="174">
        <f>VLOOKUP(D63,原始分!$D:$N,9,0)</f>
        <v>0</v>
      </c>
      <c r="S63" s="174">
        <f t="shared" si="6"/>
        <v>320</v>
      </c>
      <c r="T63" s="174">
        <f>VLOOKUP(D63,原始分!$D:$N,10,0)</f>
        <v>50.5</v>
      </c>
      <c r="U63" s="174">
        <f t="shared" si="7"/>
        <v>246</v>
      </c>
      <c r="V63" s="174">
        <f>VLOOKUP(D63,原始分!$D:$N,11,0)</f>
        <v>0</v>
      </c>
      <c r="W63" s="174">
        <f t="shared" si="8"/>
        <v>565</v>
      </c>
      <c r="X63" s="11">
        <f t="shared" si="9"/>
        <v>286</v>
      </c>
      <c r="Y63" s="9">
        <f t="shared" si="10"/>
        <v>533</v>
      </c>
      <c r="Z63" s="11">
        <f t="shared" si="11"/>
        <v>440.5</v>
      </c>
      <c r="AA63" s="9">
        <f t="shared" si="15"/>
        <v>331</v>
      </c>
    </row>
    <row r="64" ht="14.25" spans="1:27">
      <c r="A64" s="13">
        <v>62</v>
      </c>
      <c r="B64" s="15">
        <v>1</v>
      </c>
      <c r="C64" s="16">
        <v>64</v>
      </c>
      <c r="D64" s="17" t="s">
        <v>138</v>
      </c>
      <c r="E64" s="17" t="s">
        <v>139</v>
      </c>
      <c r="F64" s="174">
        <f>VLOOKUP(D64,原始分!$D:$N,3,0)</f>
        <v>98.5</v>
      </c>
      <c r="G64" s="174">
        <f t="shared" si="0"/>
        <v>469</v>
      </c>
      <c r="H64" s="174">
        <f>VLOOKUP(D64,原始分!$D:$N,4,0)</f>
        <v>111.5</v>
      </c>
      <c r="I64" s="174">
        <f t="shared" si="1"/>
        <v>191</v>
      </c>
      <c r="J64" s="174">
        <f>VLOOKUP(D64,原始分!$D:$N,5,0)</f>
        <v>86.5</v>
      </c>
      <c r="K64" s="174">
        <f t="shared" si="2"/>
        <v>644</v>
      </c>
      <c r="L64" s="174">
        <f>VLOOKUP(D64,原始分!$D:$N,6,0)</f>
        <v>58</v>
      </c>
      <c r="M64" s="174">
        <f t="shared" si="3"/>
        <v>220</v>
      </c>
      <c r="N64" s="174">
        <f>VLOOKUP(D64,原始分!$D:$N,7,0)</f>
        <v>0</v>
      </c>
      <c r="O64" s="174">
        <f t="shared" si="4"/>
        <v>207</v>
      </c>
      <c r="P64" s="174">
        <f>VLOOKUP(D64,原始分!$D:$N,8,0)</f>
        <v>46</v>
      </c>
      <c r="Q64" s="174">
        <f t="shared" si="5"/>
        <v>194</v>
      </c>
      <c r="R64" s="174">
        <f>VLOOKUP(D64,原始分!$D:$N,9,0)</f>
        <v>0</v>
      </c>
      <c r="S64" s="174">
        <f t="shared" si="6"/>
        <v>320</v>
      </c>
      <c r="T64" s="174">
        <f>VLOOKUP(D64,原始分!$D:$N,10,0)</f>
        <v>39</v>
      </c>
      <c r="U64" s="174">
        <f t="shared" si="7"/>
        <v>312</v>
      </c>
      <c r="V64" s="174">
        <f>VLOOKUP(D64,原始分!$D:$N,11,0)</f>
        <v>0</v>
      </c>
      <c r="W64" s="174">
        <f t="shared" si="8"/>
        <v>565</v>
      </c>
      <c r="X64" s="11">
        <f t="shared" si="9"/>
        <v>296.5</v>
      </c>
      <c r="Y64" s="9">
        <f t="shared" si="10"/>
        <v>411</v>
      </c>
      <c r="Z64" s="11">
        <f t="shared" si="11"/>
        <v>439.5</v>
      </c>
      <c r="AA64" s="9">
        <f t="shared" si="15"/>
        <v>334</v>
      </c>
    </row>
    <row r="65" ht="14.25" spans="1:27">
      <c r="A65" s="13">
        <v>63</v>
      </c>
      <c r="B65" s="15">
        <v>1</v>
      </c>
      <c r="C65" s="16">
        <v>65</v>
      </c>
      <c r="D65" s="17" t="s">
        <v>140</v>
      </c>
      <c r="E65" s="17" t="s">
        <v>141</v>
      </c>
      <c r="F65" s="174">
        <f>VLOOKUP(D65,原始分!$D:$N,3,0)</f>
        <v>101</v>
      </c>
      <c r="G65" s="174">
        <f t="shared" si="0"/>
        <v>338</v>
      </c>
      <c r="H65" s="174">
        <f>VLOOKUP(D65,原始分!$D:$N,4,0)</f>
        <v>91</v>
      </c>
      <c r="I65" s="174">
        <f t="shared" si="1"/>
        <v>592</v>
      </c>
      <c r="J65" s="174">
        <f>VLOOKUP(D65,原始分!$D:$N,5,0)</f>
        <v>90.75</v>
      </c>
      <c r="K65" s="174">
        <f t="shared" si="2"/>
        <v>578</v>
      </c>
      <c r="L65" s="174">
        <f>VLOOKUP(D65,原始分!$D:$N,6,0)</f>
        <v>34.5</v>
      </c>
      <c r="M65" s="174">
        <f t="shared" si="3"/>
        <v>582</v>
      </c>
      <c r="N65" s="174">
        <f>VLOOKUP(D65,原始分!$D:$N,7,0)</f>
        <v>0</v>
      </c>
      <c r="O65" s="174">
        <f t="shared" si="4"/>
        <v>207</v>
      </c>
      <c r="P65" s="174">
        <f>VLOOKUP(D65,原始分!$D:$N,8,0)</f>
        <v>42.5</v>
      </c>
      <c r="Q65" s="174">
        <f t="shared" si="5"/>
        <v>257</v>
      </c>
      <c r="R65" s="174">
        <f>VLOOKUP(D65,原始分!$D:$N,9,0)</f>
        <v>0</v>
      </c>
      <c r="S65" s="174">
        <f t="shared" si="6"/>
        <v>320</v>
      </c>
      <c r="T65" s="174">
        <f>VLOOKUP(D65,原始分!$D:$N,10,0)</f>
        <v>56.75</v>
      </c>
      <c r="U65" s="174">
        <f t="shared" si="7"/>
        <v>170</v>
      </c>
      <c r="V65" s="174">
        <f>VLOOKUP(D65,原始分!$D:$N,11,0)</f>
        <v>0</v>
      </c>
      <c r="W65" s="174">
        <f t="shared" si="8"/>
        <v>565</v>
      </c>
      <c r="X65" s="11">
        <f t="shared" si="9"/>
        <v>282.75</v>
      </c>
      <c r="Y65" s="9">
        <f t="shared" si="10"/>
        <v>570</v>
      </c>
      <c r="Z65" s="11">
        <f t="shared" si="11"/>
        <v>416.5</v>
      </c>
      <c r="AA65" s="9">
        <f t="shared" si="15"/>
        <v>441</v>
      </c>
    </row>
    <row r="66" ht="14.25" spans="1:27">
      <c r="A66" s="13">
        <v>64</v>
      </c>
      <c r="B66" s="15">
        <v>2</v>
      </c>
      <c r="C66" s="16">
        <v>1</v>
      </c>
      <c r="D66" s="17" t="s">
        <v>142</v>
      </c>
      <c r="E66" s="17" t="s">
        <v>143</v>
      </c>
      <c r="F66" s="174">
        <f>VLOOKUP(D66,原始分!$D:$N,3,0)</f>
        <v>112.5</v>
      </c>
      <c r="G66" s="174">
        <f t="shared" si="0"/>
        <v>25</v>
      </c>
      <c r="H66" s="174">
        <f>VLOOKUP(D66,原始分!$D:$N,4,0)</f>
        <v>84</v>
      </c>
      <c r="I66" s="174">
        <f t="shared" si="1"/>
        <v>714</v>
      </c>
      <c r="J66" s="174">
        <f>VLOOKUP(D66,原始分!$D:$N,5,0)</f>
        <v>103.75</v>
      </c>
      <c r="K66" s="174">
        <f t="shared" si="2"/>
        <v>299</v>
      </c>
      <c r="L66" s="174">
        <f>VLOOKUP(D66,原始分!$D:$N,6,0)</f>
        <v>42</v>
      </c>
      <c r="M66" s="174">
        <f t="shared" si="3"/>
        <v>476</v>
      </c>
      <c r="N66" s="174">
        <f>VLOOKUP(D66,原始分!$D:$N,7,0)</f>
        <v>0</v>
      </c>
      <c r="O66" s="174">
        <f t="shared" si="4"/>
        <v>207</v>
      </c>
      <c r="P66" s="174">
        <f>VLOOKUP(D66,原始分!$D:$N,8,0)</f>
        <v>0</v>
      </c>
      <c r="Q66" s="174">
        <f t="shared" si="5"/>
        <v>541</v>
      </c>
      <c r="R66" s="174">
        <f>VLOOKUP(D66,原始分!$D:$N,9,0)</f>
        <v>0</v>
      </c>
      <c r="S66" s="174">
        <f t="shared" si="6"/>
        <v>320</v>
      </c>
      <c r="T66" s="174">
        <f>VLOOKUP(D66,原始分!$D:$N,10,0)</f>
        <v>49.5</v>
      </c>
      <c r="U66" s="174">
        <f t="shared" si="7"/>
        <v>253</v>
      </c>
      <c r="V66" s="174">
        <f>VLOOKUP(D66,原始分!$D:$N,11,0)</f>
        <v>54</v>
      </c>
      <c r="W66" s="174">
        <f t="shared" si="8"/>
        <v>199</v>
      </c>
      <c r="X66" s="11">
        <f t="shared" si="9"/>
        <v>300.25</v>
      </c>
      <c r="Y66" s="9">
        <f t="shared" si="10"/>
        <v>371</v>
      </c>
      <c r="Z66" s="11">
        <f t="shared" si="11"/>
        <v>445.75</v>
      </c>
      <c r="AA66" s="9">
        <f t="shared" si="15"/>
        <v>302</v>
      </c>
    </row>
    <row r="67" ht="14.25" spans="1:27">
      <c r="A67" s="13">
        <v>65</v>
      </c>
      <c r="B67" s="15">
        <v>2</v>
      </c>
      <c r="C67" s="16">
        <v>2</v>
      </c>
      <c r="D67" s="17" t="s">
        <v>144</v>
      </c>
      <c r="E67" s="17" t="s">
        <v>145</v>
      </c>
      <c r="F67" s="174">
        <f>VLOOKUP(D67,原始分!$D:$N,3,0)</f>
        <v>99.5</v>
      </c>
      <c r="G67" s="174">
        <f t="shared" ref="G67:G130" si="16">RANK(F67,$F$3:$F$900)</f>
        <v>418</v>
      </c>
      <c r="H67" s="174">
        <f>VLOOKUP(D67,原始分!$D:$N,4,0)</f>
        <v>91</v>
      </c>
      <c r="I67" s="174">
        <f t="shared" ref="I67:I130" si="17">RANK(H67,$H$3:$H$900)</f>
        <v>592</v>
      </c>
      <c r="J67" s="174">
        <f>VLOOKUP(D67,原始分!$D:$N,5,0)</f>
        <v>92.5</v>
      </c>
      <c r="K67" s="174">
        <f t="shared" ref="K67:K130" si="18">RANK(J67,$J$3:$J$900)</f>
        <v>539</v>
      </c>
      <c r="L67" s="174">
        <f>VLOOKUP(D67,原始分!$D:$N,6,0)</f>
        <v>53.5</v>
      </c>
      <c r="M67" s="174">
        <f t="shared" ref="M67:M130" si="19">RANK(L67,$L$3:$L$900)</f>
        <v>292</v>
      </c>
      <c r="N67" s="174">
        <f>VLOOKUP(D67,原始分!$D:$N,7,0)</f>
        <v>0</v>
      </c>
      <c r="O67" s="174">
        <f t="shared" ref="O67:O130" si="20">RANK(N67,$N$3:$N$900)</f>
        <v>207</v>
      </c>
      <c r="P67" s="174">
        <f>VLOOKUP(D67,原始分!$D:$N,8,0)</f>
        <v>0</v>
      </c>
      <c r="Q67" s="174">
        <f t="shared" ref="Q67:Q130" si="21">RANK(P67,$P$3:$P$900)</f>
        <v>541</v>
      </c>
      <c r="R67" s="174">
        <f>VLOOKUP(D67,原始分!$D:$N,9,0)</f>
        <v>0</v>
      </c>
      <c r="S67" s="174">
        <f t="shared" ref="S67:S130" si="22">RANK(R67,$R$3:$R$900)</f>
        <v>320</v>
      </c>
      <c r="T67" s="174">
        <f>VLOOKUP(D67,原始分!$D:$N,10,0)</f>
        <v>57</v>
      </c>
      <c r="U67" s="174">
        <f t="shared" ref="U67:U130" si="23">RANK(T67,$T$3:$T$900)</f>
        <v>157</v>
      </c>
      <c r="V67" s="174">
        <f>VLOOKUP(D67,原始分!$D:$N,11,0)</f>
        <v>47</v>
      </c>
      <c r="W67" s="174">
        <f t="shared" ref="W67:W130" si="24">RANK(V67,$V$3:$V$900)</f>
        <v>366</v>
      </c>
      <c r="X67" s="11">
        <f t="shared" ref="X67:X130" si="25">SUM(F67,H67,J67)</f>
        <v>283</v>
      </c>
      <c r="Y67" s="9">
        <f t="shared" ref="Y67:Y130" si="26">RANK(X67,$X$3:$X$900)</f>
        <v>564</v>
      </c>
      <c r="Z67" s="11">
        <f t="shared" ref="Z67:Z130" si="27">SUM(F67,H67,J67,L67,N67,P67,R67,T67,V67)</f>
        <v>440.5</v>
      </c>
      <c r="AA67" s="9">
        <f t="shared" si="15"/>
        <v>331</v>
      </c>
    </row>
    <row r="68" ht="14.25" spans="1:27">
      <c r="A68" s="13">
        <v>66</v>
      </c>
      <c r="B68" s="15">
        <v>2</v>
      </c>
      <c r="C68" s="16">
        <v>3</v>
      </c>
      <c r="D68" s="17" t="s">
        <v>146</v>
      </c>
      <c r="E68" s="17" t="s">
        <v>147</v>
      </c>
      <c r="F68" s="174">
        <f>VLOOKUP(D68,原始分!$D:$N,3,0)</f>
        <v>103.5</v>
      </c>
      <c r="G68" s="174">
        <f t="shared" si="16"/>
        <v>230</v>
      </c>
      <c r="H68" s="174">
        <f>VLOOKUP(D68,原始分!$D:$N,4,0)</f>
        <v>84</v>
      </c>
      <c r="I68" s="174">
        <f t="shared" si="17"/>
        <v>714</v>
      </c>
      <c r="J68" s="174">
        <f>VLOOKUP(D68,原始分!$D:$N,5,0)</f>
        <v>100.25</v>
      </c>
      <c r="K68" s="174">
        <f t="shared" si="18"/>
        <v>364</v>
      </c>
      <c r="L68" s="174">
        <f>VLOOKUP(D68,原始分!$D:$N,6,0)</f>
        <v>35</v>
      </c>
      <c r="M68" s="174">
        <f t="shared" si="19"/>
        <v>572</v>
      </c>
      <c r="N68" s="174">
        <f>VLOOKUP(D68,原始分!$D:$N,7,0)</f>
        <v>0</v>
      </c>
      <c r="O68" s="174">
        <f t="shared" si="20"/>
        <v>207</v>
      </c>
      <c r="P68" s="174">
        <f>VLOOKUP(D68,原始分!$D:$N,8,0)</f>
        <v>0</v>
      </c>
      <c r="Q68" s="174">
        <f t="shared" si="21"/>
        <v>541</v>
      </c>
      <c r="R68" s="174">
        <f>VLOOKUP(D68,原始分!$D:$N,9,0)</f>
        <v>0</v>
      </c>
      <c r="S68" s="174">
        <f t="shared" si="22"/>
        <v>320</v>
      </c>
      <c r="T68" s="174">
        <f>VLOOKUP(D68,原始分!$D:$N,10,0)</f>
        <v>61.5</v>
      </c>
      <c r="U68" s="174">
        <f t="shared" si="23"/>
        <v>89</v>
      </c>
      <c r="V68" s="174">
        <f>VLOOKUP(D68,原始分!$D:$N,11,0)</f>
        <v>52.5</v>
      </c>
      <c r="W68" s="174">
        <f t="shared" si="24"/>
        <v>235</v>
      </c>
      <c r="X68" s="11">
        <f t="shared" si="25"/>
        <v>287.75</v>
      </c>
      <c r="Y68" s="9">
        <f t="shared" si="26"/>
        <v>515</v>
      </c>
      <c r="Z68" s="11">
        <f t="shared" si="27"/>
        <v>436.75</v>
      </c>
      <c r="AA68" s="9">
        <f t="shared" si="15"/>
        <v>348</v>
      </c>
    </row>
    <row r="69" ht="14.25" spans="1:27">
      <c r="A69" s="13">
        <v>67</v>
      </c>
      <c r="B69" s="15">
        <v>2</v>
      </c>
      <c r="C69" s="16">
        <v>4</v>
      </c>
      <c r="D69" s="17" t="s">
        <v>148</v>
      </c>
      <c r="E69" s="17" t="s">
        <v>149</v>
      </c>
      <c r="F69" s="174">
        <f>VLOOKUP(D69,原始分!$D:$N,3,0)</f>
        <v>103.5</v>
      </c>
      <c r="G69" s="174">
        <f t="shared" si="16"/>
        <v>230</v>
      </c>
      <c r="H69" s="174">
        <f>VLOOKUP(D69,原始分!$D:$N,4,0)</f>
        <v>100</v>
      </c>
      <c r="I69" s="174">
        <f t="shared" si="17"/>
        <v>416</v>
      </c>
      <c r="J69" s="174">
        <f>VLOOKUP(D69,原始分!$D:$N,5,0)</f>
        <v>89.5</v>
      </c>
      <c r="K69" s="174">
        <f t="shared" si="18"/>
        <v>591</v>
      </c>
      <c r="L69" s="174">
        <f>VLOOKUP(D69,原始分!$D:$N,6,0)</f>
        <v>28.5</v>
      </c>
      <c r="M69" s="174">
        <f t="shared" si="19"/>
        <v>621</v>
      </c>
      <c r="N69" s="174">
        <f>VLOOKUP(D69,原始分!$D:$N,7,0)</f>
        <v>0</v>
      </c>
      <c r="O69" s="174">
        <f t="shared" si="20"/>
        <v>207</v>
      </c>
      <c r="P69" s="174">
        <f>VLOOKUP(D69,原始分!$D:$N,8,0)</f>
        <v>0</v>
      </c>
      <c r="Q69" s="174">
        <f t="shared" si="21"/>
        <v>541</v>
      </c>
      <c r="R69" s="174">
        <f>VLOOKUP(D69,原始分!$D:$N,9,0)</f>
        <v>0</v>
      </c>
      <c r="S69" s="174">
        <f t="shared" si="22"/>
        <v>320</v>
      </c>
      <c r="T69" s="174">
        <f>VLOOKUP(D69,原始分!$D:$N,10,0)</f>
        <v>50.5</v>
      </c>
      <c r="U69" s="174">
        <f t="shared" si="23"/>
        <v>246</v>
      </c>
      <c r="V69" s="174">
        <f>VLOOKUP(D69,原始分!$D:$N,11,0)</f>
        <v>42.5</v>
      </c>
      <c r="W69" s="174">
        <f t="shared" si="24"/>
        <v>466</v>
      </c>
      <c r="X69" s="11">
        <f t="shared" si="25"/>
        <v>293</v>
      </c>
      <c r="Y69" s="9">
        <f t="shared" si="26"/>
        <v>456</v>
      </c>
      <c r="Z69" s="11">
        <f t="shared" si="27"/>
        <v>414.5</v>
      </c>
      <c r="AA69" s="9">
        <f t="shared" si="15"/>
        <v>449</v>
      </c>
    </row>
    <row r="70" ht="14.25" spans="1:27">
      <c r="A70" s="13">
        <v>68</v>
      </c>
      <c r="B70" s="15">
        <v>2</v>
      </c>
      <c r="C70" s="16">
        <v>5</v>
      </c>
      <c r="D70" s="17" t="s">
        <v>150</v>
      </c>
      <c r="E70" s="17" t="s">
        <v>151</v>
      </c>
      <c r="F70" s="174">
        <f>VLOOKUP(D70,原始分!$D:$N,3,0)</f>
        <v>98</v>
      </c>
      <c r="G70" s="174">
        <f t="shared" si="16"/>
        <v>500</v>
      </c>
      <c r="H70" s="174">
        <f>VLOOKUP(D70,原始分!$D:$N,4,0)</f>
        <v>91.5</v>
      </c>
      <c r="I70" s="174">
        <f t="shared" si="17"/>
        <v>586</v>
      </c>
      <c r="J70" s="174">
        <f>VLOOKUP(D70,原始分!$D:$N,5,0)</f>
        <v>112</v>
      </c>
      <c r="K70" s="174">
        <f t="shared" si="18"/>
        <v>143</v>
      </c>
      <c r="L70" s="174">
        <f>VLOOKUP(D70,原始分!$D:$N,6,0)</f>
        <v>49</v>
      </c>
      <c r="M70" s="174">
        <f t="shared" si="19"/>
        <v>354</v>
      </c>
      <c r="N70" s="174">
        <f>VLOOKUP(D70,原始分!$D:$N,7,0)</f>
        <v>0</v>
      </c>
      <c r="O70" s="174">
        <f t="shared" si="20"/>
        <v>207</v>
      </c>
      <c r="P70" s="174">
        <f>VLOOKUP(D70,原始分!$D:$N,8,0)</f>
        <v>0</v>
      </c>
      <c r="Q70" s="174">
        <f t="shared" si="21"/>
        <v>541</v>
      </c>
      <c r="R70" s="174">
        <f>VLOOKUP(D70,原始分!$D:$N,9,0)</f>
        <v>0</v>
      </c>
      <c r="S70" s="174">
        <f t="shared" si="22"/>
        <v>320</v>
      </c>
      <c r="T70" s="174">
        <f>VLOOKUP(D70,原始分!$D:$N,10,0)</f>
        <v>68.5</v>
      </c>
      <c r="U70" s="174">
        <f t="shared" si="23"/>
        <v>16</v>
      </c>
      <c r="V70" s="174">
        <f>VLOOKUP(D70,原始分!$D:$N,11,0)</f>
        <v>57</v>
      </c>
      <c r="W70" s="174">
        <f t="shared" si="24"/>
        <v>139</v>
      </c>
      <c r="X70" s="11">
        <f t="shared" si="25"/>
        <v>301.5</v>
      </c>
      <c r="Y70" s="9">
        <f t="shared" si="26"/>
        <v>357</v>
      </c>
      <c r="Z70" s="11">
        <f t="shared" si="27"/>
        <v>476</v>
      </c>
      <c r="AA70" s="9">
        <f t="shared" si="15"/>
        <v>151</v>
      </c>
    </row>
    <row r="71" ht="14.25" spans="1:27">
      <c r="A71" s="13">
        <v>69</v>
      </c>
      <c r="B71" s="15">
        <v>2</v>
      </c>
      <c r="C71" s="16">
        <v>6</v>
      </c>
      <c r="D71" s="17" t="s">
        <v>152</v>
      </c>
      <c r="E71" s="17" t="s">
        <v>153</v>
      </c>
      <c r="F71" s="174">
        <f>VLOOKUP(D71,原始分!$D:$N,3,0)</f>
        <v>95.5</v>
      </c>
      <c r="G71" s="174">
        <f t="shared" si="16"/>
        <v>595</v>
      </c>
      <c r="H71" s="174">
        <f>VLOOKUP(D71,原始分!$D:$N,4,0)</f>
        <v>80</v>
      </c>
      <c r="I71" s="174">
        <f t="shared" si="17"/>
        <v>750</v>
      </c>
      <c r="J71" s="174">
        <f>VLOOKUP(D71,原始分!$D:$N,5,0)</f>
        <v>94.25</v>
      </c>
      <c r="K71" s="174">
        <f t="shared" si="18"/>
        <v>504</v>
      </c>
      <c r="L71" s="174">
        <f>VLOOKUP(D71,原始分!$D:$N,6,0)</f>
        <v>38</v>
      </c>
      <c r="M71" s="174">
        <f t="shared" si="19"/>
        <v>537</v>
      </c>
      <c r="N71" s="174">
        <f>VLOOKUP(D71,原始分!$D:$N,7,0)</f>
        <v>0</v>
      </c>
      <c r="O71" s="174">
        <f t="shared" si="20"/>
        <v>207</v>
      </c>
      <c r="P71" s="174">
        <f>VLOOKUP(D71,原始分!$D:$N,8,0)</f>
        <v>0</v>
      </c>
      <c r="Q71" s="174">
        <f t="shared" si="21"/>
        <v>541</v>
      </c>
      <c r="R71" s="174">
        <f>VLOOKUP(D71,原始分!$D:$N,9,0)</f>
        <v>0</v>
      </c>
      <c r="S71" s="174">
        <f t="shared" si="22"/>
        <v>320</v>
      </c>
      <c r="T71" s="174">
        <f>VLOOKUP(D71,原始分!$D:$N,10,0)</f>
        <v>59.5</v>
      </c>
      <c r="U71" s="174">
        <f t="shared" si="23"/>
        <v>116</v>
      </c>
      <c r="V71" s="174">
        <f>VLOOKUP(D71,原始分!$D:$N,11,0)</f>
        <v>37.5</v>
      </c>
      <c r="W71" s="174">
        <f t="shared" si="24"/>
        <v>515</v>
      </c>
      <c r="X71" s="11">
        <f t="shared" si="25"/>
        <v>269.75</v>
      </c>
      <c r="Y71" s="9">
        <f t="shared" si="26"/>
        <v>707</v>
      </c>
      <c r="Z71" s="11">
        <f t="shared" si="27"/>
        <v>404.75</v>
      </c>
      <c r="AA71" s="9">
        <f t="shared" si="15"/>
        <v>501</v>
      </c>
    </row>
    <row r="72" ht="14.25" spans="1:27">
      <c r="A72" s="13">
        <v>70</v>
      </c>
      <c r="B72" s="15">
        <v>2</v>
      </c>
      <c r="C72" s="16">
        <v>7</v>
      </c>
      <c r="D72" s="17" t="s">
        <v>154</v>
      </c>
      <c r="E72" s="17" t="s">
        <v>155</v>
      </c>
      <c r="F72" s="174">
        <f>VLOOKUP(D72,原始分!$D:$N,3,0)</f>
        <v>94.5</v>
      </c>
      <c r="G72" s="174">
        <f t="shared" si="16"/>
        <v>642</v>
      </c>
      <c r="H72" s="174">
        <f>VLOOKUP(D72,原始分!$D:$N,4,0)</f>
        <v>111</v>
      </c>
      <c r="I72" s="174">
        <f t="shared" si="17"/>
        <v>201</v>
      </c>
      <c r="J72" s="174">
        <f>VLOOKUP(D72,原始分!$D:$N,5,0)</f>
        <v>106.5</v>
      </c>
      <c r="K72" s="174">
        <f t="shared" si="18"/>
        <v>235</v>
      </c>
      <c r="L72" s="174">
        <f>VLOOKUP(D72,原始分!$D:$N,6,0)</f>
        <v>50.5</v>
      </c>
      <c r="M72" s="174">
        <f t="shared" si="19"/>
        <v>328</v>
      </c>
      <c r="N72" s="174">
        <f>VLOOKUP(D72,原始分!$D:$N,7,0)</f>
        <v>0</v>
      </c>
      <c r="O72" s="174">
        <f t="shared" si="20"/>
        <v>207</v>
      </c>
      <c r="P72" s="174">
        <f>VLOOKUP(D72,原始分!$D:$N,8,0)</f>
        <v>0</v>
      </c>
      <c r="Q72" s="174">
        <f t="shared" si="21"/>
        <v>541</v>
      </c>
      <c r="R72" s="174">
        <f>VLOOKUP(D72,原始分!$D:$N,9,0)</f>
        <v>0</v>
      </c>
      <c r="S72" s="174">
        <f t="shared" si="22"/>
        <v>320</v>
      </c>
      <c r="T72" s="174">
        <f>VLOOKUP(D72,原始分!$D:$N,10,0)</f>
        <v>62</v>
      </c>
      <c r="U72" s="174">
        <f t="shared" si="23"/>
        <v>81</v>
      </c>
      <c r="V72" s="174">
        <f>VLOOKUP(D72,原始分!$D:$N,11,0)</f>
        <v>50.5</v>
      </c>
      <c r="W72" s="174">
        <f t="shared" si="24"/>
        <v>293</v>
      </c>
      <c r="X72" s="11">
        <f t="shared" si="25"/>
        <v>312</v>
      </c>
      <c r="Y72" s="9">
        <f t="shared" si="26"/>
        <v>235</v>
      </c>
      <c r="Z72" s="11">
        <f t="shared" si="27"/>
        <v>475</v>
      </c>
      <c r="AA72" s="9">
        <f t="shared" si="15"/>
        <v>158</v>
      </c>
    </row>
    <row r="73" ht="14.25" spans="1:27">
      <c r="A73" s="13">
        <v>71</v>
      </c>
      <c r="B73" s="15">
        <v>2</v>
      </c>
      <c r="C73" s="16">
        <v>8</v>
      </c>
      <c r="D73" s="17" t="s">
        <v>156</v>
      </c>
      <c r="E73" s="17" t="s">
        <v>157</v>
      </c>
      <c r="F73" s="174">
        <f>VLOOKUP(D73,原始分!$D:$N,3,0)</f>
        <v>102</v>
      </c>
      <c r="G73" s="174">
        <f t="shared" si="16"/>
        <v>304</v>
      </c>
      <c r="H73" s="174">
        <f>VLOOKUP(D73,原始分!$D:$N,4,0)</f>
        <v>97</v>
      </c>
      <c r="I73" s="174">
        <f t="shared" si="17"/>
        <v>478</v>
      </c>
      <c r="J73" s="174">
        <f>VLOOKUP(D73,原始分!$D:$N,5,0)</f>
        <v>86.5</v>
      </c>
      <c r="K73" s="174">
        <f t="shared" si="18"/>
        <v>644</v>
      </c>
      <c r="L73" s="174">
        <f>VLOOKUP(D73,原始分!$D:$N,6,0)</f>
        <v>67.5</v>
      </c>
      <c r="M73" s="174">
        <f t="shared" si="19"/>
        <v>79</v>
      </c>
      <c r="N73" s="174">
        <f>VLOOKUP(D73,原始分!$D:$N,7,0)</f>
        <v>0</v>
      </c>
      <c r="O73" s="174">
        <f t="shared" si="20"/>
        <v>207</v>
      </c>
      <c r="P73" s="174">
        <f>VLOOKUP(D73,原始分!$D:$N,8,0)</f>
        <v>0</v>
      </c>
      <c r="Q73" s="174">
        <f t="shared" si="21"/>
        <v>541</v>
      </c>
      <c r="R73" s="174">
        <f>VLOOKUP(D73,原始分!$D:$N,9,0)</f>
        <v>0</v>
      </c>
      <c r="S73" s="174">
        <f t="shared" si="22"/>
        <v>320</v>
      </c>
      <c r="T73" s="174">
        <f>VLOOKUP(D73,原始分!$D:$N,10,0)</f>
        <v>52</v>
      </c>
      <c r="U73" s="174">
        <f t="shared" si="23"/>
        <v>233</v>
      </c>
      <c r="V73" s="174">
        <f>VLOOKUP(D73,原始分!$D:$N,11,0)</f>
        <v>59</v>
      </c>
      <c r="W73" s="174">
        <f t="shared" si="24"/>
        <v>107</v>
      </c>
      <c r="X73" s="11">
        <f t="shared" si="25"/>
        <v>285.5</v>
      </c>
      <c r="Y73" s="9">
        <f t="shared" si="26"/>
        <v>538</v>
      </c>
      <c r="Z73" s="11">
        <f t="shared" si="27"/>
        <v>464</v>
      </c>
      <c r="AA73" s="9">
        <f t="shared" si="15"/>
        <v>202</v>
      </c>
    </row>
    <row r="74" ht="14.25" spans="1:27">
      <c r="A74" s="13">
        <v>72</v>
      </c>
      <c r="B74" s="15">
        <v>2</v>
      </c>
      <c r="C74" s="16">
        <v>9</v>
      </c>
      <c r="D74" s="17" t="s">
        <v>158</v>
      </c>
      <c r="E74" s="17" t="s">
        <v>159</v>
      </c>
      <c r="F74" s="174">
        <f>VLOOKUP(D74,原始分!$D:$N,3,0)</f>
        <v>104</v>
      </c>
      <c r="G74" s="174">
        <f t="shared" si="16"/>
        <v>209</v>
      </c>
      <c r="H74" s="174">
        <f>VLOOKUP(D74,原始分!$D:$N,4,0)</f>
        <v>117</v>
      </c>
      <c r="I74" s="174">
        <f t="shared" si="17"/>
        <v>98</v>
      </c>
      <c r="J74" s="174">
        <f>VLOOKUP(D74,原始分!$D:$N,5,0)</f>
        <v>104.75</v>
      </c>
      <c r="K74" s="174">
        <f t="shared" si="18"/>
        <v>281</v>
      </c>
      <c r="L74" s="174">
        <f>VLOOKUP(D74,原始分!$D:$N,6,0)</f>
        <v>61</v>
      </c>
      <c r="M74" s="174">
        <f t="shared" si="19"/>
        <v>168</v>
      </c>
      <c r="N74" s="174">
        <f>VLOOKUP(D74,原始分!$D:$N,7,0)</f>
        <v>0</v>
      </c>
      <c r="O74" s="174">
        <f t="shared" si="20"/>
        <v>207</v>
      </c>
      <c r="P74" s="174">
        <f>VLOOKUP(D74,原始分!$D:$N,8,0)</f>
        <v>0</v>
      </c>
      <c r="Q74" s="174">
        <f t="shared" si="21"/>
        <v>541</v>
      </c>
      <c r="R74" s="174">
        <f>VLOOKUP(D74,原始分!$D:$N,9,0)</f>
        <v>0</v>
      </c>
      <c r="S74" s="174">
        <f t="shared" si="22"/>
        <v>320</v>
      </c>
      <c r="T74" s="174">
        <f>VLOOKUP(D74,原始分!$D:$N,10,0)</f>
        <v>69</v>
      </c>
      <c r="U74" s="174">
        <f t="shared" si="23"/>
        <v>15</v>
      </c>
      <c r="V74" s="174">
        <f>VLOOKUP(D74,原始分!$D:$N,11,0)</f>
        <v>58</v>
      </c>
      <c r="W74" s="174">
        <f t="shared" si="24"/>
        <v>125</v>
      </c>
      <c r="X74" s="11">
        <f t="shared" si="25"/>
        <v>325.75</v>
      </c>
      <c r="Y74" s="9">
        <f t="shared" si="26"/>
        <v>113</v>
      </c>
      <c r="Z74" s="11">
        <f t="shared" si="27"/>
        <v>513.75</v>
      </c>
      <c r="AA74" s="9">
        <f t="shared" si="15"/>
        <v>47</v>
      </c>
    </row>
    <row r="75" ht="14.25" spans="1:27">
      <c r="A75" s="13">
        <v>73</v>
      </c>
      <c r="B75" s="15">
        <v>2</v>
      </c>
      <c r="C75" s="16">
        <v>10</v>
      </c>
      <c r="D75" s="17" t="s">
        <v>160</v>
      </c>
      <c r="E75" s="17" t="s">
        <v>161</v>
      </c>
      <c r="F75" s="174">
        <f>VLOOKUP(D75,原始分!$D:$N,3,0)</f>
        <v>99</v>
      </c>
      <c r="G75" s="174">
        <f t="shared" si="16"/>
        <v>442</v>
      </c>
      <c r="H75" s="174">
        <f>VLOOKUP(D75,原始分!$D:$N,4,0)</f>
        <v>95</v>
      </c>
      <c r="I75" s="174">
        <f t="shared" si="17"/>
        <v>510</v>
      </c>
      <c r="J75" s="174">
        <f>VLOOKUP(D75,原始分!$D:$N,5,0)</f>
        <v>92.5</v>
      </c>
      <c r="K75" s="174">
        <f t="shared" si="18"/>
        <v>539</v>
      </c>
      <c r="L75" s="174">
        <f>VLOOKUP(D75,原始分!$D:$N,6,0)</f>
        <v>41.5</v>
      </c>
      <c r="M75" s="174">
        <f t="shared" si="19"/>
        <v>483</v>
      </c>
      <c r="N75" s="174">
        <f>VLOOKUP(D75,原始分!$D:$N,7,0)</f>
        <v>0</v>
      </c>
      <c r="O75" s="174">
        <f t="shared" si="20"/>
        <v>207</v>
      </c>
      <c r="P75" s="174">
        <f>VLOOKUP(D75,原始分!$D:$N,8,0)</f>
        <v>0</v>
      </c>
      <c r="Q75" s="174">
        <f t="shared" si="21"/>
        <v>541</v>
      </c>
      <c r="R75" s="174">
        <f>VLOOKUP(D75,原始分!$D:$N,9,0)</f>
        <v>0</v>
      </c>
      <c r="S75" s="174">
        <f t="shared" si="22"/>
        <v>320</v>
      </c>
      <c r="T75" s="174">
        <f>VLOOKUP(D75,原始分!$D:$N,10,0)</f>
        <v>58</v>
      </c>
      <c r="U75" s="174">
        <f t="shared" si="23"/>
        <v>144</v>
      </c>
      <c r="V75" s="174">
        <f>VLOOKUP(D75,原始分!$D:$N,11,0)</f>
        <v>40.5</v>
      </c>
      <c r="W75" s="174">
        <f t="shared" si="24"/>
        <v>486</v>
      </c>
      <c r="X75" s="11">
        <f t="shared" si="25"/>
        <v>286.5</v>
      </c>
      <c r="Y75" s="9">
        <f t="shared" si="26"/>
        <v>527</v>
      </c>
      <c r="Z75" s="11">
        <f t="shared" si="27"/>
        <v>426.5</v>
      </c>
      <c r="AA75" s="9">
        <f t="shared" si="15"/>
        <v>399</v>
      </c>
    </row>
    <row r="76" ht="14.25" spans="1:27">
      <c r="A76" s="13">
        <v>74</v>
      </c>
      <c r="B76" s="15">
        <v>2</v>
      </c>
      <c r="C76" s="16">
        <v>11</v>
      </c>
      <c r="D76" s="17" t="s">
        <v>162</v>
      </c>
      <c r="E76" s="17" t="s">
        <v>121</v>
      </c>
      <c r="F76" s="174">
        <f>VLOOKUP(D76,原始分!$D:$N,3,0)</f>
        <v>92.5</v>
      </c>
      <c r="G76" s="174">
        <f t="shared" si="16"/>
        <v>713</v>
      </c>
      <c r="H76" s="174">
        <f>VLOOKUP(D76,原始分!$D:$N,4,0)</f>
        <v>96</v>
      </c>
      <c r="I76" s="174">
        <f t="shared" si="17"/>
        <v>492</v>
      </c>
      <c r="J76" s="174">
        <f>VLOOKUP(D76,原始分!$D:$N,5,0)</f>
        <v>92</v>
      </c>
      <c r="K76" s="174">
        <f t="shared" si="18"/>
        <v>550</v>
      </c>
      <c r="L76" s="174">
        <f>VLOOKUP(D76,原始分!$D:$N,6,0)</f>
        <v>47.5</v>
      </c>
      <c r="M76" s="174">
        <f t="shared" si="19"/>
        <v>382</v>
      </c>
      <c r="N76" s="174">
        <f>VLOOKUP(D76,原始分!$D:$N,7,0)</f>
        <v>0</v>
      </c>
      <c r="O76" s="174">
        <f t="shared" si="20"/>
        <v>207</v>
      </c>
      <c r="P76" s="174">
        <f>VLOOKUP(D76,原始分!$D:$N,8,0)</f>
        <v>0</v>
      </c>
      <c r="Q76" s="174">
        <f t="shared" si="21"/>
        <v>541</v>
      </c>
      <c r="R76" s="174">
        <f>VLOOKUP(D76,原始分!$D:$N,9,0)</f>
        <v>0</v>
      </c>
      <c r="S76" s="174">
        <f t="shared" si="22"/>
        <v>320</v>
      </c>
      <c r="T76" s="174">
        <f>VLOOKUP(D76,原始分!$D:$N,10,0)</f>
        <v>53</v>
      </c>
      <c r="U76" s="174">
        <f t="shared" si="23"/>
        <v>219</v>
      </c>
      <c r="V76" s="174">
        <f>VLOOKUP(D76,原始分!$D:$N,11,0)</f>
        <v>47.5</v>
      </c>
      <c r="W76" s="174">
        <f t="shared" si="24"/>
        <v>353</v>
      </c>
      <c r="X76" s="11">
        <f t="shared" si="25"/>
        <v>280.5</v>
      </c>
      <c r="Y76" s="9">
        <f t="shared" si="26"/>
        <v>593</v>
      </c>
      <c r="Z76" s="11">
        <f t="shared" si="27"/>
        <v>428.5</v>
      </c>
      <c r="AA76" s="9">
        <f t="shared" si="15"/>
        <v>390</v>
      </c>
    </row>
    <row r="77" ht="14.25" spans="1:27">
      <c r="A77" s="13">
        <v>75</v>
      </c>
      <c r="B77" s="15">
        <v>2</v>
      </c>
      <c r="C77" s="16">
        <v>12</v>
      </c>
      <c r="D77" s="17" t="s">
        <v>163</v>
      </c>
      <c r="E77" s="17" t="s">
        <v>164</v>
      </c>
      <c r="F77" s="174">
        <f>VLOOKUP(D77,原始分!$D:$N,3,0)</f>
        <v>95.5</v>
      </c>
      <c r="G77" s="174">
        <f t="shared" si="16"/>
        <v>595</v>
      </c>
      <c r="H77" s="174">
        <f>VLOOKUP(D77,原始分!$D:$N,4,0)</f>
        <v>107.5</v>
      </c>
      <c r="I77" s="174">
        <f t="shared" si="17"/>
        <v>267</v>
      </c>
      <c r="J77" s="174">
        <f>VLOOKUP(D77,原始分!$D:$N,5,0)</f>
        <v>113</v>
      </c>
      <c r="K77" s="174">
        <f t="shared" si="18"/>
        <v>130</v>
      </c>
      <c r="L77" s="174">
        <f>VLOOKUP(D77,原始分!$D:$N,6,0)</f>
        <v>50</v>
      </c>
      <c r="M77" s="174">
        <f t="shared" si="19"/>
        <v>337</v>
      </c>
      <c r="N77" s="174">
        <f>VLOOKUP(D77,原始分!$D:$N,7,0)</f>
        <v>0</v>
      </c>
      <c r="O77" s="174">
        <f t="shared" si="20"/>
        <v>207</v>
      </c>
      <c r="P77" s="174">
        <f>VLOOKUP(D77,原始分!$D:$N,8,0)</f>
        <v>0</v>
      </c>
      <c r="Q77" s="174">
        <f t="shared" si="21"/>
        <v>541</v>
      </c>
      <c r="R77" s="174">
        <f>VLOOKUP(D77,原始分!$D:$N,9,0)</f>
        <v>0</v>
      </c>
      <c r="S77" s="174">
        <f t="shared" si="22"/>
        <v>320</v>
      </c>
      <c r="T77" s="174">
        <f>VLOOKUP(D77,原始分!$D:$N,10,0)</f>
        <v>65.25</v>
      </c>
      <c r="U77" s="174">
        <f t="shared" si="23"/>
        <v>44</v>
      </c>
      <c r="V77" s="174">
        <f>VLOOKUP(D77,原始分!$D:$N,11,0)</f>
        <v>67</v>
      </c>
      <c r="W77" s="174">
        <f t="shared" si="24"/>
        <v>29</v>
      </c>
      <c r="X77" s="11">
        <f t="shared" si="25"/>
        <v>316</v>
      </c>
      <c r="Y77" s="9">
        <f t="shared" si="26"/>
        <v>196</v>
      </c>
      <c r="Z77" s="11">
        <f t="shared" si="27"/>
        <v>498.25</v>
      </c>
      <c r="AA77" s="9">
        <f t="shared" si="15"/>
        <v>82</v>
      </c>
    </row>
    <row r="78" ht="14.25" spans="1:27">
      <c r="A78" s="13">
        <v>76</v>
      </c>
      <c r="B78" s="15">
        <v>2</v>
      </c>
      <c r="C78" s="16">
        <v>13</v>
      </c>
      <c r="D78" s="17" t="s">
        <v>165</v>
      </c>
      <c r="E78" s="17" t="s">
        <v>166</v>
      </c>
      <c r="F78" s="174">
        <f>VLOOKUP(D78,原始分!$D:$N,3,0)</f>
        <v>100.5</v>
      </c>
      <c r="G78" s="174">
        <f t="shared" si="16"/>
        <v>370</v>
      </c>
      <c r="H78" s="174">
        <f>VLOOKUP(D78,原始分!$D:$N,4,0)</f>
        <v>105</v>
      </c>
      <c r="I78" s="174">
        <f t="shared" si="17"/>
        <v>317</v>
      </c>
      <c r="J78" s="174">
        <f>VLOOKUP(D78,原始分!$D:$N,5,0)</f>
        <v>108.5</v>
      </c>
      <c r="K78" s="174">
        <f t="shared" si="18"/>
        <v>200</v>
      </c>
      <c r="L78" s="174">
        <f>VLOOKUP(D78,原始分!$D:$N,6,0)</f>
        <v>58.5</v>
      </c>
      <c r="M78" s="174">
        <f t="shared" si="19"/>
        <v>209</v>
      </c>
      <c r="N78" s="174">
        <f>VLOOKUP(D78,原始分!$D:$N,7,0)</f>
        <v>0</v>
      </c>
      <c r="O78" s="174">
        <f t="shared" si="20"/>
        <v>207</v>
      </c>
      <c r="P78" s="174">
        <f>VLOOKUP(D78,原始分!$D:$N,8,0)</f>
        <v>0</v>
      </c>
      <c r="Q78" s="174">
        <f t="shared" si="21"/>
        <v>541</v>
      </c>
      <c r="R78" s="174">
        <f>VLOOKUP(D78,原始分!$D:$N,9,0)</f>
        <v>0</v>
      </c>
      <c r="S78" s="174">
        <f t="shared" si="22"/>
        <v>320</v>
      </c>
      <c r="T78" s="174">
        <f>VLOOKUP(D78,原始分!$D:$N,10,0)</f>
        <v>47</v>
      </c>
      <c r="U78" s="174">
        <f t="shared" si="23"/>
        <v>284</v>
      </c>
      <c r="V78" s="174">
        <f>VLOOKUP(D78,原始分!$D:$N,11,0)</f>
        <v>64</v>
      </c>
      <c r="W78" s="174">
        <f t="shared" si="24"/>
        <v>50</v>
      </c>
      <c r="X78" s="11">
        <f t="shared" si="25"/>
        <v>314</v>
      </c>
      <c r="Y78" s="9">
        <f t="shared" si="26"/>
        <v>216</v>
      </c>
      <c r="Z78" s="11">
        <f t="shared" si="27"/>
        <v>483.5</v>
      </c>
      <c r="AA78" s="9">
        <f t="shared" si="15"/>
        <v>117</v>
      </c>
    </row>
    <row r="79" ht="14.25" spans="1:27">
      <c r="A79" s="13">
        <v>77</v>
      </c>
      <c r="B79" s="15">
        <v>2</v>
      </c>
      <c r="C79" s="16">
        <v>14</v>
      </c>
      <c r="D79" s="17" t="s">
        <v>167</v>
      </c>
      <c r="E79" s="17" t="s">
        <v>168</v>
      </c>
      <c r="F79" s="174">
        <f>VLOOKUP(D79,原始分!$D:$N,3,0)</f>
        <v>108</v>
      </c>
      <c r="G79" s="174">
        <f t="shared" si="16"/>
        <v>77</v>
      </c>
      <c r="H79" s="174">
        <f>VLOOKUP(D79,原始分!$D:$N,4,0)</f>
        <v>92</v>
      </c>
      <c r="I79" s="174">
        <f t="shared" si="17"/>
        <v>578</v>
      </c>
      <c r="J79" s="174">
        <f>VLOOKUP(D79,原始分!$D:$N,5,0)</f>
        <v>105.75</v>
      </c>
      <c r="K79" s="174">
        <f t="shared" si="18"/>
        <v>251</v>
      </c>
      <c r="L79" s="174">
        <f>VLOOKUP(D79,原始分!$D:$N,6,0)</f>
        <v>64.5</v>
      </c>
      <c r="M79" s="174">
        <f t="shared" si="19"/>
        <v>120</v>
      </c>
      <c r="N79" s="174">
        <f>VLOOKUP(D79,原始分!$D:$N,7,0)</f>
        <v>0</v>
      </c>
      <c r="O79" s="174">
        <f t="shared" si="20"/>
        <v>207</v>
      </c>
      <c r="P79" s="174">
        <f>VLOOKUP(D79,原始分!$D:$N,8,0)</f>
        <v>0</v>
      </c>
      <c r="Q79" s="174">
        <f t="shared" si="21"/>
        <v>541</v>
      </c>
      <c r="R79" s="174">
        <f>VLOOKUP(D79,原始分!$D:$N,9,0)</f>
        <v>0</v>
      </c>
      <c r="S79" s="174">
        <f t="shared" si="22"/>
        <v>320</v>
      </c>
      <c r="T79" s="174">
        <f>VLOOKUP(D79,原始分!$D:$N,10,0)</f>
        <v>69.5</v>
      </c>
      <c r="U79" s="174">
        <f t="shared" si="23"/>
        <v>13</v>
      </c>
      <c r="V79" s="174">
        <f>VLOOKUP(D79,原始分!$D:$N,11,0)</f>
        <v>47.5</v>
      </c>
      <c r="W79" s="174">
        <f t="shared" si="24"/>
        <v>353</v>
      </c>
      <c r="X79" s="11">
        <f t="shared" si="25"/>
        <v>305.75</v>
      </c>
      <c r="Y79" s="9">
        <f t="shared" si="26"/>
        <v>310</v>
      </c>
      <c r="Z79" s="11">
        <f t="shared" si="27"/>
        <v>487.25</v>
      </c>
      <c r="AA79" s="9">
        <f t="shared" si="15"/>
        <v>111</v>
      </c>
    </row>
    <row r="80" ht="14.25" spans="1:27">
      <c r="A80" s="13">
        <v>78</v>
      </c>
      <c r="B80" s="15">
        <v>2</v>
      </c>
      <c r="C80" s="16">
        <v>15</v>
      </c>
      <c r="D80" s="17" t="s">
        <v>169</v>
      </c>
      <c r="E80" s="17" t="s">
        <v>170</v>
      </c>
      <c r="F80" s="174">
        <f>VLOOKUP(D80,原始分!$D:$N,3,0)</f>
        <v>91.5</v>
      </c>
      <c r="G80" s="174">
        <f t="shared" si="16"/>
        <v>730</v>
      </c>
      <c r="H80" s="174">
        <f>VLOOKUP(D80,原始分!$D:$N,4,0)</f>
        <v>105.5</v>
      </c>
      <c r="I80" s="174">
        <f t="shared" si="17"/>
        <v>311</v>
      </c>
      <c r="J80" s="174">
        <f>VLOOKUP(D80,原始分!$D:$N,5,0)</f>
        <v>107</v>
      </c>
      <c r="K80" s="174">
        <f t="shared" si="18"/>
        <v>228</v>
      </c>
      <c r="L80" s="174">
        <f>VLOOKUP(D80,原始分!$D:$N,6,0)</f>
        <v>44.5</v>
      </c>
      <c r="M80" s="174">
        <f t="shared" si="19"/>
        <v>432</v>
      </c>
      <c r="N80" s="174">
        <f>VLOOKUP(D80,原始分!$D:$N,7,0)</f>
        <v>0</v>
      </c>
      <c r="O80" s="174">
        <f t="shared" si="20"/>
        <v>207</v>
      </c>
      <c r="P80" s="174">
        <f>VLOOKUP(D80,原始分!$D:$N,8,0)</f>
        <v>0</v>
      </c>
      <c r="Q80" s="174">
        <f t="shared" si="21"/>
        <v>541</v>
      </c>
      <c r="R80" s="174">
        <f>VLOOKUP(D80,原始分!$D:$N,9,0)</f>
        <v>0</v>
      </c>
      <c r="S80" s="174">
        <f t="shared" si="22"/>
        <v>320</v>
      </c>
      <c r="T80" s="174">
        <f>VLOOKUP(D80,原始分!$D:$N,10,0)</f>
        <v>55</v>
      </c>
      <c r="U80" s="174">
        <f t="shared" si="23"/>
        <v>193</v>
      </c>
      <c r="V80" s="174">
        <f>VLOOKUP(D80,原始分!$D:$N,11,0)</f>
        <v>55.75</v>
      </c>
      <c r="W80" s="174">
        <f t="shared" si="24"/>
        <v>169</v>
      </c>
      <c r="X80" s="11">
        <f t="shared" si="25"/>
        <v>304</v>
      </c>
      <c r="Y80" s="9">
        <f t="shared" si="26"/>
        <v>328</v>
      </c>
      <c r="Z80" s="11">
        <f t="shared" si="27"/>
        <v>459.25</v>
      </c>
      <c r="AA80" s="9">
        <f t="shared" si="15"/>
        <v>228</v>
      </c>
    </row>
    <row r="81" ht="14.25" spans="1:27">
      <c r="A81" s="13">
        <v>79</v>
      </c>
      <c r="B81" s="15">
        <v>2</v>
      </c>
      <c r="C81" s="16">
        <v>16</v>
      </c>
      <c r="D81" s="17" t="s">
        <v>171</v>
      </c>
      <c r="E81" s="17" t="s">
        <v>172</v>
      </c>
      <c r="F81" s="174">
        <f>VLOOKUP(D81,原始分!$D:$N,3,0)</f>
        <v>95</v>
      </c>
      <c r="G81" s="174">
        <f t="shared" si="16"/>
        <v>619</v>
      </c>
      <c r="H81" s="174">
        <f>VLOOKUP(D81,原始分!$D:$N,4,0)</f>
        <v>54.5</v>
      </c>
      <c r="I81" s="174">
        <f t="shared" si="17"/>
        <v>858</v>
      </c>
      <c r="J81" s="174">
        <f>VLOOKUP(D81,原始分!$D:$N,5,0)</f>
        <v>93</v>
      </c>
      <c r="K81" s="174">
        <f t="shared" si="18"/>
        <v>525</v>
      </c>
      <c r="L81" s="174">
        <f>VLOOKUP(D81,原始分!$D:$N,6,0)</f>
        <v>23</v>
      </c>
      <c r="M81" s="174">
        <f t="shared" si="19"/>
        <v>645</v>
      </c>
      <c r="N81" s="174">
        <f>VLOOKUP(D81,原始分!$D:$N,7,0)</f>
        <v>0</v>
      </c>
      <c r="O81" s="174">
        <f t="shared" si="20"/>
        <v>207</v>
      </c>
      <c r="P81" s="174">
        <f>VLOOKUP(D81,原始分!$D:$N,8,0)</f>
        <v>0</v>
      </c>
      <c r="Q81" s="174">
        <f t="shared" si="21"/>
        <v>541</v>
      </c>
      <c r="R81" s="174">
        <f>VLOOKUP(D81,原始分!$D:$N,9,0)</f>
        <v>0</v>
      </c>
      <c r="S81" s="174">
        <f t="shared" si="22"/>
        <v>320</v>
      </c>
      <c r="T81" s="174">
        <f>VLOOKUP(D81,原始分!$D:$N,10,0)</f>
        <v>46</v>
      </c>
      <c r="U81" s="174">
        <f t="shared" si="23"/>
        <v>289</v>
      </c>
      <c r="V81" s="174">
        <f>VLOOKUP(D81,原始分!$D:$N,11,0)</f>
        <v>32</v>
      </c>
      <c r="W81" s="174">
        <f t="shared" si="24"/>
        <v>543</v>
      </c>
      <c r="X81" s="11">
        <f t="shared" si="25"/>
        <v>242.5</v>
      </c>
      <c r="Y81" s="9">
        <f t="shared" si="26"/>
        <v>825</v>
      </c>
      <c r="Z81" s="11">
        <f t="shared" si="27"/>
        <v>343.5</v>
      </c>
      <c r="AA81" s="9">
        <f t="shared" si="15"/>
        <v>641</v>
      </c>
    </row>
    <row r="82" ht="14.25" spans="1:27">
      <c r="A82" s="13">
        <v>80</v>
      </c>
      <c r="B82" s="15">
        <v>2</v>
      </c>
      <c r="C82" s="16">
        <v>17</v>
      </c>
      <c r="D82" s="17" t="s">
        <v>173</v>
      </c>
      <c r="E82" s="17" t="s">
        <v>174</v>
      </c>
      <c r="F82" s="174">
        <f>VLOOKUP(D82,原始分!$D:$N,3,0)</f>
        <v>102.5</v>
      </c>
      <c r="G82" s="174">
        <f t="shared" si="16"/>
        <v>279</v>
      </c>
      <c r="H82" s="174">
        <f>VLOOKUP(D82,原始分!$D:$N,4,0)</f>
        <v>96</v>
      </c>
      <c r="I82" s="174">
        <f t="shared" si="17"/>
        <v>492</v>
      </c>
      <c r="J82" s="174">
        <f>VLOOKUP(D82,原始分!$D:$N,5,0)</f>
        <v>92.5</v>
      </c>
      <c r="K82" s="174">
        <f t="shared" si="18"/>
        <v>539</v>
      </c>
      <c r="L82" s="174">
        <f>VLOOKUP(D82,原始分!$D:$N,6,0)</f>
        <v>31.5</v>
      </c>
      <c r="M82" s="174">
        <f t="shared" si="19"/>
        <v>608</v>
      </c>
      <c r="N82" s="174">
        <f>VLOOKUP(D82,原始分!$D:$N,7,0)</f>
        <v>0</v>
      </c>
      <c r="O82" s="174">
        <f t="shared" si="20"/>
        <v>207</v>
      </c>
      <c r="P82" s="174">
        <f>VLOOKUP(D82,原始分!$D:$N,8,0)</f>
        <v>0</v>
      </c>
      <c r="Q82" s="174">
        <f t="shared" si="21"/>
        <v>541</v>
      </c>
      <c r="R82" s="174">
        <f>VLOOKUP(D82,原始分!$D:$N,9,0)</f>
        <v>0</v>
      </c>
      <c r="S82" s="174">
        <f t="shared" si="22"/>
        <v>320</v>
      </c>
      <c r="T82" s="174">
        <f>VLOOKUP(D82,原始分!$D:$N,10,0)</f>
        <v>58</v>
      </c>
      <c r="U82" s="174">
        <f t="shared" si="23"/>
        <v>144</v>
      </c>
      <c r="V82" s="174">
        <f>VLOOKUP(D82,原始分!$D:$N,11,0)</f>
        <v>43.5</v>
      </c>
      <c r="W82" s="174">
        <f t="shared" si="24"/>
        <v>443</v>
      </c>
      <c r="X82" s="11">
        <f t="shared" si="25"/>
        <v>291</v>
      </c>
      <c r="Y82" s="9">
        <f t="shared" si="26"/>
        <v>484</v>
      </c>
      <c r="Z82" s="11">
        <f t="shared" si="27"/>
        <v>424</v>
      </c>
      <c r="AA82" s="9">
        <f t="shared" si="15"/>
        <v>408</v>
      </c>
    </row>
    <row r="83" ht="14.25" spans="1:27">
      <c r="A83" s="13">
        <v>81</v>
      </c>
      <c r="B83" s="15">
        <v>2</v>
      </c>
      <c r="C83" s="16">
        <v>18</v>
      </c>
      <c r="D83" s="17" t="s">
        <v>175</v>
      </c>
      <c r="E83" s="17" t="s">
        <v>176</v>
      </c>
      <c r="F83" s="174">
        <f>VLOOKUP(D83,原始分!$D:$N,3,0)</f>
        <v>93.75</v>
      </c>
      <c r="G83" s="174">
        <f t="shared" si="16"/>
        <v>675</v>
      </c>
      <c r="H83" s="174">
        <f>VLOOKUP(D83,原始分!$D:$N,4,0)</f>
        <v>89.5</v>
      </c>
      <c r="I83" s="174">
        <f t="shared" si="17"/>
        <v>622</v>
      </c>
      <c r="J83" s="174">
        <f>VLOOKUP(D83,原始分!$D:$N,5,0)</f>
        <v>98.75</v>
      </c>
      <c r="K83" s="174">
        <f t="shared" si="18"/>
        <v>407</v>
      </c>
      <c r="L83" s="174">
        <f>VLOOKUP(D83,原始分!$D:$N,6,0)</f>
        <v>53.5</v>
      </c>
      <c r="M83" s="174">
        <f t="shared" si="19"/>
        <v>292</v>
      </c>
      <c r="N83" s="174">
        <f>VLOOKUP(D83,原始分!$D:$N,7,0)</f>
        <v>0</v>
      </c>
      <c r="O83" s="174">
        <f t="shared" si="20"/>
        <v>207</v>
      </c>
      <c r="P83" s="174">
        <f>VLOOKUP(D83,原始分!$D:$N,8,0)</f>
        <v>0</v>
      </c>
      <c r="Q83" s="174">
        <f t="shared" si="21"/>
        <v>541</v>
      </c>
      <c r="R83" s="174">
        <f>VLOOKUP(D83,原始分!$D:$N,9,0)</f>
        <v>0</v>
      </c>
      <c r="S83" s="174">
        <f t="shared" si="22"/>
        <v>320</v>
      </c>
      <c r="T83" s="174">
        <f>VLOOKUP(D83,原始分!$D:$N,10,0)</f>
        <v>49.5</v>
      </c>
      <c r="U83" s="174">
        <f t="shared" si="23"/>
        <v>253</v>
      </c>
      <c r="V83" s="174">
        <f>VLOOKUP(D83,原始分!$D:$N,11,0)</f>
        <v>46.5</v>
      </c>
      <c r="W83" s="174">
        <f t="shared" si="24"/>
        <v>376</v>
      </c>
      <c r="X83" s="11">
        <f t="shared" si="25"/>
        <v>282</v>
      </c>
      <c r="Y83" s="9">
        <f t="shared" si="26"/>
        <v>579</v>
      </c>
      <c r="Z83" s="11">
        <f t="shared" si="27"/>
        <v>431.5</v>
      </c>
      <c r="AA83" s="9">
        <f t="shared" si="15"/>
        <v>373</v>
      </c>
    </row>
    <row r="84" ht="14.25" spans="1:27">
      <c r="A84" s="13">
        <v>82</v>
      </c>
      <c r="B84" s="15">
        <v>2</v>
      </c>
      <c r="C84" s="16">
        <v>19</v>
      </c>
      <c r="D84" s="17" t="s">
        <v>177</v>
      </c>
      <c r="E84" s="17" t="s">
        <v>178</v>
      </c>
      <c r="F84" s="174">
        <f>VLOOKUP(D84,原始分!$D:$N,3,0)</f>
        <v>98</v>
      </c>
      <c r="G84" s="174">
        <f t="shared" si="16"/>
        <v>500</v>
      </c>
      <c r="H84" s="174">
        <f>VLOOKUP(D84,原始分!$D:$N,4,0)</f>
        <v>107</v>
      </c>
      <c r="I84" s="174">
        <f t="shared" si="17"/>
        <v>279</v>
      </c>
      <c r="J84" s="174">
        <f>VLOOKUP(D84,原始分!$D:$N,5,0)</f>
        <v>111</v>
      </c>
      <c r="K84" s="174">
        <f t="shared" si="18"/>
        <v>159</v>
      </c>
      <c r="L84" s="174">
        <f>VLOOKUP(D84,原始分!$D:$N,6,0)</f>
        <v>66.5</v>
      </c>
      <c r="M84" s="174">
        <f t="shared" si="19"/>
        <v>88</v>
      </c>
      <c r="N84" s="174">
        <f>VLOOKUP(D84,原始分!$D:$N,7,0)</f>
        <v>0</v>
      </c>
      <c r="O84" s="174">
        <f t="shared" si="20"/>
        <v>207</v>
      </c>
      <c r="P84" s="174">
        <f>VLOOKUP(D84,原始分!$D:$N,8,0)</f>
        <v>0</v>
      </c>
      <c r="Q84" s="174">
        <f t="shared" si="21"/>
        <v>541</v>
      </c>
      <c r="R84" s="174">
        <f>VLOOKUP(D84,原始分!$D:$N,9,0)</f>
        <v>0</v>
      </c>
      <c r="S84" s="174">
        <f t="shared" si="22"/>
        <v>320</v>
      </c>
      <c r="T84" s="174">
        <f>VLOOKUP(D84,原始分!$D:$N,10,0)</f>
        <v>54</v>
      </c>
      <c r="U84" s="174">
        <f t="shared" si="23"/>
        <v>204</v>
      </c>
      <c r="V84" s="174">
        <f>VLOOKUP(D84,原始分!$D:$N,11,0)</f>
        <v>58</v>
      </c>
      <c r="W84" s="174">
        <f t="shared" si="24"/>
        <v>125</v>
      </c>
      <c r="X84" s="11">
        <f t="shared" si="25"/>
        <v>316</v>
      </c>
      <c r="Y84" s="9">
        <f t="shared" si="26"/>
        <v>196</v>
      </c>
      <c r="Z84" s="11">
        <f t="shared" si="27"/>
        <v>494.5</v>
      </c>
      <c r="AA84" s="9">
        <f t="shared" si="15"/>
        <v>92</v>
      </c>
    </row>
    <row r="85" ht="14.25" spans="1:27">
      <c r="A85" s="13">
        <v>83</v>
      </c>
      <c r="B85" s="15">
        <v>2</v>
      </c>
      <c r="C85" s="16">
        <v>20</v>
      </c>
      <c r="D85" s="17" t="s">
        <v>179</v>
      </c>
      <c r="E85" s="17" t="s">
        <v>180</v>
      </c>
      <c r="F85" s="174">
        <f>VLOOKUP(D85,原始分!$D:$N,3,0)</f>
        <v>103.5</v>
      </c>
      <c r="G85" s="174">
        <f t="shared" si="16"/>
        <v>230</v>
      </c>
      <c r="H85" s="174">
        <f>VLOOKUP(D85,原始分!$D:$N,4,0)</f>
        <v>87.5</v>
      </c>
      <c r="I85" s="174">
        <f t="shared" si="17"/>
        <v>665</v>
      </c>
      <c r="J85" s="174">
        <f>VLOOKUP(D85,原始分!$D:$N,5,0)</f>
        <v>87.25</v>
      </c>
      <c r="K85" s="174">
        <f t="shared" si="18"/>
        <v>628</v>
      </c>
      <c r="L85" s="174">
        <f>VLOOKUP(D85,原始分!$D:$N,6,0)</f>
        <v>41</v>
      </c>
      <c r="M85" s="174">
        <f t="shared" si="19"/>
        <v>490</v>
      </c>
      <c r="N85" s="174">
        <f>VLOOKUP(D85,原始分!$D:$N,7,0)</f>
        <v>0</v>
      </c>
      <c r="O85" s="174">
        <f t="shared" si="20"/>
        <v>207</v>
      </c>
      <c r="P85" s="174">
        <f>VLOOKUP(D85,原始分!$D:$N,8,0)</f>
        <v>0</v>
      </c>
      <c r="Q85" s="174">
        <f t="shared" si="21"/>
        <v>541</v>
      </c>
      <c r="R85" s="174">
        <f>VLOOKUP(D85,原始分!$D:$N,9,0)</f>
        <v>0</v>
      </c>
      <c r="S85" s="174">
        <f t="shared" si="22"/>
        <v>320</v>
      </c>
      <c r="T85" s="174">
        <f>VLOOKUP(D85,原始分!$D:$N,10,0)</f>
        <v>45</v>
      </c>
      <c r="U85" s="174">
        <f t="shared" si="23"/>
        <v>295</v>
      </c>
      <c r="V85" s="174">
        <f>VLOOKUP(D85,原始分!$D:$N,11,0)</f>
        <v>53</v>
      </c>
      <c r="W85" s="174">
        <f t="shared" si="24"/>
        <v>223</v>
      </c>
      <c r="X85" s="11">
        <f t="shared" si="25"/>
        <v>278.25</v>
      </c>
      <c r="Y85" s="9">
        <f t="shared" si="26"/>
        <v>617</v>
      </c>
      <c r="Z85" s="11">
        <f t="shared" si="27"/>
        <v>417.25</v>
      </c>
      <c r="AA85" s="9">
        <f t="shared" si="15"/>
        <v>439</v>
      </c>
    </row>
    <row r="86" ht="14.25" spans="1:27">
      <c r="A86" s="13">
        <v>84</v>
      </c>
      <c r="B86" s="15">
        <v>2</v>
      </c>
      <c r="C86" s="16">
        <v>21</v>
      </c>
      <c r="D86" s="17" t="s">
        <v>181</v>
      </c>
      <c r="E86" s="17" t="s">
        <v>182</v>
      </c>
      <c r="F86" s="174">
        <f>VLOOKUP(D86,原始分!$D:$N,3,0)</f>
        <v>104.5</v>
      </c>
      <c r="G86" s="174">
        <f t="shared" si="16"/>
        <v>190</v>
      </c>
      <c r="H86" s="174">
        <f>VLOOKUP(D86,原始分!$D:$N,4,0)</f>
        <v>102.5</v>
      </c>
      <c r="I86" s="174">
        <f t="shared" si="17"/>
        <v>372</v>
      </c>
      <c r="J86" s="174">
        <f>VLOOKUP(D86,原始分!$D:$N,5,0)</f>
        <v>96</v>
      </c>
      <c r="K86" s="174">
        <f t="shared" si="18"/>
        <v>465</v>
      </c>
      <c r="L86" s="174">
        <f>VLOOKUP(D86,原始分!$D:$N,6,0)</f>
        <v>53</v>
      </c>
      <c r="M86" s="174">
        <f t="shared" si="19"/>
        <v>300</v>
      </c>
      <c r="N86" s="174">
        <f>VLOOKUP(D86,原始分!$D:$N,7,0)</f>
        <v>0</v>
      </c>
      <c r="O86" s="174">
        <f t="shared" si="20"/>
        <v>207</v>
      </c>
      <c r="P86" s="174">
        <f>VLOOKUP(D86,原始分!$D:$N,8,0)</f>
        <v>0</v>
      </c>
      <c r="Q86" s="174">
        <f t="shared" si="21"/>
        <v>541</v>
      </c>
      <c r="R86" s="174">
        <f>VLOOKUP(D86,原始分!$D:$N,9,0)</f>
        <v>0</v>
      </c>
      <c r="S86" s="174">
        <f t="shared" si="22"/>
        <v>320</v>
      </c>
      <c r="T86" s="174">
        <f>VLOOKUP(D86,原始分!$D:$N,10,0)</f>
        <v>65.25</v>
      </c>
      <c r="U86" s="174">
        <f t="shared" si="23"/>
        <v>44</v>
      </c>
      <c r="V86" s="174">
        <f>VLOOKUP(D86,原始分!$D:$N,11,0)</f>
        <v>56</v>
      </c>
      <c r="W86" s="174">
        <f t="shared" si="24"/>
        <v>160</v>
      </c>
      <c r="X86" s="11">
        <f t="shared" si="25"/>
        <v>303</v>
      </c>
      <c r="Y86" s="9">
        <f t="shared" si="26"/>
        <v>335</v>
      </c>
      <c r="Z86" s="11">
        <f t="shared" si="27"/>
        <v>477.25</v>
      </c>
      <c r="AA86" s="9">
        <f t="shared" si="15"/>
        <v>144</v>
      </c>
    </row>
    <row r="87" ht="14.25" spans="1:27">
      <c r="A87" s="13">
        <v>85</v>
      </c>
      <c r="B87" s="15">
        <v>2</v>
      </c>
      <c r="C87" s="16">
        <v>22</v>
      </c>
      <c r="D87" s="17" t="s">
        <v>183</v>
      </c>
      <c r="E87" s="17" t="s">
        <v>184</v>
      </c>
      <c r="F87" s="174">
        <f>VLOOKUP(D87,原始分!$D:$N,3,0)</f>
        <v>94.5</v>
      </c>
      <c r="G87" s="174">
        <f t="shared" si="16"/>
        <v>642</v>
      </c>
      <c r="H87" s="174">
        <f>VLOOKUP(D87,原始分!$D:$N,4,0)</f>
        <v>88.5</v>
      </c>
      <c r="I87" s="174">
        <f t="shared" si="17"/>
        <v>641</v>
      </c>
      <c r="J87" s="174">
        <f>VLOOKUP(D87,原始分!$D:$N,5,0)</f>
        <v>74.25</v>
      </c>
      <c r="K87" s="174">
        <f t="shared" si="18"/>
        <v>797</v>
      </c>
      <c r="L87" s="174">
        <f>VLOOKUP(D87,原始分!$D:$N,6,0)</f>
        <v>38.5</v>
      </c>
      <c r="M87" s="174">
        <f t="shared" si="19"/>
        <v>528</v>
      </c>
      <c r="N87" s="174">
        <f>VLOOKUP(D87,原始分!$D:$N,7,0)</f>
        <v>0</v>
      </c>
      <c r="O87" s="174">
        <f t="shared" si="20"/>
        <v>207</v>
      </c>
      <c r="P87" s="174">
        <f>VLOOKUP(D87,原始分!$D:$N,8,0)</f>
        <v>0</v>
      </c>
      <c r="Q87" s="174">
        <f t="shared" si="21"/>
        <v>541</v>
      </c>
      <c r="R87" s="174">
        <f>VLOOKUP(D87,原始分!$D:$N,9,0)</f>
        <v>0</v>
      </c>
      <c r="S87" s="174">
        <f t="shared" si="22"/>
        <v>320</v>
      </c>
      <c r="T87" s="174">
        <f>VLOOKUP(D87,原始分!$D:$N,10,0)</f>
        <v>47.5</v>
      </c>
      <c r="U87" s="174">
        <f t="shared" si="23"/>
        <v>278</v>
      </c>
      <c r="V87" s="174">
        <f>VLOOKUP(D87,原始分!$D:$N,11,0)</f>
        <v>57</v>
      </c>
      <c r="W87" s="174">
        <f t="shared" si="24"/>
        <v>139</v>
      </c>
      <c r="X87" s="11">
        <f t="shared" si="25"/>
        <v>257.25</v>
      </c>
      <c r="Y87" s="9">
        <f t="shared" si="26"/>
        <v>782</v>
      </c>
      <c r="Z87" s="11">
        <f t="shared" si="27"/>
        <v>400.25</v>
      </c>
      <c r="AA87" s="9">
        <f t="shared" si="15"/>
        <v>522</v>
      </c>
    </row>
    <row r="88" ht="14.25" spans="1:27">
      <c r="A88" s="13">
        <v>86</v>
      </c>
      <c r="B88" s="15">
        <v>2</v>
      </c>
      <c r="C88" s="16">
        <v>23</v>
      </c>
      <c r="D88" s="17" t="s">
        <v>185</v>
      </c>
      <c r="E88" s="17" t="s">
        <v>186</v>
      </c>
      <c r="F88" s="174">
        <f>VLOOKUP(D88,原始分!$D:$N,3,0)</f>
        <v>100.5</v>
      </c>
      <c r="G88" s="174">
        <f t="shared" si="16"/>
        <v>370</v>
      </c>
      <c r="H88" s="174">
        <f>VLOOKUP(D88,原始分!$D:$N,4,0)</f>
        <v>95.5</v>
      </c>
      <c r="I88" s="174">
        <f t="shared" si="17"/>
        <v>502</v>
      </c>
      <c r="J88" s="174">
        <f>VLOOKUP(D88,原始分!$D:$N,5,0)</f>
        <v>121</v>
      </c>
      <c r="K88" s="174">
        <f t="shared" si="18"/>
        <v>37</v>
      </c>
      <c r="L88" s="174">
        <f>VLOOKUP(D88,原始分!$D:$N,6,0)</f>
        <v>47.5</v>
      </c>
      <c r="M88" s="174">
        <f t="shared" si="19"/>
        <v>382</v>
      </c>
      <c r="N88" s="174">
        <f>VLOOKUP(D88,原始分!$D:$N,7,0)</f>
        <v>0</v>
      </c>
      <c r="O88" s="174">
        <f t="shared" si="20"/>
        <v>207</v>
      </c>
      <c r="P88" s="174">
        <f>VLOOKUP(D88,原始分!$D:$N,8,0)</f>
        <v>0</v>
      </c>
      <c r="Q88" s="174">
        <f t="shared" si="21"/>
        <v>541</v>
      </c>
      <c r="R88" s="174">
        <f>VLOOKUP(D88,原始分!$D:$N,9,0)</f>
        <v>0</v>
      </c>
      <c r="S88" s="174">
        <f t="shared" si="22"/>
        <v>320</v>
      </c>
      <c r="T88" s="174">
        <f>VLOOKUP(D88,原始分!$D:$N,10,0)</f>
        <v>64</v>
      </c>
      <c r="U88" s="174">
        <f t="shared" si="23"/>
        <v>62</v>
      </c>
      <c r="V88" s="174">
        <f>VLOOKUP(D88,原始分!$D:$N,11,0)</f>
        <v>46</v>
      </c>
      <c r="W88" s="174">
        <f t="shared" si="24"/>
        <v>386</v>
      </c>
      <c r="X88" s="11">
        <f t="shared" si="25"/>
        <v>317</v>
      </c>
      <c r="Y88" s="9">
        <f t="shared" si="26"/>
        <v>189</v>
      </c>
      <c r="Z88" s="11">
        <f t="shared" si="27"/>
        <v>474.5</v>
      </c>
      <c r="AA88" s="9">
        <f t="shared" si="15"/>
        <v>160</v>
      </c>
    </row>
    <row r="89" ht="14.25" spans="1:27">
      <c r="A89" s="13">
        <v>87</v>
      </c>
      <c r="B89" s="15">
        <v>2</v>
      </c>
      <c r="C89" s="16">
        <v>24</v>
      </c>
      <c r="D89" s="17" t="s">
        <v>187</v>
      </c>
      <c r="E89" s="17" t="s">
        <v>188</v>
      </c>
      <c r="F89" s="174">
        <f>VLOOKUP(D89,原始分!$D:$N,3,0)</f>
        <v>107</v>
      </c>
      <c r="G89" s="174">
        <f t="shared" si="16"/>
        <v>113</v>
      </c>
      <c r="H89" s="174">
        <f>VLOOKUP(D89,原始分!$D:$N,4,0)</f>
        <v>92</v>
      </c>
      <c r="I89" s="174">
        <f t="shared" si="17"/>
        <v>578</v>
      </c>
      <c r="J89" s="174">
        <f>VLOOKUP(D89,原始分!$D:$N,5,0)</f>
        <v>97</v>
      </c>
      <c r="K89" s="174">
        <f t="shared" si="18"/>
        <v>444</v>
      </c>
      <c r="L89" s="174">
        <f>VLOOKUP(D89,原始分!$D:$N,6,0)</f>
        <v>60.5</v>
      </c>
      <c r="M89" s="174">
        <f t="shared" si="19"/>
        <v>180</v>
      </c>
      <c r="N89" s="174">
        <f>VLOOKUP(D89,原始分!$D:$N,7,0)</f>
        <v>0</v>
      </c>
      <c r="O89" s="174">
        <f t="shared" si="20"/>
        <v>207</v>
      </c>
      <c r="P89" s="174">
        <f>VLOOKUP(D89,原始分!$D:$N,8,0)</f>
        <v>0</v>
      </c>
      <c r="Q89" s="174">
        <f t="shared" si="21"/>
        <v>541</v>
      </c>
      <c r="R89" s="174">
        <f>VLOOKUP(D89,原始分!$D:$N,9,0)</f>
        <v>0</v>
      </c>
      <c r="S89" s="174">
        <f t="shared" si="22"/>
        <v>320</v>
      </c>
      <c r="T89" s="174">
        <f>VLOOKUP(D89,原始分!$D:$N,10,0)</f>
        <v>68.5</v>
      </c>
      <c r="U89" s="174">
        <f t="shared" si="23"/>
        <v>16</v>
      </c>
      <c r="V89" s="174">
        <f>VLOOKUP(D89,原始分!$D:$N,11,0)</f>
        <v>50</v>
      </c>
      <c r="W89" s="174">
        <f t="shared" si="24"/>
        <v>302</v>
      </c>
      <c r="X89" s="11">
        <f t="shared" si="25"/>
        <v>296</v>
      </c>
      <c r="Y89" s="9">
        <f t="shared" si="26"/>
        <v>417</v>
      </c>
      <c r="Z89" s="11">
        <f t="shared" si="27"/>
        <v>475</v>
      </c>
      <c r="AA89" s="9">
        <f t="shared" si="15"/>
        <v>158</v>
      </c>
    </row>
    <row r="90" ht="14.25" spans="1:27">
      <c r="A90" s="13">
        <v>88</v>
      </c>
      <c r="B90" s="15">
        <v>2</v>
      </c>
      <c r="C90" s="16">
        <v>25</v>
      </c>
      <c r="D90" s="17" t="s">
        <v>189</v>
      </c>
      <c r="E90" s="17" t="s">
        <v>190</v>
      </c>
      <c r="F90" s="174">
        <f>VLOOKUP(D90,原始分!$D:$N,3,0)</f>
        <v>103.5</v>
      </c>
      <c r="G90" s="174">
        <f t="shared" si="16"/>
        <v>230</v>
      </c>
      <c r="H90" s="174">
        <f>VLOOKUP(D90,原始分!$D:$N,4,0)</f>
        <v>88</v>
      </c>
      <c r="I90" s="174">
        <f t="shared" si="17"/>
        <v>654</v>
      </c>
      <c r="J90" s="174">
        <f>VLOOKUP(D90,原始分!$D:$N,5,0)</f>
        <v>75.5</v>
      </c>
      <c r="K90" s="174">
        <f t="shared" si="18"/>
        <v>786</v>
      </c>
      <c r="L90" s="174">
        <f>VLOOKUP(D90,原始分!$D:$N,6,0)</f>
        <v>61</v>
      </c>
      <c r="M90" s="174">
        <f t="shared" si="19"/>
        <v>168</v>
      </c>
      <c r="N90" s="174">
        <f>VLOOKUP(D90,原始分!$D:$N,7,0)</f>
        <v>0</v>
      </c>
      <c r="O90" s="174">
        <f t="shared" si="20"/>
        <v>207</v>
      </c>
      <c r="P90" s="174">
        <f>VLOOKUP(D90,原始分!$D:$N,8,0)</f>
        <v>0</v>
      </c>
      <c r="Q90" s="174">
        <f t="shared" si="21"/>
        <v>541</v>
      </c>
      <c r="R90" s="174">
        <f>VLOOKUP(D90,原始分!$D:$N,9,0)</f>
        <v>0</v>
      </c>
      <c r="S90" s="174">
        <f t="shared" si="22"/>
        <v>320</v>
      </c>
      <c r="T90" s="174">
        <f>VLOOKUP(D90,原始分!$D:$N,10,0)</f>
        <v>47.75</v>
      </c>
      <c r="U90" s="174">
        <f t="shared" si="23"/>
        <v>276</v>
      </c>
      <c r="V90" s="174">
        <f>VLOOKUP(D90,原始分!$D:$N,11,0)</f>
        <v>59.75</v>
      </c>
      <c r="W90" s="174">
        <f t="shared" si="24"/>
        <v>98</v>
      </c>
      <c r="X90" s="11">
        <f t="shared" si="25"/>
        <v>267</v>
      </c>
      <c r="Y90" s="9">
        <f t="shared" si="26"/>
        <v>727</v>
      </c>
      <c r="Z90" s="11">
        <f t="shared" si="27"/>
        <v>435.5</v>
      </c>
      <c r="AA90" s="9">
        <f t="shared" si="15"/>
        <v>358</v>
      </c>
    </row>
    <row r="91" ht="14.25" spans="1:27">
      <c r="A91" s="13">
        <v>89</v>
      </c>
      <c r="B91" s="15">
        <v>2</v>
      </c>
      <c r="C91" s="16">
        <v>26</v>
      </c>
      <c r="D91" s="17" t="s">
        <v>191</v>
      </c>
      <c r="E91" s="17" t="s">
        <v>192</v>
      </c>
      <c r="F91" s="174">
        <f>VLOOKUP(D91,原始分!$D:$N,3,0)</f>
        <v>106.5</v>
      </c>
      <c r="G91" s="174">
        <f t="shared" si="16"/>
        <v>132</v>
      </c>
      <c r="H91" s="174">
        <f>VLOOKUP(D91,原始分!$D:$N,4,0)</f>
        <v>89</v>
      </c>
      <c r="I91" s="174">
        <f t="shared" si="17"/>
        <v>632</v>
      </c>
      <c r="J91" s="174">
        <f>VLOOKUP(D91,原始分!$D:$N,5,0)</f>
        <v>110.25</v>
      </c>
      <c r="K91" s="174">
        <f t="shared" si="18"/>
        <v>170</v>
      </c>
      <c r="L91" s="174">
        <f>VLOOKUP(D91,原始分!$D:$N,6,0)</f>
        <v>58.5</v>
      </c>
      <c r="M91" s="174">
        <f t="shared" si="19"/>
        <v>209</v>
      </c>
      <c r="N91" s="174">
        <f>VLOOKUP(D91,原始分!$D:$N,7,0)</f>
        <v>0</v>
      </c>
      <c r="O91" s="174">
        <f t="shared" si="20"/>
        <v>207</v>
      </c>
      <c r="P91" s="174">
        <f>VLOOKUP(D91,原始分!$D:$N,8,0)</f>
        <v>0</v>
      </c>
      <c r="Q91" s="174">
        <f t="shared" si="21"/>
        <v>541</v>
      </c>
      <c r="R91" s="174">
        <f>VLOOKUP(D91,原始分!$D:$N,9,0)</f>
        <v>0</v>
      </c>
      <c r="S91" s="174">
        <f t="shared" si="22"/>
        <v>320</v>
      </c>
      <c r="T91" s="174">
        <f>VLOOKUP(D91,原始分!$D:$N,10,0)</f>
        <v>52.5</v>
      </c>
      <c r="U91" s="174">
        <f t="shared" si="23"/>
        <v>225</v>
      </c>
      <c r="V91" s="174">
        <f>VLOOKUP(D91,原始分!$D:$N,11,0)</f>
        <v>50</v>
      </c>
      <c r="W91" s="174">
        <f t="shared" si="24"/>
        <v>302</v>
      </c>
      <c r="X91" s="11">
        <f t="shared" si="25"/>
        <v>305.75</v>
      </c>
      <c r="Y91" s="9">
        <f t="shared" si="26"/>
        <v>310</v>
      </c>
      <c r="Z91" s="11">
        <f t="shared" si="27"/>
        <v>466.75</v>
      </c>
      <c r="AA91" s="9">
        <f t="shared" si="15"/>
        <v>188</v>
      </c>
    </row>
    <row r="92" ht="14.25" spans="1:27">
      <c r="A92" s="13">
        <v>90</v>
      </c>
      <c r="B92" s="15">
        <v>2</v>
      </c>
      <c r="C92" s="16">
        <v>27</v>
      </c>
      <c r="D92" s="17" t="s">
        <v>193</v>
      </c>
      <c r="E92" s="17" t="s">
        <v>194</v>
      </c>
      <c r="F92" s="174">
        <f>VLOOKUP(D92,原始分!$D:$N,3,0)</f>
        <v>106</v>
      </c>
      <c r="G92" s="174">
        <f t="shared" si="16"/>
        <v>145</v>
      </c>
      <c r="H92" s="174">
        <f>VLOOKUP(D92,原始分!$D:$N,4,0)</f>
        <v>109</v>
      </c>
      <c r="I92" s="174">
        <f t="shared" si="17"/>
        <v>241</v>
      </c>
      <c r="J92" s="174">
        <f>VLOOKUP(D92,原始分!$D:$N,5,0)</f>
        <v>122</v>
      </c>
      <c r="K92" s="174">
        <f t="shared" si="18"/>
        <v>23</v>
      </c>
      <c r="L92" s="174">
        <f>VLOOKUP(D92,原始分!$D:$N,6,0)</f>
        <v>43</v>
      </c>
      <c r="M92" s="174">
        <f t="shared" si="19"/>
        <v>461</v>
      </c>
      <c r="N92" s="174">
        <f>VLOOKUP(D92,原始分!$D:$N,7,0)</f>
        <v>0</v>
      </c>
      <c r="O92" s="174">
        <f t="shared" si="20"/>
        <v>207</v>
      </c>
      <c r="P92" s="174">
        <f>VLOOKUP(D92,原始分!$D:$N,8,0)</f>
        <v>0</v>
      </c>
      <c r="Q92" s="174">
        <f t="shared" si="21"/>
        <v>541</v>
      </c>
      <c r="R92" s="174">
        <f>VLOOKUP(D92,原始分!$D:$N,9,0)</f>
        <v>0</v>
      </c>
      <c r="S92" s="174">
        <f t="shared" si="22"/>
        <v>320</v>
      </c>
      <c r="T92" s="174">
        <f>VLOOKUP(D92,原始分!$D:$N,10,0)</f>
        <v>57.5</v>
      </c>
      <c r="U92" s="174">
        <f t="shared" si="23"/>
        <v>151</v>
      </c>
      <c r="V92" s="174">
        <f>VLOOKUP(D92,原始分!$D:$N,11,0)</f>
        <v>38.5</v>
      </c>
      <c r="W92" s="174">
        <f t="shared" si="24"/>
        <v>506</v>
      </c>
      <c r="X92" s="11">
        <f t="shared" si="25"/>
        <v>337</v>
      </c>
      <c r="Y92" s="9">
        <f t="shared" si="26"/>
        <v>51</v>
      </c>
      <c r="Z92" s="11">
        <f t="shared" si="27"/>
        <v>476</v>
      </c>
      <c r="AA92" s="9">
        <f t="shared" si="15"/>
        <v>151</v>
      </c>
    </row>
    <row r="93" ht="14.25" spans="1:27">
      <c r="A93" s="13">
        <v>91</v>
      </c>
      <c r="B93" s="15">
        <v>2</v>
      </c>
      <c r="C93" s="16">
        <v>28</v>
      </c>
      <c r="D93" s="17" t="s">
        <v>195</v>
      </c>
      <c r="E93" s="17" t="s">
        <v>196</v>
      </c>
      <c r="F93" s="174">
        <f>VLOOKUP(D93,原始分!$D:$N,3,0)</f>
        <v>81.5</v>
      </c>
      <c r="G93" s="174">
        <f t="shared" si="16"/>
        <v>857</v>
      </c>
      <c r="H93" s="174">
        <f>VLOOKUP(D93,原始分!$D:$N,4,0)</f>
        <v>90.5</v>
      </c>
      <c r="I93" s="174">
        <f t="shared" si="17"/>
        <v>609</v>
      </c>
      <c r="J93" s="174">
        <f>VLOOKUP(D93,原始分!$D:$N,5,0)</f>
        <v>98</v>
      </c>
      <c r="K93" s="174">
        <f t="shared" si="18"/>
        <v>425</v>
      </c>
      <c r="L93" s="174">
        <f>VLOOKUP(D93,原始分!$D:$N,6,0)</f>
        <v>39</v>
      </c>
      <c r="M93" s="174">
        <f t="shared" si="19"/>
        <v>520</v>
      </c>
      <c r="N93" s="174">
        <f>VLOOKUP(D93,原始分!$D:$N,7,0)</f>
        <v>0</v>
      </c>
      <c r="O93" s="174">
        <f t="shared" si="20"/>
        <v>207</v>
      </c>
      <c r="P93" s="174">
        <f>VLOOKUP(D93,原始分!$D:$N,8,0)</f>
        <v>0</v>
      </c>
      <c r="Q93" s="174">
        <f t="shared" si="21"/>
        <v>541</v>
      </c>
      <c r="R93" s="174">
        <f>VLOOKUP(D93,原始分!$D:$N,9,0)</f>
        <v>0</v>
      </c>
      <c r="S93" s="174">
        <f t="shared" si="22"/>
        <v>320</v>
      </c>
      <c r="T93" s="174">
        <f>VLOOKUP(D93,原始分!$D:$N,10,0)</f>
        <v>44.5</v>
      </c>
      <c r="U93" s="174">
        <f t="shared" si="23"/>
        <v>297</v>
      </c>
      <c r="V93" s="174">
        <f>VLOOKUP(D93,原始分!$D:$N,11,0)</f>
        <v>44.5</v>
      </c>
      <c r="W93" s="174">
        <f t="shared" si="24"/>
        <v>424</v>
      </c>
      <c r="X93" s="11">
        <f t="shared" si="25"/>
        <v>270</v>
      </c>
      <c r="Y93" s="9">
        <f t="shared" si="26"/>
        <v>700</v>
      </c>
      <c r="Z93" s="11">
        <f t="shared" si="27"/>
        <v>398</v>
      </c>
      <c r="AA93" s="9">
        <f t="shared" si="15"/>
        <v>529</v>
      </c>
    </row>
    <row r="94" ht="14.25" spans="1:27">
      <c r="A94" s="13">
        <v>92</v>
      </c>
      <c r="B94" s="15">
        <v>2</v>
      </c>
      <c r="C94" s="16">
        <v>29</v>
      </c>
      <c r="D94" s="17" t="s">
        <v>197</v>
      </c>
      <c r="E94" s="17" t="s">
        <v>198</v>
      </c>
      <c r="F94" s="174">
        <f>VLOOKUP(D94,原始分!$D:$N,3,0)</f>
        <v>94.5</v>
      </c>
      <c r="G94" s="174">
        <f t="shared" si="16"/>
        <v>642</v>
      </c>
      <c r="H94" s="174">
        <f>VLOOKUP(D94,原始分!$D:$N,4,0)</f>
        <v>105</v>
      </c>
      <c r="I94" s="174">
        <f t="shared" si="17"/>
        <v>317</v>
      </c>
      <c r="J94" s="174">
        <f>VLOOKUP(D94,原始分!$D:$N,5,0)</f>
        <v>115.5</v>
      </c>
      <c r="K94" s="174">
        <f t="shared" si="18"/>
        <v>94</v>
      </c>
      <c r="L94" s="174">
        <f>VLOOKUP(D94,原始分!$D:$N,6,0)</f>
        <v>70.5</v>
      </c>
      <c r="M94" s="174">
        <f t="shared" si="19"/>
        <v>64</v>
      </c>
      <c r="N94" s="174">
        <f>VLOOKUP(D94,原始分!$D:$N,7,0)</f>
        <v>0</v>
      </c>
      <c r="O94" s="174">
        <f t="shared" si="20"/>
        <v>207</v>
      </c>
      <c r="P94" s="174">
        <f>VLOOKUP(D94,原始分!$D:$N,8,0)</f>
        <v>0</v>
      </c>
      <c r="Q94" s="174">
        <f t="shared" si="21"/>
        <v>541</v>
      </c>
      <c r="R94" s="174">
        <f>VLOOKUP(D94,原始分!$D:$N,9,0)</f>
        <v>0</v>
      </c>
      <c r="S94" s="174">
        <f t="shared" si="22"/>
        <v>320</v>
      </c>
      <c r="T94" s="174">
        <f>VLOOKUP(D94,原始分!$D:$N,10,0)</f>
        <v>64.5</v>
      </c>
      <c r="U94" s="174">
        <f t="shared" si="23"/>
        <v>55</v>
      </c>
      <c r="V94" s="174">
        <f>VLOOKUP(D94,原始分!$D:$N,11,0)</f>
        <v>66</v>
      </c>
      <c r="W94" s="174">
        <f t="shared" si="24"/>
        <v>32</v>
      </c>
      <c r="X94" s="11">
        <f t="shared" si="25"/>
        <v>315</v>
      </c>
      <c r="Y94" s="9">
        <f t="shared" si="26"/>
        <v>204</v>
      </c>
      <c r="Z94" s="11">
        <f t="shared" si="27"/>
        <v>516</v>
      </c>
      <c r="AA94" s="9">
        <f t="shared" si="15"/>
        <v>42</v>
      </c>
    </row>
    <row r="95" ht="14.25" spans="1:27">
      <c r="A95" s="13">
        <v>93</v>
      </c>
      <c r="B95" s="15">
        <v>2</v>
      </c>
      <c r="C95" s="16">
        <v>30</v>
      </c>
      <c r="D95" s="17" t="s">
        <v>199</v>
      </c>
      <c r="E95" s="17" t="s">
        <v>200</v>
      </c>
      <c r="F95" s="174">
        <f>VLOOKUP(D95,原始分!$D:$N,3,0)</f>
        <v>102</v>
      </c>
      <c r="G95" s="174">
        <f t="shared" si="16"/>
        <v>304</v>
      </c>
      <c r="H95" s="174">
        <f>VLOOKUP(D95,原始分!$D:$N,4,0)</f>
        <v>107</v>
      </c>
      <c r="I95" s="174">
        <f t="shared" si="17"/>
        <v>279</v>
      </c>
      <c r="J95" s="174">
        <f>VLOOKUP(D95,原始分!$D:$N,5,0)</f>
        <v>99.5</v>
      </c>
      <c r="K95" s="174">
        <f t="shared" si="18"/>
        <v>383</v>
      </c>
      <c r="L95" s="174">
        <f>VLOOKUP(D95,原始分!$D:$N,6,0)</f>
        <v>56.5</v>
      </c>
      <c r="M95" s="174">
        <f t="shared" si="19"/>
        <v>244</v>
      </c>
      <c r="N95" s="174">
        <f>VLOOKUP(D95,原始分!$D:$N,7,0)</f>
        <v>0</v>
      </c>
      <c r="O95" s="174">
        <f t="shared" si="20"/>
        <v>207</v>
      </c>
      <c r="P95" s="174">
        <f>VLOOKUP(D95,原始分!$D:$N,8,0)</f>
        <v>0</v>
      </c>
      <c r="Q95" s="174">
        <f t="shared" si="21"/>
        <v>541</v>
      </c>
      <c r="R95" s="174">
        <f>VLOOKUP(D95,原始分!$D:$N,9,0)</f>
        <v>0</v>
      </c>
      <c r="S95" s="174">
        <f t="shared" si="22"/>
        <v>320</v>
      </c>
      <c r="T95" s="174">
        <f>VLOOKUP(D95,原始分!$D:$N,10,0)</f>
        <v>45.5</v>
      </c>
      <c r="U95" s="174">
        <f t="shared" si="23"/>
        <v>293</v>
      </c>
      <c r="V95" s="174">
        <f>VLOOKUP(D95,原始分!$D:$N,11,0)</f>
        <v>55.5</v>
      </c>
      <c r="W95" s="174">
        <f t="shared" si="24"/>
        <v>170</v>
      </c>
      <c r="X95" s="11">
        <f t="shared" si="25"/>
        <v>308.5</v>
      </c>
      <c r="Y95" s="9">
        <f t="shared" si="26"/>
        <v>283</v>
      </c>
      <c r="Z95" s="11">
        <f t="shared" si="27"/>
        <v>466</v>
      </c>
      <c r="AA95" s="9">
        <f t="shared" si="15"/>
        <v>191</v>
      </c>
    </row>
    <row r="96" ht="14.25" spans="1:27">
      <c r="A96" s="13">
        <v>94</v>
      </c>
      <c r="B96" s="15">
        <v>2</v>
      </c>
      <c r="C96" s="16">
        <v>31</v>
      </c>
      <c r="D96" s="17" t="s">
        <v>201</v>
      </c>
      <c r="E96" s="17" t="s">
        <v>202</v>
      </c>
      <c r="F96" s="174">
        <f>VLOOKUP(D96,原始分!$D:$N,3,0)</f>
        <v>96.5</v>
      </c>
      <c r="G96" s="174">
        <f t="shared" si="16"/>
        <v>566</v>
      </c>
      <c r="H96" s="174">
        <f>VLOOKUP(D96,原始分!$D:$N,4,0)</f>
        <v>100.5</v>
      </c>
      <c r="I96" s="174">
        <f t="shared" si="17"/>
        <v>410</v>
      </c>
      <c r="J96" s="174">
        <f>VLOOKUP(D96,原始分!$D:$N,5,0)</f>
        <v>101.5</v>
      </c>
      <c r="K96" s="174">
        <f t="shared" si="18"/>
        <v>334</v>
      </c>
      <c r="L96" s="174">
        <f>VLOOKUP(D96,原始分!$D:$N,6,0)</f>
        <v>47</v>
      </c>
      <c r="M96" s="174">
        <f t="shared" si="19"/>
        <v>391</v>
      </c>
      <c r="N96" s="174">
        <f>VLOOKUP(D96,原始分!$D:$N,7,0)</f>
        <v>0</v>
      </c>
      <c r="O96" s="174">
        <f t="shared" si="20"/>
        <v>207</v>
      </c>
      <c r="P96" s="174">
        <f>VLOOKUP(D96,原始分!$D:$N,8,0)</f>
        <v>0</v>
      </c>
      <c r="Q96" s="174">
        <f t="shared" si="21"/>
        <v>541</v>
      </c>
      <c r="R96" s="174">
        <f>VLOOKUP(D96,原始分!$D:$N,9,0)</f>
        <v>0</v>
      </c>
      <c r="S96" s="174">
        <f t="shared" si="22"/>
        <v>320</v>
      </c>
      <c r="T96" s="174">
        <f>VLOOKUP(D96,原始分!$D:$N,10,0)</f>
        <v>46.5</v>
      </c>
      <c r="U96" s="174">
        <f t="shared" si="23"/>
        <v>286</v>
      </c>
      <c r="V96" s="174">
        <f>VLOOKUP(D96,原始分!$D:$N,11,0)</f>
        <v>59.5</v>
      </c>
      <c r="W96" s="174">
        <f t="shared" si="24"/>
        <v>99</v>
      </c>
      <c r="X96" s="11">
        <f t="shared" si="25"/>
        <v>298.5</v>
      </c>
      <c r="Y96" s="9">
        <f t="shared" si="26"/>
        <v>390</v>
      </c>
      <c r="Z96" s="11">
        <f t="shared" si="27"/>
        <v>451.5</v>
      </c>
      <c r="AA96" s="9">
        <f t="shared" si="15"/>
        <v>270</v>
      </c>
    </row>
    <row r="97" ht="14.25" spans="1:27">
      <c r="A97" s="13">
        <v>95</v>
      </c>
      <c r="B97" s="15">
        <v>2</v>
      </c>
      <c r="C97" s="16">
        <v>32</v>
      </c>
      <c r="D97" s="17" t="s">
        <v>203</v>
      </c>
      <c r="E97" s="17" t="s">
        <v>204</v>
      </c>
      <c r="F97" s="174">
        <f>VLOOKUP(D97,原始分!$D:$N,3,0)</f>
        <v>96</v>
      </c>
      <c r="G97" s="174">
        <f t="shared" si="16"/>
        <v>579</v>
      </c>
      <c r="H97" s="174">
        <f>VLOOKUP(D97,原始分!$D:$N,4,0)</f>
        <v>102.5</v>
      </c>
      <c r="I97" s="174">
        <f t="shared" si="17"/>
        <v>372</v>
      </c>
      <c r="J97" s="174">
        <f>VLOOKUP(D97,原始分!$D:$N,5,0)</f>
        <v>94.75</v>
      </c>
      <c r="K97" s="174">
        <f t="shared" si="18"/>
        <v>493</v>
      </c>
      <c r="L97" s="174">
        <f>VLOOKUP(D97,原始分!$D:$N,6,0)</f>
        <v>64.5</v>
      </c>
      <c r="M97" s="174">
        <f t="shared" si="19"/>
        <v>120</v>
      </c>
      <c r="N97" s="174">
        <f>VLOOKUP(D97,原始分!$D:$N,7,0)</f>
        <v>0</v>
      </c>
      <c r="O97" s="174">
        <f t="shared" si="20"/>
        <v>207</v>
      </c>
      <c r="P97" s="174">
        <f>VLOOKUP(D97,原始分!$D:$N,8,0)</f>
        <v>0</v>
      </c>
      <c r="Q97" s="174">
        <f t="shared" si="21"/>
        <v>541</v>
      </c>
      <c r="R97" s="174">
        <f>VLOOKUP(D97,原始分!$D:$N,9,0)</f>
        <v>0</v>
      </c>
      <c r="S97" s="174">
        <f t="shared" si="22"/>
        <v>320</v>
      </c>
      <c r="T97" s="174">
        <f>VLOOKUP(D97,原始分!$D:$N,10,0)</f>
        <v>55</v>
      </c>
      <c r="U97" s="174">
        <f t="shared" si="23"/>
        <v>193</v>
      </c>
      <c r="V97" s="174">
        <f>VLOOKUP(D97,原始分!$D:$N,11,0)</f>
        <v>63</v>
      </c>
      <c r="W97" s="174">
        <f t="shared" si="24"/>
        <v>56</v>
      </c>
      <c r="X97" s="11">
        <f t="shared" si="25"/>
        <v>293.25</v>
      </c>
      <c r="Y97" s="9">
        <f t="shared" si="26"/>
        <v>455</v>
      </c>
      <c r="Z97" s="11">
        <f t="shared" si="27"/>
        <v>475.75</v>
      </c>
      <c r="AA97" s="9">
        <f t="shared" ref="AA97:AA160" si="28">RANK(Z97,$Z$3:$Z$665)</f>
        <v>155</v>
      </c>
    </row>
    <row r="98" ht="14.25" spans="1:27">
      <c r="A98" s="13">
        <v>96</v>
      </c>
      <c r="B98" s="15">
        <v>2</v>
      </c>
      <c r="C98" s="16">
        <v>33</v>
      </c>
      <c r="D98" s="17" t="s">
        <v>205</v>
      </c>
      <c r="E98" s="17" t="s">
        <v>206</v>
      </c>
      <c r="F98" s="174">
        <f>VLOOKUP(D98,原始分!$D:$N,3,0)</f>
        <v>91.5</v>
      </c>
      <c r="G98" s="174">
        <f t="shared" si="16"/>
        <v>730</v>
      </c>
      <c r="H98" s="174">
        <f>VLOOKUP(D98,原始分!$D:$N,4,0)</f>
        <v>95</v>
      </c>
      <c r="I98" s="174">
        <f t="shared" si="17"/>
        <v>510</v>
      </c>
      <c r="J98" s="174">
        <f>VLOOKUP(D98,原始分!$D:$N,5,0)</f>
        <v>105.5</v>
      </c>
      <c r="K98" s="174">
        <f t="shared" si="18"/>
        <v>259</v>
      </c>
      <c r="L98" s="174">
        <f>VLOOKUP(D98,原始分!$D:$N,6,0)</f>
        <v>39</v>
      </c>
      <c r="M98" s="174">
        <f t="shared" si="19"/>
        <v>520</v>
      </c>
      <c r="N98" s="174">
        <f>VLOOKUP(D98,原始分!$D:$N,7,0)</f>
        <v>0</v>
      </c>
      <c r="O98" s="174">
        <f t="shared" si="20"/>
        <v>207</v>
      </c>
      <c r="P98" s="174">
        <f>VLOOKUP(D98,原始分!$D:$N,8,0)</f>
        <v>0</v>
      </c>
      <c r="Q98" s="174">
        <f t="shared" si="21"/>
        <v>541</v>
      </c>
      <c r="R98" s="174">
        <f>VLOOKUP(D98,原始分!$D:$N,9,0)</f>
        <v>0</v>
      </c>
      <c r="S98" s="174">
        <f t="shared" si="22"/>
        <v>320</v>
      </c>
      <c r="T98" s="174">
        <f>VLOOKUP(D98,原始分!$D:$N,10,0)</f>
        <v>55</v>
      </c>
      <c r="U98" s="174">
        <f t="shared" si="23"/>
        <v>193</v>
      </c>
      <c r="V98" s="174">
        <f>VLOOKUP(D98,原始分!$D:$N,11,0)</f>
        <v>55.5</v>
      </c>
      <c r="W98" s="174">
        <f t="shared" si="24"/>
        <v>170</v>
      </c>
      <c r="X98" s="11">
        <f t="shared" si="25"/>
        <v>292</v>
      </c>
      <c r="Y98" s="9">
        <f t="shared" si="26"/>
        <v>472</v>
      </c>
      <c r="Z98" s="11">
        <f t="shared" si="27"/>
        <v>441.5</v>
      </c>
      <c r="AA98" s="9">
        <f t="shared" si="28"/>
        <v>329</v>
      </c>
    </row>
    <row r="99" ht="14.25" spans="1:27">
      <c r="A99" s="13">
        <v>97</v>
      </c>
      <c r="B99" s="15">
        <v>2</v>
      </c>
      <c r="C99" s="16">
        <v>34</v>
      </c>
      <c r="D99" s="17" t="s">
        <v>207</v>
      </c>
      <c r="E99" s="17" t="s">
        <v>208</v>
      </c>
      <c r="F99" s="174">
        <f>VLOOKUP(D99,原始分!$D:$N,3,0)</f>
        <v>104</v>
      </c>
      <c r="G99" s="174">
        <f t="shared" si="16"/>
        <v>209</v>
      </c>
      <c r="H99" s="174">
        <f>VLOOKUP(D99,原始分!$D:$N,4,0)</f>
        <v>88.5</v>
      </c>
      <c r="I99" s="174">
        <f t="shared" si="17"/>
        <v>641</v>
      </c>
      <c r="J99" s="174">
        <f>VLOOKUP(D99,原始分!$D:$N,5,0)</f>
        <v>100.25</v>
      </c>
      <c r="K99" s="174">
        <f t="shared" si="18"/>
        <v>364</v>
      </c>
      <c r="L99" s="174">
        <f>VLOOKUP(D99,原始分!$D:$N,6,0)</f>
        <v>47</v>
      </c>
      <c r="M99" s="174">
        <f t="shared" si="19"/>
        <v>391</v>
      </c>
      <c r="N99" s="174">
        <f>VLOOKUP(D99,原始分!$D:$N,7,0)</f>
        <v>0</v>
      </c>
      <c r="O99" s="174">
        <f t="shared" si="20"/>
        <v>207</v>
      </c>
      <c r="P99" s="174">
        <f>VLOOKUP(D99,原始分!$D:$N,8,0)</f>
        <v>0</v>
      </c>
      <c r="Q99" s="174">
        <f t="shared" si="21"/>
        <v>541</v>
      </c>
      <c r="R99" s="174">
        <f>VLOOKUP(D99,原始分!$D:$N,9,0)</f>
        <v>0</v>
      </c>
      <c r="S99" s="174">
        <f t="shared" si="22"/>
        <v>320</v>
      </c>
      <c r="T99" s="174">
        <f>VLOOKUP(D99,原始分!$D:$N,10,0)</f>
        <v>48</v>
      </c>
      <c r="U99" s="174">
        <f t="shared" si="23"/>
        <v>273</v>
      </c>
      <c r="V99" s="174">
        <f>VLOOKUP(D99,原始分!$D:$N,11,0)</f>
        <v>42</v>
      </c>
      <c r="W99" s="174">
        <f t="shared" si="24"/>
        <v>472</v>
      </c>
      <c r="X99" s="11">
        <f t="shared" si="25"/>
        <v>292.75</v>
      </c>
      <c r="Y99" s="9">
        <f t="shared" si="26"/>
        <v>464</v>
      </c>
      <c r="Z99" s="11">
        <f t="shared" si="27"/>
        <v>429.75</v>
      </c>
      <c r="AA99" s="9">
        <f t="shared" si="28"/>
        <v>382</v>
      </c>
    </row>
    <row r="100" ht="14.25" spans="1:27">
      <c r="A100" s="13">
        <v>98</v>
      </c>
      <c r="B100" s="15">
        <v>2</v>
      </c>
      <c r="C100" s="16">
        <v>35</v>
      </c>
      <c r="D100" s="17" t="s">
        <v>209</v>
      </c>
      <c r="E100" s="17" t="s">
        <v>210</v>
      </c>
      <c r="F100" s="174">
        <f>VLOOKUP(D100,原始分!$D:$N,3,0)</f>
        <v>95.75</v>
      </c>
      <c r="G100" s="174">
        <f t="shared" si="16"/>
        <v>591</v>
      </c>
      <c r="H100" s="174">
        <f>VLOOKUP(D100,原始分!$D:$N,4,0)</f>
        <v>59.5</v>
      </c>
      <c r="I100" s="174">
        <f t="shared" si="17"/>
        <v>846</v>
      </c>
      <c r="J100" s="174">
        <f>VLOOKUP(D100,原始分!$D:$N,5,0)</f>
        <v>64.5</v>
      </c>
      <c r="K100" s="174">
        <f t="shared" si="18"/>
        <v>841</v>
      </c>
      <c r="L100" s="174">
        <f>VLOOKUP(D100,原始分!$D:$N,6,0)</f>
        <v>18.5</v>
      </c>
      <c r="M100" s="174">
        <f t="shared" si="19"/>
        <v>656</v>
      </c>
      <c r="N100" s="174">
        <f>VLOOKUP(D100,原始分!$D:$N,7,0)</f>
        <v>0</v>
      </c>
      <c r="O100" s="174">
        <f t="shared" si="20"/>
        <v>207</v>
      </c>
      <c r="P100" s="174">
        <f>VLOOKUP(D100,原始分!$D:$N,8,0)</f>
        <v>0</v>
      </c>
      <c r="Q100" s="174">
        <f t="shared" si="21"/>
        <v>541</v>
      </c>
      <c r="R100" s="174">
        <f>VLOOKUP(D100,原始分!$D:$N,9,0)</f>
        <v>0</v>
      </c>
      <c r="S100" s="174">
        <f t="shared" si="22"/>
        <v>320</v>
      </c>
      <c r="T100" s="174">
        <f>VLOOKUP(D100,原始分!$D:$N,10,0)</f>
        <v>56.5</v>
      </c>
      <c r="U100" s="174">
        <f t="shared" si="23"/>
        <v>172</v>
      </c>
      <c r="V100" s="174">
        <f>VLOOKUP(D100,原始分!$D:$N,11,0)</f>
        <v>40.5</v>
      </c>
      <c r="W100" s="174">
        <f t="shared" si="24"/>
        <v>486</v>
      </c>
      <c r="X100" s="11">
        <f t="shared" si="25"/>
        <v>219.75</v>
      </c>
      <c r="Y100" s="9">
        <f t="shared" si="26"/>
        <v>858</v>
      </c>
      <c r="Z100" s="11">
        <f t="shared" si="27"/>
        <v>335.25</v>
      </c>
      <c r="AA100" s="9">
        <f t="shared" si="28"/>
        <v>647</v>
      </c>
    </row>
    <row r="101" ht="14.25" spans="1:27">
      <c r="A101" s="13">
        <v>99</v>
      </c>
      <c r="B101" s="15">
        <v>2</v>
      </c>
      <c r="C101" s="16">
        <v>36</v>
      </c>
      <c r="D101" s="17" t="s">
        <v>211</v>
      </c>
      <c r="E101" s="17" t="s">
        <v>212</v>
      </c>
      <c r="F101" s="174">
        <f>VLOOKUP(D101,原始分!$D:$N,3,0)</f>
        <v>98</v>
      </c>
      <c r="G101" s="174">
        <f t="shared" si="16"/>
        <v>500</v>
      </c>
      <c r="H101" s="174">
        <f>VLOOKUP(D101,原始分!$D:$N,4,0)</f>
        <v>114</v>
      </c>
      <c r="I101" s="174">
        <f t="shared" si="17"/>
        <v>145</v>
      </c>
      <c r="J101" s="174">
        <f>VLOOKUP(D101,原始分!$D:$N,5,0)</f>
        <v>77.5</v>
      </c>
      <c r="K101" s="174">
        <f t="shared" si="18"/>
        <v>769</v>
      </c>
      <c r="L101" s="174">
        <f>VLOOKUP(D101,原始分!$D:$N,6,0)</f>
        <v>42</v>
      </c>
      <c r="M101" s="174">
        <f t="shared" si="19"/>
        <v>476</v>
      </c>
      <c r="N101" s="174">
        <f>VLOOKUP(D101,原始分!$D:$N,7,0)</f>
        <v>0</v>
      </c>
      <c r="O101" s="174">
        <f t="shared" si="20"/>
        <v>207</v>
      </c>
      <c r="P101" s="174">
        <f>VLOOKUP(D101,原始分!$D:$N,8,0)</f>
        <v>0</v>
      </c>
      <c r="Q101" s="174">
        <f t="shared" si="21"/>
        <v>541</v>
      </c>
      <c r="R101" s="174">
        <f>VLOOKUP(D101,原始分!$D:$N,9,0)</f>
        <v>0</v>
      </c>
      <c r="S101" s="174">
        <f t="shared" si="22"/>
        <v>320</v>
      </c>
      <c r="T101" s="174">
        <f>VLOOKUP(D101,原始分!$D:$N,10,0)</f>
        <v>49.5</v>
      </c>
      <c r="U101" s="174">
        <f t="shared" si="23"/>
        <v>253</v>
      </c>
      <c r="V101" s="174">
        <f>VLOOKUP(D101,原始分!$D:$N,11,0)</f>
        <v>56.5</v>
      </c>
      <c r="W101" s="174">
        <f t="shared" si="24"/>
        <v>153</v>
      </c>
      <c r="X101" s="11">
        <f t="shared" si="25"/>
        <v>289.5</v>
      </c>
      <c r="Y101" s="9">
        <f t="shared" si="26"/>
        <v>501</v>
      </c>
      <c r="Z101" s="11">
        <f t="shared" si="27"/>
        <v>437.5</v>
      </c>
      <c r="AA101" s="9">
        <f t="shared" si="28"/>
        <v>343</v>
      </c>
    </row>
    <row r="102" ht="14.25" spans="1:27">
      <c r="A102" s="13">
        <v>100</v>
      </c>
      <c r="B102" s="15">
        <v>2</v>
      </c>
      <c r="C102" s="16">
        <v>37</v>
      </c>
      <c r="D102" s="17" t="s">
        <v>213</v>
      </c>
      <c r="E102" s="17" t="s">
        <v>214</v>
      </c>
      <c r="F102" s="174">
        <f>VLOOKUP(D102,原始分!$D:$N,3,0)</f>
        <v>90</v>
      </c>
      <c r="G102" s="174">
        <f t="shared" si="16"/>
        <v>778</v>
      </c>
      <c r="H102" s="174">
        <f>VLOOKUP(D102,原始分!$D:$N,4,0)</f>
        <v>66</v>
      </c>
      <c r="I102" s="174">
        <f t="shared" si="17"/>
        <v>829</v>
      </c>
      <c r="J102" s="174">
        <f>VLOOKUP(D102,原始分!$D:$N,5,0)</f>
        <v>63.75</v>
      </c>
      <c r="K102" s="174">
        <f t="shared" si="18"/>
        <v>848</v>
      </c>
      <c r="L102" s="174">
        <f>VLOOKUP(D102,原始分!$D:$N,6,0)</f>
        <v>49</v>
      </c>
      <c r="M102" s="174">
        <f t="shared" si="19"/>
        <v>354</v>
      </c>
      <c r="N102" s="174">
        <f>VLOOKUP(D102,原始分!$D:$N,7,0)</f>
        <v>0</v>
      </c>
      <c r="O102" s="174">
        <f t="shared" si="20"/>
        <v>207</v>
      </c>
      <c r="P102" s="174">
        <f>VLOOKUP(D102,原始分!$D:$N,8,0)</f>
        <v>0</v>
      </c>
      <c r="Q102" s="174">
        <f t="shared" si="21"/>
        <v>541</v>
      </c>
      <c r="R102" s="174">
        <f>VLOOKUP(D102,原始分!$D:$N,9,0)</f>
        <v>0</v>
      </c>
      <c r="S102" s="174">
        <f t="shared" si="22"/>
        <v>320</v>
      </c>
      <c r="T102" s="174">
        <f>VLOOKUP(D102,原始分!$D:$N,10,0)</f>
        <v>50.5</v>
      </c>
      <c r="U102" s="174">
        <f t="shared" si="23"/>
        <v>246</v>
      </c>
      <c r="V102" s="174">
        <f>VLOOKUP(D102,原始分!$D:$N,11,0)</f>
        <v>59</v>
      </c>
      <c r="W102" s="174">
        <f t="shared" si="24"/>
        <v>107</v>
      </c>
      <c r="X102" s="11">
        <f t="shared" si="25"/>
        <v>219.75</v>
      </c>
      <c r="Y102" s="9">
        <f t="shared" si="26"/>
        <v>858</v>
      </c>
      <c r="Z102" s="11">
        <f t="shared" si="27"/>
        <v>378.25</v>
      </c>
      <c r="AA102" s="9">
        <f t="shared" si="28"/>
        <v>585</v>
      </c>
    </row>
    <row r="103" ht="14.25" spans="1:27">
      <c r="A103" s="13">
        <v>101</v>
      </c>
      <c r="B103" s="15">
        <v>2</v>
      </c>
      <c r="C103" s="16">
        <v>38</v>
      </c>
      <c r="D103" s="17" t="s">
        <v>215</v>
      </c>
      <c r="E103" s="17" t="s">
        <v>216</v>
      </c>
      <c r="F103" s="174">
        <f>VLOOKUP(D103,原始分!$D:$N,3,0)</f>
        <v>94.5</v>
      </c>
      <c r="G103" s="174">
        <f t="shared" si="16"/>
        <v>642</v>
      </c>
      <c r="H103" s="174">
        <f>VLOOKUP(D103,原始分!$D:$N,4,0)</f>
        <v>93</v>
      </c>
      <c r="I103" s="174">
        <f t="shared" si="17"/>
        <v>561</v>
      </c>
      <c r="J103" s="174">
        <f>VLOOKUP(D103,原始分!$D:$N,5,0)</f>
        <v>105.5</v>
      </c>
      <c r="K103" s="174">
        <f t="shared" si="18"/>
        <v>259</v>
      </c>
      <c r="L103" s="174">
        <f>VLOOKUP(D103,原始分!$D:$N,6,0)</f>
        <v>46</v>
      </c>
      <c r="M103" s="174">
        <f t="shared" si="19"/>
        <v>411</v>
      </c>
      <c r="N103" s="174">
        <f>VLOOKUP(D103,原始分!$D:$N,7,0)</f>
        <v>0</v>
      </c>
      <c r="O103" s="174">
        <f t="shared" si="20"/>
        <v>207</v>
      </c>
      <c r="P103" s="174">
        <f>VLOOKUP(D103,原始分!$D:$N,8,0)</f>
        <v>0</v>
      </c>
      <c r="Q103" s="174">
        <f t="shared" si="21"/>
        <v>541</v>
      </c>
      <c r="R103" s="174">
        <f>VLOOKUP(D103,原始分!$D:$N,9,0)</f>
        <v>0</v>
      </c>
      <c r="S103" s="174">
        <f t="shared" si="22"/>
        <v>320</v>
      </c>
      <c r="T103" s="174">
        <f>VLOOKUP(D103,原始分!$D:$N,10,0)</f>
        <v>54</v>
      </c>
      <c r="U103" s="174">
        <f t="shared" si="23"/>
        <v>204</v>
      </c>
      <c r="V103" s="174">
        <f>VLOOKUP(D103,原始分!$D:$N,11,0)</f>
        <v>55.5</v>
      </c>
      <c r="W103" s="174">
        <f t="shared" si="24"/>
        <v>170</v>
      </c>
      <c r="X103" s="11">
        <f t="shared" si="25"/>
        <v>293</v>
      </c>
      <c r="Y103" s="9">
        <f t="shared" si="26"/>
        <v>456</v>
      </c>
      <c r="Z103" s="11">
        <f t="shared" si="27"/>
        <v>448.5</v>
      </c>
      <c r="AA103" s="9">
        <f t="shared" si="28"/>
        <v>288</v>
      </c>
    </row>
    <row r="104" ht="14.25" spans="1:27">
      <c r="A104" s="13">
        <v>102</v>
      </c>
      <c r="B104" s="15">
        <v>2</v>
      </c>
      <c r="C104" s="16">
        <v>39</v>
      </c>
      <c r="D104" s="17" t="s">
        <v>217</v>
      </c>
      <c r="E104" s="17" t="s">
        <v>218</v>
      </c>
      <c r="F104" s="174">
        <f>VLOOKUP(D104,原始分!$D:$N,3,0)</f>
        <v>91.5</v>
      </c>
      <c r="G104" s="174">
        <f t="shared" si="16"/>
        <v>730</v>
      </c>
      <c r="H104" s="174">
        <f>VLOOKUP(D104,原始分!$D:$N,4,0)</f>
        <v>84.5</v>
      </c>
      <c r="I104" s="174">
        <f t="shared" si="17"/>
        <v>708</v>
      </c>
      <c r="J104" s="174">
        <f>VLOOKUP(D104,原始分!$D:$N,5,0)</f>
        <v>91.5</v>
      </c>
      <c r="K104" s="174">
        <f t="shared" si="18"/>
        <v>565</v>
      </c>
      <c r="L104" s="174">
        <f>VLOOKUP(D104,原始分!$D:$N,6,0)</f>
        <v>37</v>
      </c>
      <c r="M104" s="174">
        <f t="shared" si="19"/>
        <v>552</v>
      </c>
      <c r="N104" s="174">
        <f>VLOOKUP(D104,原始分!$D:$N,7,0)</f>
        <v>0</v>
      </c>
      <c r="O104" s="174">
        <f t="shared" si="20"/>
        <v>207</v>
      </c>
      <c r="P104" s="174">
        <f>VLOOKUP(D104,原始分!$D:$N,8,0)</f>
        <v>0</v>
      </c>
      <c r="Q104" s="174">
        <f t="shared" si="21"/>
        <v>541</v>
      </c>
      <c r="R104" s="174">
        <f>VLOOKUP(D104,原始分!$D:$N,9,0)</f>
        <v>0</v>
      </c>
      <c r="S104" s="174">
        <f t="shared" si="22"/>
        <v>320</v>
      </c>
      <c r="T104" s="174">
        <f>VLOOKUP(D104,原始分!$D:$N,10,0)</f>
        <v>49.5</v>
      </c>
      <c r="U104" s="174">
        <f t="shared" si="23"/>
        <v>253</v>
      </c>
      <c r="V104" s="174">
        <f>VLOOKUP(D104,原始分!$D:$N,11,0)</f>
        <v>33</v>
      </c>
      <c r="W104" s="174">
        <f t="shared" si="24"/>
        <v>542</v>
      </c>
      <c r="X104" s="11">
        <f t="shared" si="25"/>
        <v>267.5</v>
      </c>
      <c r="Y104" s="9">
        <f t="shared" si="26"/>
        <v>721</v>
      </c>
      <c r="Z104" s="11">
        <f t="shared" si="27"/>
        <v>387</v>
      </c>
      <c r="AA104" s="9">
        <f t="shared" si="28"/>
        <v>561</v>
      </c>
    </row>
    <row r="105" ht="14.25" spans="1:27">
      <c r="A105" s="13">
        <v>103</v>
      </c>
      <c r="B105" s="15">
        <v>2</v>
      </c>
      <c r="C105" s="16">
        <v>40</v>
      </c>
      <c r="D105" s="17" t="s">
        <v>219</v>
      </c>
      <c r="E105" s="17" t="s">
        <v>220</v>
      </c>
      <c r="F105" s="174">
        <f>VLOOKUP(D105,原始分!$D:$N,3,0)</f>
        <v>104</v>
      </c>
      <c r="G105" s="174">
        <f t="shared" si="16"/>
        <v>209</v>
      </c>
      <c r="H105" s="174">
        <f>VLOOKUP(D105,原始分!$D:$N,4,0)</f>
        <v>75</v>
      </c>
      <c r="I105" s="174">
        <f t="shared" si="17"/>
        <v>785</v>
      </c>
      <c r="J105" s="174">
        <f>VLOOKUP(D105,原始分!$D:$N,5,0)</f>
        <v>93</v>
      </c>
      <c r="K105" s="174">
        <f t="shared" si="18"/>
        <v>525</v>
      </c>
      <c r="L105" s="174">
        <f>VLOOKUP(D105,原始分!$D:$N,6,0)</f>
        <v>41</v>
      </c>
      <c r="M105" s="174">
        <f t="shared" si="19"/>
        <v>490</v>
      </c>
      <c r="N105" s="174">
        <f>VLOOKUP(D105,原始分!$D:$N,7,0)</f>
        <v>0</v>
      </c>
      <c r="O105" s="174">
        <f t="shared" si="20"/>
        <v>207</v>
      </c>
      <c r="P105" s="174">
        <f>VLOOKUP(D105,原始分!$D:$N,8,0)</f>
        <v>0</v>
      </c>
      <c r="Q105" s="174">
        <f t="shared" si="21"/>
        <v>541</v>
      </c>
      <c r="R105" s="174">
        <f>VLOOKUP(D105,原始分!$D:$N,9,0)</f>
        <v>0</v>
      </c>
      <c r="S105" s="174">
        <f t="shared" si="22"/>
        <v>320</v>
      </c>
      <c r="T105" s="174">
        <f>VLOOKUP(D105,原始分!$D:$N,10,0)</f>
        <v>49.5</v>
      </c>
      <c r="U105" s="174">
        <f t="shared" si="23"/>
        <v>253</v>
      </c>
      <c r="V105" s="174">
        <f>VLOOKUP(D105,原始分!$D:$N,11,0)</f>
        <v>43.5</v>
      </c>
      <c r="W105" s="174">
        <f t="shared" si="24"/>
        <v>443</v>
      </c>
      <c r="X105" s="11">
        <f t="shared" si="25"/>
        <v>272</v>
      </c>
      <c r="Y105" s="9">
        <f t="shared" si="26"/>
        <v>679</v>
      </c>
      <c r="Z105" s="11">
        <f t="shared" si="27"/>
        <v>406</v>
      </c>
      <c r="AA105" s="9">
        <f t="shared" si="28"/>
        <v>493</v>
      </c>
    </row>
    <row r="106" ht="14.25" spans="1:27">
      <c r="A106" s="13">
        <v>104</v>
      </c>
      <c r="B106" s="15">
        <v>2</v>
      </c>
      <c r="C106" s="16">
        <v>41</v>
      </c>
      <c r="D106" s="17" t="s">
        <v>221</v>
      </c>
      <c r="E106" s="17" t="s">
        <v>222</v>
      </c>
      <c r="F106" s="174">
        <f>VLOOKUP(D106,原始分!$D:$N,3,0)</f>
        <v>96</v>
      </c>
      <c r="G106" s="174">
        <f t="shared" si="16"/>
        <v>579</v>
      </c>
      <c r="H106" s="174">
        <f>VLOOKUP(D106,原始分!$D:$N,4,0)</f>
        <v>45.5</v>
      </c>
      <c r="I106" s="174">
        <f t="shared" si="17"/>
        <v>866</v>
      </c>
      <c r="J106" s="174">
        <f>VLOOKUP(D106,原始分!$D:$N,5,0)</f>
        <v>99.25</v>
      </c>
      <c r="K106" s="174">
        <f t="shared" si="18"/>
        <v>391</v>
      </c>
      <c r="L106" s="174">
        <f>VLOOKUP(D106,原始分!$D:$N,6,0)</f>
        <v>28</v>
      </c>
      <c r="M106" s="174">
        <f t="shared" si="19"/>
        <v>625</v>
      </c>
      <c r="N106" s="174">
        <f>VLOOKUP(D106,原始分!$D:$N,7,0)</f>
        <v>0</v>
      </c>
      <c r="O106" s="174">
        <f t="shared" si="20"/>
        <v>207</v>
      </c>
      <c r="P106" s="174">
        <f>VLOOKUP(D106,原始分!$D:$N,8,0)</f>
        <v>0</v>
      </c>
      <c r="Q106" s="174">
        <f t="shared" si="21"/>
        <v>541</v>
      </c>
      <c r="R106" s="174">
        <f>VLOOKUP(D106,原始分!$D:$N,9,0)</f>
        <v>0</v>
      </c>
      <c r="S106" s="174">
        <f t="shared" si="22"/>
        <v>320</v>
      </c>
      <c r="T106" s="174">
        <f>VLOOKUP(D106,原始分!$D:$N,10,0)</f>
        <v>48.5</v>
      </c>
      <c r="U106" s="174">
        <f t="shared" si="23"/>
        <v>265</v>
      </c>
      <c r="V106" s="174">
        <f>VLOOKUP(D106,原始分!$D:$N,11,0)</f>
        <v>57</v>
      </c>
      <c r="W106" s="174">
        <f t="shared" si="24"/>
        <v>139</v>
      </c>
      <c r="X106" s="11">
        <f t="shared" si="25"/>
        <v>240.75</v>
      </c>
      <c r="Y106" s="9">
        <f t="shared" si="26"/>
        <v>832</v>
      </c>
      <c r="Z106" s="11">
        <f t="shared" si="27"/>
        <v>374.25</v>
      </c>
      <c r="AA106" s="9">
        <f t="shared" si="28"/>
        <v>598</v>
      </c>
    </row>
    <row r="107" ht="14.25" spans="1:27">
      <c r="A107" s="13">
        <v>105</v>
      </c>
      <c r="B107" s="15">
        <v>2</v>
      </c>
      <c r="C107" s="16">
        <v>43</v>
      </c>
      <c r="D107" s="17" t="s">
        <v>223</v>
      </c>
      <c r="E107" s="17" t="s">
        <v>224</v>
      </c>
      <c r="F107" s="174">
        <f>VLOOKUP(D107,原始分!$D:$N,3,0)</f>
        <v>101.5</v>
      </c>
      <c r="G107" s="174">
        <f t="shared" si="16"/>
        <v>319</v>
      </c>
      <c r="H107" s="174">
        <f>VLOOKUP(D107,原始分!$D:$N,4,0)</f>
        <v>99.5</v>
      </c>
      <c r="I107" s="174">
        <f t="shared" si="17"/>
        <v>425</v>
      </c>
      <c r="J107" s="174">
        <f>VLOOKUP(D107,原始分!$D:$N,5,0)</f>
        <v>98</v>
      </c>
      <c r="K107" s="174">
        <f t="shared" si="18"/>
        <v>425</v>
      </c>
      <c r="L107" s="174">
        <f>VLOOKUP(D107,原始分!$D:$N,6,0)</f>
        <v>58.5</v>
      </c>
      <c r="M107" s="174">
        <f t="shared" si="19"/>
        <v>209</v>
      </c>
      <c r="N107" s="174">
        <f>VLOOKUP(D107,原始分!$D:$N,7,0)</f>
        <v>0</v>
      </c>
      <c r="O107" s="174">
        <f t="shared" si="20"/>
        <v>207</v>
      </c>
      <c r="P107" s="174">
        <f>VLOOKUP(D107,原始分!$D:$N,8,0)</f>
        <v>0</v>
      </c>
      <c r="Q107" s="174">
        <f t="shared" si="21"/>
        <v>541</v>
      </c>
      <c r="R107" s="174">
        <f>VLOOKUP(D107,原始分!$D:$N,9,0)</f>
        <v>0</v>
      </c>
      <c r="S107" s="174">
        <f t="shared" si="22"/>
        <v>320</v>
      </c>
      <c r="T107" s="174">
        <f>VLOOKUP(D107,原始分!$D:$N,10,0)</f>
        <v>64.75</v>
      </c>
      <c r="U107" s="174">
        <f t="shared" si="23"/>
        <v>54</v>
      </c>
      <c r="V107" s="174">
        <f>VLOOKUP(D107,原始分!$D:$N,11,0)</f>
        <v>46.5</v>
      </c>
      <c r="W107" s="174">
        <f t="shared" si="24"/>
        <v>376</v>
      </c>
      <c r="X107" s="11">
        <f t="shared" si="25"/>
        <v>299</v>
      </c>
      <c r="Y107" s="9">
        <f t="shared" si="26"/>
        <v>383</v>
      </c>
      <c r="Z107" s="11">
        <f t="shared" si="27"/>
        <v>468.75</v>
      </c>
      <c r="AA107" s="9">
        <f t="shared" si="28"/>
        <v>182</v>
      </c>
    </row>
    <row r="108" ht="14.25" spans="1:27">
      <c r="A108" s="13">
        <v>106</v>
      </c>
      <c r="B108" s="15">
        <v>2</v>
      </c>
      <c r="C108" s="16">
        <v>44</v>
      </c>
      <c r="D108" s="17" t="s">
        <v>225</v>
      </c>
      <c r="E108" s="17" t="s">
        <v>226</v>
      </c>
      <c r="F108" s="174">
        <f>VLOOKUP(D108,原始分!$D:$N,3,0)</f>
        <v>113.5</v>
      </c>
      <c r="G108" s="174">
        <f t="shared" si="16"/>
        <v>19</v>
      </c>
      <c r="H108" s="174">
        <f>VLOOKUP(D108,原始分!$D:$N,4,0)</f>
        <v>94.5</v>
      </c>
      <c r="I108" s="174">
        <f t="shared" si="17"/>
        <v>525</v>
      </c>
      <c r="J108" s="174">
        <f>VLOOKUP(D108,原始分!$D:$N,5,0)</f>
        <v>95.75</v>
      </c>
      <c r="K108" s="174">
        <f t="shared" si="18"/>
        <v>472</v>
      </c>
      <c r="L108" s="174">
        <f>VLOOKUP(D108,原始分!$D:$N,6,0)</f>
        <v>36.5</v>
      </c>
      <c r="M108" s="174">
        <f t="shared" si="19"/>
        <v>554</v>
      </c>
      <c r="N108" s="174">
        <f>VLOOKUP(D108,原始分!$D:$N,7,0)</f>
        <v>0</v>
      </c>
      <c r="O108" s="174">
        <f t="shared" si="20"/>
        <v>207</v>
      </c>
      <c r="P108" s="174">
        <f>VLOOKUP(D108,原始分!$D:$N,8,0)</f>
        <v>0</v>
      </c>
      <c r="Q108" s="174">
        <f t="shared" si="21"/>
        <v>541</v>
      </c>
      <c r="R108" s="174">
        <f>VLOOKUP(D108,原始分!$D:$N,9,0)</f>
        <v>0</v>
      </c>
      <c r="S108" s="174">
        <f t="shared" si="22"/>
        <v>320</v>
      </c>
      <c r="T108" s="174">
        <f>VLOOKUP(D108,原始分!$D:$N,10,0)</f>
        <v>62</v>
      </c>
      <c r="U108" s="174">
        <f t="shared" si="23"/>
        <v>81</v>
      </c>
      <c r="V108" s="174">
        <f>VLOOKUP(D108,原始分!$D:$N,11,0)</f>
        <v>57</v>
      </c>
      <c r="W108" s="174">
        <f t="shared" si="24"/>
        <v>139</v>
      </c>
      <c r="X108" s="11">
        <f t="shared" si="25"/>
        <v>303.75</v>
      </c>
      <c r="Y108" s="9">
        <f t="shared" si="26"/>
        <v>331</v>
      </c>
      <c r="Z108" s="11">
        <f t="shared" si="27"/>
        <v>459.25</v>
      </c>
      <c r="AA108" s="9">
        <f t="shared" si="28"/>
        <v>228</v>
      </c>
    </row>
    <row r="109" ht="14.25" spans="1:27">
      <c r="A109" s="13">
        <v>107</v>
      </c>
      <c r="B109" s="15">
        <v>2</v>
      </c>
      <c r="C109" s="16">
        <v>46</v>
      </c>
      <c r="D109" s="17" t="s">
        <v>227</v>
      </c>
      <c r="E109" s="17" t="s">
        <v>228</v>
      </c>
      <c r="F109" s="174">
        <f>VLOOKUP(D109,原始分!$D:$N,3,0)</f>
        <v>98.25</v>
      </c>
      <c r="G109" s="174">
        <f t="shared" si="16"/>
        <v>493</v>
      </c>
      <c r="H109" s="174">
        <f>VLOOKUP(D109,原始分!$D:$N,4,0)</f>
        <v>71.5</v>
      </c>
      <c r="I109" s="174">
        <f t="shared" si="17"/>
        <v>810</v>
      </c>
      <c r="J109" s="174">
        <f>VLOOKUP(D109,原始分!$D:$N,5,0)</f>
        <v>122</v>
      </c>
      <c r="K109" s="174">
        <f t="shared" si="18"/>
        <v>23</v>
      </c>
      <c r="L109" s="174">
        <f>VLOOKUP(D109,原始分!$D:$N,6,0)</f>
        <v>33.5</v>
      </c>
      <c r="M109" s="174">
        <f t="shared" si="19"/>
        <v>592</v>
      </c>
      <c r="N109" s="174">
        <f>VLOOKUP(D109,原始分!$D:$N,7,0)</f>
        <v>0</v>
      </c>
      <c r="O109" s="174">
        <f t="shared" si="20"/>
        <v>207</v>
      </c>
      <c r="P109" s="174">
        <f>VLOOKUP(D109,原始分!$D:$N,8,0)</f>
        <v>0</v>
      </c>
      <c r="Q109" s="174">
        <f t="shared" si="21"/>
        <v>541</v>
      </c>
      <c r="R109" s="174">
        <f>VLOOKUP(D109,原始分!$D:$N,9,0)</f>
        <v>0</v>
      </c>
      <c r="S109" s="174">
        <f t="shared" si="22"/>
        <v>320</v>
      </c>
      <c r="T109" s="174">
        <f>VLOOKUP(D109,原始分!$D:$N,10,0)</f>
        <v>53</v>
      </c>
      <c r="U109" s="174">
        <f t="shared" si="23"/>
        <v>219</v>
      </c>
      <c r="V109" s="174">
        <f>VLOOKUP(D109,原始分!$D:$N,11,0)</f>
        <v>40</v>
      </c>
      <c r="W109" s="174">
        <f t="shared" si="24"/>
        <v>496</v>
      </c>
      <c r="X109" s="11">
        <f t="shared" si="25"/>
        <v>291.75</v>
      </c>
      <c r="Y109" s="9">
        <f t="shared" si="26"/>
        <v>480</v>
      </c>
      <c r="Z109" s="11">
        <f t="shared" si="27"/>
        <v>418.25</v>
      </c>
      <c r="AA109" s="9">
        <f t="shared" si="28"/>
        <v>434</v>
      </c>
    </row>
    <row r="110" ht="14.25" spans="1:27">
      <c r="A110" s="13">
        <v>108</v>
      </c>
      <c r="B110" s="15">
        <v>2</v>
      </c>
      <c r="C110" s="16">
        <v>47</v>
      </c>
      <c r="D110" s="17" t="s">
        <v>229</v>
      </c>
      <c r="E110" s="17" t="s">
        <v>230</v>
      </c>
      <c r="F110" s="174">
        <f>VLOOKUP(D110,原始分!$D:$N,3,0)</f>
        <v>98.5</v>
      </c>
      <c r="G110" s="174">
        <f t="shared" si="16"/>
        <v>469</v>
      </c>
      <c r="H110" s="174">
        <f>VLOOKUP(D110,原始分!$D:$N,4,0)</f>
        <v>63</v>
      </c>
      <c r="I110" s="174">
        <f t="shared" si="17"/>
        <v>837</v>
      </c>
      <c r="J110" s="174">
        <f>VLOOKUP(D110,原始分!$D:$N,5,0)</f>
        <v>116.25</v>
      </c>
      <c r="K110" s="174">
        <f t="shared" si="18"/>
        <v>84</v>
      </c>
      <c r="L110" s="174">
        <f>VLOOKUP(D110,原始分!$D:$N,6,0)</f>
        <v>35</v>
      </c>
      <c r="M110" s="174">
        <f t="shared" si="19"/>
        <v>572</v>
      </c>
      <c r="N110" s="174">
        <f>VLOOKUP(D110,原始分!$D:$N,7,0)</f>
        <v>0</v>
      </c>
      <c r="O110" s="174">
        <f t="shared" si="20"/>
        <v>207</v>
      </c>
      <c r="P110" s="174">
        <f>VLOOKUP(D110,原始分!$D:$N,8,0)</f>
        <v>0</v>
      </c>
      <c r="Q110" s="174">
        <f t="shared" si="21"/>
        <v>541</v>
      </c>
      <c r="R110" s="174">
        <f>VLOOKUP(D110,原始分!$D:$N,9,0)</f>
        <v>0</v>
      </c>
      <c r="S110" s="174">
        <f t="shared" si="22"/>
        <v>320</v>
      </c>
      <c r="T110" s="174">
        <f>VLOOKUP(D110,原始分!$D:$N,10,0)</f>
        <v>55.5</v>
      </c>
      <c r="U110" s="174">
        <f t="shared" si="23"/>
        <v>187</v>
      </c>
      <c r="V110" s="174">
        <f>VLOOKUP(D110,原始分!$D:$N,11,0)</f>
        <v>47.5</v>
      </c>
      <c r="W110" s="174">
        <f t="shared" si="24"/>
        <v>353</v>
      </c>
      <c r="X110" s="11">
        <f t="shared" si="25"/>
        <v>277.75</v>
      </c>
      <c r="Y110" s="9">
        <f t="shared" si="26"/>
        <v>629</v>
      </c>
      <c r="Z110" s="11">
        <f t="shared" si="27"/>
        <v>415.75</v>
      </c>
      <c r="AA110" s="9">
        <f t="shared" si="28"/>
        <v>443</v>
      </c>
    </row>
    <row r="111" ht="14.25" spans="1:27">
      <c r="A111" s="13">
        <v>109</v>
      </c>
      <c r="B111" s="15">
        <v>2</v>
      </c>
      <c r="C111" s="16">
        <v>48</v>
      </c>
      <c r="D111" s="17" t="s">
        <v>231</v>
      </c>
      <c r="E111" s="17" t="s">
        <v>232</v>
      </c>
      <c r="F111" s="174">
        <f>VLOOKUP(D111,原始分!$D:$N,3,0)</f>
        <v>103.5</v>
      </c>
      <c r="G111" s="174">
        <f t="shared" si="16"/>
        <v>230</v>
      </c>
      <c r="H111" s="174">
        <f>VLOOKUP(D111,原始分!$D:$N,4,0)</f>
        <v>92.5</v>
      </c>
      <c r="I111" s="174">
        <f t="shared" si="17"/>
        <v>569</v>
      </c>
      <c r="J111" s="174">
        <f>VLOOKUP(D111,原始分!$D:$N,5,0)</f>
        <v>77.5</v>
      </c>
      <c r="K111" s="174">
        <f t="shared" si="18"/>
        <v>769</v>
      </c>
      <c r="L111" s="174">
        <f>VLOOKUP(D111,原始分!$D:$N,6,0)</f>
        <v>38</v>
      </c>
      <c r="M111" s="174">
        <f t="shared" si="19"/>
        <v>537</v>
      </c>
      <c r="N111" s="174">
        <f>VLOOKUP(D111,原始分!$D:$N,7,0)</f>
        <v>0</v>
      </c>
      <c r="O111" s="174">
        <f t="shared" si="20"/>
        <v>207</v>
      </c>
      <c r="P111" s="174">
        <f>VLOOKUP(D111,原始分!$D:$N,8,0)</f>
        <v>0</v>
      </c>
      <c r="Q111" s="174">
        <f t="shared" si="21"/>
        <v>541</v>
      </c>
      <c r="R111" s="174">
        <f>VLOOKUP(D111,原始分!$D:$N,9,0)</f>
        <v>0</v>
      </c>
      <c r="S111" s="174">
        <f t="shared" si="22"/>
        <v>320</v>
      </c>
      <c r="T111" s="174">
        <f>VLOOKUP(D111,原始分!$D:$N,10,0)</f>
        <v>53.5</v>
      </c>
      <c r="U111" s="174">
        <f t="shared" si="23"/>
        <v>214</v>
      </c>
      <c r="V111" s="174">
        <f>VLOOKUP(D111,原始分!$D:$N,11,0)</f>
        <v>43</v>
      </c>
      <c r="W111" s="174">
        <f t="shared" si="24"/>
        <v>454</v>
      </c>
      <c r="X111" s="11">
        <f t="shared" si="25"/>
        <v>273.5</v>
      </c>
      <c r="Y111" s="9">
        <f t="shared" si="26"/>
        <v>664</v>
      </c>
      <c r="Z111" s="11">
        <f t="shared" si="27"/>
        <v>408</v>
      </c>
      <c r="AA111" s="9">
        <f t="shared" si="28"/>
        <v>479</v>
      </c>
    </row>
    <row r="112" ht="14.25" spans="1:27">
      <c r="A112" s="13">
        <v>110</v>
      </c>
      <c r="B112" s="15">
        <v>2</v>
      </c>
      <c r="C112" s="16">
        <v>49</v>
      </c>
      <c r="D112" s="17" t="s">
        <v>233</v>
      </c>
      <c r="E112" s="17" t="s">
        <v>234</v>
      </c>
      <c r="F112" s="174">
        <f>VLOOKUP(D112,原始分!$D:$N,3,0)</f>
        <v>95.75</v>
      </c>
      <c r="G112" s="174">
        <f t="shared" si="16"/>
        <v>591</v>
      </c>
      <c r="H112" s="174">
        <f>VLOOKUP(D112,原始分!$D:$N,4,0)</f>
        <v>116.5</v>
      </c>
      <c r="I112" s="174">
        <f t="shared" si="17"/>
        <v>106</v>
      </c>
      <c r="J112" s="174">
        <f>VLOOKUP(D112,原始分!$D:$N,5,0)</f>
        <v>89.75</v>
      </c>
      <c r="K112" s="174">
        <f t="shared" si="18"/>
        <v>589</v>
      </c>
      <c r="L112" s="174">
        <f>VLOOKUP(D112,原始分!$D:$N,6,0)</f>
        <v>45</v>
      </c>
      <c r="M112" s="174">
        <f t="shared" si="19"/>
        <v>424</v>
      </c>
      <c r="N112" s="174">
        <f>VLOOKUP(D112,原始分!$D:$N,7,0)</f>
        <v>0</v>
      </c>
      <c r="O112" s="174">
        <f t="shared" si="20"/>
        <v>207</v>
      </c>
      <c r="P112" s="174">
        <f>VLOOKUP(D112,原始分!$D:$N,8,0)</f>
        <v>0</v>
      </c>
      <c r="Q112" s="174">
        <f t="shared" si="21"/>
        <v>541</v>
      </c>
      <c r="R112" s="174">
        <f>VLOOKUP(D112,原始分!$D:$N,9,0)</f>
        <v>0</v>
      </c>
      <c r="S112" s="174">
        <f t="shared" si="22"/>
        <v>320</v>
      </c>
      <c r="T112" s="174">
        <f>VLOOKUP(D112,原始分!$D:$N,10,0)</f>
        <v>60</v>
      </c>
      <c r="U112" s="174">
        <f t="shared" si="23"/>
        <v>108</v>
      </c>
      <c r="V112" s="174">
        <f>VLOOKUP(D112,原始分!$D:$N,11,0)</f>
        <v>53</v>
      </c>
      <c r="W112" s="174">
        <f t="shared" si="24"/>
        <v>223</v>
      </c>
      <c r="X112" s="11">
        <f t="shared" si="25"/>
        <v>302</v>
      </c>
      <c r="Y112" s="9">
        <f t="shared" si="26"/>
        <v>348</v>
      </c>
      <c r="Z112" s="11">
        <f t="shared" si="27"/>
        <v>460</v>
      </c>
      <c r="AA112" s="9">
        <f t="shared" si="28"/>
        <v>224</v>
      </c>
    </row>
    <row r="113" ht="14.25" spans="1:27">
      <c r="A113" s="13">
        <v>111</v>
      </c>
      <c r="B113" s="15">
        <v>2</v>
      </c>
      <c r="C113" s="16">
        <v>50</v>
      </c>
      <c r="D113" s="17" t="s">
        <v>235</v>
      </c>
      <c r="E113" s="17" t="s">
        <v>236</v>
      </c>
      <c r="F113" s="174">
        <f>VLOOKUP(D113,原始分!$D:$N,3,0)</f>
        <v>99</v>
      </c>
      <c r="G113" s="174">
        <f t="shared" si="16"/>
        <v>442</v>
      </c>
      <c r="H113" s="174">
        <f>VLOOKUP(D113,原始分!$D:$N,4,0)</f>
        <v>98</v>
      </c>
      <c r="I113" s="174">
        <f t="shared" si="17"/>
        <v>454</v>
      </c>
      <c r="J113" s="174">
        <f>VLOOKUP(D113,原始分!$D:$N,5,0)</f>
        <v>86.25</v>
      </c>
      <c r="K113" s="174">
        <f t="shared" si="18"/>
        <v>647</v>
      </c>
      <c r="L113" s="174">
        <f>VLOOKUP(D113,原始分!$D:$N,6,0)</f>
        <v>43</v>
      </c>
      <c r="M113" s="174">
        <f t="shared" si="19"/>
        <v>461</v>
      </c>
      <c r="N113" s="174">
        <f>VLOOKUP(D113,原始分!$D:$N,7,0)</f>
        <v>0</v>
      </c>
      <c r="O113" s="174">
        <f t="shared" si="20"/>
        <v>207</v>
      </c>
      <c r="P113" s="174">
        <f>VLOOKUP(D113,原始分!$D:$N,8,0)</f>
        <v>0</v>
      </c>
      <c r="Q113" s="174">
        <f t="shared" si="21"/>
        <v>541</v>
      </c>
      <c r="R113" s="174">
        <f>VLOOKUP(D113,原始分!$D:$N,9,0)</f>
        <v>0</v>
      </c>
      <c r="S113" s="174">
        <f t="shared" si="22"/>
        <v>320</v>
      </c>
      <c r="T113" s="174">
        <f>VLOOKUP(D113,原始分!$D:$N,10,0)</f>
        <v>63</v>
      </c>
      <c r="U113" s="174">
        <f t="shared" si="23"/>
        <v>73</v>
      </c>
      <c r="V113" s="174">
        <f>VLOOKUP(D113,原始分!$D:$N,11,0)</f>
        <v>39</v>
      </c>
      <c r="W113" s="174">
        <f t="shared" si="24"/>
        <v>502</v>
      </c>
      <c r="X113" s="11">
        <f t="shared" si="25"/>
        <v>283.25</v>
      </c>
      <c r="Y113" s="9">
        <f t="shared" si="26"/>
        <v>559</v>
      </c>
      <c r="Z113" s="11">
        <f t="shared" si="27"/>
        <v>428.25</v>
      </c>
      <c r="AA113" s="9">
        <f t="shared" si="28"/>
        <v>391</v>
      </c>
    </row>
    <row r="114" ht="14.25" spans="1:27">
      <c r="A114" s="13">
        <v>112</v>
      </c>
      <c r="B114" s="15">
        <v>3</v>
      </c>
      <c r="C114" s="16">
        <v>1</v>
      </c>
      <c r="D114" s="17" t="s">
        <v>237</v>
      </c>
      <c r="E114" s="17" t="s">
        <v>238</v>
      </c>
      <c r="F114" s="174">
        <f>VLOOKUP(D114,原始分!$D:$N,3,0)</f>
        <v>93</v>
      </c>
      <c r="G114" s="174">
        <f t="shared" si="16"/>
        <v>693</v>
      </c>
      <c r="H114" s="174">
        <f>VLOOKUP(D114,原始分!$D:$N,4,0)</f>
        <v>103</v>
      </c>
      <c r="I114" s="174">
        <f t="shared" si="17"/>
        <v>366</v>
      </c>
      <c r="J114" s="174">
        <f>VLOOKUP(D114,原始分!$D:$N,5,0)</f>
        <v>118.25</v>
      </c>
      <c r="K114" s="174">
        <f t="shared" si="18"/>
        <v>62</v>
      </c>
      <c r="L114" s="174">
        <f>VLOOKUP(D114,原始分!$D:$N,6,0)</f>
        <v>50</v>
      </c>
      <c r="M114" s="174">
        <f t="shared" si="19"/>
        <v>337</v>
      </c>
      <c r="N114" s="174">
        <f>VLOOKUP(D114,原始分!$D:$N,7,0)</f>
        <v>0</v>
      </c>
      <c r="O114" s="174">
        <f t="shared" si="20"/>
        <v>207</v>
      </c>
      <c r="P114" s="174">
        <f>VLOOKUP(D114,原始分!$D:$N,8,0)</f>
        <v>21.5</v>
      </c>
      <c r="Q114" s="174">
        <f t="shared" si="21"/>
        <v>527</v>
      </c>
      <c r="R114" s="174">
        <f>VLOOKUP(D114,原始分!$D:$N,9,0)</f>
        <v>39.5</v>
      </c>
      <c r="S114" s="174">
        <f t="shared" si="22"/>
        <v>296</v>
      </c>
      <c r="T114" s="174">
        <f>VLOOKUP(D114,原始分!$D:$N,10,0)</f>
        <v>0</v>
      </c>
      <c r="U114" s="174">
        <f t="shared" si="23"/>
        <v>316</v>
      </c>
      <c r="V114" s="174">
        <f>VLOOKUP(D114,原始分!$D:$N,11,0)</f>
        <v>0</v>
      </c>
      <c r="W114" s="174">
        <f t="shared" si="24"/>
        <v>565</v>
      </c>
      <c r="X114" s="11">
        <f t="shared" si="25"/>
        <v>314.25</v>
      </c>
      <c r="Y114" s="9">
        <f t="shared" si="26"/>
        <v>213</v>
      </c>
      <c r="Z114" s="11">
        <f t="shared" si="27"/>
        <v>425.25</v>
      </c>
      <c r="AA114" s="9">
        <f t="shared" si="28"/>
        <v>401</v>
      </c>
    </row>
    <row r="115" ht="14.25" spans="1:27">
      <c r="A115" s="13">
        <v>113</v>
      </c>
      <c r="B115" s="15">
        <v>3</v>
      </c>
      <c r="C115" s="16">
        <v>2</v>
      </c>
      <c r="D115" s="17" t="s">
        <v>239</v>
      </c>
      <c r="E115" s="17" t="s">
        <v>240</v>
      </c>
      <c r="F115" s="174">
        <f>VLOOKUP(D115,原始分!$D:$N,3,0)</f>
        <v>75</v>
      </c>
      <c r="G115" s="174">
        <f t="shared" si="16"/>
        <v>866</v>
      </c>
      <c r="H115" s="174">
        <f>VLOOKUP(D115,原始分!$D:$N,4,0)</f>
        <v>82</v>
      </c>
      <c r="I115" s="174">
        <f t="shared" si="17"/>
        <v>737</v>
      </c>
      <c r="J115" s="174">
        <f>VLOOKUP(D115,原始分!$D:$N,5,0)</f>
        <v>73.25</v>
      </c>
      <c r="K115" s="174">
        <f t="shared" si="18"/>
        <v>805</v>
      </c>
      <c r="L115" s="174">
        <f>VLOOKUP(D115,原始分!$D:$N,6,0)</f>
        <v>34.5</v>
      </c>
      <c r="M115" s="174">
        <f t="shared" si="19"/>
        <v>582</v>
      </c>
      <c r="N115" s="174">
        <f>VLOOKUP(D115,原始分!$D:$N,7,0)</f>
        <v>0</v>
      </c>
      <c r="O115" s="174">
        <f t="shared" si="20"/>
        <v>207</v>
      </c>
      <c r="P115" s="174">
        <f>VLOOKUP(D115,原始分!$D:$N,8,0)</f>
        <v>35.5</v>
      </c>
      <c r="Q115" s="174">
        <f t="shared" si="21"/>
        <v>397</v>
      </c>
      <c r="R115" s="174">
        <f>VLOOKUP(D115,原始分!$D:$N,9,0)</f>
        <v>37.5</v>
      </c>
      <c r="S115" s="174">
        <f t="shared" si="22"/>
        <v>307</v>
      </c>
      <c r="T115" s="174">
        <f>VLOOKUP(D115,原始分!$D:$N,10,0)</f>
        <v>0</v>
      </c>
      <c r="U115" s="174">
        <f t="shared" si="23"/>
        <v>316</v>
      </c>
      <c r="V115" s="174">
        <f>VLOOKUP(D115,原始分!$D:$N,11,0)</f>
        <v>0</v>
      </c>
      <c r="W115" s="174">
        <f t="shared" si="24"/>
        <v>565</v>
      </c>
      <c r="X115" s="11">
        <f t="shared" si="25"/>
        <v>230.25</v>
      </c>
      <c r="Y115" s="9">
        <f t="shared" si="26"/>
        <v>851</v>
      </c>
      <c r="Z115" s="11">
        <f t="shared" si="27"/>
        <v>337.75</v>
      </c>
      <c r="AA115" s="9">
        <f t="shared" si="28"/>
        <v>644</v>
      </c>
    </row>
    <row r="116" ht="14.25" spans="1:27">
      <c r="A116" s="13">
        <v>114</v>
      </c>
      <c r="B116" s="15">
        <v>3</v>
      </c>
      <c r="C116" s="16">
        <v>3</v>
      </c>
      <c r="D116" s="17" t="s">
        <v>241</v>
      </c>
      <c r="E116" s="17" t="s">
        <v>242</v>
      </c>
      <c r="F116" s="174">
        <f>VLOOKUP(D116,原始分!$D:$N,3,0)</f>
        <v>89.5</v>
      </c>
      <c r="G116" s="174">
        <f t="shared" si="16"/>
        <v>789</v>
      </c>
      <c r="H116" s="174">
        <f>VLOOKUP(D116,原始分!$D:$N,4,0)</f>
        <v>89.5</v>
      </c>
      <c r="I116" s="174">
        <f t="shared" si="17"/>
        <v>622</v>
      </c>
      <c r="J116" s="174">
        <f>VLOOKUP(D116,原始分!$D:$N,5,0)</f>
        <v>85.75</v>
      </c>
      <c r="K116" s="174">
        <f t="shared" si="18"/>
        <v>653</v>
      </c>
      <c r="L116" s="174">
        <f>VLOOKUP(D116,原始分!$D:$N,6,0)</f>
        <v>48.5</v>
      </c>
      <c r="M116" s="174">
        <f t="shared" si="19"/>
        <v>364</v>
      </c>
      <c r="N116" s="174">
        <f>VLOOKUP(D116,原始分!$D:$N,7,0)</f>
        <v>0</v>
      </c>
      <c r="O116" s="174">
        <f t="shared" si="20"/>
        <v>207</v>
      </c>
      <c r="P116" s="174">
        <f>VLOOKUP(D116,原始分!$D:$N,8,0)</f>
        <v>32</v>
      </c>
      <c r="Q116" s="174">
        <f t="shared" si="21"/>
        <v>455</v>
      </c>
      <c r="R116" s="174">
        <f>VLOOKUP(D116,原始分!$D:$N,9,0)</f>
        <v>46</v>
      </c>
      <c r="S116" s="174">
        <f t="shared" si="22"/>
        <v>222</v>
      </c>
      <c r="T116" s="174">
        <f>VLOOKUP(D116,原始分!$D:$N,10,0)</f>
        <v>0</v>
      </c>
      <c r="U116" s="174">
        <f t="shared" si="23"/>
        <v>316</v>
      </c>
      <c r="V116" s="174">
        <f>VLOOKUP(D116,原始分!$D:$N,11,0)</f>
        <v>0</v>
      </c>
      <c r="W116" s="174">
        <f t="shared" si="24"/>
        <v>565</v>
      </c>
      <c r="X116" s="11">
        <f t="shared" si="25"/>
        <v>264.75</v>
      </c>
      <c r="Y116" s="9">
        <f t="shared" si="26"/>
        <v>743</v>
      </c>
      <c r="Z116" s="11">
        <f t="shared" si="27"/>
        <v>391.25</v>
      </c>
      <c r="AA116" s="9">
        <f t="shared" si="28"/>
        <v>548</v>
      </c>
    </row>
    <row r="117" ht="14.25" spans="1:27">
      <c r="A117" s="13">
        <v>115</v>
      </c>
      <c r="B117" s="15">
        <v>3</v>
      </c>
      <c r="C117" s="16">
        <v>4</v>
      </c>
      <c r="D117" s="17" t="s">
        <v>243</v>
      </c>
      <c r="E117" s="17" t="s">
        <v>244</v>
      </c>
      <c r="F117" s="174">
        <f>VLOOKUP(D117,原始分!$D:$N,3,0)</f>
        <v>90.5</v>
      </c>
      <c r="G117" s="174">
        <f t="shared" si="16"/>
        <v>765</v>
      </c>
      <c r="H117" s="174">
        <f>VLOOKUP(D117,原始分!$D:$N,4,0)</f>
        <v>69.5</v>
      </c>
      <c r="I117" s="174">
        <f t="shared" si="17"/>
        <v>816</v>
      </c>
      <c r="J117" s="174">
        <f>VLOOKUP(D117,原始分!$D:$N,5,0)</f>
        <v>92.5</v>
      </c>
      <c r="K117" s="174">
        <f t="shared" si="18"/>
        <v>539</v>
      </c>
      <c r="L117" s="174">
        <f>VLOOKUP(D117,原始分!$D:$N,6,0)</f>
        <v>40</v>
      </c>
      <c r="M117" s="174">
        <f t="shared" si="19"/>
        <v>506</v>
      </c>
      <c r="N117" s="174">
        <f>VLOOKUP(D117,原始分!$D:$N,7,0)</f>
        <v>0</v>
      </c>
      <c r="O117" s="174">
        <f t="shared" si="20"/>
        <v>207</v>
      </c>
      <c r="P117" s="174">
        <f>VLOOKUP(D117,原始分!$D:$N,8,0)</f>
        <v>22</v>
      </c>
      <c r="Q117" s="174">
        <f t="shared" si="21"/>
        <v>523</v>
      </c>
      <c r="R117" s="174">
        <f>VLOOKUP(D117,原始分!$D:$N,9,0)</f>
        <v>42.5</v>
      </c>
      <c r="S117" s="174">
        <f t="shared" si="22"/>
        <v>275</v>
      </c>
      <c r="T117" s="174">
        <f>VLOOKUP(D117,原始分!$D:$N,10,0)</f>
        <v>0</v>
      </c>
      <c r="U117" s="174">
        <f t="shared" si="23"/>
        <v>316</v>
      </c>
      <c r="V117" s="174">
        <f>VLOOKUP(D117,原始分!$D:$N,11,0)</f>
        <v>0</v>
      </c>
      <c r="W117" s="174">
        <f t="shared" si="24"/>
        <v>565</v>
      </c>
      <c r="X117" s="11">
        <f t="shared" si="25"/>
        <v>252.5</v>
      </c>
      <c r="Y117" s="9">
        <f t="shared" si="26"/>
        <v>796</v>
      </c>
      <c r="Z117" s="11">
        <f t="shared" si="27"/>
        <v>357</v>
      </c>
      <c r="AA117" s="9">
        <f t="shared" si="28"/>
        <v>628</v>
      </c>
    </row>
    <row r="118" ht="14.25" spans="1:27">
      <c r="A118" s="13">
        <v>116</v>
      </c>
      <c r="B118" s="15">
        <v>3</v>
      </c>
      <c r="C118" s="16">
        <v>5</v>
      </c>
      <c r="D118" s="17" t="s">
        <v>245</v>
      </c>
      <c r="E118" s="17" t="s">
        <v>246</v>
      </c>
      <c r="F118" s="174">
        <f>VLOOKUP(D118,原始分!$D:$N,3,0)</f>
        <v>98.5</v>
      </c>
      <c r="G118" s="174">
        <f t="shared" si="16"/>
        <v>469</v>
      </c>
      <c r="H118" s="174">
        <f>VLOOKUP(D118,原始分!$D:$N,4,0)</f>
        <v>79</v>
      </c>
      <c r="I118" s="174">
        <f t="shared" si="17"/>
        <v>761</v>
      </c>
      <c r="J118" s="174">
        <f>VLOOKUP(D118,原始分!$D:$N,5,0)</f>
        <v>100.5</v>
      </c>
      <c r="K118" s="174">
        <f t="shared" si="18"/>
        <v>357</v>
      </c>
      <c r="L118" s="174">
        <f>VLOOKUP(D118,原始分!$D:$N,6,0)</f>
        <v>50.5</v>
      </c>
      <c r="M118" s="174">
        <f t="shared" si="19"/>
        <v>328</v>
      </c>
      <c r="N118" s="174">
        <f>VLOOKUP(D118,原始分!$D:$N,7,0)</f>
        <v>0</v>
      </c>
      <c r="O118" s="174">
        <f t="shared" si="20"/>
        <v>207</v>
      </c>
      <c r="P118" s="174">
        <f>VLOOKUP(D118,原始分!$D:$N,8,0)</f>
        <v>56</v>
      </c>
      <c r="Q118" s="174">
        <f t="shared" si="21"/>
        <v>46</v>
      </c>
      <c r="R118" s="174">
        <f>VLOOKUP(D118,原始分!$D:$N,9,0)</f>
        <v>55</v>
      </c>
      <c r="S118" s="174">
        <f t="shared" si="22"/>
        <v>73</v>
      </c>
      <c r="T118" s="174">
        <f>VLOOKUP(D118,原始分!$D:$N,10,0)</f>
        <v>0</v>
      </c>
      <c r="U118" s="174">
        <f t="shared" si="23"/>
        <v>316</v>
      </c>
      <c r="V118" s="174">
        <f>VLOOKUP(D118,原始分!$D:$N,11,0)</f>
        <v>0</v>
      </c>
      <c r="W118" s="174">
        <f t="shared" si="24"/>
        <v>565</v>
      </c>
      <c r="X118" s="11">
        <f t="shared" si="25"/>
        <v>278</v>
      </c>
      <c r="Y118" s="9">
        <f t="shared" si="26"/>
        <v>621</v>
      </c>
      <c r="Z118" s="11">
        <f t="shared" si="27"/>
        <v>439.5</v>
      </c>
      <c r="AA118" s="9">
        <f t="shared" si="28"/>
        <v>334</v>
      </c>
    </row>
    <row r="119" ht="14.25" spans="1:27">
      <c r="A119" s="13">
        <v>117</v>
      </c>
      <c r="B119" s="15">
        <v>3</v>
      </c>
      <c r="C119" s="16">
        <v>6</v>
      </c>
      <c r="D119" s="17" t="s">
        <v>247</v>
      </c>
      <c r="E119" s="17" t="s">
        <v>248</v>
      </c>
      <c r="F119" s="174">
        <f>VLOOKUP(D119,原始分!$D:$N,3,0)</f>
        <v>99</v>
      </c>
      <c r="G119" s="174">
        <f t="shared" si="16"/>
        <v>442</v>
      </c>
      <c r="H119" s="174">
        <f>VLOOKUP(D119,原始分!$D:$N,4,0)</f>
        <v>82.5</v>
      </c>
      <c r="I119" s="174">
        <f t="shared" si="17"/>
        <v>733</v>
      </c>
      <c r="J119" s="174">
        <f>VLOOKUP(D119,原始分!$D:$N,5,0)</f>
        <v>100.75</v>
      </c>
      <c r="K119" s="174">
        <f t="shared" si="18"/>
        <v>354</v>
      </c>
      <c r="L119" s="174">
        <f>VLOOKUP(D119,原始分!$D:$N,6,0)</f>
        <v>53</v>
      </c>
      <c r="M119" s="174">
        <f t="shared" si="19"/>
        <v>300</v>
      </c>
      <c r="N119" s="174">
        <f>VLOOKUP(D119,原始分!$D:$N,7,0)</f>
        <v>0</v>
      </c>
      <c r="O119" s="174">
        <f t="shared" si="20"/>
        <v>207</v>
      </c>
      <c r="P119" s="174">
        <f>VLOOKUP(D119,原始分!$D:$N,8,0)</f>
        <v>47</v>
      </c>
      <c r="Q119" s="174">
        <f t="shared" si="21"/>
        <v>173</v>
      </c>
      <c r="R119" s="174">
        <f>VLOOKUP(D119,原始分!$D:$N,9,0)</f>
        <v>53.5</v>
      </c>
      <c r="S119" s="174">
        <f t="shared" si="22"/>
        <v>98</v>
      </c>
      <c r="T119" s="174">
        <f>VLOOKUP(D119,原始分!$D:$N,10,0)</f>
        <v>0</v>
      </c>
      <c r="U119" s="174">
        <f t="shared" si="23"/>
        <v>316</v>
      </c>
      <c r="V119" s="174">
        <f>VLOOKUP(D119,原始分!$D:$N,11,0)</f>
        <v>0</v>
      </c>
      <c r="W119" s="174">
        <f t="shared" si="24"/>
        <v>565</v>
      </c>
      <c r="X119" s="11">
        <f t="shared" si="25"/>
        <v>282.25</v>
      </c>
      <c r="Y119" s="9">
        <f t="shared" si="26"/>
        <v>577</v>
      </c>
      <c r="Z119" s="11">
        <f t="shared" si="27"/>
        <v>435.75</v>
      </c>
      <c r="AA119" s="9">
        <f t="shared" si="28"/>
        <v>356</v>
      </c>
    </row>
    <row r="120" ht="14.25" spans="1:27">
      <c r="A120" s="13">
        <v>118</v>
      </c>
      <c r="B120" s="15">
        <v>3</v>
      </c>
      <c r="C120" s="16">
        <v>7</v>
      </c>
      <c r="D120" s="17" t="s">
        <v>249</v>
      </c>
      <c r="E120" s="17" t="s">
        <v>250</v>
      </c>
      <c r="F120" s="174">
        <f>VLOOKUP(D120,原始分!$D:$N,3,0)</f>
        <v>101</v>
      </c>
      <c r="G120" s="174">
        <f t="shared" si="16"/>
        <v>338</v>
      </c>
      <c r="H120" s="174">
        <f>VLOOKUP(D120,原始分!$D:$N,4,0)</f>
        <v>102</v>
      </c>
      <c r="I120" s="174">
        <f t="shared" si="17"/>
        <v>383</v>
      </c>
      <c r="J120" s="174">
        <f>VLOOKUP(D120,原始分!$D:$N,5,0)</f>
        <v>128.25</v>
      </c>
      <c r="K120" s="174">
        <f t="shared" si="18"/>
        <v>7</v>
      </c>
      <c r="L120" s="174">
        <f>VLOOKUP(D120,原始分!$D:$N,6,0)</f>
        <v>44.5</v>
      </c>
      <c r="M120" s="174">
        <f t="shared" si="19"/>
        <v>432</v>
      </c>
      <c r="N120" s="174">
        <f>VLOOKUP(D120,原始分!$D:$N,7,0)</f>
        <v>0</v>
      </c>
      <c r="O120" s="174">
        <f t="shared" si="20"/>
        <v>207</v>
      </c>
      <c r="P120" s="174">
        <f>VLOOKUP(D120,原始分!$D:$N,8,0)</f>
        <v>43.5</v>
      </c>
      <c r="Q120" s="174">
        <f t="shared" si="21"/>
        <v>242</v>
      </c>
      <c r="R120" s="174">
        <f>VLOOKUP(D120,原始分!$D:$N,9,0)</f>
        <v>57</v>
      </c>
      <c r="S120" s="174">
        <f t="shared" si="22"/>
        <v>51</v>
      </c>
      <c r="T120" s="174">
        <f>VLOOKUP(D120,原始分!$D:$N,10,0)</f>
        <v>0</v>
      </c>
      <c r="U120" s="174">
        <f t="shared" si="23"/>
        <v>316</v>
      </c>
      <c r="V120" s="174">
        <f>VLOOKUP(D120,原始分!$D:$N,11,0)</f>
        <v>0</v>
      </c>
      <c r="W120" s="174">
        <f t="shared" si="24"/>
        <v>565</v>
      </c>
      <c r="X120" s="11">
        <f t="shared" si="25"/>
        <v>331.25</v>
      </c>
      <c r="Y120" s="9">
        <f t="shared" si="26"/>
        <v>83</v>
      </c>
      <c r="Z120" s="11">
        <f t="shared" si="27"/>
        <v>476.25</v>
      </c>
      <c r="AA120" s="9">
        <f t="shared" si="28"/>
        <v>150</v>
      </c>
    </row>
    <row r="121" ht="14.25" spans="1:27">
      <c r="A121" s="13">
        <v>119</v>
      </c>
      <c r="B121" s="15">
        <v>3</v>
      </c>
      <c r="C121" s="16">
        <v>8</v>
      </c>
      <c r="D121" s="17" t="s">
        <v>251</v>
      </c>
      <c r="E121" s="17" t="s">
        <v>252</v>
      </c>
      <c r="F121" s="174">
        <f>VLOOKUP(D121,原始分!$D:$N,3,0)</f>
        <v>92.25</v>
      </c>
      <c r="G121" s="174">
        <f t="shared" si="16"/>
        <v>722</v>
      </c>
      <c r="H121" s="174">
        <f>VLOOKUP(D121,原始分!$D:$N,4,0)</f>
        <v>104.5</v>
      </c>
      <c r="I121" s="174">
        <f t="shared" si="17"/>
        <v>327</v>
      </c>
      <c r="J121" s="174">
        <f>VLOOKUP(D121,原始分!$D:$N,5,0)</f>
        <v>69.25</v>
      </c>
      <c r="K121" s="174">
        <f t="shared" si="18"/>
        <v>833</v>
      </c>
      <c r="L121" s="174">
        <f>VLOOKUP(D121,原始分!$D:$N,6,0)</f>
        <v>48.5</v>
      </c>
      <c r="M121" s="174">
        <f t="shared" si="19"/>
        <v>364</v>
      </c>
      <c r="N121" s="174">
        <f>VLOOKUP(D121,原始分!$D:$N,7,0)</f>
        <v>0</v>
      </c>
      <c r="O121" s="174">
        <f t="shared" si="20"/>
        <v>207</v>
      </c>
      <c r="P121" s="174">
        <f>VLOOKUP(D121,原始分!$D:$N,8,0)</f>
        <v>30</v>
      </c>
      <c r="Q121" s="174">
        <f t="shared" si="21"/>
        <v>474</v>
      </c>
      <c r="R121" s="174">
        <f>VLOOKUP(D121,原始分!$D:$N,9,0)</f>
        <v>52</v>
      </c>
      <c r="S121" s="174">
        <f t="shared" si="22"/>
        <v>121</v>
      </c>
      <c r="T121" s="174">
        <f>VLOOKUP(D121,原始分!$D:$N,10,0)</f>
        <v>0</v>
      </c>
      <c r="U121" s="174">
        <f t="shared" si="23"/>
        <v>316</v>
      </c>
      <c r="V121" s="174">
        <f>VLOOKUP(D121,原始分!$D:$N,11,0)</f>
        <v>0</v>
      </c>
      <c r="W121" s="174">
        <f t="shared" si="24"/>
        <v>565</v>
      </c>
      <c r="X121" s="11">
        <f t="shared" si="25"/>
        <v>266</v>
      </c>
      <c r="Y121" s="9">
        <f t="shared" si="26"/>
        <v>733</v>
      </c>
      <c r="Z121" s="11">
        <f t="shared" si="27"/>
        <v>396.5</v>
      </c>
      <c r="AA121" s="9">
        <f t="shared" si="28"/>
        <v>535</v>
      </c>
    </row>
    <row r="122" ht="14.25" spans="1:27">
      <c r="A122" s="13">
        <v>120</v>
      </c>
      <c r="B122" s="15">
        <v>3</v>
      </c>
      <c r="C122" s="16">
        <v>9</v>
      </c>
      <c r="D122" s="17" t="s">
        <v>253</v>
      </c>
      <c r="E122" s="17" t="s">
        <v>254</v>
      </c>
      <c r="F122" s="174">
        <f>VLOOKUP(D122,原始分!$D:$N,3,0)</f>
        <v>98</v>
      </c>
      <c r="G122" s="174">
        <f t="shared" si="16"/>
        <v>500</v>
      </c>
      <c r="H122" s="174">
        <f>VLOOKUP(D122,原始分!$D:$N,4,0)</f>
        <v>95</v>
      </c>
      <c r="I122" s="174">
        <f t="shared" si="17"/>
        <v>510</v>
      </c>
      <c r="J122" s="174">
        <f>VLOOKUP(D122,原始分!$D:$N,5,0)</f>
        <v>82</v>
      </c>
      <c r="K122" s="174">
        <f t="shared" si="18"/>
        <v>720</v>
      </c>
      <c r="L122" s="174">
        <f>VLOOKUP(D122,原始分!$D:$N,6,0)</f>
        <v>51.5</v>
      </c>
      <c r="M122" s="174">
        <f t="shared" si="19"/>
        <v>313</v>
      </c>
      <c r="N122" s="174">
        <f>VLOOKUP(D122,原始分!$D:$N,7,0)</f>
        <v>0</v>
      </c>
      <c r="O122" s="174">
        <f t="shared" si="20"/>
        <v>207</v>
      </c>
      <c r="P122" s="174">
        <f>VLOOKUP(D122,原始分!$D:$N,8,0)</f>
        <v>24</v>
      </c>
      <c r="Q122" s="174">
        <f t="shared" si="21"/>
        <v>518</v>
      </c>
      <c r="R122" s="174">
        <f>VLOOKUP(D122,原始分!$D:$N,9,0)</f>
        <v>33</v>
      </c>
      <c r="S122" s="174">
        <f t="shared" si="22"/>
        <v>315</v>
      </c>
      <c r="T122" s="174">
        <f>VLOOKUP(D122,原始分!$D:$N,10,0)</f>
        <v>0</v>
      </c>
      <c r="U122" s="174">
        <f t="shared" si="23"/>
        <v>316</v>
      </c>
      <c r="V122" s="174">
        <f>VLOOKUP(D122,原始分!$D:$N,11,0)</f>
        <v>0</v>
      </c>
      <c r="W122" s="174">
        <f t="shared" si="24"/>
        <v>565</v>
      </c>
      <c r="X122" s="11">
        <f t="shared" si="25"/>
        <v>275</v>
      </c>
      <c r="Y122" s="9">
        <f t="shared" si="26"/>
        <v>655</v>
      </c>
      <c r="Z122" s="11">
        <f t="shared" si="27"/>
        <v>383.5</v>
      </c>
      <c r="AA122" s="9">
        <f t="shared" si="28"/>
        <v>567</v>
      </c>
    </row>
    <row r="123" ht="14.25" spans="1:27">
      <c r="A123" s="13">
        <v>121</v>
      </c>
      <c r="B123" s="15">
        <v>3</v>
      </c>
      <c r="C123" s="16">
        <v>10</v>
      </c>
      <c r="D123" s="17" t="s">
        <v>255</v>
      </c>
      <c r="E123" s="17" t="s">
        <v>256</v>
      </c>
      <c r="F123" s="174">
        <f>VLOOKUP(D123,原始分!$D:$N,3,0)</f>
        <v>107</v>
      </c>
      <c r="G123" s="174">
        <f t="shared" si="16"/>
        <v>113</v>
      </c>
      <c r="H123" s="174">
        <f>VLOOKUP(D123,原始分!$D:$N,4,0)</f>
        <v>109.5</v>
      </c>
      <c r="I123" s="174">
        <f t="shared" si="17"/>
        <v>232</v>
      </c>
      <c r="J123" s="174">
        <f>VLOOKUP(D123,原始分!$D:$N,5,0)</f>
        <v>98.5</v>
      </c>
      <c r="K123" s="174">
        <f t="shared" si="18"/>
        <v>412</v>
      </c>
      <c r="L123" s="174">
        <f>VLOOKUP(D123,原始分!$D:$N,6,0)</f>
        <v>47</v>
      </c>
      <c r="M123" s="174">
        <f t="shared" si="19"/>
        <v>391</v>
      </c>
      <c r="N123" s="174">
        <f>VLOOKUP(D123,原始分!$D:$N,7,0)</f>
        <v>0</v>
      </c>
      <c r="O123" s="174">
        <f t="shared" si="20"/>
        <v>207</v>
      </c>
      <c r="P123" s="174">
        <f>VLOOKUP(D123,原始分!$D:$N,8,0)</f>
        <v>40</v>
      </c>
      <c r="Q123" s="174">
        <f t="shared" si="21"/>
        <v>316</v>
      </c>
      <c r="R123" s="174">
        <f>VLOOKUP(D123,原始分!$D:$N,9,0)</f>
        <v>48.5</v>
      </c>
      <c r="S123" s="174">
        <f t="shared" si="22"/>
        <v>182</v>
      </c>
      <c r="T123" s="174">
        <f>VLOOKUP(D123,原始分!$D:$N,10,0)</f>
        <v>0</v>
      </c>
      <c r="U123" s="174">
        <f t="shared" si="23"/>
        <v>316</v>
      </c>
      <c r="V123" s="174">
        <f>VLOOKUP(D123,原始分!$D:$N,11,0)</f>
        <v>0</v>
      </c>
      <c r="W123" s="174">
        <f t="shared" si="24"/>
        <v>565</v>
      </c>
      <c r="X123" s="11">
        <f t="shared" si="25"/>
        <v>315</v>
      </c>
      <c r="Y123" s="9">
        <f t="shared" si="26"/>
        <v>204</v>
      </c>
      <c r="Z123" s="11">
        <f t="shared" si="27"/>
        <v>450.5</v>
      </c>
      <c r="AA123" s="9">
        <f t="shared" si="28"/>
        <v>274</v>
      </c>
    </row>
    <row r="124" ht="14.25" spans="1:27">
      <c r="A124" s="13">
        <v>122</v>
      </c>
      <c r="B124" s="15">
        <v>3</v>
      </c>
      <c r="C124" s="16">
        <v>11</v>
      </c>
      <c r="D124" s="17" t="s">
        <v>257</v>
      </c>
      <c r="E124" s="17" t="s">
        <v>258</v>
      </c>
      <c r="F124" s="174">
        <f>VLOOKUP(D124,原始分!$D:$N,3,0)</f>
        <v>91.25</v>
      </c>
      <c r="G124" s="174">
        <f t="shared" si="16"/>
        <v>745</v>
      </c>
      <c r="H124" s="174">
        <f>VLOOKUP(D124,原始分!$D:$N,4,0)</f>
        <v>83.5</v>
      </c>
      <c r="I124" s="174">
        <f t="shared" si="17"/>
        <v>721</v>
      </c>
      <c r="J124" s="174">
        <f>VLOOKUP(D124,原始分!$D:$N,5,0)</f>
        <v>77.75</v>
      </c>
      <c r="K124" s="174">
        <f t="shared" si="18"/>
        <v>768</v>
      </c>
      <c r="L124" s="174">
        <f>VLOOKUP(D124,原始分!$D:$N,6,0)</f>
        <v>41.5</v>
      </c>
      <c r="M124" s="174">
        <f t="shared" si="19"/>
        <v>483</v>
      </c>
      <c r="N124" s="174">
        <f>VLOOKUP(D124,原始分!$D:$N,7,0)</f>
        <v>0</v>
      </c>
      <c r="O124" s="174">
        <f t="shared" si="20"/>
        <v>207</v>
      </c>
      <c r="P124" s="174">
        <f>VLOOKUP(D124,原始分!$D:$N,8,0)</f>
        <v>50</v>
      </c>
      <c r="Q124" s="174">
        <f t="shared" si="21"/>
        <v>109</v>
      </c>
      <c r="R124" s="174">
        <f>VLOOKUP(D124,原始分!$D:$N,9,0)</f>
        <v>36.5</v>
      </c>
      <c r="S124" s="174">
        <f t="shared" si="22"/>
        <v>309</v>
      </c>
      <c r="T124" s="174">
        <f>VLOOKUP(D124,原始分!$D:$N,10,0)</f>
        <v>0</v>
      </c>
      <c r="U124" s="174">
        <f t="shared" si="23"/>
        <v>316</v>
      </c>
      <c r="V124" s="174">
        <f>VLOOKUP(D124,原始分!$D:$N,11,0)</f>
        <v>0</v>
      </c>
      <c r="W124" s="174">
        <f t="shared" si="24"/>
        <v>565</v>
      </c>
      <c r="X124" s="11">
        <f t="shared" si="25"/>
        <v>252.5</v>
      </c>
      <c r="Y124" s="9">
        <f t="shared" si="26"/>
        <v>796</v>
      </c>
      <c r="Z124" s="11">
        <f t="shared" si="27"/>
        <v>380.5</v>
      </c>
      <c r="AA124" s="9">
        <f t="shared" si="28"/>
        <v>575</v>
      </c>
    </row>
    <row r="125" ht="14.25" spans="1:27">
      <c r="A125" s="13">
        <v>123</v>
      </c>
      <c r="B125" s="15">
        <v>3</v>
      </c>
      <c r="C125" s="16">
        <v>12</v>
      </c>
      <c r="D125" s="17" t="s">
        <v>259</v>
      </c>
      <c r="E125" s="17" t="s">
        <v>260</v>
      </c>
      <c r="F125" s="174">
        <f>VLOOKUP(D125,原始分!$D:$N,3,0)</f>
        <v>93.5</v>
      </c>
      <c r="G125" s="174">
        <f t="shared" si="16"/>
        <v>676</v>
      </c>
      <c r="H125" s="174">
        <f>VLOOKUP(D125,原始分!$D:$N,4,0)</f>
        <v>90</v>
      </c>
      <c r="I125" s="174">
        <f t="shared" si="17"/>
        <v>614</v>
      </c>
      <c r="J125" s="174">
        <f>VLOOKUP(D125,原始分!$D:$N,5,0)</f>
        <v>102</v>
      </c>
      <c r="K125" s="174">
        <f t="shared" si="18"/>
        <v>323</v>
      </c>
      <c r="L125" s="174">
        <f>VLOOKUP(D125,原始分!$D:$N,6,0)</f>
        <v>38</v>
      </c>
      <c r="M125" s="174">
        <f t="shared" si="19"/>
        <v>537</v>
      </c>
      <c r="N125" s="174">
        <f>VLOOKUP(D125,原始分!$D:$N,7,0)</f>
        <v>0</v>
      </c>
      <c r="O125" s="174">
        <f t="shared" si="20"/>
        <v>207</v>
      </c>
      <c r="P125" s="174">
        <f>VLOOKUP(D125,原始分!$D:$N,8,0)</f>
        <v>33.5</v>
      </c>
      <c r="Q125" s="174">
        <f t="shared" si="21"/>
        <v>422</v>
      </c>
      <c r="R125" s="174">
        <f>VLOOKUP(D125,原始分!$D:$N,9,0)</f>
        <v>40</v>
      </c>
      <c r="S125" s="174">
        <f t="shared" si="22"/>
        <v>294</v>
      </c>
      <c r="T125" s="174">
        <f>VLOOKUP(D125,原始分!$D:$N,10,0)</f>
        <v>0</v>
      </c>
      <c r="U125" s="174">
        <f t="shared" si="23"/>
        <v>316</v>
      </c>
      <c r="V125" s="174">
        <f>VLOOKUP(D125,原始分!$D:$N,11,0)</f>
        <v>0</v>
      </c>
      <c r="W125" s="174">
        <f t="shared" si="24"/>
        <v>565</v>
      </c>
      <c r="X125" s="11">
        <f t="shared" si="25"/>
        <v>285.5</v>
      </c>
      <c r="Y125" s="9">
        <f t="shared" si="26"/>
        <v>538</v>
      </c>
      <c r="Z125" s="11">
        <f t="shared" si="27"/>
        <v>397</v>
      </c>
      <c r="AA125" s="9">
        <f t="shared" si="28"/>
        <v>531</v>
      </c>
    </row>
    <row r="126" ht="14.25" spans="1:27">
      <c r="A126" s="13">
        <v>124</v>
      </c>
      <c r="B126" s="15">
        <v>3</v>
      </c>
      <c r="C126" s="16">
        <v>13</v>
      </c>
      <c r="D126" s="17" t="s">
        <v>261</v>
      </c>
      <c r="E126" s="17" t="s">
        <v>262</v>
      </c>
      <c r="F126" s="174">
        <f>VLOOKUP(D126,原始分!$D:$N,3,0)</f>
        <v>92.75</v>
      </c>
      <c r="G126" s="174">
        <f t="shared" si="16"/>
        <v>709</v>
      </c>
      <c r="H126" s="174">
        <f>VLOOKUP(D126,原始分!$D:$N,4,0)</f>
        <v>76</v>
      </c>
      <c r="I126" s="174">
        <f t="shared" si="17"/>
        <v>782</v>
      </c>
      <c r="J126" s="174">
        <f>VLOOKUP(D126,原始分!$D:$N,5,0)</f>
        <v>113.25</v>
      </c>
      <c r="K126" s="174">
        <f t="shared" si="18"/>
        <v>127</v>
      </c>
      <c r="L126" s="174">
        <f>VLOOKUP(D126,原始分!$D:$N,6,0)</f>
        <v>48</v>
      </c>
      <c r="M126" s="174">
        <f t="shared" si="19"/>
        <v>375</v>
      </c>
      <c r="N126" s="174">
        <f>VLOOKUP(D126,原始分!$D:$N,7,0)</f>
        <v>0</v>
      </c>
      <c r="O126" s="174">
        <f t="shared" si="20"/>
        <v>207</v>
      </c>
      <c r="P126" s="174">
        <f>VLOOKUP(D126,原始分!$D:$N,8,0)</f>
        <v>41</v>
      </c>
      <c r="Q126" s="174">
        <f t="shared" si="21"/>
        <v>296</v>
      </c>
      <c r="R126" s="174">
        <f>VLOOKUP(D126,原始分!$D:$N,9,0)</f>
        <v>34.5</v>
      </c>
      <c r="S126" s="174">
        <f t="shared" si="22"/>
        <v>314</v>
      </c>
      <c r="T126" s="174">
        <f>VLOOKUP(D126,原始分!$D:$N,10,0)</f>
        <v>0</v>
      </c>
      <c r="U126" s="174">
        <f t="shared" si="23"/>
        <v>316</v>
      </c>
      <c r="V126" s="174">
        <f>VLOOKUP(D126,原始分!$D:$N,11,0)</f>
        <v>0</v>
      </c>
      <c r="W126" s="174">
        <f t="shared" si="24"/>
        <v>565</v>
      </c>
      <c r="X126" s="11">
        <f t="shared" si="25"/>
        <v>282</v>
      </c>
      <c r="Y126" s="9">
        <f t="shared" si="26"/>
        <v>579</v>
      </c>
      <c r="Z126" s="11">
        <f t="shared" si="27"/>
        <v>405.5</v>
      </c>
      <c r="AA126" s="9">
        <f t="shared" si="28"/>
        <v>494</v>
      </c>
    </row>
    <row r="127" ht="14.25" spans="1:27">
      <c r="A127" s="13">
        <v>125</v>
      </c>
      <c r="B127" s="15">
        <v>3</v>
      </c>
      <c r="C127" s="16">
        <v>14</v>
      </c>
      <c r="D127" s="17" t="s">
        <v>263</v>
      </c>
      <c r="E127" s="17" t="s">
        <v>264</v>
      </c>
      <c r="F127" s="174">
        <f>VLOOKUP(D127,原始分!$D:$N,3,0)</f>
        <v>100</v>
      </c>
      <c r="G127" s="174">
        <f t="shared" si="16"/>
        <v>400</v>
      </c>
      <c r="H127" s="174">
        <f>VLOOKUP(D127,原始分!$D:$N,4,0)</f>
        <v>97.5</v>
      </c>
      <c r="I127" s="174">
        <f t="shared" si="17"/>
        <v>464</v>
      </c>
      <c r="J127" s="174">
        <f>VLOOKUP(D127,原始分!$D:$N,5,0)</f>
        <v>85.75</v>
      </c>
      <c r="K127" s="174">
        <f t="shared" si="18"/>
        <v>653</v>
      </c>
      <c r="L127" s="174">
        <f>VLOOKUP(D127,原始分!$D:$N,6,0)</f>
        <v>47.5</v>
      </c>
      <c r="M127" s="174">
        <f t="shared" si="19"/>
        <v>382</v>
      </c>
      <c r="N127" s="174">
        <f>VLOOKUP(D127,原始分!$D:$N,7,0)</f>
        <v>0</v>
      </c>
      <c r="O127" s="174">
        <f t="shared" si="20"/>
        <v>207</v>
      </c>
      <c r="P127" s="174">
        <f>VLOOKUP(D127,原始分!$D:$N,8,0)</f>
        <v>45</v>
      </c>
      <c r="Q127" s="174">
        <f t="shared" si="21"/>
        <v>209</v>
      </c>
      <c r="R127" s="174">
        <f>VLOOKUP(D127,原始分!$D:$N,9,0)</f>
        <v>47</v>
      </c>
      <c r="S127" s="174">
        <f t="shared" si="22"/>
        <v>208</v>
      </c>
      <c r="T127" s="174">
        <f>VLOOKUP(D127,原始分!$D:$N,10,0)</f>
        <v>0</v>
      </c>
      <c r="U127" s="174">
        <f t="shared" si="23"/>
        <v>316</v>
      </c>
      <c r="V127" s="174">
        <f>VLOOKUP(D127,原始分!$D:$N,11,0)</f>
        <v>0</v>
      </c>
      <c r="W127" s="174">
        <f t="shared" si="24"/>
        <v>565</v>
      </c>
      <c r="X127" s="11">
        <f t="shared" si="25"/>
        <v>283.25</v>
      </c>
      <c r="Y127" s="9">
        <f t="shared" si="26"/>
        <v>559</v>
      </c>
      <c r="Z127" s="11">
        <f t="shared" si="27"/>
        <v>422.75</v>
      </c>
      <c r="AA127" s="9">
        <f t="shared" si="28"/>
        <v>419</v>
      </c>
    </row>
    <row r="128" ht="14.25" spans="1:27">
      <c r="A128" s="13">
        <v>126</v>
      </c>
      <c r="B128" s="15">
        <v>3</v>
      </c>
      <c r="C128" s="16">
        <v>15</v>
      </c>
      <c r="D128" s="17" t="s">
        <v>265</v>
      </c>
      <c r="E128" s="17" t="s">
        <v>266</v>
      </c>
      <c r="F128" s="174">
        <f>VLOOKUP(D128,原始分!$D:$N,3,0)</f>
        <v>91.5</v>
      </c>
      <c r="G128" s="174">
        <f t="shared" si="16"/>
        <v>730</v>
      </c>
      <c r="H128" s="174">
        <f>VLOOKUP(D128,原始分!$D:$N,4,0)</f>
        <v>124</v>
      </c>
      <c r="I128" s="174">
        <f t="shared" si="17"/>
        <v>39</v>
      </c>
      <c r="J128" s="174">
        <f>VLOOKUP(D128,原始分!$D:$N,5,0)</f>
        <v>114.5</v>
      </c>
      <c r="K128" s="174">
        <f t="shared" si="18"/>
        <v>110</v>
      </c>
      <c r="L128" s="174">
        <f>VLOOKUP(D128,原始分!$D:$N,6,0)</f>
        <v>70.5</v>
      </c>
      <c r="M128" s="174">
        <f t="shared" si="19"/>
        <v>64</v>
      </c>
      <c r="N128" s="174">
        <f>VLOOKUP(D128,原始分!$D:$N,7,0)</f>
        <v>0</v>
      </c>
      <c r="O128" s="174">
        <f t="shared" si="20"/>
        <v>207</v>
      </c>
      <c r="P128" s="174">
        <f>VLOOKUP(D128,原始分!$D:$N,8,0)</f>
        <v>20.5</v>
      </c>
      <c r="Q128" s="174">
        <f t="shared" si="21"/>
        <v>535</v>
      </c>
      <c r="R128" s="174">
        <f>VLOOKUP(D128,原始分!$D:$N,9,0)</f>
        <v>53</v>
      </c>
      <c r="S128" s="174">
        <f t="shared" si="22"/>
        <v>108</v>
      </c>
      <c r="T128" s="174">
        <f>VLOOKUP(D128,原始分!$D:$N,10,0)</f>
        <v>0</v>
      </c>
      <c r="U128" s="174">
        <f t="shared" si="23"/>
        <v>316</v>
      </c>
      <c r="V128" s="174">
        <f>VLOOKUP(D128,原始分!$D:$N,11,0)</f>
        <v>0</v>
      </c>
      <c r="W128" s="174">
        <f t="shared" si="24"/>
        <v>565</v>
      </c>
      <c r="X128" s="11">
        <f t="shared" si="25"/>
        <v>330</v>
      </c>
      <c r="Y128" s="9">
        <f t="shared" si="26"/>
        <v>90</v>
      </c>
      <c r="Z128" s="11">
        <f t="shared" si="27"/>
        <v>474</v>
      </c>
      <c r="AA128" s="9">
        <f t="shared" si="28"/>
        <v>161</v>
      </c>
    </row>
    <row r="129" ht="14.25" spans="1:27">
      <c r="A129" s="13">
        <v>127</v>
      </c>
      <c r="B129" s="15">
        <v>3</v>
      </c>
      <c r="C129" s="16">
        <v>16</v>
      </c>
      <c r="D129" s="17" t="s">
        <v>267</v>
      </c>
      <c r="E129" s="17" t="s">
        <v>268</v>
      </c>
      <c r="F129" s="174">
        <f>VLOOKUP(D129,原始分!$D:$N,3,0)</f>
        <v>100.5</v>
      </c>
      <c r="G129" s="174">
        <f t="shared" si="16"/>
        <v>370</v>
      </c>
      <c r="H129" s="174">
        <f>VLOOKUP(D129,原始分!$D:$N,4,0)</f>
        <v>96.5</v>
      </c>
      <c r="I129" s="174">
        <f t="shared" si="17"/>
        <v>485</v>
      </c>
      <c r="J129" s="174">
        <f>VLOOKUP(D129,原始分!$D:$N,5,0)</f>
        <v>84.5</v>
      </c>
      <c r="K129" s="174">
        <f t="shared" si="18"/>
        <v>677</v>
      </c>
      <c r="L129" s="174">
        <f>VLOOKUP(D129,原始分!$D:$N,6,0)</f>
        <v>43</v>
      </c>
      <c r="M129" s="174">
        <f t="shared" si="19"/>
        <v>461</v>
      </c>
      <c r="N129" s="174">
        <f>VLOOKUP(D129,原始分!$D:$N,7,0)</f>
        <v>0</v>
      </c>
      <c r="O129" s="174">
        <f t="shared" si="20"/>
        <v>207</v>
      </c>
      <c r="P129" s="174">
        <f>VLOOKUP(D129,原始分!$D:$N,8,0)</f>
        <v>63.5</v>
      </c>
      <c r="Q129" s="174">
        <f t="shared" si="21"/>
        <v>12</v>
      </c>
      <c r="R129" s="174">
        <f>VLOOKUP(D129,原始分!$D:$N,9,0)</f>
        <v>62.5</v>
      </c>
      <c r="S129" s="174">
        <f t="shared" si="22"/>
        <v>19</v>
      </c>
      <c r="T129" s="174">
        <f>VLOOKUP(D129,原始分!$D:$N,10,0)</f>
        <v>0</v>
      </c>
      <c r="U129" s="174">
        <f t="shared" si="23"/>
        <v>316</v>
      </c>
      <c r="V129" s="174">
        <f>VLOOKUP(D129,原始分!$D:$N,11,0)</f>
        <v>0</v>
      </c>
      <c r="W129" s="174">
        <f t="shared" si="24"/>
        <v>565</v>
      </c>
      <c r="X129" s="11">
        <f t="shared" si="25"/>
        <v>281.5</v>
      </c>
      <c r="Y129" s="9">
        <f t="shared" si="26"/>
        <v>586</v>
      </c>
      <c r="Z129" s="11">
        <f t="shared" si="27"/>
        <v>450.5</v>
      </c>
      <c r="AA129" s="9">
        <f t="shared" si="28"/>
        <v>274</v>
      </c>
    </row>
    <row r="130" ht="14.25" spans="1:27">
      <c r="A130" s="13">
        <v>128</v>
      </c>
      <c r="B130" s="15">
        <v>3</v>
      </c>
      <c r="C130" s="16">
        <v>17</v>
      </c>
      <c r="D130" s="17" t="s">
        <v>269</v>
      </c>
      <c r="E130" s="17" t="s">
        <v>270</v>
      </c>
      <c r="F130" s="174">
        <f>VLOOKUP(D130,原始分!$D:$N,3,0)</f>
        <v>103.5</v>
      </c>
      <c r="G130" s="174">
        <f t="shared" si="16"/>
        <v>230</v>
      </c>
      <c r="H130" s="174">
        <f>VLOOKUP(D130,原始分!$D:$N,4,0)</f>
        <v>105</v>
      </c>
      <c r="I130" s="174">
        <f t="shared" si="17"/>
        <v>317</v>
      </c>
      <c r="J130" s="174">
        <f>VLOOKUP(D130,原始分!$D:$N,5,0)</f>
        <v>112</v>
      </c>
      <c r="K130" s="174">
        <f t="shared" si="18"/>
        <v>143</v>
      </c>
      <c r="L130" s="174">
        <f>VLOOKUP(D130,原始分!$D:$N,6,0)</f>
        <v>67</v>
      </c>
      <c r="M130" s="174">
        <f t="shared" si="19"/>
        <v>82</v>
      </c>
      <c r="N130" s="174">
        <f>VLOOKUP(D130,原始分!$D:$N,7,0)</f>
        <v>0</v>
      </c>
      <c r="O130" s="174">
        <f t="shared" si="20"/>
        <v>207</v>
      </c>
      <c r="P130" s="174">
        <f>VLOOKUP(D130,原始分!$D:$N,8,0)</f>
        <v>45</v>
      </c>
      <c r="Q130" s="174">
        <f t="shared" si="21"/>
        <v>209</v>
      </c>
      <c r="R130" s="174">
        <f>VLOOKUP(D130,原始分!$D:$N,9,0)</f>
        <v>62.5</v>
      </c>
      <c r="S130" s="174">
        <f t="shared" si="22"/>
        <v>19</v>
      </c>
      <c r="T130" s="174">
        <f>VLOOKUP(D130,原始分!$D:$N,10,0)</f>
        <v>0</v>
      </c>
      <c r="U130" s="174">
        <f t="shared" si="23"/>
        <v>316</v>
      </c>
      <c r="V130" s="174">
        <f>VLOOKUP(D130,原始分!$D:$N,11,0)</f>
        <v>0</v>
      </c>
      <c r="W130" s="174">
        <f t="shared" si="24"/>
        <v>565</v>
      </c>
      <c r="X130" s="11">
        <f t="shared" si="25"/>
        <v>320.5</v>
      </c>
      <c r="Y130" s="9">
        <f t="shared" si="26"/>
        <v>153</v>
      </c>
      <c r="Z130" s="11">
        <f t="shared" si="27"/>
        <v>495</v>
      </c>
      <c r="AA130" s="9">
        <f t="shared" si="28"/>
        <v>90</v>
      </c>
    </row>
    <row r="131" ht="14.25" spans="1:27">
      <c r="A131" s="13">
        <v>129</v>
      </c>
      <c r="B131" s="15">
        <v>3</v>
      </c>
      <c r="C131" s="16">
        <v>18</v>
      </c>
      <c r="D131" s="17" t="s">
        <v>271</v>
      </c>
      <c r="E131" s="17" t="s">
        <v>272</v>
      </c>
      <c r="F131" s="174">
        <f>VLOOKUP(D131,原始分!$D:$N,3,0)</f>
        <v>98</v>
      </c>
      <c r="G131" s="174">
        <f t="shared" ref="G131:G194" si="29">RANK(F131,$F$3:$F$900)</f>
        <v>500</v>
      </c>
      <c r="H131" s="174">
        <f>VLOOKUP(D131,原始分!$D:$N,4,0)</f>
        <v>99</v>
      </c>
      <c r="I131" s="174">
        <f t="shared" ref="I131:I194" si="30">RANK(H131,$H$3:$H$900)</f>
        <v>433</v>
      </c>
      <c r="J131" s="174">
        <f>VLOOKUP(D131,原始分!$D:$N,5,0)</f>
        <v>84</v>
      </c>
      <c r="K131" s="174">
        <f t="shared" ref="K131:K194" si="31">RANK(J131,$J$3:$J$900)</f>
        <v>689</v>
      </c>
      <c r="L131" s="174">
        <f>VLOOKUP(D131,原始分!$D:$N,6,0)</f>
        <v>60.5</v>
      </c>
      <c r="M131" s="174">
        <f t="shared" ref="M131:M194" si="32">RANK(L131,$L$3:$L$900)</f>
        <v>180</v>
      </c>
      <c r="N131" s="174">
        <f>VLOOKUP(D131,原始分!$D:$N,7,0)</f>
        <v>0</v>
      </c>
      <c r="O131" s="174">
        <f t="shared" ref="O131:O194" si="33">RANK(N131,$N$3:$N$900)</f>
        <v>207</v>
      </c>
      <c r="P131" s="174">
        <f>VLOOKUP(D131,原始分!$D:$N,8,0)</f>
        <v>43</v>
      </c>
      <c r="Q131" s="174">
        <f t="shared" ref="Q131:Q194" si="34">RANK(P131,$P$3:$P$900)</f>
        <v>248</v>
      </c>
      <c r="R131" s="174">
        <f>VLOOKUP(D131,原始分!$D:$N,9,0)</f>
        <v>55.5</v>
      </c>
      <c r="S131" s="174">
        <f t="shared" ref="S131:S194" si="35">RANK(R131,$R$3:$R$900)</f>
        <v>64</v>
      </c>
      <c r="T131" s="174">
        <f>VLOOKUP(D131,原始分!$D:$N,10,0)</f>
        <v>0</v>
      </c>
      <c r="U131" s="174">
        <f t="shared" ref="U131:U194" si="36">RANK(T131,$T$3:$T$900)</f>
        <v>316</v>
      </c>
      <c r="V131" s="174">
        <f>VLOOKUP(D131,原始分!$D:$N,11,0)</f>
        <v>0</v>
      </c>
      <c r="W131" s="174">
        <f t="shared" ref="W131:W194" si="37">RANK(V131,$V$3:$V$900)</f>
        <v>565</v>
      </c>
      <c r="X131" s="11">
        <f t="shared" ref="X131:X194" si="38">SUM(F131,H131,J131)</f>
        <v>281</v>
      </c>
      <c r="Y131" s="9">
        <f t="shared" ref="Y131:Y194" si="39">RANK(X131,$X$3:$X$900)</f>
        <v>588</v>
      </c>
      <c r="Z131" s="11">
        <f t="shared" ref="Z131:Z194" si="40">SUM(F131,H131,J131,L131,N131,P131,R131,T131,V131)</f>
        <v>440</v>
      </c>
      <c r="AA131" s="9">
        <f t="shared" si="28"/>
        <v>333</v>
      </c>
    </row>
    <row r="132" ht="14.25" spans="1:27">
      <c r="A132" s="13">
        <v>130</v>
      </c>
      <c r="B132" s="15">
        <v>3</v>
      </c>
      <c r="C132" s="16">
        <v>19</v>
      </c>
      <c r="D132" s="17" t="s">
        <v>273</v>
      </c>
      <c r="E132" s="17" t="s">
        <v>274</v>
      </c>
      <c r="F132" s="174">
        <f>VLOOKUP(D132,原始分!$D:$N,3,0)</f>
        <v>87.5</v>
      </c>
      <c r="G132" s="174">
        <f t="shared" si="29"/>
        <v>815</v>
      </c>
      <c r="H132" s="174">
        <f>VLOOKUP(D132,原始分!$D:$N,4,0)</f>
        <v>123.5</v>
      </c>
      <c r="I132" s="174">
        <f t="shared" si="30"/>
        <v>45</v>
      </c>
      <c r="J132" s="174">
        <f>VLOOKUP(D132,原始分!$D:$N,5,0)</f>
        <v>84.25</v>
      </c>
      <c r="K132" s="174">
        <f t="shared" si="31"/>
        <v>685</v>
      </c>
      <c r="L132" s="174">
        <f>VLOOKUP(D132,原始分!$D:$N,6,0)</f>
        <v>48.5</v>
      </c>
      <c r="M132" s="174">
        <f t="shared" si="32"/>
        <v>364</v>
      </c>
      <c r="N132" s="174">
        <f>VLOOKUP(D132,原始分!$D:$N,7,0)</f>
        <v>0</v>
      </c>
      <c r="O132" s="174">
        <f t="shared" si="33"/>
        <v>207</v>
      </c>
      <c r="P132" s="174">
        <f>VLOOKUP(D132,原始分!$D:$N,8,0)</f>
        <v>33.5</v>
      </c>
      <c r="Q132" s="174">
        <f t="shared" si="34"/>
        <v>422</v>
      </c>
      <c r="R132" s="174">
        <f>VLOOKUP(D132,原始分!$D:$N,9,0)</f>
        <v>47.5</v>
      </c>
      <c r="S132" s="174">
        <f t="shared" si="35"/>
        <v>203</v>
      </c>
      <c r="T132" s="174">
        <f>VLOOKUP(D132,原始分!$D:$N,10,0)</f>
        <v>0</v>
      </c>
      <c r="U132" s="174">
        <f t="shared" si="36"/>
        <v>316</v>
      </c>
      <c r="V132" s="174">
        <f>VLOOKUP(D132,原始分!$D:$N,11,0)</f>
        <v>0</v>
      </c>
      <c r="W132" s="174">
        <f t="shared" si="37"/>
        <v>565</v>
      </c>
      <c r="X132" s="11">
        <f t="shared" si="38"/>
        <v>295.25</v>
      </c>
      <c r="Y132" s="9">
        <f t="shared" si="39"/>
        <v>425</v>
      </c>
      <c r="Z132" s="11">
        <f t="shared" si="40"/>
        <v>424.75</v>
      </c>
      <c r="AA132" s="9">
        <f t="shared" si="28"/>
        <v>402</v>
      </c>
    </row>
    <row r="133" ht="14.25" spans="1:27">
      <c r="A133" s="13">
        <v>131</v>
      </c>
      <c r="B133" s="15">
        <v>3</v>
      </c>
      <c r="C133" s="16">
        <v>20</v>
      </c>
      <c r="D133" s="17" t="s">
        <v>275</v>
      </c>
      <c r="E133" s="17" t="s">
        <v>276</v>
      </c>
      <c r="F133" s="174">
        <f>VLOOKUP(D133,原始分!$D:$N,3,0)</f>
        <v>78.75</v>
      </c>
      <c r="G133" s="174">
        <f t="shared" si="29"/>
        <v>859</v>
      </c>
      <c r="H133" s="174">
        <f>VLOOKUP(D133,原始分!$D:$N,4,0)</f>
        <v>95.5</v>
      </c>
      <c r="I133" s="174">
        <f t="shared" si="30"/>
        <v>502</v>
      </c>
      <c r="J133" s="174">
        <f>VLOOKUP(D133,原始分!$D:$N,5,0)</f>
        <v>73.5</v>
      </c>
      <c r="K133" s="174">
        <f t="shared" si="31"/>
        <v>802</v>
      </c>
      <c r="L133" s="174">
        <f>VLOOKUP(D133,原始分!$D:$N,6,0)</f>
        <v>41</v>
      </c>
      <c r="M133" s="174">
        <f t="shared" si="32"/>
        <v>490</v>
      </c>
      <c r="N133" s="174">
        <f>VLOOKUP(D133,原始分!$D:$N,7,0)</f>
        <v>0</v>
      </c>
      <c r="O133" s="174">
        <f t="shared" si="33"/>
        <v>207</v>
      </c>
      <c r="P133" s="174">
        <f>VLOOKUP(D133,原始分!$D:$N,8,0)</f>
        <v>32</v>
      </c>
      <c r="Q133" s="174">
        <f t="shared" si="34"/>
        <v>455</v>
      </c>
      <c r="R133" s="174">
        <f>VLOOKUP(D133,原始分!$D:$N,9,0)</f>
        <v>55</v>
      </c>
      <c r="S133" s="174">
        <f t="shared" si="35"/>
        <v>73</v>
      </c>
      <c r="T133" s="174">
        <f>VLOOKUP(D133,原始分!$D:$N,10,0)</f>
        <v>0</v>
      </c>
      <c r="U133" s="174">
        <f t="shared" si="36"/>
        <v>316</v>
      </c>
      <c r="V133" s="174">
        <f>VLOOKUP(D133,原始分!$D:$N,11,0)</f>
        <v>0</v>
      </c>
      <c r="W133" s="174">
        <f t="shared" si="37"/>
        <v>565</v>
      </c>
      <c r="X133" s="11">
        <f t="shared" si="38"/>
        <v>247.75</v>
      </c>
      <c r="Y133" s="9">
        <f t="shared" si="39"/>
        <v>810</v>
      </c>
      <c r="Z133" s="11">
        <f t="shared" si="40"/>
        <v>375.75</v>
      </c>
      <c r="AA133" s="9">
        <f t="shared" si="28"/>
        <v>592</v>
      </c>
    </row>
    <row r="134" ht="14.25" spans="1:27">
      <c r="A134" s="13">
        <v>132</v>
      </c>
      <c r="B134" s="15">
        <v>3</v>
      </c>
      <c r="C134" s="16">
        <v>21</v>
      </c>
      <c r="D134" s="17" t="s">
        <v>277</v>
      </c>
      <c r="E134" s="17" t="s">
        <v>278</v>
      </c>
      <c r="F134" s="174">
        <f>VLOOKUP(D134,原始分!$D:$N,3,0)</f>
        <v>94.5</v>
      </c>
      <c r="G134" s="174">
        <f t="shared" si="29"/>
        <v>642</v>
      </c>
      <c r="H134" s="174">
        <f>VLOOKUP(D134,原始分!$D:$N,4,0)</f>
        <v>103.5</v>
      </c>
      <c r="I134" s="174">
        <f t="shared" si="30"/>
        <v>354</v>
      </c>
      <c r="J134" s="174">
        <f>VLOOKUP(D134,原始分!$D:$N,5,0)</f>
        <v>104</v>
      </c>
      <c r="K134" s="174">
        <f t="shared" si="31"/>
        <v>292</v>
      </c>
      <c r="L134" s="174">
        <f>VLOOKUP(D134,原始分!$D:$N,6,0)</f>
        <v>47.5</v>
      </c>
      <c r="M134" s="174">
        <f t="shared" si="32"/>
        <v>382</v>
      </c>
      <c r="N134" s="174">
        <f>VLOOKUP(D134,原始分!$D:$N,7,0)</f>
        <v>0</v>
      </c>
      <c r="O134" s="174">
        <f t="shared" si="33"/>
        <v>207</v>
      </c>
      <c r="P134" s="174">
        <f>VLOOKUP(D134,原始分!$D:$N,8,0)</f>
        <v>44.5</v>
      </c>
      <c r="Q134" s="174">
        <f t="shared" si="34"/>
        <v>219</v>
      </c>
      <c r="R134" s="174">
        <f>VLOOKUP(D134,原始分!$D:$N,9,0)</f>
        <v>45</v>
      </c>
      <c r="S134" s="174">
        <f t="shared" si="35"/>
        <v>236</v>
      </c>
      <c r="T134" s="174">
        <f>VLOOKUP(D134,原始分!$D:$N,10,0)</f>
        <v>0</v>
      </c>
      <c r="U134" s="174">
        <f t="shared" si="36"/>
        <v>316</v>
      </c>
      <c r="V134" s="174">
        <f>VLOOKUP(D134,原始分!$D:$N,11,0)</f>
        <v>0</v>
      </c>
      <c r="W134" s="174">
        <f t="shared" si="37"/>
        <v>565</v>
      </c>
      <c r="X134" s="11">
        <f t="shared" si="38"/>
        <v>302</v>
      </c>
      <c r="Y134" s="9">
        <f t="shared" si="39"/>
        <v>348</v>
      </c>
      <c r="Z134" s="11">
        <f t="shared" si="40"/>
        <v>439</v>
      </c>
      <c r="AA134" s="9">
        <f t="shared" si="28"/>
        <v>336</v>
      </c>
    </row>
    <row r="135" ht="14.25" spans="1:27">
      <c r="A135" s="13">
        <v>133</v>
      </c>
      <c r="B135" s="15">
        <v>3</v>
      </c>
      <c r="C135" s="16">
        <v>22</v>
      </c>
      <c r="D135" s="17" t="s">
        <v>279</v>
      </c>
      <c r="E135" s="17" t="s">
        <v>280</v>
      </c>
      <c r="F135" s="174">
        <f>VLOOKUP(D135,原始分!$D:$N,3,0)</f>
        <v>94</v>
      </c>
      <c r="G135" s="174">
        <f t="shared" si="29"/>
        <v>661</v>
      </c>
      <c r="H135" s="174">
        <f>VLOOKUP(D135,原始分!$D:$N,4,0)</f>
        <v>80</v>
      </c>
      <c r="I135" s="174">
        <f t="shared" si="30"/>
        <v>750</v>
      </c>
      <c r="J135" s="174">
        <f>VLOOKUP(D135,原始分!$D:$N,5,0)</f>
        <v>96.5</v>
      </c>
      <c r="K135" s="174">
        <f t="shared" si="31"/>
        <v>455</v>
      </c>
      <c r="L135" s="174">
        <f>VLOOKUP(D135,原始分!$D:$N,6,0)</f>
        <v>35</v>
      </c>
      <c r="M135" s="174">
        <f t="shared" si="32"/>
        <v>572</v>
      </c>
      <c r="N135" s="174">
        <f>VLOOKUP(D135,原始分!$D:$N,7,0)</f>
        <v>0</v>
      </c>
      <c r="O135" s="174">
        <f t="shared" si="33"/>
        <v>207</v>
      </c>
      <c r="P135" s="174">
        <f>VLOOKUP(D135,原始分!$D:$N,8,0)</f>
        <v>33.5</v>
      </c>
      <c r="Q135" s="174">
        <f t="shared" si="34"/>
        <v>422</v>
      </c>
      <c r="R135" s="174">
        <f>VLOOKUP(D135,原始分!$D:$N,9,0)</f>
        <v>51.5</v>
      </c>
      <c r="S135" s="174">
        <f t="shared" si="35"/>
        <v>132</v>
      </c>
      <c r="T135" s="174">
        <f>VLOOKUP(D135,原始分!$D:$N,10,0)</f>
        <v>0</v>
      </c>
      <c r="U135" s="174">
        <f t="shared" si="36"/>
        <v>316</v>
      </c>
      <c r="V135" s="174">
        <f>VLOOKUP(D135,原始分!$D:$N,11,0)</f>
        <v>0</v>
      </c>
      <c r="W135" s="174">
        <f t="shared" si="37"/>
        <v>565</v>
      </c>
      <c r="X135" s="11">
        <f t="shared" si="38"/>
        <v>270.5</v>
      </c>
      <c r="Y135" s="9">
        <f t="shared" si="39"/>
        <v>694</v>
      </c>
      <c r="Z135" s="11">
        <f t="shared" si="40"/>
        <v>390.5</v>
      </c>
      <c r="AA135" s="9">
        <f t="shared" si="28"/>
        <v>554</v>
      </c>
    </row>
    <row r="136" ht="14.25" spans="1:27">
      <c r="A136" s="13">
        <v>134</v>
      </c>
      <c r="B136" s="15">
        <v>3</v>
      </c>
      <c r="C136" s="16">
        <v>23</v>
      </c>
      <c r="D136" s="17" t="s">
        <v>281</v>
      </c>
      <c r="E136" s="17" t="s">
        <v>282</v>
      </c>
      <c r="F136" s="174">
        <f>VLOOKUP(D136,原始分!$D:$N,3,0)</f>
        <v>93.25</v>
      </c>
      <c r="G136" s="174">
        <f t="shared" si="29"/>
        <v>691</v>
      </c>
      <c r="H136" s="174">
        <f>VLOOKUP(D136,原始分!$D:$N,4,0)</f>
        <v>112.5</v>
      </c>
      <c r="I136" s="174">
        <f t="shared" si="30"/>
        <v>170</v>
      </c>
      <c r="J136" s="174">
        <f>VLOOKUP(D136,原始分!$D:$N,5,0)</f>
        <v>105</v>
      </c>
      <c r="K136" s="174">
        <f t="shared" si="31"/>
        <v>276</v>
      </c>
      <c r="L136" s="174">
        <f>VLOOKUP(D136,原始分!$D:$N,6,0)</f>
        <v>67</v>
      </c>
      <c r="M136" s="174">
        <f t="shared" si="32"/>
        <v>82</v>
      </c>
      <c r="N136" s="174">
        <f>VLOOKUP(D136,原始分!$D:$N,7,0)</f>
        <v>0</v>
      </c>
      <c r="O136" s="174">
        <f t="shared" si="33"/>
        <v>207</v>
      </c>
      <c r="P136" s="174">
        <f>VLOOKUP(D136,原始分!$D:$N,8,0)</f>
        <v>29.5</v>
      </c>
      <c r="Q136" s="174">
        <f t="shared" si="34"/>
        <v>480</v>
      </c>
      <c r="R136" s="174">
        <f>VLOOKUP(D136,原始分!$D:$N,9,0)</f>
        <v>49.5</v>
      </c>
      <c r="S136" s="174">
        <f t="shared" si="35"/>
        <v>164</v>
      </c>
      <c r="T136" s="174">
        <f>VLOOKUP(D136,原始分!$D:$N,10,0)</f>
        <v>0</v>
      </c>
      <c r="U136" s="174">
        <f t="shared" si="36"/>
        <v>316</v>
      </c>
      <c r="V136" s="174">
        <f>VLOOKUP(D136,原始分!$D:$N,11,0)</f>
        <v>0</v>
      </c>
      <c r="W136" s="174">
        <f t="shared" si="37"/>
        <v>565</v>
      </c>
      <c r="X136" s="11">
        <f t="shared" si="38"/>
        <v>310.75</v>
      </c>
      <c r="Y136" s="9">
        <f t="shared" si="39"/>
        <v>252</v>
      </c>
      <c r="Z136" s="11">
        <f t="shared" si="40"/>
        <v>456.75</v>
      </c>
      <c r="AA136" s="9">
        <f t="shared" si="28"/>
        <v>243</v>
      </c>
    </row>
    <row r="137" ht="14.25" spans="1:27">
      <c r="A137" s="13">
        <v>135</v>
      </c>
      <c r="B137" s="15">
        <v>3</v>
      </c>
      <c r="C137" s="16">
        <v>24</v>
      </c>
      <c r="D137" s="17" t="s">
        <v>283</v>
      </c>
      <c r="E137" s="17" t="s">
        <v>284</v>
      </c>
      <c r="F137" s="174">
        <f>VLOOKUP(D137,原始分!$D:$N,3,0)</f>
        <v>95</v>
      </c>
      <c r="G137" s="174">
        <f t="shared" si="29"/>
        <v>619</v>
      </c>
      <c r="H137" s="174">
        <f>VLOOKUP(D137,原始分!$D:$N,4,0)</f>
        <v>119.5</v>
      </c>
      <c r="I137" s="174">
        <f t="shared" si="30"/>
        <v>70</v>
      </c>
      <c r="J137" s="174">
        <f>VLOOKUP(D137,原始分!$D:$N,5,0)</f>
        <v>105.5</v>
      </c>
      <c r="K137" s="174">
        <f t="shared" si="31"/>
        <v>259</v>
      </c>
      <c r="L137" s="174">
        <f>VLOOKUP(D137,原始分!$D:$N,6,0)</f>
        <v>58.5</v>
      </c>
      <c r="M137" s="174">
        <f t="shared" si="32"/>
        <v>209</v>
      </c>
      <c r="N137" s="174">
        <f>VLOOKUP(D137,原始分!$D:$N,7,0)</f>
        <v>0</v>
      </c>
      <c r="O137" s="174">
        <f t="shared" si="33"/>
        <v>207</v>
      </c>
      <c r="P137" s="174">
        <f>VLOOKUP(D137,原始分!$D:$N,8,0)</f>
        <v>44.5</v>
      </c>
      <c r="Q137" s="174">
        <f t="shared" si="34"/>
        <v>219</v>
      </c>
      <c r="R137" s="174">
        <f>VLOOKUP(D137,原始分!$D:$N,9,0)</f>
        <v>52.25</v>
      </c>
      <c r="S137" s="174">
        <f t="shared" si="35"/>
        <v>120</v>
      </c>
      <c r="T137" s="174">
        <f>VLOOKUP(D137,原始分!$D:$N,10,0)</f>
        <v>0</v>
      </c>
      <c r="U137" s="174">
        <f t="shared" si="36"/>
        <v>316</v>
      </c>
      <c r="V137" s="174">
        <f>VLOOKUP(D137,原始分!$D:$N,11,0)</f>
        <v>0</v>
      </c>
      <c r="W137" s="174">
        <f t="shared" si="37"/>
        <v>565</v>
      </c>
      <c r="X137" s="11">
        <f t="shared" si="38"/>
        <v>320</v>
      </c>
      <c r="Y137" s="9">
        <f t="shared" si="39"/>
        <v>159</v>
      </c>
      <c r="Z137" s="11">
        <f t="shared" si="40"/>
        <v>475.25</v>
      </c>
      <c r="AA137" s="9">
        <f t="shared" si="28"/>
        <v>157</v>
      </c>
    </row>
    <row r="138" ht="14.25" spans="1:27">
      <c r="A138" s="13">
        <v>136</v>
      </c>
      <c r="B138" s="15">
        <v>3</v>
      </c>
      <c r="C138" s="16">
        <v>25</v>
      </c>
      <c r="D138" s="17" t="s">
        <v>285</v>
      </c>
      <c r="E138" s="17" t="s">
        <v>286</v>
      </c>
      <c r="F138" s="174">
        <f>VLOOKUP(D138,原始分!$D:$N,3,0)</f>
        <v>97.5</v>
      </c>
      <c r="G138" s="174">
        <f t="shared" si="29"/>
        <v>531</v>
      </c>
      <c r="H138" s="174">
        <f>VLOOKUP(D138,原始分!$D:$N,4,0)</f>
        <v>92.5</v>
      </c>
      <c r="I138" s="174">
        <f t="shared" si="30"/>
        <v>569</v>
      </c>
      <c r="J138" s="174">
        <f>VLOOKUP(D138,原始分!$D:$N,5,0)</f>
        <v>95</v>
      </c>
      <c r="K138" s="174">
        <f t="shared" si="31"/>
        <v>484</v>
      </c>
      <c r="L138" s="174">
        <f>VLOOKUP(D138,原始分!$D:$N,6,0)</f>
        <v>35.5</v>
      </c>
      <c r="M138" s="174">
        <f t="shared" si="32"/>
        <v>566</v>
      </c>
      <c r="N138" s="174">
        <f>VLOOKUP(D138,原始分!$D:$N,7,0)</f>
        <v>0</v>
      </c>
      <c r="O138" s="174">
        <f t="shared" si="33"/>
        <v>207</v>
      </c>
      <c r="P138" s="174">
        <f>VLOOKUP(D138,原始分!$D:$N,8,0)</f>
        <v>32.5</v>
      </c>
      <c r="Q138" s="174">
        <f t="shared" si="34"/>
        <v>447</v>
      </c>
      <c r="R138" s="174">
        <f>VLOOKUP(D138,原始分!$D:$N,9,0)</f>
        <v>53.5</v>
      </c>
      <c r="S138" s="174">
        <f t="shared" si="35"/>
        <v>98</v>
      </c>
      <c r="T138" s="174">
        <f>VLOOKUP(D138,原始分!$D:$N,10,0)</f>
        <v>0</v>
      </c>
      <c r="U138" s="174">
        <f t="shared" si="36"/>
        <v>316</v>
      </c>
      <c r="V138" s="174">
        <f>VLOOKUP(D138,原始分!$D:$N,11,0)</f>
        <v>0</v>
      </c>
      <c r="W138" s="174">
        <f t="shared" si="37"/>
        <v>565</v>
      </c>
      <c r="X138" s="11">
        <f t="shared" si="38"/>
        <v>285</v>
      </c>
      <c r="Y138" s="9">
        <f t="shared" si="39"/>
        <v>543</v>
      </c>
      <c r="Z138" s="11">
        <f t="shared" si="40"/>
        <v>406.5</v>
      </c>
      <c r="AA138" s="9">
        <f t="shared" si="28"/>
        <v>490</v>
      </c>
    </row>
    <row r="139" ht="14.25" spans="1:27">
      <c r="A139" s="13">
        <v>137</v>
      </c>
      <c r="B139" s="15">
        <v>3</v>
      </c>
      <c r="C139" s="16">
        <v>26</v>
      </c>
      <c r="D139" s="17" t="s">
        <v>287</v>
      </c>
      <c r="E139" s="17" t="s">
        <v>288</v>
      </c>
      <c r="F139" s="174">
        <f>VLOOKUP(D139,原始分!$D:$N,3,0)</f>
        <v>94</v>
      </c>
      <c r="G139" s="174">
        <f t="shared" si="29"/>
        <v>661</v>
      </c>
      <c r="H139" s="174">
        <f>VLOOKUP(D139,原始分!$D:$N,4,0)</f>
        <v>140</v>
      </c>
      <c r="I139" s="174">
        <f t="shared" si="30"/>
        <v>1</v>
      </c>
      <c r="J139" s="174">
        <f>VLOOKUP(D139,原始分!$D:$N,5,0)</f>
        <v>109</v>
      </c>
      <c r="K139" s="174">
        <f t="shared" si="31"/>
        <v>193</v>
      </c>
      <c r="L139" s="174">
        <f>VLOOKUP(D139,原始分!$D:$N,6,0)</f>
        <v>74</v>
      </c>
      <c r="M139" s="174">
        <f t="shared" si="32"/>
        <v>43</v>
      </c>
      <c r="N139" s="174">
        <f>VLOOKUP(D139,原始分!$D:$N,7,0)</f>
        <v>0</v>
      </c>
      <c r="O139" s="174">
        <f t="shared" si="33"/>
        <v>207</v>
      </c>
      <c r="P139" s="174">
        <f>VLOOKUP(D139,原始分!$D:$N,8,0)</f>
        <v>52.5</v>
      </c>
      <c r="Q139" s="174">
        <f t="shared" si="34"/>
        <v>81</v>
      </c>
      <c r="R139" s="174">
        <f>VLOOKUP(D139,原始分!$D:$N,9,0)</f>
        <v>47.5</v>
      </c>
      <c r="S139" s="174">
        <f t="shared" si="35"/>
        <v>203</v>
      </c>
      <c r="T139" s="174">
        <f>VLOOKUP(D139,原始分!$D:$N,10,0)</f>
        <v>0</v>
      </c>
      <c r="U139" s="174">
        <f t="shared" si="36"/>
        <v>316</v>
      </c>
      <c r="V139" s="174">
        <f>VLOOKUP(D139,原始分!$D:$N,11,0)</f>
        <v>0</v>
      </c>
      <c r="W139" s="174">
        <f t="shared" si="37"/>
        <v>565</v>
      </c>
      <c r="X139" s="11">
        <f t="shared" si="38"/>
        <v>343</v>
      </c>
      <c r="Y139" s="9">
        <f t="shared" si="39"/>
        <v>33</v>
      </c>
      <c r="Z139" s="11">
        <f t="shared" si="40"/>
        <v>517</v>
      </c>
      <c r="AA139" s="9">
        <f t="shared" si="28"/>
        <v>40</v>
      </c>
    </row>
    <row r="140" ht="14.25" spans="1:27">
      <c r="A140" s="13">
        <v>138</v>
      </c>
      <c r="B140" s="15">
        <v>3</v>
      </c>
      <c r="C140" s="16">
        <v>27</v>
      </c>
      <c r="D140" s="17" t="s">
        <v>289</v>
      </c>
      <c r="E140" s="17" t="s">
        <v>290</v>
      </c>
      <c r="F140" s="174">
        <f>VLOOKUP(D140,原始分!$D:$N,3,0)</f>
        <v>96.75</v>
      </c>
      <c r="G140" s="174">
        <f t="shared" si="29"/>
        <v>565</v>
      </c>
      <c r="H140" s="174">
        <f>VLOOKUP(D140,原始分!$D:$N,4,0)</f>
        <v>114.5</v>
      </c>
      <c r="I140" s="174">
        <f t="shared" si="30"/>
        <v>136</v>
      </c>
      <c r="J140" s="174">
        <f>VLOOKUP(D140,原始分!$D:$N,5,0)</f>
        <v>97</v>
      </c>
      <c r="K140" s="174">
        <f t="shared" si="31"/>
        <v>444</v>
      </c>
      <c r="L140" s="174">
        <f>VLOOKUP(D140,原始分!$D:$N,6,0)</f>
        <v>59</v>
      </c>
      <c r="M140" s="174">
        <f t="shared" si="32"/>
        <v>203</v>
      </c>
      <c r="N140" s="174">
        <f>VLOOKUP(D140,原始分!$D:$N,7,0)</f>
        <v>0</v>
      </c>
      <c r="O140" s="174">
        <f t="shared" si="33"/>
        <v>207</v>
      </c>
      <c r="P140" s="174">
        <f>VLOOKUP(D140,原始分!$D:$N,8,0)</f>
        <v>31.5</v>
      </c>
      <c r="Q140" s="174">
        <f t="shared" si="34"/>
        <v>461</v>
      </c>
      <c r="R140" s="174">
        <f>VLOOKUP(D140,原始分!$D:$N,9,0)</f>
        <v>48</v>
      </c>
      <c r="S140" s="174">
        <f t="shared" si="35"/>
        <v>193</v>
      </c>
      <c r="T140" s="174">
        <f>VLOOKUP(D140,原始分!$D:$N,10,0)</f>
        <v>0</v>
      </c>
      <c r="U140" s="174">
        <f t="shared" si="36"/>
        <v>316</v>
      </c>
      <c r="V140" s="174">
        <f>VLOOKUP(D140,原始分!$D:$N,11,0)</f>
        <v>0</v>
      </c>
      <c r="W140" s="174">
        <f t="shared" si="37"/>
        <v>565</v>
      </c>
      <c r="X140" s="11">
        <f t="shared" si="38"/>
        <v>308.25</v>
      </c>
      <c r="Y140" s="9">
        <f t="shared" si="39"/>
        <v>286</v>
      </c>
      <c r="Z140" s="11">
        <f t="shared" si="40"/>
        <v>446.75</v>
      </c>
      <c r="AA140" s="9">
        <f t="shared" si="28"/>
        <v>296</v>
      </c>
    </row>
    <row r="141" ht="14.25" spans="1:27">
      <c r="A141" s="13">
        <v>139</v>
      </c>
      <c r="B141" s="15">
        <v>3</v>
      </c>
      <c r="C141" s="16">
        <v>28</v>
      </c>
      <c r="D141" s="17" t="s">
        <v>291</v>
      </c>
      <c r="E141" s="17" t="s">
        <v>292</v>
      </c>
      <c r="F141" s="174">
        <f>VLOOKUP(D141,原始分!$D:$N,3,0)</f>
        <v>95.5</v>
      </c>
      <c r="G141" s="174">
        <f t="shared" si="29"/>
        <v>595</v>
      </c>
      <c r="H141" s="174">
        <f>VLOOKUP(D141,原始分!$D:$N,4,0)</f>
        <v>107.5</v>
      </c>
      <c r="I141" s="174">
        <f t="shared" si="30"/>
        <v>267</v>
      </c>
      <c r="J141" s="174">
        <f>VLOOKUP(D141,原始分!$D:$N,5,0)</f>
        <v>101.5</v>
      </c>
      <c r="K141" s="174">
        <f t="shared" si="31"/>
        <v>334</v>
      </c>
      <c r="L141" s="174">
        <f>VLOOKUP(D141,原始分!$D:$N,6,0)</f>
        <v>66</v>
      </c>
      <c r="M141" s="174">
        <f t="shared" si="32"/>
        <v>97</v>
      </c>
      <c r="N141" s="174">
        <f>VLOOKUP(D141,原始分!$D:$N,7,0)</f>
        <v>0</v>
      </c>
      <c r="O141" s="174">
        <f t="shared" si="33"/>
        <v>207</v>
      </c>
      <c r="P141" s="174">
        <f>VLOOKUP(D141,原始分!$D:$N,8,0)</f>
        <v>48.5</v>
      </c>
      <c r="Q141" s="174">
        <f t="shared" si="34"/>
        <v>139</v>
      </c>
      <c r="R141" s="174">
        <f>VLOOKUP(D141,原始分!$D:$N,9,0)</f>
        <v>48.5</v>
      </c>
      <c r="S141" s="174">
        <f t="shared" si="35"/>
        <v>182</v>
      </c>
      <c r="T141" s="174">
        <f>VLOOKUP(D141,原始分!$D:$N,10,0)</f>
        <v>0</v>
      </c>
      <c r="U141" s="174">
        <f t="shared" si="36"/>
        <v>316</v>
      </c>
      <c r="V141" s="174">
        <f>VLOOKUP(D141,原始分!$D:$N,11,0)</f>
        <v>0</v>
      </c>
      <c r="W141" s="174">
        <f t="shared" si="37"/>
        <v>565</v>
      </c>
      <c r="X141" s="11">
        <f t="shared" si="38"/>
        <v>304.5</v>
      </c>
      <c r="Y141" s="9">
        <f t="shared" si="39"/>
        <v>320</v>
      </c>
      <c r="Z141" s="11">
        <f t="shared" si="40"/>
        <v>467.5</v>
      </c>
      <c r="AA141" s="9">
        <f t="shared" si="28"/>
        <v>186</v>
      </c>
    </row>
    <row r="142" ht="14.25" spans="1:27">
      <c r="A142" s="13">
        <v>140</v>
      </c>
      <c r="B142" s="15">
        <v>3</v>
      </c>
      <c r="C142" s="16">
        <v>29</v>
      </c>
      <c r="D142" s="17" t="s">
        <v>293</v>
      </c>
      <c r="E142" s="17" t="s">
        <v>294</v>
      </c>
      <c r="F142" s="174">
        <f>VLOOKUP(D142,原始分!$D:$N,3,0)</f>
        <v>100</v>
      </c>
      <c r="G142" s="174">
        <f t="shared" si="29"/>
        <v>400</v>
      </c>
      <c r="H142" s="174">
        <f>VLOOKUP(D142,原始分!$D:$N,4,0)</f>
        <v>117</v>
      </c>
      <c r="I142" s="174">
        <f t="shared" si="30"/>
        <v>98</v>
      </c>
      <c r="J142" s="174">
        <f>VLOOKUP(D142,原始分!$D:$N,5,0)</f>
        <v>70.75</v>
      </c>
      <c r="K142" s="174">
        <f t="shared" si="31"/>
        <v>823</v>
      </c>
      <c r="L142" s="174">
        <f>VLOOKUP(D142,原始分!$D:$N,6,0)</f>
        <v>64</v>
      </c>
      <c r="M142" s="174">
        <f t="shared" si="32"/>
        <v>130</v>
      </c>
      <c r="N142" s="174">
        <f>VLOOKUP(D142,原始分!$D:$N,7,0)</f>
        <v>0</v>
      </c>
      <c r="O142" s="174">
        <f t="shared" si="33"/>
        <v>207</v>
      </c>
      <c r="P142" s="174">
        <f>VLOOKUP(D142,原始分!$D:$N,8,0)</f>
        <v>52</v>
      </c>
      <c r="Q142" s="174">
        <f t="shared" si="34"/>
        <v>86</v>
      </c>
      <c r="R142" s="174">
        <f>VLOOKUP(D142,原始分!$D:$N,9,0)</f>
        <v>57.5</v>
      </c>
      <c r="S142" s="174">
        <f t="shared" si="35"/>
        <v>45</v>
      </c>
      <c r="T142" s="174">
        <f>VLOOKUP(D142,原始分!$D:$N,10,0)</f>
        <v>0</v>
      </c>
      <c r="U142" s="174">
        <f t="shared" si="36"/>
        <v>316</v>
      </c>
      <c r="V142" s="174">
        <f>VLOOKUP(D142,原始分!$D:$N,11,0)</f>
        <v>0</v>
      </c>
      <c r="W142" s="174">
        <f t="shared" si="37"/>
        <v>565</v>
      </c>
      <c r="X142" s="11">
        <f t="shared" si="38"/>
        <v>287.75</v>
      </c>
      <c r="Y142" s="9">
        <f t="shared" si="39"/>
        <v>515</v>
      </c>
      <c r="Z142" s="11">
        <f t="shared" si="40"/>
        <v>461.25</v>
      </c>
      <c r="AA142" s="9">
        <f t="shared" si="28"/>
        <v>216</v>
      </c>
    </row>
    <row r="143" ht="14.25" spans="1:27">
      <c r="A143" s="13">
        <v>141</v>
      </c>
      <c r="B143" s="15">
        <v>3</v>
      </c>
      <c r="C143" s="16">
        <v>30</v>
      </c>
      <c r="D143" s="17" t="s">
        <v>295</v>
      </c>
      <c r="E143" s="17" t="s">
        <v>296</v>
      </c>
      <c r="F143" s="174">
        <f>VLOOKUP(D143,原始分!$D:$N,3,0)</f>
        <v>98.5</v>
      </c>
      <c r="G143" s="174">
        <f t="shared" si="29"/>
        <v>469</v>
      </c>
      <c r="H143" s="174">
        <f>VLOOKUP(D143,原始分!$D:$N,4,0)</f>
        <v>82.5</v>
      </c>
      <c r="I143" s="174">
        <f t="shared" si="30"/>
        <v>733</v>
      </c>
      <c r="J143" s="174">
        <f>VLOOKUP(D143,原始分!$D:$N,5,0)</f>
        <v>114</v>
      </c>
      <c r="K143" s="174">
        <f t="shared" si="31"/>
        <v>116</v>
      </c>
      <c r="L143" s="174">
        <f>VLOOKUP(D143,原始分!$D:$N,6,0)</f>
        <v>37.5</v>
      </c>
      <c r="M143" s="174">
        <f t="shared" si="32"/>
        <v>543</v>
      </c>
      <c r="N143" s="174">
        <f>VLOOKUP(D143,原始分!$D:$N,7,0)</f>
        <v>0</v>
      </c>
      <c r="O143" s="174">
        <f t="shared" si="33"/>
        <v>207</v>
      </c>
      <c r="P143" s="174">
        <f>VLOOKUP(D143,原始分!$D:$N,8,0)</f>
        <v>40</v>
      </c>
      <c r="Q143" s="174">
        <f t="shared" si="34"/>
        <v>316</v>
      </c>
      <c r="R143" s="174">
        <f>VLOOKUP(D143,原始分!$D:$N,9,0)</f>
        <v>56.5</v>
      </c>
      <c r="S143" s="174">
        <f t="shared" si="35"/>
        <v>56</v>
      </c>
      <c r="T143" s="174">
        <f>VLOOKUP(D143,原始分!$D:$N,10,0)</f>
        <v>0</v>
      </c>
      <c r="U143" s="174">
        <f t="shared" si="36"/>
        <v>316</v>
      </c>
      <c r="V143" s="174">
        <f>VLOOKUP(D143,原始分!$D:$N,11,0)</f>
        <v>0</v>
      </c>
      <c r="W143" s="174">
        <f t="shared" si="37"/>
        <v>565</v>
      </c>
      <c r="X143" s="11">
        <f t="shared" si="38"/>
        <v>295</v>
      </c>
      <c r="Y143" s="9">
        <f t="shared" si="39"/>
        <v>427</v>
      </c>
      <c r="Z143" s="11">
        <f t="shared" si="40"/>
        <v>429</v>
      </c>
      <c r="AA143" s="9">
        <f t="shared" si="28"/>
        <v>386</v>
      </c>
    </row>
    <row r="144" ht="14.25" spans="1:27">
      <c r="A144" s="13">
        <v>142</v>
      </c>
      <c r="B144" s="15">
        <v>3</v>
      </c>
      <c r="C144" s="16">
        <v>31</v>
      </c>
      <c r="D144" s="17" t="s">
        <v>297</v>
      </c>
      <c r="E144" s="17" t="s">
        <v>298</v>
      </c>
      <c r="F144" s="174">
        <f>VLOOKUP(D144,原始分!$D:$N,3,0)</f>
        <v>102.5</v>
      </c>
      <c r="G144" s="174">
        <f t="shared" si="29"/>
        <v>279</v>
      </c>
      <c r="H144" s="174">
        <f>VLOOKUP(D144,原始分!$D:$N,4,0)</f>
        <v>118.5</v>
      </c>
      <c r="I144" s="174">
        <f t="shared" si="30"/>
        <v>84</v>
      </c>
      <c r="J144" s="174">
        <f>VLOOKUP(D144,原始分!$D:$N,5,0)</f>
        <v>113</v>
      </c>
      <c r="K144" s="174">
        <f t="shared" si="31"/>
        <v>130</v>
      </c>
      <c r="L144" s="174">
        <f>VLOOKUP(D144,原始分!$D:$N,6,0)</f>
        <v>82.5</v>
      </c>
      <c r="M144" s="174">
        <f t="shared" si="32"/>
        <v>7</v>
      </c>
      <c r="N144" s="174">
        <f>VLOOKUP(D144,原始分!$D:$N,7,0)</f>
        <v>0</v>
      </c>
      <c r="O144" s="174">
        <f t="shared" si="33"/>
        <v>207</v>
      </c>
      <c r="P144" s="174">
        <f>VLOOKUP(D144,原始分!$D:$N,8,0)</f>
        <v>51.5</v>
      </c>
      <c r="Q144" s="174">
        <f t="shared" si="34"/>
        <v>90</v>
      </c>
      <c r="R144" s="174">
        <f>VLOOKUP(D144,原始分!$D:$N,9,0)</f>
        <v>43.5</v>
      </c>
      <c r="S144" s="174">
        <f t="shared" si="35"/>
        <v>264</v>
      </c>
      <c r="T144" s="174">
        <f>VLOOKUP(D144,原始分!$D:$N,10,0)</f>
        <v>0</v>
      </c>
      <c r="U144" s="174">
        <f t="shared" si="36"/>
        <v>316</v>
      </c>
      <c r="V144" s="174">
        <f>VLOOKUP(D144,原始分!$D:$N,11,0)</f>
        <v>0</v>
      </c>
      <c r="W144" s="174">
        <f t="shared" si="37"/>
        <v>565</v>
      </c>
      <c r="X144" s="11">
        <f t="shared" si="38"/>
        <v>334</v>
      </c>
      <c r="Y144" s="9">
        <f t="shared" si="39"/>
        <v>72</v>
      </c>
      <c r="Z144" s="11">
        <f t="shared" si="40"/>
        <v>511.5</v>
      </c>
      <c r="AA144" s="9">
        <f t="shared" si="28"/>
        <v>52</v>
      </c>
    </row>
    <row r="145" ht="14.25" spans="1:27">
      <c r="A145" s="13">
        <v>143</v>
      </c>
      <c r="B145" s="15">
        <v>3</v>
      </c>
      <c r="C145" s="16">
        <v>32</v>
      </c>
      <c r="D145" s="17" t="s">
        <v>299</v>
      </c>
      <c r="E145" s="17" t="s">
        <v>300</v>
      </c>
      <c r="F145" s="174">
        <f>VLOOKUP(D145,原始分!$D:$N,3,0)</f>
        <v>100.5</v>
      </c>
      <c r="G145" s="174">
        <f t="shared" si="29"/>
        <v>370</v>
      </c>
      <c r="H145" s="174">
        <f>VLOOKUP(D145,原始分!$D:$N,4,0)</f>
        <v>86.5</v>
      </c>
      <c r="I145" s="174">
        <f t="shared" si="30"/>
        <v>684</v>
      </c>
      <c r="J145" s="174">
        <f>VLOOKUP(D145,原始分!$D:$N,5,0)</f>
        <v>84</v>
      </c>
      <c r="K145" s="174">
        <f t="shared" si="31"/>
        <v>689</v>
      </c>
      <c r="L145" s="174">
        <f>VLOOKUP(D145,原始分!$D:$N,6,0)</f>
        <v>65.5</v>
      </c>
      <c r="M145" s="174">
        <f t="shared" si="32"/>
        <v>105</v>
      </c>
      <c r="N145" s="174">
        <f>VLOOKUP(D145,原始分!$D:$N,7,0)</f>
        <v>0</v>
      </c>
      <c r="O145" s="174">
        <f t="shared" si="33"/>
        <v>207</v>
      </c>
      <c r="P145" s="174">
        <f>VLOOKUP(D145,原始分!$D:$N,8,0)</f>
        <v>40.5</v>
      </c>
      <c r="Q145" s="174">
        <f t="shared" si="34"/>
        <v>303</v>
      </c>
      <c r="R145" s="174">
        <f>VLOOKUP(D145,原始分!$D:$N,9,0)</f>
        <v>47.5</v>
      </c>
      <c r="S145" s="174">
        <f t="shared" si="35"/>
        <v>203</v>
      </c>
      <c r="T145" s="174">
        <f>VLOOKUP(D145,原始分!$D:$N,10,0)</f>
        <v>0</v>
      </c>
      <c r="U145" s="174">
        <f t="shared" si="36"/>
        <v>316</v>
      </c>
      <c r="V145" s="174">
        <f>VLOOKUP(D145,原始分!$D:$N,11,0)</f>
        <v>0</v>
      </c>
      <c r="W145" s="174">
        <f t="shared" si="37"/>
        <v>565</v>
      </c>
      <c r="X145" s="11">
        <f t="shared" si="38"/>
        <v>271</v>
      </c>
      <c r="Y145" s="9">
        <f t="shared" si="39"/>
        <v>688</v>
      </c>
      <c r="Z145" s="11">
        <f t="shared" si="40"/>
        <v>424.5</v>
      </c>
      <c r="AA145" s="9">
        <f t="shared" si="28"/>
        <v>403</v>
      </c>
    </row>
    <row r="146" ht="14.25" spans="1:27">
      <c r="A146" s="13">
        <v>144</v>
      </c>
      <c r="B146" s="15">
        <v>3</v>
      </c>
      <c r="C146" s="16">
        <v>33</v>
      </c>
      <c r="D146" s="17" t="s">
        <v>301</v>
      </c>
      <c r="E146" s="17" t="s">
        <v>302</v>
      </c>
      <c r="F146" s="174">
        <f>VLOOKUP(D146,原始分!$D:$N,3,0)</f>
        <v>110</v>
      </c>
      <c r="G146" s="174">
        <f t="shared" si="29"/>
        <v>49</v>
      </c>
      <c r="H146" s="174">
        <f>VLOOKUP(D146,原始分!$D:$N,4,0)</f>
        <v>104.5</v>
      </c>
      <c r="I146" s="174">
        <f t="shared" si="30"/>
        <v>327</v>
      </c>
      <c r="J146" s="174">
        <f>VLOOKUP(D146,原始分!$D:$N,5,0)</f>
        <v>103</v>
      </c>
      <c r="K146" s="174">
        <f t="shared" si="31"/>
        <v>309</v>
      </c>
      <c r="L146" s="174">
        <f>VLOOKUP(D146,原始分!$D:$N,6,0)</f>
        <v>63.5</v>
      </c>
      <c r="M146" s="174">
        <f t="shared" si="32"/>
        <v>138</v>
      </c>
      <c r="N146" s="174">
        <f>VLOOKUP(D146,原始分!$D:$N,7,0)</f>
        <v>0</v>
      </c>
      <c r="O146" s="174">
        <f t="shared" si="33"/>
        <v>207</v>
      </c>
      <c r="P146" s="174">
        <f>VLOOKUP(D146,原始分!$D:$N,8,0)</f>
        <v>44</v>
      </c>
      <c r="Q146" s="174">
        <f t="shared" si="34"/>
        <v>227</v>
      </c>
      <c r="R146" s="174">
        <f>VLOOKUP(D146,原始分!$D:$N,9,0)</f>
        <v>58</v>
      </c>
      <c r="S146" s="174">
        <f t="shared" si="35"/>
        <v>40</v>
      </c>
      <c r="T146" s="174">
        <f>VLOOKUP(D146,原始分!$D:$N,10,0)</f>
        <v>0</v>
      </c>
      <c r="U146" s="174">
        <f t="shared" si="36"/>
        <v>316</v>
      </c>
      <c r="V146" s="174">
        <f>VLOOKUP(D146,原始分!$D:$N,11,0)</f>
        <v>0</v>
      </c>
      <c r="W146" s="174">
        <f t="shared" si="37"/>
        <v>565</v>
      </c>
      <c r="X146" s="11">
        <f t="shared" si="38"/>
        <v>317.5</v>
      </c>
      <c r="Y146" s="9">
        <f t="shared" si="39"/>
        <v>184</v>
      </c>
      <c r="Z146" s="11">
        <f t="shared" si="40"/>
        <v>483</v>
      </c>
      <c r="AA146" s="9">
        <f t="shared" si="28"/>
        <v>120</v>
      </c>
    </row>
    <row r="147" ht="14.25" spans="1:27">
      <c r="A147" s="13">
        <v>145</v>
      </c>
      <c r="B147" s="15">
        <v>3</v>
      </c>
      <c r="C147" s="16">
        <v>34</v>
      </c>
      <c r="D147" s="17" t="s">
        <v>303</v>
      </c>
      <c r="E147" s="17" t="s">
        <v>304</v>
      </c>
      <c r="F147" s="174">
        <f>VLOOKUP(D147,原始分!$D:$N,3,0)</f>
        <v>96</v>
      </c>
      <c r="G147" s="174">
        <f t="shared" si="29"/>
        <v>579</v>
      </c>
      <c r="H147" s="174">
        <f>VLOOKUP(D147,原始分!$D:$N,4,0)</f>
        <v>82</v>
      </c>
      <c r="I147" s="174">
        <f t="shared" si="30"/>
        <v>737</v>
      </c>
      <c r="J147" s="174">
        <f>VLOOKUP(D147,原始分!$D:$N,5,0)</f>
        <v>97.25</v>
      </c>
      <c r="K147" s="174">
        <f t="shared" si="31"/>
        <v>441</v>
      </c>
      <c r="L147" s="174">
        <f>VLOOKUP(D147,原始分!$D:$N,6,0)</f>
        <v>39</v>
      </c>
      <c r="M147" s="174">
        <f t="shared" si="32"/>
        <v>520</v>
      </c>
      <c r="N147" s="174">
        <f>VLOOKUP(D147,原始分!$D:$N,7,0)</f>
        <v>0</v>
      </c>
      <c r="O147" s="174">
        <f t="shared" si="33"/>
        <v>207</v>
      </c>
      <c r="P147" s="174">
        <f>VLOOKUP(D147,原始分!$D:$N,8,0)</f>
        <v>34</v>
      </c>
      <c r="Q147" s="174">
        <f t="shared" si="34"/>
        <v>414</v>
      </c>
      <c r="R147" s="174">
        <f>VLOOKUP(D147,原始分!$D:$N,9,0)</f>
        <v>48.5</v>
      </c>
      <c r="S147" s="174">
        <f t="shared" si="35"/>
        <v>182</v>
      </c>
      <c r="T147" s="174">
        <f>VLOOKUP(D147,原始分!$D:$N,10,0)</f>
        <v>0</v>
      </c>
      <c r="U147" s="174">
        <f t="shared" si="36"/>
        <v>316</v>
      </c>
      <c r="V147" s="174">
        <f>VLOOKUP(D147,原始分!$D:$N,11,0)</f>
        <v>0</v>
      </c>
      <c r="W147" s="174">
        <f t="shared" si="37"/>
        <v>565</v>
      </c>
      <c r="X147" s="11">
        <f t="shared" si="38"/>
        <v>275.25</v>
      </c>
      <c r="Y147" s="9">
        <f t="shared" si="39"/>
        <v>653</v>
      </c>
      <c r="Z147" s="11">
        <f t="shared" si="40"/>
        <v>396.75</v>
      </c>
      <c r="AA147" s="9">
        <f t="shared" si="28"/>
        <v>534</v>
      </c>
    </row>
    <row r="148" ht="14.25" spans="1:27">
      <c r="A148" s="13">
        <v>146</v>
      </c>
      <c r="B148" s="15">
        <v>3</v>
      </c>
      <c r="C148" s="16">
        <v>35</v>
      </c>
      <c r="D148" s="17" t="s">
        <v>305</v>
      </c>
      <c r="E148" s="17" t="s">
        <v>306</v>
      </c>
      <c r="F148" s="174">
        <f>VLOOKUP(D148,原始分!$D:$N,3,0)</f>
        <v>84.25</v>
      </c>
      <c r="G148" s="174">
        <f t="shared" si="29"/>
        <v>845</v>
      </c>
      <c r="H148" s="174">
        <f>VLOOKUP(D148,原始分!$D:$N,4,0)</f>
        <v>101</v>
      </c>
      <c r="I148" s="174">
        <f t="shared" si="30"/>
        <v>403</v>
      </c>
      <c r="J148" s="174">
        <f>VLOOKUP(D148,原始分!$D:$N,5,0)</f>
        <v>93</v>
      </c>
      <c r="K148" s="174">
        <f t="shared" si="31"/>
        <v>525</v>
      </c>
      <c r="L148" s="174">
        <f>VLOOKUP(D148,原始分!$D:$N,6,0)</f>
        <v>43.5</v>
      </c>
      <c r="M148" s="174">
        <f t="shared" si="32"/>
        <v>452</v>
      </c>
      <c r="N148" s="174">
        <f>VLOOKUP(D148,原始分!$D:$N,7,0)</f>
        <v>0</v>
      </c>
      <c r="O148" s="174">
        <f t="shared" si="33"/>
        <v>207</v>
      </c>
      <c r="P148" s="174">
        <f>VLOOKUP(D148,原始分!$D:$N,8,0)</f>
        <v>37.5</v>
      </c>
      <c r="Q148" s="174">
        <f t="shared" si="34"/>
        <v>369</v>
      </c>
      <c r="R148" s="174">
        <f>VLOOKUP(D148,原始分!$D:$N,9,0)</f>
        <v>43</v>
      </c>
      <c r="S148" s="174">
        <f t="shared" si="35"/>
        <v>270</v>
      </c>
      <c r="T148" s="174">
        <f>VLOOKUP(D148,原始分!$D:$N,10,0)</f>
        <v>0</v>
      </c>
      <c r="U148" s="174">
        <f t="shared" si="36"/>
        <v>316</v>
      </c>
      <c r="V148" s="174">
        <f>VLOOKUP(D148,原始分!$D:$N,11,0)</f>
        <v>0</v>
      </c>
      <c r="W148" s="174">
        <f t="shared" si="37"/>
        <v>565</v>
      </c>
      <c r="X148" s="11">
        <f t="shared" si="38"/>
        <v>278.25</v>
      </c>
      <c r="Y148" s="9">
        <f t="shared" si="39"/>
        <v>617</v>
      </c>
      <c r="Z148" s="11">
        <f t="shared" si="40"/>
        <v>402.25</v>
      </c>
      <c r="AA148" s="9">
        <f t="shared" si="28"/>
        <v>510</v>
      </c>
    </row>
    <row r="149" ht="14.25" spans="1:27">
      <c r="A149" s="13">
        <v>147</v>
      </c>
      <c r="B149" s="15">
        <v>3</v>
      </c>
      <c r="C149" s="16">
        <v>36</v>
      </c>
      <c r="D149" s="17" t="s">
        <v>307</v>
      </c>
      <c r="E149" s="17" t="s">
        <v>308</v>
      </c>
      <c r="F149" s="174">
        <f>VLOOKUP(D149,原始分!$D:$N,3,0)</f>
        <v>100</v>
      </c>
      <c r="G149" s="174">
        <f t="shared" si="29"/>
        <v>400</v>
      </c>
      <c r="H149" s="174">
        <f>VLOOKUP(D149,原始分!$D:$N,4,0)</f>
        <v>107</v>
      </c>
      <c r="I149" s="174">
        <f t="shared" si="30"/>
        <v>279</v>
      </c>
      <c r="J149" s="174">
        <f>VLOOKUP(D149,原始分!$D:$N,5,0)</f>
        <v>75.5</v>
      </c>
      <c r="K149" s="174">
        <f t="shared" si="31"/>
        <v>786</v>
      </c>
      <c r="L149" s="174">
        <f>VLOOKUP(D149,原始分!$D:$N,6,0)</f>
        <v>42.5</v>
      </c>
      <c r="M149" s="174">
        <f t="shared" si="32"/>
        <v>470</v>
      </c>
      <c r="N149" s="174">
        <f>VLOOKUP(D149,原始分!$D:$N,7,0)</f>
        <v>0</v>
      </c>
      <c r="O149" s="174">
        <f t="shared" si="33"/>
        <v>207</v>
      </c>
      <c r="P149" s="174">
        <f>VLOOKUP(D149,原始分!$D:$N,8,0)</f>
        <v>42.5</v>
      </c>
      <c r="Q149" s="174">
        <f t="shared" si="34"/>
        <v>257</v>
      </c>
      <c r="R149" s="174">
        <f>VLOOKUP(D149,原始分!$D:$N,9,0)</f>
        <v>56</v>
      </c>
      <c r="S149" s="174">
        <f t="shared" si="35"/>
        <v>58</v>
      </c>
      <c r="T149" s="174">
        <f>VLOOKUP(D149,原始分!$D:$N,10,0)</f>
        <v>0</v>
      </c>
      <c r="U149" s="174">
        <f t="shared" si="36"/>
        <v>316</v>
      </c>
      <c r="V149" s="174">
        <f>VLOOKUP(D149,原始分!$D:$N,11,0)</f>
        <v>0</v>
      </c>
      <c r="W149" s="174">
        <f t="shared" si="37"/>
        <v>565</v>
      </c>
      <c r="X149" s="11">
        <f t="shared" si="38"/>
        <v>282.5</v>
      </c>
      <c r="Y149" s="9">
        <f t="shared" si="39"/>
        <v>571</v>
      </c>
      <c r="Z149" s="11">
        <f t="shared" si="40"/>
        <v>423.5</v>
      </c>
      <c r="AA149" s="9">
        <f t="shared" si="28"/>
        <v>410</v>
      </c>
    </row>
    <row r="150" ht="14.25" spans="1:27">
      <c r="A150" s="13">
        <v>148</v>
      </c>
      <c r="B150" s="15">
        <v>3</v>
      </c>
      <c r="C150" s="16">
        <v>37</v>
      </c>
      <c r="D150" s="17" t="s">
        <v>309</v>
      </c>
      <c r="E150" s="17" t="s">
        <v>310</v>
      </c>
      <c r="F150" s="174">
        <f>VLOOKUP(D150,原始分!$D:$N,3,0)</f>
        <v>85.75</v>
      </c>
      <c r="G150" s="174">
        <f t="shared" si="29"/>
        <v>832</v>
      </c>
      <c r="H150" s="174">
        <f>VLOOKUP(D150,原始分!$D:$N,4,0)</f>
        <v>75.5</v>
      </c>
      <c r="I150" s="174">
        <f t="shared" si="30"/>
        <v>784</v>
      </c>
      <c r="J150" s="174">
        <f>VLOOKUP(D150,原始分!$D:$N,5,0)</f>
        <v>83</v>
      </c>
      <c r="K150" s="174">
        <f t="shared" si="31"/>
        <v>700</v>
      </c>
      <c r="L150" s="174">
        <f>VLOOKUP(D150,原始分!$D:$N,6,0)</f>
        <v>49.5</v>
      </c>
      <c r="M150" s="174">
        <f t="shared" si="32"/>
        <v>341</v>
      </c>
      <c r="N150" s="174">
        <f>VLOOKUP(D150,原始分!$D:$N,7,0)</f>
        <v>0</v>
      </c>
      <c r="O150" s="174">
        <f t="shared" si="33"/>
        <v>207</v>
      </c>
      <c r="P150" s="174">
        <f>VLOOKUP(D150,原始分!$D:$N,8,0)</f>
        <v>33.5</v>
      </c>
      <c r="Q150" s="174">
        <f t="shared" si="34"/>
        <v>422</v>
      </c>
      <c r="R150" s="174">
        <f>VLOOKUP(D150,原始分!$D:$N,9,0)</f>
        <v>64</v>
      </c>
      <c r="S150" s="174">
        <f t="shared" si="35"/>
        <v>11</v>
      </c>
      <c r="T150" s="174">
        <f>VLOOKUP(D150,原始分!$D:$N,10,0)</f>
        <v>0</v>
      </c>
      <c r="U150" s="174">
        <f t="shared" si="36"/>
        <v>316</v>
      </c>
      <c r="V150" s="174">
        <f>VLOOKUP(D150,原始分!$D:$N,11,0)</f>
        <v>0</v>
      </c>
      <c r="W150" s="174">
        <f t="shared" si="37"/>
        <v>565</v>
      </c>
      <c r="X150" s="11">
        <f t="shared" si="38"/>
        <v>244.25</v>
      </c>
      <c r="Y150" s="9">
        <f t="shared" si="39"/>
        <v>819</v>
      </c>
      <c r="Z150" s="11">
        <f t="shared" si="40"/>
        <v>391.25</v>
      </c>
      <c r="AA150" s="9">
        <f t="shared" si="28"/>
        <v>548</v>
      </c>
    </row>
    <row r="151" ht="14.25" spans="1:27">
      <c r="A151" s="13">
        <v>149</v>
      </c>
      <c r="B151" s="15">
        <v>3</v>
      </c>
      <c r="C151" s="16">
        <v>38</v>
      </c>
      <c r="D151" s="17" t="s">
        <v>311</v>
      </c>
      <c r="E151" s="17" t="s">
        <v>312</v>
      </c>
      <c r="F151" s="174">
        <f>VLOOKUP(D151,原始分!$D:$N,3,0)</f>
        <v>96.5</v>
      </c>
      <c r="G151" s="174">
        <f t="shared" si="29"/>
        <v>566</v>
      </c>
      <c r="H151" s="174">
        <f>VLOOKUP(D151,原始分!$D:$N,4,0)</f>
        <v>113.5</v>
      </c>
      <c r="I151" s="174">
        <f t="shared" si="30"/>
        <v>152</v>
      </c>
      <c r="J151" s="174">
        <f>VLOOKUP(D151,原始分!$D:$N,5,0)</f>
        <v>110.5</v>
      </c>
      <c r="K151" s="174">
        <f t="shared" si="31"/>
        <v>168</v>
      </c>
      <c r="L151" s="174">
        <f>VLOOKUP(D151,原始分!$D:$N,6,0)</f>
        <v>46</v>
      </c>
      <c r="M151" s="174">
        <f t="shared" si="32"/>
        <v>411</v>
      </c>
      <c r="N151" s="174">
        <f>VLOOKUP(D151,原始分!$D:$N,7,0)</f>
        <v>0</v>
      </c>
      <c r="O151" s="174">
        <f t="shared" si="33"/>
        <v>207</v>
      </c>
      <c r="P151" s="174">
        <f>VLOOKUP(D151,原始分!$D:$N,8,0)</f>
        <v>47</v>
      </c>
      <c r="Q151" s="174">
        <f t="shared" si="34"/>
        <v>173</v>
      </c>
      <c r="R151" s="174">
        <f>VLOOKUP(D151,原始分!$D:$N,9,0)</f>
        <v>49</v>
      </c>
      <c r="S151" s="174">
        <f t="shared" si="35"/>
        <v>174</v>
      </c>
      <c r="T151" s="174">
        <f>VLOOKUP(D151,原始分!$D:$N,10,0)</f>
        <v>0</v>
      </c>
      <c r="U151" s="174">
        <f t="shared" si="36"/>
        <v>316</v>
      </c>
      <c r="V151" s="174">
        <f>VLOOKUP(D151,原始分!$D:$N,11,0)</f>
        <v>0</v>
      </c>
      <c r="W151" s="174">
        <f t="shared" si="37"/>
        <v>565</v>
      </c>
      <c r="X151" s="11">
        <f t="shared" si="38"/>
        <v>320.5</v>
      </c>
      <c r="Y151" s="9">
        <f t="shared" si="39"/>
        <v>153</v>
      </c>
      <c r="Z151" s="11">
        <f t="shared" si="40"/>
        <v>462.5</v>
      </c>
      <c r="AA151" s="9">
        <f t="shared" si="28"/>
        <v>211</v>
      </c>
    </row>
    <row r="152" ht="14.25" spans="1:27">
      <c r="A152" s="13">
        <v>150</v>
      </c>
      <c r="B152" s="15">
        <v>3</v>
      </c>
      <c r="C152" s="16">
        <v>39</v>
      </c>
      <c r="D152" s="17" t="s">
        <v>313</v>
      </c>
      <c r="E152" s="17" t="s">
        <v>314</v>
      </c>
      <c r="F152" s="174">
        <f>VLOOKUP(D152,原始分!$D:$N,3,0)</f>
        <v>93.5</v>
      </c>
      <c r="G152" s="174">
        <f t="shared" si="29"/>
        <v>676</v>
      </c>
      <c r="H152" s="174">
        <f>VLOOKUP(D152,原始分!$D:$N,4,0)</f>
        <v>71</v>
      </c>
      <c r="I152" s="174">
        <f t="shared" si="30"/>
        <v>811</v>
      </c>
      <c r="J152" s="174">
        <f>VLOOKUP(D152,原始分!$D:$N,5,0)</f>
        <v>89.5</v>
      </c>
      <c r="K152" s="174">
        <f t="shared" si="31"/>
        <v>591</v>
      </c>
      <c r="L152" s="174">
        <f>VLOOKUP(D152,原始分!$D:$N,6,0)</f>
        <v>29</v>
      </c>
      <c r="M152" s="174">
        <f t="shared" si="32"/>
        <v>618</v>
      </c>
      <c r="N152" s="174">
        <f>VLOOKUP(D152,原始分!$D:$N,7,0)</f>
        <v>0</v>
      </c>
      <c r="O152" s="174">
        <f t="shared" si="33"/>
        <v>207</v>
      </c>
      <c r="P152" s="174">
        <f>VLOOKUP(D152,原始分!$D:$N,8,0)</f>
        <v>36</v>
      </c>
      <c r="Q152" s="174">
        <f t="shared" si="34"/>
        <v>386</v>
      </c>
      <c r="R152" s="174">
        <f>VLOOKUP(D152,原始分!$D:$N,9,0)</f>
        <v>59.5</v>
      </c>
      <c r="S152" s="174">
        <f t="shared" si="35"/>
        <v>30</v>
      </c>
      <c r="T152" s="174">
        <f>VLOOKUP(D152,原始分!$D:$N,10,0)</f>
        <v>0</v>
      </c>
      <c r="U152" s="174">
        <f t="shared" si="36"/>
        <v>316</v>
      </c>
      <c r="V152" s="174">
        <f>VLOOKUP(D152,原始分!$D:$N,11,0)</f>
        <v>0</v>
      </c>
      <c r="W152" s="174">
        <f t="shared" si="37"/>
        <v>565</v>
      </c>
      <c r="X152" s="11">
        <f t="shared" si="38"/>
        <v>254</v>
      </c>
      <c r="Y152" s="9">
        <f t="shared" si="39"/>
        <v>790</v>
      </c>
      <c r="Z152" s="11">
        <f t="shared" si="40"/>
        <v>378.5</v>
      </c>
      <c r="AA152" s="9">
        <f t="shared" si="28"/>
        <v>582</v>
      </c>
    </row>
    <row r="153" ht="14.25" spans="1:27">
      <c r="A153" s="13">
        <v>151</v>
      </c>
      <c r="B153" s="15">
        <v>3</v>
      </c>
      <c r="C153" s="16">
        <v>40</v>
      </c>
      <c r="D153" s="17" t="s">
        <v>315</v>
      </c>
      <c r="E153" s="17" t="s">
        <v>316</v>
      </c>
      <c r="F153" s="174">
        <f>VLOOKUP(D153,原始分!$D:$N,3,0)</f>
        <v>92.75</v>
      </c>
      <c r="G153" s="174">
        <f t="shared" si="29"/>
        <v>709</v>
      </c>
      <c r="H153" s="174">
        <f>VLOOKUP(D153,原始分!$D:$N,4,0)</f>
        <v>96.5</v>
      </c>
      <c r="I153" s="174">
        <f t="shared" si="30"/>
        <v>485</v>
      </c>
      <c r="J153" s="174">
        <f>VLOOKUP(D153,原始分!$D:$N,5,0)</f>
        <v>98.5</v>
      </c>
      <c r="K153" s="174">
        <f t="shared" si="31"/>
        <v>412</v>
      </c>
      <c r="L153" s="174">
        <f>VLOOKUP(D153,原始分!$D:$N,6,0)</f>
        <v>46.5</v>
      </c>
      <c r="M153" s="174">
        <f t="shared" si="32"/>
        <v>404</v>
      </c>
      <c r="N153" s="174">
        <f>VLOOKUP(D153,原始分!$D:$N,7,0)</f>
        <v>0</v>
      </c>
      <c r="O153" s="174">
        <f t="shared" si="33"/>
        <v>207</v>
      </c>
      <c r="P153" s="174">
        <f>VLOOKUP(D153,原始分!$D:$N,8,0)</f>
        <v>31.5</v>
      </c>
      <c r="Q153" s="174">
        <f t="shared" si="34"/>
        <v>461</v>
      </c>
      <c r="R153" s="174">
        <f>VLOOKUP(D153,原始分!$D:$N,9,0)</f>
        <v>36.5</v>
      </c>
      <c r="S153" s="174">
        <f t="shared" si="35"/>
        <v>309</v>
      </c>
      <c r="T153" s="174">
        <f>VLOOKUP(D153,原始分!$D:$N,10,0)</f>
        <v>0</v>
      </c>
      <c r="U153" s="174">
        <f t="shared" si="36"/>
        <v>316</v>
      </c>
      <c r="V153" s="174">
        <f>VLOOKUP(D153,原始分!$D:$N,11,0)</f>
        <v>0</v>
      </c>
      <c r="W153" s="174">
        <f t="shared" si="37"/>
        <v>565</v>
      </c>
      <c r="X153" s="11">
        <f t="shared" si="38"/>
        <v>287.75</v>
      </c>
      <c r="Y153" s="9">
        <f t="shared" si="39"/>
        <v>515</v>
      </c>
      <c r="Z153" s="11">
        <f t="shared" si="40"/>
        <v>402.25</v>
      </c>
      <c r="AA153" s="9">
        <f t="shared" si="28"/>
        <v>510</v>
      </c>
    </row>
    <row r="154" ht="14.25" spans="1:27">
      <c r="A154" s="13">
        <v>152</v>
      </c>
      <c r="B154" s="15">
        <v>3</v>
      </c>
      <c r="C154" s="16">
        <v>41</v>
      </c>
      <c r="D154" s="17" t="s">
        <v>317</v>
      </c>
      <c r="E154" s="17" t="s">
        <v>318</v>
      </c>
      <c r="F154" s="174">
        <f>VLOOKUP(D154,原始分!$D:$N,3,0)</f>
        <v>94.5</v>
      </c>
      <c r="G154" s="174">
        <f t="shared" si="29"/>
        <v>642</v>
      </c>
      <c r="H154" s="174">
        <f>VLOOKUP(D154,原始分!$D:$N,4,0)</f>
        <v>94</v>
      </c>
      <c r="I154" s="174">
        <f t="shared" si="30"/>
        <v>538</v>
      </c>
      <c r="J154" s="174">
        <f>VLOOKUP(D154,原始分!$D:$N,5,0)</f>
        <v>105</v>
      </c>
      <c r="K154" s="174">
        <f t="shared" si="31"/>
        <v>276</v>
      </c>
      <c r="L154" s="174">
        <f>VLOOKUP(D154,原始分!$D:$N,6,0)</f>
        <v>49</v>
      </c>
      <c r="M154" s="174">
        <f t="shared" si="32"/>
        <v>354</v>
      </c>
      <c r="N154" s="174">
        <f>VLOOKUP(D154,原始分!$D:$N,7,0)</f>
        <v>0</v>
      </c>
      <c r="O154" s="174">
        <f t="shared" si="33"/>
        <v>207</v>
      </c>
      <c r="P154" s="174">
        <f>VLOOKUP(D154,原始分!$D:$N,8,0)</f>
        <v>43</v>
      </c>
      <c r="Q154" s="174">
        <f t="shared" si="34"/>
        <v>248</v>
      </c>
      <c r="R154" s="174">
        <f>VLOOKUP(D154,原始分!$D:$N,9,0)</f>
        <v>52</v>
      </c>
      <c r="S154" s="174">
        <f t="shared" si="35"/>
        <v>121</v>
      </c>
      <c r="T154" s="174">
        <f>VLOOKUP(D154,原始分!$D:$N,10,0)</f>
        <v>0</v>
      </c>
      <c r="U154" s="174">
        <f t="shared" si="36"/>
        <v>316</v>
      </c>
      <c r="V154" s="174">
        <f>VLOOKUP(D154,原始分!$D:$N,11,0)</f>
        <v>0</v>
      </c>
      <c r="W154" s="174">
        <f t="shared" si="37"/>
        <v>565</v>
      </c>
      <c r="X154" s="11">
        <f t="shared" si="38"/>
        <v>293.5</v>
      </c>
      <c r="Y154" s="9">
        <f t="shared" si="39"/>
        <v>450</v>
      </c>
      <c r="Z154" s="11">
        <f t="shared" si="40"/>
        <v>437.5</v>
      </c>
      <c r="AA154" s="9">
        <f t="shared" si="28"/>
        <v>343</v>
      </c>
    </row>
    <row r="155" ht="14.25" spans="1:27">
      <c r="A155" s="13">
        <v>153</v>
      </c>
      <c r="B155" s="15">
        <v>3</v>
      </c>
      <c r="C155" s="16">
        <v>42</v>
      </c>
      <c r="D155" s="17" t="s">
        <v>319</v>
      </c>
      <c r="E155" s="17" t="s">
        <v>320</v>
      </c>
      <c r="F155" s="174">
        <f>VLOOKUP(D155,原始分!$D:$N,3,0)</f>
        <v>91.25</v>
      </c>
      <c r="G155" s="174">
        <f t="shared" si="29"/>
        <v>745</v>
      </c>
      <c r="H155" s="174">
        <f>VLOOKUP(D155,原始分!$D:$N,4,0)</f>
        <v>67.5</v>
      </c>
      <c r="I155" s="174">
        <f t="shared" si="30"/>
        <v>824</v>
      </c>
      <c r="J155" s="174">
        <f>VLOOKUP(D155,原始分!$D:$N,5,0)</f>
        <v>95</v>
      </c>
      <c r="K155" s="174">
        <f t="shared" si="31"/>
        <v>484</v>
      </c>
      <c r="L155" s="174">
        <f>VLOOKUP(D155,原始分!$D:$N,6,0)</f>
        <v>26</v>
      </c>
      <c r="M155" s="174">
        <f t="shared" si="32"/>
        <v>635</v>
      </c>
      <c r="N155" s="174">
        <f>VLOOKUP(D155,原始分!$D:$N,7,0)</f>
        <v>0</v>
      </c>
      <c r="O155" s="174">
        <f t="shared" si="33"/>
        <v>207</v>
      </c>
      <c r="P155" s="174">
        <f>VLOOKUP(D155,原始分!$D:$N,8,0)</f>
        <v>30</v>
      </c>
      <c r="Q155" s="174">
        <f t="shared" si="34"/>
        <v>474</v>
      </c>
      <c r="R155" s="174">
        <f>VLOOKUP(D155,原始分!$D:$N,9,0)</f>
        <v>58.75</v>
      </c>
      <c r="S155" s="174">
        <f t="shared" si="35"/>
        <v>35</v>
      </c>
      <c r="T155" s="174">
        <f>VLOOKUP(D155,原始分!$D:$N,10,0)</f>
        <v>0</v>
      </c>
      <c r="U155" s="174">
        <f t="shared" si="36"/>
        <v>316</v>
      </c>
      <c r="V155" s="174">
        <f>VLOOKUP(D155,原始分!$D:$N,11,0)</f>
        <v>0</v>
      </c>
      <c r="W155" s="174">
        <f t="shared" si="37"/>
        <v>565</v>
      </c>
      <c r="X155" s="11">
        <f t="shared" si="38"/>
        <v>253.75</v>
      </c>
      <c r="Y155" s="9">
        <f t="shared" si="39"/>
        <v>792</v>
      </c>
      <c r="Z155" s="11">
        <f t="shared" si="40"/>
        <v>368.5</v>
      </c>
      <c r="AA155" s="9">
        <f t="shared" si="28"/>
        <v>615</v>
      </c>
    </row>
    <row r="156" ht="14.25" spans="1:27">
      <c r="A156" s="13">
        <v>154</v>
      </c>
      <c r="B156" s="15">
        <v>3</v>
      </c>
      <c r="C156" s="16">
        <v>43</v>
      </c>
      <c r="D156" s="17" t="s">
        <v>321</v>
      </c>
      <c r="E156" s="17" t="s">
        <v>322</v>
      </c>
      <c r="F156" s="174">
        <f>VLOOKUP(D156,原始分!$D:$N,3,0)</f>
        <v>99</v>
      </c>
      <c r="G156" s="174">
        <f t="shared" si="29"/>
        <v>442</v>
      </c>
      <c r="H156" s="174">
        <f>VLOOKUP(D156,原始分!$D:$N,4,0)</f>
        <v>105.5</v>
      </c>
      <c r="I156" s="174">
        <f t="shared" si="30"/>
        <v>311</v>
      </c>
      <c r="J156" s="174">
        <f>VLOOKUP(D156,原始分!$D:$N,5,0)</f>
        <v>77.5</v>
      </c>
      <c r="K156" s="174">
        <f t="shared" si="31"/>
        <v>769</v>
      </c>
      <c r="L156" s="174">
        <f>VLOOKUP(D156,原始分!$D:$N,6,0)</f>
        <v>25</v>
      </c>
      <c r="M156" s="174">
        <f t="shared" si="32"/>
        <v>638</v>
      </c>
      <c r="N156" s="174">
        <f>VLOOKUP(D156,原始分!$D:$N,7,0)</f>
        <v>0</v>
      </c>
      <c r="O156" s="174">
        <f t="shared" si="33"/>
        <v>207</v>
      </c>
      <c r="P156" s="174">
        <f>VLOOKUP(D156,原始分!$D:$N,8,0)</f>
        <v>21</v>
      </c>
      <c r="Q156" s="174">
        <f t="shared" si="34"/>
        <v>530</v>
      </c>
      <c r="R156" s="174">
        <f>VLOOKUP(D156,原始分!$D:$N,9,0)</f>
        <v>31.5</v>
      </c>
      <c r="S156" s="174">
        <f t="shared" si="35"/>
        <v>317</v>
      </c>
      <c r="T156" s="174">
        <f>VLOOKUP(D156,原始分!$D:$N,10,0)</f>
        <v>0</v>
      </c>
      <c r="U156" s="174">
        <f t="shared" si="36"/>
        <v>316</v>
      </c>
      <c r="V156" s="174">
        <f>VLOOKUP(D156,原始分!$D:$N,11,0)</f>
        <v>0</v>
      </c>
      <c r="W156" s="174">
        <f t="shared" si="37"/>
        <v>565</v>
      </c>
      <c r="X156" s="11">
        <f t="shared" si="38"/>
        <v>282</v>
      </c>
      <c r="Y156" s="9">
        <f t="shared" si="39"/>
        <v>579</v>
      </c>
      <c r="Z156" s="11">
        <f t="shared" si="40"/>
        <v>359.5</v>
      </c>
      <c r="AA156" s="9">
        <f t="shared" si="28"/>
        <v>627</v>
      </c>
    </row>
    <row r="157" ht="14.25" spans="1:27">
      <c r="A157" s="13">
        <v>155</v>
      </c>
      <c r="B157" s="15">
        <v>3</v>
      </c>
      <c r="C157" s="16">
        <v>44</v>
      </c>
      <c r="D157" s="17" t="s">
        <v>323</v>
      </c>
      <c r="E157" s="17" t="s">
        <v>324</v>
      </c>
      <c r="F157" s="174">
        <f>VLOOKUP(D157,原始分!$D:$N,3,0)</f>
        <v>97</v>
      </c>
      <c r="G157" s="174">
        <f t="shared" si="29"/>
        <v>551</v>
      </c>
      <c r="H157" s="174">
        <f>VLOOKUP(D157,原始分!$D:$N,4,0)</f>
        <v>95</v>
      </c>
      <c r="I157" s="174">
        <f t="shared" si="30"/>
        <v>510</v>
      </c>
      <c r="J157" s="174">
        <f>VLOOKUP(D157,原始分!$D:$N,5,0)</f>
        <v>98.5</v>
      </c>
      <c r="K157" s="174">
        <f t="shared" si="31"/>
        <v>412</v>
      </c>
      <c r="L157" s="174">
        <f>VLOOKUP(D157,原始分!$D:$N,6,0)</f>
        <v>36</v>
      </c>
      <c r="M157" s="174">
        <f t="shared" si="32"/>
        <v>561</v>
      </c>
      <c r="N157" s="174">
        <f>VLOOKUP(D157,原始分!$D:$N,7,0)</f>
        <v>0</v>
      </c>
      <c r="O157" s="174">
        <f t="shared" si="33"/>
        <v>207</v>
      </c>
      <c r="P157" s="174">
        <f>VLOOKUP(D157,原始分!$D:$N,8,0)</f>
        <v>28</v>
      </c>
      <c r="Q157" s="174">
        <f t="shared" si="34"/>
        <v>493</v>
      </c>
      <c r="R157" s="174">
        <f>VLOOKUP(D157,原始分!$D:$N,9,0)</f>
        <v>60.5</v>
      </c>
      <c r="S157" s="174">
        <f t="shared" si="35"/>
        <v>25</v>
      </c>
      <c r="T157" s="174">
        <f>VLOOKUP(D157,原始分!$D:$N,10,0)</f>
        <v>0</v>
      </c>
      <c r="U157" s="174">
        <f t="shared" si="36"/>
        <v>316</v>
      </c>
      <c r="V157" s="174">
        <f>VLOOKUP(D157,原始分!$D:$N,11,0)</f>
        <v>0</v>
      </c>
      <c r="W157" s="174">
        <f t="shared" si="37"/>
        <v>565</v>
      </c>
      <c r="X157" s="11">
        <f t="shared" si="38"/>
        <v>290.5</v>
      </c>
      <c r="Y157" s="9">
        <f t="shared" si="39"/>
        <v>490</v>
      </c>
      <c r="Z157" s="11">
        <f t="shared" si="40"/>
        <v>415</v>
      </c>
      <c r="AA157" s="9">
        <f t="shared" si="28"/>
        <v>448</v>
      </c>
    </row>
    <row r="158" ht="14.25" spans="1:27">
      <c r="A158" s="13">
        <v>156</v>
      </c>
      <c r="B158" s="15">
        <v>3</v>
      </c>
      <c r="C158" s="16">
        <v>45</v>
      </c>
      <c r="D158" s="17" t="s">
        <v>325</v>
      </c>
      <c r="E158" s="17" t="s">
        <v>326</v>
      </c>
      <c r="F158" s="174">
        <f>VLOOKUP(D158,原始分!$D:$N,3,0)</f>
        <v>89</v>
      </c>
      <c r="G158" s="174">
        <f t="shared" si="29"/>
        <v>796</v>
      </c>
      <c r="H158" s="174">
        <f>VLOOKUP(D158,原始分!$D:$N,4,0)</f>
        <v>94.5</v>
      </c>
      <c r="I158" s="174">
        <f t="shared" si="30"/>
        <v>525</v>
      </c>
      <c r="J158" s="174">
        <f>VLOOKUP(D158,原始分!$D:$N,5,0)</f>
        <v>84.5</v>
      </c>
      <c r="K158" s="174">
        <f t="shared" si="31"/>
        <v>677</v>
      </c>
      <c r="L158" s="174">
        <f>VLOOKUP(D158,原始分!$D:$N,6,0)</f>
        <v>75.5</v>
      </c>
      <c r="M158" s="174">
        <f t="shared" si="32"/>
        <v>31</v>
      </c>
      <c r="N158" s="174">
        <f>VLOOKUP(D158,原始分!$D:$N,7,0)</f>
        <v>0</v>
      </c>
      <c r="O158" s="174">
        <f t="shared" si="33"/>
        <v>207</v>
      </c>
      <c r="P158" s="174">
        <f>VLOOKUP(D158,原始分!$D:$N,8,0)</f>
        <v>59</v>
      </c>
      <c r="Q158" s="174">
        <f t="shared" si="34"/>
        <v>32</v>
      </c>
      <c r="R158" s="174">
        <f>VLOOKUP(D158,原始分!$D:$N,9,0)</f>
        <v>48</v>
      </c>
      <c r="S158" s="174">
        <f t="shared" si="35"/>
        <v>193</v>
      </c>
      <c r="T158" s="174">
        <f>VLOOKUP(D158,原始分!$D:$N,10,0)</f>
        <v>0</v>
      </c>
      <c r="U158" s="174">
        <f t="shared" si="36"/>
        <v>316</v>
      </c>
      <c r="V158" s="174">
        <f>VLOOKUP(D158,原始分!$D:$N,11,0)</f>
        <v>0</v>
      </c>
      <c r="W158" s="174">
        <f t="shared" si="37"/>
        <v>565</v>
      </c>
      <c r="X158" s="11">
        <f t="shared" si="38"/>
        <v>268</v>
      </c>
      <c r="Y158" s="9">
        <f t="shared" si="39"/>
        <v>718</v>
      </c>
      <c r="Z158" s="11">
        <f t="shared" si="40"/>
        <v>450.5</v>
      </c>
      <c r="AA158" s="9">
        <f t="shared" si="28"/>
        <v>274</v>
      </c>
    </row>
    <row r="159" ht="14.25" spans="1:27">
      <c r="A159" s="13">
        <v>157</v>
      </c>
      <c r="B159" s="15">
        <v>3</v>
      </c>
      <c r="C159" s="16">
        <v>46</v>
      </c>
      <c r="D159" s="17" t="s">
        <v>327</v>
      </c>
      <c r="E159" s="17" t="s">
        <v>328</v>
      </c>
      <c r="F159" s="174">
        <f>VLOOKUP(D159,原始分!$D:$N,3,0)</f>
        <v>99.25</v>
      </c>
      <c r="G159" s="174">
        <f t="shared" si="29"/>
        <v>440</v>
      </c>
      <c r="H159" s="174">
        <f>VLOOKUP(D159,原始分!$D:$N,4,0)</f>
        <v>69.5</v>
      </c>
      <c r="I159" s="174">
        <f t="shared" si="30"/>
        <v>816</v>
      </c>
      <c r="J159" s="174">
        <f>VLOOKUP(D159,原始分!$D:$N,5,0)</f>
        <v>87.5</v>
      </c>
      <c r="K159" s="174">
        <f t="shared" si="31"/>
        <v>622</v>
      </c>
      <c r="L159" s="174">
        <f>VLOOKUP(D159,原始分!$D:$N,6,0)</f>
        <v>45</v>
      </c>
      <c r="M159" s="174">
        <f t="shared" si="32"/>
        <v>424</v>
      </c>
      <c r="N159" s="174">
        <f>VLOOKUP(D159,原始分!$D:$N,7,0)</f>
        <v>0</v>
      </c>
      <c r="O159" s="174">
        <f t="shared" si="33"/>
        <v>207</v>
      </c>
      <c r="P159" s="174">
        <f>VLOOKUP(D159,原始分!$D:$N,8,0)</f>
        <v>21</v>
      </c>
      <c r="Q159" s="174">
        <f t="shared" si="34"/>
        <v>530</v>
      </c>
      <c r="R159" s="174">
        <f>VLOOKUP(D159,原始分!$D:$N,9,0)</f>
        <v>54.5</v>
      </c>
      <c r="S159" s="174">
        <f t="shared" si="35"/>
        <v>84</v>
      </c>
      <c r="T159" s="174">
        <f>VLOOKUP(D159,原始分!$D:$N,10,0)</f>
        <v>0</v>
      </c>
      <c r="U159" s="174">
        <f t="shared" si="36"/>
        <v>316</v>
      </c>
      <c r="V159" s="174">
        <f>VLOOKUP(D159,原始分!$D:$N,11,0)</f>
        <v>0</v>
      </c>
      <c r="W159" s="174">
        <f t="shared" si="37"/>
        <v>565</v>
      </c>
      <c r="X159" s="11">
        <f t="shared" si="38"/>
        <v>256.25</v>
      </c>
      <c r="Y159" s="9">
        <f t="shared" si="39"/>
        <v>783</v>
      </c>
      <c r="Z159" s="11">
        <f t="shared" si="40"/>
        <v>376.75</v>
      </c>
      <c r="AA159" s="9">
        <f t="shared" si="28"/>
        <v>591</v>
      </c>
    </row>
    <row r="160" ht="14.25" spans="1:27">
      <c r="A160" s="13">
        <v>158</v>
      </c>
      <c r="B160" s="15">
        <v>3</v>
      </c>
      <c r="C160" s="16">
        <v>47</v>
      </c>
      <c r="D160" s="17" t="s">
        <v>329</v>
      </c>
      <c r="E160" s="17" t="s">
        <v>330</v>
      </c>
      <c r="F160" s="174">
        <f>VLOOKUP(D160,原始分!$D:$N,3,0)</f>
        <v>94</v>
      </c>
      <c r="G160" s="174">
        <f t="shared" si="29"/>
        <v>661</v>
      </c>
      <c r="H160" s="174">
        <f>VLOOKUP(D160,原始分!$D:$N,4,0)</f>
        <v>112.5</v>
      </c>
      <c r="I160" s="174">
        <f t="shared" si="30"/>
        <v>170</v>
      </c>
      <c r="J160" s="174">
        <f>VLOOKUP(D160,原始分!$D:$N,5,0)</f>
        <v>100.5</v>
      </c>
      <c r="K160" s="174">
        <f t="shared" si="31"/>
        <v>357</v>
      </c>
      <c r="L160" s="174">
        <f>VLOOKUP(D160,原始分!$D:$N,6,0)</f>
        <v>53.5</v>
      </c>
      <c r="M160" s="174">
        <f t="shared" si="32"/>
        <v>292</v>
      </c>
      <c r="N160" s="174">
        <f>VLOOKUP(D160,原始分!$D:$N,7,0)</f>
        <v>0</v>
      </c>
      <c r="O160" s="174">
        <f t="shared" si="33"/>
        <v>207</v>
      </c>
      <c r="P160" s="174">
        <f>VLOOKUP(D160,原始分!$D:$N,8,0)</f>
        <v>53</v>
      </c>
      <c r="Q160" s="174">
        <f t="shared" si="34"/>
        <v>69</v>
      </c>
      <c r="R160" s="174">
        <f>VLOOKUP(D160,原始分!$D:$N,9,0)</f>
        <v>53.5</v>
      </c>
      <c r="S160" s="174">
        <f t="shared" si="35"/>
        <v>98</v>
      </c>
      <c r="T160" s="174">
        <f>VLOOKUP(D160,原始分!$D:$N,10,0)</f>
        <v>0</v>
      </c>
      <c r="U160" s="174">
        <f t="shared" si="36"/>
        <v>316</v>
      </c>
      <c r="V160" s="174">
        <f>VLOOKUP(D160,原始分!$D:$N,11,0)</f>
        <v>0</v>
      </c>
      <c r="W160" s="174">
        <f t="shared" si="37"/>
        <v>565</v>
      </c>
      <c r="X160" s="11">
        <f t="shared" si="38"/>
        <v>307</v>
      </c>
      <c r="Y160" s="9">
        <f t="shared" si="39"/>
        <v>300</v>
      </c>
      <c r="Z160" s="11">
        <f t="shared" si="40"/>
        <v>467</v>
      </c>
      <c r="AA160" s="9">
        <f t="shared" si="28"/>
        <v>187</v>
      </c>
    </row>
    <row r="161" ht="14.25" spans="1:27">
      <c r="A161" s="13">
        <v>159</v>
      </c>
      <c r="B161" s="15">
        <v>3</v>
      </c>
      <c r="C161" s="16">
        <v>48</v>
      </c>
      <c r="D161" s="17" t="s">
        <v>331</v>
      </c>
      <c r="E161" s="17" t="s">
        <v>332</v>
      </c>
      <c r="F161" s="174">
        <f>VLOOKUP(D161,原始分!$D:$N,3,0)</f>
        <v>96.5</v>
      </c>
      <c r="G161" s="174">
        <f t="shared" si="29"/>
        <v>566</v>
      </c>
      <c r="H161" s="174">
        <f>VLOOKUP(D161,原始分!$D:$N,4,0)</f>
        <v>106</v>
      </c>
      <c r="I161" s="174">
        <f t="shared" si="30"/>
        <v>297</v>
      </c>
      <c r="J161" s="174">
        <f>VLOOKUP(D161,原始分!$D:$N,5,0)</f>
        <v>96.75</v>
      </c>
      <c r="K161" s="174">
        <f t="shared" si="31"/>
        <v>449</v>
      </c>
      <c r="L161" s="174">
        <f>VLOOKUP(D161,原始分!$D:$N,6,0)</f>
        <v>63.5</v>
      </c>
      <c r="M161" s="174">
        <f t="shared" si="32"/>
        <v>138</v>
      </c>
      <c r="N161" s="174">
        <f>VLOOKUP(D161,原始分!$D:$N,7,0)</f>
        <v>0</v>
      </c>
      <c r="O161" s="174">
        <f t="shared" si="33"/>
        <v>207</v>
      </c>
      <c r="P161" s="174">
        <f>VLOOKUP(D161,原始分!$D:$N,8,0)</f>
        <v>47.5</v>
      </c>
      <c r="Q161" s="174">
        <f t="shared" si="34"/>
        <v>157</v>
      </c>
      <c r="R161" s="174">
        <f>VLOOKUP(D161,原始分!$D:$N,9,0)</f>
        <v>42</v>
      </c>
      <c r="S161" s="174">
        <f t="shared" si="35"/>
        <v>279</v>
      </c>
      <c r="T161" s="174">
        <f>VLOOKUP(D161,原始分!$D:$N,10,0)</f>
        <v>0</v>
      </c>
      <c r="U161" s="174">
        <f t="shared" si="36"/>
        <v>316</v>
      </c>
      <c r="V161" s="174">
        <f>VLOOKUP(D161,原始分!$D:$N,11,0)</f>
        <v>0</v>
      </c>
      <c r="W161" s="174">
        <f t="shared" si="37"/>
        <v>565</v>
      </c>
      <c r="X161" s="11">
        <f t="shared" si="38"/>
        <v>299.25</v>
      </c>
      <c r="Y161" s="9">
        <f t="shared" si="39"/>
        <v>379</v>
      </c>
      <c r="Z161" s="11">
        <f t="shared" si="40"/>
        <v>452.25</v>
      </c>
      <c r="AA161" s="9">
        <f t="shared" ref="AA161:AA224" si="41">RANK(Z161,$Z$3:$Z$665)</f>
        <v>264</v>
      </c>
    </row>
    <row r="162" ht="14.25" spans="1:27">
      <c r="A162" s="13">
        <v>160</v>
      </c>
      <c r="B162" s="15">
        <v>3</v>
      </c>
      <c r="C162" s="16">
        <v>49</v>
      </c>
      <c r="D162" s="17" t="s">
        <v>333</v>
      </c>
      <c r="E162" s="17" t="s">
        <v>334</v>
      </c>
      <c r="F162" s="174">
        <f>VLOOKUP(D162,原始分!$D:$N,3,0)</f>
        <v>89</v>
      </c>
      <c r="G162" s="174">
        <f t="shared" si="29"/>
        <v>796</v>
      </c>
      <c r="H162" s="174">
        <f>VLOOKUP(D162,原始分!$D:$N,4,0)</f>
        <v>65.5</v>
      </c>
      <c r="I162" s="174">
        <f t="shared" si="30"/>
        <v>830</v>
      </c>
      <c r="J162" s="174">
        <f>VLOOKUP(D162,原始分!$D:$N,5,0)</f>
        <v>87</v>
      </c>
      <c r="K162" s="174">
        <f t="shared" si="31"/>
        <v>632</v>
      </c>
      <c r="L162" s="174">
        <f>VLOOKUP(D162,原始分!$D:$N,6,0)</f>
        <v>23.5</v>
      </c>
      <c r="M162" s="174">
        <f t="shared" si="32"/>
        <v>642</v>
      </c>
      <c r="N162" s="174">
        <f>VLOOKUP(D162,原始分!$D:$N,7,0)</f>
        <v>0</v>
      </c>
      <c r="O162" s="174">
        <f t="shared" si="33"/>
        <v>207</v>
      </c>
      <c r="P162" s="174">
        <f>VLOOKUP(D162,原始分!$D:$N,8,0)</f>
        <v>36</v>
      </c>
      <c r="Q162" s="174">
        <f t="shared" si="34"/>
        <v>386</v>
      </c>
      <c r="R162" s="174">
        <f>VLOOKUP(D162,原始分!$D:$N,9,0)</f>
        <v>30.5</v>
      </c>
      <c r="S162" s="174">
        <f t="shared" si="35"/>
        <v>318</v>
      </c>
      <c r="T162" s="174">
        <f>VLOOKUP(D162,原始分!$D:$N,10,0)</f>
        <v>0</v>
      </c>
      <c r="U162" s="174">
        <f t="shared" si="36"/>
        <v>316</v>
      </c>
      <c r="V162" s="174">
        <f>VLOOKUP(D162,原始分!$D:$N,11,0)</f>
        <v>0</v>
      </c>
      <c r="W162" s="174">
        <f t="shared" si="37"/>
        <v>565</v>
      </c>
      <c r="X162" s="11">
        <f t="shared" si="38"/>
        <v>241.5</v>
      </c>
      <c r="Y162" s="9">
        <f t="shared" si="39"/>
        <v>829</v>
      </c>
      <c r="Z162" s="11">
        <f t="shared" si="40"/>
        <v>331.5</v>
      </c>
      <c r="AA162" s="9">
        <f t="shared" si="41"/>
        <v>648</v>
      </c>
    </row>
    <row r="163" ht="14.25" spans="1:27">
      <c r="A163" s="13">
        <v>161</v>
      </c>
      <c r="B163" s="15">
        <v>4</v>
      </c>
      <c r="C163" s="16">
        <v>2</v>
      </c>
      <c r="D163" s="17" t="s">
        <v>335</v>
      </c>
      <c r="E163" s="17" t="s">
        <v>336</v>
      </c>
      <c r="F163" s="174">
        <f>VLOOKUP(D163,原始分!$D:$N,3,0)</f>
        <v>77.5</v>
      </c>
      <c r="G163" s="174">
        <f t="shared" si="29"/>
        <v>863</v>
      </c>
      <c r="H163" s="174">
        <f>VLOOKUP(D163,原始分!$D:$N,4,0)</f>
        <v>88</v>
      </c>
      <c r="I163" s="174">
        <f t="shared" si="30"/>
        <v>654</v>
      </c>
      <c r="J163" s="174">
        <f>VLOOKUP(D163,原始分!$D:$N,5,0)</f>
        <v>71</v>
      </c>
      <c r="K163" s="174">
        <f t="shared" si="31"/>
        <v>821</v>
      </c>
      <c r="L163" s="174">
        <f>VLOOKUP(D163,原始分!$D:$N,6,0)</f>
        <v>36</v>
      </c>
      <c r="M163" s="174">
        <f t="shared" si="32"/>
        <v>561</v>
      </c>
      <c r="N163" s="174">
        <f>VLOOKUP(D163,原始分!$D:$N,7,0)</f>
        <v>0</v>
      </c>
      <c r="O163" s="174">
        <f t="shared" si="33"/>
        <v>207</v>
      </c>
      <c r="P163" s="174">
        <f>VLOOKUP(D163,原始分!$D:$N,8,0)</f>
        <v>32</v>
      </c>
      <c r="Q163" s="174">
        <f t="shared" si="34"/>
        <v>455</v>
      </c>
      <c r="R163" s="174">
        <f>VLOOKUP(D163,原始分!$D:$N,9,0)</f>
        <v>52</v>
      </c>
      <c r="S163" s="174">
        <f t="shared" si="35"/>
        <v>121</v>
      </c>
      <c r="T163" s="174">
        <f>VLOOKUP(D163,原始分!$D:$N,10,0)</f>
        <v>0</v>
      </c>
      <c r="U163" s="174">
        <f t="shared" si="36"/>
        <v>316</v>
      </c>
      <c r="V163" s="174">
        <f>VLOOKUP(D163,原始分!$D:$N,11,0)</f>
        <v>0</v>
      </c>
      <c r="W163" s="174">
        <f t="shared" si="37"/>
        <v>565</v>
      </c>
      <c r="X163" s="11">
        <f t="shared" si="38"/>
        <v>236.5</v>
      </c>
      <c r="Y163" s="9">
        <f t="shared" si="39"/>
        <v>840</v>
      </c>
      <c r="Z163" s="11">
        <f t="shared" si="40"/>
        <v>356.5</v>
      </c>
      <c r="AA163" s="9">
        <f t="shared" si="41"/>
        <v>629</v>
      </c>
    </row>
    <row r="164" ht="14.25" spans="1:27">
      <c r="A164" s="13">
        <v>162</v>
      </c>
      <c r="B164" s="15">
        <v>4</v>
      </c>
      <c r="C164" s="16">
        <v>3</v>
      </c>
      <c r="D164" s="17" t="s">
        <v>337</v>
      </c>
      <c r="E164" s="17" t="s">
        <v>338</v>
      </c>
      <c r="F164" s="174">
        <f>VLOOKUP(D164,原始分!$D:$N,3,0)</f>
        <v>106.5</v>
      </c>
      <c r="G164" s="174">
        <f t="shared" si="29"/>
        <v>132</v>
      </c>
      <c r="H164" s="174">
        <f>VLOOKUP(D164,原始分!$D:$N,4,0)</f>
        <v>94</v>
      </c>
      <c r="I164" s="174">
        <f t="shared" si="30"/>
        <v>538</v>
      </c>
      <c r="J164" s="174">
        <f>VLOOKUP(D164,原始分!$D:$N,5,0)</f>
        <v>91.75</v>
      </c>
      <c r="K164" s="174">
        <f t="shared" si="31"/>
        <v>562</v>
      </c>
      <c r="L164" s="174">
        <f>VLOOKUP(D164,原始分!$D:$N,6,0)</f>
        <v>52</v>
      </c>
      <c r="M164" s="174">
        <f t="shared" si="32"/>
        <v>310</v>
      </c>
      <c r="N164" s="174">
        <f>VLOOKUP(D164,原始分!$D:$N,7,0)</f>
        <v>0</v>
      </c>
      <c r="O164" s="174">
        <f t="shared" si="33"/>
        <v>207</v>
      </c>
      <c r="P164" s="174">
        <f>VLOOKUP(D164,原始分!$D:$N,8,0)</f>
        <v>39.5</v>
      </c>
      <c r="Q164" s="174">
        <f t="shared" si="34"/>
        <v>335</v>
      </c>
      <c r="R164" s="174">
        <f>VLOOKUP(D164,原始分!$D:$N,9,0)</f>
        <v>49</v>
      </c>
      <c r="S164" s="174">
        <f t="shared" si="35"/>
        <v>174</v>
      </c>
      <c r="T164" s="174">
        <f>VLOOKUP(D164,原始分!$D:$N,10,0)</f>
        <v>0</v>
      </c>
      <c r="U164" s="174">
        <f t="shared" si="36"/>
        <v>316</v>
      </c>
      <c r="V164" s="174">
        <f>VLOOKUP(D164,原始分!$D:$N,11,0)</f>
        <v>0</v>
      </c>
      <c r="W164" s="174">
        <f t="shared" si="37"/>
        <v>565</v>
      </c>
      <c r="X164" s="11">
        <f t="shared" si="38"/>
        <v>292.25</v>
      </c>
      <c r="Y164" s="9">
        <f t="shared" si="39"/>
        <v>469</v>
      </c>
      <c r="Z164" s="11">
        <f t="shared" si="40"/>
        <v>432.75</v>
      </c>
      <c r="AA164" s="9">
        <f t="shared" si="41"/>
        <v>368</v>
      </c>
    </row>
    <row r="165" ht="14.25" spans="1:27">
      <c r="A165" s="13">
        <v>163</v>
      </c>
      <c r="B165" s="15">
        <v>4</v>
      </c>
      <c r="C165" s="16">
        <v>4</v>
      </c>
      <c r="D165" s="17" t="s">
        <v>339</v>
      </c>
      <c r="E165" s="17" t="s">
        <v>340</v>
      </c>
      <c r="F165" s="174">
        <f>VLOOKUP(D165,原始分!$D:$N,3,0)</f>
        <v>91.5</v>
      </c>
      <c r="G165" s="174">
        <f t="shared" si="29"/>
        <v>730</v>
      </c>
      <c r="H165" s="174">
        <f>VLOOKUP(D165,原始分!$D:$N,4,0)</f>
        <v>88.5</v>
      </c>
      <c r="I165" s="174">
        <f t="shared" si="30"/>
        <v>641</v>
      </c>
      <c r="J165" s="174">
        <f>VLOOKUP(D165,原始分!$D:$N,5,0)</f>
        <v>74</v>
      </c>
      <c r="K165" s="174">
        <f t="shared" si="31"/>
        <v>799</v>
      </c>
      <c r="L165" s="174">
        <f>VLOOKUP(D165,原始分!$D:$N,6,0)</f>
        <v>35</v>
      </c>
      <c r="M165" s="174">
        <f t="shared" si="32"/>
        <v>572</v>
      </c>
      <c r="N165" s="174">
        <f>VLOOKUP(D165,原始分!$D:$N,7,0)</f>
        <v>0</v>
      </c>
      <c r="O165" s="174">
        <f t="shared" si="33"/>
        <v>207</v>
      </c>
      <c r="P165" s="174">
        <f>VLOOKUP(D165,原始分!$D:$N,8,0)</f>
        <v>33</v>
      </c>
      <c r="Q165" s="174">
        <f t="shared" si="34"/>
        <v>435</v>
      </c>
      <c r="R165" s="174">
        <f>VLOOKUP(D165,原始分!$D:$N,9,0)</f>
        <v>57.5</v>
      </c>
      <c r="S165" s="174">
        <f t="shared" si="35"/>
        <v>45</v>
      </c>
      <c r="T165" s="174">
        <f>VLOOKUP(D165,原始分!$D:$N,10,0)</f>
        <v>0</v>
      </c>
      <c r="U165" s="174">
        <f t="shared" si="36"/>
        <v>316</v>
      </c>
      <c r="V165" s="174">
        <f>VLOOKUP(D165,原始分!$D:$N,11,0)</f>
        <v>0</v>
      </c>
      <c r="W165" s="174">
        <f t="shared" si="37"/>
        <v>565</v>
      </c>
      <c r="X165" s="11">
        <f t="shared" si="38"/>
        <v>254</v>
      </c>
      <c r="Y165" s="9">
        <f t="shared" si="39"/>
        <v>790</v>
      </c>
      <c r="Z165" s="11">
        <f t="shared" si="40"/>
        <v>379.5</v>
      </c>
      <c r="AA165" s="9">
        <f t="shared" si="41"/>
        <v>580</v>
      </c>
    </row>
    <row r="166" ht="14.25" spans="1:27">
      <c r="A166" s="13">
        <v>164</v>
      </c>
      <c r="B166" s="15">
        <v>4</v>
      </c>
      <c r="C166" s="16">
        <v>5</v>
      </c>
      <c r="D166" s="17" t="s">
        <v>341</v>
      </c>
      <c r="E166" s="17" t="s">
        <v>342</v>
      </c>
      <c r="F166" s="174">
        <f>VLOOKUP(D166,原始分!$D:$N,3,0)</f>
        <v>83</v>
      </c>
      <c r="G166" s="174">
        <f t="shared" si="29"/>
        <v>851</v>
      </c>
      <c r="H166" s="174">
        <f>VLOOKUP(D166,原始分!$D:$N,4,0)</f>
        <v>62.5</v>
      </c>
      <c r="I166" s="174">
        <f t="shared" si="30"/>
        <v>841</v>
      </c>
      <c r="J166" s="174">
        <f>VLOOKUP(D166,原始分!$D:$N,5,0)</f>
        <v>87.5</v>
      </c>
      <c r="K166" s="174">
        <f t="shared" si="31"/>
        <v>622</v>
      </c>
      <c r="L166" s="174">
        <f>VLOOKUP(D166,原始分!$D:$N,6,0)</f>
        <v>23.5</v>
      </c>
      <c r="M166" s="174">
        <f t="shared" si="32"/>
        <v>642</v>
      </c>
      <c r="N166" s="174">
        <f>VLOOKUP(D166,原始分!$D:$N,7,0)</f>
        <v>0</v>
      </c>
      <c r="O166" s="174">
        <f t="shared" si="33"/>
        <v>207</v>
      </c>
      <c r="P166" s="174">
        <f>VLOOKUP(D166,原始分!$D:$N,8,0)</f>
        <v>40</v>
      </c>
      <c r="Q166" s="174">
        <f t="shared" si="34"/>
        <v>316</v>
      </c>
      <c r="R166" s="174">
        <f>VLOOKUP(D166,原始分!$D:$N,9,0)</f>
        <v>51</v>
      </c>
      <c r="S166" s="174">
        <f t="shared" si="35"/>
        <v>140</v>
      </c>
      <c r="T166" s="174">
        <f>VLOOKUP(D166,原始分!$D:$N,10,0)</f>
        <v>0</v>
      </c>
      <c r="U166" s="174">
        <f t="shared" si="36"/>
        <v>316</v>
      </c>
      <c r="V166" s="174">
        <f>VLOOKUP(D166,原始分!$D:$N,11,0)</f>
        <v>0</v>
      </c>
      <c r="W166" s="174">
        <f t="shared" si="37"/>
        <v>565</v>
      </c>
      <c r="X166" s="11">
        <f t="shared" si="38"/>
        <v>233</v>
      </c>
      <c r="Y166" s="9">
        <f t="shared" si="39"/>
        <v>843</v>
      </c>
      <c r="Z166" s="11">
        <f t="shared" si="40"/>
        <v>347.5</v>
      </c>
      <c r="AA166" s="9">
        <f t="shared" si="41"/>
        <v>639</v>
      </c>
    </row>
    <row r="167" ht="14.25" spans="1:27">
      <c r="A167" s="13">
        <v>165</v>
      </c>
      <c r="B167" s="15">
        <v>4</v>
      </c>
      <c r="C167" s="16">
        <v>6</v>
      </c>
      <c r="D167" s="17" t="s">
        <v>343</v>
      </c>
      <c r="E167" s="17" t="s">
        <v>344</v>
      </c>
      <c r="F167" s="174">
        <f>VLOOKUP(D167,原始分!$D:$N,3,0)</f>
        <v>84</v>
      </c>
      <c r="G167" s="174">
        <f t="shared" si="29"/>
        <v>846</v>
      </c>
      <c r="H167" s="174">
        <f>VLOOKUP(D167,原始分!$D:$N,4,0)</f>
        <v>83</v>
      </c>
      <c r="I167" s="174">
        <f t="shared" si="30"/>
        <v>728</v>
      </c>
      <c r="J167" s="174">
        <f>VLOOKUP(D167,原始分!$D:$N,5,0)</f>
        <v>54.5</v>
      </c>
      <c r="K167" s="174">
        <f t="shared" si="31"/>
        <v>858</v>
      </c>
      <c r="L167" s="174">
        <f>VLOOKUP(D167,原始分!$D:$N,6,0)</f>
        <v>28</v>
      </c>
      <c r="M167" s="174">
        <f t="shared" si="32"/>
        <v>625</v>
      </c>
      <c r="N167" s="174">
        <f>VLOOKUP(D167,原始分!$D:$N,7,0)</f>
        <v>0</v>
      </c>
      <c r="O167" s="174">
        <f t="shared" si="33"/>
        <v>207</v>
      </c>
      <c r="P167" s="174">
        <f>VLOOKUP(D167,原始分!$D:$N,8,0)</f>
        <v>28</v>
      </c>
      <c r="Q167" s="174">
        <f t="shared" si="34"/>
        <v>493</v>
      </c>
      <c r="R167" s="174">
        <f>VLOOKUP(D167,原始分!$D:$N,9,0)</f>
        <v>49.5</v>
      </c>
      <c r="S167" s="174">
        <f t="shared" si="35"/>
        <v>164</v>
      </c>
      <c r="T167" s="174">
        <f>VLOOKUP(D167,原始分!$D:$N,10,0)</f>
        <v>0</v>
      </c>
      <c r="U167" s="174">
        <f t="shared" si="36"/>
        <v>316</v>
      </c>
      <c r="V167" s="174">
        <f>VLOOKUP(D167,原始分!$D:$N,11,0)</f>
        <v>0</v>
      </c>
      <c r="W167" s="174">
        <f t="shared" si="37"/>
        <v>565</v>
      </c>
      <c r="X167" s="11">
        <f t="shared" si="38"/>
        <v>221.5</v>
      </c>
      <c r="Y167" s="9">
        <f t="shared" si="39"/>
        <v>857</v>
      </c>
      <c r="Z167" s="11">
        <f t="shared" si="40"/>
        <v>327</v>
      </c>
      <c r="AA167" s="9">
        <f t="shared" si="41"/>
        <v>651</v>
      </c>
    </row>
    <row r="168" ht="14.25" spans="1:27">
      <c r="A168" s="13">
        <v>166</v>
      </c>
      <c r="B168" s="15">
        <v>4</v>
      </c>
      <c r="C168" s="16">
        <v>7</v>
      </c>
      <c r="D168" s="17" t="s">
        <v>345</v>
      </c>
      <c r="E168" s="17" t="s">
        <v>346</v>
      </c>
      <c r="F168" s="174">
        <f>VLOOKUP(D168,原始分!$D:$N,3,0)</f>
        <v>78</v>
      </c>
      <c r="G168" s="174">
        <f t="shared" si="29"/>
        <v>861</v>
      </c>
      <c r="H168" s="174">
        <f>VLOOKUP(D168,原始分!$D:$N,4,0)</f>
        <v>98</v>
      </c>
      <c r="I168" s="174">
        <f t="shared" si="30"/>
        <v>454</v>
      </c>
      <c r="J168" s="174">
        <f>VLOOKUP(D168,原始分!$D:$N,5,0)</f>
        <v>88.75</v>
      </c>
      <c r="K168" s="174">
        <f t="shared" si="31"/>
        <v>602</v>
      </c>
      <c r="L168" s="174">
        <f>VLOOKUP(D168,原始分!$D:$N,6,0)</f>
        <v>40</v>
      </c>
      <c r="M168" s="174">
        <f t="shared" si="32"/>
        <v>506</v>
      </c>
      <c r="N168" s="174">
        <f>VLOOKUP(D168,原始分!$D:$N,7,0)</f>
        <v>0</v>
      </c>
      <c r="O168" s="174">
        <f t="shared" si="33"/>
        <v>207</v>
      </c>
      <c r="P168" s="174">
        <f>VLOOKUP(D168,原始分!$D:$N,8,0)</f>
        <v>32</v>
      </c>
      <c r="Q168" s="174">
        <f t="shared" si="34"/>
        <v>455</v>
      </c>
      <c r="R168" s="174">
        <f>VLOOKUP(D168,原始分!$D:$N,9,0)</f>
        <v>43</v>
      </c>
      <c r="S168" s="174">
        <f t="shared" si="35"/>
        <v>270</v>
      </c>
      <c r="T168" s="174">
        <f>VLOOKUP(D168,原始分!$D:$N,10,0)</f>
        <v>0</v>
      </c>
      <c r="U168" s="174">
        <f t="shared" si="36"/>
        <v>316</v>
      </c>
      <c r="V168" s="174">
        <f>VLOOKUP(D168,原始分!$D:$N,11,0)</f>
        <v>0</v>
      </c>
      <c r="W168" s="174">
        <f t="shared" si="37"/>
        <v>565</v>
      </c>
      <c r="X168" s="11">
        <f t="shared" si="38"/>
        <v>264.75</v>
      </c>
      <c r="Y168" s="9">
        <f t="shared" si="39"/>
        <v>743</v>
      </c>
      <c r="Z168" s="11">
        <f t="shared" si="40"/>
        <v>379.75</v>
      </c>
      <c r="AA168" s="9">
        <f t="shared" si="41"/>
        <v>579</v>
      </c>
    </row>
    <row r="169" ht="14.25" spans="1:27">
      <c r="A169" s="13">
        <v>167</v>
      </c>
      <c r="B169" s="15">
        <v>4</v>
      </c>
      <c r="C169" s="16">
        <v>8</v>
      </c>
      <c r="D169" s="17" t="s">
        <v>347</v>
      </c>
      <c r="E169" s="17" t="s">
        <v>348</v>
      </c>
      <c r="F169" s="174">
        <f>VLOOKUP(D169,原始分!$D:$N,3,0)</f>
        <v>87.5</v>
      </c>
      <c r="G169" s="174">
        <f t="shared" si="29"/>
        <v>815</v>
      </c>
      <c r="H169" s="174">
        <f>VLOOKUP(D169,原始分!$D:$N,4,0)</f>
        <v>101.5</v>
      </c>
      <c r="I169" s="174">
        <f t="shared" si="30"/>
        <v>391</v>
      </c>
      <c r="J169" s="174">
        <f>VLOOKUP(D169,原始分!$D:$N,5,0)</f>
        <v>101.5</v>
      </c>
      <c r="K169" s="174">
        <f t="shared" si="31"/>
        <v>334</v>
      </c>
      <c r="L169" s="174">
        <f>VLOOKUP(D169,原始分!$D:$N,6,0)</f>
        <v>44</v>
      </c>
      <c r="M169" s="174">
        <f t="shared" si="32"/>
        <v>441</v>
      </c>
      <c r="N169" s="174">
        <f>VLOOKUP(D169,原始分!$D:$N,7,0)</f>
        <v>0</v>
      </c>
      <c r="O169" s="174">
        <f t="shared" si="33"/>
        <v>207</v>
      </c>
      <c r="P169" s="174">
        <f>VLOOKUP(D169,原始分!$D:$N,8,0)</f>
        <v>40</v>
      </c>
      <c r="Q169" s="174">
        <f t="shared" si="34"/>
        <v>316</v>
      </c>
      <c r="R169" s="174">
        <f>VLOOKUP(D169,原始分!$D:$N,9,0)</f>
        <v>61.5</v>
      </c>
      <c r="S169" s="174">
        <f t="shared" si="35"/>
        <v>21</v>
      </c>
      <c r="T169" s="174">
        <f>VLOOKUP(D169,原始分!$D:$N,10,0)</f>
        <v>0</v>
      </c>
      <c r="U169" s="174">
        <f t="shared" si="36"/>
        <v>316</v>
      </c>
      <c r="V169" s="174">
        <f>VLOOKUP(D169,原始分!$D:$N,11,0)</f>
        <v>0</v>
      </c>
      <c r="W169" s="174">
        <f t="shared" si="37"/>
        <v>565</v>
      </c>
      <c r="X169" s="11">
        <f t="shared" si="38"/>
        <v>290.5</v>
      </c>
      <c r="Y169" s="9">
        <f t="shared" si="39"/>
        <v>490</v>
      </c>
      <c r="Z169" s="11">
        <f t="shared" si="40"/>
        <v>436</v>
      </c>
      <c r="AA169" s="9">
        <f t="shared" si="41"/>
        <v>352</v>
      </c>
    </row>
    <row r="170" ht="14.25" spans="1:27">
      <c r="A170" s="13">
        <v>168</v>
      </c>
      <c r="B170" s="15">
        <v>4</v>
      </c>
      <c r="C170" s="16">
        <v>9</v>
      </c>
      <c r="D170" s="17" t="s">
        <v>349</v>
      </c>
      <c r="E170" s="17" t="s">
        <v>350</v>
      </c>
      <c r="F170" s="174">
        <f>VLOOKUP(D170,原始分!$D:$N,3,0)</f>
        <v>95.25</v>
      </c>
      <c r="G170" s="174">
        <f t="shared" si="29"/>
        <v>615</v>
      </c>
      <c r="H170" s="174">
        <f>VLOOKUP(D170,原始分!$D:$N,4,0)</f>
        <v>89.5</v>
      </c>
      <c r="I170" s="174">
        <f t="shared" si="30"/>
        <v>622</v>
      </c>
      <c r="J170" s="174">
        <f>VLOOKUP(D170,原始分!$D:$N,5,0)</f>
        <v>80.75</v>
      </c>
      <c r="K170" s="174">
        <f t="shared" si="31"/>
        <v>738</v>
      </c>
      <c r="L170" s="174">
        <f>VLOOKUP(D170,原始分!$D:$N,6,0)</f>
        <v>54.5</v>
      </c>
      <c r="M170" s="174">
        <f t="shared" si="32"/>
        <v>281</v>
      </c>
      <c r="N170" s="174">
        <f>VLOOKUP(D170,原始分!$D:$N,7,0)</f>
        <v>0</v>
      </c>
      <c r="O170" s="174">
        <f t="shared" si="33"/>
        <v>207</v>
      </c>
      <c r="P170" s="174">
        <f>VLOOKUP(D170,原始分!$D:$N,8,0)</f>
        <v>48.5</v>
      </c>
      <c r="Q170" s="174">
        <f t="shared" si="34"/>
        <v>139</v>
      </c>
      <c r="R170" s="174">
        <f>VLOOKUP(D170,原始分!$D:$N,9,0)</f>
        <v>64.5</v>
      </c>
      <c r="S170" s="174">
        <f t="shared" si="35"/>
        <v>8</v>
      </c>
      <c r="T170" s="174">
        <f>VLOOKUP(D170,原始分!$D:$N,10,0)</f>
        <v>0</v>
      </c>
      <c r="U170" s="174">
        <f t="shared" si="36"/>
        <v>316</v>
      </c>
      <c r="V170" s="174">
        <f>VLOOKUP(D170,原始分!$D:$N,11,0)</f>
        <v>0</v>
      </c>
      <c r="W170" s="174">
        <f t="shared" si="37"/>
        <v>565</v>
      </c>
      <c r="X170" s="11">
        <f t="shared" si="38"/>
        <v>265.5</v>
      </c>
      <c r="Y170" s="9">
        <f t="shared" si="39"/>
        <v>737</v>
      </c>
      <c r="Z170" s="11">
        <f t="shared" si="40"/>
        <v>433</v>
      </c>
      <c r="AA170" s="9">
        <f t="shared" si="41"/>
        <v>366</v>
      </c>
    </row>
    <row r="171" ht="14.25" spans="1:27">
      <c r="A171" s="13">
        <v>169</v>
      </c>
      <c r="B171" s="15">
        <v>4</v>
      </c>
      <c r="C171" s="16">
        <v>10</v>
      </c>
      <c r="D171" s="17" t="s">
        <v>351</v>
      </c>
      <c r="E171" s="17" t="s">
        <v>352</v>
      </c>
      <c r="F171" s="174">
        <f>VLOOKUP(D171,原始分!$D:$N,3,0)</f>
        <v>96</v>
      </c>
      <c r="G171" s="174">
        <f t="shared" si="29"/>
        <v>579</v>
      </c>
      <c r="H171" s="174">
        <f>VLOOKUP(D171,原始分!$D:$N,4,0)</f>
        <v>106.5</v>
      </c>
      <c r="I171" s="174">
        <f t="shared" si="30"/>
        <v>286</v>
      </c>
      <c r="J171" s="174">
        <f>VLOOKUP(D171,原始分!$D:$N,5,0)</f>
        <v>96.5</v>
      </c>
      <c r="K171" s="174">
        <f t="shared" si="31"/>
        <v>455</v>
      </c>
      <c r="L171" s="174">
        <f>VLOOKUP(D171,原始分!$D:$N,6,0)</f>
        <v>60</v>
      </c>
      <c r="M171" s="174">
        <f t="shared" si="32"/>
        <v>187</v>
      </c>
      <c r="N171" s="174">
        <f>VLOOKUP(D171,原始分!$D:$N,7,0)</f>
        <v>0</v>
      </c>
      <c r="O171" s="174">
        <f t="shared" si="33"/>
        <v>207</v>
      </c>
      <c r="P171" s="174">
        <f>VLOOKUP(D171,原始分!$D:$N,8,0)</f>
        <v>50.5</v>
      </c>
      <c r="Q171" s="174">
        <f t="shared" si="34"/>
        <v>101</v>
      </c>
      <c r="R171" s="174">
        <f>VLOOKUP(D171,原始分!$D:$N,9,0)</f>
        <v>61</v>
      </c>
      <c r="S171" s="174">
        <f t="shared" si="35"/>
        <v>22</v>
      </c>
      <c r="T171" s="174">
        <f>VLOOKUP(D171,原始分!$D:$N,10,0)</f>
        <v>0</v>
      </c>
      <c r="U171" s="174">
        <f t="shared" si="36"/>
        <v>316</v>
      </c>
      <c r="V171" s="174">
        <f>VLOOKUP(D171,原始分!$D:$N,11,0)</f>
        <v>0</v>
      </c>
      <c r="W171" s="174">
        <f t="shared" si="37"/>
        <v>565</v>
      </c>
      <c r="X171" s="11">
        <f t="shared" si="38"/>
        <v>299</v>
      </c>
      <c r="Y171" s="9">
        <f t="shared" si="39"/>
        <v>383</v>
      </c>
      <c r="Z171" s="11">
        <f t="shared" si="40"/>
        <v>470.5</v>
      </c>
      <c r="AA171" s="9">
        <f t="shared" si="41"/>
        <v>175</v>
      </c>
    </row>
    <row r="172" ht="14.25" spans="1:27">
      <c r="A172" s="13">
        <v>170</v>
      </c>
      <c r="B172" s="15">
        <v>4</v>
      </c>
      <c r="C172" s="16">
        <v>11</v>
      </c>
      <c r="D172" s="17" t="s">
        <v>353</v>
      </c>
      <c r="E172" s="17" t="s">
        <v>354</v>
      </c>
      <c r="F172" s="174">
        <f>VLOOKUP(D172,原始分!$D:$N,3,0)</f>
        <v>92.5</v>
      </c>
      <c r="G172" s="174">
        <f t="shared" si="29"/>
        <v>713</v>
      </c>
      <c r="H172" s="174">
        <f>VLOOKUP(D172,原始分!$D:$N,4,0)</f>
        <v>106.5</v>
      </c>
      <c r="I172" s="174">
        <f t="shared" si="30"/>
        <v>286</v>
      </c>
      <c r="J172" s="174">
        <f>VLOOKUP(D172,原始分!$D:$N,5,0)</f>
        <v>109.75</v>
      </c>
      <c r="K172" s="174">
        <f t="shared" si="31"/>
        <v>181</v>
      </c>
      <c r="L172" s="174">
        <f>VLOOKUP(D172,原始分!$D:$N,6,0)</f>
        <v>38.5</v>
      </c>
      <c r="M172" s="174">
        <f t="shared" si="32"/>
        <v>528</v>
      </c>
      <c r="N172" s="174">
        <f>VLOOKUP(D172,原始分!$D:$N,7,0)</f>
        <v>0</v>
      </c>
      <c r="O172" s="174">
        <f t="shared" si="33"/>
        <v>207</v>
      </c>
      <c r="P172" s="174">
        <f>VLOOKUP(D172,原始分!$D:$N,8,0)</f>
        <v>45.5</v>
      </c>
      <c r="Q172" s="174">
        <f t="shared" si="34"/>
        <v>203</v>
      </c>
      <c r="R172" s="174">
        <f>VLOOKUP(D172,原始分!$D:$N,9,0)</f>
        <v>53</v>
      </c>
      <c r="S172" s="174">
        <f t="shared" si="35"/>
        <v>108</v>
      </c>
      <c r="T172" s="174">
        <f>VLOOKUP(D172,原始分!$D:$N,10,0)</f>
        <v>0</v>
      </c>
      <c r="U172" s="174">
        <f t="shared" si="36"/>
        <v>316</v>
      </c>
      <c r="V172" s="174">
        <f>VLOOKUP(D172,原始分!$D:$N,11,0)</f>
        <v>0</v>
      </c>
      <c r="W172" s="174">
        <f t="shared" si="37"/>
        <v>565</v>
      </c>
      <c r="X172" s="11">
        <f t="shared" si="38"/>
        <v>308.75</v>
      </c>
      <c r="Y172" s="9">
        <f t="shared" si="39"/>
        <v>279</v>
      </c>
      <c r="Z172" s="11">
        <f t="shared" si="40"/>
        <v>445.75</v>
      </c>
      <c r="AA172" s="9">
        <f t="shared" si="41"/>
        <v>302</v>
      </c>
    </row>
    <row r="173" ht="14.25" spans="1:27">
      <c r="A173" s="13">
        <v>171</v>
      </c>
      <c r="B173" s="15">
        <v>4</v>
      </c>
      <c r="C173" s="16">
        <v>12</v>
      </c>
      <c r="D173" s="17" t="s">
        <v>355</v>
      </c>
      <c r="E173" s="17" t="s">
        <v>356</v>
      </c>
      <c r="F173" s="174">
        <f>VLOOKUP(D173,原始分!$D:$N,3,0)</f>
        <v>101</v>
      </c>
      <c r="G173" s="174">
        <f t="shared" si="29"/>
        <v>338</v>
      </c>
      <c r="H173" s="174">
        <f>VLOOKUP(D173,原始分!$D:$N,4,0)</f>
        <v>109</v>
      </c>
      <c r="I173" s="174">
        <f t="shared" si="30"/>
        <v>241</v>
      </c>
      <c r="J173" s="174">
        <f>VLOOKUP(D173,原始分!$D:$N,5,0)</f>
        <v>97.5</v>
      </c>
      <c r="K173" s="174">
        <f t="shared" si="31"/>
        <v>436</v>
      </c>
      <c r="L173" s="174">
        <f>VLOOKUP(D173,原始分!$D:$N,6,0)</f>
        <v>44.5</v>
      </c>
      <c r="M173" s="174">
        <f t="shared" si="32"/>
        <v>432</v>
      </c>
      <c r="N173" s="174">
        <f>VLOOKUP(D173,原始分!$D:$N,7,0)</f>
        <v>0</v>
      </c>
      <c r="O173" s="174">
        <f t="shared" si="33"/>
        <v>207</v>
      </c>
      <c r="P173" s="174">
        <f>VLOOKUP(D173,原始分!$D:$N,8,0)</f>
        <v>45</v>
      </c>
      <c r="Q173" s="174">
        <f t="shared" si="34"/>
        <v>209</v>
      </c>
      <c r="R173" s="174">
        <f>VLOOKUP(D173,原始分!$D:$N,9,0)</f>
        <v>64.5</v>
      </c>
      <c r="S173" s="174">
        <f t="shared" si="35"/>
        <v>8</v>
      </c>
      <c r="T173" s="174">
        <f>VLOOKUP(D173,原始分!$D:$N,10,0)</f>
        <v>0</v>
      </c>
      <c r="U173" s="174">
        <f t="shared" si="36"/>
        <v>316</v>
      </c>
      <c r="V173" s="174">
        <f>VLOOKUP(D173,原始分!$D:$N,11,0)</f>
        <v>0</v>
      </c>
      <c r="W173" s="174">
        <f t="shared" si="37"/>
        <v>565</v>
      </c>
      <c r="X173" s="11">
        <f t="shared" si="38"/>
        <v>307.5</v>
      </c>
      <c r="Y173" s="9">
        <f t="shared" si="39"/>
        <v>292</v>
      </c>
      <c r="Z173" s="11">
        <f t="shared" si="40"/>
        <v>461.5</v>
      </c>
      <c r="AA173" s="9">
        <f t="shared" si="41"/>
        <v>214</v>
      </c>
    </row>
    <row r="174" ht="14.25" spans="1:27">
      <c r="A174" s="13">
        <v>172</v>
      </c>
      <c r="B174" s="15">
        <v>4</v>
      </c>
      <c r="C174" s="16">
        <v>13</v>
      </c>
      <c r="D174" s="17" t="s">
        <v>357</v>
      </c>
      <c r="E174" s="17" t="s">
        <v>358</v>
      </c>
      <c r="F174" s="174">
        <f>VLOOKUP(D174,原始分!$D:$N,3,0)</f>
        <v>105.5</v>
      </c>
      <c r="G174" s="174">
        <f t="shared" si="29"/>
        <v>156</v>
      </c>
      <c r="H174" s="174">
        <f>VLOOKUP(D174,原始分!$D:$N,4,0)</f>
        <v>121</v>
      </c>
      <c r="I174" s="174">
        <f t="shared" si="30"/>
        <v>57</v>
      </c>
      <c r="J174" s="174">
        <f>VLOOKUP(D174,原始分!$D:$N,5,0)</f>
        <v>110.75</v>
      </c>
      <c r="K174" s="174">
        <f t="shared" si="31"/>
        <v>165</v>
      </c>
      <c r="L174" s="174">
        <f>VLOOKUP(D174,原始分!$D:$N,6,0)</f>
        <v>49.5</v>
      </c>
      <c r="M174" s="174">
        <f t="shared" si="32"/>
        <v>341</v>
      </c>
      <c r="N174" s="174">
        <f>VLOOKUP(D174,原始分!$D:$N,7,0)</f>
        <v>0</v>
      </c>
      <c r="O174" s="174">
        <f t="shared" si="33"/>
        <v>207</v>
      </c>
      <c r="P174" s="174">
        <f>VLOOKUP(D174,原始分!$D:$N,8,0)</f>
        <v>37</v>
      </c>
      <c r="Q174" s="174">
        <f t="shared" si="34"/>
        <v>376</v>
      </c>
      <c r="R174" s="174">
        <f>VLOOKUP(D174,原始分!$D:$N,9,0)</f>
        <v>60</v>
      </c>
      <c r="S174" s="174">
        <f t="shared" si="35"/>
        <v>26</v>
      </c>
      <c r="T174" s="174">
        <f>VLOOKUP(D174,原始分!$D:$N,10,0)</f>
        <v>0</v>
      </c>
      <c r="U174" s="174">
        <f t="shared" si="36"/>
        <v>316</v>
      </c>
      <c r="V174" s="174">
        <f>VLOOKUP(D174,原始分!$D:$N,11,0)</f>
        <v>0</v>
      </c>
      <c r="W174" s="174">
        <f t="shared" si="37"/>
        <v>565</v>
      </c>
      <c r="X174" s="11">
        <f t="shared" si="38"/>
        <v>337.25</v>
      </c>
      <c r="Y174" s="9">
        <f t="shared" si="39"/>
        <v>49</v>
      </c>
      <c r="Z174" s="11">
        <f t="shared" si="40"/>
        <v>483.75</v>
      </c>
      <c r="AA174" s="9">
        <f t="shared" si="41"/>
        <v>116</v>
      </c>
    </row>
    <row r="175" ht="14.25" spans="1:27">
      <c r="A175" s="13">
        <v>173</v>
      </c>
      <c r="B175" s="15">
        <v>4</v>
      </c>
      <c r="C175" s="16">
        <v>14</v>
      </c>
      <c r="D175" s="17" t="s">
        <v>359</v>
      </c>
      <c r="E175" s="17" t="s">
        <v>360</v>
      </c>
      <c r="F175" s="174">
        <f>VLOOKUP(D175,原始分!$D:$N,3,0)</f>
        <v>106.5</v>
      </c>
      <c r="G175" s="174">
        <f t="shared" si="29"/>
        <v>132</v>
      </c>
      <c r="H175" s="174">
        <f>VLOOKUP(D175,原始分!$D:$N,4,0)</f>
        <v>106</v>
      </c>
      <c r="I175" s="174">
        <f t="shared" si="30"/>
        <v>297</v>
      </c>
      <c r="J175" s="174">
        <f>VLOOKUP(D175,原始分!$D:$N,5,0)</f>
        <v>109.5</v>
      </c>
      <c r="K175" s="174">
        <f t="shared" si="31"/>
        <v>184</v>
      </c>
      <c r="L175" s="174">
        <f>VLOOKUP(D175,原始分!$D:$N,6,0)</f>
        <v>43.5</v>
      </c>
      <c r="M175" s="174">
        <f t="shared" si="32"/>
        <v>452</v>
      </c>
      <c r="N175" s="174">
        <f>VLOOKUP(D175,原始分!$D:$N,7,0)</f>
        <v>0</v>
      </c>
      <c r="O175" s="174">
        <f t="shared" si="33"/>
        <v>207</v>
      </c>
      <c r="P175" s="174">
        <f>VLOOKUP(D175,原始分!$D:$N,8,0)</f>
        <v>37.5</v>
      </c>
      <c r="Q175" s="174">
        <f t="shared" si="34"/>
        <v>369</v>
      </c>
      <c r="R175" s="174">
        <f>VLOOKUP(D175,原始分!$D:$N,9,0)</f>
        <v>59.5</v>
      </c>
      <c r="S175" s="174">
        <f t="shared" si="35"/>
        <v>30</v>
      </c>
      <c r="T175" s="174">
        <f>VLOOKUP(D175,原始分!$D:$N,10,0)</f>
        <v>0</v>
      </c>
      <c r="U175" s="174">
        <f t="shared" si="36"/>
        <v>316</v>
      </c>
      <c r="V175" s="174">
        <f>VLOOKUP(D175,原始分!$D:$N,11,0)</f>
        <v>0</v>
      </c>
      <c r="W175" s="174">
        <f t="shared" si="37"/>
        <v>565</v>
      </c>
      <c r="X175" s="11">
        <f t="shared" si="38"/>
        <v>322</v>
      </c>
      <c r="Y175" s="9">
        <f t="shared" si="39"/>
        <v>143</v>
      </c>
      <c r="Z175" s="11">
        <f t="shared" si="40"/>
        <v>462.5</v>
      </c>
      <c r="AA175" s="9">
        <f t="shared" si="41"/>
        <v>211</v>
      </c>
    </row>
    <row r="176" ht="14.25" spans="1:27">
      <c r="A176" s="13">
        <v>174</v>
      </c>
      <c r="B176" s="15">
        <v>4</v>
      </c>
      <c r="C176" s="16">
        <v>15</v>
      </c>
      <c r="D176" s="17" t="s">
        <v>361</v>
      </c>
      <c r="E176" s="17" t="s">
        <v>362</v>
      </c>
      <c r="F176" s="174">
        <f>VLOOKUP(D176,原始分!$D:$N,3,0)</f>
        <v>98</v>
      </c>
      <c r="G176" s="174">
        <f t="shared" si="29"/>
        <v>500</v>
      </c>
      <c r="H176" s="174">
        <f>VLOOKUP(D176,原始分!$D:$N,4,0)</f>
        <v>94</v>
      </c>
      <c r="I176" s="174">
        <f t="shared" si="30"/>
        <v>538</v>
      </c>
      <c r="J176" s="174">
        <f>VLOOKUP(D176,原始分!$D:$N,5,0)</f>
        <v>94.5</v>
      </c>
      <c r="K176" s="174">
        <f t="shared" si="31"/>
        <v>497</v>
      </c>
      <c r="L176" s="174">
        <f>VLOOKUP(D176,原始分!$D:$N,6,0)</f>
        <v>52</v>
      </c>
      <c r="M176" s="174">
        <f t="shared" si="32"/>
        <v>310</v>
      </c>
      <c r="N176" s="174">
        <f>VLOOKUP(D176,原始分!$D:$N,7,0)</f>
        <v>0</v>
      </c>
      <c r="O176" s="174">
        <f t="shared" si="33"/>
        <v>207</v>
      </c>
      <c r="P176" s="174">
        <f>VLOOKUP(D176,原始分!$D:$N,8,0)</f>
        <v>33.5</v>
      </c>
      <c r="Q176" s="174">
        <f t="shared" si="34"/>
        <v>422</v>
      </c>
      <c r="R176" s="174">
        <f>VLOOKUP(D176,原始分!$D:$N,9,0)</f>
        <v>51.5</v>
      </c>
      <c r="S176" s="174">
        <f t="shared" si="35"/>
        <v>132</v>
      </c>
      <c r="T176" s="174">
        <f>VLOOKUP(D176,原始分!$D:$N,10,0)</f>
        <v>0</v>
      </c>
      <c r="U176" s="174">
        <f t="shared" si="36"/>
        <v>316</v>
      </c>
      <c r="V176" s="174">
        <f>VLOOKUP(D176,原始分!$D:$N,11,0)</f>
        <v>0</v>
      </c>
      <c r="W176" s="174">
        <f t="shared" si="37"/>
        <v>565</v>
      </c>
      <c r="X176" s="11">
        <f t="shared" si="38"/>
        <v>286.5</v>
      </c>
      <c r="Y176" s="9">
        <f t="shared" si="39"/>
        <v>527</v>
      </c>
      <c r="Z176" s="11">
        <f t="shared" si="40"/>
        <v>423.5</v>
      </c>
      <c r="AA176" s="9">
        <f t="shared" si="41"/>
        <v>410</v>
      </c>
    </row>
    <row r="177" ht="14.25" spans="1:27">
      <c r="A177" s="13">
        <v>175</v>
      </c>
      <c r="B177" s="15">
        <v>4</v>
      </c>
      <c r="C177" s="16">
        <v>16</v>
      </c>
      <c r="D177" s="17" t="s">
        <v>363</v>
      </c>
      <c r="E177" s="17" t="s">
        <v>364</v>
      </c>
      <c r="F177" s="174">
        <f>VLOOKUP(D177,原始分!$D:$N,3,0)</f>
        <v>97.75</v>
      </c>
      <c r="G177" s="174">
        <f t="shared" si="29"/>
        <v>530</v>
      </c>
      <c r="H177" s="174">
        <f>VLOOKUP(D177,原始分!$D:$N,4,0)</f>
        <v>103.5</v>
      </c>
      <c r="I177" s="174">
        <f t="shared" si="30"/>
        <v>354</v>
      </c>
      <c r="J177" s="174">
        <f>VLOOKUP(D177,原始分!$D:$N,5,0)</f>
        <v>94.5</v>
      </c>
      <c r="K177" s="174">
        <f t="shared" si="31"/>
        <v>497</v>
      </c>
      <c r="L177" s="174">
        <f>VLOOKUP(D177,原始分!$D:$N,6,0)</f>
        <v>57.5</v>
      </c>
      <c r="M177" s="174">
        <f t="shared" si="32"/>
        <v>228</v>
      </c>
      <c r="N177" s="174">
        <f>VLOOKUP(D177,原始分!$D:$N,7,0)</f>
        <v>0</v>
      </c>
      <c r="O177" s="174">
        <f t="shared" si="33"/>
        <v>207</v>
      </c>
      <c r="P177" s="174">
        <f>VLOOKUP(D177,原始分!$D:$N,8,0)</f>
        <v>47.5</v>
      </c>
      <c r="Q177" s="174">
        <f t="shared" si="34"/>
        <v>157</v>
      </c>
      <c r="R177" s="174">
        <f>VLOOKUP(D177,原始分!$D:$N,9,0)</f>
        <v>48.5</v>
      </c>
      <c r="S177" s="174">
        <f t="shared" si="35"/>
        <v>182</v>
      </c>
      <c r="T177" s="174">
        <f>VLOOKUP(D177,原始分!$D:$N,10,0)</f>
        <v>0</v>
      </c>
      <c r="U177" s="174">
        <f t="shared" si="36"/>
        <v>316</v>
      </c>
      <c r="V177" s="174">
        <f>VLOOKUP(D177,原始分!$D:$N,11,0)</f>
        <v>0</v>
      </c>
      <c r="W177" s="174">
        <f t="shared" si="37"/>
        <v>565</v>
      </c>
      <c r="X177" s="11">
        <f t="shared" si="38"/>
        <v>295.75</v>
      </c>
      <c r="Y177" s="9">
        <f t="shared" si="39"/>
        <v>421</v>
      </c>
      <c r="Z177" s="11">
        <f t="shared" si="40"/>
        <v>449.25</v>
      </c>
      <c r="AA177" s="9">
        <f t="shared" si="41"/>
        <v>285</v>
      </c>
    </row>
    <row r="178" ht="14.25" spans="1:27">
      <c r="A178" s="13">
        <v>176</v>
      </c>
      <c r="B178" s="15">
        <v>4</v>
      </c>
      <c r="C178" s="16">
        <v>17</v>
      </c>
      <c r="D178" s="17" t="s">
        <v>365</v>
      </c>
      <c r="E178" s="17" t="s">
        <v>366</v>
      </c>
      <c r="F178" s="174">
        <f>VLOOKUP(D178,原始分!$D:$N,3,0)</f>
        <v>89.5</v>
      </c>
      <c r="G178" s="174">
        <f t="shared" si="29"/>
        <v>789</v>
      </c>
      <c r="H178" s="174">
        <f>VLOOKUP(D178,原始分!$D:$N,4,0)</f>
        <v>118</v>
      </c>
      <c r="I178" s="174">
        <f t="shared" si="30"/>
        <v>91</v>
      </c>
      <c r="J178" s="174">
        <f>VLOOKUP(D178,原始分!$D:$N,5,0)</f>
        <v>98</v>
      </c>
      <c r="K178" s="174">
        <f t="shared" si="31"/>
        <v>425</v>
      </c>
      <c r="L178" s="174">
        <f>VLOOKUP(D178,原始分!$D:$N,6,0)</f>
        <v>52.5</v>
      </c>
      <c r="M178" s="174">
        <f t="shared" si="32"/>
        <v>307</v>
      </c>
      <c r="N178" s="174">
        <f>VLOOKUP(D178,原始分!$D:$N,7,0)</f>
        <v>0</v>
      </c>
      <c r="O178" s="174">
        <f t="shared" si="33"/>
        <v>207</v>
      </c>
      <c r="P178" s="174">
        <f>VLOOKUP(D178,原始分!$D:$N,8,0)</f>
        <v>45</v>
      </c>
      <c r="Q178" s="174">
        <f t="shared" si="34"/>
        <v>209</v>
      </c>
      <c r="R178" s="174">
        <f>VLOOKUP(D178,原始分!$D:$N,9,0)</f>
        <v>55.5</v>
      </c>
      <c r="S178" s="174">
        <f t="shared" si="35"/>
        <v>64</v>
      </c>
      <c r="T178" s="174">
        <f>VLOOKUP(D178,原始分!$D:$N,10,0)</f>
        <v>0</v>
      </c>
      <c r="U178" s="174">
        <f t="shared" si="36"/>
        <v>316</v>
      </c>
      <c r="V178" s="174">
        <f>VLOOKUP(D178,原始分!$D:$N,11,0)</f>
        <v>0</v>
      </c>
      <c r="W178" s="174">
        <f t="shared" si="37"/>
        <v>565</v>
      </c>
      <c r="X178" s="11">
        <f t="shared" si="38"/>
        <v>305.5</v>
      </c>
      <c r="Y178" s="9">
        <f t="shared" si="39"/>
        <v>314</v>
      </c>
      <c r="Z178" s="11">
        <f t="shared" si="40"/>
        <v>458.5</v>
      </c>
      <c r="AA178" s="9">
        <f t="shared" si="41"/>
        <v>232</v>
      </c>
    </row>
    <row r="179" ht="14.25" spans="1:27">
      <c r="A179" s="13">
        <v>177</v>
      </c>
      <c r="B179" s="15">
        <v>4</v>
      </c>
      <c r="C179" s="16">
        <v>18</v>
      </c>
      <c r="D179" s="17" t="s">
        <v>367</v>
      </c>
      <c r="E179" s="17" t="s">
        <v>368</v>
      </c>
      <c r="F179" s="174">
        <f>VLOOKUP(D179,原始分!$D:$N,3,0)</f>
        <v>98</v>
      </c>
      <c r="G179" s="174">
        <f t="shared" si="29"/>
        <v>500</v>
      </c>
      <c r="H179" s="174">
        <f>VLOOKUP(D179,原始分!$D:$N,4,0)</f>
        <v>86</v>
      </c>
      <c r="I179" s="174">
        <f t="shared" si="30"/>
        <v>692</v>
      </c>
      <c r="J179" s="174">
        <f>VLOOKUP(D179,原始分!$D:$N,5,0)</f>
        <v>99.5</v>
      </c>
      <c r="K179" s="174">
        <f t="shared" si="31"/>
        <v>383</v>
      </c>
      <c r="L179" s="174">
        <f>VLOOKUP(D179,原始分!$D:$N,6,0)</f>
        <v>56</v>
      </c>
      <c r="M179" s="174">
        <f t="shared" si="32"/>
        <v>252</v>
      </c>
      <c r="N179" s="174">
        <f>VLOOKUP(D179,原始分!$D:$N,7,0)</f>
        <v>0</v>
      </c>
      <c r="O179" s="174">
        <f t="shared" si="33"/>
        <v>207</v>
      </c>
      <c r="P179" s="174">
        <f>VLOOKUP(D179,原始分!$D:$N,8,0)</f>
        <v>50</v>
      </c>
      <c r="Q179" s="174">
        <f t="shared" si="34"/>
        <v>109</v>
      </c>
      <c r="R179" s="174">
        <f>VLOOKUP(D179,原始分!$D:$N,9,0)</f>
        <v>57</v>
      </c>
      <c r="S179" s="174">
        <f t="shared" si="35"/>
        <v>51</v>
      </c>
      <c r="T179" s="174">
        <f>VLOOKUP(D179,原始分!$D:$N,10,0)</f>
        <v>0</v>
      </c>
      <c r="U179" s="174">
        <f t="shared" si="36"/>
        <v>316</v>
      </c>
      <c r="V179" s="174">
        <f>VLOOKUP(D179,原始分!$D:$N,11,0)</f>
        <v>0</v>
      </c>
      <c r="W179" s="174">
        <f t="shared" si="37"/>
        <v>565</v>
      </c>
      <c r="X179" s="11">
        <f t="shared" si="38"/>
        <v>283.5</v>
      </c>
      <c r="Y179" s="9">
        <f t="shared" si="39"/>
        <v>555</v>
      </c>
      <c r="Z179" s="11">
        <f t="shared" si="40"/>
        <v>446.5</v>
      </c>
      <c r="AA179" s="9">
        <f t="shared" si="41"/>
        <v>297</v>
      </c>
    </row>
    <row r="180" ht="14.25" spans="1:27">
      <c r="A180" s="13">
        <v>178</v>
      </c>
      <c r="B180" s="15">
        <v>4</v>
      </c>
      <c r="C180" s="16">
        <v>19</v>
      </c>
      <c r="D180" s="17" t="s">
        <v>369</v>
      </c>
      <c r="E180" s="17" t="s">
        <v>370</v>
      </c>
      <c r="F180" s="174">
        <f>VLOOKUP(D180,原始分!$D:$N,3,0)</f>
        <v>95.75</v>
      </c>
      <c r="G180" s="174">
        <f t="shared" si="29"/>
        <v>591</v>
      </c>
      <c r="H180" s="174">
        <f>VLOOKUP(D180,原始分!$D:$N,4,0)</f>
        <v>110.5</v>
      </c>
      <c r="I180" s="174">
        <f t="shared" si="30"/>
        <v>211</v>
      </c>
      <c r="J180" s="174">
        <f>VLOOKUP(D180,原始分!$D:$N,5,0)</f>
        <v>107</v>
      </c>
      <c r="K180" s="174">
        <f t="shared" si="31"/>
        <v>228</v>
      </c>
      <c r="L180" s="174">
        <f>VLOOKUP(D180,原始分!$D:$N,6,0)</f>
        <v>60</v>
      </c>
      <c r="M180" s="174">
        <f t="shared" si="32"/>
        <v>187</v>
      </c>
      <c r="N180" s="174">
        <f>VLOOKUP(D180,原始分!$D:$N,7,0)</f>
        <v>0</v>
      </c>
      <c r="O180" s="174">
        <f t="shared" si="33"/>
        <v>207</v>
      </c>
      <c r="P180" s="174">
        <f>VLOOKUP(D180,原始分!$D:$N,8,0)</f>
        <v>54</v>
      </c>
      <c r="Q180" s="174">
        <f t="shared" si="34"/>
        <v>59</v>
      </c>
      <c r="R180" s="174">
        <f>VLOOKUP(D180,原始分!$D:$N,9,0)</f>
        <v>53.5</v>
      </c>
      <c r="S180" s="174">
        <f t="shared" si="35"/>
        <v>98</v>
      </c>
      <c r="T180" s="174">
        <f>VLOOKUP(D180,原始分!$D:$N,10,0)</f>
        <v>0</v>
      </c>
      <c r="U180" s="174">
        <f t="shared" si="36"/>
        <v>316</v>
      </c>
      <c r="V180" s="174">
        <f>VLOOKUP(D180,原始分!$D:$N,11,0)</f>
        <v>0</v>
      </c>
      <c r="W180" s="174">
        <f t="shared" si="37"/>
        <v>565</v>
      </c>
      <c r="X180" s="11">
        <f t="shared" si="38"/>
        <v>313.25</v>
      </c>
      <c r="Y180" s="9">
        <f t="shared" si="39"/>
        <v>226</v>
      </c>
      <c r="Z180" s="11">
        <f t="shared" si="40"/>
        <v>480.75</v>
      </c>
      <c r="AA180" s="9">
        <f t="shared" si="41"/>
        <v>130</v>
      </c>
    </row>
    <row r="181" ht="14.25" spans="1:27">
      <c r="A181" s="13">
        <v>179</v>
      </c>
      <c r="B181" s="15">
        <v>4</v>
      </c>
      <c r="C181" s="16">
        <v>20</v>
      </c>
      <c r="D181" s="17" t="s">
        <v>371</v>
      </c>
      <c r="E181" s="17" t="s">
        <v>372</v>
      </c>
      <c r="F181" s="174">
        <f>VLOOKUP(D181,原始分!$D:$N,3,0)</f>
        <v>104</v>
      </c>
      <c r="G181" s="174">
        <f t="shared" si="29"/>
        <v>209</v>
      </c>
      <c r="H181" s="174">
        <f>VLOOKUP(D181,原始分!$D:$N,4,0)</f>
        <v>101.5</v>
      </c>
      <c r="I181" s="174">
        <f t="shared" si="30"/>
        <v>391</v>
      </c>
      <c r="J181" s="174">
        <f>VLOOKUP(D181,原始分!$D:$N,5,0)</f>
        <v>96.75</v>
      </c>
      <c r="K181" s="174">
        <f t="shared" si="31"/>
        <v>449</v>
      </c>
      <c r="L181" s="174">
        <f>VLOOKUP(D181,原始分!$D:$N,6,0)</f>
        <v>44</v>
      </c>
      <c r="M181" s="174">
        <f t="shared" si="32"/>
        <v>441</v>
      </c>
      <c r="N181" s="174">
        <f>VLOOKUP(D181,原始分!$D:$N,7,0)</f>
        <v>0</v>
      </c>
      <c r="O181" s="174">
        <f t="shared" si="33"/>
        <v>207</v>
      </c>
      <c r="P181" s="174">
        <f>VLOOKUP(D181,原始分!$D:$N,8,0)</f>
        <v>40.5</v>
      </c>
      <c r="Q181" s="174">
        <f t="shared" si="34"/>
        <v>303</v>
      </c>
      <c r="R181" s="174">
        <f>VLOOKUP(D181,原始分!$D:$N,9,0)</f>
        <v>43.5</v>
      </c>
      <c r="S181" s="174">
        <f t="shared" si="35"/>
        <v>264</v>
      </c>
      <c r="T181" s="174">
        <f>VLOOKUP(D181,原始分!$D:$N,10,0)</f>
        <v>0</v>
      </c>
      <c r="U181" s="174">
        <f t="shared" si="36"/>
        <v>316</v>
      </c>
      <c r="V181" s="174">
        <f>VLOOKUP(D181,原始分!$D:$N,11,0)</f>
        <v>0</v>
      </c>
      <c r="W181" s="174">
        <f t="shared" si="37"/>
        <v>565</v>
      </c>
      <c r="X181" s="11">
        <f t="shared" si="38"/>
        <v>302.25</v>
      </c>
      <c r="Y181" s="9">
        <f t="shared" si="39"/>
        <v>346</v>
      </c>
      <c r="Z181" s="11">
        <f t="shared" si="40"/>
        <v>430.25</v>
      </c>
      <c r="AA181" s="9">
        <f t="shared" si="41"/>
        <v>380</v>
      </c>
    </row>
    <row r="182" ht="14.25" spans="1:27">
      <c r="A182" s="13">
        <v>180</v>
      </c>
      <c r="B182" s="15">
        <v>4</v>
      </c>
      <c r="C182" s="16">
        <v>21</v>
      </c>
      <c r="D182" s="17" t="s">
        <v>373</v>
      </c>
      <c r="E182" s="17" t="s">
        <v>374</v>
      </c>
      <c r="F182" s="174">
        <f>VLOOKUP(D182,原始分!$D:$N,3,0)</f>
        <v>100.5</v>
      </c>
      <c r="G182" s="174">
        <f t="shared" si="29"/>
        <v>370</v>
      </c>
      <c r="H182" s="174">
        <f>VLOOKUP(D182,原始分!$D:$N,4,0)</f>
        <v>111.5</v>
      </c>
      <c r="I182" s="174">
        <f t="shared" si="30"/>
        <v>191</v>
      </c>
      <c r="J182" s="174">
        <f>VLOOKUP(D182,原始分!$D:$N,5,0)</f>
        <v>91</v>
      </c>
      <c r="K182" s="174">
        <f t="shared" si="31"/>
        <v>572</v>
      </c>
      <c r="L182" s="174">
        <f>VLOOKUP(D182,原始分!$D:$N,6,0)</f>
        <v>47</v>
      </c>
      <c r="M182" s="174">
        <f t="shared" si="32"/>
        <v>391</v>
      </c>
      <c r="N182" s="174">
        <f>VLOOKUP(D182,原始分!$D:$N,7,0)</f>
        <v>0</v>
      </c>
      <c r="O182" s="174">
        <f t="shared" si="33"/>
        <v>207</v>
      </c>
      <c r="P182" s="174">
        <f>VLOOKUP(D182,原始分!$D:$N,8,0)</f>
        <v>39.5</v>
      </c>
      <c r="Q182" s="174">
        <f t="shared" si="34"/>
        <v>335</v>
      </c>
      <c r="R182" s="174">
        <f>VLOOKUP(D182,原始分!$D:$N,9,0)</f>
        <v>40.5</v>
      </c>
      <c r="S182" s="174">
        <f t="shared" si="35"/>
        <v>289</v>
      </c>
      <c r="T182" s="174">
        <f>VLOOKUP(D182,原始分!$D:$N,10,0)</f>
        <v>0</v>
      </c>
      <c r="U182" s="174">
        <f t="shared" si="36"/>
        <v>316</v>
      </c>
      <c r="V182" s="174">
        <f>VLOOKUP(D182,原始分!$D:$N,11,0)</f>
        <v>0</v>
      </c>
      <c r="W182" s="174">
        <f t="shared" si="37"/>
        <v>565</v>
      </c>
      <c r="X182" s="11">
        <f t="shared" si="38"/>
        <v>303</v>
      </c>
      <c r="Y182" s="9">
        <f t="shared" si="39"/>
        <v>335</v>
      </c>
      <c r="Z182" s="11">
        <f t="shared" si="40"/>
        <v>430</v>
      </c>
      <c r="AA182" s="9">
        <f t="shared" si="41"/>
        <v>381</v>
      </c>
    </row>
    <row r="183" ht="14.25" spans="1:27">
      <c r="A183" s="13">
        <v>181</v>
      </c>
      <c r="B183" s="15">
        <v>4</v>
      </c>
      <c r="C183" s="16">
        <v>22</v>
      </c>
      <c r="D183" s="17" t="s">
        <v>375</v>
      </c>
      <c r="E183" s="17" t="s">
        <v>376</v>
      </c>
      <c r="F183" s="174">
        <f>VLOOKUP(D183,原始分!$D:$N,3,0)</f>
        <v>107</v>
      </c>
      <c r="G183" s="174">
        <f t="shared" si="29"/>
        <v>113</v>
      </c>
      <c r="H183" s="174">
        <f>VLOOKUP(D183,原始分!$D:$N,4,0)</f>
        <v>114.5</v>
      </c>
      <c r="I183" s="174">
        <f t="shared" si="30"/>
        <v>136</v>
      </c>
      <c r="J183" s="174">
        <f>VLOOKUP(D183,原始分!$D:$N,5,0)</f>
        <v>108</v>
      </c>
      <c r="K183" s="174">
        <f t="shared" si="31"/>
        <v>206</v>
      </c>
      <c r="L183" s="174">
        <f>VLOOKUP(D183,原始分!$D:$N,6,0)</f>
        <v>56.5</v>
      </c>
      <c r="M183" s="174">
        <f t="shared" si="32"/>
        <v>244</v>
      </c>
      <c r="N183" s="174">
        <f>VLOOKUP(D183,原始分!$D:$N,7,0)</f>
        <v>0</v>
      </c>
      <c r="O183" s="174">
        <f t="shared" si="33"/>
        <v>207</v>
      </c>
      <c r="P183" s="174">
        <f>VLOOKUP(D183,原始分!$D:$N,8,0)</f>
        <v>39</v>
      </c>
      <c r="Q183" s="174">
        <f t="shared" si="34"/>
        <v>348</v>
      </c>
      <c r="R183" s="174">
        <f>VLOOKUP(D183,原始分!$D:$N,9,0)</f>
        <v>52.5</v>
      </c>
      <c r="S183" s="174">
        <f t="shared" si="35"/>
        <v>118</v>
      </c>
      <c r="T183" s="174">
        <f>VLOOKUP(D183,原始分!$D:$N,10,0)</f>
        <v>0</v>
      </c>
      <c r="U183" s="174">
        <f t="shared" si="36"/>
        <v>316</v>
      </c>
      <c r="V183" s="174">
        <f>VLOOKUP(D183,原始分!$D:$N,11,0)</f>
        <v>0</v>
      </c>
      <c r="W183" s="174">
        <f t="shared" si="37"/>
        <v>565</v>
      </c>
      <c r="X183" s="11">
        <f t="shared" si="38"/>
        <v>329.5</v>
      </c>
      <c r="Y183" s="9">
        <f t="shared" si="39"/>
        <v>93</v>
      </c>
      <c r="Z183" s="11">
        <f t="shared" si="40"/>
        <v>477.5</v>
      </c>
      <c r="AA183" s="9">
        <f t="shared" si="41"/>
        <v>143</v>
      </c>
    </row>
    <row r="184" ht="14.25" spans="1:27">
      <c r="A184" s="13">
        <v>182</v>
      </c>
      <c r="B184" s="15">
        <v>4</v>
      </c>
      <c r="C184" s="16">
        <v>23</v>
      </c>
      <c r="D184" s="17" t="s">
        <v>377</v>
      </c>
      <c r="E184" s="17" t="s">
        <v>378</v>
      </c>
      <c r="F184" s="174">
        <f>VLOOKUP(D184,原始分!$D:$N,3,0)</f>
        <v>104.5</v>
      </c>
      <c r="G184" s="174">
        <f t="shared" si="29"/>
        <v>190</v>
      </c>
      <c r="H184" s="174">
        <f>VLOOKUP(D184,原始分!$D:$N,4,0)</f>
        <v>122.5</v>
      </c>
      <c r="I184" s="174">
        <f t="shared" si="30"/>
        <v>50</v>
      </c>
      <c r="J184" s="174">
        <f>VLOOKUP(D184,原始分!$D:$N,5,0)</f>
        <v>98.5</v>
      </c>
      <c r="K184" s="174">
        <f t="shared" si="31"/>
        <v>412</v>
      </c>
      <c r="L184" s="174">
        <f>VLOOKUP(D184,原始分!$D:$N,6,0)</f>
        <v>49.5</v>
      </c>
      <c r="M184" s="174">
        <f t="shared" si="32"/>
        <v>341</v>
      </c>
      <c r="N184" s="174">
        <f>VLOOKUP(D184,原始分!$D:$N,7,0)</f>
        <v>0</v>
      </c>
      <c r="O184" s="174">
        <f t="shared" si="33"/>
        <v>207</v>
      </c>
      <c r="P184" s="174">
        <f>VLOOKUP(D184,原始分!$D:$N,8,0)</f>
        <v>35</v>
      </c>
      <c r="Q184" s="174">
        <f t="shared" si="34"/>
        <v>403</v>
      </c>
      <c r="R184" s="174">
        <f>VLOOKUP(D184,原始分!$D:$N,9,0)</f>
        <v>48</v>
      </c>
      <c r="S184" s="174">
        <f t="shared" si="35"/>
        <v>193</v>
      </c>
      <c r="T184" s="174">
        <f>VLOOKUP(D184,原始分!$D:$N,10,0)</f>
        <v>0</v>
      </c>
      <c r="U184" s="174">
        <f t="shared" si="36"/>
        <v>316</v>
      </c>
      <c r="V184" s="174">
        <f>VLOOKUP(D184,原始分!$D:$N,11,0)</f>
        <v>0</v>
      </c>
      <c r="W184" s="174">
        <f t="shared" si="37"/>
        <v>565</v>
      </c>
      <c r="X184" s="11">
        <f t="shared" si="38"/>
        <v>325.5</v>
      </c>
      <c r="Y184" s="9">
        <f t="shared" si="39"/>
        <v>116</v>
      </c>
      <c r="Z184" s="11">
        <f t="shared" si="40"/>
        <v>458</v>
      </c>
      <c r="AA184" s="9">
        <f t="shared" si="41"/>
        <v>235</v>
      </c>
    </row>
    <row r="185" ht="14.25" spans="1:27">
      <c r="A185" s="13">
        <v>183</v>
      </c>
      <c r="B185" s="15">
        <v>4</v>
      </c>
      <c r="C185" s="16">
        <v>24</v>
      </c>
      <c r="D185" s="17" t="s">
        <v>379</v>
      </c>
      <c r="E185" s="17" t="s">
        <v>380</v>
      </c>
      <c r="F185" s="174">
        <f>VLOOKUP(D185,原始分!$D:$N,3,0)</f>
        <v>89.25</v>
      </c>
      <c r="G185" s="174">
        <f t="shared" si="29"/>
        <v>795</v>
      </c>
      <c r="H185" s="174">
        <f>VLOOKUP(D185,原始分!$D:$N,4,0)</f>
        <v>106.5</v>
      </c>
      <c r="I185" s="174">
        <f t="shared" si="30"/>
        <v>286</v>
      </c>
      <c r="J185" s="174">
        <f>VLOOKUP(D185,原始分!$D:$N,5,0)</f>
        <v>99.25</v>
      </c>
      <c r="K185" s="174">
        <f t="shared" si="31"/>
        <v>391</v>
      </c>
      <c r="L185" s="174">
        <f>VLOOKUP(D185,原始分!$D:$N,6,0)</f>
        <v>71</v>
      </c>
      <c r="M185" s="174">
        <f t="shared" si="32"/>
        <v>61</v>
      </c>
      <c r="N185" s="174">
        <f>VLOOKUP(D185,原始分!$D:$N,7,0)</f>
        <v>0</v>
      </c>
      <c r="O185" s="174">
        <f t="shared" si="33"/>
        <v>207</v>
      </c>
      <c r="P185" s="174">
        <f>VLOOKUP(D185,原始分!$D:$N,8,0)</f>
        <v>21</v>
      </c>
      <c r="Q185" s="174">
        <f t="shared" si="34"/>
        <v>530</v>
      </c>
      <c r="R185" s="174">
        <f>VLOOKUP(D185,原始分!$D:$N,9,0)</f>
        <v>51.75</v>
      </c>
      <c r="S185" s="174">
        <f t="shared" si="35"/>
        <v>130</v>
      </c>
      <c r="T185" s="174">
        <f>VLOOKUP(D185,原始分!$D:$N,10,0)</f>
        <v>0</v>
      </c>
      <c r="U185" s="174">
        <f t="shared" si="36"/>
        <v>316</v>
      </c>
      <c r="V185" s="174">
        <f>VLOOKUP(D185,原始分!$D:$N,11,0)</f>
        <v>0</v>
      </c>
      <c r="W185" s="174">
        <f t="shared" si="37"/>
        <v>565</v>
      </c>
      <c r="X185" s="11">
        <f t="shared" si="38"/>
        <v>295</v>
      </c>
      <c r="Y185" s="9">
        <f t="shared" si="39"/>
        <v>427</v>
      </c>
      <c r="Z185" s="11">
        <f t="shared" si="40"/>
        <v>438.75</v>
      </c>
      <c r="AA185" s="9">
        <f t="shared" si="41"/>
        <v>338</v>
      </c>
    </row>
    <row r="186" ht="14.25" spans="1:27">
      <c r="A186" s="13">
        <v>184</v>
      </c>
      <c r="B186" s="15">
        <v>4</v>
      </c>
      <c r="C186" s="16">
        <v>25</v>
      </c>
      <c r="D186" s="17" t="s">
        <v>381</v>
      </c>
      <c r="E186" s="17" t="s">
        <v>382</v>
      </c>
      <c r="F186" s="174">
        <f>VLOOKUP(D186,原始分!$D:$N,3,0)</f>
        <v>96.5</v>
      </c>
      <c r="G186" s="174">
        <f t="shared" si="29"/>
        <v>566</v>
      </c>
      <c r="H186" s="174">
        <f>VLOOKUP(D186,原始分!$D:$N,4,0)</f>
        <v>111.5</v>
      </c>
      <c r="I186" s="174">
        <f t="shared" si="30"/>
        <v>191</v>
      </c>
      <c r="J186" s="174">
        <f>VLOOKUP(D186,原始分!$D:$N,5,0)</f>
        <v>102.75</v>
      </c>
      <c r="K186" s="174">
        <f t="shared" si="31"/>
        <v>313</v>
      </c>
      <c r="L186" s="174">
        <f>VLOOKUP(D186,原始分!$D:$N,6,0)</f>
        <v>58</v>
      </c>
      <c r="M186" s="174">
        <f t="shared" si="32"/>
        <v>220</v>
      </c>
      <c r="N186" s="174">
        <f>VLOOKUP(D186,原始分!$D:$N,7,0)</f>
        <v>0</v>
      </c>
      <c r="O186" s="174">
        <f t="shared" si="33"/>
        <v>207</v>
      </c>
      <c r="P186" s="174">
        <f>VLOOKUP(D186,原始分!$D:$N,8,0)</f>
        <v>64.5</v>
      </c>
      <c r="Q186" s="174">
        <f t="shared" si="34"/>
        <v>10</v>
      </c>
      <c r="R186" s="174">
        <f>VLOOKUP(D186,原始分!$D:$N,9,0)</f>
        <v>57.5</v>
      </c>
      <c r="S186" s="174">
        <f t="shared" si="35"/>
        <v>45</v>
      </c>
      <c r="T186" s="174">
        <f>VLOOKUP(D186,原始分!$D:$N,10,0)</f>
        <v>0</v>
      </c>
      <c r="U186" s="174">
        <f t="shared" si="36"/>
        <v>316</v>
      </c>
      <c r="V186" s="174">
        <f>VLOOKUP(D186,原始分!$D:$N,11,0)</f>
        <v>0</v>
      </c>
      <c r="W186" s="174">
        <f t="shared" si="37"/>
        <v>565</v>
      </c>
      <c r="X186" s="11">
        <f t="shared" si="38"/>
        <v>310.75</v>
      </c>
      <c r="Y186" s="9">
        <f t="shared" si="39"/>
        <v>252</v>
      </c>
      <c r="Z186" s="11">
        <f t="shared" si="40"/>
        <v>490.75</v>
      </c>
      <c r="AA186" s="9">
        <f t="shared" si="41"/>
        <v>102</v>
      </c>
    </row>
    <row r="187" ht="14.25" spans="1:27">
      <c r="A187" s="13">
        <v>185</v>
      </c>
      <c r="B187" s="15">
        <v>4</v>
      </c>
      <c r="C187" s="16">
        <v>26</v>
      </c>
      <c r="D187" s="17" t="s">
        <v>383</v>
      </c>
      <c r="E187" s="17" t="s">
        <v>384</v>
      </c>
      <c r="F187" s="174">
        <f>VLOOKUP(D187,原始分!$D:$N,3,0)</f>
        <v>116</v>
      </c>
      <c r="G187" s="174">
        <f t="shared" si="29"/>
        <v>5</v>
      </c>
      <c r="H187" s="174">
        <f>VLOOKUP(D187,原始分!$D:$N,4,0)</f>
        <v>114.5</v>
      </c>
      <c r="I187" s="174">
        <f t="shared" si="30"/>
        <v>136</v>
      </c>
      <c r="J187" s="174">
        <f>VLOOKUP(D187,原始分!$D:$N,5,0)</f>
        <v>106</v>
      </c>
      <c r="K187" s="174">
        <f t="shared" si="31"/>
        <v>245</v>
      </c>
      <c r="L187" s="174">
        <f>VLOOKUP(D187,原始分!$D:$N,6,0)</f>
        <v>65.5</v>
      </c>
      <c r="M187" s="174">
        <f t="shared" si="32"/>
        <v>105</v>
      </c>
      <c r="N187" s="174">
        <f>VLOOKUP(D187,原始分!$D:$N,7,0)</f>
        <v>0</v>
      </c>
      <c r="O187" s="174">
        <f t="shared" si="33"/>
        <v>207</v>
      </c>
      <c r="P187" s="174">
        <f>VLOOKUP(D187,原始分!$D:$N,8,0)</f>
        <v>39.5</v>
      </c>
      <c r="Q187" s="174">
        <f t="shared" si="34"/>
        <v>335</v>
      </c>
      <c r="R187" s="174">
        <f>VLOOKUP(D187,原始分!$D:$N,9,0)</f>
        <v>58.5</v>
      </c>
      <c r="S187" s="174">
        <f t="shared" si="35"/>
        <v>36</v>
      </c>
      <c r="T187" s="174">
        <f>VLOOKUP(D187,原始分!$D:$N,10,0)</f>
        <v>0</v>
      </c>
      <c r="U187" s="174">
        <f t="shared" si="36"/>
        <v>316</v>
      </c>
      <c r="V187" s="174">
        <f>VLOOKUP(D187,原始分!$D:$N,11,0)</f>
        <v>0</v>
      </c>
      <c r="W187" s="174">
        <f t="shared" si="37"/>
        <v>565</v>
      </c>
      <c r="X187" s="11">
        <f t="shared" si="38"/>
        <v>336.5</v>
      </c>
      <c r="Y187" s="9">
        <f t="shared" si="39"/>
        <v>57</v>
      </c>
      <c r="Z187" s="11">
        <f t="shared" si="40"/>
        <v>500</v>
      </c>
      <c r="AA187" s="9">
        <f t="shared" si="41"/>
        <v>77</v>
      </c>
    </row>
    <row r="188" ht="14.25" spans="1:27">
      <c r="A188" s="13">
        <v>186</v>
      </c>
      <c r="B188" s="15">
        <v>4</v>
      </c>
      <c r="C188" s="16">
        <v>27</v>
      </c>
      <c r="D188" s="17" t="s">
        <v>385</v>
      </c>
      <c r="E188" s="17" t="s">
        <v>386</v>
      </c>
      <c r="F188" s="174">
        <f>VLOOKUP(D188,原始分!$D:$N,3,0)</f>
        <v>106.5</v>
      </c>
      <c r="G188" s="174">
        <f t="shared" si="29"/>
        <v>132</v>
      </c>
      <c r="H188" s="174">
        <f>VLOOKUP(D188,原始分!$D:$N,4,0)</f>
        <v>108</v>
      </c>
      <c r="I188" s="174">
        <f t="shared" si="30"/>
        <v>257</v>
      </c>
      <c r="J188" s="174">
        <f>VLOOKUP(D188,原始分!$D:$N,5,0)</f>
        <v>108.75</v>
      </c>
      <c r="K188" s="174">
        <f t="shared" si="31"/>
        <v>198</v>
      </c>
      <c r="L188" s="174">
        <f>VLOOKUP(D188,原始分!$D:$N,6,0)</f>
        <v>59.5</v>
      </c>
      <c r="M188" s="174">
        <f t="shared" si="32"/>
        <v>195</v>
      </c>
      <c r="N188" s="174">
        <f>VLOOKUP(D188,原始分!$D:$N,7,0)</f>
        <v>0</v>
      </c>
      <c r="O188" s="174">
        <f t="shared" si="33"/>
        <v>207</v>
      </c>
      <c r="P188" s="174">
        <f>VLOOKUP(D188,原始分!$D:$N,8,0)</f>
        <v>45</v>
      </c>
      <c r="Q188" s="174">
        <f t="shared" si="34"/>
        <v>209</v>
      </c>
      <c r="R188" s="174">
        <f>VLOOKUP(D188,原始分!$D:$N,9,0)</f>
        <v>53.25</v>
      </c>
      <c r="S188" s="174">
        <f t="shared" si="35"/>
        <v>107</v>
      </c>
      <c r="T188" s="174">
        <f>VLOOKUP(D188,原始分!$D:$N,10,0)</f>
        <v>0</v>
      </c>
      <c r="U188" s="174">
        <f t="shared" si="36"/>
        <v>316</v>
      </c>
      <c r="V188" s="174">
        <f>VLOOKUP(D188,原始分!$D:$N,11,0)</f>
        <v>0</v>
      </c>
      <c r="W188" s="174">
        <f t="shared" si="37"/>
        <v>565</v>
      </c>
      <c r="X188" s="11">
        <f t="shared" si="38"/>
        <v>323.25</v>
      </c>
      <c r="Y188" s="9">
        <f t="shared" si="39"/>
        <v>136</v>
      </c>
      <c r="Z188" s="11">
        <f t="shared" si="40"/>
        <v>481</v>
      </c>
      <c r="AA188" s="9">
        <f t="shared" si="41"/>
        <v>129</v>
      </c>
    </row>
    <row r="189" ht="14.25" spans="1:27">
      <c r="A189" s="13">
        <v>187</v>
      </c>
      <c r="B189" s="15">
        <v>4</v>
      </c>
      <c r="C189" s="16">
        <v>29</v>
      </c>
      <c r="D189" s="17" t="s">
        <v>387</v>
      </c>
      <c r="E189" s="17" t="s">
        <v>388</v>
      </c>
      <c r="F189" s="174">
        <f>VLOOKUP(D189,原始分!$D:$N,3,0)</f>
        <v>99</v>
      </c>
      <c r="G189" s="174">
        <f t="shared" si="29"/>
        <v>442</v>
      </c>
      <c r="H189" s="174">
        <f>VLOOKUP(D189,原始分!$D:$N,4,0)</f>
        <v>106</v>
      </c>
      <c r="I189" s="174">
        <f t="shared" si="30"/>
        <v>297</v>
      </c>
      <c r="J189" s="174">
        <f>VLOOKUP(D189,原始分!$D:$N,5,0)</f>
        <v>69.5</v>
      </c>
      <c r="K189" s="174">
        <f t="shared" si="31"/>
        <v>830</v>
      </c>
      <c r="L189" s="174">
        <f>VLOOKUP(D189,原始分!$D:$N,6,0)</f>
        <v>51</v>
      </c>
      <c r="M189" s="174">
        <f t="shared" si="32"/>
        <v>320</v>
      </c>
      <c r="N189" s="174">
        <f>VLOOKUP(D189,原始分!$D:$N,7,0)</f>
        <v>0</v>
      </c>
      <c r="O189" s="174">
        <f t="shared" si="33"/>
        <v>207</v>
      </c>
      <c r="P189" s="174">
        <f>VLOOKUP(D189,原始分!$D:$N,8,0)</f>
        <v>35.5</v>
      </c>
      <c r="Q189" s="174">
        <f t="shared" si="34"/>
        <v>397</v>
      </c>
      <c r="R189" s="174">
        <f>VLOOKUP(D189,原始分!$D:$N,9,0)</f>
        <v>55.5</v>
      </c>
      <c r="S189" s="174">
        <f t="shared" si="35"/>
        <v>64</v>
      </c>
      <c r="T189" s="174">
        <f>VLOOKUP(D189,原始分!$D:$N,10,0)</f>
        <v>0</v>
      </c>
      <c r="U189" s="174">
        <f t="shared" si="36"/>
        <v>316</v>
      </c>
      <c r="V189" s="174">
        <f>VLOOKUP(D189,原始分!$D:$N,11,0)</f>
        <v>0</v>
      </c>
      <c r="W189" s="174">
        <f t="shared" si="37"/>
        <v>565</v>
      </c>
      <c r="X189" s="11">
        <f t="shared" si="38"/>
        <v>274.5</v>
      </c>
      <c r="Y189" s="9">
        <f t="shared" si="39"/>
        <v>661</v>
      </c>
      <c r="Z189" s="11">
        <f t="shared" si="40"/>
        <v>416.5</v>
      </c>
      <c r="AA189" s="9">
        <f t="shared" si="41"/>
        <v>441</v>
      </c>
    </row>
    <row r="190" ht="14.25" spans="1:27">
      <c r="A190" s="13">
        <v>188</v>
      </c>
      <c r="B190" s="15">
        <v>4</v>
      </c>
      <c r="C190" s="16">
        <v>30</v>
      </c>
      <c r="D190" s="17" t="s">
        <v>389</v>
      </c>
      <c r="E190" s="17" t="s">
        <v>390</v>
      </c>
      <c r="F190" s="174">
        <f>VLOOKUP(D190,原始分!$D:$N,3,0)</f>
        <v>100.5</v>
      </c>
      <c r="G190" s="174">
        <f t="shared" si="29"/>
        <v>370</v>
      </c>
      <c r="H190" s="174">
        <f>VLOOKUP(D190,原始分!$D:$N,4,0)</f>
        <v>108</v>
      </c>
      <c r="I190" s="174">
        <f t="shared" si="30"/>
        <v>257</v>
      </c>
      <c r="J190" s="174">
        <f>VLOOKUP(D190,原始分!$D:$N,5,0)</f>
        <v>100.25</v>
      </c>
      <c r="K190" s="174">
        <f t="shared" si="31"/>
        <v>364</v>
      </c>
      <c r="L190" s="174">
        <f>VLOOKUP(D190,原始分!$D:$N,6,0)</f>
        <v>44.5</v>
      </c>
      <c r="M190" s="174">
        <f t="shared" si="32"/>
        <v>432</v>
      </c>
      <c r="N190" s="174">
        <f>VLOOKUP(D190,原始分!$D:$N,7,0)</f>
        <v>0</v>
      </c>
      <c r="O190" s="174">
        <f t="shared" si="33"/>
        <v>207</v>
      </c>
      <c r="P190" s="174">
        <f>VLOOKUP(D190,原始分!$D:$N,8,0)</f>
        <v>45.5</v>
      </c>
      <c r="Q190" s="174">
        <f t="shared" si="34"/>
        <v>203</v>
      </c>
      <c r="R190" s="174">
        <f>VLOOKUP(D190,原始分!$D:$N,9,0)</f>
        <v>52</v>
      </c>
      <c r="S190" s="174">
        <f t="shared" si="35"/>
        <v>121</v>
      </c>
      <c r="T190" s="174">
        <f>VLOOKUP(D190,原始分!$D:$N,10,0)</f>
        <v>0</v>
      </c>
      <c r="U190" s="174">
        <f t="shared" si="36"/>
        <v>316</v>
      </c>
      <c r="V190" s="174">
        <f>VLOOKUP(D190,原始分!$D:$N,11,0)</f>
        <v>0</v>
      </c>
      <c r="W190" s="174">
        <f t="shared" si="37"/>
        <v>565</v>
      </c>
      <c r="X190" s="11">
        <f t="shared" si="38"/>
        <v>308.75</v>
      </c>
      <c r="Y190" s="9">
        <f t="shared" si="39"/>
        <v>279</v>
      </c>
      <c r="Z190" s="11">
        <f t="shared" si="40"/>
        <v>450.75</v>
      </c>
      <c r="AA190" s="9">
        <f t="shared" si="41"/>
        <v>272</v>
      </c>
    </row>
    <row r="191" ht="14.25" spans="1:27">
      <c r="A191" s="13">
        <v>189</v>
      </c>
      <c r="B191" s="15">
        <v>4</v>
      </c>
      <c r="C191" s="16">
        <v>31</v>
      </c>
      <c r="D191" s="17" t="s">
        <v>391</v>
      </c>
      <c r="E191" s="17" t="s">
        <v>392</v>
      </c>
      <c r="F191" s="174">
        <f>VLOOKUP(D191,原始分!$D:$N,3,0)</f>
        <v>91</v>
      </c>
      <c r="G191" s="174">
        <f t="shared" si="29"/>
        <v>749</v>
      </c>
      <c r="H191" s="174">
        <f>VLOOKUP(D191,原始分!$D:$N,4,0)</f>
        <v>106</v>
      </c>
      <c r="I191" s="174">
        <f t="shared" si="30"/>
        <v>297</v>
      </c>
      <c r="J191" s="174">
        <f>VLOOKUP(D191,原始分!$D:$N,5,0)</f>
        <v>100.75</v>
      </c>
      <c r="K191" s="174">
        <f t="shared" si="31"/>
        <v>354</v>
      </c>
      <c r="L191" s="174">
        <f>VLOOKUP(D191,原始分!$D:$N,6,0)</f>
        <v>32</v>
      </c>
      <c r="M191" s="174">
        <f t="shared" si="32"/>
        <v>603</v>
      </c>
      <c r="N191" s="174">
        <f>VLOOKUP(D191,原始分!$D:$N,7,0)</f>
        <v>0</v>
      </c>
      <c r="O191" s="174">
        <f t="shared" si="33"/>
        <v>207</v>
      </c>
      <c r="P191" s="174">
        <f>VLOOKUP(D191,原始分!$D:$N,8,0)</f>
        <v>39.5</v>
      </c>
      <c r="Q191" s="174">
        <f t="shared" si="34"/>
        <v>335</v>
      </c>
      <c r="R191" s="174">
        <f>VLOOKUP(D191,原始分!$D:$N,9,0)</f>
        <v>32</v>
      </c>
      <c r="S191" s="174">
        <f t="shared" si="35"/>
        <v>316</v>
      </c>
      <c r="T191" s="174">
        <f>VLOOKUP(D191,原始分!$D:$N,10,0)</f>
        <v>0</v>
      </c>
      <c r="U191" s="174">
        <f t="shared" si="36"/>
        <v>316</v>
      </c>
      <c r="V191" s="174">
        <f>VLOOKUP(D191,原始分!$D:$N,11,0)</f>
        <v>0</v>
      </c>
      <c r="W191" s="174">
        <f t="shared" si="37"/>
        <v>565</v>
      </c>
      <c r="X191" s="11">
        <f t="shared" si="38"/>
        <v>297.75</v>
      </c>
      <c r="Y191" s="9">
        <f t="shared" si="39"/>
        <v>402</v>
      </c>
      <c r="Z191" s="11">
        <f t="shared" si="40"/>
        <v>401.25</v>
      </c>
      <c r="AA191" s="9">
        <f t="shared" si="41"/>
        <v>517</v>
      </c>
    </row>
    <row r="192" ht="14.25" spans="1:27">
      <c r="A192" s="13">
        <v>190</v>
      </c>
      <c r="B192" s="15">
        <v>4</v>
      </c>
      <c r="C192" s="16">
        <v>32</v>
      </c>
      <c r="D192" s="17" t="s">
        <v>393</v>
      </c>
      <c r="E192" s="17" t="s">
        <v>394</v>
      </c>
      <c r="F192" s="174">
        <f>VLOOKUP(D192,原始分!$D:$N,3,0)</f>
        <v>85</v>
      </c>
      <c r="G192" s="174">
        <f t="shared" si="29"/>
        <v>837</v>
      </c>
      <c r="H192" s="174">
        <f>VLOOKUP(D192,原始分!$D:$N,4,0)</f>
        <v>91</v>
      </c>
      <c r="I192" s="174">
        <f t="shared" si="30"/>
        <v>592</v>
      </c>
      <c r="J192" s="174">
        <f>VLOOKUP(D192,原始分!$D:$N,5,0)</f>
        <v>99</v>
      </c>
      <c r="K192" s="174">
        <f t="shared" si="31"/>
        <v>400</v>
      </c>
      <c r="L192" s="174">
        <f>VLOOKUP(D192,原始分!$D:$N,6,0)</f>
        <v>30</v>
      </c>
      <c r="M192" s="174">
        <f t="shared" si="32"/>
        <v>611</v>
      </c>
      <c r="N192" s="174">
        <f>VLOOKUP(D192,原始分!$D:$N,7,0)</f>
        <v>0</v>
      </c>
      <c r="O192" s="174">
        <f t="shared" si="33"/>
        <v>207</v>
      </c>
      <c r="P192" s="174">
        <f>VLOOKUP(D192,原始分!$D:$N,8,0)</f>
        <v>28.5</v>
      </c>
      <c r="Q192" s="174">
        <f t="shared" si="34"/>
        <v>488</v>
      </c>
      <c r="R192" s="174">
        <f>VLOOKUP(D192,原始分!$D:$N,9,0)</f>
        <v>49</v>
      </c>
      <c r="S192" s="174">
        <f t="shared" si="35"/>
        <v>174</v>
      </c>
      <c r="T192" s="174">
        <f>VLOOKUP(D192,原始分!$D:$N,10,0)</f>
        <v>0</v>
      </c>
      <c r="U192" s="174">
        <f t="shared" si="36"/>
        <v>316</v>
      </c>
      <c r="V192" s="174">
        <f>VLOOKUP(D192,原始分!$D:$N,11,0)</f>
        <v>0</v>
      </c>
      <c r="W192" s="174">
        <f t="shared" si="37"/>
        <v>565</v>
      </c>
      <c r="X192" s="11">
        <f t="shared" si="38"/>
        <v>275</v>
      </c>
      <c r="Y192" s="9">
        <f t="shared" si="39"/>
        <v>655</v>
      </c>
      <c r="Z192" s="11">
        <f t="shared" si="40"/>
        <v>382.5</v>
      </c>
      <c r="AA192" s="9">
        <f t="shared" si="41"/>
        <v>570</v>
      </c>
    </row>
    <row r="193" ht="14.25" spans="1:27">
      <c r="A193" s="13">
        <v>191</v>
      </c>
      <c r="B193" s="15">
        <v>4</v>
      </c>
      <c r="C193" s="16">
        <v>33</v>
      </c>
      <c r="D193" s="17" t="s">
        <v>395</v>
      </c>
      <c r="E193" s="17" t="s">
        <v>396</v>
      </c>
      <c r="F193" s="174">
        <f>VLOOKUP(D193,原始分!$D:$N,3,0)</f>
        <v>95.5</v>
      </c>
      <c r="G193" s="174">
        <f t="shared" si="29"/>
        <v>595</v>
      </c>
      <c r="H193" s="174">
        <f>VLOOKUP(D193,原始分!$D:$N,4,0)</f>
        <v>103.5</v>
      </c>
      <c r="I193" s="174">
        <f t="shared" si="30"/>
        <v>354</v>
      </c>
      <c r="J193" s="174">
        <f>VLOOKUP(D193,原始分!$D:$N,5,0)</f>
        <v>98.75</v>
      </c>
      <c r="K193" s="174">
        <f t="shared" si="31"/>
        <v>407</v>
      </c>
      <c r="L193" s="174">
        <f>VLOOKUP(D193,原始分!$D:$N,6,0)</f>
        <v>46.5</v>
      </c>
      <c r="M193" s="174">
        <f t="shared" si="32"/>
        <v>404</v>
      </c>
      <c r="N193" s="174">
        <f>VLOOKUP(D193,原始分!$D:$N,7,0)</f>
        <v>0</v>
      </c>
      <c r="O193" s="174">
        <f t="shared" si="33"/>
        <v>207</v>
      </c>
      <c r="P193" s="174">
        <f>VLOOKUP(D193,原始分!$D:$N,8,0)</f>
        <v>34</v>
      </c>
      <c r="Q193" s="174">
        <f t="shared" si="34"/>
        <v>414</v>
      </c>
      <c r="R193" s="174">
        <f>VLOOKUP(D193,原始分!$D:$N,9,0)</f>
        <v>57</v>
      </c>
      <c r="S193" s="174">
        <f t="shared" si="35"/>
        <v>51</v>
      </c>
      <c r="T193" s="174">
        <f>VLOOKUP(D193,原始分!$D:$N,10,0)</f>
        <v>0</v>
      </c>
      <c r="U193" s="174">
        <f t="shared" si="36"/>
        <v>316</v>
      </c>
      <c r="V193" s="174">
        <f>VLOOKUP(D193,原始分!$D:$N,11,0)</f>
        <v>0</v>
      </c>
      <c r="W193" s="174">
        <f t="shared" si="37"/>
        <v>565</v>
      </c>
      <c r="X193" s="11">
        <f t="shared" si="38"/>
        <v>297.75</v>
      </c>
      <c r="Y193" s="9">
        <f t="shared" si="39"/>
        <v>402</v>
      </c>
      <c r="Z193" s="11">
        <f t="shared" si="40"/>
        <v>435.25</v>
      </c>
      <c r="AA193" s="9">
        <f t="shared" si="41"/>
        <v>362</v>
      </c>
    </row>
    <row r="194" ht="14.25" spans="1:27">
      <c r="A194" s="13">
        <v>192</v>
      </c>
      <c r="B194" s="15">
        <v>4</v>
      </c>
      <c r="C194" s="16">
        <v>34</v>
      </c>
      <c r="D194" s="17" t="s">
        <v>397</v>
      </c>
      <c r="E194" s="17" t="s">
        <v>398</v>
      </c>
      <c r="F194" s="174">
        <f>VLOOKUP(D194,原始分!$D:$N,3,0)</f>
        <v>84.5</v>
      </c>
      <c r="G194" s="174">
        <f t="shared" si="29"/>
        <v>840</v>
      </c>
      <c r="H194" s="174">
        <f>VLOOKUP(D194,原始分!$D:$N,4,0)</f>
        <v>86</v>
      </c>
      <c r="I194" s="174">
        <f t="shared" si="30"/>
        <v>692</v>
      </c>
      <c r="J194" s="174">
        <f>VLOOKUP(D194,原始分!$D:$N,5,0)</f>
        <v>70</v>
      </c>
      <c r="K194" s="174">
        <f t="shared" si="31"/>
        <v>829</v>
      </c>
      <c r="L194" s="174">
        <f>VLOOKUP(D194,原始分!$D:$N,6,0)</f>
        <v>54.5</v>
      </c>
      <c r="M194" s="174">
        <f t="shared" si="32"/>
        <v>281</v>
      </c>
      <c r="N194" s="174">
        <f>VLOOKUP(D194,原始分!$D:$N,7,0)</f>
        <v>0</v>
      </c>
      <c r="O194" s="174">
        <f t="shared" si="33"/>
        <v>207</v>
      </c>
      <c r="P194" s="174">
        <f>VLOOKUP(D194,原始分!$D:$N,8,0)</f>
        <v>24</v>
      </c>
      <c r="Q194" s="174">
        <f t="shared" si="34"/>
        <v>518</v>
      </c>
      <c r="R194" s="174">
        <f>VLOOKUP(D194,原始分!$D:$N,9,0)</f>
        <v>46</v>
      </c>
      <c r="S194" s="174">
        <f t="shared" si="35"/>
        <v>222</v>
      </c>
      <c r="T194" s="174">
        <f>VLOOKUP(D194,原始分!$D:$N,10,0)</f>
        <v>0</v>
      </c>
      <c r="U194" s="174">
        <f t="shared" si="36"/>
        <v>316</v>
      </c>
      <c r="V194" s="174">
        <f>VLOOKUP(D194,原始分!$D:$N,11,0)</f>
        <v>0</v>
      </c>
      <c r="W194" s="174">
        <f t="shared" si="37"/>
        <v>565</v>
      </c>
      <c r="X194" s="11">
        <f t="shared" si="38"/>
        <v>240.5</v>
      </c>
      <c r="Y194" s="9">
        <f t="shared" si="39"/>
        <v>833</v>
      </c>
      <c r="Z194" s="11">
        <f t="shared" si="40"/>
        <v>365</v>
      </c>
      <c r="AA194" s="9">
        <f t="shared" si="41"/>
        <v>623</v>
      </c>
    </row>
    <row r="195" ht="14.25" spans="1:27">
      <c r="A195" s="13">
        <v>193</v>
      </c>
      <c r="B195" s="15">
        <v>4</v>
      </c>
      <c r="C195" s="16">
        <v>35</v>
      </c>
      <c r="D195" s="17" t="s">
        <v>399</v>
      </c>
      <c r="E195" s="17" t="s">
        <v>400</v>
      </c>
      <c r="F195" s="174">
        <f>VLOOKUP(D195,原始分!$D:$N,3,0)</f>
        <v>102.75</v>
      </c>
      <c r="G195" s="174">
        <f t="shared" ref="G195:G258" si="42">RANK(F195,$F$3:$F$900)</f>
        <v>275</v>
      </c>
      <c r="H195" s="174">
        <f>VLOOKUP(D195,原始分!$D:$N,4,0)</f>
        <v>96</v>
      </c>
      <c r="I195" s="174">
        <f t="shared" ref="I195:I258" si="43">RANK(H195,$H$3:$H$900)</f>
        <v>492</v>
      </c>
      <c r="J195" s="174">
        <f>VLOOKUP(D195,原始分!$D:$N,5,0)</f>
        <v>92</v>
      </c>
      <c r="K195" s="174">
        <f t="shared" ref="K195:K258" si="44">RANK(J195,$J$3:$J$900)</f>
        <v>550</v>
      </c>
      <c r="L195" s="174">
        <f>VLOOKUP(D195,原始分!$D:$N,6,0)</f>
        <v>44</v>
      </c>
      <c r="M195" s="174">
        <f t="shared" ref="M195:M258" si="45">RANK(L195,$L$3:$L$900)</f>
        <v>441</v>
      </c>
      <c r="N195" s="174">
        <f>VLOOKUP(D195,原始分!$D:$N,7,0)</f>
        <v>0</v>
      </c>
      <c r="O195" s="174">
        <f t="shared" ref="O195:O258" si="46">RANK(N195,$N$3:$N$900)</f>
        <v>207</v>
      </c>
      <c r="P195" s="174">
        <f>VLOOKUP(D195,原始分!$D:$N,8,0)</f>
        <v>34</v>
      </c>
      <c r="Q195" s="174">
        <f t="shared" ref="Q195:Q258" si="47">RANK(P195,$P$3:$P$900)</f>
        <v>414</v>
      </c>
      <c r="R195" s="174">
        <f>VLOOKUP(D195,原始分!$D:$N,9,0)</f>
        <v>54</v>
      </c>
      <c r="S195" s="174">
        <f t="shared" ref="S195:S258" si="48">RANK(R195,$R$3:$R$900)</f>
        <v>89</v>
      </c>
      <c r="T195" s="174">
        <f>VLOOKUP(D195,原始分!$D:$N,10,0)</f>
        <v>0</v>
      </c>
      <c r="U195" s="174">
        <f t="shared" ref="U195:U258" si="49">RANK(T195,$T$3:$T$900)</f>
        <v>316</v>
      </c>
      <c r="V195" s="174">
        <f>VLOOKUP(D195,原始分!$D:$N,11,0)</f>
        <v>0</v>
      </c>
      <c r="W195" s="174">
        <f t="shared" ref="W195:W258" si="50">RANK(V195,$V$3:$V$900)</f>
        <v>565</v>
      </c>
      <c r="X195" s="11">
        <f t="shared" ref="X195:X258" si="51">SUM(F195,H195,J195)</f>
        <v>290.75</v>
      </c>
      <c r="Y195" s="9">
        <f t="shared" ref="Y195:Y258" si="52">RANK(X195,$X$3:$X$900)</f>
        <v>487</v>
      </c>
      <c r="Z195" s="11">
        <f t="shared" ref="Z195:Z258" si="53">SUM(F195,H195,J195,L195,N195,P195,R195,T195,V195)</f>
        <v>422.75</v>
      </c>
      <c r="AA195" s="9">
        <f t="shared" si="41"/>
        <v>419</v>
      </c>
    </row>
    <row r="196" ht="14.25" spans="1:27">
      <c r="A196" s="13">
        <v>194</v>
      </c>
      <c r="B196" s="15">
        <v>4</v>
      </c>
      <c r="C196" s="16">
        <v>37</v>
      </c>
      <c r="D196" s="17" t="s">
        <v>401</v>
      </c>
      <c r="E196" s="17" t="s">
        <v>402</v>
      </c>
      <c r="F196" s="174">
        <f>VLOOKUP(D196,原始分!$D:$N,3,0)</f>
        <v>104.75</v>
      </c>
      <c r="G196" s="174">
        <f t="shared" si="42"/>
        <v>189</v>
      </c>
      <c r="H196" s="174">
        <f>VLOOKUP(D196,原始分!$D:$N,4,0)</f>
        <v>74.5</v>
      </c>
      <c r="I196" s="174">
        <f t="shared" si="43"/>
        <v>789</v>
      </c>
      <c r="J196" s="174">
        <f>VLOOKUP(D196,原始分!$D:$N,5,0)</f>
        <v>104</v>
      </c>
      <c r="K196" s="174">
        <f t="shared" si="44"/>
        <v>292</v>
      </c>
      <c r="L196" s="174">
        <f>VLOOKUP(D196,原始分!$D:$N,6,0)</f>
        <v>41.5</v>
      </c>
      <c r="M196" s="174">
        <f t="shared" si="45"/>
        <v>483</v>
      </c>
      <c r="N196" s="174">
        <f>VLOOKUP(D196,原始分!$D:$N,7,0)</f>
        <v>0</v>
      </c>
      <c r="O196" s="174">
        <f t="shared" si="46"/>
        <v>207</v>
      </c>
      <c r="P196" s="174">
        <f>VLOOKUP(D196,原始分!$D:$N,8,0)</f>
        <v>27</v>
      </c>
      <c r="Q196" s="174">
        <f t="shared" si="47"/>
        <v>498</v>
      </c>
      <c r="R196" s="174">
        <f>VLOOKUP(D196,原始分!$D:$N,9,0)</f>
        <v>53.5</v>
      </c>
      <c r="S196" s="174">
        <f t="shared" si="48"/>
        <v>98</v>
      </c>
      <c r="T196" s="174">
        <f>VLOOKUP(D196,原始分!$D:$N,10,0)</f>
        <v>0</v>
      </c>
      <c r="U196" s="174">
        <f t="shared" si="49"/>
        <v>316</v>
      </c>
      <c r="V196" s="174">
        <f>VLOOKUP(D196,原始分!$D:$N,11,0)</f>
        <v>0</v>
      </c>
      <c r="W196" s="174">
        <f t="shared" si="50"/>
        <v>565</v>
      </c>
      <c r="X196" s="11">
        <f t="shared" si="51"/>
        <v>283.25</v>
      </c>
      <c r="Y196" s="9">
        <f t="shared" si="52"/>
        <v>559</v>
      </c>
      <c r="Z196" s="11">
        <f t="shared" si="53"/>
        <v>405.25</v>
      </c>
      <c r="AA196" s="9">
        <f t="shared" si="41"/>
        <v>497</v>
      </c>
    </row>
    <row r="197" ht="14.25" spans="1:27">
      <c r="A197" s="13">
        <v>195</v>
      </c>
      <c r="B197" s="15">
        <v>4</v>
      </c>
      <c r="C197" s="16">
        <v>38</v>
      </c>
      <c r="D197" s="17" t="s">
        <v>403</v>
      </c>
      <c r="E197" s="17" t="s">
        <v>404</v>
      </c>
      <c r="F197" s="174">
        <f>VLOOKUP(D197,原始分!$D:$N,3,0)</f>
        <v>89</v>
      </c>
      <c r="G197" s="174">
        <f t="shared" si="42"/>
        <v>796</v>
      </c>
      <c r="H197" s="174">
        <f>VLOOKUP(D197,原始分!$D:$N,4,0)</f>
        <v>95</v>
      </c>
      <c r="I197" s="174">
        <f t="shared" si="43"/>
        <v>510</v>
      </c>
      <c r="J197" s="174">
        <f>VLOOKUP(D197,原始分!$D:$N,5,0)</f>
        <v>92.5</v>
      </c>
      <c r="K197" s="174">
        <f t="shared" si="44"/>
        <v>539</v>
      </c>
      <c r="L197" s="174">
        <f>VLOOKUP(D197,原始分!$D:$N,6,0)</f>
        <v>57.5</v>
      </c>
      <c r="M197" s="174">
        <f t="shared" si="45"/>
        <v>228</v>
      </c>
      <c r="N197" s="174">
        <f>VLOOKUP(D197,原始分!$D:$N,7,0)</f>
        <v>0</v>
      </c>
      <c r="O197" s="174">
        <f t="shared" si="46"/>
        <v>207</v>
      </c>
      <c r="P197" s="174">
        <f>VLOOKUP(D197,原始分!$D:$N,8,0)</f>
        <v>53.5</v>
      </c>
      <c r="Q197" s="174">
        <f t="shared" si="47"/>
        <v>62</v>
      </c>
      <c r="R197" s="174">
        <f>VLOOKUP(D197,原始分!$D:$N,9,0)</f>
        <v>49.75</v>
      </c>
      <c r="S197" s="174">
        <f t="shared" si="48"/>
        <v>163</v>
      </c>
      <c r="T197" s="174">
        <f>VLOOKUP(D197,原始分!$D:$N,10,0)</f>
        <v>0</v>
      </c>
      <c r="U197" s="174">
        <f t="shared" si="49"/>
        <v>316</v>
      </c>
      <c r="V197" s="174">
        <f>VLOOKUP(D197,原始分!$D:$N,11,0)</f>
        <v>0</v>
      </c>
      <c r="W197" s="174">
        <f t="shared" si="50"/>
        <v>565</v>
      </c>
      <c r="X197" s="11">
        <f t="shared" si="51"/>
        <v>276.5</v>
      </c>
      <c r="Y197" s="9">
        <f t="shared" si="52"/>
        <v>642</v>
      </c>
      <c r="Z197" s="11">
        <f t="shared" si="53"/>
        <v>437.25</v>
      </c>
      <c r="AA197" s="9">
        <f t="shared" si="41"/>
        <v>346</v>
      </c>
    </row>
    <row r="198" ht="14.25" spans="1:27">
      <c r="A198" s="13">
        <v>196</v>
      </c>
      <c r="B198" s="15">
        <v>4</v>
      </c>
      <c r="C198" s="16">
        <v>39</v>
      </c>
      <c r="D198" s="17" t="s">
        <v>405</v>
      </c>
      <c r="E198" s="17" t="s">
        <v>406</v>
      </c>
      <c r="F198" s="174">
        <f>VLOOKUP(D198,原始分!$D:$N,3,0)</f>
        <v>102.5</v>
      </c>
      <c r="G198" s="174">
        <f t="shared" si="42"/>
        <v>279</v>
      </c>
      <c r="H198" s="174">
        <f>VLOOKUP(D198,原始分!$D:$N,4,0)</f>
        <v>106.5</v>
      </c>
      <c r="I198" s="174">
        <f t="shared" si="43"/>
        <v>286</v>
      </c>
      <c r="J198" s="174">
        <f>VLOOKUP(D198,原始分!$D:$N,5,0)</f>
        <v>104.5</v>
      </c>
      <c r="K198" s="174">
        <f t="shared" si="44"/>
        <v>284</v>
      </c>
      <c r="L198" s="174">
        <f>VLOOKUP(D198,原始分!$D:$N,6,0)</f>
        <v>47.5</v>
      </c>
      <c r="M198" s="174">
        <f t="shared" si="45"/>
        <v>382</v>
      </c>
      <c r="N198" s="174">
        <f>VLOOKUP(D198,原始分!$D:$N,7,0)</f>
        <v>0</v>
      </c>
      <c r="O198" s="174">
        <f t="shared" si="46"/>
        <v>207</v>
      </c>
      <c r="P198" s="174">
        <f>VLOOKUP(D198,原始分!$D:$N,8,0)</f>
        <v>32.5</v>
      </c>
      <c r="Q198" s="174">
        <f t="shared" si="47"/>
        <v>447</v>
      </c>
      <c r="R198" s="174">
        <f>VLOOKUP(D198,原始分!$D:$N,9,0)</f>
        <v>48</v>
      </c>
      <c r="S198" s="174">
        <f t="shared" si="48"/>
        <v>193</v>
      </c>
      <c r="T198" s="174">
        <f>VLOOKUP(D198,原始分!$D:$N,10,0)</f>
        <v>0</v>
      </c>
      <c r="U198" s="174">
        <f t="shared" si="49"/>
        <v>316</v>
      </c>
      <c r="V198" s="174">
        <f>VLOOKUP(D198,原始分!$D:$N,11,0)</f>
        <v>0</v>
      </c>
      <c r="W198" s="174">
        <f t="shared" si="50"/>
        <v>565</v>
      </c>
      <c r="X198" s="11">
        <f t="shared" si="51"/>
        <v>313.5</v>
      </c>
      <c r="Y198" s="9">
        <f t="shared" si="52"/>
        <v>224</v>
      </c>
      <c r="Z198" s="11">
        <f t="shared" si="53"/>
        <v>441.5</v>
      </c>
      <c r="AA198" s="9">
        <f t="shared" si="41"/>
        <v>329</v>
      </c>
    </row>
    <row r="199" ht="14.25" spans="1:27">
      <c r="A199" s="13">
        <v>197</v>
      </c>
      <c r="B199" s="15">
        <v>4</v>
      </c>
      <c r="C199" s="16">
        <v>40</v>
      </c>
      <c r="D199" s="17" t="s">
        <v>407</v>
      </c>
      <c r="E199" s="17" t="s">
        <v>408</v>
      </c>
      <c r="F199" s="174">
        <f>VLOOKUP(D199,原始分!$D:$N,3,0)</f>
        <v>95.5</v>
      </c>
      <c r="G199" s="174">
        <f t="shared" si="42"/>
        <v>595</v>
      </c>
      <c r="H199" s="174">
        <f>VLOOKUP(D199,原始分!$D:$N,4,0)</f>
        <v>83</v>
      </c>
      <c r="I199" s="174">
        <f t="shared" si="43"/>
        <v>728</v>
      </c>
      <c r="J199" s="174">
        <f>VLOOKUP(D199,原始分!$D:$N,5,0)</f>
        <v>70.25</v>
      </c>
      <c r="K199" s="174">
        <f t="shared" si="44"/>
        <v>827</v>
      </c>
      <c r="L199" s="174">
        <f>VLOOKUP(D199,原始分!$D:$N,6,0)</f>
        <v>44</v>
      </c>
      <c r="M199" s="174">
        <f t="shared" si="45"/>
        <v>441</v>
      </c>
      <c r="N199" s="174">
        <f>VLOOKUP(D199,原始分!$D:$N,7,0)</f>
        <v>0</v>
      </c>
      <c r="O199" s="174">
        <f t="shared" si="46"/>
        <v>207</v>
      </c>
      <c r="P199" s="174">
        <f>VLOOKUP(D199,原始分!$D:$N,8,0)</f>
        <v>32.5</v>
      </c>
      <c r="Q199" s="174">
        <f t="shared" si="47"/>
        <v>447</v>
      </c>
      <c r="R199" s="174">
        <f>VLOOKUP(D199,原始分!$D:$N,9,0)</f>
        <v>50.5</v>
      </c>
      <c r="S199" s="174">
        <f t="shared" si="48"/>
        <v>144</v>
      </c>
      <c r="T199" s="174">
        <f>VLOOKUP(D199,原始分!$D:$N,10,0)</f>
        <v>0</v>
      </c>
      <c r="U199" s="174">
        <f t="shared" si="49"/>
        <v>316</v>
      </c>
      <c r="V199" s="174">
        <f>VLOOKUP(D199,原始分!$D:$N,11,0)</f>
        <v>0</v>
      </c>
      <c r="W199" s="174">
        <f t="shared" si="50"/>
        <v>565</v>
      </c>
      <c r="X199" s="11">
        <f t="shared" si="51"/>
        <v>248.75</v>
      </c>
      <c r="Y199" s="9">
        <f t="shared" si="52"/>
        <v>807</v>
      </c>
      <c r="Z199" s="11">
        <f t="shared" si="53"/>
        <v>375.75</v>
      </c>
      <c r="AA199" s="9">
        <f t="shared" si="41"/>
        <v>592</v>
      </c>
    </row>
    <row r="200" ht="14.25" spans="1:27">
      <c r="A200" s="13">
        <v>198</v>
      </c>
      <c r="B200" s="15">
        <v>4</v>
      </c>
      <c r="C200" s="16">
        <v>41</v>
      </c>
      <c r="D200" s="17" t="s">
        <v>409</v>
      </c>
      <c r="E200" s="17" t="s">
        <v>410</v>
      </c>
      <c r="F200" s="174">
        <f>VLOOKUP(D200,原始分!$D:$N,3,0)</f>
        <v>89</v>
      </c>
      <c r="G200" s="174">
        <f t="shared" si="42"/>
        <v>796</v>
      </c>
      <c r="H200" s="174">
        <f>VLOOKUP(D200,原始分!$D:$N,4,0)</f>
        <v>106.5</v>
      </c>
      <c r="I200" s="174">
        <f t="shared" si="43"/>
        <v>286</v>
      </c>
      <c r="J200" s="174">
        <f>VLOOKUP(D200,原始分!$D:$N,5,0)</f>
        <v>88.5</v>
      </c>
      <c r="K200" s="174">
        <f t="shared" si="44"/>
        <v>604</v>
      </c>
      <c r="L200" s="174">
        <f>VLOOKUP(D200,原始分!$D:$N,6,0)</f>
        <v>58.5</v>
      </c>
      <c r="M200" s="174">
        <f t="shared" si="45"/>
        <v>209</v>
      </c>
      <c r="N200" s="174">
        <f>VLOOKUP(D200,原始分!$D:$N,7,0)</f>
        <v>0</v>
      </c>
      <c r="O200" s="174">
        <f t="shared" si="46"/>
        <v>207</v>
      </c>
      <c r="P200" s="174">
        <f>VLOOKUP(D200,原始分!$D:$N,8,0)</f>
        <v>47.5</v>
      </c>
      <c r="Q200" s="174">
        <f t="shared" si="47"/>
        <v>157</v>
      </c>
      <c r="R200" s="174">
        <f>VLOOKUP(D200,原始分!$D:$N,9,0)</f>
        <v>41.5</v>
      </c>
      <c r="S200" s="174">
        <f t="shared" si="48"/>
        <v>282</v>
      </c>
      <c r="T200" s="174">
        <f>VLOOKUP(D200,原始分!$D:$N,10,0)</f>
        <v>0</v>
      </c>
      <c r="U200" s="174">
        <f t="shared" si="49"/>
        <v>316</v>
      </c>
      <c r="V200" s="174">
        <f>VLOOKUP(D200,原始分!$D:$N,11,0)</f>
        <v>0</v>
      </c>
      <c r="W200" s="174">
        <f t="shared" si="50"/>
        <v>565</v>
      </c>
      <c r="X200" s="11">
        <f t="shared" si="51"/>
        <v>284</v>
      </c>
      <c r="Y200" s="9">
        <f t="shared" si="52"/>
        <v>551</v>
      </c>
      <c r="Z200" s="11">
        <f t="shared" si="53"/>
        <v>431.5</v>
      </c>
      <c r="AA200" s="9">
        <f t="shared" si="41"/>
        <v>373</v>
      </c>
    </row>
    <row r="201" ht="14.25" spans="1:27">
      <c r="A201" s="13">
        <v>199</v>
      </c>
      <c r="B201" s="15">
        <v>4</v>
      </c>
      <c r="C201" s="16">
        <v>42</v>
      </c>
      <c r="D201" s="17" t="s">
        <v>411</v>
      </c>
      <c r="E201" s="17" t="s">
        <v>412</v>
      </c>
      <c r="F201" s="174">
        <f>VLOOKUP(D201,原始分!$D:$N,3,0)</f>
        <v>91.5</v>
      </c>
      <c r="G201" s="174">
        <f t="shared" si="42"/>
        <v>730</v>
      </c>
      <c r="H201" s="174">
        <f>VLOOKUP(D201,原始分!$D:$N,4,0)</f>
        <v>109.5</v>
      </c>
      <c r="I201" s="174">
        <f t="shared" si="43"/>
        <v>232</v>
      </c>
      <c r="J201" s="174">
        <f>VLOOKUP(D201,原始分!$D:$N,5,0)</f>
        <v>119.25</v>
      </c>
      <c r="K201" s="174">
        <f t="shared" si="44"/>
        <v>48</v>
      </c>
      <c r="L201" s="174">
        <f>VLOOKUP(D201,原始分!$D:$N,6,0)</f>
        <v>59</v>
      </c>
      <c r="M201" s="174">
        <f t="shared" si="45"/>
        <v>203</v>
      </c>
      <c r="N201" s="174">
        <f>VLOOKUP(D201,原始分!$D:$N,7,0)</f>
        <v>0</v>
      </c>
      <c r="O201" s="174">
        <f t="shared" si="46"/>
        <v>207</v>
      </c>
      <c r="P201" s="174">
        <f>VLOOKUP(D201,原始分!$D:$N,8,0)</f>
        <v>47</v>
      </c>
      <c r="Q201" s="174">
        <f t="shared" si="47"/>
        <v>173</v>
      </c>
      <c r="R201" s="174">
        <f>VLOOKUP(D201,原始分!$D:$N,9,0)</f>
        <v>54.5</v>
      </c>
      <c r="S201" s="174">
        <f t="shared" si="48"/>
        <v>84</v>
      </c>
      <c r="T201" s="174">
        <f>VLOOKUP(D201,原始分!$D:$N,10,0)</f>
        <v>0</v>
      </c>
      <c r="U201" s="174">
        <f t="shared" si="49"/>
        <v>316</v>
      </c>
      <c r="V201" s="174">
        <f>VLOOKUP(D201,原始分!$D:$N,11,0)</f>
        <v>0</v>
      </c>
      <c r="W201" s="174">
        <f t="shared" si="50"/>
        <v>565</v>
      </c>
      <c r="X201" s="11">
        <f t="shared" si="51"/>
        <v>320.25</v>
      </c>
      <c r="Y201" s="9">
        <f t="shared" si="52"/>
        <v>155</v>
      </c>
      <c r="Z201" s="11">
        <f t="shared" si="53"/>
        <v>480.75</v>
      </c>
      <c r="AA201" s="9">
        <f t="shared" si="41"/>
        <v>130</v>
      </c>
    </row>
    <row r="202" ht="14.25" spans="1:27">
      <c r="A202" s="13">
        <v>200</v>
      </c>
      <c r="B202" s="15">
        <v>4</v>
      </c>
      <c r="C202" s="16">
        <v>43</v>
      </c>
      <c r="D202" s="17" t="s">
        <v>413</v>
      </c>
      <c r="E202" s="17" t="s">
        <v>414</v>
      </c>
      <c r="F202" s="174">
        <f>VLOOKUP(D202,原始分!$D:$N,3,0)</f>
        <v>100.75</v>
      </c>
      <c r="G202" s="174">
        <f t="shared" si="42"/>
        <v>364</v>
      </c>
      <c r="H202" s="174">
        <f>VLOOKUP(D202,原始分!$D:$N,4,0)</f>
        <v>74.5</v>
      </c>
      <c r="I202" s="174">
        <f t="shared" si="43"/>
        <v>789</v>
      </c>
      <c r="J202" s="174">
        <f>VLOOKUP(D202,原始分!$D:$N,5,0)</f>
        <v>86</v>
      </c>
      <c r="K202" s="174">
        <f t="shared" si="44"/>
        <v>649</v>
      </c>
      <c r="L202" s="174">
        <f>VLOOKUP(D202,原始分!$D:$N,6,0)</f>
        <v>17</v>
      </c>
      <c r="M202" s="174">
        <f t="shared" si="45"/>
        <v>659</v>
      </c>
      <c r="N202" s="174">
        <f>VLOOKUP(D202,原始分!$D:$N,7,0)</f>
        <v>0</v>
      </c>
      <c r="O202" s="174">
        <f t="shared" si="46"/>
        <v>207</v>
      </c>
      <c r="P202" s="174">
        <f>VLOOKUP(D202,原始分!$D:$N,8,0)</f>
        <v>25.5</v>
      </c>
      <c r="Q202" s="174">
        <f t="shared" si="47"/>
        <v>509</v>
      </c>
      <c r="R202" s="174">
        <f>VLOOKUP(D202,原始分!$D:$N,9,0)</f>
        <v>45</v>
      </c>
      <c r="S202" s="174">
        <f t="shared" si="48"/>
        <v>236</v>
      </c>
      <c r="T202" s="174">
        <f>VLOOKUP(D202,原始分!$D:$N,10,0)</f>
        <v>0</v>
      </c>
      <c r="U202" s="174">
        <f t="shared" si="49"/>
        <v>316</v>
      </c>
      <c r="V202" s="174">
        <f>VLOOKUP(D202,原始分!$D:$N,11,0)</f>
        <v>0</v>
      </c>
      <c r="W202" s="174">
        <f t="shared" si="50"/>
        <v>565</v>
      </c>
      <c r="X202" s="11">
        <f t="shared" si="51"/>
        <v>261.25</v>
      </c>
      <c r="Y202" s="9">
        <f t="shared" si="52"/>
        <v>765</v>
      </c>
      <c r="Z202" s="11">
        <f t="shared" si="53"/>
        <v>348.75</v>
      </c>
      <c r="AA202" s="9">
        <f t="shared" si="41"/>
        <v>635</v>
      </c>
    </row>
    <row r="203" ht="14.25" spans="1:27">
      <c r="A203" s="13">
        <v>201</v>
      </c>
      <c r="B203" s="15">
        <v>4</v>
      </c>
      <c r="C203" s="16">
        <v>44</v>
      </c>
      <c r="D203" s="17" t="s">
        <v>415</v>
      </c>
      <c r="E203" s="17" t="s">
        <v>416</v>
      </c>
      <c r="F203" s="174">
        <f>VLOOKUP(D203,原始分!$D:$N,3,0)</f>
        <v>106.5</v>
      </c>
      <c r="G203" s="174">
        <f t="shared" si="42"/>
        <v>132</v>
      </c>
      <c r="H203" s="174">
        <f>VLOOKUP(D203,原始分!$D:$N,4,0)</f>
        <v>106.5</v>
      </c>
      <c r="I203" s="174">
        <f t="shared" si="43"/>
        <v>286</v>
      </c>
      <c r="J203" s="174">
        <f>VLOOKUP(D203,原始分!$D:$N,5,0)</f>
        <v>103</v>
      </c>
      <c r="K203" s="174">
        <f t="shared" si="44"/>
        <v>309</v>
      </c>
      <c r="L203" s="174">
        <f>VLOOKUP(D203,原始分!$D:$N,6,0)</f>
        <v>36</v>
      </c>
      <c r="M203" s="174">
        <f t="shared" si="45"/>
        <v>561</v>
      </c>
      <c r="N203" s="174">
        <f>VLOOKUP(D203,原始分!$D:$N,7,0)</f>
        <v>0</v>
      </c>
      <c r="O203" s="174">
        <f t="shared" si="46"/>
        <v>207</v>
      </c>
      <c r="P203" s="174">
        <f>VLOOKUP(D203,原始分!$D:$N,8,0)</f>
        <v>35.5</v>
      </c>
      <c r="Q203" s="174">
        <f t="shared" si="47"/>
        <v>397</v>
      </c>
      <c r="R203" s="174">
        <f>VLOOKUP(D203,原始分!$D:$N,9,0)</f>
        <v>44</v>
      </c>
      <c r="S203" s="174">
        <f t="shared" si="48"/>
        <v>257</v>
      </c>
      <c r="T203" s="174">
        <f>VLOOKUP(D203,原始分!$D:$N,10,0)</f>
        <v>0</v>
      </c>
      <c r="U203" s="174">
        <f t="shared" si="49"/>
        <v>316</v>
      </c>
      <c r="V203" s="174">
        <f>VLOOKUP(D203,原始分!$D:$N,11,0)</f>
        <v>0</v>
      </c>
      <c r="W203" s="174">
        <f t="shared" si="50"/>
        <v>565</v>
      </c>
      <c r="X203" s="11">
        <f t="shared" si="51"/>
        <v>316</v>
      </c>
      <c r="Y203" s="9">
        <f t="shared" si="52"/>
        <v>196</v>
      </c>
      <c r="Z203" s="11">
        <f t="shared" si="53"/>
        <v>431.5</v>
      </c>
      <c r="AA203" s="9">
        <f t="shared" si="41"/>
        <v>373</v>
      </c>
    </row>
    <row r="204" ht="14.25" spans="1:27">
      <c r="A204" s="13">
        <v>202</v>
      </c>
      <c r="B204" s="15">
        <v>4</v>
      </c>
      <c r="C204" s="16">
        <v>45</v>
      </c>
      <c r="D204" s="17" t="s">
        <v>417</v>
      </c>
      <c r="E204" s="17" t="s">
        <v>418</v>
      </c>
      <c r="F204" s="174">
        <f>VLOOKUP(D204,原始分!$D:$N,3,0)</f>
        <v>101</v>
      </c>
      <c r="G204" s="174">
        <f t="shared" si="42"/>
        <v>338</v>
      </c>
      <c r="H204" s="174">
        <f>VLOOKUP(D204,原始分!$D:$N,4,0)</f>
        <v>111</v>
      </c>
      <c r="I204" s="174">
        <f t="shared" si="43"/>
        <v>201</v>
      </c>
      <c r="J204" s="174">
        <f>VLOOKUP(D204,原始分!$D:$N,5,0)</f>
        <v>107.5</v>
      </c>
      <c r="K204" s="174">
        <f t="shared" si="44"/>
        <v>216</v>
      </c>
      <c r="L204" s="174">
        <f>VLOOKUP(D204,原始分!$D:$N,6,0)</f>
        <v>50.5</v>
      </c>
      <c r="M204" s="174">
        <f t="shared" si="45"/>
        <v>328</v>
      </c>
      <c r="N204" s="174">
        <f>VLOOKUP(D204,原始分!$D:$N,7,0)</f>
        <v>0</v>
      </c>
      <c r="O204" s="174">
        <f t="shared" si="46"/>
        <v>207</v>
      </c>
      <c r="P204" s="174">
        <f>VLOOKUP(D204,原始分!$D:$N,8,0)</f>
        <v>43</v>
      </c>
      <c r="Q204" s="174">
        <f t="shared" si="47"/>
        <v>248</v>
      </c>
      <c r="R204" s="174">
        <f>VLOOKUP(D204,原始分!$D:$N,9,0)</f>
        <v>45.5</v>
      </c>
      <c r="S204" s="174">
        <f t="shared" si="48"/>
        <v>232</v>
      </c>
      <c r="T204" s="174">
        <f>VLOOKUP(D204,原始分!$D:$N,10,0)</f>
        <v>0</v>
      </c>
      <c r="U204" s="174">
        <f t="shared" si="49"/>
        <v>316</v>
      </c>
      <c r="V204" s="174">
        <f>VLOOKUP(D204,原始分!$D:$N,11,0)</f>
        <v>0</v>
      </c>
      <c r="W204" s="174">
        <f t="shared" si="50"/>
        <v>565</v>
      </c>
      <c r="X204" s="11">
        <f t="shared" si="51"/>
        <v>319.5</v>
      </c>
      <c r="Y204" s="9">
        <f t="shared" si="52"/>
        <v>163</v>
      </c>
      <c r="Z204" s="11">
        <f t="shared" si="53"/>
        <v>458.5</v>
      </c>
      <c r="AA204" s="9">
        <f t="shared" si="41"/>
        <v>232</v>
      </c>
    </row>
    <row r="205" ht="14.25" spans="1:27">
      <c r="A205" s="13">
        <v>203</v>
      </c>
      <c r="B205" s="15">
        <v>4</v>
      </c>
      <c r="C205" s="16">
        <v>46</v>
      </c>
      <c r="D205" s="17" t="s">
        <v>419</v>
      </c>
      <c r="E205" s="17" t="s">
        <v>420</v>
      </c>
      <c r="F205" s="174">
        <f>VLOOKUP(D205,原始分!$D:$N,3,0)</f>
        <v>89.5</v>
      </c>
      <c r="G205" s="174">
        <f t="shared" si="42"/>
        <v>789</v>
      </c>
      <c r="H205" s="174">
        <f>VLOOKUP(D205,原始分!$D:$N,4,0)</f>
        <v>111</v>
      </c>
      <c r="I205" s="174">
        <f t="shared" si="43"/>
        <v>201</v>
      </c>
      <c r="J205" s="174">
        <f>VLOOKUP(D205,原始分!$D:$N,5,0)</f>
        <v>77.5</v>
      </c>
      <c r="K205" s="174">
        <f t="shared" si="44"/>
        <v>769</v>
      </c>
      <c r="L205" s="174">
        <f>VLOOKUP(D205,原始分!$D:$N,6,0)</f>
        <v>44.5</v>
      </c>
      <c r="M205" s="174">
        <f t="shared" si="45"/>
        <v>432</v>
      </c>
      <c r="N205" s="174">
        <f>VLOOKUP(D205,原始分!$D:$N,7,0)</f>
        <v>0</v>
      </c>
      <c r="O205" s="174">
        <f t="shared" si="46"/>
        <v>207</v>
      </c>
      <c r="P205" s="174">
        <f>VLOOKUP(D205,原始分!$D:$N,8,0)</f>
        <v>41.5</v>
      </c>
      <c r="Q205" s="174">
        <f t="shared" si="47"/>
        <v>279</v>
      </c>
      <c r="R205" s="174">
        <f>VLOOKUP(D205,原始分!$D:$N,9,0)</f>
        <v>50</v>
      </c>
      <c r="S205" s="174">
        <f t="shared" si="48"/>
        <v>154</v>
      </c>
      <c r="T205" s="174">
        <f>VLOOKUP(D205,原始分!$D:$N,10,0)</f>
        <v>0</v>
      </c>
      <c r="U205" s="174">
        <f t="shared" si="49"/>
        <v>316</v>
      </c>
      <c r="V205" s="174">
        <f>VLOOKUP(D205,原始分!$D:$N,11,0)</f>
        <v>0</v>
      </c>
      <c r="W205" s="174">
        <f t="shared" si="50"/>
        <v>565</v>
      </c>
      <c r="X205" s="11">
        <f t="shared" si="51"/>
        <v>278</v>
      </c>
      <c r="Y205" s="9">
        <f t="shared" si="52"/>
        <v>621</v>
      </c>
      <c r="Z205" s="11">
        <f t="shared" si="53"/>
        <v>414</v>
      </c>
      <c r="AA205" s="9">
        <f t="shared" si="41"/>
        <v>453</v>
      </c>
    </row>
    <row r="206" ht="14.25" spans="1:27">
      <c r="A206" s="13">
        <v>204</v>
      </c>
      <c r="B206" s="15">
        <v>4</v>
      </c>
      <c r="C206" s="16">
        <v>47</v>
      </c>
      <c r="D206" s="17" t="s">
        <v>421</v>
      </c>
      <c r="E206" s="17" t="s">
        <v>422</v>
      </c>
      <c r="F206" s="174">
        <f>VLOOKUP(D206,原始分!$D:$N,3,0)</f>
        <v>106</v>
      </c>
      <c r="G206" s="174">
        <f t="shared" si="42"/>
        <v>145</v>
      </c>
      <c r="H206" s="174">
        <f>VLOOKUP(D206,原始分!$D:$N,4,0)</f>
        <v>90</v>
      </c>
      <c r="I206" s="174">
        <f t="shared" si="43"/>
        <v>614</v>
      </c>
      <c r="J206" s="174">
        <f>VLOOKUP(D206,原始分!$D:$N,5,0)</f>
        <v>94.5</v>
      </c>
      <c r="K206" s="174">
        <f t="shared" si="44"/>
        <v>497</v>
      </c>
      <c r="L206" s="174">
        <f>VLOOKUP(D206,原始分!$D:$N,6,0)</f>
        <v>40</v>
      </c>
      <c r="M206" s="174">
        <f t="shared" si="45"/>
        <v>506</v>
      </c>
      <c r="N206" s="174">
        <f>VLOOKUP(D206,原始分!$D:$N,7,0)</f>
        <v>0</v>
      </c>
      <c r="O206" s="174">
        <f t="shared" si="46"/>
        <v>207</v>
      </c>
      <c r="P206" s="174">
        <f>VLOOKUP(D206,原始分!$D:$N,8,0)</f>
        <v>27</v>
      </c>
      <c r="Q206" s="174">
        <f t="shared" si="47"/>
        <v>498</v>
      </c>
      <c r="R206" s="174">
        <f>VLOOKUP(D206,原始分!$D:$N,9,0)</f>
        <v>45.5</v>
      </c>
      <c r="S206" s="174">
        <f t="shared" si="48"/>
        <v>232</v>
      </c>
      <c r="T206" s="174">
        <f>VLOOKUP(D206,原始分!$D:$N,10,0)</f>
        <v>0</v>
      </c>
      <c r="U206" s="174">
        <f t="shared" si="49"/>
        <v>316</v>
      </c>
      <c r="V206" s="174">
        <f>VLOOKUP(D206,原始分!$D:$N,11,0)</f>
        <v>0</v>
      </c>
      <c r="W206" s="174">
        <f t="shared" si="50"/>
        <v>565</v>
      </c>
      <c r="X206" s="11">
        <f t="shared" si="51"/>
        <v>290.5</v>
      </c>
      <c r="Y206" s="9">
        <f t="shared" si="52"/>
        <v>490</v>
      </c>
      <c r="Z206" s="11">
        <f t="shared" si="53"/>
        <v>403</v>
      </c>
      <c r="AA206" s="9">
        <f t="shared" si="41"/>
        <v>508</v>
      </c>
    </row>
    <row r="207" ht="14.25" spans="1:27">
      <c r="A207" s="13">
        <v>205</v>
      </c>
      <c r="B207" s="15">
        <v>5</v>
      </c>
      <c r="C207" s="16">
        <v>1</v>
      </c>
      <c r="D207" s="17" t="s">
        <v>423</v>
      </c>
      <c r="E207" s="17" t="s">
        <v>424</v>
      </c>
      <c r="F207" s="174">
        <f>VLOOKUP(D207,原始分!$D:$N,3,0)</f>
        <v>98</v>
      </c>
      <c r="G207" s="174">
        <f t="shared" si="42"/>
        <v>500</v>
      </c>
      <c r="H207" s="174">
        <f>VLOOKUP(D207,原始分!$D:$N,4,0)</f>
        <v>130.5</v>
      </c>
      <c r="I207" s="174">
        <f t="shared" si="43"/>
        <v>9</v>
      </c>
      <c r="J207" s="174">
        <f>VLOOKUP(D207,原始分!$D:$N,5,0)</f>
        <v>114.5</v>
      </c>
      <c r="K207" s="174">
        <f t="shared" si="44"/>
        <v>110</v>
      </c>
      <c r="L207" s="174">
        <f>VLOOKUP(D207,原始分!$D:$N,6,0)</f>
        <v>55.5</v>
      </c>
      <c r="M207" s="174">
        <f t="shared" si="45"/>
        <v>262</v>
      </c>
      <c r="N207" s="174">
        <f>VLOOKUP(D207,原始分!$D:$N,7,0)</f>
        <v>0</v>
      </c>
      <c r="O207" s="174">
        <f t="shared" si="46"/>
        <v>207</v>
      </c>
      <c r="P207" s="174">
        <f>VLOOKUP(D207,原始分!$D:$N,8,0)</f>
        <v>52</v>
      </c>
      <c r="Q207" s="174">
        <f t="shared" si="47"/>
        <v>86</v>
      </c>
      <c r="R207" s="174">
        <f>VLOOKUP(D207,原始分!$D:$N,9,0)</f>
        <v>54</v>
      </c>
      <c r="S207" s="174">
        <f t="shared" si="48"/>
        <v>89</v>
      </c>
      <c r="T207" s="174">
        <f>VLOOKUP(D207,原始分!$D:$N,10,0)</f>
        <v>0</v>
      </c>
      <c r="U207" s="174">
        <f t="shared" si="49"/>
        <v>316</v>
      </c>
      <c r="V207" s="174">
        <f>VLOOKUP(D207,原始分!$D:$N,11,0)</f>
        <v>0</v>
      </c>
      <c r="W207" s="174">
        <f t="shared" si="50"/>
        <v>565</v>
      </c>
      <c r="X207" s="11">
        <f t="shared" si="51"/>
        <v>343</v>
      </c>
      <c r="Y207" s="9">
        <f t="shared" si="52"/>
        <v>33</v>
      </c>
      <c r="Z207" s="11">
        <f t="shared" si="53"/>
        <v>504.5</v>
      </c>
      <c r="AA207" s="9">
        <f t="shared" si="41"/>
        <v>66</v>
      </c>
    </row>
    <row r="208" ht="14.25" spans="1:27">
      <c r="A208" s="13">
        <v>206</v>
      </c>
      <c r="B208" s="15">
        <v>5</v>
      </c>
      <c r="C208" s="16">
        <v>2</v>
      </c>
      <c r="D208" s="17" t="s">
        <v>425</v>
      </c>
      <c r="E208" s="17" t="s">
        <v>426</v>
      </c>
      <c r="F208" s="174">
        <f>VLOOKUP(D208,原始分!$D:$N,3,0)</f>
        <v>93</v>
      </c>
      <c r="G208" s="174">
        <f t="shared" si="42"/>
        <v>693</v>
      </c>
      <c r="H208" s="174">
        <f>VLOOKUP(D208,原始分!$D:$N,4,0)</f>
        <v>99</v>
      </c>
      <c r="I208" s="174">
        <f t="shared" si="43"/>
        <v>433</v>
      </c>
      <c r="J208" s="174">
        <f>VLOOKUP(D208,原始分!$D:$N,5,0)</f>
        <v>81.5</v>
      </c>
      <c r="K208" s="174">
        <f t="shared" si="44"/>
        <v>726</v>
      </c>
      <c r="L208" s="174">
        <f>VLOOKUP(D208,原始分!$D:$N,6,0)</f>
        <v>19</v>
      </c>
      <c r="M208" s="174">
        <f t="shared" si="45"/>
        <v>655</v>
      </c>
      <c r="N208" s="174">
        <f>VLOOKUP(D208,原始分!$D:$N,7,0)</f>
        <v>0</v>
      </c>
      <c r="O208" s="174">
        <f t="shared" si="46"/>
        <v>207</v>
      </c>
      <c r="P208" s="174">
        <f>VLOOKUP(D208,原始分!$D:$N,8,0)</f>
        <v>21</v>
      </c>
      <c r="Q208" s="174">
        <f t="shared" si="47"/>
        <v>530</v>
      </c>
      <c r="R208" s="174">
        <f>VLOOKUP(D208,原始分!$D:$N,9,0)</f>
        <v>57</v>
      </c>
      <c r="S208" s="174">
        <f t="shared" si="48"/>
        <v>51</v>
      </c>
      <c r="T208" s="174">
        <f>VLOOKUP(D208,原始分!$D:$N,10,0)</f>
        <v>0</v>
      </c>
      <c r="U208" s="174">
        <f t="shared" si="49"/>
        <v>316</v>
      </c>
      <c r="V208" s="174">
        <f>VLOOKUP(D208,原始分!$D:$N,11,0)</f>
        <v>0</v>
      </c>
      <c r="W208" s="174">
        <f t="shared" si="50"/>
        <v>565</v>
      </c>
      <c r="X208" s="11">
        <f t="shared" si="51"/>
        <v>273.5</v>
      </c>
      <c r="Y208" s="9">
        <f t="shared" si="52"/>
        <v>664</v>
      </c>
      <c r="Z208" s="11">
        <f t="shared" si="53"/>
        <v>370.5</v>
      </c>
      <c r="AA208" s="9">
        <f t="shared" si="41"/>
        <v>608</v>
      </c>
    </row>
    <row r="209" ht="14.25" spans="1:27">
      <c r="A209" s="13">
        <v>207</v>
      </c>
      <c r="B209" s="15">
        <v>5</v>
      </c>
      <c r="C209" s="16">
        <v>4</v>
      </c>
      <c r="D209" s="17" t="s">
        <v>427</v>
      </c>
      <c r="E209" s="17" t="s">
        <v>428</v>
      </c>
      <c r="F209" s="174">
        <f>VLOOKUP(D209,原始分!$D:$N,3,0)</f>
        <v>84.5</v>
      </c>
      <c r="G209" s="174">
        <f t="shared" si="42"/>
        <v>840</v>
      </c>
      <c r="H209" s="174">
        <f>VLOOKUP(D209,原始分!$D:$N,4,0)</f>
        <v>96</v>
      </c>
      <c r="I209" s="174">
        <f t="shared" si="43"/>
        <v>492</v>
      </c>
      <c r="J209" s="174">
        <f>VLOOKUP(D209,原始分!$D:$N,5,0)</f>
        <v>101.75</v>
      </c>
      <c r="K209" s="174">
        <f t="shared" si="44"/>
        <v>331</v>
      </c>
      <c r="L209" s="174">
        <f>VLOOKUP(D209,原始分!$D:$N,6,0)</f>
        <v>34.5</v>
      </c>
      <c r="M209" s="174">
        <f t="shared" si="45"/>
        <v>582</v>
      </c>
      <c r="N209" s="174">
        <f>VLOOKUP(D209,原始分!$D:$N,7,0)</f>
        <v>0</v>
      </c>
      <c r="O209" s="174">
        <f t="shared" si="46"/>
        <v>207</v>
      </c>
      <c r="P209" s="174">
        <f>VLOOKUP(D209,原始分!$D:$N,8,0)</f>
        <v>24.5</v>
      </c>
      <c r="Q209" s="174">
        <f t="shared" si="47"/>
        <v>514</v>
      </c>
      <c r="R209" s="174">
        <f>VLOOKUP(D209,原始分!$D:$N,9,0)</f>
        <v>46.5</v>
      </c>
      <c r="S209" s="174">
        <f t="shared" si="48"/>
        <v>213</v>
      </c>
      <c r="T209" s="174">
        <f>VLOOKUP(D209,原始分!$D:$N,10,0)</f>
        <v>0</v>
      </c>
      <c r="U209" s="174">
        <f t="shared" si="49"/>
        <v>316</v>
      </c>
      <c r="V209" s="174">
        <f>VLOOKUP(D209,原始分!$D:$N,11,0)</f>
        <v>0</v>
      </c>
      <c r="W209" s="174">
        <f t="shared" si="50"/>
        <v>565</v>
      </c>
      <c r="X209" s="11">
        <f t="shared" si="51"/>
        <v>282.25</v>
      </c>
      <c r="Y209" s="9">
        <f t="shared" si="52"/>
        <v>577</v>
      </c>
      <c r="Z209" s="11">
        <f t="shared" si="53"/>
        <v>387.75</v>
      </c>
      <c r="AA209" s="9">
        <f t="shared" si="41"/>
        <v>560</v>
      </c>
    </row>
    <row r="210" ht="14.25" spans="1:27">
      <c r="A210" s="13">
        <v>208</v>
      </c>
      <c r="B210" s="15">
        <v>5</v>
      </c>
      <c r="C210" s="16">
        <v>5</v>
      </c>
      <c r="D210" s="17" t="s">
        <v>429</v>
      </c>
      <c r="E210" s="17" t="s">
        <v>430</v>
      </c>
      <c r="F210" s="174">
        <f>VLOOKUP(D210,原始分!$D:$N,3,0)</f>
        <v>98.5</v>
      </c>
      <c r="G210" s="174">
        <f t="shared" si="42"/>
        <v>469</v>
      </c>
      <c r="H210" s="174">
        <f>VLOOKUP(D210,原始分!$D:$N,4,0)</f>
        <v>120</v>
      </c>
      <c r="I210" s="174">
        <f t="shared" si="43"/>
        <v>67</v>
      </c>
      <c r="J210" s="174">
        <f>VLOOKUP(D210,原始分!$D:$N,5,0)</f>
        <v>95.5</v>
      </c>
      <c r="K210" s="174">
        <f t="shared" si="44"/>
        <v>477</v>
      </c>
      <c r="L210" s="174">
        <f>VLOOKUP(D210,原始分!$D:$N,6,0)</f>
        <v>51</v>
      </c>
      <c r="M210" s="174">
        <f t="shared" si="45"/>
        <v>320</v>
      </c>
      <c r="N210" s="174">
        <f>VLOOKUP(D210,原始分!$D:$N,7,0)</f>
        <v>0</v>
      </c>
      <c r="O210" s="174">
        <f t="shared" si="46"/>
        <v>207</v>
      </c>
      <c r="P210" s="174">
        <f>VLOOKUP(D210,原始分!$D:$N,8,0)</f>
        <v>39.5</v>
      </c>
      <c r="Q210" s="174">
        <f t="shared" si="47"/>
        <v>335</v>
      </c>
      <c r="R210" s="174">
        <f>VLOOKUP(D210,原始分!$D:$N,9,0)</f>
        <v>53</v>
      </c>
      <c r="S210" s="174">
        <f t="shared" si="48"/>
        <v>108</v>
      </c>
      <c r="T210" s="174">
        <f>VLOOKUP(D210,原始分!$D:$N,10,0)</f>
        <v>0</v>
      </c>
      <c r="U210" s="174">
        <f t="shared" si="49"/>
        <v>316</v>
      </c>
      <c r="V210" s="174">
        <f>VLOOKUP(D210,原始分!$D:$N,11,0)</f>
        <v>0</v>
      </c>
      <c r="W210" s="174">
        <f t="shared" si="50"/>
        <v>565</v>
      </c>
      <c r="X210" s="11">
        <f t="shared" si="51"/>
        <v>314</v>
      </c>
      <c r="Y210" s="9">
        <f t="shared" si="52"/>
        <v>216</v>
      </c>
      <c r="Z210" s="11">
        <f t="shared" si="53"/>
        <v>457.5</v>
      </c>
      <c r="AA210" s="9">
        <f t="shared" si="41"/>
        <v>239</v>
      </c>
    </row>
    <row r="211" ht="14.25" spans="1:27">
      <c r="A211" s="13">
        <v>209</v>
      </c>
      <c r="B211" s="15">
        <v>5</v>
      </c>
      <c r="C211" s="16">
        <v>6</v>
      </c>
      <c r="D211" s="17" t="s">
        <v>431</v>
      </c>
      <c r="E211" s="17" t="s">
        <v>432</v>
      </c>
      <c r="F211" s="174">
        <f>VLOOKUP(D211,原始分!$D:$N,3,0)</f>
        <v>88</v>
      </c>
      <c r="G211" s="174">
        <f t="shared" si="42"/>
        <v>809</v>
      </c>
      <c r="H211" s="174">
        <f>VLOOKUP(D211,原始分!$D:$N,4,0)</f>
        <v>116</v>
      </c>
      <c r="I211" s="174">
        <f t="shared" si="43"/>
        <v>113</v>
      </c>
      <c r="J211" s="174">
        <f>VLOOKUP(D211,原始分!$D:$N,5,0)</f>
        <v>116.25</v>
      </c>
      <c r="K211" s="174">
        <f t="shared" si="44"/>
        <v>84</v>
      </c>
      <c r="L211" s="174">
        <f>VLOOKUP(D211,原始分!$D:$N,6,0)</f>
        <v>53</v>
      </c>
      <c r="M211" s="174">
        <f t="shared" si="45"/>
        <v>300</v>
      </c>
      <c r="N211" s="174">
        <f>VLOOKUP(D211,原始分!$D:$N,7,0)</f>
        <v>0</v>
      </c>
      <c r="O211" s="174">
        <f t="shared" si="46"/>
        <v>207</v>
      </c>
      <c r="P211" s="174">
        <f>VLOOKUP(D211,原始分!$D:$N,8,0)</f>
        <v>45</v>
      </c>
      <c r="Q211" s="174">
        <f t="shared" si="47"/>
        <v>209</v>
      </c>
      <c r="R211" s="174">
        <f>VLOOKUP(D211,原始分!$D:$N,9,0)</f>
        <v>46</v>
      </c>
      <c r="S211" s="174">
        <f t="shared" si="48"/>
        <v>222</v>
      </c>
      <c r="T211" s="174">
        <f>VLOOKUP(D211,原始分!$D:$N,10,0)</f>
        <v>0</v>
      </c>
      <c r="U211" s="174">
        <f t="shared" si="49"/>
        <v>316</v>
      </c>
      <c r="V211" s="174">
        <f>VLOOKUP(D211,原始分!$D:$N,11,0)</f>
        <v>0</v>
      </c>
      <c r="W211" s="174">
        <f t="shared" si="50"/>
        <v>565</v>
      </c>
      <c r="X211" s="11">
        <f t="shared" si="51"/>
        <v>320.25</v>
      </c>
      <c r="Y211" s="9">
        <f t="shared" si="52"/>
        <v>155</v>
      </c>
      <c r="Z211" s="11">
        <f t="shared" si="53"/>
        <v>464.25</v>
      </c>
      <c r="AA211" s="9">
        <f t="shared" si="41"/>
        <v>201</v>
      </c>
    </row>
    <row r="212" ht="14.25" spans="1:27">
      <c r="A212" s="13">
        <v>210</v>
      </c>
      <c r="B212" s="15">
        <v>5</v>
      </c>
      <c r="C212" s="16">
        <v>7</v>
      </c>
      <c r="D212" s="17" t="s">
        <v>433</v>
      </c>
      <c r="E212" s="17" t="s">
        <v>434</v>
      </c>
      <c r="F212" s="174">
        <f>VLOOKUP(D212,原始分!$D:$N,3,0)</f>
        <v>107.5</v>
      </c>
      <c r="G212" s="174">
        <f t="shared" si="42"/>
        <v>93</v>
      </c>
      <c r="H212" s="174">
        <f>VLOOKUP(D212,原始分!$D:$N,4,0)</f>
        <v>115.5</v>
      </c>
      <c r="I212" s="174">
        <f t="shared" si="43"/>
        <v>121</v>
      </c>
      <c r="J212" s="174">
        <f>VLOOKUP(D212,原始分!$D:$N,5,0)</f>
        <v>96.75</v>
      </c>
      <c r="K212" s="174">
        <f t="shared" si="44"/>
        <v>449</v>
      </c>
      <c r="L212" s="174">
        <f>VLOOKUP(D212,原始分!$D:$N,6,0)</f>
        <v>64</v>
      </c>
      <c r="M212" s="174">
        <f t="shared" si="45"/>
        <v>130</v>
      </c>
      <c r="N212" s="174">
        <f>VLOOKUP(D212,原始分!$D:$N,7,0)</f>
        <v>0</v>
      </c>
      <c r="O212" s="174">
        <f t="shared" si="46"/>
        <v>207</v>
      </c>
      <c r="P212" s="174">
        <f>VLOOKUP(D212,原始分!$D:$N,8,0)</f>
        <v>49</v>
      </c>
      <c r="Q212" s="174">
        <f t="shared" si="47"/>
        <v>132</v>
      </c>
      <c r="R212" s="174">
        <f>VLOOKUP(D212,原始分!$D:$N,9,0)</f>
        <v>49.5</v>
      </c>
      <c r="S212" s="174">
        <f t="shared" si="48"/>
        <v>164</v>
      </c>
      <c r="T212" s="174">
        <f>VLOOKUP(D212,原始分!$D:$N,10,0)</f>
        <v>0</v>
      </c>
      <c r="U212" s="174">
        <f t="shared" si="49"/>
        <v>316</v>
      </c>
      <c r="V212" s="174">
        <f>VLOOKUP(D212,原始分!$D:$N,11,0)</f>
        <v>0</v>
      </c>
      <c r="W212" s="174">
        <f t="shared" si="50"/>
        <v>565</v>
      </c>
      <c r="X212" s="11">
        <f t="shared" si="51"/>
        <v>319.75</v>
      </c>
      <c r="Y212" s="9">
        <f t="shared" si="52"/>
        <v>162</v>
      </c>
      <c r="Z212" s="11">
        <f t="shared" si="53"/>
        <v>482.25</v>
      </c>
      <c r="AA212" s="9">
        <f t="shared" si="41"/>
        <v>123</v>
      </c>
    </row>
    <row r="213" ht="14.25" spans="1:27">
      <c r="A213" s="13">
        <v>211</v>
      </c>
      <c r="B213" s="15">
        <v>5</v>
      </c>
      <c r="C213" s="16">
        <v>8</v>
      </c>
      <c r="D213" s="17" t="s">
        <v>435</v>
      </c>
      <c r="E213" s="17" t="s">
        <v>436</v>
      </c>
      <c r="F213" s="174">
        <f>VLOOKUP(D213,原始分!$D:$N,3,0)</f>
        <v>97</v>
      </c>
      <c r="G213" s="174">
        <f t="shared" si="42"/>
        <v>551</v>
      </c>
      <c r="H213" s="174">
        <f>VLOOKUP(D213,原始分!$D:$N,4,0)</f>
        <v>120.5</v>
      </c>
      <c r="I213" s="174">
        <f t="shared" si="43"/>
        <v>62</v>
      </c>
      <c r="J213" s="174">
        <f>VLOOKUP(D213,原始分!$D:$N,5,0)</f>
        <v>89</v>
      </c>
      <c r="K213" s="174">
        <f t="shared" si="44"/>
        <v>597</v>
      </c>
      <c r="L213" s="174">
        <f>VLOOKUP(D213,原始分!$D:$N,6,0)</f>
        <v>66.5</v>
      </c>
      <c r="M213" s="174">
        <f t="shared" si="45"/>
        <v>88</v>
      </c>
      <c r="N213" s="174">
        <f>VLOOKUP(D213,原始分!$D:$N,7,0)</f>
        <v>0</v>
      </c>
      <c r="O213" s="174">
        <f t="shared" si="46"/>
        <v>207</v>
      </c>
      <c r="P213" s="174">
        <f>VLOOKUP(D213,原始分!$D:$N,8,0)</f>
        <v>46</v>
      </c>
      <c r="Q213" s="174">
        <f t="shared" si="47"/>
        <v>194</v>
      </c>
      <c r="R213" s="174">
        <f>VLOOKUP(D213,原始分!$D:$N,9,0)</f>
        <v>50</v>
      </c>
      <c r="S213" s="174">
        <f t="shared" si="48"/>
        <v>154</v>
      </c>
      <c r="T213" s="174">
        <f>VLOOKUP(D213,原始分!$D:$N,10,0)</f>
        <v>0</v>
      </c>
      <c r="U213" s="174">
        <f t="shared" si="49"/>
        <v>316</v>
      </c>
      <c r="V213" s="174">
        <f>VLOOKUP(D213,原始分!$D:$N,11,0)</f>
        <v>0</v>
      </c>
      <c r="W213" s="174">
        <f t="shared" si="50"/>
        <v>565</v>
      </c>
      <c r="X213" s="11">
        <f t="shared" si="51"/>
        <v>306.5</v>
      </c>
      <c r="Y213" s="9">
        <f t="shared" si="52"/>
        <v>303</v>
      </c>
      <c r="Z213" s="11">
        <f t="shared" si="53"/>
        <v>469</v>
      </c>
      <c r="AA213" s="9">
        <f t="shared" si="41"/>
        <v>181</v>
      </c>
    </row>
    <row r="214" ht="14.25" spans="1:27">
      <c r="A214" s="13">
        <v>212</v>
      </c>
      <c r="B214" s="15">
        <v>5</v>
      </c>
      <c r="C214" s="16">
        <v>9</v>
      </c>
      <c r="D214" s="17" t="s">
        <v>437</v>
      </c>
      <c r="E214" s="17" t="s">
        <v>438</v>
      </c>
      <c r="F214" s="174">
        <f>VLOOKUP(D214,原始分!$D:$N,3,0)</f>
        <v>91.5</v>
      </c>
      <c r="G214" s="174">
        <f t="shared" si="42"/>
        <v>730</v>
      </c>
      <c r="H214" s="174">
        <f>VLOOKUP(D214,原始分!$D:$N,4,0)</f>
        <v>98</v>
      </c>
      <c r="I214" s="174">
        <f t="shared" si="43"/>
        <v>454</v>
      </c>
      <c r="J214" s="174">
        <f>VLOOKUP(D214,原始分!$D:$N,5,0)</f>
        <v>100.5</v>
      </c>
      <c r="K214" s="174">
        <f t="shared" si="44"/>
        <v>357</v>
      </c>
      <c r="L214" s="174">
        <f>VLOOKUP(D214,原始分!$D:$N,6,0)</f>
        <v>35.5</v>
      </c>
      <c r="M214" s="174">
        <f t="shared" si="45"/>
        <v>566</v>
      </c>
      <c r="N214" s="174">
        <f>VLOOKUP(D214,原始分!$D:$N,7,0)</f>
        <v>0</v>
      </c>
      <c r="O214" s="174">
        <f t="shared" si="46"/>
        <v>207</v>
      </c>
      <c r="P214" s="174">
        <f>VLOOKUP(D214,原始分!$D:$N,8,0)</f>
        <v>50</v>
      </c>
      <c r="Q214" s="174">
        <f t="shared" si="47"/>
        <v>109</v>
      </c>
      <c r="R214" s="174">
        <f>VLOOKUP(D214,原始分!$D:$N,9,0)</f>
        <v>41.5</v>
      </c>
      <c r="S214" s="174">
        <f t="shared" si="48"/>
        <v>282</v>
      </c>
      <c r="T214" s="174">
        <f>VLOOKUP(D214,原始分!$D:$N,10,0)</f>
        <v>0</v>
      </c>
      <c r="U214" s="174">
        <f t="shared" si="49"/>
        <v>316</v>
      </c>
      <c r="V214" s="174">
        <f>VLOOKUP(D214,原始分!$D:$N,11,0)</f>
        <v>0</v>
      </c>
      <c r="W214" s="174">
        <f t="shared" si="50"/>
        <v>565</v>
      </c>
      <c r="X214" s="11">
        <f t="shared" si="51"/>
        <v>290</v>
      </c>
      <c r="Y214" s="9">
        <f t="shared" si="52"/>
        <v>498</v>
      </c>
      <c r="Z214" s="11">
        <f t="shared" si="53"/>
        <v>417</v>
      </c>
      <c r="AA214" s="9">
        <f t="shared" si="41"/>
        <v>440</v>
      </c>
    </row>
    <row r="215" ht="14.25" spans="1:27">
      <c r="A215" s="13">
        <v>213</v>
      </c>
      <c r="B215" s="15">
        <v>5</v>
      </c>
      <c r="C215" s="16">
        <v>10</v>
      </c>
      <c r="D215" s="17" t="s">
        <v>439</v>
      </c>
      <c r="E215" s="17" t="s">
        <v>440</v>
      </c>
      <c r="F215" s="174">
        <f>VLOOKUP(D215,原始分!$D:$N,3,0)</f>
        <v>107</v>
      </c>
      <c r="G215" s="174">
        <f t="shared" si="42"/>
        <v>113</v>
      </c>
      <c r="H215" s="174">
        <f>VLOOKUP(D215,原始分!$D:$N,4,0)</f>
        <v>112.5</v>
      </c>
      <c r="I215" s="174">
        <f t="shared" si="43"/>
        <v>170</v>
      </c>
      <c r="J215" s="174">
        <f>VLOOKUP(D215,原始分!$D:$N,5,0)</f>
        <v>90.5</v>
      </c>
      <c r="K215" s="174">
        <f t="shared" si="44"/>
        <v>579</v>
      </c>
      <c r="L215" s="174">
        <f>VLOOKUP(D215,原始分!$D:$N,6,0)</f>
        <v>47</v>
      </c>
      <c r="M215" s="174">
        <f t="shared" si="45"/>
        <v>391</v>
      </c>
      <c r="N215" s="174">
        <f>VLOOKUP(D215,原始分!$D:$N,7,0)</f>
        <v>0</v>
      </c>
      <c r="O215" s="174">
        <f t="shared" si="46"/>
        <v>207</v>
      </c>
      <c r="P215" s="174">
        <f>VLOOKUP(D215,原始分!$D:$N,8,0)</f>
        <v>39</v>
      </c>
      <c r="Q215" s="174">
        <f t="shared" si="47"/>
        <v>348</v>
      </c>
      <c r="R215" s="174">
        <f>VLOOKUP(D215,原始分!$D:$N,9,0)</f>
        <v>63.5</v>
      </c>
      <c r="S215" s="174">
        <f t="shared" si="48"/>
        <v>16</v>
      </c>
      <c r="T215" s="174">
        <f>VLOOKUP(D215,原始分!$D:$N,10,0)</f>
        <v>0</v>
      </c>
      <c r="U215" s="174">
        <f t="shared" si="49"/>
        <v>316</v>
      </c>
      <c r="V215" s="174">
        <f>VLOOKUP(D215,原始分!$D:$N,11,0)</f>
        <v>0</v>
      </c>
      <c r="W215" s="174">
        <f t="shared" si="50"/>
        <v>565</v>
      </c>
      <c r="X215" s="11">
        <f t="shared" si="51"/>
        <v>310</v>
      </c>
      <c r="Y215" s="9">
        <f t="shared" si="52"/>
        <v>264</v>
      </c>
      <c r="Z215" s="11">
        <f t="shared" si="53"/>
        <v>459.5</v>
      </c>
      <c r="AA215" s="9">
        <f t="shared" si="41"/>
        <v>227</v>
      </c>
    </row>
    <row r="216" ht="14.25" spans="1:27">
      <c r="A216" s="13">
        <v>214</v>
      </c>
      <c r="B216" s="15">
        <v>5</v>
      </c>
      <c r="C216" s="16">
        <v>11</v>
      </c>
      <c r="D216" s="17" t="s">
        <v>441</v>
      </c>
      <c r="E216" s="17" t="s">
        <v>442</v>
      </c>
      <c r="F216" s="174">
        <f>VLOOKUP(D216,原始分!$D:$N,3,0)</f>
        <v>94.5</v>
      </c>
      <c r="G216" s="174">
        <f t="shared" si="42"/>
        <v>642</v>
      </c>
      <c r="H216" s="174">
        <f>VLOOKUP(D216,原始分!$D:$N,4,0)</f>
        <v>104</v>
      </c>
      <c r="I216" s="174">
        <f t="shared" si="43"/>
        <v>341</v>
      </c>
      <c r="J216" s="174">
        <f>VLOOKUP(D216,原始分!$D:$N,5,0)</f>
        <v>110</v>
      </c>
      <c r="K216" s="174">
        <f t="shared" si="44"/>
        <v>173</v>
      </c>
      <c r="L216" s="174">
        <f>VLOOKUP(D216,原始分!$D:$N,6,0)</f>
        <v>40.5</v>
      </c>
      <c r="M216" s="174">
        <f t="shared" si="45"/>
        <v>497</v>
      </c>
      <c r="N216" s="174">
        <f>VLOOKUP(D216,原始分!$D:$N,7,0)</f>
        <v>0</v>
      </c>
      <c r="O216" s="174">
        <f t="shared" si="46"/>
        <v>207</v>
      </c>
      <c r="P216" s="174">
        <f>VLOOKUP(D216,原始分!$D:$N,8,0)</f>
        <v>28.5</v>
      </c>
      <c r="Q216" s="174">
        <f t="shared" si="47"/>
        <v>488</v>
      </c>
      <c r="R216" s="174">
        <f>VLOOKUP(D216,原始分!$D:$N,9,0)</f>
        <v>55.5</v>
      </c>
      <c r="S216" s="174">
        <f t="shared" si="48"/>
        <v>64</v>
      </c>
      <c r="T216" s="174">
        <f>VLOOKUP(D216,原始分!$D:$N,10,0)</f>
        <v>0</v>
      </c>
      <c r="U216" s="174">
        <f t="shared" si="49"/>
        <v>316</v>
      </c>
      <c r="V216" s="174">
        <f>VLOOKUP(D216,原始分!$D:$N,11,0)</f>
        <v>0</v>
      </c>
      <c r="W216" s="174">
        <f t="shared" si="50"/>
        <v>565</v>
      </c>
      <c r="X216" s="11">
        <f t="shared" si="51"/>
        <v>308.5</v>
      </c>
      <c r="Y216" s="9">
        <f t="shared" si="52"/>
        <v>283</v>
      </c>
      <c r="Z216" s="11">
        <f t="shared" si="53"/>
        <v>433</v>
      </c>
      <c r="AA216" s="9">
        <f t="shared" si="41"/>
        <v>366</v>
      </c>
    </row>
    <row r="217" ht="14.25" spans="1:27">
      <c r="A217" s="13">
        <v>215</v>
      </c>
      <c r="B217" s="15">
        <v>5</v>
      </c>
      <c r="C217" s="16">
        <v>12</v>
      </c>
      <c r="D217" s="17" t="s">
        <v>443</v>
      </c>
      <c r="E217" s="17" t="s">
        <v>444</v>
      </c>
      <c r="F217" s="174">
        <f>VLOOKUP(D217,原始分!$D:$N,3,0)</f>
        <v>97.5</v>
      </c>
      <c r="G217" s="174">
        <f t="shared" si="42"/>
        <v>531</v>
      </c>
      <c r="H217" s="174">
        <f>VLOOKUP(D217,原始分!$D:$N,4,0)</f>
        <v>116</v>
      </c>
      <c r="I217" s="174">
        <f t="shared" si="43"/>
        <v>113</v>
      </c>
      <c r="J217" s="174">
        <f>VLOOKUP(D217,原始分!$D:$N,5,0)</f>
        <v>74.5</v>
      </c>
      <c r="K217" s="174">
        <f t="shared" si="44"/>
        <v>796</v>
      </c>
      <c r="L217" s="174">
        <f>VLOOKUP(D217,原始分!$D:$N,6,0)</f>
        <v>47.5</v>
      </c>
      <c r="M217" s="174">
        <f t="shared" si="45"/>
        <v>382</v>
      </c>
      <c r="N217" s="174">
        <f>VLOOKUP(D217,原始分!$D:$N,7,0)</f>
        <v>0</v>
      </c>
      <c r="O217" s="174">
        <f t="shared" si="46"/>
        <v>207</v>
      </c>
      <c r="P217" s="174">
        <f>VLOOKUP(D217,原始分!$D:$N,8,0)</f>
        <v>40</v>
      </c>
      <c r="Q217" s="174">
        <f t="shared" si="47"/>
        <v>316</v>
      </c>
      <c r="R217" s="174">
        <f>VLOOKUP(D217,原始分!$D:$N,9,0)</f>
        <v>44.5</v>
      </c>
      <c r="S217" s="174">
        <f t="shared" si="48"/>
        <v>244</v>
      </c>
      <c r="T217" s="174">
        <f>VLOOKUP(D217,原始分!$D:$N,10,0)</f>
        <v>0</v>
      </c>
      <c r="U217" s="174">
        <f t="shared" si="49"/>
        <v>316</v>
      </c>
      <c r="V217" s="174">
        <f>VLOOKUP(D217,原始分!$D:$N,11,0)</f>
        <v>0</v>
      </c>
      <c r="W217" s="174">
        <f t="shared" si="50"/>
        <v>565</v>
      </c>
      <c r="X217" s="11">
        <f t="shared" si="51"/>
        <v>288</v>
      </c>
      <c r="Y217" s="9">
        <f t="shared" si="52"/>
        <v>513</v>
      </c>
      <c r="Z217" s="11">
        <f t="shared" si="53"/>
        <v>420</v>
      </c>
      <c r="AA217" s="9">
        <f t="shared" si="41"/>
        <v>428</v>
      </c>
    </row>
    <row r="218" ht="14.25" spans="1:27">
      <c r="A218" s="13">
        <v>216</v>
      </c>
      <c r="B218" s="15">
        <v>5</v>
      </c>
      <c r="C218" s="16">
        <v>13</v>
      </c>
      <c r="D218" s="17" t="s">
        <v>445</v>
      </c>
      <c r="E218" s="17" t="s">
        <v>446</v>
      </c>
      <c r="F218" s="174">
        <f>VLOOKUP(D218,原始分!$D:$N,3,0)</f>
        <v>104</v>
      </c>
      <c r="G218" s="174">
        <f t="shared" si="42"/>
        <v>209</v>
      </c>
      <c r="H218" s="174">
        <f>VLOOKUP(D218,原始分!$D:$N,4,0)</f>
        <v>79</v>
      </c>
      <c r="I218" s="174">
        <f t="shared" si="43"/>
        <v>761</v>
      </c>
      <c r="J218" s="174">
        <f>VLOOKUP(D218,原始分!$D:$N,5,0)</f>
        <v>71.75</v>
      </c>
      <c r="K218" s="174">
        <f t="shared" si="44"/>
        <v>817</v>
      </c>
      <c r="L218" s="174">
        <f>VLOOKUP(D218,原始分!$D:$N,6,0)</f>
        <v>22</v>
      </c>
      <c r="M218" s="174">
        <f t="shared" si="45"/>
        <v>649</v>
      </c>
      <c r="N218" s="174">
        <f>VLOOKUP(D218,原始分!$D:$N,7,0)</f>
        <v>0</v>
      </c>
      <c r="O218" s="174">
        <f t="shared" si="46"/>
        <v>207</v>
      </c>
      <c r="P218" s="174">
        <f>VLOOKUP(D218,原始分!$D:$N,8,0)</f>
        <v>26.5</v>
      </c>
      <c r="Q218" s="174">
        <f t="shared" si="47"/>
        <v>504</v>
      </c>
      <c r="R218" s="174">
        <f>VLOOKUP(D218,原始分!$D:$N,9,0)</f>
        <v>44.5</v>
      </c>
      <c r="S218" s="174">
        <f t="shared" si="48"/>
        <v>244</v>
      </c>
      <c r="T218" s="174">
        <f>VLOOKUP(D218,原始分!$D:$N,10,0)</f>
        <v>0</v>
      </c>
      <c r="U218" s="174">
        <f t="shared" si="49"/>
        <v>316</v>
      </c>
      <c r="V218" s="174">
        <f>VLOOKUP(D218,原始分!$D:$N,11,0)</f>
        <v>0</v>
      </c>
      <c r="W218" s="174">
        <f t="shared" si="50"/>
        <v>565</v>
      </c>
      <c r="X218" s="11">
        <f t="shared" si="51"/>
        <v>254.75</v>
      </c>
      <c r="Y218" s="9">
        <f t="shared" si="52"/>
        <v>788</v>
      </c>
      <c r="Z218" s="11">
        <f t="shared" si="53"/>
        <v>347.75</v>
      </c>
      <c r="AA218" s="9">
        <f t="shared" si="41"/>
        <v>638</v>
      </c>
    </row>
    <row r="219" ht="14.25" spans="1:27">
      <c r="A219" s="13">
        <v>217</v>
      </c>
      <c r="B219" s="15">
        <v>5</v>
      </c>
      <c r="C219" s="16">
        <v>14</v>
      </c>
      <c r="D219" s="17" t="s">
        <v>447</v>
      </c>
      <c r="E219" s="17" t="s">
        <v>448</v>
      </c>
      <c r="F219" s="174">
        <f>VLOOKUP(D219,原始分!$D:$N,3,0)</f>
        <v>102</v>
      </c>
      <c r="G219" s="174">
        <f t="shared" si="42"/>
        <v>304</v>
      </c>
      <c r="H219" s="174">
        <f>VLOOKUP(D219,原始分!$D:$N,4,0)</f>
        <v>99.5</v>
      </c>
      <c r="I219" s="174">
        <f t="shared" si="43"/>
        <v>425</v>
      </c>
      <c r="J219" s="174">
        <f>VLOOKUP(D219,原始分!$D:$N,5,0)</f>
        <v>101.5</v>
      </c>
      <c r="K219" s="174">
        <f t="shared" si="44"/>
        <v>334</v>
      </c>
      <c r="L219" s="174">
        <f>VLOOKUP(D219,原始分!$D:$N,6,0)</f>
        <v>41</v>
      </c>
      <c r="M219" s="174">
        <f t="shared" si="45"/>
        <v>490</v>
      </c>
      <c r="N219" s="174">
        <f>VLOOKUP(D219,原始分!$D:$N,7,0)</f>
        <v>0</v>
      </c>
      <c r="O219" s="174">
        <f t="shared" si="46"/>
        <v>207</v>
      </c>
      <c r="P219" s="174">
        <f>VLOOKUP(D219,原始分!$D:$N,8,0)</f>
        <v>55.5</v>
      </c>
      <c r="Q219" s="174">
        <f t="shared" si="47"/>
        <v>47</v>
      </c>
      <c r="R219" s="174">
        <f>VLOOKUP(D219,原始分!$D:$N,9,0)</f>
        <v>46.5</v>
      </c>
      <c r="S219" s="174">
        <f t="shared" si="48"/>
        <v>213</v>
      </c>
      <c r="T219" s="174">
        <f>VLOOKUP(D219,原始分!$D:$N,10,0)</f>
        <v>0</v>
      </c>
      <c r="U219" s="174">
        <f t="shared" si="49"/>
        <v>316</v>
      </c>
      <c r="V219" s="174">
        <f>VLOOKUP(D219,原始分!$D:$N,11,0)</f>
        <v>0</v>
      </c>
      <c r="W219" s="174">
        <f t="shared" si="50"/>
        <v>565</v>
      </c>
      <c r="X219" s="11">
        <f t="shared" si="51"/>
        <v>303</v>
      </c>
      <c r="Y219" s="9">
        <f t="shared" si="52"/>
        <v>335</v>
      </c>
      <c r="Z219" s="11">
        <f t="shared" si="53"/>
        <v>446</v>
      </c>
      <c r="AA219" s="9">
        <f t="shared" si="41"/>
        <v>299</v>
      </c>
    </row>
    <row r="220" ht="14.25" spans="1:27">
      <c r="A220" s="13">
        <v>218</v>
      </c>
      <c r="B220" s="15">
        <v>5</v>
      </c>
      <c r="C220" s="16">
        <v>15</v>
      </c>
      <c r="D220" s="17" t="s">
        <v>449</v>
      </c>
      <c r="E220" s="17" t="s">
        <v>450</v>
      </c>
      <c r="F220" s="174">
        <f>VLOOKUP(D220,原始分!$D:$N,3,0)</f>
        <v>90.5</v>
      </c>
      <c r="G220" s="174">
        <f t="shared" si="42"/>
        <v>765</v>
      </c>
      <c r="H220" s="174">
        <f>VLOOKUP(D220,原始分!$D:$N,4,0)</f>
        <v>105</v>
      </c>
      <c r="I220" s="174">
        <f t="shared" si="43"/>
        <v>317</v>
      </c>
      <c r="J220" s="174">
        <f>VLOOKUP(D220,原始分!$D:$N,5,0)</f>
        <v>94</v>
      </c>
      <c r="K220" s="174">
        <f t="shared" si="44"/>
        <v>507</v>
      </c>
      <c r="L220" s="174">
        <f>VLOOKUP(D220,原始分!$D:$N,6,0)</f>
        <v>60.5</v>
      </c>
      <c r="M220" s="174">
        <f t="shared" si="45"/>
        <v>180</v>
      </c>
      <c r="N220" s="174">
        <f>VLOOKUP(D220,原始分!$D:$N,7,0)</f>
        <v>0</v>
      </c>
      <c r="O220" s="174">
        <f t="shared" si="46"/>
        <v>207</v>
      </c>
      <c r="P220" s="174">
        <f>VLOOKUP(D220,原始分!$D:$N,8,0)</f>
        <v>55</v>
      </c>
      <c r="Q220" s="174">
        <f t="shared" si="47"/>
        <v>51</v>
      </c>
      <c r="R220" s="174">
        <f>VLOOKUP(D220,原始分!$D:$N,9,0)</f>
        <v>50</v>
      </c>
      <c r="S220" s="174">
        <f t="shared" si="48"/>
        <v>154</v>
      </c>
      <c r="T220" s="174">
        <f>VLOOKUP(D220,原始分!$D:$N,10,0)</f>
        <v>0</v>
      </c>
      <c r="U220" s="174">
        <f t="shared" si="49"/>
        <v>316</v>
      </c>
      <c r="V220" s="174">
        <f>VLOOKUP(D220,原始分!$D:$N,11,0)</f>
        <v>0</v>
      </c>
      <c r="W220" s="174">
        <f t="shared" si="50"/>
        <v>565</v>
      </c>
      <c r="X220" s="11">
        <f t="shared" si="51"/>
        <v>289.5</v>
      </c>
      <c r="Y220" s="9">
        <f t="shared" si="52"/>
        <v>501</v>
      </c>
      <c r="Z220" s="11">
        <f t="shared" si="53"/>
        <v>455</v>
      </c>
      <c r="AA220" s="9">
        <f t="shared" si="41"/>
        <v>250</v>
      </c>
    </row>
    <row r="221" ht="14.25" spans="1:27">
      <c r="A221" s="13">
        <v>219</v>
      </c>
      <c r="B221" s="15">
        <v>5</v>
      </c>
      <c r="C221" s="16">
        <v>16</v>
      </c>
      <c r="D221" s="17" t="s">
        <v>451</v>
      </c>
      <c r="E221" s="17" t="s">
        <v>452</v>
      </c>
      <c r="F221" s="174">
        <f>VLOOKUP(D221,原始分!$D:$N,3,0)</f>
        <v>82</v>
      </c>
      <c r="G221" s="174">
        <f t="shared" si="42"/>
        <v>855</v>
      </c>
      <c r="H221" s="174">
        <f>VLOOKUP(D221,原始分!$D:$N,4,0)</f>
        <v>114.5</v>
      </c>
      <c r="I221" s="174">
        <f t="shared" si="43"/>
        <v>136</v>
      </c>
      <c r="J221" s="174">
        <f>VLOOKUP(D221,原始分!$D:$N,5,0)</f>
        <v>92.5</v>
      </c>
      <c r="K221" s="174">
        <f t="shared" si="44"/>
        <v>539</v>
      </c>
      <c r="L221" s="174">
        <f>VLOOKUP(D221,原始分!$D:$N,6,0)</f>
        <v>63</v>
      </c>
      <c r="M221" s="174">
        <f t="shared" si="45"/>
        <v>147</v>
      </c>
      <c r="N221" s="174">
        <f>VLOOKUP(D221,原始分!$D:$N,7,0)</f>
        <v>0</v>
      </c>
      <c r="O221" s="174">
        <f t="shared" si="46"/>
        <v>207</v>
      </c>
      <c r="P221" s="174">
        <f>VLOOKUP(D221,原始分!$D:$N,8,0)</f>
        <v>35.5</v>
      </c>
      <c r="Q221" s="174">
        <f t="shared" si="47"/>
        <v>397</v>
      </c>
      <c r="R221" s="174">
        <f>VLOOKUP(D221,原始分!$D:$N,9,0)</f>
        <v>46.5</v>
      </c>
      <c r="S221" s="174">
        <f t="shared" si="48"/>
        <v>213</v>
      </c>
      <c r="T221" s="174">
        <f>VLOOKUP(D221,原始分!$D:$N,10,0)</f>
        <v>0</v>
      </c>
      <c r="U221" s="174">
        <f t="shared" si="49"/>
        <v>316</v>
      </c>
      <c r="V221" s="174">
        <f>VLOOKUP(D221,原始分!$D:$N,11,0)</f>
        <v>0</v>
      </c>
      <c r="W221" s="174">
        <f t="shared" si="50"/>
        <v>565</v>
      </c>
      <c r="X221" s="11">
        <f t="shared" si="51"/>
        <v>289</v>
      </c>
      <c r="Y221" s="9">
        <f t="shared" si="52"/>
        <v>507</v>
      </c>
      <c r="Z221" s="11">
        <f t="shared" si="53"/>
        <v>434</v>
      </c>
      <c r="AA221" s="9">
        <f t="shared" si="41"/>
        <v>364</v>
      </c>
    </row>
    <row r="222" ht="14.25" spans="1:27">
      <c r="A222" s="13">
        <v>220</v>
      </c>
      <c r="B222" s="15">
        <v>5</v>
      </c>
      <c r="C222" s="16">
        <v>17</v>
      </c>
      <c r="D222" s="17" t="s">
        <v>453</v>
      </c>
      <c r="E222" s="17" t="s">
        <v>454</v>
      </c>
      <c r="F222" s="174">
        <f>VLOOKUP(D222,原始分!$D:$N,3,0)</f>
        <v>103.5</v>
      </c>
      <c r="G222" s="174">
        <f t="shared" si="42"/>
        <v>230</v>
      </c>
      <c r="H222" s="174">
        <f>VLOOKUP(D222,原始分!$D:$N,4,0)</f>
        <v>69</v>
      </c>
      <c r="I222" s="174">
        <f t="shared" si="43"/>
        <v>820</v>
      </c>
      <c r="J222" s="174">
        <f>VLOOKUP(D222,原始分!$D:$N,5,0)</f>
        <v>78</v>
      </c>
      <c r="K222" s="174">
        <f t="shared" si="44"/>
        <v>764</v>
      </c>
      <c r="L222" s="174">
        <f>VLOOKUP(D222,原始分!$D:$N,6,0)</f>
        <v>36.5</v>
      </c>
      <c r="M222" s="174">
        <f t="shared" si="45"/>
        <v>554</v>
      </c>
      <c r="N222" s="174">
        <f>VLOOKUP(D222,原始分!$D:$N,7,0)</f>
        <v>0</v>
      </c>
      <c r="O222" s="174">
        <f t="shared" si="46"/>
        <v>207</v>
      </c>
      <c r="P222" s="174">
        <f>VLOOKUP(D222,原始分!$D:$N,8,0)</f>
        <v>40</v>
      </c>
      <c r="Q222" s="174">
        <f t="shared" si="47"/>
        <v>316</v>
      </c>
      <c r="R222" s="174">
        <f>VLOOKUP(D222,原始分!$D:$N,9,0)</f>
        <v>40.5</v>
      </c>
      <c r="S222" s="174">
        <f t="shared" si="48"/>
        <v>289</v>
      </c>
      <c r="T222" s="174">
        <f>VLOOKUP(D222,原始分!$D:$N,10,0)</f>
        <v>0</v>
      </c>
      <c r="U222" s="174">
        <f t="shared" si="49"/>
        <v>316</v>
      </c>
      <c r="V222" s="174">
        <f>VLOOKUP(D222,原始分!$D:$N,11,0)</f>
        <v>0</v>
      </c>
      <c r="W222" s="174">
        <f t="shared" si="50"/>
        <v>565</v>
      </c>
      <c r="X222" s="11">
        <f t="shared" si="51"/>
        <v>250.5</v>
      </c>
      <c r="Y222" s="9">
        <f t="shared" si="52"/>
        <v>802</v>
      </c>
      <c r="Z222" s="11">
        <f t="shared" si="53"/>
        <v>367.5</v>
      </c>
      <c r="AA222" s="9">
        <f t="shared" si="41"/>
        <v>619</v>
      </c>
    </row>
    <row r="223" ht="14.25" spans="1:27">
      <c r="A223" s="13">
        <v>221</v>
      </c>
      <c r="B223" s="15">
        <v>5</v>
      </c>
      <c r="C223" s="16">
        <v>18</v>
      </c>
      <c r="D223" s="17" t="s">
        <v>455</v>
      </c>
      <c r="E223" s="17" t="s">
        <v>456</v>
      </c>
      <c r="F223" s="174">
        <f>VLOOKUP(D223,原始分!$D:$N,3,0)</f>
        <v>105</v>
      </c>
      <c r="G223" s="174">
        <f t="shared" si="42"/>
        <v>171</v>
      </c>
      <c r="H223" s="174">
        <f>VLOOKUP(D223,原始分!$D:$N,4,0)</f>
        <v>122.5</v>
      </c>
      <c r="I223" s="174">
        <f t="shared" si="43"/>
        <v>50</v>
      </c>
      <c r="J223" s="174">
        <f>VLOOKUP(D223,原始分!$D:$N,5,0)</f>
        <v>64.5</v>
      </c>
      <c r="K223" s="174">
        <f t="shared" si="44"/>
        <v>841</v>
      </c>
      <c r="L223" s="174">
        <f>VLOOKUP(D223,原始分!$D:$N,6,0)</f>
        <v>65</v>
      </c>
      <c r="M223" s="174">
        <f t="shared" si="45"/>
        <v>115</v>
      </c>
      <c r="N223" s="174">
        <f>VLOOKUP(D223,原始分!$D:$N,7,0)</f>
        <v>0</v>
      </c>
      <c r="O223" s="174">
        <f t="shared" si="46"/>
        <v>207</v>
      </c>
      <c r="P223" s="174">
        <f>VLOOKUP(D223,原始分!$D:$N,8,0)</f>
        <v>45</v>
      </c>
      <c r="Q223" s="174">
        <f t="shared" si="47"/>
        <v>209</v>
      </c>
      <c r="R223" s="174">
        <f>VLOOKUP(D223,原始分!$D:$N,9,0)</f>
        <v>51.5</v>
      </c>
      <c r="S223" s="174">
        <f t="shared" si="48"/>
        <v>132</v>
      </c>
      <c r="T223" s="174">
        <f>VLOOKUP(D223,原始分!$D:$N,10,0)</f>
        <v>0</v>
      </c>
      <c r="U223" s="174">
        <f t="shared" si="49"/>
        <v>316</v>
      </c>
      <c r="V223" s="174">
        <f>VLOOKUP(D223,原始分!$D:$N,11,0)</f>
        <v>0</v>
      </c>
      <c r="W223" s="174">
        <f t="shared" si="50"/>
        <v>565</v>
      </c>
      <c r="X223" s="11">
        <f t="shared" si="51"/>
        <v>292</v>
      </c>
      <c r="Y223" s="9">
        <f t="shared" si="52"/>
        <v>472</v>
      </c>
      <c r="Z223" s="11">
        <f t="shared" si="53"/>
        <v>453.5</v>
      </c>
      <c r="AA223" s="9">
        <f t="shared" si="41"/>
        <v>255</v>
      </c>
    </row>
    <row r="224" ht="14.25" spans="1:27">
      <c r="A224" s="13">
        <v>222</v>
      </c>
      <c r="B224" s="15">
        <v>5</v>
      </c>
      <c r="C224" s="16">
        <v>19</v>
      </c>
      <c r="D224" s="17" t="s">
        <v>457</v>
      </c>
      <c r="E224" s="17" t="s">
        <v>458</v>
      </c>
      <c r="F224" s="174">
        <f>VLOOKUP(D224,原始分!$D:$N,3,0)</f>
        <v>97.5</v>
      </c>
      <c r="G224" s="174">
        <f t="shared" si="42"/>
        <v>531</v>
      </c>
      <c r="H224" s="174">
        <f>VLOOKUP(D224,原始分!$D:$N,4,0)</f>
        <v>110.5</v>
      </c>
      <c r="I224" s="174">
        <f t="shared" si="43"/>
        <v>211</v>
      </c>
      <c r="J224" s="174">
        <f>VLOOKUP(D224,原始分!$D:$N,5,0)</f>
        <v>88.75</v>
      </c>
      <c r="K224" s="174">
        <f t="shared" si="44"/>
        <v>602</v>
      </c>
      <c r="L224" s="174">
        <f>VLOOKUP(D224,原始分!$D:$N,6,0)</f>
        <v>51.5</v>
      </c>
      <c r="M224" s="174">
        <f t="shared" si="45"/>
        <v>313</v>
      </c>
      <c r="N224" s="174">
        <f>VLOOKUP(D224,原始分!$D:$N,7,0)</f>
        <v>0</v>
      </c>
      <c r="O224" s="174">
        <f t="shared" si="46"/>
        <v>207</v>
      </c>
      <c r="P224" s="174">
        <f>VLOOKUP(D224,原始分!$D:$N,8,0)</f>
        <v>48</v>
      </c>
      <c r="Q224" s="174">
        <f t="shared" si="47"/>
        <v>146</v>
      </c>
      <c r="R224" s="174">
        <f>VLOOKUP(D224,原始分!$D:$N,9,0)</f>
        <v>58</v>
      </c>
      <c r="S224" s="174">
        <f t="shared" si="48"/>
        <v>40</v>
      </c>
      <c r="T224" s="174">
        <f>VLOOKUP(D224,原始分!$D:$N,10,0)</f>
        <v>0</v>
      </c>
      <c r="U224" s="174">
        <f t="shared" si="49"/>
        <v>316</v>
      </c>
      <c r="V224" s="174">
        <f>VLOOKUP(D224,原始分!$D:$N,11,0)</f>
        <v>0</v>
      </c>
      <c r="W224" s="174">
        <f t="shared" si="50"/>
        <v>565</v>
      </c>
      <c r="X224" s="11">
        <f t="shared" si="51"/>
        <v>296.75</v>
      </c>
      <c r="Y224" s="9">
        <f t="shared" si="52"/>
        <v>410</v>
      </c>
      <c r="Z224" s="11">
        <f t="shared" si="53"/>
        <v>454.25</v>
      </c>
      <c r="AA224" s="9">
        <f t="shared" si="41"/>
        <v>252</v>
      </c>
    </row>
    <row r="225" ht="14.25" spans="1:27">
      <c r="A225" s="13">
        <v>223</v>
      </c>
      <c r="B225" s="15">
        <v>5</v>
      </c>
      <c r="C225" s="16">
        <v>20</v>
      </c>
      <c r="D225" s="17" t="s">
        <v>459</v>
      </c>
      <c r="E225" s="17" t="s">
        <v>460</v>
      </c>
      <c r="F225" s="174">
        <f>VLOOKUP(D225,原始分!$D:$N,3,0)</f>
        <v>109</v>
      </c>
      <c r="G225" s="174">
        <f t="shared" si="42"/>
        <v>64</v>
      </c>
      <c r="H225" s="174">
        <f>VLOOKUP(D225,原始分!$D:$N,4,0)</f>
        <v>109</v>
      </c>
      <c r="I225" s="174">
        <f t="shared" si="43"/>
        <v>241</v>
      </c>
      <c r="J225" s="174">
        <f>VLOOKUP(D225,原始分!$D:$N,5,0)</f>
        <v>97.5</v>
      </c>
      <c r="K225" s="174">
        <f t="shared" si="44"/>
        <v>436</v>
      </c>
      <c r="L225" s="174">
        <f>VLOOKUP(D225,原始分!$D:$N,6,0)</f>
        <v>59.5</v>
      </c>
      <c r="M225" s="174">
        <f t="shared" si="45"/>
        <v>195</v>
      </c>
      <c r="N225" s="174">
        <f>VLOOKUP(D225,原始分!$D:$N,7,0)</f>
        <v>0</v>
      </c>
      <c r="O225" s="174">
        <f t="shared" si="46"/>
        <v>207</v>
      </c>
      <c r="P225" s="174">
        <f>VLOOKUP(D225,原始分!$D:$N,8,0)</f>
        <v>44</v>
      </c>
      <c r="Q225" s="174">
        <f t="shared" si="47"/>
        <v>227</v>
      </c>
      <c r="R225" s="174">
        <f>VLOOKUP(D225,原始分!$D:$N,9,0)</f>
        <v>49.25</v>
      </c>
      <c r="S225" s="174">
        <f t="shared" si="48"/>
        <v>173</v>
      </c>
      <c r="T225" s="174">
        <f>VLOOKUP(D225,原始分!$D:$N,10,0)</f>
        <v>0</v>
      </c>
      <c r="U225" s="174">
        <f t="shared" si="49"/>
        <v>316</v>
      </c>
      <c r="V225" s="174">
        <f>VLOOKUP(D225,原始分!$D:$N,11,0)</f>
        <v>0</v>
      </c>
      <c r="W225" s="174">
        <f t="shared" si="50"/>
        <v>565</v>
      </c>
      <c r="X225" s="11">
        <f t="shared" si="51"/>
        <v>315.5</v>
      </c>
      <c r="Y225" s="9">
        <f t="shared" si="52"/>
        <v>200</v>
      </c>
      <c r="Z225" s="11">
        <f t="shared" si="53"/>
        <v>468.25</v>
      </c>
      <c r="AA225" s="9">
        <f t="shared" ref="AA225:AA288" si="54">RANK(Z225,$Z$3:$Z$665)</f>
        <v>184</v>
      </c>
    </row>
    <row r="226" ht="14.25" spans="1:27">
      <c r="A226" s="13">
        <v>224</v>
      </c>
      <c r="B226" s="15">
        <v>5</v>
      </c>
      <c r="C226" s="16">
        <v>21</v>
      </c>
      <c r="D226" s="17" t="s">
        <v>461</v>
      </c>
      <c r="E226" s="17" t="s">
        <v>462</v>
      </c>
      <c r="F226" s="174">
        <f>VLOOKUP(D226,原始分!$D:$N,3,0)</f>
        <v>93</v>
      </c>
      <c r="G226" s="174">
        <f t="shared" si="42"/>
        <v>693</v>
      </c>
      <c r="H226" s="174">
        <f>VLOOKUP(D226,原始分!$D:$N,4,0)</f>
        <v>103.5</v>
      </c>
      <c r="I226" s="174">
        <f t="shared" si="43"/>
        <v>354</v>
      </c>
      <c r="J226" s="174">
        <f>VLOOKUP(D226,原始分!$D:$N,5,0)</f>
        <v>114.75</v>
      </c>
      <c r="K226" s="174">
        <f t="shared" si="44"/>
        <v>105</v>
      </c>
      <c r="L226" s="174">
        <f>VLOOKUP(D226,原始分!$D:$N,6,0)</f>
        <v>46</v>
      </c>
      <c r="M226" s="174">
        <f t="shared" si="45"/>
        <v>411</v>
      </c>
      <c r="N226" s="174">
        <f>VLOOKUP(D226,原始分!$D:$N,7,0)</f>
        <v>0</v>
      </c>
      <c r="O226" s="174">
        <f t="shared" si="46"/>
        <v>207</v>
      </c>
      <c r="P226" s="174">
        <f>VLOOKUP(D226,原始分!$D:$N,8,0)</f>
        <v>40.5</v>
      </c>
      <c r="Q226" s="174">
        <f t="shared" si="47"/>
        <v>303</v>
      </c>
      <c r="R226" s="174">
        <f>VLOOKUP(D226,原始分!$D:$N,9,0)</f>
        <v>45</v>
      </c>
      <c r="S226" s="174">
        <f t="shared" si="48"/>
        <v>236</v>
      </c>
      <c r="T226" s="174">
        <f>VLOOKUP(D226,原始分!$D:$N,10,0)</f>
        <v>0</v>
      </c>
      <c r="U226" s="174">
        <f t="shared" si="49"/>
        <v>316</v>
      </c>
      <c r="V226" s="174">
        <f>VLOOKUP(D226,原始分!$D:$N,11,0)</f>
        <v>0</v>
      </c>
      <c r="W226" s="174">
        <f t="shared" si="50"/>
        <v>565</v>
      </c>
      <c r="X226" s="11">
        <f t="shared" si="51"/>
        <v>311.25</v>
      </c>
      <c r="Y226" s="9">
        <f t="shared" si="52"/>
        <v>244</v>
      </c>
      <c r="Z226" s="11">
        <f t="shared" si="53"/>
        <v>442.75</v>
      </c>
      <c r="AA226" s="9">
        <f t="shared" si="54"/>
        <v>325</v>
      </c>
    </row>
    <row r="227" ht="14.25" spans="1:27">
      <c r="A227" s="13">
        <v>225</v>
      </c>
      <c r="B227" s="15">
        <v>5</v>
      </c>
      <c r="C227" s="16">
        <v>22</v>
      </c>
      <c r="D227" s="17" t="s">
        <v>463</v>
      </c>
      <c r="E227" s="17" t="s">
        <v>464</v>
      </c>
      <c r="F227" s="174">
        <f>VLOOKUP(D227,原始分!$D:$N,3,0)</f>
        <v>94.5</v>
      </c>
      <c r="G227" s="174">
        <f t="shared" si="42"/>
        <v>642</v>
      </c>
      <c r="H227" s="174">
        <f>VLOOKUP(D227,原始分!$D:$N,4,0)</f>
        <v>126.5</v>
      </c>
      <c r="I227" s="174">
        <f t="shared" si="43"/>
        <v>25</v>
      </c>
      <c r="J227" s="174">
        <f>VLOOKUP(D227,原始分!$D:$N,5,0)</f>
        <v>98.5</v>
      </c>
      <c r="K227" s="174">
        <f t="shared" si="44"/>
        <v>412</v>
      </c>
      <c r="L227" s="174">
        <f>VLOOKUP(D227,原始分!$D:$N,6,0)</f>
        <v>58</v>
      </c>
      <c r="M227" s="174">
        <f t="shared" si="45"/>
        <v>220</v>
      </c>
      <c r="N227" s="174">
        <f>VLOOKUP(D227,原始分!$D:$N,7,0)</f>
        <v>0</v>
      </c>
      <c r="O227" s="174">
        <f t="shared" si="46"/>
        <v>207</v>
      </c>
      <c r="P227" s="174">
        <f>VLOOKUP(D227,原始分!$D:$N,8,0)</f>
        <v>39.5</v>
      </c>
      <c r="Q227" s="174">
        <f t="shared" si="47"/>
        <v>335</v>
      </c>
      <c r="R227" s="174">
        <f>VLOOKUP(D227,原始分!$D:$N,9,0)</f>
        <v>57</v>
      </c>
      <c r="S227" s="174">
        <f t="shared" si="48"/>
        <v>51</v>
      </c>
      <c r="T227" s="174">
        <f>VLOOKUP(D227,原始分!$D:$N,10,0)</f>
        <v>0</v>
      </c>
      <c r="U227" s="174">
        <f t="shared" si="49"/>
        <v>316</v>
      </c>
      <c r="V227" s="174">
        <f>VLOOKUP(D227,原始分!$D:$N,11,0)</f>
        <v>0</v>
      </c>
      <c r="W227" s="174">
        <f t="shared" si="50"/>
        <v>565</v>
      </c>
      <c r="X227" s="11">
        <f t="shared" si="51"/>
        <v>319.5</v>
      </c>
      <c r="Y227" s="9">
        <f t="shared" si="52"/>
        <v>163</v>
      </c>
      <c r="Z227" s="11">
        <f t="shared" si="53"/>
        <v>474</v>
      </c>
      <c r="AA227" s="9">
        <f t="shared" si="54"/>
        <v>161</v>
      </c>
    </row>
    <row r="228" ht="14.25" spans="1:27">
      <c r="A228" s="13">
        <v>226</v>
      </c>
      <c r="B228" s="15">
        <v>5</v>
      </c>
      <c r="C228" s="16">
        <v>23</v>
      </c>
      <c r="D228" s="17" t="s">
        <v>465</v>
      </c>
      <c r="E228" s="17" t="s">
        <v>466</v>
      </c>
      <c r="F228" s="174">
        <f>VLOOKUP(D228,原始分!$D:$N,3,0)</f>
        <v>84</v>
      </c>
      <c r="G228" s="174">
        <f t="shared" si="42"/>
        <v>846</v>
      </c>
      <c r="H228" s="174">
        <f>VLOOKUP(D228,原始分!$D:$N,4,0)</f>
        <v>104.5</v>
      </c>
      <c r="I228" s="174">
        <f t="shared" si="43"/>
        <v>327</v>
      </c>
      <c r="J228" s="174">
        <f>VLOOKUP(D228,原始分!$D:$N,5,0)</f>
        <v>84.5</v>
      </c>
      <c r="K228" s="174">
        <f t="shared" si="44"/>
        <v>677</v>
      </c>
      <c r="L228" s="174">
        <f>VLOOKUP(D228,原始分!$D:$N,6,0)</f>
        <v>43.5</v>
      </c>
      <c r="M228" s="174">
        <f t="shared" si="45"/>
        <v>452</v>
      </c>
      <c r="N228" s="174">
        <f>VLOOKUP(D228,原始分!$D:$N,7,0)</f>
        <v>0</v>
      </c>
      <c r="O228" s="174">
        <f t="shared" si="46"/>
        <v>207</v>
      </c>
      <c r="P228" s="174">
        <f>VLOOKUP(D228,原始分!$D:$N,8,0)</f>
        <v>36.5</v>
      </c>
      <c r="Q228" s="174">
        <f t="shared" si="47"/>
        <v>380</v>
      </c>
      <c r="R228" s="174">
        <f>VLOOKUP(D228,原始分!$D:$N,9,0)</f>
        <v>46</v>
      </c>
      <c r="S228" s="174">
        <f t="shared" si="48"/>
        <v>222</v>
      </c>
      <c r="T228" s="174">
        <f>VLOOKUP(D228,原始分!$D:$N,10,0)</f>
        <v>0</v>
      </c>
      <c r="U228" s="174">
        <f t="shared" si="49"/>
        <v>316</v>
      </c>
      <c r="V228" s="174">
        <f>VLOOKUP(D228,原始分!$D:$N,11,0)</f>
        <v>0</v>
      </c>
      <c r="W228" s="174">
        <f t="shared" si="50"/>
        <v>565</v>
      </c>
      <c r="X228" s="11">
        <f t="shared" si="51"/>
        <v>273</v>
      </c>
      <c r="Y228" s="9">
        <f t="shared" si="52"/>
        <v>668</v>
      </c>
      <c r="Z228" s="11">
        <f t="shared" si="53"/>
        <v>399</v>
      </c>
      <c r="AA228" s="9">
        <f t="shared" si="54"/>
        <v>525</v>
      </c>
    </row>
    <row r="229" ht="14.25" spans="1:27">
      <c r="A229" s="13">
        <v>227</v>
      </c>
      <c r="B229" s="15">
        <v>5</v>
      </c>
      <c r="C229" s="16">
        <v>24</v>
      </c>
      <c r="D229" s="17" t="s">
        <v>467</v>
      </c>
      <c r="E229" s="17" t="s">
        <v>468</v>
      </c>
      <c r="F229" s="174">
        <f>VLOOKUP(D229,原始分!$D:$N,3,0)</f>
        <v>105.25</v>
      </c>
      <c r="G229" s="174">
        <f t="shared" si="42"/>
        <v>170</v>
      </c>
      <c r="H229" s="174">
        <f>VLOOKUP(D229,原始分!$D:$N,4,0)</f>
        <v>122.5</v>
      </c>
      <c r="I229" s="174">
        <f t="shared" si="43"/>
        <v>50</v>
      </c>
      <c r="J229" s="174">
        <f>VLOOKUP(D229,原始分!$D:$N,5,0)</f>
        <v>113</v>
      </c>
      <c r="K229" s="174">
        <f t="shared" si="44"/>
        <v>130</v>
      </c>
      <c r="L229" s="174">
        <f>VLOOKUP(D229,原始分!$D:$N,6,0)</f>
        <v>76</v>
      </c>
      <c r="M229" s="174">
        <f t="shared" si="45"/>
        <v>27</v>
      </c>
      <c r="N229" s="174">
        <f>VLOOKUP(D229,原始分!$D:$N,7,0)</f>
        <v>0</v>
      </c>
      <c r="O229" s="174">
        <f t="shared" si="46"/>
        <v>207</v>
      </c>
      <c r="P229" s="174">
        <f>VLOOKUP(D229,原始分!$D:$N,8,0)</f>
        <v>47.5</v>
      </c>
      <c r="Q229" s="174">
        <f t="shared" si="47"/>
        <v>157</v>
      </c>
      <c r="R229" s="174">
        <f>VLOOKUP(D229,原始分!$D:$N,9,0)</f>
        <v>48.5</v>
      </c>
      <c r="S229" s="174">
        <f t="shared" si="48"/>
        <v>182</v>
      </c>
      <c r="T229" s="174">
        <f>VLOOKUP(D229,原始分!$D:$N,10,0)</f>
        <v>0</v>
      </c>
      <c r="U229" s="174">
        <f t="shared" si="49"/>
        <v>316</v>
      </c>
      <c r="V229" s="174">
        <f>VLOOKUP(D229,原始分!$D:$N,11,0)</f>
        <v>0</v>
      </c>
      <c r="W229" s="174">
        <f t="shared" si="50"/>
        <v>565</v>
      </c>
      <c r="X229" s="11">
        <f t="shared" si="51"/>
        <v>340.75</v>
      </c>
      <c r="Y229" s="9">
        <f t="shared" si="52"/>
        <v>38</v>
      </c>
      <c r="Z229" s="11">
        <f t="shared" si="53"/>
        <v>512.75</v>
      </c>
      <c r="AA229" s="9">
        <f t="shared" si="54"/>
        <v>48</v>
      </c>
    </row>
    <row r="230" ht="14.25" spans="1:27">
      <c r="A230" s="13">
        <v>228</v>
      </c>
      <c r="B230" s="15">
        <v>5</v>
      </c>
      <c r="C230" s="16">
        <v>25</v>
      </c>
      <c r="D230" s="17" t="s">
        <v>469</v>
      </c>
      <c r="E230" s="17" t="s">
        <v>470</v>
      </c>
      <c r="F230" s="174">
        <f>VLOOKUP(D230,原始分!$D:$N,3,0)</f>
        <v>101</v>
      </c>
      <c r="G230" s="174">
        <f t="shared" si="42"/>
        <v>338</v>
      </c>
      <c r="H230" s="174">
        <f>VLOOKUP(D230,原始分!$D:$N,4,0)</f>
        <v>101.5</v>
      </c>
      <c r="I230" s="174">
        <f t="shared" si="43"/>
        <v>391</v>
      </c>
      <c r="J230" s="174">
        <f>VLOOKUP(D230,原始分!$D:$N,5,0)</f>
        <v>97</v>
      </c>
      <c r="K230" s="174">
        <f t="shared" si="44"/>
        <v>444</v>
      </c>
      <c r="L230" s="174">
        <f>VLOOKUP(D230,原始分!$D:$N,6,0)</f>
        <v>50.5</v>
      </c>
      <c r="M230" s="174">
        <f t="shared" si="45"/>
        <v>328</v>
      </c>
      <c r="N230" s="174">
        <f>VLOOKUP(D230,原始分!$D:$N,7,0)</f>
        <v>0</v>
      </c>
      <c r="O230" s="174">
        <f t="shared" si="46"/>
        <v>207</v>
      </c>
      <c r="P230" s="174">
        <f>VLOOKUP(D230,原始分!$D:$N,8,0)</f>
        <v>43</v>
      </c>
      <c r="Q230" s="174">
        <f t="shared" si="47"/>
        <v>248</v>
      </c>
      <c r="R230" s="174">
        <f>VLOOKUP(D230,原始分!$D:$N,9,0)</f>
        <v>67</v>
      </c>
      <c r="S230" s="174">
        <f t="shared" si="48"/>
        <v>4</v>
      </c>
      <c r="T230" s="174">
        <f>VLOOKUP(D230,原始分!$D:$N,10,0)</f>
        <v>0</v>
      </c>
      <c r="U230" s="174">
        <f t="shared" si="49"/>
        <v>316</v>
      </c>
      <c r="V230" s="174">
        <f>VLOOKUP(D230,原始分!$D:$N,11,0)</f>
        <v>0</v>
      </c>
      <c r="W230" s="174">
        <f t="shared" si="50"/>
        <v>565</v>
      </c>
      <c r="X230" s="11">
        <f t="shared" si="51"/>
        <v>299.5</v>
      </c>
      <c r="Y230" s="9">
        <f t="shared" si="52"/>
        <v>377</v>
      </c>
      <c r="Z230" s="11">
        <f t="shared" si="53"/>
        <v>460</v>
      </c>
      <c r="AA230" s="9">
        <f t="shared" si="54"/>
        <v>224</v>
      </c>
    </row>
    <row r="231" ht="14.25" spans="1:27">
      <c r="A231" s="13">
        <v>229</v>
      </c>
      <c r="B231" s="15">
        <v>5</v>
      </c>
      <c r="C231" s="16">
        <v>26</v>
      </c>
      <c r="D231" s="17" t="s">
        <v>471</v>
      </c>
      <c r="E231" s="17" t="s">
        <v>472</v>
      </c>
      <c r="F231" s="174">
        <f>VLOOKUP(D231,原始分!$D:$N,3,0)</f>
        <v>101</v>
      </c>
      <c r="G231" s="174">
        <f t="shared" si="42"/>
        <v>338</v>
      </c>
      <c r="H231" s="174">
        <f>VLOOKUP(D231,原始分!$D:$N,4,0)</f>
        <v>109.5</v>
      </c>
      <c r="I231" s="174">
        <f t="shared" si="43"/>
        <v>232</v>
      </c>
      <c r="J231" s="174">
        <f>VLOOKUP(D231,原始分!$D:$N,5,0)</f>
        <v>113</v>
      </c>
      <c r="K231" s="174">
        <f t="shared" si="44"/>
        <v>130</v>
      </c>
      <c r="L231" s="174">
        <f>VLOOKUP(D231,原始分!$D:$N,6,0)</f>
        <v>75.5</v>
      </c>
      <c r="M231" s="174">
        <f t="shared" si="45"/>
        <v>31</v>
      </c>
      <c r="N231" s="174">
        <f>VLOOKUP(D231,原始分!$D:$N,7,0)</f>
        <v>0</v>
      </c>
      <c r="O231" s="174">
        <f t="shared" si="46"/>
        <v>207</v>
      </c>
      <c r="P231" s="174">
        <f>VLOOKUP(D231,原始分!$D:$N,8,0)</f>
        <v>48</v>
      </c>
      <c r="Q231" s="174">
        <f t="shared" si="47"/>
        <v>146</v>
      </c>
      <c r="R231" s="174">
        <f>VLOOKUP(D231,原始分!$D:$N,9,0)</f>
        <v>49</v>
      </c>
      <c r="S231" s="174">
        <f t="shared" si="48"/>
        <v>174</v>
      </c>
      <c r="T231" s="174">
        <f>VLOOKUP(D231,原始分!$D:$N,10,0)</f>
        <v>0</v>
      </c>
      <c r="U231" s="174">
        <f t="shared" si="49"/>
        <v>316</v>
      </c>
      <c r="V231" s="174">
        <f>VLOOKUP(D231,原始分!$D:$N,11,0)</f>
        <v>0</v>
      </c>
      <c r="W231" s="174">
        <f t="shared" si="50"/>
        <v>565</v>
      </c>
      <c r="X231" s="11">
        <f t="shared" si="51"/>
        <v>323.5</v>
      </c>
      <c r="Y231" s="9">
        <f t="shared" si="52"/>
        <v>132</v>
      </c>
      <c r="Z231" s="11">
        <f t="shared" si="53"/>
        <v>496</v>
      </c>
      <c r="AA231" s="9">
        <f t="shared" si="54"/>
        <v>88</v>
      </c>
    </row>
    <row r="232" ht="14.25" spans="1:27">
      <c r="A232" s="13">
        <v>230</v>
      </c>
      <c r="B232" s="15">
        <v>5</v>
      </c>
      <c r="C232" s="16">
        <v>27</v>
      </c>
      <c r="D232" s="17" t="s">
        <v>473</v>
      </c>
      <c r="E232" s="17" t="s">
        <v>474</v>
      </c>
      <c r="F232" s="174">
        <f>VLOOKUP(D232,原始分!$D:$N,3,0)</f>
        <v>98</v>
      </c>
      <c r="G232" s="174">
        <f t="shared" si="42"/>
        <v>500</v>
      </c>
      <c r="H232" s="174">
        <f>VLOOKUP(D232,原始分!$D:$N,4,0)</f>
        <v>119</v>
      </c>
      <c r="I232" s="174">
        <f t="shared" si="43"/>
        <v>77</v>
      </c>
      <c r="J232" s="174">
        <f>VLOOKUP(D232,原始分!$D:$N,5,0)</f>
        <v>84.25</v>
      </c>
      <c r="K232" s="174">
        <f t="shared" si="44"/>
        <v>685</v>
      </c>
      <c r="L232" s="174">
        <f>VLOOKUP(D232,原始分!$D:$N,6,0)</f>
        <v>61.5</v>
      </c>
      <c r="M232" s="174">
        <f t="shared" si="45"/>
        <v>164</v>
      </c>
      <c r="N232" s="174">
        <f>VLOOKUP(D232,原始分!$D:$N,7,0)</f>
        <v>0</v>
      </c>
      <c r="O232" s="174">
        <f t="shared" si="46"/>
        <v>207</v>
      </c>
      <c r="P232" s="174">
        <f>VLOOKUP(D232,原始分!$D:$N,8,0)</f>
        <v>34.5</v>
      </c>
      <c r="Q232" s="174">
        <f t="shared" si="47"/>
        <v>409</v>
      </c>
      <c r="R232" s="174">
        <f>VLOOKUP(D232,原始分!$D:$N,9,0)</f>
        <v>50.5</v>
      </c>
      <c r="S232" s="174">
        <f t="shared" si="48"/>
        <v>144</v>
      </c>
      <c r="T232" s="174">
        <f>VLOOKUP(D232,原始分!$D:$N,10,0)</f>
        <v>0</v>
      </c>
      <c r="U232" s="174">
        <f t="shared" si="49"/>
        <v>316</v>
      </c>
      <c r="V232" s="174">
        <f>VLOOKUP(D232,原始分!$D:$N,11,0)</f>
        <v>0</v>
      </c>
      <c r="W232" s="174">
        <f t="shared" si="50"/>
        <v>565</v>
      </c>
      <c r="X232" s="11">
        <f t="shared" si="51"/>
        <v>301.25</v>
      </c>
      <c r="Y232" s="9">
        <f t="shared" si="52"/>
        <v>363</v>
      </c>
      <c r="Z232" s="11">
        <f t="shared" si="53"/>
        <v>447.75</v>
      </c>
      <c r="AA232" s="9">
        <f t="shared" si="54"/>
        <v>290</v>
      </c>
    </row>
    <row r="233" ht="14.25" spans="1:27">
      <c r="A233" s="13">
        <v>231</v>
      </c>
      <c r="B233" s="15">
        <v>5</v>
      </c>
      <c r="C233" s="16">
        <v>28</v>
      </c>
      <c r="D233" s="17" t="s">
        <v>475</v>
      </c>
      <c r="E233" s="17" t="s">
        <v>476</v>
      </c>
      <c r="F233" s="174">
        <f>VLOOKUP(D233,原始分!$D:$N,3,0)</f>
        <v>106.5</v>
      </c>
      <c r="G233" s="174">
        <f t="shared" si="42"/>
        <v>132</v>
      </c>
      <c r="H233" s="174">
        <f>VLOOKUP(D233,原始分!$D:$N,4,0)</f>
        <v>119.5</v>
      </c>
      <c r="I233" s="174">
        <f t="shared" si="43"/>
        <v>70</v>
      </c>
      <c r="J233" s="174">
        <f>VLOOKUP(D233,原始分!$D:$N,5,0)</f>
        <v>111.5</v>
      </c>
      <c r="K233" s="174">
        <f t="shared" si="44"/>
        <v>152</v>
      </c>
      <c r="L233" s="174">
        <f>VLOOKUP(D233,原始分!$D:$N,6,0)</f>
        <v>56</v>
      </c>
      <c r="M233" s="174">
        <f t="shared" si="45"/>
        <v>252</v>
      </c>
      <c r="N233" s="174">
        <f>VLOOKUP(D233,原始分!$D:$N,7,0)</f>
        <v>0</v>
      </c>
      <c r="O233" s="174">
        <f t="shared" si="46"/>
        <v>207</v>
      </c>
      <c r="P233" s="174">
        <f>VLOOKUP(D233,原始分!$D:$N,8,0)</f>
        <v>37.5</v>
      </c>
      <c r="Q233" s="174">
        <f t="shared" si="47"/>
        <v>369</v>
      </c>
      <c r="R233" s="174">
        <f>VLOOKUP(D233,原始分!$D:$N,9,0)</f>
        <v>46</v>
      </c>
      <c r="S233" s="174">
        <f t="shared" si="48"/>
        <v>222</v>
      </c>
      <c r="T233" s="174">
        <f>VLOOKUP(D233,原始分!$D:$N,10,0)</f>
        <v>0</v>
      </c>
      <c r="U233" s="174">
        <f t="shared" si="49"/>
        <v>316</v>
      </c>
      <c r="V233" s="174">
        <f>VLOOKUP(D233,原始分!$D:$N,11,0)</f>
        <v>0</v>
      </c>
      <c r="W233" s="174">
        <f t="shared" si="50"/>
        <v>565</v>
      </c>
      <c r="X233" s="11">
        <f t="shared" si="51"/>
        <v>337.5</v>
      </c>
      <c r="Y233" s="9">
        <f t="shared" si="52"/>
        <v>48</v>
      </c>
      <c r="Z233" s="11">
        <f t="shared" si="53"/>
        <v>477</v>
      </c>
      <c r="AA233" s="9">
        <f t="shared" si="54"/>
        <v>145</v>
      </c>
    </row>
    <row r="234" ht="14.25" spans="1:27">
      <c r="A234" s="13">
        <v>232</v>
      </c>
      <c r="B234" s="15">
        <v>5</v>
      </c>
      <c r="C234" s="16">
        <v>29</v>
      </c>
      <c r="D234" s="17" t="s">
        <v>477</v>
      </c>
      <c r="E234" s="17" t="s">
        <v>478</v>
      </c>
      <c r="F234" s="174">
        <f>VLOOKUP(D234,原始分!$D:$N,3,0)</f>
        <v>76</v>
      </c>
      <c r="G234" s="174">
        <f t="shared" si="42"/>
        <v>864</v>
      </c>
      <c r="H234" s="174">
        <f>VLOOKUP(D234,原始分!$D:$N,4,0)</f>
        <v>111</v>
      </c>
      <c r="I234" s="174">
        <f t="shared" si="43"/>
        <v>201</v>
      </c>
      <c r="J234" s="174">
        <f>VLOOKUP(D234,原始分!$D:$N,5,0)</f>
        <v>82.25</v>
      </c>
      <c r="K234" s="174">
        <f t="shared" si="44"/>
        <v>717</v>
      </c>
      <c r="L234" s="174">
        <f>VLOOKUP(D234,原始分!$D:$N,6,0)</f>
        <v>29.5</v>
      </c>
      <c r="M234" s="174">
        <f t="shared" si="45"/>
        <v>615</v>
      </c>
      <c r="N234" s="174">
        <f>VLOOKUP(D234,原始分!$D:$N,7,0)</f>
        <v>0</v>
      </c>
      <c r="O234" s="174">
        <f t="shared" si="46"/>
        <v>207</v>
      </c>
      <c r="P234" s="174">
        <f>VLOOKUP(D234,原始分!$D:$N,8,0)</f>
        <v>25</v>
      </c>
      <c r="Q234" s="174">
        <f t="shared" si="47"/>
        <v>510</v>
      </c>
      <c r="R234" s="174">
        <f>VLOOKUP(D234,原始分!$D:$N,9,0)</f>
        <v>36</v>
      </c>
      <c r="S234" s="174">
        <f t="shared" si="48"/>
        <v>311</v>
      </c>
      <c r="T234" s="174">
        <f>VLOOKUP(D234,原始分!$D:$N,10,0)</f>
        <v>0</v>
      </c>
      <c r="U234" s="174">
        <f t="shared" si="49"/>
        <v>316</v>
      </c>
      <c r="V234" s="174">
        <f>VLOOKUP(D234,原始分!$D:$N,11,0)</f>
        <v>0</v>
      </c>
      <c r="W234" s="174">
        <f t="shared" si="50"/>
        <v>565</v>
      </c>
      <c r="X234" s="11">
        <f t="shared" si="51"/>
        <v>269.25</v>
      </c>
      <c r="Y234" s="9">
        <f t="shared" si="52"/>
        <v>713</v>
      </c>
      <c r="Z234" s="11">
        <f t="shared" si="53"/>
        <v>359.75</v>
      </c>
      <c r="AA234" s="9">
        <f t="shared" si="54"/>
        <v>626</v>
      </c>
    </row>
    <row r="235" ht="14.25" spans="1:27">
      <c r="A235" s="13">
        <v>233</v>
      </c>
      <c r="B235" s="15">
        <v>5</v>
      </c>
      <c r="C235" s="16">
        <v>30</v>
      </c>
      <c r="D235" s="17" t="s">
        <v>479</v>
      </c>
      <c r="E235" s="17" t="s">
        <v>480</v>
      </c>
      <c r="F235" s="174">
        <f>VLOOKUP(D235,原始分!$D:$N,3,0)</f>
        <v>100.75</v>
      </c>
      <c r="G235" s="174">
        <f t="shared" si="42"/>
        <v>364</v>
      </c>
      <c r="H235" s="174">
        <f>VLOOKUP(D235,原始分!$D:$N,4,0)</f>
        <v>77.5</v>
      </c>
      <c r="I235" s="174">
        <f t="shared" si="43"/>
        <v>773</v>
      </c>
      <c r="J235" s="174">
        <f>VLOOKUP(D235,原始分!$D:$N,5,0)</f>
        <v>88</v>
      </c>
      <c r="K235" s="174">
        <f t="shared" si="44"/>
        <v>616</v>
      </c>
      <c r="L235" s="174">
        <f>VLOOKUP(D235,原始分!$D:$N,6,0)</f>
        <v>43.5</v>
      </c>
      <c r="M235" s="174">
        <f t="shared" si="45"/>
        <v>452</v>
      </c>
      <c r="N235" s="174">
        <f>VLOOKUP(D235,原始分!$D:$N,7,0)</f>
        <v>0</v>
      </c>
      <c r="O235" s="174">
        <f t="shared" si="46"/>
        <v>207</v>
      </c>
      <c r="P235" s="174">
        <f>VLOOKUP(D235,原始分!$D:$N,8,0)</f>
        <v>53</v>
      </c>
      <c r="Q235" s="174">
        <f t="shared" si="47"/>
        <v>69</v>
      </c>
      <c r="R235" s="174">
        <f>VLOOKUP(D235,原始分!$D:$N,9,0)</f>
        <v>55</v>
      </c>
      <c r="S235" s="174">
        <f t="shared" si="48"/>
        <v>73</v>
      </c>
      <c r="T235" s="174">
        <f>VLOOKUP(D235,原始分!$D:$N,10,0)</f>
        <v>0</v>
      </c>
      <c r="U235" s="174">
        <f t="shared" si="49"/>
        <v>316</v>
      </c>
      <c r="V235" s="174">
        <f>VLOOKUP(D235,原始分!$D:$N,11,0)</f>
        <v>0</v>
      </c>
      <c r="W235" s="174">
        <f t="shared" si="50"/>
        <v>565</v>
      </c>
      <c r="X235" s="11">
        <f t="shared" si="51"/>
        <v>266.25</v>
      </c>
      <c r="Y235" s="9">
        <f t="shared" si="52"/>
        <v>732</v>
      </c>
      <c r="Z235" s="11">
        <f t="shared" si="53"/>
        <v>417.75</v>
      </c>
      <c r="AA235" s="9">
        <f t="shared" si="54"/>
        <v>435</v>
      </c>
    </row>
    <row r="236" ht="14.25" spans="1:27">
      <c r="A236" s="13">
        <v>234</v>
      </c>
      <c r="B236" s="15">
        <v>5</v>
      </c>
      <c r="C236" s="16">
        <v>31</v>
      </c>
      <c r="D236" s="17" t="s">
        <v>481</v>
      </c>
      <c r="E236" s="17" t="s">
        <v>482</v>
      </c>
      <c r="F236" s="174">
        <f>VLOOKUP(D236,原始分!$D:$N,3,0)</f>
        <v>90.75</v>
      </c>
      <c r="G236" s="174">
        <f t="shared" si="42"/>
        <v>764</v>
      </c>
      <c r="H236" s="174">
        <f>VLOOKUP(D236,原始分!$D:$N,4,0)</f>
        <v>113.5</v>
      </c>
      <c r="I236" s="174">
        <f t="shared" si="43"/>
        <v>152</v>
      </c>
      <c r="J236" s="174">
        <f>VLOOKUP(D236,原始分!$D:$N,5,0)</f>
        <v>107.5</v>
      </c>
      <c r="K236" s="174">
        <f t="shared" si="44"/>
        <v>216</v>
      </c>
      <c r="L236" s="174">
        <f>VLOOKUP(D236,原始分!$D:$N,6,0)</f>
        <v>44.5</v>
      </c>
      <c r="M236" s="174">
        <f t="shared" si="45"/>
        <v>432</v>
      </c>
      <c r="N236" s="174">
        <f>VLOOKUP(D236,原始分!$D:$N,7,0)</f>
        <v>0</v>
      </c>
      <c r="O236" s="174">
        <f t="shared" si="46"/>
        <v>207</v>
      </c>
      <c r="P236" s="174">
        <f>VLOOKUP(D236,原始分!$D:$N,8,0)</f>
        <v>70</v>
      </c>
      <c r="Q236" s="174">
        <f t="shared" si="47"/>
        <v>3</v>
      </c>
      <c r="R236" s="174">
        <f>VLOOKUP(D236,原始分!$D:$N,9,0)</f>
        <v>44.5</v>
      </c>
      <c r="S236" s="174">
        <f t="shared" si="48"/>
        <v>244</v>
      </c>
      <c r="T236" s="174">
        <f>VLOOKUP(D236,原始分!$D:$N,10,0)</f>
        <v>0</v>
      </c>
      <c r="U236" s="174">
        <f t="shared" si="49"/>
        <v>316</v>
      </c>
      <c r="V236" s="174">
        <f>VLOOKUP(D236,原始分!$D:$N,11,0)</f>
        <v>0</v>
      </c>
      <c r="W236" s="174">
        <f t="shared" si="50"/>
        <v>565</v>
      </c>
      <c r="X236" s="11">
        <f t="shared" si="51"/>
        <v>311.75</v>
      </c>
      <c r="Y236" s="9">
        <f t="shared" si="52"/>
        <v>238</v>
      </c>
      <c r="Z236" s="11">
        <f t="shared" si="53"/>
        <v>470.75</v>
      </c>
      <c r="AA236" s="9">
        <f t="shared" si="54"/>
        <v>171</v>
      </c>
    </row>
    <row r="237" ht="14.25" spans="1:27">
      <c r="A237" s="13">
        <v>235</v>
      </c>
      <c r="B237" s="15">
        <v>5</v>
      </c>
      <c r="C237" s="16">
        <v>32</v>
      </c>
      <c r="D237" s="17" t="s">
        <v>483</v>
      </c>
      <c r="E237" s="17" t="s">
        <v>484</v>
      </c>
      <c r="F237" s="174">
        <f>VLOOKUP(D237,原始分!$D:$N,3,0)</f>
        <v>88</v>
      </c>
      <c r="G237" s="174">
        <f t="shared" si="42"/>
        <v>809</v>
      </c>
      <c r="H237" s="174">
        <f>VLOOKUP(D237,原始分!$D:$N,4,0)</f>
        <v>117.5</v>
      </c>
      <c r="I237" s="174">
        <f t="shared" si="43"/>
        <v>95</v>
      </c>
      <c r="J237" s="174">
        <f>VLOOKUP(D237,原始分!$D:$N,5,0)</f>
        <v>95.5</v>
      </c>
      <c r="K237" s="174">
        <f t="shared" si="44"/>
        <v>477</v>
      </c>
      <c r="L237" s="174">
        <f>VLOOKUP(D237,原始分!$D:$N,6,0)</f>
        <v>45</v>
      </c>
      <c r="M237" s="174">
        <f t="shared" si="45"/>
        <v>424</v>
      </c>
      <c r="N237" s="174">
        <f>VLOOKUP(D237,原始分!$D:$N,7,0)</f>
        <v>0</v>
      </c>
      <c r="O237" s="174">
        <f t="shared" si="46"/>
        <v>207</v>
      </c>
      <c r="P237" s="174">
        <f>VLOOKUP(D237,原始分!$D:$N,8,0)</f>
        <v>40.5</v>
      </c>
      <c r="Q237" s="174">
        <f t="shared" si="47"/>
        <v>303</v>
      </c>
      <c r="R237" s="174">
        <f>VLOOKUP(D237,原始分!$D:$N,9,0)</f>
        <v>49.5</v>
      </c>
      <c r="S237" s="174">
        <f t="shared" si="48"/>
        <v>164</v>
      </c>
      <c r="T237" s="174">
        <f>VLOOKUP(D237,原始分!$D:$N,10,0)</f>
        <v>0</v>
      </c>
      <c r="U237" s="174">
        <f t="shared" si="49"/>
        <v>316</v>
      </c>
      <c r="V237" s="174">
        <f>VLOOKUP(D237,原始分!$D:$N,11,0)</f>
        <v>0</v>
      </c>
      <c r="W237" s="174">
        <f t="shared" si="50"/>
        <v>565</v>
      </c>
      <c r="X237" s="11">
        <f t="shared" si="51"/>
        <v>301</v>
      </c>
      <c r="Y237" s="9">
        <f t="shared" si="52"/>
        <v>366</v>
      </c>
      <c r="Z237" s="11">
        <f t="shared" si="53"/>
        <v>436</v>
      </c>
      <c r="AA237" s="9">
        <f t="shared" si="54"/>
        <v>352</v>
      </c>
    </row>
    <row r="238" ht="14.25" spans="1:27">
      <c r="A238" s="13">
        <v>236</v>
      </c>
      <c r="B238" s="15">
        <v>5</v>
      </c>
      <c r="C238" s="16">
        <v>33</v>
      </c>
      <c r="D238" s="17" t="s">
        <v>485</v>
      </c>
      <c r="E238" s="17" t="s">
        <v>486</v>
      </c>
      <c r="F238" s="174">
        <f>VLOOKUP(D238,原始分!$D:$N,3,0)</f>
        <v>93</v>
      </c>
      <c r="G238" s="174">
        <f t="shared" si="42"/>
        <v>693</v>
      </c>
      <c r="H238" s="174">
        <f>VLOOKUP(D238,原始分!$D:$N,4,0)</f>
        <v>110</v>
      </c>
      <c r="I238" s="174">
        <f t="shared" si="43"/>
        <v>223</v>
      </c>
      <c r="J238" s="174">
        <f>VLOOKUP(D238,原始分!$D:$N,5,0)</f>
        <v>79.5</v>
      </c>
      <c r="K238" s="174">
        <f t="shared" si="44"/>
        <v>753</v>
      </c>
      <c r="L238" s="174">
        <f>VLOOKUP(D238,原始分!$D:$N,6,0)</f>
        <v>34</v>
      </c>
      <c r="M238" s="174">
        <f t="shared" si="45"/>
        <v>588</v>
      </c>
      <c r="N238" s="174">
        <f>VLOOKUP(D238,原始分!$D:$N,7,0)</f>
        <v>0</v>
      </c>
      <c r="O238" s="174">
        <f t="shared" si="46"/>
        <v>207</v>
      </c>
      <c r="P238" s="174">
        <f>VLOOKUP(D238,原始分!$D:$N,8,0)</f>
        <v>41</v>
      </c>
      <c r="Q238" s="174">
        <f t="shared" si="47"/>
        <v>296</v>
      </c>
      <c r="R238" s="174">
        <f>VLOOKUP(D238,原始分!$D:$N,9,0)</f>
        <v>48</v>
      </c>
      <c r="S238" s="174">
        <f t="shared" si="48"/>
        <v>193</v>
      </c>
      <c r="T238" s="174">
        <f>VLOOKUP(D238,原始分!$D:$N,10,0)</f>
        <v>0</v>
      </c>
      <c r="U238" s="174">
        <f t="shared" si="49"/>
        <v>316</v>
      </c>
      <c r="V238" s="174">
        <f>VLOOKUP(D238,原始分!$D:$N,11,0)</f>
        <v>0</v>
      </c>
      <c r="W238" s="174">
        <f t="shared" si="50"/>
        <v>565</v>
      </c>
      <c r="X238" s="11">
        <f t="shared" si="51"/>
        <v>282.5</v>
      </c>
      <c r="Y238" s="9">
        <f t="shared" si="52"/>
        <v>571</v>
      </c>
      <c r="Z238" s="11">
        <f t="shared" si="53"/>
        <v>405.5</v>
      </c>
      <c r="AA238" s="9">
        <f t="shared" si="54"/>
        <v>494</v>
      </c>
    </row>
    <row r="239" ht="14.25" spans="1:27">
      <c r="A239" s="13">
        <v>237</v>
      </c>
      <c r="B239" s="15">
        <v>5</v>
      </c>
      <c r="C239" s="16">
        <v>34</v>
      </c>
      <c r="D239" s="17" t="s">
        <v>487</v>
      </c>
      <c r="E239" s="17" t="s">
        <v>488</v>
      </c>
      <c r="F239" s="174">
        <f>VLOOKUP(D239,原始分!$D:$N,3,0)</f>
        <v>100</v>
      </c>
      <c r="G239" s="174">
        <f t="shared" si="42"/>
        <v>400</v>
      </c>
      <c r="H239" s="174">
        <f>VLOOKUP(D239,原始分!$D:$N,4,0)</f>
        <v>118</v>
      </c>
      <c r="I239" s="174">
        <f t="shared" si="43"/>
        <v>91</v>
      </c>
      <c r="J239" s="174">
        <f>VLOOKUP(D239,原始分!$D:$N,5,0)</f>
        <v>95.75</v>
      </c>
      <c r="K239" s="174">
        <f t="shared" si="44"/>
        <v>472</v>
      </c>
      <c r="L239" s="174">
        <f>VLOOKUP(D239,原始分!$D:$N,6,0)</f>
        <v>61</v>
      </c>
      <c r="M239" s="174">
        <f t="shared" si="45"/>
        <v>168</v>
      </c>
      <c r="N239" s="174">
        <f>VLOOKUP(D239,原始分!$D:$N,7,0)</f>
        <v>0</v>
      </c>
      <c r="O239" s="174">
        <f t="shared" si="46"/>
        <v>207</v>
      </c>
      <c r="P239" s="174">
        <f>VLOOKUP(D239,原始分!$D:$N,8,0)</f>
        <v>54.5</v>
      </c>
      <c r="Q239" s="174">
        <f t="shared" si="47"/>
        <v>54</v>
      </c>
      <c r="R239" s="174">
        <f>VLOOKUP(D239,原始分!$D:$N,9,0)</f>
        <v>52</v>
      </c>
      <c r="S239" s="174">
        <f t="shared" si="48"/>
        <v>121</v>
      </c>
      <c r="T239" s="174">
        <f>VLOOKUP(D239,原始分!$D:$N,10,0)</f>
        <v>0</v>
      </c>
      <c r="U239" s="174">
        <f t="shared" si="49"/>
        <v>316</v>
      </c>
      <c r="V239" s="174">
        <f>VLOOKUP(D239,原始分!$D:$N,11,0)</f>
        <v>0</v>
      </c>
      <c r="W239" s="174">
        <f t="shared" si="50"/>
        <v>565</v>
      </c>
      <c r="X239" s="11">
        <f t="shared" si="51"/>
        <v>313.75</v>
      </c>
      <c r="Y239" s="9">
        <f t="shared" si="52"/>
        <v>220</v>
      </c>
      <c r="Z239" s="11">
        <f t="shared" si="53"/>
        <v>481.25</v>
      </c>
      <c r="AA239" s="9">
        <f t="shared" si="54"/>
        <v>127</v>
      </c>
    </row>
    <row r="240" ht="14.25" spans="1:27">
      <c r="A240" s="13">
        <v>238</v>
      </c>
      <c r="B240" s="15">
        <v>5</v>
      </c>
      <c r="C240" s="16">
        <v>35</v>
      </c>
      <c r="D240" s="17" t="s">
        <v>489</v>
      </c>
      <c r="E240" s="17" t="s">
        <v>490</v>
      </c>
      <c r="F240" s="174">
        <f>VLOOKUP(D240,原始分!$D:$N,3,0)</f>
        <v>101</v>
      </c>
      <c r="G240" s="174">
        <f t="shared" si="42"/>
        <v>338</v>
      </c>
      <c r="H240" s="174">
        <f>VLOOKUP(D240,原始分!$D:$N,4,0)</f>
        <v>104.5</v>
      </c>
      <c r="I240" s="174">
        <f t="shared" si="43"/>
        <v>327</v>
      </c>
      <c r="J240" s="174">
        <f>VLOOKUP(D240,原始分!$D:$N,5,0)</f>
        <v>96.5</v>
      </c>
      <c r="K240" s="174">
        <f t="shared" si="44"/>
        <v>455</v>
      </c>
      <c r="L240" s="174">
        <f>VLOOKUP(D240,原始分!$D:$N,6,0)</f>
        <v>54.5</v>
      </c>
      <c r="M240" s="174">
        <f t="shared" si="45"/>
        <v>281</v>
      </c>
      <c r="N240" s="174">
        <f>VLOOKUP(D240,原始分!$D:$N,7,0)</f>
        <v>0</v>
      </c>
      <c r="O240" s="174">
        <f t="shared" si="46"/>
        <v>207</v>
      </c>
      <c r="P240" s="174">
        <f>VLOOKUP(D240,原始分!$D:$N,8,0)</f>
        <v>33</v>
      </c>
      <c r="Q240" s="174">
        <f t="shared" si="47"/>
        <v>435</v>
      </c>
      <c r="R240" s="174">
        <f>VLOOKUP(D240,原始分!$D:$N,9,0)</f>
        <v>48.5</v>
      </c>
      <c r="S240" s="174">
        <f t="shared" si="48"/>
        <v>182</v>
      </c>
      <c r="T240" s="174">
        <f>VLOOKUP(D240,原始分!$D:$N,10,0)</f>
        <v>0</v>
      </c>
      <c r="U240" s="174">
        <f t="shared" si="49"/>
        <v>316</v>
      </c>
      <c r="V240" s="174">
        <f>VLOOKUP(D240,原始分!$D:$N,11,0)</f>
        <v>0</v>
      </c>
      <c r="W240" s="174">
        <f t="shared" si="50"/>
        <v>565</v>
      </c>
      <c r="X240" s="11">
        <f t="shared" si="51"/>
        <v>302</v>
      </c>
      <c r="Y240" s="9">
        <f t="shared" si="52"/>
        <v>348</v>
      </c>
      <c r="Z240" s="11">
        <f t="shared" si="53"/>
        <v>438</v>
      </c>
      <c r="AA240" s="9">
        <f t="shared" si="54"/>
        <v>340</v>
      </c>
    </row>
    <row r="241" ht="14.25" spans="1:27">
      <c r="A241" s="13">
        <v>239</v>
      </c>
      <c r="B241" s="15">
        <v>5</v>
      </c>
      <c r="C241" s="16">
        <v>36</v>
      </c>
      <c r="D241" s="17" t="s">
        <v>491</v>
      </c>
      <c r="E241" s="17" t="s">
        <v>492</v>
      </c>
      <c r="F241" s="174">
        <f>VLOOKUP(D241,原始分!$D:$N,3,0)</f>
        <v>94</v>
      </c>
      <c r="G241" s="174">
        <f t="shared" si="42"/>
        <v>661</v>
      </c>
      <c r="H241" s="174">
        <f>VLOOKUP(D241,原始分!$D:$N,4,0)</f>
        <v>93</v>
      </c>
      <c r="I241" s="174">
        <f t="shared" si="43"/>
        <v>561</v>
      </c>
      <c r="J241" s="174">
        <f>VLOOKUP(D241,原始分!$D:$N,5,0)</f>
        <v>111.5</v>
      </c>
      <c r="K241" s="174">
        <f t="shared" si="44"/>
        <v>152</v>
      </c>
      <c r="L241" s="174">
        <f>VLOOKUP(D241,原始分!$D:$N,6,0)</f>
        <v>30</v>
      </c>
      <c r="M241" s="174">
        <f t="shared" si="45"/>
        <v>611</v>
      </c>
      <c r="N241" s="174">
        <f>VLOOKUP(D241,原始分!$D:$N,7,0)</f>
        <v>0</v>
      </c>
      <c r="O241" s="174">
        <f t="shared" si="46"/>
        <v>207</v>
      </c>
      <c r="P241" s="174">
        <f>VLOOKUP(D241,原始分!$D:$N,8,0)</f>
        <v>34.5</v>
      </c>
      <c r="Q241" s="174">
        <f t="shared" si="47"/>
        <v>409</v>
      </c>
      <c r="R241" s="174">
        <f>VLOOKUP(D241,原始分!$D:$N,9,0)</f>
        <v>45</v>
      </c>
      <c r="S241" s="174">
        <f t="shared" si="48"/>
        <v>236</v>
      </c>
      <c r="T241" s="174">
        <f>VLOOKUP(D241,原始分!$D:$N,10,0)</f>
        <v>0</v>
      </c>
      <c r="U241" s="174">
        <f t="shared" si="49"/>
        <v>316</v>
      </c>
      <c r="V241" s="174">
        <f>VLOOKUP(D241,原始分!$D:$N,11,0)</f>
        <v>0</v>
      </c>
      <c r="W241" s="174">
        <f t="shared" si="50"/>
        <v>565</v>
      </c>
      <c r="X241" s="11">
        <f t="shared" si="51"/>
        <v>298.5</v>
      </c>
      <c r="Y241" s="9">
        <f t="shared" si="52"/>
        <v>390</v>
      </c>
      <c r="Z241" s="11">
        <f t="shared" si="53"/>
        <v>408</v>
      </c>
      <c r="AA241" s="9">
        <f t="shared" si="54"/>
        <v>479</v>
      </c>
    </row>
    <row r="242" ht="14.25" spans="1:27">
      <c r="A242" s="13">
        <v>240</v>
      </c>
      <c r="B242" s="15">
        <v>5</v>
      </c>
      <c r="C242" s="16">
        <v>37</v>
      </c>
      <c r="D242" s="17" t="s">
        <v>493</v>
      </c>
      <c r="E242" s="17" t="s">
        <v>494</v>
      </c>
      <c r="F242" s="174">
        <f>VLOOKUP(D242,原始分!$D:$N,3,0)</f>
        <v>90.5</v>
      </c>
      <c r="G242" s="174">
        <f t="shared" si="42"/>
        <v>765</v>
      </c>
      <c r="H242" s="174">
        <f>VLOOKUP(D242,原始分!$D:$N,4,0)</f>
        <v>93.5</v>
      </c>
      <c r="I242" s="174">
        <f t="shared" si="43"/>
        <v>549</v>
      </c>
      <c r="J242" s="174">
        <f>VLOOKUP(D242,原始分!$D:$N,5,0)</f>
        <v>79</v>
      </c>
      <c r="K242" s="174">
        <f t="shared" si="44"/>
        <v>757</v>
      </c>
      <c r="L242" s="174">
        <f>VLOOKUP(D242,原始分!$D:$N,6,0)</f>
        <v>38</v>
      </c>
      <c r="M242" s="174">
        <f t="shared" si="45"/>
        <v>537</v>
      </c>
      <c r="N242" s="174">
        <f>VLOOKUP(D242,原始分!$D:$N,7,0)</f>
        <v>0</v>
      </c>
      <c r="O242" s="174">
        <f t="shared" si="46"/>
        <v>207</v>
      </c>
      <c r="P242" s="174">
        <f>VLOOKUP(D242,原始分!$D:$N,8,0)</f>
        <v>34</v>
      </c>
      <c r="Q242" s="174">
        <f t="shared" si="47"/>
        <v>414</v>
      </c>
      <c r="R242" s="174">
        <f>VLOOKUP(D242,原始分!$D:$N,9,0)</f>
        <v>45</v>
      </c>
      <c r="S242" s="174">
        <f t="shared" si="48"/>
        <v>236</v>
      </c>
      <c r="T242" s="174">
        <f>VLOOKUP(D242,原始分!$D:$N,10,0)</f>
        <v>0</v>
      </c>
      <c r="U242" s="174">
        <f t="shared" si="49"/>
        <v>316</v>
      </c>
      <c r="V242" s="174">
        <f>VLOOKUP(D242,原始分!$D:$N,11,0)</f>
        <v>0</v>
      </c>
      <c r="W242" s="174">
        <f t="shared" si="50"/>
        <v>565</v>
      </c>
      <c r="X242" s="11">
        <f t="shared" si="51"/>
        <v>263</v>
      </c>
      <c r="Y242" s="9">
        <f t="shared" si="52"/>
        <v>757</v>
      </c>
      <c r="Z242" s="11">
        <f t="shared" si="53"/>
        <v>380</v>
      </c>
      <c r="AA242" s="9">
        <f t="shared" si="54"/>
        <v>577</v>
      </c>
    </row>
    <row r="243" ht="14.25" spans="1:27">
      <c r="A243" s="13">
        <v>241</v>
      </c>
      <c r="B243" s="15">
        <v>5</v>
      </c>
      <c r="C243" s="16">
        <v>38</v>
      </c>
      <c r="D243" s="17" t="s">
        <v>495</v>
      </c>
      <c r="E243" s="17" t="s">
        <v>496</v>
      </c>
      <c r="F243" s="174">
        <f>VLOOKUP(D243,原始分!$D:$N,3,0)</f>
        <v>90.5</v>
      </c>
      <c r="G243" s="174">
        <f t="shared" si="42"/>
        <v>765</v>
      </c>
      <c r="H243" s="174">
        <f>VLOOKUP(D243,原始分!$D:$N,4,0)</f>
        <v>88</v>
      </c>
      <c r="I243" s="174">
        <f t="shared" si="43"/>
        <v>654</v>
      </c>
      <c r="J243" s="174">
        <f>VLOOKUP(D243,原始分!$D:$N,5,0)</f>
        <v>93.5</v>
      </c>
      <c r="K243" s="174">
        <f t="shared" si="44"/>
        <v>515</v>
      </c>
      <c r="L243" s="174">
        <f>VLOOKUP(D243,原始分!$D:$N,6,0)</f>
        <v>49</v>
      </c>
      <c r="M243" s="174">
        <f t="shared" si="45"/>
        <v>354</v>
      </c>
      <c r="N243" s="174">
        <f>VLOOKUP(D243,原始分!$D:$N,7,0)</f>
        <v>0</v>
      </c>
      <c r="O243" s="174">
        <f t="shared" si="46"/>
        <v>207</v>
      </c>
      <c r="P243" s="174">
        <f>VLOOKUP(D243,原始分!$D:$N,8,0)</f>
        <v>47.5</v>
      </c>
      <c r="Q243" s="174">
        <f t="shared" si="47"/>
        <v>157</v>
      </c>
      <c r="R243" s="174">
        <f>VLOOKUP(D243,原始分!$D:$N,9,0)</f>
        <v>54</v>
      </c>
      <c r="S243" s="174">
        <f t="shared" si="48"/>
        <v>89</v>
      </c>
      <c r="T243" s="174">
        <f>VLOOKUP(D243,原始分!$D:$N,10,0)</f>
        <v>0</v>
      </c>
      <c r="U243" s="174">
        <f t="shared" si="49"/>
        <v>316</v>
      </c>
      <c r="V243" s="174">
        <f>VLOOKUP(D243,原始分!$D:$N,11,0)</f>
        <v>0</v>
      </c>
      <c r="W243" s="174">
        <f t="shared" si="50"/>
        <v>565</v>
      </c>
      <c r="X243" s="11">
        <f t="shared" si="51"/>
        <v>272</v>
      </c>
      <c r="Y243" s="9">
        <f t="shared" si="52"/>
        <v>679</v>
      </c>
      <c r="Z243" s="11">
        <f t="shared" si="53"/>
        <v>422.5</v>
      </c>
      <c r="AA243" s="9">
        <f t="shared" si="54"/>
        <v>421</v>
      </c>
    </row>
    <row r="244" ht="14.25" spans="1:27">
      <c r="A244" s="13">
        <v>242</v>
      </c>
      <c r="B244" s="15">
        <v>5</v>
      </c>
      <c r="C244" s="16">
        <v>39</v>
      </c>
      <c r="D244" s="17" t="s">
        <v>497</v>
      </c>
      <c r="E244" s="17" t="s">
        <v>498</v>
      </c>
      <c r="F244" s="174">
        <f>VLOOKUP(D244,原始分!$D:$N,3,0)</f>
        <v>90.5</v>
      </c>
      <c r="G244" s="174">
        <f t="shared" si="42"/>
        <v>765</v>
      </c>
      <c r="H244" s="174">
        <f>VLOOKUP(D244,原始分!$D:$N,4,0)</f>
        <v>103</v>
      </c>
      <c r="I244" s="174">
        <f t="shared" si="43"/>
        <v>366</v>
      </c>
      <c r="J244" s="174">
        <f>VLOOKUP(D244,原始分!$D:$N,5,0)</f>
        <v>98</v>
      </c>
      <c r="K244" s="174">
        <f t="shared" si="44"/>
        <v>425</v>
      </c>
      <c r="L244" s="174">
        <f>VLOOKUP(D244,原始分!$D:$N,6,0)</f>
        <v>81.5</v>
      </c>
      <c r="M244" s="174">
        <f t="shared" si="45"/>
        <v>9</v>
      </c>
      <c r="N244" s="174">
        <f>VLOOKUP(D244,原始分!$D:$N,7,0)</f>
        <v>0</v>
      </c>
      <c r="O244" s="174">
        <f t="shared" si="46"/>
        <v>207</v>
      </c>
      <c r="P244" s="174">
        <f>VLOOKUP(D244,原始分!$D:$N,8,0)</f>
        <v>27</v>
      </c>
      <c r="Q244" s="174">
        <f t="shared" si="47"/>
        <v>498</v>
      </c>
      <c r="R244" s="174">
        <f>VLOOKUP(D244,原始分!$D:$N,9,0)</f>
        <v>55.5</v>
      </c>
      <c r="S244" s="174">
        <f t="shared" si="48"/>
        <v>64</v>
      </c>
      <c r="T244" s="174">
        <f>VLOOKUP(D244,原始分!$D:$N,10,0)</f>
        <v>0</v>
      </c>
      <c r="U244" s="174">
        <f t="shared" si="49"/>
        <v>316</v>
      </c>
      <c r="V244" s="174">
        <f>VLOOKUP(D244,原始分!$D:$N,11,0)</f>
        <v>0</v>
      </c>
      <c r="W244" s="174">
        <f t="shared" si="50"/>
        <v>565</v>
      </c>
      <c r="X244" s="11">
        <f t="shared" si="51"/>
        <v>291.5</v>
      </c>
      <c r="Y244" s="9">
        <f t="shared" si="52"/>
        <v>482</v>
      </c>
      <c r="Z244" s="11">
        <f t="shared" si="53"/>
        <v>455.5</v>
      </c>
      <c r="AA244" s="9">
        <f t="shared" si="54"/>
        <v>247</v>
      </c>
    </row>
    <row r="245" ht="14.25" spans="1:27">
      <c r="A245" s="13">
        <v>243</v>
      </c>
      <c r="B245" s="15">
        <v>5</v>
      </c>
      <c r="C245" s="16">
        <v>40</v>
      </c>
      <c r="D245" s="17" t="s">
        <v>499</v>
      </c>
      <c r="E245" s="17" t="s">
        <v>500</v>
      </c>
      <c r="F245" s="174">
        <f>VLOOKUP(D245,原始分!$D:$N,3,0)</f>
        <v>103</v>
      </c>
      <c r="G245" s="174">
        <f t="shared" si="42"/>
        <v>260</v>
      </c>
      <c r="H245" s="174">
        <f>VLOOKUP(D245,原始分!$D:$N,4,0)</f>
        <v>97.5</v>
      </c>
      <c r="I245" s="174">
        <f t="shared" si="43"/>
        <v>464</v>
      </c>
      <c r="J245" s="174">
        <f>VLOOKUP(D245,原始分!$D:$N,5,0)</f>
        <v>112</v>
      </c>
      <c r="K245" s="174">
        <f t="shared" si="44"/>
        <v>143</v>
      </c>
      <c r="L245" s="174">
        <f>VLOOKUP(D245,原始分!$D:$N,6,0)</f>
        <v>44</v>
      </c>
      <c r="M245" s="174">
        <f t="shared" si="45"/>
        <v>441</v>
      </c>
      <c r="N245" s="174">
        <f>VLOOKUP(D245,原始分!$D:$N,7,0)</f>
        <v>0</v>
      </c>
      <c r="O245" s="174">
        <f t="shared" si="46"/>
        <v>207</v>
      </c>
      <c r="P245" s="174">
        <f>VLOOKUP(D245,原始分!$D:$N,8,0)</f>
        <v>44</v>
      </c>
      <c r="Q245" s="174">
        <f t="shared" si="47"/>
        <v>227</v>
      </c>
      <c r="R245" s="174">
        <f>VLOOKUP(D245,原始分!$D:$N,9,0)</f>
        <v>52</v>
      </c>
      <c r="S245" s="174">
        <f t="shared" si="48"/>
        <v>121</v>
      </c>
      <c r="T245" s="174">
        <f>VLOOKUP(D245,原始分!$D:$N,10,0)</f>
        <v>0</v>
      </c>
      <c r="U245" s="174">
        <f t="shared" si="49"/>
        <v>316</v>
      </c>
      <c r="V245" s="174">
        <f>VLOOKUP(D245,原始分!$D:$N,11,0)</f>
        <v>0</v>
      </c>
      <c r="W245" s="174">
        <f t="shared" si="50"/>
        <v>565</v>
      </c>
      <c r="X245" s="11">
        <f t="shared" si="51"/>
        <v>312.5</v>
      </c>
      <c r="Y245" s="9">
        <f t="shared" si="52"/>
        <v>231</v>
      </c>
      <c r="Z245" s="11">
        <f t="shared" si="53"/>
        <v>452.5</v>
      </c>
      <c r="AA245" s="9">
        <f t="shared" si="54"/>
        <v>261</v>
      </c>
    </row>
    <row r="246" ht="14.25" spans="1:27">
      <c r="A246" s="13">
        <v>244</v>
      </c>
      <c r="B246" s="15">
        <v>5</v>
      </c>
      <c r="C246" s="16">
        <v>41</v>
      </c>
      <c r="D246" s="17" t="s">
        <v>501</v>
      </c>
      <c r="E246" s="17" t="s">
        <v>502</v>
      </c>
      <c r="F246" s="174">
        <f>VLOOKUP(D246,原始分!$D:$N,3,0)</f>
        <v>101</v>
      </c>
      <c r="G246" s="174">
        <f t="shared" si="42"/>
        <v>338</v>
      </c>
      <c r="H246" s="174">
        <f>VLOOKUP(D246,原始分!$D:$N,4,0)</f>
        <v>91</v>
      </c>
      <c r="I246" s="174">
        <f t="shared" si="43"/>
        <v>592</v>
      </c>
      <c r="J246" s="174">
        <f>VLOOKUP(D246,原始分!$D:$N,5,0)</f>
        <v>91</v>
      </c>
      <c r="K246" s="174">
        <f t="shared" si="44"/>
        <v>572</v>
      </c>
      <c r="L246" s="174">
        <f>VLOOKUP(D246,原始分!$D:$N,6,0)</f>
        <v>40.5</v>
      </c>
      <c r="M246" s="174">
        <f t="shared" si="45"/>
        <v>497</v>
      </c>
      <c r="N246" s="174">
        <f>VLOOKUP(D246,原始分!$D:$N,7,0)</f>
        <v>0</v>
      </c>
      <c r="O246" s="174">
        <f t="shared" si="46"/>
        <v>207</v>
      </c>
      <c r="P246" s="174">
        <f>VLOOKUP(D246,原始分!$D:$N,8,0)</f>
        <v>46</v>
      </c>
      <c r="Q246" s="174">
        <f t="shared" si="47"/>
        <v>194</v>
      </c>
      <c r="R246" s="174">
        <f>VLOOKUP(D246,原始分!$D:$N,9,0)</f>
        <v>41</v>
      </c>
      <c r="S246" s="174">
        <f t="shared" si="48"/>
        <v>287</v>
      </c>
      <c r="T246" s="174">
        <f>VLOOKUP(D246,原始分!$D:$N,10,0)</f>
        <v>0</v>
      </c>
      <c r="U246" s="174">
        <f t="shared" si="49"/>
        <v>316</v>
      </c>
      <c r="V246" s="174">
        <f>VLOOKUP(D246,原始分!$D:$N,11,0)</f>
        <v>0</v>
      </c>
      <c r="W246" s="174">
        <f t="shared" si="50"/>
        <v>565</v>
      </c>
      <c r="X246" s="11">
        <f t="shared" si="51"/>
        <v>283</v>
      </c>
      <c r="Y246" s="9">
        <f t="shared" si="52"/>
        <v>564</v>
      </c>
      <c r="Z246" s="11">
        <f t="shared" si="53"/>
        <v>410.5</v>
      </c>
      <c r="AA246" s="9">
        <f t="shared" si="54"/>
        <v>471</v>
      </c>
    </row>
    <row r="247" ht="14.25" spans="1:27">
      <c r="A247" s="13">
        <v>245</v>
      </c>
      <c r="B247" s="15">
        <v>5</v>
      </c>
      <c r="C247" s="16">
        <v>42</v>
      </c>
      <c r="D247" s="17" t="s">
        <v>503</v>
      </c>
      <c r="E247" s="17" t="s">
        <v>288</v>
      </c>
      <c r="F247" s="174">
        <f>VLOOKUP(D247,原始分!$D:$N,3,0)</f>
        <v>93.5</v>
      </c>
      <c r="G247" s="174">
        <f t="shared" si="42"/>
        <v>676</v>
      </c>
      <c r="H247" s="174">
        <f>VLOOKUP(D247,原始分!$D:$N,4,0)</f>
        <v>108.25</v>
      </c>
      <c r="I247" s="174">
        <f t="shared" si="43"/>
        <v>256</v>
      </c>
      <c r="J247" s="174">
        <f>VLOOKUP(D247,原始分!$D:$N,5,0)</f>
        <v>81.75</v>
      </c>
      <c r="K247" s="174">
        <f t="shared" si="44"/>
        <v>724</v>
      </c>
      <c r="L247" s="174">
        <f>VLOOKUP(D247,原始分!$D:$N,6,0)</f>
        <v>45.5</v>
      </c>
      <c r="M247" s="174">
        <f t="shared" si="45"/>
        <v>417</v>
      </c>
      <c r="N247" s="174">
        <f>VLOOKUP(D247,原始分!$D:$N,7,0)</f>
        <v>0</v>
      </c>
      <c r="O247" s="174">
        <f t="shared" si="46"/>
        <v>207</v>
      </c>
      <c r="P247" s="174">
        <f>VLOOKUP(D247,原始分!$D:$N,8,0)</f>
        <v>49</v>
      </c>
      <c r="Q247" s="174">
        <f t="shared" si="47"/>
        <v>132</v>
      </c>
      <c r="R247" s="174">
        <f>VLOOKUP(D247,原始分!$D:$N,9,0)</f>
        <v>46.5</v>
      </c>
      <c r="S247" s="174">
        <f t="shared" si="48"/>
        <v>213</v>
      </c>
      <c r="T247" s="174">
        <f>VLOOKUP(D247,原始分!$D:$N,10,0)</f>
        <v>0</v>
      </c>
      <c r="U247" s="174">
        <f t="shared" si="49"/>
        <v>316</v>
      </c>
      <c r="V247" s="174">
        <f>VLOOKUP(D247,原始分!$D:$N,11,0)</f>
        <v>0</v>
      </c>
      <c r="W247" s="174">
        <f t="shared" si="50"/>
        <v>565</v>
      </c>
      <c r="X247" s="11">
        <f t="shared" si="51"/>
        <v>283.5</v>
      </c>
      <c r="Y247" s="9">
        <f t="shared" si="52"/>
        <v>555</v>
      </c>
      <c r="Z247" s="11">
        <f t="shared" si="53"/>
        <v>424.5</v>
      </c>
      <c r="AA247" s="9">
        <f t="shared" si="54"/>
        <v>403</v>
      </c>
    </row>
    <row r="248" ht="14.25" spans="1:27">
      <c r="A248" s="13">
        <v>246</v>
      </c>
      <c r="B248" s="15">
        <v>5</v>
      </c>
      <c r="C248" s="16">
        <v>43</v>
      </c>
      <c r="D248" s="17" t="s">
        <v>504</v>
      </c>
      <c r="E248" s="17" t="s">
        <v>505</v>
      </c>
      <c r="F248" s="174">
        <f>VLOOKUP(D248,原始分!$D:$N,3,0)</f>
        <v>97</v>
      </c>
      <c r="G248" s="174">
        <f t="shared" si="42"/>
        <v>551</v>
      </c>
      <c r="H248" s="174">
        <f>VLOOKUP(D248,原始分!$D:$N,4,0)</f>
        <v>112.5</v>
      </c>
      <c r="I248" s="174">
        <f t="shared" si="43"/>
        <v>170</v>
      </c>
      <c r="J248" s="174">
        <f>VLOOKUP(D248,原始分!$D:$N,5,0)</f>
        <v>96</v>
      </c>
      <c r="K248" s="174">
        <f t="shared" si="44"/>
        <v>465</v>
      </c>
      <c r="L248" s="174">
        <f>VLOOKUP(D248,原始分!$D:$N,6,0)</f>
        <v>53</v>
      </c>
      <c r="M248" s="174">
        <f t="shared" si="45"/>
        <v>300</v>
      </c>
      <c r="N248" s="174">
        <f>VLOOKUP(D248,原始分!$D:$N,7,0)</f>
        <v>0</v>
      </c>
      <c r="O248" s="174">
        <f t="shared" si="46"/>
        <v>207</v>
      </c>
      <c r="P248" s="174">
        <f>VLOOKUP(D248,原始分!$D:$N,8,0)</f>
        <v>47.5</v>
      </c>
      <c r="Q248" s="174">
        <f t="shared" si="47"/>
        <v>157</v>
      </c>
      <c r="R248" s="174">
        <f>VLOOKUP(D248,原始分!$D:$N,9,0)</f>
        <v>55</v>
      </c>
      <c r="S248" s="174">
        <f t="shared" si="48"/>
        <v>73</v>
      </c>
      <c r="T248" s="174">
        <f>VLOOKUP(D248,原始分!$D:$N,10,0)</f>
        <v>0</v>
      </c>
      <c r="U248" s="174">
        <f t="shared" si="49"/>
        <v>316</v>
      </c>
      <c r="V248" s="174">
        <f>VLOOKUP(D248,原始分!$D:$N,11,0)</f>
        <v>0</v>
      </c>
      <c r="W248" s="174">
        <f t="shared" si="50"/>
        <v>565</v>
      </c>
      <c r="X248" s="11">
        <f t="shared" si="51"/>
        <v>305.5</v>
      </c>
      <c r="Y248" s="9">
        <f t="shared" si="52"/>
        <v>314</v>
      </c>
      <c r="Z248" s="11">
        <f t="shared" si="53"/>
        <v>461</v>
      </c>
      <c r="AA248" s="9">
        <f t="shared" si="54"/>
        <v>217</v>
      </c>
    </row>
    <row r="249" ht="14.25" spans="1:27">
      <c r="A249" s="13">
        <v>247</v>
      </c>
      <c r="B249" s="15">
        <v>5</v>
      </c>
      <c r="C249" s="16">
        <v>44</v>
      </c>
      <c r="D249" s="17" t="s">
        <v>506</v>
      </c>
      <c r="E249" s="17" t="s">
        <v>507</v>
      </c>
      <c r="F249" s="174">
        <f>VLOOKUP(D249,原始分!$D:$N,3,0)</f>
        <v>101</v>
      </c>
      <c r="G249" s="174">
        <f t="shared" si="42"/>
        <v>338</v>
      </c>
      <c r="H249" s="174">
        <f>VLOOKUP(D249,原始分!$D:$N,4,0)</f>
        <v>115</v>
      </c>
      <c r="I249" s="174">
        <f t="shared" si="43"/>
        <v>130</v>
      </c>
      <c r="J249" s="174">
        <f>VLOOKUP(D249,原始分!$D:$N,5,0)</f>
        <v>94.75</v>
      </c>
      <c r="K249" s="174">
        <f t="shared" si="44"/>
        <v>493</v>
      </c>
      <c r="L249" s="174">
        <f>VLOOKUP(D249,原始分!$D:$N,6,0)</f>
        <v>38.5</v>
      </c>
      <c r="M249" s="174">
        <f t="shared" si="45"/>
        <v>528</v>
      </c>
      <c r="N249" s="174">
        <f>VLOOKUP(D249,原始分!$D:$N,7,0)</f>
        <v>0</v>
      </c>
      <c r="O249" s="174">
        <f t="shared" si="46"/>
        <v>207</v>
      </c>
      <c r="P249" s="174">
        <f>VLOOKUP(D249,原始分!$D:$N,8,0)</f>
        <v>42</v>
      </c>
      <c r="Q249" s="174">
        <f t="shared" si="47"/>
        <v>266</v>
      </c>
      <c r="R249" s="174">
        <f>VLOOKUP(D249,原始分!$D:$N,9,0)</f>
        <v>45.5</v>
      </c>
      <c r="S249" s="174">
        <f t="shared" si="48"/>
        <v>232</v>
      </c>
      <c r="T249" s="174">
        <f>VLOOKUP(D249,原始分!$D:$N,10,0)</f>
        <v>0</v>
      </c>
      <c r="U249" s="174">
        <f t="shared" si="49"/>
        <v>316</v>
      </c>
      <c r="V249" s="174">
        <f>VLOOKUP(D249,原始分!$D:$N,11,0)</f>
        <v>0</v>
      </c>
      <c r="W249" s="174">
        <f t="shared" si="50"/>
        <v>565</v>
      </c>
      <c r="X249" s="11">
        <f t="shared" si="51"/>
        <v>310.75</v>
      </c>
      <c r="Y249" s="9">
        <f t="shared" si="52"/>
        <v>252</v>
      </c>
      <c r="Z249" s="11">
        <f t="shared" si="53"/>
        <v>436.75</v>
      </c>
      <c r="AA249" s="9">
        <f t="shared" si="54"/>
        <v>348</v>
      </c>
    </row>
    <row r="250" ht="14.25" spans="1:27">
      <c r="A250" s="13">
        <v>248</v>
      </c>
      <c r="B250" s="15">
        <v>5</v>
      </c>
      <c r="C250" s="16">
        <v>45</v>
      </c>
      <c r="D250" s="17" t="s">
        <v>508</v>
      </c>
      <c r="E250" s="17" t="s">
        <v>362</v>
      </c>
      <c r="F250" s="174">
        <f>VLOOKUP(D250,原始分!$D:$N,3,0)</f>
        <v>91</v>
      </c>
      <c r="G250" s="174">
        <f t="shared" si="42"/>
        <v>749</v>
      </c>
      <c r="H250" s="174">
        <f>VLOOKUP(D250,原始分!$D:$N,4,0)</f>
        <v>89.5</v>
      </c>
      <c r="I250" s="174">
        <f t="shared" si="43"/>
        <v>622</v>
      </c>
      <c r="J250" s="174">
        <f>VLOOKUP(D250,原始分!$D:$N,5,0)</f>
        <v>82.75</v>
      </c>
      <c r="K250" s="174">
        <f t="shared" si="44"/>
        <v>706</v>
      </c>
      <c r="L250" s="174">
        <f>VLOOKUP(D250,原始分!$D:$N,6,0)</f>
        <v>48</v>
      </c>
      <c r="M250" s="174">
        <f t="shared" si="45"/>
        <v>375</v>
      </c>
      <c r="N250" s="174">
        <f>VLOOKUP(D250,原始分!$D:$N,7,0)</f>
        <v>0</v>
      </c>
      <c r="O250" s="174">
        <f t="shared" si="46"/>
        <v>207</v>
      </c>
      <c r="P250" s="174">
        <f>VLOOKUP(D250,原始分!$D:$N,8,0)</f>
        <v>30.5</v>
      </c>
      <c r="Q250" s="174">
        <f t="shared" si="47"/>
        <v>470</v>
      </c>
      <c r="R250" s="174">
        <f>VLOOKUP(D250,原始分!$D:$N,9,0)</f>
        <v>53.5</v>
      </c>
      <c r="S250" s="174">
        <f t="shared" si="48"/>
        <v>98</v>
      </c>
      <c r="T250" s="174">
        <f>VLOOKUP(D250,原始分!$D:$N,10,0)</f>
        <v>0</v>
      </c>
      <c r="U250" s="174">
        <f t="shared" si="49"/>
        <v>316</v>
      </c>
      <c r="V250" s="174">
        <f>VLOOKUP(D250,原始分!$D:$N,11,0)</f>
        <v>0</v>
      </c>
      <c r="W250" s="174">
        <f t="shared" si="50"/>
        <v>565</v>
      </c>
      <c r="X250" s="11">
        <f t="shared" si="51"/>
        <v>263.25</v>
      </c>
      <c r="Y250" s="9">
        <f t="shared" si="52"/>
        <v>756</v>
      </c>
      <c r="Z250" s="11">
        <f t="shared" si="53"/>
        <v>395.25</v>
      </c>
      <c r="AA250" s="9">
        <f t="shared" si="54"/>
        <v>539</v>
      </c>
    </row>
    <row r="251" ht="14.25" spans="1:27">
      <c r="A251" s="13">
        <v>249</v>
      </c>
      <c r="B251" s="15">
        <v>5</v>
      </c>
      <c r="C251" s="16">
        <v>47</v>
      </c>
      <c r="D251" s="17" t="s">
        <v>509</v>
      </c>
      <c r="E251" s="17" t="s">
        <v>510</v>
      </c>
      <c r="F251" s="174">
        <f>VLOOKUP(D251,原始分!$D:$N,3,0)</f>
        <v>99</v>
      </c>
      <c r="G251" s="174">
        <f t="shared" si="42"/>
        <v>442</v>
      </c>
      <c r="H251" s="174">
        <f>VLOOKUP(D251,原始分!$D:$N,4,0)</f>
        <v>95.5</v>
      </c>
      <c r="I251" s="174">
        <f t="shared" si="43"/>
        <v>502</v>
      </c>
      <c r="J251" s="174">
        <f>VLOOKUP(D251,原始分!$D:$N,5,0)</f>
        <v>81.5</v>
      </c>
      <c r="K251" s="174">
        <f t="shared" si="44"/>
        <v>726</v>
      </c>
      <c r="L251" s="174">
        <f>VLOOKUP(D251,原始分!$D:$N,6,0)</f>
        <v>48</v>
      </c>
      <c r="M251" s="174">
        <f t="shared" si="45"/>
        <v>375</v>
      </c>
      <c r="N251" s="174">
        <f>VLOOKUP(D251,原始分!$D:$N,7,0)</f>
        <v>0</v>
      </c>
      <c r="O251" s="174">
        <f t="shared" si="46"/>
        <v>207</v>
      </c>
      <c r="P251" s="174">
        <f>VLOOKUP(D251,原始分!$D:$N,8,0)</f>
        <v>47.5</v>
      </c>
      <c r="Q251" s="174">
        <f t="shared" si="47"/>
        <v>157</v>
      </c>
      <c r="R251" s="174">
        <f>VLOOKUP(D251,原始分!$D:$N,9,0)</f>
        <v>61</v>
      </c>
      <c r="S251" s="174">
        <f t="shared" si="48"/>
        <v>22</v>
      </c>
      <c r="T251" s="174">
        <f>VLOOKUP(D251,原始分!$D:$N,10,0)</f>
        <v>0</v>
      </c>
      <c r="U251" s="174">
        <f t="shared" si="49"/>
        <v>316</v>
      </c>
      <c r="V251" s="174">
        <f>VLOOKUP(D251,原始分!$D:$N,11,0)</f>
        <v>0</v>
      </c>
      <c r="W251" s="174">
        <f t="shared" si="50"/>
        <v>565</v>
      </c>
      <c r="X251" s="11">
        <f t="shared" si="51"/>
        <v>276</v>
      </c>
      <c r="Y251" s="9">
        <f t="shared" si="52"/>
        <v>647</v>
      </c>
      <c r="Z251" s="11">
        <f t="shared" si="53"/>
        <v>432.5</v>
      </c>
      <c r="AA251" s="9">
        <f t="shared" si="54"/>
        <v>369</v>
      </c>
    </row>
    <row r="252" ht="14.25" spans="1:27">
      <c r="A252" s="13">
        <v>250</v>
      </c>
      <c r="B252" s="15">
        <v>5</v>
      </c>
      <c r="C252" s="16">
        <v>48</v>
      </c>
      <c r="D252" s="17" t="s">
        <v>511</v>
      </c>
      <c r="E252" s="17" t="s">
        <v>512</v>
      </c>
      <c r="F252" s="174">
        <f>VLOOKUP(D252,原始分!$D:$N,3,0)</f>
        <v>86.25</v>
      </c>
      <c r="G252" s="174">
        <f t="shared" si="42"/>
        <v>829</v>
      </c>
      <c r="H252" s="174">
        <f>VLOOKUP(D252,原始分!$D:$N,4,0)</f>
        <v>104</v>
      </c>
      <c r="I252" s="174">
        <f t="shared" si="43"/>
        <v>341</v>
      </c>
      <c r="J252" s="174">
        <f>VLOOKUP(D252,原始分!$D:$N,5,0)</f>
        <v>104.25</v>
      </c>
      <c r="K252" s="174">
        <f t="shared" si="44"/>
        <v>289</v>
      </c>
      <c r="L252" s="174">
        <f>VLOOKUP(D252,原始分!$D:$N,6,0)</f>
        <v>37</v>
      </c>
      <c r="M252" s="174">
        <f t="shared" si="45"/>
        <v>552</v>
      </c>
      <c r="N252" s="174">
        <f>VLOOKUP(D252,原始分!$D:$N,7,0)</f>
        <v>0</v>
      </c>
      <c r="O252" s="174">
        <f t="shared" si="46"/>
        <v>207</v>
      </c>
      <c r="P252" s="174">
        <f>VLOOKUP(D252,原始分!$D:$N,8,0)</f>
        <v>40</v>
      </c>
      <c r="Q252" s="174">
        <f t="shared" si="47"/>
        <v>316</v>
      </c>
      <c r="R252" s="174">
        <f>VLOOKUP(D252,原始分!$D:$N,9,0)</f>
        <v>59</v>
      </c>
      <c r="S252" s="174">
        <f t="shared" si="48"/>
        <v>33</v>
      </c>
      <c r="T252" s="174">
        <f>VLOOKUP(D252,原始分!$D:$N,10,0)</f>
        <v>0</v>
      </c>
      <c r="U252" s="174">
        <f t="shared" si="49"/>
        <v>316</v>
      </c>
      <c r="V252" s="174">
        <f>VLOOKUP(D252,原始分!$D:$N,11,0)</f>
        <v>0</v>
      </c>
      <c r="W252" s="174">
        <f t="shared" si="50"/>
        <v>565</v>
      </c>
      <c r="X252" s="11">
        <f t="shared" si="51"/>
        <v>294.5</v>
      </c>
      <c r="Y252" s="9">
        <f t="shared" si="52"/>
        <v>436</v>
      </c>
      <c r="Z252" s="11">
        <f t="shared" si="53"/>
        <v>430.5</v>
      </c>
      <c r="AA252" s="9">
        <f t="shared" si="54"/>
        <v>379</v>
      </c>
    </row>
    <row r="253" ht="14.25" spans="1:27">
      <c r="A253" s="13">
        <v>251</v>
      </c>
      <c r="B253" s="15">
        <v>5</v>
      </c>
      <c r="C253" s="16">
        <v>49</v>
      </c>
      <c r="D253" s="17" t="s">
        <v>513</v>
      </c>
      <c r="E253" s="17" t="s">
        <v>514</v>
      </c>
      <c r="F253" s="174">
        <f>VLOOKUP(D253,原始分!$D:$N,3,0)</f>
        <v>102</v>
      </c>
      <c r="G253" s="174">
        <f t="shared" si="42"/>
        <v>304</v>
      </c>
      <c r="H253" s="174">
        <f>VLOOKUP(D253,原始分!$D:$N,4,0)</f>
        <v>97</v>
      </c>
      <c r="I253" s="174">
        <f t="shared" si="43"/>
        <v>478</v>
      </c>
      <c r="J253" s="174">
        <f>VLOOKUP(D253,原始分!$D:$N,5,0)</f>
        <v>115.5</v>
      </c>
      <c r="K253" s="174">
        <f t="shared" si="44"/>
        <v>94</v>
      </c>
      <c r="L253" s="174">
        <f>VLOOKUP(D253,原始分!$D:$N,6,0)</f>
        <v>77.5</v>
      </c>
      <c r="M253" s="174">
        <f t="shared" si="45"/>
        <v>18</v>
      </c>
      <c r="N253" s="174">
        <f>VLOOKUP(D253,原始分!$D:$N,7,0)</f>
        <v>0</v>
      </c>
      <c r="O253" s="174">
        <f t="shared" si="46"/>
        <v>207</v>
      </c>
      <c r="P253" s="174">
        <f>VLOOKUP(D253,原始分!$D:$N,8,0)</f>
        <v>47.5</v>
      </c>
      <c r="Q253" s="174">
        <f t="shared" si="47"/>
        <v>157</v>
      </c>
      <c r="R253" s="174">
        <f>VLOOKUP(D253,原始分!$D:$N,9,0)</f>
        <v>48.5</v>
      </c>
      <c r="S253" s="174">
        <f t="shared" si="48"/>
        <v>182</v>
      </c>
      <c r="T253" s="174">
        <f>VLOOKUP(D253,原始分!$D:$N,10,0)</f>
        <v>0</v>
      </c>
      <c r="U253" s="174">
        <f t="shared" si="49"/>
        <v>316</v>
      </c>
      <c r="V253" s="174">
        <f>VLOOKUP(D253,原始分!$D:$N,11,0)</f>
        <v>0</v>
      </c>
      <c r="W253" s="174">
        <f t="shared" si="50"/>
        <v>565</v>
      </c>
      <c r="X253" s="11">
        <f t="shared" si="51"/>
        <v>314.5</v>
      </c>
      <c r="Y253" s="9">
        <f t="shared" si="52"/>
        <v>209</v>
      </c>
      <c r="Z253" s="11">
        <f t="shared" si="53"/>
        <v>488</v>
      </c>
      <c r="AA253" s="9">
        <f t="shared" si="54"/>
        <v>108</v>
      </c>
    </row>
    <row r="254" ht="14.25" spans="1:27">
      <c r="A254" s="13">
        <v>252</v>
      </c>
      <c r="B254" s="15">
        <v>6</v>
      </c>
      <c r="C254" s="16">
        <v>3</v>
      </c>
      <c r="D254" s="17" t="s">
        <v>515</v>
      </c>
      <c r="E254" s="17" t="s">
        <v>516</v>
      </c>
      <c r="F254" s="174">
        <f>VLOOKUP(D254,原始分!$D:$N,3,0)</f>
        <v>100.5</v>
      </c>
      <c r="G254" s="174">
        <f t="shared" si="42"/>
        <v>370</v>
      </c>
      <c r="H254" s="174">
        <f>VLOOKUP(D254,原始分!$D:$N,4,0)</f>
        <v>82.5</v>
      </c>
      <c r="I254" s="174">
        <f t="shared" si="43"/>
        <v>733</v>
      </c>
      <c r="J254" s="174">
        <f>VLOOKUP(D254,原始分!$D:$N,5,0)</f>
        <v>73</v>
      </c>
      <c r="K254" s="174">
        <f t="shared" si="44"/>
        <v>807</v>
      </c>
      <c r="L254" s="174">
        <f>VLOOKUP(D254,原始分!$D:$N,6,0)</f>
        <v>37.5</v>
      </c>
      <c r="M254" s="174">
        <f t="shared" si="45"/>
        <v>543</v>
      </c>
      <c r="N254" s="174">
        <f>VLOOKUP(D254,原始分!$D:$N,7,0)</f>
        <v>0</v>
      </c>
      <c r="O254" s="174">
        <f t="shared" si="46"/>
        <v>207</v>
      </c>
      <c r="P254" s="174">
        <f>VLOOKUP(D254,原始分!$D:$N,8,0)</f>
        <v>0</v>
      </c>
      <c r="Q254" s="174">
        <f t="shared" si="47"/>
        <v>541</v>
      </c>
      <c r="R254" s="174">
        <f>VLOOKUP(D254,原始分!$D:$N,9,0)</f>
        <v>53</v>
      </c>
      <c r="S254" s="174">
        <f t="shared" si="48"/>
        <v>108</v>
      </c>
      <c r="T254" s="174">
        <f>VLOOKUP(D254,原始分!$D:$N,10,0)</f>
        <v>0</v>
      </c>
      <c r="U254" s="174">
        <f t="shared" si="49"/>
        <v>316</v>
      </c>
      <c r="V254" s="174">
        <f>VLOOKUP(D254,原始分!$D:$N,11,0)</f>
        <v>46.5</v>
      </c>
      <c r="W254" s="174">
        <f t="shared" si="50"/>
        <v>376</v>
      </c>
      <c r="X254" s="11">
        <f t="shared" si="51"/>
        <v>256</v>
      </c>
      <c r="Y254" s="9">
        <f t="shared" si="52"/>
        <v>784</v>
      </c>
      <c r="Z254" s="11">
        <f t="shared" si="53"/>
        <v>393</v>
      </c>
      <c r="AA254" s="9">
        <f t="shared" si="54"/>
        <v>542</v>
      </c>
    </row>
    <row r="255" ht="14.25" spans="1:27">
      <c r="A255" s="13">
        <v>253</v>
      </c>
      <c r="B255" s="15">
        <v>6</v>
      </c>
      <c r="C255" s="16">
        <v>4</v>
      </c>
      <c r="D255" s="17" t="s">
        <v>517</v>
      </c>
      <c r="E255" s="17" t="s">
        <v>518</v>
      </c>
      <c r="F255" s="174">
        <f>VLOOKUP(D255,原始分!$D:$N,3,0)</f>
        <v>86.5</v>
      </c>
      <c r="G255" s="174">
        <f t="shared" si="42"/>
        <v>826</v>
      </c>
      <c r="H255" s="174">
        <f>VLOOKUP(D255,原始分!$D:$N,4,0)</f>
        <v>87.5</v>
      </c>
      <c r="I255" s="174">
        <f t="shared" si="43"/>
        <v>665</v>
      </c>
      <c r="J255" s="174">
        <f>VLOOKUP(D255,原始分!$D:$N,5,0)</f>
        <v>104.5</v>
      </c>
      <c r="K255" s="174">
        <f t="shared" si="44"/>
        <v>284</v>
      </c>
      <c r="L255" s="174">
        <f>VLOOKUP(D255,原始分!$D:$N,6,0)</f>
        <v>40.5</v>
      </c>
      <c r="M255" s="174">
        <f t="shared" si="45"/>
        <v>497</v>
      </c>
      <c r="N255" s="174">
        <f>VLOOKUP(D255,原始分!$D:$N,7,0)</f>
        <v>0</v>
      </c>
      <c r="O255" s="174">
        <f t="shared" si="46"/>
        <v>207</v>
      </c>
      <c r="P255" s="174">
        <f>VLOOKUP(D255,原始分!$D:$N,8,0)</f>
        <v>0</v>
      </c>
      <c r="Q255" s="174">
        <f t="shared" si="47"/>
        <v>541</v>
      </c>
      <c r="R255" s="174">
        <f>VLOOKUP(D255,原始分!$D:$N,9,0)</f>
        <v>48</v>
      </c>
      <c r="S255" s="174">
        <f t="shared" si="48"/>
        <v>193</v>
      </c>
      <c r="T255" s="174">
        <f>VLOOKUP(D255,原始分!$D:$N,10,0)</f>
        <v>0</v>
      </c>
      <c r="U255" s="174">
        <f t="shared" si="49"/>
        <v>316</v>
      </c>
      <c r="V255" s="174">
        <f>VLOOKUP(D255,原始分!$D:$N,11,0)</f>
        <v>53.5</v>
      </c>
      <c r="W255" s="174">
        <f t="shared" si="50"/>
        <v>208</v>
      </c>
      <c r="X255" s="11">
        <f t="shared" si="51"/>
        <v>278.5</v>
      </c>
      <c r="Y255" s="9">
        <f t="shared" si="52"/>
        <v>613</v>
      </c>
      <c r="Z255" s="11">
        <f t="shared" si="53"/>
        <v>420.5</v>
      </c>
      <c r="AA255" s="9">
        <f t="shared" si="54"/>
        <v>426</v>
      </c>
    </row>
    <row r="256" ht="14.25" spans="1:27">
      <c r="A256" s="13">
        <v>254</v>
      </c>
      <c r="B256" s="15">
        <v>6</v>
      </c>
      <c r="C256" s="16">
        <v>5</v>
      </c>
      <c r="D256" s="17" t="s">
        <v>519</v>
      </c>
      <c r="E256" s="17" t="s">
        <v>520</v>
      </c>
      <c r="F256" s="174">
        <f>VLOOKUP(D256,原始分!$D:$N,3,0)</f>
        <v>100</v>
      </c>
      <c r="G256" s="174">
        <f t="shared" si="42"/>
        <v>400</v>
      </c>
      <c r="H256" s="174">
        <f>VLOOKUP(D256,原始分!$D:$N,4,0)</f>
        <v>90</v>
      </c>
      <c r="I256" s="174">
        <f t="shared" si="43"/>
        <v>614</v>
      </c>
      <c r="J256" s="174">
        <f>VLOOKUP(D256,原始分!$D:$N,5,0)</f>
        <v>90.5</v>
      </c>
      <c r="K256" s="174">
        <f t="shared" si="44"/>
        <v>579</v>
      </c>
      <c r="L256" s="174">
        <f>VLOOKUP(D256,原始分!$D:$N,6,0)</f>
        <v>61</v>
      </c>
      <c r="M256" s="174">
        <f t="shared" si="45"/>
        <v>168</v>
      </c>
      <c r="N256" s="174">
        <f>VLOOKUP(D256,原始分!$D:$N,7,0)</f>
        <v>0</v>
      </c>
      <c r="O256" s="174">
        <f t="shared" si="46"/>
        <v>207</v>
      </c>
      <c r="P256" s="174">
        <f>VLOOKUP(D256,原始分!$D:$N,8,0)</f>
        <v>0</v>
      </c>
      <c r="Q256" s="174">
        <f t="shared" si="47"/>
        <v>541</v>
      </c>
      <c r="R256" s="174">
        <f>VLOOKUP(D256,原始分!$D:$N,9,0)</f>
        <v>55.5</v>
      </c>
      <c r="S256" s="174">
        <f t="shared" si="48"/>
        <v>64</v>
      </c>
      <c r="T256" s="174">
        <f>VLOOKUP(D256,原始分!$D:$N,10,0)</f>
        <v>0</v>
      </c>
      <c r="U256" s="174">
        <f t="shared" si="49"/>
        <v>316</v>
      </c>
      <c r="V256" s="174">
        <f>VLOOKUP(D256,原始分!$D:$N,11,0)</f>
        <v>56</v>
      </c>
      <c r="W256" s="174">
        <f t="shared" si="50"/>
        <v>160</v>
      </c>
      <c r="X256" s="11">
        <f t="shared" si="51"/>
        <v>280.5</v>
      </c>
      <c r="Y256" s="9">
        <f t="shared" si="52"/>
        <v>593</v>
      </c>
      <c r="Z256" s="11">
        <f t="shared" si="53"/>
        <v>453</v>
      </c>
      <c r="AA256" s="9">
        <f t="shared" si="54"/>
        <v>257</v>
      </c>
    </row>
    <row r="257" ht="14.25" spans="1:27">
      <c r="A257" s="13">
        <v>255</v>
      </c>
      <c r="B257" s="15">
        <v>6</v>
      </c>
      <c r="C257" s="16">
        <v>6</v>
      </c>
      <c r="D257" s="17" t="s">
        <v>521</v>
      </c>
      <c r="E257" s="17" t="s">
        <v>522</v>
      </c>
      <c r="F257" s="174">
        <f>VLOOKUP(D257,原始分!$D:$N,3,0)</f>
        <v>102.5</v>
      </c>
      <c r="G257" s="174">
        <f t="shared" si="42"/>
        <v>279</v>
      </c>
      <c r="H257" s="174">
        <f>VLOOKUP(D257,原始分!$D:$N,4,0)</f>
        <v>55</v>
      </c>
      <c r="I257" s="174">
        <f t="shared" si="43"/>
        <v>857</v>
      </c>
      <c r="J257" s="174">
        <f>VLOOKUP(D257,原始分!$D:$N,5,0)</f>
        <v>101.75</v>
      </c>
      <c r="K257" s="174">
        <f t="shared" si="44"/>
        <v>331</v>
      </c>
      <c r="L257" s="174">
        <f>VLOOKUP(D257,原始分!$D:$N,6,0)</f>
        <v>34</v>
      </c>
      <c r="M257" s="174">
        <f t="shared" si="45"/>
        <v>588</v>
      </c>
      <c r="N257" s="174">
        <f>VLOOKUP(D257,原始分!$D:$N,7,0)</f>
        <v>0</v>
      </c>
      <c r="O257" s="174">
        <f t="shared" si="46"/>
        <v>207</v>
      </c>
      <c r="P257" s="174">
        <f>VLOOKUP(D257,原始分!$D:$N,8,0)</f>
        <v>0</v>
      </c>
      <c r="Q257" s="174">
        <f t="shared" si="47"/>
        <v>541</v>
      </c>
      <c r="R257" s="174">
        <f>VLOOKUP(D257,原始分!$D:$N,9,0)</f>
        <v>48.5</v>
      </c>
      <c r="S257" s="174">
        <f t="shared" si="48"/>
        <v>182</v>
      </c>
      <c r="T257" s="174">
        <f>VLOOKUP(D257,原始分!$D:$N,10,0)</f>
        <v>0</v>
      </c>
      <c r="U257" s="174">
        <f t="shared" si="49"/>
        <v>316</v>
      </c>
      <c r="V257" s="174">
        <f>VLOOKUP(D257,原始分!$D:$N,11,0)</f>
        <v>51</v>
      </c>
      <c r="W257" s="174">
        <f t="shared" si="50"/>
        <v>278</v>
      </c>
      <c r="X257" s="11">
        <f t="shared" si="51"/>
        <v>259.25</v>
      </c>
      <c r="Y257" s="9">
        <f t="shared" si="52"/>
        <v>775</v>
      </c>
      <c r="Z257" s="11">
        <f t="shared" si="53"/>
        <v>392.75</v>
      </c>
      <c r="AA257" s="9">
        <f t="shared" si="54"/>
        <v>544</v>
      </c>
    </row>
    <row r="258" ht="14.25" spans="1:27">
      <c r="A258" s="13">
        <v>256</v>
      </c>
      <c r="B258" s="15">
        <v>6</v>
      </c>
      <c r="C258" s="16">
        <v>7</v>
      </c>
      <c r="D258" s="17" t="s">
        <v>523</v>
      </c>
      <c r="E258" s="17" t="s">
        <v>524</v>
      </c>
      <c r="F258" s="174">
        <f>VLOOKUP(D258,原始分!$D:$N,3,0)</f>
        <v>102.5</v>
      </c>
      <c r="G258" s="174">
        <f t="shared" si="42"/>
        <v>279</v>
      </c>
      <c r="H258" s="174">
        <f>VLOOKUP(D258,原始分!$D:$N,4,0)</f>
        <v>95</v>
      </c>
      <c r="I258" s="174">
        <f t="shared" si="43"/>
        <v>510</v>
      </c>
      <c r="J258" s="174">
        <f>VLOOKUP(D258,原始分!$D:$N,5,0)</f>
        <v>105.75</v>
      </c>
      <c r="K258" s="174">
        <f t="shared" si="44"/>
        <v>251</v>
      </c>
      <c r="L258" s="174">
        <f>VLOOKUP(D258,原始分!$D:$N,6,0)</f>
        <v>33</v>
      </c>
      <c r="M258" s="174">
        <f t="shared" si="45"/>
        <v>596</v>
      </c>
      <c r="N258" s="174">
        <f>VLOOKUP(D258,原始分!$D:$N,7,0)</f>
        <v>0</v>
      </c>
      <c r="O258" s="174">
        <f t="shared" si="46"/>
        <v>207</v>
      </c>
      <c r="P258" s="174">
        <f>VLOOKUP(D258,原始分!$D:$N,8,0)</f>
        <v>0</v>
      </c>
      <c r="Q258" s="174">
        <f t="shared" si="47"/>
        <v>541</v>
      </c>
      <c r="R258" s="174">
        <f>VLOOKUP(D258,原始分!$D:$N,9,0)</f>
        <v>47.5</v>
      </c>
      <c r="S258" s="174">
        <f t="shared" si="48"/>
        <v>203</v>
      </c>
      <c r="T258" s="174">
        <f>VLOOKUP(D258,原始分!$D:$N,10,0)</f>
        <v>0</v>
      </c>
      <c r="U258" s="174">
        <f t="shared" si="49"/>
        <v>316</v>
      </c>
      <c r="V258" s="174">
        <f>VLOOKUP(D258,原始分!$D:$N,11,0)</f>
        <v>48</v>
      </c>
      <c r="W258" s="174">
        <f t="shared" si="50"/>
        <v>341</v>
      </c>
      <c r="X258" s="11">
        <f t="shared" si="51"/>
        <v>303.25</v>
      </c>
      <c r="Y258" s="9">
        <f t="shared" si="52"/>
        <v>333</v>
      </c>
      <c r="Z258" s="11">
        <f t="shared" si="53"/>
        <v>431.75</v>
      </c>
      <c r="AA258" s="9">
        <f t="shared" si="54"/>
        <v>372</v>
      </c>
    </row>
    <row r="259" ht="14.25" spans="1:27">
      <c r="A259" s="13">
        <v>257</v>
      </c>
      <c r="B259" s="15">
        <v>6</v>
      </c>
      <c r="C259" s="16">
        <v>8</v>
      </c>
      <c r="D259" s="17" t="s">
        <v>525</v>
      </c>
      <c r="E259" s="17" t="s">
        <v>526</v>
      </c>
      <c r="F259" s="174">
        <f>VLOOKUP(D259,原始分!$D:$N,3,0)</f>
        <v>83.5</v>
      </c>
      <c r="G259" s="174">
        <f t="shared" ref="G259:G322" si="55">RANK(F259,$F$3:$F$900)</f>
        <v>849</v>
      </c>
      <c r="H259" s="174">
        <f>VLOOKUP(D259,原始分!$D:$N,4,0)</f>
        <v>80.5</v>
      </c>
      <c r="I259" s="174">
        <f t="shared" ref="I259:I322" si="56">RANK(H259,$H$3:$H$900)</f>
        <v>747</v>
      </c>
      <c r="J259" s="174">
        <f>VLOOKUP(D259,原始分!$D:$N,5,0)</f>
        <v>101.25</v>
      </c>
      <c r="K259" s="174">
        <f t="shared" ref="K259:K322" si="57">RANK(J259,$J$3:$J$900)</f>
        <v>346</v>
      </c>
      <c r="L259" s="174">
        <f>VLOOKUP(D259,原始分!$D:$N,6,0)</f>
        <v>28.5</v>
      </c>
      <c r="M259" s="174">
        <f t="shared" ref="M259:M322" si="58">RANK(L259,$L$3:$L$900)</f>
        <v>621</v>
      </c>
      <c r="N259" s="174">
        <f>VLOOKUP(D259,原始分!$D:$N,7,0)</f>
        <v>0</v>
      </c>
      <c r="O259" s="174">
        <f t="shared" ref="O259:O322" si="59">RANK(N259,$N$3:$N$900)</f>
        <v>207</v>
      </c>
      <c r="P259" s="174">
        <f>VLOOKUP(D259,原始分!$D:$N,8,0)</f>
        <v>0</v>
      </c>
      <c r="Q259" s="174">
        <f t="shared" ref="Q259:Q322" si="60">RANK(P259,$P$3:$P$900)</f>
        <v>541</v>
      </c>
      <c r="R259" s="174">
        <f>VLOOKUP(D259,原始分!$D:$N,9,0)</f>
        <v>46.5</v>
      </c>
      <c r="S259" s="174">
        <f t="shared" ref="S259:S322" si="61">RANK(R259,$R$3:$R$900)</f>
        <v>213</v>
      </c>
      <c r="T259" s="174">
        <f>VLOOKUP(D259,原始分!$D:$N,10,0)</f>
        <v>0</v>
      </c>
      <c r="U259" s="174">
        <f t="shared" ref="U259:U322" si="62">RANK(T259,$T$3:$T$900)</f>
        <v>316</v>
      </c>
      <c r="V259" s="174">
        <f>VLOOKUP(D259,原始分!$D:$N,11,0)</f>
        <v>49</v>
      </c>
      <c r="W259" s="174">
        <f t="shared" ref="W259:W322" si="63">RANK(V259,$V$3:$V$900)</f>
        <v>323</v>
      </c>
      <c r="X259" s="11">
        <f t="shared" ref="X259:X322" si="64">SUM(F259,H259,J259)</f>
        <v>265.25</v>
      </c>
      <c r="Y259" s="9">
        <f t="shared" ref="Y259:Y322" si="65">RANK(X259,$X$3:$X$900)</f>
        <v>739</v>
      </c>
      <c r="Z259" s="11">
        <f t="shared" ref="Z259:Z322" si="66">SUM(F259,H259,J259,L259,N259,P259,R259,T259,V259)</f>
        <v>389.25</v>
      </c>
      <c r="AA259" s="9">
        <f t="shared" si="54"/>
        <v>556</v>
      </c>
    </row>
    <row r="260" ht="14.25" spans="1:27">
      <c r="A260" s="13">
        <v>258</v>
      </c>
      <c r="B260" s="15">
        <v>6</v>
      </c>
      <c r="C260" s="16">
        <v>9</v>
      </c>
      <c r="D260" s="17" t="s">
        <v>527</v>
      </c>
      <c r="E260" s="17" t="s">
        <v>528</v>
      </c>
      <c r="F260" s="174">
        <f>VLOOKUP(D260,原始分!$D:$N,3,0)</f>
        <v>91.5</v>
      </c>
      <c r="G260" s="174">
        <f t="shared" si="55"/>
        <v>730</v>
      </c>
      <c r="H260" s="174">
        <f>VLOOKUP(D260,原始分!$D:$N,4,0)</f>
        <v>89.5</v>
      </c>
      <c r="I260" s="174">
        <f t="shared" si="56"/>
        <v>622</v>
      </c>
      <c r="J260" s="174">
        <f>VLOOKUP(D260,原始分!$D:$N,5,0)</f>
        <v>84.75</v>
      </c>
      <c r="K260" s="174">
        <f t="shared" si="57"/>
        <v>673</v>
      </c>
      <c r="L260" s="174">
        <f>VLOOKUP(D260,原始分!$D:$N,6,0)</f>
        <v>40.5</v>
      </c>
      <c r="M260" s="174">
        <f t="shared" si="58"/>
        <v>497</v>
      </c>
      <c r="N260" s="174">
        <f>VLOOKUP(D260,原始分!$D:$N,7,0)</f>
        <v>0</v>
      </c>
      <c r="O260" s="174">
        <f t="shared" si="59"/>
        <v>207</v>
      </c>
      <c r="P260" s="174">
        <f>VLOOKUP(D260,原始分!$D:$N,8,0)</f>
        <v>0</v>
      </c>
      <c r="Q260" s="174">
        <f t="shared" si="60"/>
        <v>541</v>
      </c>
      <c r="R260" s="174">
        <f>VLOOKUP(D260,原始分!$D:$N,9,0)</f>
        <v>39.25</v>
      </c>
      <c r="S260" s="174">
        <f t="shared" si="61"/>
        <v>299</v>
      </c>
      <c r="T260" s="174">
        <f>VLOOKUP(D260,原始分!$D:$N,10,0)</f>
        <v>0</v>
      </c>
      <c r="U260" s="174">
        <f t="shared" si="62"/>
        <v>316</v>
      </c>
      <c r="V260" s="174">
        <f>VLOOKUP(D260,原始分!$D:$N,11,0)</f>
        <v>39.5</v>
      </c>
      <c r="W260" s="174">
        <f t="shared" si="63"/>
        <v>499</v>
      </c>
      <c r="X260" s="11">
        <f t="shared" si="64"/>
        <v>265.75</v>
      </c>
      <c r="Y260" s="9">
        <f t="shared" si="65"/>
        <v>735</v>
      </c>
      <c r="Z260" s="11">
        <f t="shared" si="66"/>
        <v>385</v>
      </c>
      <c r="AA260" s="9">
        <f t="shared" si="54"/>
        <v>565</v>
      </c>
    </row>
    <row r="261" ht="14.25" spans="1:27">
      <c r="A261" s="13">
        <v>259</v>
      </c>
      <c r="B261" s="15">
        <v>6</v>
      </c>
      <c r="C261" s="16">
        <v>10</v>
      </c>
      <c r="D261" s="17" t="s">
        <v>529</v>
      </c>
      <c r="E261" s="17" t="s">
        <v>530</v>
      </c>
      <c r="F261" s="174">
        <f>VLOOKUP(D261,原始分!$D:$N,3,0)</f>
        <v>91</v>
      </c>
      <c r="G261" s="174">
        <f t="shared" si="55"/>
        <v>749</v>
      </c>
      <c r="H261" s="174">
        <f>VLOOKUP(D261,原始分!$D:$N,4,0)</f>
        <v>80</v>
      </c>
      <c r="I261" s="174">
        <f t="shared" si="56"/>
        <v>750</v>
      </c>
      <c r="J261" s="174">
        <f>VLOOKUP(D261,原始分!$D:$N,5,0)</f>
        <v>56</v>
      </c>
      <c r="K261" s="174">
        <f t="shared" si="57"/>
        <v>856</v>
      </c>
      <c r="L261" s="174">
        <f>VLOOKUP(D261,原始分!$D:$N,6,0)</f>
        <v>47</v>
      </c>
      <c r="M261" s="174">
        <f t="shared" si="58"/>
        <v>391</v>
      </c>
      <c r="N261" s="174">
        <f>VLOOKUP(D261,原始分!$D:$N,7,0)</f>
        <v>0</v>
      </c>
      <c r="O261" s="174">
        <f t="shared" si="59"/>
        <v>207</v>
      </c>
      <c r="P261" s="174">
        <f>VLOOKUP(D261,原始分!$D:$N,8,0)</f>
        <v>0</v>
      </c>
      <c r="Q261" s="174">
        <f t="shared" si="60"/>
        <v>541</v>
      </c>
      <c r="R261" s="174">
        <f>VLOOKUP(D261,原始分!$D:$N,9,0)</f>
        <v>28</v>
      </c>
      <c r="S261" s="174">
        <f t="shared" si="61"/>
        <v>319</v>
      </c>
      <c r="T261" s="174">
        <f>VLOOKUP(D261,原始分!$D:$N,10,0)</f>
        <v>0</v>
      </c>
      <c r="U261" s="174">
        <f t="shared" si="62"/>
        <v>316</v>
      </c>
      <c r="V261" s="174">
        <f>VLOOKUP(D261,原始分!$D:$N,11,0)</f>
        <v>44</v>
      </c>
      <c r="W261" s="174">
        <f t="shared" si="63"/>
        <v>433</v>
      </c>
      <c r="X261" s="11">
        <f t="shared" si="64"/>
        <v>227</v>
      </c>
      <c r="Y261" s="9">
        <f t="shared" si="65"/>
        <v>853</v>
      </c>
      <c r="Z261" s="11">
        <f t="shared" si="66"/>
        <v>346</v>
      </c>
      <c r="AA261" s="9">
        <f t="shared" si="54"/>
        <v>640</v>
      </c>
    </row>
    <row r="262" ht="14.25" spans="1:27">
      <c r="A262" s="13">
        <v>260</v>
      </c>
      <c r="B262" s="15">
        <v>6</v>
      </c>
      <c r="C262" s="16">
        <v>12</v>
      </c>
      <c r="D262" s="17" t="s">
        <v>531</v>
      </c>
      <c r="E262" s="17" t="s">
        <v>532</v>
      </c>
      <c r="F262" s="174">
        <f>VLOOKUP(D262,原始分!$D:$N,3,0)</f>
        <v>101</v>
      </c>
      <c r="G262" s="174">
        <f t="shared" si="55"/>
        <v>338</v>
      </c>
      <c r="H262" s="174">
        <f>VLOOKUP(D262,原始分!$D:$N,4,0)</f>
        <v>87</v>
      </c>
      <c r="I262" s="174">
        <f t="shared" si="56"/>
        <v>677</v>
      </c>
      <c r="J262" s="174">
        <f>VLOOKUP(D262,原始分!$D:$N,5,0)</f>
        <v>108.25</v>
      </c>
      <c r="K262" s="174">
        <f t="shared" si="57"/>
        <v>203</v>
      </c>
      <c r="L262" s="174">
        <f>VLOOKUP(D262,原始分!$D:$N,6,0)</f>
        <v>46.5</v>
      </c>
      <c r="M262" s="174">
        <f t="shared" si="58"/>
        <v>404</v>
      </c>
      <c r="N262" s="174">
        <f>VLOOKUP(D262,原始分!$D:$N,7,0)</f>
        <v>0</v>
      </c>
      <c r="O262" s="174">
        <f t="shared" si="59"/>
        <v>207</v>
      </c>
      <c r="P262" s="174">
        <f>VLOOKUP(D262,原始分!$D:$N,8,0)</f>
        <v>0</v>
      </c>
      <c r="Q262" s="174">
        <f t="shared" si="60"/>
        <v>541</v>
      </c>
      <c r="R262" s="174">
        <f>VLOOKUP(D262,原始分!$D:$N,9,0)</f>
        <v>45.5</v>
      </c>
      <c r="S262" s="174">
        <f t="shared" si="61"/>
        <v>232</v>
      </c>
      <c r="T262" s="174">
        <f>VLOOKUP(D262,原始分!$D:$N,10,0)</f>
        <v>0</v>
      </c>
      <c r="U262" s="174">
        <f t="shared" si="62"/>
        <v>316</v>
      </c>
      <c r="V262" s="174">
        <f>VLOOKUP(D262,原始分!$D:$N,11,0)</f>
        <v>48</v>
      </c>
      <c r="W262" s="174">
        <f t="shared" si="63"/>
        <v>341</v>
      </c>
      <c r="X262" s="11">
        <f t="shared" si="64"/>
        <v>296.25</v>
      </c>
      <c r="Y262" s="9">
        <f t="shared" si="65"/>
        <v>415</v>
      </c>
      <c r="Z262" s="11">
        <f t="shared" si="66"/>
        <v>436.25</v>
      </c>
      <c r="AA262" s="9">
        <f t="shared" si="54"/>
        <v>351</v>
      </c>
    </row>
    <row r="263" ht="14.25" spans="1:27">
      <c r="A263" s="13">
        <v>261</v>
      </c>
      <c r="B263" s="15">
        <v>6</v>
      </c>
      <c r="C263" s="16">
        <v>13</v>
      </c>
      <c r="D263" s="17" t="s">
        <v>533</v>
      </c>
      <c r="E263" s="17" t="s">
        <v>534</v>
      </c>
      <c r="F263" s="174">
        <f>VLOOKUP(D263,原始分!$D:$N,3,0)</f>
        <v>103</v>
      </c>
      <c r="G263" s="174">
        <f t="shared" si="55"/>
        <v>260</v>
      </c>
      <c r="H263" s="174">
        <f>VLOOKUP(D263,原始分!$D:$N,4,0)</f>
        <v>91</v>
      </c>
      <c r="I263" s="174">
        <f t="shared" si="56"/>
        <v>592</v>
      </c>
      <c r="J263" s="174">
        <f>VLOOKUP(D263,原始分!$D:$N,5,0)</f>
        <v>115.5</v>
      </c>
      <c r="K263" s="174">
        <f t="shared" si="57"/>
        <v>94</v>
      </c>
      <c r="L263" s="174">
        <f>VLOOKUP(D263,原始分!$D:$N,6,0)</f>
        <v>53.5</v>
      </c>
      <c r="M263" s="174">
        <f t="shared" si="58"/>
        <v>292</v>
      </c>
      <c r="N263" s="174">
        <f>VLOOKUP(D263,原始分!$D:$N,7,0)</f>
        <v>0</v>
      </c>
      <c r="O263" s="174">
        <f t="shared" si="59"/>
        <v>207</v>
      </c>
      <c r="P263" s="174">
        <f>VLOOKUP(D263,原始分!$D:$N,8,0)</f>
        <v>0</v>
      </c>
      <c r="Q263" s="174">
        <f t="shared" si="60"/>
        <v>541</v>
      </c>
      <c r="R263" s="174">
        <f>VLOOKUP(D263,原始分!$D:$N,9,0)</f>
        <v>54.5</v>
      </c>
      <c r="S263" s="174">
        <f t="shared" si="61"/>
        <v>84</v>
      </c>
      <c r="T263" s="174">
        <f>VLOOKUP(D263,原始分!$D:$N,10,0)</f>
        <v>0</v>
      </c>
      <c r="U263" s="174">
        <f t="shared" si="62"/>
        <v>316</v>
      </c>
      <c r="V263" s="174">
        <f>VLOOKUP(D263,原始分!$D:$N,11,0)</f>
        <v>47.5</v>
      </c>
      <c r="W263" s="174">
        <f t="shared" si="63"/>
        <v>353</v>
      </c>
      <c r="X263" s="11">
        <f t="shared" si="64"/>
        <v>309.5</v>
      </c>
      <c r="Y263" s="9">
        <f t="shared" si="65"/>
        <v>269</v>
      </c>
      <c r="Z263" s="11">
        <f t="shared" si="66"/>
        <v>465</v>
      </c>
      <c r="AA263" s="9">
        <f t="shared" si="54"/>
        <v>195</v>
      </c>
    </row>
    <row r="264" ht="14.25" spans="1:27">
      <c r="A264" s="13">
        <v>262</v>
      </c>
      <c r="B264" s="15">
        <v>6</v>
      </c>
      <c r="C264" s="16">
        <v>14</v>
      </c>
      <c r="D264" s="17" t="s">
        <v>535</v>
      </c>
      <c r="E264" s="17" t="s">
        <v>536</v>
      </c>
      <c r="F264" s="174">
        <f>VLOOKUP(D264,原始分!$D:$N,3,0)</f>
        <v>94.5</v>
      </c>
      <c r="G264" s="174">
        <f t="shared" si="55"/>
        <v>642</v>
      </c>
      <c r="H264" s="174">
        <f>VLOOKUP(D264,原始分!$D:$N,4,0)</f>
        <v>126</v>
      </c>
      <c r="I264" s="174">
        <f t="shared" si="56"/>
        <v>28</v>
      </c>
      <c r="J264" s="174">
        <f>VLOOKUP(D264,原始分!$D:$N,5,0)</f>
        <v>95</v>
      </c>
      <c r="K264" s="174">
        <f t="shared" si="57"/>
        <v>484</v>
      </c>
      <c r="L264" s="174">
        <f>VLOOKUP(D264,原始分!$D:$N,6,0)</f>
        <v>66.5</v>
      </c>
      <c r="M264" s="174">
        <f t="shared" si="58"/>
        <v>88</v>
      </c>
      <c r="N264" s="174">
        <f>VLOOKUP(D264,原始分!$D:$N,7,0)</f>
        <v>0</v>
      </c>
      <c r="O264" s="174">
        <f t="shared" si="59"/>
        <v>207</v>
      </c>
      <c r="P264" s="174">
        <f>VLOOKUP(D264,原始分!$D:$N,8,0)</f>
        <v>0</v>
      </c>
      <c r="Q264" s="174">
        <f t="shared" si="60"/>
        <v>541</v>
      </c>
      <c r="R264" s="174">
        <f>VLOOKUP(D264,原始分!$D:$N,9,0)</f>
        <v>61</v>
      </c>
      <c r="S264" s="174">
        <f t="shared" si="61"/>
        <v>22</v>
      </c>
      <c r="T264" s="174">
        <f>VLOOKUP(D264,原始分!$D:$N,10,0)</f>
        <v>0</v>
      </c>
      <c r="U264" s="174">
        <f t="shared" si="62"/>
        <v>316</v>
      </c>
      <c r="V264" s="174">
        <f>VLOOKUP(D264,原始分!$D:$N,11,0)</f>
        <v>56</v>
      </c>
      <c r="W264" s="174">
        <f t="shared" si="63"/>
        <v>160</v>
      </c>
      <c r="X264" s="11">
        <f t="shared" si="64"/>
        <v>315.5</v>
      </c>
      <c r="Y264" s="9">
        <f t="shared" si="65"/>
        <v>200</v>
      </c>
      <c r="Z264" s="11">
        <f t="shared" si="66"/>
        <v>499</v>
      </c>
      <c r="AA264" s="9">
        <f t="shared" si="54"/>
        <v>79</v>
      </c>
    </row>
    <row r="265" ht="14.25" spans="1:27">
      <c r="A265" s="13">
        <v>263</v>
      </c>
      <c r="B265" s="15">
        <v>6</v>
      </c>
      <c r="C265" s="16">
        <v>15</v>
      </c>
      <c r="D265" s="17" t="s">
        <v>537</v>
      </c>
      <c r="E265" s="17" t="s">
        <v>538</v>
      </c>
      <c r="F265" s="174">
        <f>VLOOKUP(D265,原始分!$D:$N,3,0)</f>
        <v>99.5</v>
      </c>
      <c r="G265" s="174">
        <f t="shared" si="55"/>
        <v>418</v>
      </c>
      <c r="H265" s="174">
        <f>VLOOKUP(D265,原始分!$D:$N,4,0)</f>
        <v>105.5</v>
      </c>
      <c r="I265" s="174">
        <f t="shared" si="56"/>
        <v>311</v>
      </c>
      <c r="J265" s="174">
        <f>VLOOKUP(D265,原始分!$D:$N,5,0)</f>
        <v>105.25</v>
      </c>
      <c r="K265" s="174">
        <f t="shared" si="57"/>
        <v>270</v>
      </c>
      <c r="L265" s="174">
        <f>VLOOKUP(D265,原始分!$D:$N,6,0)</f>
        <v>74.5</v>
      </c>
      <c r="M265" s="174">
        <f t="shared" si="58"/>
        <v>38</v>
      </c>
      <c r="N265" s="174">
        <f>VLOOKUP(D265,原始分!$D:$N,7,0)</f>
        <v>0</v>
      </c>
      <c r="O265" s="174">
        <f t="shared" si="59"/>
        <v>207</v>
      </c>
      <c r="P265" s="174">
        <f>VLOOKUP(D265,原始分!$D:$N,8,0)</f>
        <v>0</v>
      </c>
      <c r="Q265" s="174">
        <f t="shared" si="60"/>
        <v>541</v>
      </c>
      <c r="R265" s="174">
        <f>VLOOKUP(D265,原始分!$D:$N,9,0)</f>
        <v>58.5</v>
      </c>
      <c r="S265" s="174">
        <f t="shared" si="61"/>
        <v>36</v>
      </c>
      <c r="T265" s="174">
        <f>VLOOKUP(D265,原始分!$D:$N,10,0)</f>
        <v>0</v>
      </c>
      <c r="U265" s="174">
        <f t="shared" si="62"/>
        <v>316</v>
      </c>
      <c r="V265" s="174">
        <f>VLOOKUP(D265,原始分!$D:$N,11,0)</f>
        <v>47.5</v>
      </c>
      <c r="W265" s="174">
        <f t="shared" si="63"/>
        <v>353</v>
      </c>
      <c r="X265" s="11">
        <f t="shared" si="64"/>
        <v>310.25</v>
      </c>
      <c r="Y265" s="9">
        <f t="shared" si="65"/>
        <v>260</v>
      </c>
      <c r="Z265" s="11">
        <f t="shared" si="66"/>
        <v>490.75</v>
      </c>
      <c r="AA265" s="9">
        <f t="shared" si="54"/>
        <v>102</v>
      </c>
    </row>
    <row r="266" ht="14.25" spans="1:27">
      <c r="A266" s="13">
        <v>264</v>
      </c>
      <c r="B266" s="15">
        <v>6</v>
      </c>
      <c r="C266" s="16">
        <v>16</v>
      </c>
      <c r="D266" s="17" t="s">
        <v>539</v>
      </c>
      <c r="E266" s="17" t="s">
        <v>540</v>
      </c>
      <c r="F266" s="174">
        <f>VLOOKUP(D266,原始分!$D:$N,3,0)</f>
        <v>109.25</v>
      </c>
      <c r="G266" s="174">
        <f t="shared" si="55"/>
        <v>63</v>
      </c>
      <c r="H266" s="174">
        <f>VLOOKUP(D266,原始分!$D:$N,4,0)</f>
        <v>104.5</v>
      </c>
      <c r="I266" s="174">
        <f t="shared" si="56"/>
        <v>327</v>
      </c>
      <c r="J266" s="174">
        <f>VLOOKUP(D266,原始分!$D:$N,5,0)</f>
        <v>110.25</v>
      </c>
      <c r="K266" s="174">
        <f t="shared" si="57"/>
        <v>170</v>
      </c>
      <c r="L266" s="174">
        <f>VLOOKUP(D266,原始分!$D:$N,6,0)</f>
        <v>62</v>
      </c>
      <c r="M266" s="174">
        <f t="shared" si="58"/>
        <v>157</v>
      </c>
      <c r="N266" s="174">
        <f>VLOOKUP(D266,原始分!$D:$N,7,0)</f>
        <v>0</v>
      </c>
      <c r="O266" s="174">
        <f t="shared" si="59"/>
        <v>207</v>
      </c>
      <c r="P266" s="174">
        <f>VLOOKUP(D266,原始分!$D:$N,8,0)</f>
        <v>0</v>
      </c>
      <c r="Q266" s="174">
        <f t="shared" si="60"/>
        <v>541</v>
      </c>
      <c r="R266" s="174">
        <f>VLOOKUP(D266,原始分!$D:$N,9,0)</f>
        <v>45</v>
      </c>
      <c r="S266" s="174">
        <f t="shared" si="61"/>
        <v>236</v>
      </c>
      <c r="T266" s="174">
        <f>VLOOKUP(D266,原始分!$D:$N,10,0)</f>
        <v>0</v>
      </c>
      <c r="U266" s="174">
        <f t="shared" si="62"/>
        <v>316</v>
      </c>
      <c r="V266" s="174">
        <f>VLOOKUP(D266,原始分!$D:$N,11,0)</f>
        <v>58</v>
      </c>
      <c r="W266" s="174">
        <f t="shared" si="63"/>
        <v>125</v>
      </c>
      <c r="X266" s="11">
        <f t="shared" si="64"/>
        <v>324</v>
      </c>
      <c r="Y266" s="9">
        <f t="shared" si="65"/>
        <v>129</v>
      </c>
      <c r="Z266" s="11">
        <f t="shared" si="66"/>
        <v>489</v>
      </c>
      <c r="AA266" s="9">
        <f t="shared" si="54"/>
        <v>106</v>
      </c>
    </row>
    <row r="267" ht="14.25" spans="1:27">
      <c r="A267" s="13">
        <v>265</v>
      </c>
      <c r="B267" s="15">
        <v>6</v>
      </c>
      <c r="C267" s="16">
        <v>17</v>
      </c>
      <c r="D267" s="17" t="s">
        <v>541</v>
      </c>
      <c r="E267" s="17" t="s">
        <v>542</v>
      </c>
      <c r="F267" s="174">
        <f>VLOOKUP(D267,原始分!$D:$N,3,0)</f>
        <v>91</v>
      </c>
      <c r="G267" s="174">
        <f t="shared" si="55"/>
        <v>749</v>
      </c>
      <c r="H267" s="174">
        <f>VLOOKUP(D267,原始分!$D:$N,4,0)</f>
        <v>97.5</v>
      </c>
      <c r="I267" s="174">
        <f t="shared" si="56"/>
        <v>464</v>
      </c>
      <c r="J267" s="174">
        <f>VLOOKUP(D267,原始分!$D:$N,5,0)</f>
        <v>89.5</v>
      </c>
      <c r="K267" s="174">
        <f t="shared" si="57"/>
        <v>591</v>
      </c>
      <c r="L267" s="174">
        <f>VLOOKUP(D267,原始分!$D:$N,6,0)</f>
        <v>80</v>
      </c>
      <c r="M267" s="174">
        <f t="shared" si="58"/>
        <v>12</v>
      </c>
      <c r="N267" s="174">
        <f>VLOOKUP(D267,原始分!$D:$N,7,0)</f>
        <v>0</v>
      </c>
      <c r="O267" s="174">
        <f t="shared" si="59"/>
        <v>207</v>
      </c>
      <c r="P267" s="174">
        <f>VLOOKUP(D267,原始分!$D:$N,8,0)</f>
        <v>0</v>
      </c>
      <c r="Q267" s="174">
        <f t="shared" si="60"/>
        <v>541</v>
      </c>
      <c r="R267" s="174">
        <f>VLOOKUP(D267,原始分!$D:$N,9,0)</f>
        <v>50.5</v>
      </c>
      <c r="S267" s="174">
        <f t="shared" si="61"/>
        <v>144</v>
      </c>
      <c r="T267" s="174">
        <f>VLOOKUP(D267,原始分!$D:$N,10,0)</f>
        <v>0</v>
      </c>
      <c r="U267" s="174">
        <f t="shared" si="62"/>
        <v>316</v>
      </c>
      <c r="V267" s="174">
        <f>VLOOKUP(D267,原始分!$D:$N,11,0)</f>
        <v>55.5</v>
      </c>
      <c r="W267" s="174">
        <f t="shared" si="63"/>
        <v>170</v>
      </c>
      <c r="X267" s="11">
        <f t="shared" si="64"/>
        <v>278</v>
      </c>
      <c r="Y267" s="9">
        <f t="shared" si="65"/>
        <v>621</v>
      </c>
      <c r="Z267" s="11">
        <f t="shared" si="66"/>
        <v>464</v>
      </c>
      <c r="AA267" s="9">
        <f t="shared" si="54"/>
        <v>202</v>
      </c>
    </row>
    <row r="268" ht="14.25" spans="1:27">
      <c r="A268" s="13">
        <v>266</v>
      </c>
      <c r="B268" s="15">
        <v>6</v>
      </c>
      <c r="C268" s="16">
        <v>18</v>
      </c>
      <c r="D268" s="17" t="s">
        <v>543</v>
      </c>
      <c r="E268" s="17" t="s">
        <v>544</v>
      </c>
      <c r="F268" s="174">
        <f>VLOOKUP(D268,原始分!$D:$N,3,0)</f>
        <v>104</v>
      </c>
      <c r="G268" s="174">
        <f t="shared" si="55"/>
        <v>209</v>
      </c>
      <c r="H268" s="174">
        <f>VLOOKUP(D268,原始分!$D:$N,4,0)</f>
        <v>79.5</v>
      </c>
      <c r="I268" s="174">
        <f t="shared" si="56"/>
        <v>755</v>
      </c>
      <c r="J268" s="174">
        <f>VLOOKUP(D268,原始分!$D:$N,5,0)</f>
        <v>110</v>
      </c>
      <c r="K268" s="174">
        <f t="shared" si="57"/>
        <v>173</v>
      </c>
      <c r="L268" s="174">
        <f>VLOOKUP(D268,原始分!$D:$N,6,0)</f>
        <v>53</v>
      </c>
      <c r="M268" s="174">
        <f t="shared" si="58"/>
        <v>300</v>
      </c>
      <c r="N268" s="174">
        <f>VLOOKUP(D268,原始分!$D:$N,7,0)</f>
        <v>0</v>
      </c>
      <c r="O268" s="174">
        <f t="shared" si="59"/>
        <v>207</v>
      </c>
      <c r="P268" s="174">
        <f>VLOOKUP(D268,原始分!$D:$N,8,0)</f>
        <v>0</v>
      </c>
      <c r="Q268" s="174">
        <f t="shared" si="60"/>
        <v>541</v>
      </c>
      <c r="R268" s="174">
        <f>VLOOKUP(D268,原始分!$D:$N,9,0)</f>
        <v>39.5</v>
      </c>
      <c r="S268" s="174">
        <f t="shared" si="61"/>
        <v>296</v>
      </c>
      <c r="T268" s="174">
        <f>VLOOKUP(D268,原始分!$D:$N,10,0)</f>
        <v>0</v>
      </c>
      <c r="U268" s="174">
        <f t="shared" si="62"/>
        <v>316</v>
      </c>
      <c r="V268" s="174">
        <f>VLOOKUP(D268,原始分!$D:$N,11,0)</f>
        <v>53</v>
      </c>
      <c r="W268" s="174">
        <f t="shared" si="63"/>
        <v>223</v>
      </c>
      <c r="X268" s="11">
        <f t="shared" si="64"/>
        <v>293.5</v>
      </c>
      <c r="Y268" s="9">
        <f t="shared" si="65"/>
        <v>450</v>
      </c>
      <c r="Z268" s="11">
        <f t="shared" si="66"/>
        <v>439</v>
      </c>
      <c r="AA268" s="9">
        <f t="shared" si="54"/>
        <v>336</v>
      </c>
    </row>
    <row r="269" ht="14.25" spans="1:27">
      <c r="A269" s="13">
        <v>267</v>
      </c>
      <c r="B269" s="15">
        <v>6</v>
      </c>
      <c r="C269" s="16">
        <v>19</v>
      </c>
      <c r="D269" s="17" t="s">
        <v>545</v>
      </c>
      <c r="E269" s="17" t="s">
        <v>546</v>
      </c>
      <c r="F269" s="174">
        <f>VLOOKUP(D269,原始分!$D:$N,3,0)</f>
        <v>98</v>
      </c>
      <c r="G269" s="174">
        <f t="shared" si="55"/>
        <v>500</v>
      </c>
      <c r="H269" s="174">
        <f>VLOOKUP(D269,原始分!$D:$N,4,0)</f>
        <v>106.5</v>
      </c>
      <c r="I269" s="174">
        <f t="shared" si="56"/>
        <v>286</v>
      </c>
      <c r="J269" s="174">
        <f>VLOOKUP(D269,原始分!$D:$N,5,0)</f>
        <v>105</v>
      </c>
      <c r="K269" s="174">
        <f t="shared" si="57"/>
        <v>276</v>
      </c>
      <c r="L269" s="174">
        <f>VLOOKUP(D269,原始分!$D:$N,6,0)</f>
        <v>74.5</v>
      </c>
      <c r="M269" s="174">
        <f t="shared" si="58"/>
        <v>38</v>
      </c>
      <c r="N269" s="174">
        <f>VLOOKUP(D269,原始分!$D:$N,7,0)</f>
        <v>0</v>
      </c>
      <c r="O269" s="174">
        <f t="shared" si="59"/>
        <v>207</v>
      </c>
      <c r="P269" s="174">
        <f>VLOOKUP(D269,原始分!$D:$N,8,0)</f>
        <v>0</v>
      </c>
      <c r="Q269" s="174">
        <f t="shared" si="60"/>
        <v>541</v>
      </c>
      <c r="R269" s="174">
        <f>VLOOKUP(D269,原始分!$D:$N,9,0)</f>
        <v>48.5</v>
      </c>
      <c r="S269" s="174">
        <f t="shared" si="61"/>
        <v>182</v>
      </c>
      <c r="T269" s="174">
        <f>VLOOKUP(D269,原始分!$D:$N,10,0)</f>
        <v>0</v>
      </c>
      <c r="U269" s="174">
        <f t="shared" si="62"/>
        <v>316</v>
      </c>
      <c r="V269" s="174">
        <f>VLOOKUP(D269,原始分!$D:$N,11,0)</f>
        <v>51</v>
      </c>
      <c r="W269" s="174">
        <f t="shared" si="63"/>
        <v>278</v>
      </c>
      <c r="X269" s="11">
        <f t="shared" si="64"/>
        <v>309.5</v>
      </c>
      <c r="Y269" s="9">
        <f t="shared" si="65"/>
        <v>269</v>
      </c>
      <c r="Z269" s="11">
        <f t="shared" si="66"/>
        <v>483.5</v>
      </c>
      <c r="AA269" s="9">
        <f t="shared" si="54"/>
        <v>117</v>
      </c>
    </row>
    <row r="270" ht="14.25" spans="1:27">
      <c r="A270" s="13">
        <v>268</v>
      </c>
      <c r="B270" s="15">
        <v>6</v>
      </c>
      <c r="C270" s="16">
        <v>20</v>
      </c>
      <c r="D270" s="17" t="s">
        <v>547</v>
      </c>
      <c r="E270" s="17" t="s">
        <v>548</v>
      </c>
      <c r="F270" s="174">
        <f>VLOOKUP(D270,原始分!$D:$N,3,0)</f>
        <v>90</v>
      </c>
      <c r="G270" s="174">
        <f t="shared" si="55"/>
        <v>778</v>
      </c>
      <c r="H270" s="174">
        <f>VLOOKUP(D270,原始分!$D:$N,4,0)</f>
        <v>88</v>
      </c>
      <c r="I270" s="174">
        <f t="shared" si="56"/>
        <v>654</v>
      </c>
      <c r="J270" s="174">
        <f>VLOOKUP(D270,原始分!$D:$N,5,0)</f>
        <v>106.5</v>
      </c>
      <c r="K270" s="174">
        <f t="shared" si="57"/>
        <v>235</v>
      </c>
      <c r="L270" s="174">
        <f>VLOOKUP(D270,原始分!$D:$N,6,0)</f>
        <v>33.5</v>
      </c>
      <c r="M270" s="174">
        <f t="shared" si="58"/>
        <v>592</v>
      </c>
      <c r="N270" s="174">
        <f>VLOOKUP(D270,原始分!$D:$N,7,0)</f>
        <v>0</v>
      </c>
      <c r="O270" s="174">
        <f t="shared" si="59"/>
        <v>207</v>
      </c>
      <c r="P270" s="174">
        <f>VLOOKUP(D270,原始分!$D:$N,8,0)</f>
        <v>0</v>
      </c>
      <c r="Q270" s="174">
        <f t="shared" si="60"/>
        <v>541</v>
      </c>
      <c r="R270" s="174">
        <f>VLOOKUP(D270,原始分!$D:$N,9,0)</f>
        <v>44.5</v>
      </c>
      <c r="S270" s="174">
        <f t="shared" si="61"/>
        <v>244</v>
      </c>
      <c r="T270" s="174">
        <f>VLOOKUP(D270,原始分!$D:$N,10,0)</f>
        <v>0</v>
      </c>
      <c r="U270" s="174">
        <f t="shared" si="62"/>
        <v>316</v>
      </c>
      <c r="V270" s="174">
        <f>VLOOKUP(D270,原始分!$D:$N,11,0)</f>
        <v>45.5</v>
      </c>
      <c r="W270" s="174">
        <f t="shared" si="63"/>
        <v>399</v>
      </c>
      <c r="X270" s="11">
        <f t="shared" si="64"/>
        <v>284.5</v>
      </c>
      <c r="Y270" s="9">
        <f t="shared" si="65"/>
        <v>547</v>
      </c>
      <c r="Z270" s="11">
        <f t="shared" si="66"/>
        <v>408</v>
      </c>
      <c r="AA270" s="9">
        <f t="shared" si="54"/>
        <v>479</v>
      </c>
    </row>
    <row r="271" ht="14.25" spans="1:27">
      <c r="A271" s="13">
        <v>269</v>
      </c>
      <c r="B271" s="15">
        <v>6</v>
      </c>
      <c r="C271" s="16">
        <v>21</v>
      </c>
      <c r="D271" s="17" t="s">
        <v>549</v>
      </c>
      <c r="E271" s="17" t="s">
        <v>550</v>
      </c>
      <c r="F271" s="174">
        <f>VLOOKUP(D271,原始分!$D:$N,3,0)</f>
        <v>93</v>
      </c>
      <c r="G271" s="174">
        <f t="shared" si="55"/>
        <v>693</v>
      </c>
      <c r="H271" s="174">
        <f>VLOOKUP(D271,原始分!$D:$N,4,0)</f>
        <v>86.5</v>
      </c>
      <c r="I271" s="174">
        <f t="shared" si="56"/>
        <v>684</v>
      </c>
      <c r="J271" s="174">
        <f>VLOOKUP(D271,原始分!$D:$N,5,0)</f>
        <v>81.75</v>
      </c>
      <c r="K271" s="174">
        <f t="shared" si="57"/>
        <v>724</v>
      </c>
      <c r="L271" s="174">
        <f>VLOOKUP(D271,原始分!$D:$N,6,0)</f>
        <v>55</v>
      </c>
      <c r="M271" s="174">
        <f t="shared" si="58"/>
        <v>269</v>
      </c>
      <c r="N271" s="174">
        <f>VLOOKUP(D271,原始分!$D:$N,7,0)</f>
        <v>0</v>
      </c>
      <c r="O271" s="174">
        <f t="shared" si="59"/>
        <v>207</v>
      </c>
      <c r="P271" s="174">
        <f>VLOOKUP(D271,原始分!$D:$N,8,0)</f>
        <v>0</v>
      </c>
      <c r="Q271" s="174">
        <f t="shared" si="60"/>
        <v>541</v>
      </c>
      <c r="R271" s="174">
        <f>VLOOKUP(D271,原始分!$D:$N,9,0)</f>
        <v>57.5</v>
      </c>
      <c r="S271" s="174">
        <f t="shared" si="61"/>
        <v>45</v>
      </c>
      <c r="T271" s="174">
        <f>VLOOKUP(D271,原始分!$D:$N,10,0)</f>
        <v>0</v>
      </c>
      <c r="U271" s="174">
        <f t="shared" si="62"/>
        <v>316</v>
      </c>
      <c r="V271" s="174">
        <f>VLOOKUP(D271,原始分!$D:$N,11,0)</f>
        <v>57</v>
      </c>
      <c r="W271" s="174">
        <f t="shared" si="63"/>
        <v>139</v>
      </c>
      <c r="X271" s="11">
        <f t="shared" si="64"/>
        <v>261.25</v>
      </c>
      <c r="Y271" s="9">
        <f t="shared" si="65"/>
        <v>765</v>
      </c>
      <c r="Z271" s="11">
        <f t="shared" si="66"/>
        <v>430.75</v>
      </c>
      <c r="AA271" s="9">
        <f t="shared" si="54"/>
        <v>378</v>
      </c>
    </row>
    <row r="272" ht="14.25" spans="1:27">
      <c r="A272" s="13">
        <v>270</v>
      </c>
      <c r="B272" s="15">
        <v>6</v>
      </c>
      <c r="C272" s="16">
        <v>22</v>
      </c>
      <c r="D272" s="17" t="s">
        <v>551</v>
      </c>
      <c r="E272" s="17" t="s">
        <v>552</v>
      </c>
      <c r="F272" s="174">
        <f>VLOOKUP(D272,原始分!$D:$N,3,0)</f>
        <v>95</v>
      </c>
      <c r="G272" s="174">
        <f t="shared" si="55"/>
        <v>619</v>
      </c>
      <c r="H272" s="174">
        <f>VLOOKUP(D272,原始分!$D:$N,4,0)</f>
        <v>74</v>
      </c>
      <c r="I272" s="174">
        <f t="shared" si="56"/>
        <v>796</v>
      </c>
      <c r="J272" s="174">
        <f>VLOOKUP(D272,原始分!$D:$N,5,0)</f>
        <v>109</v>
      </c>
      <c r="K272" s="174">
        <f t="shared" si="57"/>
        <v>193</v>
      </c>
      <c r="L272" s="174">
        <f>VLOOKUP(D272,原始分!$D:$N,6,0)</f>
        <v>27.5</v>
      </c>
      <c r="M272" s="174">
        <f t="shared" si="58"/>
        <v>627</v>
      </c>
      <c r="N272" s="174">
        <f>VLOOKUP(D272,原始分!$D:$N,7,0)</f>
        <v>0</v>
      </c>
      <c r="O272" s="174">
        <f t="shared" si="59"/>
        <v>207</v>
      </c>
      <c r="P272" s="174">
        <f>VLOOKUP(D272,原始分!$D:$N,8,0)</f>
        <v>0</v>
      </c>
      <c r="Q272" s="174">
        <f t="shared" si="60"/>
        <v>541</v>
      </c>
      <c r="R272" s="174">
        <f>VLOOKUP(D272,原始分!$D:$N,9,0)</f>
        <v>50.5</v>
      </c>
      <c r="S272" s="174">
        <f t="shared" si="61"/>
        <v>144</v>
      </c>
      <c r="T272" s="174">
        <f>VLOOKUP(D272,原始分!$D:$N,10,0)</f>
        <v>0</v>
      </c>
      <c r="U272" s="174">
        <f t="shared" si="62"/>
        <v>316</v>
      </c>
      <c r="V272" s="174">
        <f>VLOOKUP(D272,原始分!$D:$N,11,0)</f>
        <v>45</v>
      </c>
      <c r="W272" s="174">
        <f t="shared" si="63"/>
        <v>410</v>
      </c>
      <c r="X272" s="11">
        <f t="shared" si="64"/>
        <v>278</v>
      </c>
      <c r="Y272" s="9">
        <f t="shared" si="65"/>
        <v>621</v>
      </c>
      <c r="Z272" s="11">
        <f t="shared" si="66"/>
        <v>401</v>
      </c>
      <c r="AA272" s="9">
        <f t="shared" si="54"/>
        <v>519</v>
      </c>
    </row>
    <row r="273" ht="14.25" spans="1:27">
      <c r="A273" s="13">
        <v>271</v>
      </c>
      <c r="B273" s="15">
        <v>6</v>
      </c>
      <c r="C273" s="16">
        <v>23</v>
      </c>
      <c r="D273" s="17" t="s">
        <v>553</v>
      </c>
      <c r="E273" s="17" t="s">
        <v>554</v>
      </c>
      <c r="F273" s="174">
        <f>VLOOKUP(D273,原始分!$D:$N,3,0)</f>
        <v>108</v>
      </c>
      <c r="G273" s="174">
        <f t="shared" si="55"/>
        <v>77</v>
      </c>
      <c r="H273" s="174">
        <f>VLOOKUP(D273,原始分!$D:$N,4,0)</f>
        <v>87.5</v>
      </c>
      <c r="I273" s="174">
        <f t="shared" si="56"/>
        <v>665</v>
      </c>
      <c r="J273" s="174">
        <f>VLOOKUP(D273,原始分!$D:$N,5,0)</f>
        <v>52.5</v>
      </c>
      <c r="K273" s="174">
        <f t="shared" si="57"/>
        <v>862</v>
      </c>
      <c r="L273" s="174">
        <f>VLOOKUP(D273,原始分!$D:$N,6,0)</f>
        <v>53.5</v>
      </c>
      <c r="M273" s="174">
        <f t="shared" si="58"/>
        <v>292</v>
      </c>
      <c r="N273" s="174">
        <f>VLOOKUP(D273,原始分!$D:$N,7,0)</f>
        <v>0</v>
      </c>
      <c r="O273" s="174">
        <f t="shared" si="59"/>
        <v>207</v>
      </c>
      <c r="P273" s="174">
        <f>VLOOKUP(D273,原始分!$D:$N,8,0)</f>
        <v>0</v>
      </c>
      <c r="Q273" s="174">
        <f t="shared" si="60"/>
        <v>541</v>
      </c>
      <c r="R273" s="174">
        <f>VLOOKUP(D273,原始分!$D:$N,9,0)</f>
        <v>39.25</v>
      </c>
      <c r="S273" s="174">
        <f t="shared" si="61"/>
        <v>299</v>
      </c>
      <c r="T273" s="174">
        <f>VLOOKUP(D273,原始分!$D:$N,10,0)</f>
        <v>0</v>
      </c>
      <c r="U273" s="174">
        <f t="shared" si="62"/>
        <v>316</v>
      </c>
      <c r="V273" s="174">
        <f>VLOOKUP(D273,原始分!$D:$N,11,0)</f>
        <v>37</v>
      </c>
      <c r="W273" s="174">
        <f t="shared" si="63"/>
        <v>516</v>
      </c>
      <c r="X273" s="11">
        <f t="shared" si="64"/>
        <v>248</v>
      </c>
      <c r="Y273" s="9">
        <f t="shared" si="65"/>
        <v>808</v>
      </c>
      <c r="Z273" s="11">
        <f t="shared" si="66"/>
        <v>377.75</v>
      </c>
      <c r="AA273" s="9">
        <f t="shared" si="54"/>
        <v>587</v>
      </c>
    </row>
    <row r="274" ht="14.25" spans="1:27">
      <c r="A274" s="13">
        <v>272</v>
      </c>
      <c r="B274" s="15">
        <v>6</v>
      </c>
      <c r="C274" s="16">
        <v>24</v>
      </c>
      <c r="D274" s="17" t="s">
        <v>555</v>
      </c>
      <c r="E274" s="17" t="s">
        <v>556</v>
      </c>
      <c r="F274" s="174">
        <f>VLOOKUP(D274,原始分!$D:$N,3,0)</f>
        <v>95.75</v>
      </c>
      <c r="G274" s="174">
        <f t="shared" si="55"/>
        <v>591</v>
      </c>
      <c r="H274" s="174">
        <f>VLOOKUP(D274,原始分!$D:$N,4,0)</f>
        <v>83</v>
      </c>
      <c r="I274" s="174">
        <f t="shared" si="56"/>
        <v>728</v>
      </c>
      <c r="J274" s="174">
        <f>VLOOKUP(D274,原始分!$D:$N,5,0)</f>
        <v>71</v>
      </c>
      <c r="K274" s="174">
        <f t="shared" si="57"/>
        <v>821</v>
      </c>
      <c r="L274" s="174">
        <f>VLOOKUP(D274,原始分!$D:$N,6,0)</f>
        <v>43.5</v>
      </c>
      <c r="M274" s="174">
        <f t="shared" si="58"/>
        <v>452</v>
      </c>
      <c r="N274" s="174">
        <f>VLOOKUP(D274,原始分!$D:$N,7,0)</f>
        <v>0</v>
      </c>
      <c r="O274" s="174">
        <f t="shared" si="59"/>
        <v>207</v>
      </c>
      <c r="P274" s="174">
        <f>VLOOKUP(D274,原始分!$D:$N,8,0)</f>
        <v>0</v>
      </c>
      <c r="Q274" s="174">
        <f t="shared" si="60"/>
        <v>541</v>
      </c>
      <c r="R274" s="174">
        <f>VLOOKUP(D274,原始分!$D:$N,9,0)</f>
        <v>49</v>
      </c>
      <c r="S274" s="174">
        <f t="shared" si="61"/>
        <v>174</v>
      </c>
      <c r="T274" s="174">
        <f>VLOOKUP(D274,原始分!$D:$N,10,0)</f>
        <v>0</v>
      </c>
      <c r="U274" s="174">
        <f t="shared" si="62"/>
        <v>316</v>
      </c>
      <c r="V274" s="174">
        <f>VLOOKUP(D274,原始分!$D:$N,11,0)</f>
        <v>48.5</v>
      </c>
      <c r="W274" s="174">
        <f t="shared" si="63"/>
        <v>330</v>
      </c>
      <c r="X274" s="11">
        <f t="shared" si="64"/>
        <v>249.75</v>
      </c>
      <c r="Y274" s="9">
        <f t="shared" si="65"/>
        <v>804</v>
      </c>
      <c r="Z274" s="11">
        <f t="shared" si="66"/>
        <v>390.75</v>
      </c>
      <c r="AA274" s="9">
        <f t="shared" si="54"/>
        <v>553</v>
      </c>
    </row>
    <row r="275" ht="14.25" spans="1:27">
      <c r="A275" s="13">
        <v>273</v>
      </c>
      <c r="B275" s="15">
        <v>6</v>
      </c>
      <c r="C275" s="16">
        <v>25</v>
      </c>
      <c r="D275" s="17" t="s">
        <v>557</v>
      </c>
      <c r="E275" s="17" t="s">
        <v>558</v>
      </c>
      <c r="F275" s="174">
        <f>VLOOKUP(D275,原始分!$D:$N,3,0)</f>
        <v>95</v>
      </c>
      <c r="G275" s="174">
        <f t="shared" si="55"/>
        <v>619</v>
      </c>
      <c r="H275" s="174">
        <f>VLOOKUP(D275,原始分!$D:$N,4,0)</f>
        <v>78</v>
      </c>
      <c r="I275" s="174">
        <f t="shared" si="56"/>
        <v>767</v>
      </c>
      <c r="J275" s="174">
        <f>VLOOKUP(D275,原始分!$D:$N,5,0)</f>
        <v>110</v>
      </c>
      <c r="K275" s="174">
        <f t="shared" si="57"/>
        <v>173</v>
      </c>
      <c r="L275" s="174">
        <f>VLOOKUP(D275,原始分!$D:$N,6,0)</f>
        <v>42.5</v>
      </c>
      <c r="M275" s="174">
        <f t="shared" si="58"/>
        <v>470</v>
      </c>
      <c r="N275" s="174">
        <f>VLOOKUP(D275,原始分!$D:$N,7,0)</f>
        <v>0</v>
      </c>
      <c r="O275" s="174">
        <f t="shared" si="59"/>
        <v>207</v>
      </c>
      <c r="P275" s="174">
        <f>VLOOKUP(D275,原始分!$D:$N,8,0)</f>
        <v>0</v>
      </c>
      <c r="Q275" s="174">
        <f t="shared" si="60"/>
        <v>541</v>
      </c>
      <c r="R275" s="174">
        <f>VLOOKUP(D275,原始分!$D:$N,9,0)</f>
        <v>48</v>
      </c>
      <c r="S275" s="174">
        <f t="shared" si="61"/>
        <v>193</v>
      </c>
      <c r="T275" s="174">
        <f>VLOOKUP(D275,原始分!$D:$N,10,0)</f>
        <v>0</v>
      </c>
      <c r="U275" s="174">
        <f t="shared" si="62"/>
        <v>316</v>
      </c>
      <c r="V275" s="174">
        <f>VLOOKUP(D275,原始分!$D:$N,11,0)</f>
        <v>46</v>
      </c>
      <c r="W275" s="174">
        <f t="shared" si="63"/>
        <v>386</v>
      </c>
      <c r="X275" s="11">
        <f t="shared" si="64"/>
        <v>283</v>
      </c>
      <c r="Y275" s="9">
        <f t="shared" si="65"/>
        <v>564</v>
      </c>
      <c r="Z275" s="11">
        <f t="shared" si="66"/>
        <v>419.5</v>
      </c>
      <c r="AA275" s="9">
        <f t="shared" si="54"/>
        <v>430</v>
      </c>
    </row>
    <row r="276" ht="14.25" spans="1:27">
      <c r="A276" s="13">
        <v>274</v>
      </c>
      <c r="B276" s="15">
        <v>6</v>
      </c>
      <c r="C276" s="16">
        <v>26</v>
      </c>
      <c r="D276" s="17" t="s">
        <v>559</v>
      </c>
      <c r="E276" s="17" t="s">
        <v>560</v>
      </c>
      <c r="F276" s="174">
        <f>VLOOKUP(D276,原始分!$D:$N,3,0)</f>
        <v>96</v>
      </c>
      <c r="G276" s="174">
        <f t="shared" si="55"/>
        <v>579</v>
      </c>
      <c r="H276" s="174">
        <f>VLOOKUP(D276,原始分!$D:$N,4,0)</f>
        <v>95</v>
      </c>
      <c r="I276" s="174">
        <f t="shared" si="56"/>
        <v>510</v>
      </c>
      <c r="J276" s="174">
        <f>VLOOKUP(D276,原始分!$D:$N,5,0)</f>
        <v>88</v>
      </c>
      <c r="K276" s="174">
        <f t="shared" si="57"/>
        <v>616</v>
      </c>
      <c r="L276" s="174">
        <f>VLOOKUP(D276,原始分!$D:$N,6,0)</f>
        <v>73.5</v>
      </c>
      <c r="M276" s="174">
        <f t="shared" si="58"/>
        <v>45</v>
      </c>
      <c r="N276" s="174">
        <f>VLOOKUP(D276,原始分!$D:$N,7,0)</f>
        <v>0</v>
      </c>
      <c r="O276" s="174">
        <f t="shared" si="59"/>
        <v>207</v>
      </c>
      <c r="P276" s="174">
        <f>VLOOKUP(D276,原始分!$D:$N,8,0)</f>
        <v>0</v>
      </c>
      <c r="Q276" s="174">
        <f t="shared" si="60"/>
        <v>541</v>
      </c>
      <c r="R276" s="174">
        <f>VLOOKUP(D276,原始分!$D:$N,9,0)</f>
        <v>49.5</v>
      </c>
      <c r="S276" s="174">
        <f t="shared" si="61"/>
        <v>164</v>
      </c>
      <c r="T276" s="174">
        <f>VLOOKUP(D276,原始分!$D:$N,10,0)</f>
        <v>0</v>
      </c>
      <c r="U276" s="174">
        <f t="shared" si="62"/>
        <v>316</v>
      </c>
      <c r="V276" s="174">
        <f>VLOOKUP(D276,原始分!$D:$N,11,0)</f>
        <v>48.5</v>
      </c>
      <c r="W276" s="174">
        <f t="shared" si="63"/>
        <v>330</v>
      </c>
      <c r="X276" s="11">
        <f t="shared" si="64"/>
        <v>279</v>
      </c>
      <c r="Y276" s="9">
        <f t="shared" si="65"/>
        <v>607</v>
      </c>
      <c r="Z276" s="11">
        <f t="shared" si="66"/>
        <v>450.5</v>
      </c>
      <c r="AA276" s="9">
        <f t="shared" si="54"/>
        <v>274</v>
      </c>
    </row>
    <row r="277" ht="14.25" spans="1:27">
      <c r="A277" s="13">
        <v>275</v>
      </c>
      <c r="B277" s="15">
        <v>6</v>
      </c>
      <c r="C277" s="16">
        <v>27</v>
      </c>
      <c r="D277" s="17" t="s">
        <v>561</v>
      </c>
      <c r="E277" s="17" t="s">
        <v>562</v>
      </c>
      <c r="F277" s="174">
        <f>VLOOKUP(D277,原始分!$D:$N,3,0)</f>
        <v>96.25</v>
      </c>
      <c r="G277" s="174">
        <f t="shared" si="55"/>
        <v>576</v>
      </c>
      <c r="H277" s="174">
        <f>VLOOKUP(D277,原始分!$D:$N,4,0)</f>
        <v>98.5</v>
      </c>
      <c r="I277" s="174">
        <f t="shared" si="56"/>
        <v>442</v>
      </c>
      <c r="J277" s="174">
        <f>VLOOKUP(D277,原始分!$D:$N,5,0)</f>
        <v>100</v>
      </c>
      <c r="K277" s="174">
        <f t="shared" si="57"/>
        <v>368</v>
      </c>
      <c r="L277" s="174">
        <f>VLOOKUP(D277,原始分!$D:$N,6,0)</f>
        <v>54</v>
      </c>
      <c r="M277" s="174">
        <f t="shared" si="58"/>
        <v>289</v>
      </c>
      <c r="N277" s="174">
        <f>VLOOKUP(D277,原始分!$D:$N,7,0)</f>
        <v>0</v>
      </c>
      <c r="O277" s="174">
        <f t="shared" si="59"/>
        <v>207</v>
      </c>
      <c r="P277" s="174">
        <f>VLOOKUP(D277,原始分!$D:$N,8,0)</f>
        <v>0</v>
      </c>
      <c r="Q277" s="174">
        <f t="shared" si="60"/>
        <v>541</v>
      </c>
      <c r="R277" s="174">
        <f>VLOOKUP(D277,原始分!$D:$N,9,0)</f>
        <v>46.5</v>
      </c>
      <c r="S277" s="174">
        <f t="shared" si="61"/>
        <v>213</v>
      </c>
      <c r="T277" s="174">
        <f>VLOOKUP(D277,原始分!$D:$N,10,0)</f>
        <v>0</v>
      </c>
      <c r="U277" s="174">
        <f t="shared" si="62"/>
        <v>316</v>
      </c>
      <c r="V277" s="174">
        <f>VLOOKUP(D277,原始分!$D:$N,11,0)</f>
        <v>50.75</v>
      </c>
      <c r="W277" s="174">
        <f t="shared" si="63"/>
        <v>292</v>
      </c>
      <c r="X277" s="11">
        <f t="shared" si="64"/>
        <v>294.75</v>
      </c>
      <c r="Y277" s="9">
        <f t="shared" si="65"/>
        <v>434</v>
      </c>
      <c r="Z277" s="11">
        <f t="shared" si="66"/>
        <v>446</v>
      </c>
      <c r="AA277" s="9">
        <f t="shared" si="54"/>
        <v>299</v>
      </c>
    </row>
    <row r="278" ht="14.25" spans="1:27">
      <c r="A278" s="13">
        <v>276</v>
      </c>
      <c r="B278" s="15">
        <v>6</v>
      </c>
      <c r="C278" s="16">
        <v>28</v>
      </c>
      <c r="D278" s="17" t="s">
        <v>563</v>
      </c>
      <c r="E278" s="17" t="s">
        <v>564</v>
      </c>
      <c r="F278" s="174">
        <f>VLOOKUP(D278,原始分!$D:$N,3,0)</f>
        <v>88.75</v>
      </c>
      <c r="G278" s="174">
        <f t="shared" si="55"/>
        <v>802</v>
      </c>
      <c r="H278" s="174">
        <f>VLOOKUP(D278,原始分!$D:$N,4,0)</f>
        <v>91</v>
      </c>
      <c r="I278" s="174">
        <f t="shared" si="56"/>
        <v>592</v>
      </c>
      <c r="J278" s="174">
        <f>VLOOKUP(D278,原始分!$D:$N,5,0)</f>
        <v>80.5</v>
      </c>
      <c r="K278" s="174">
        <f t="shared" si="57"/>
        <v>741</v>
      </c>
      <c r="L278" s="174">
        <f>VLOOKUP(D278,原始分!$D:$N,6,0)</f>
        <v>55</v>
      </c>
      <c r="M278" s="174">
        <f t="shared" si="58"/>
        <v>269</v>
      </c>
      <c r="N278" s="174">
        <f>VLOOKUP(D278,原始分!$D:$N,7,0)</f>
        <v>0</v>
      </c>
      <c r="O278" s="174">
        <f t="shared" si="59"/>
        <v>207</v>
      </c>
      <c r="P278" s="174">
        <f>VLOOKUP(D278,原始分!$D:$N,8,0)</f>
        <v>0</v>
      </c>
      <c r="Q278" s="174">
        <f t="shared" si="60"/>
        <v>541</v>
      </c>
      <c r="R278" s="174">
        <f>VLOOKUP(D278,原始分!$D:$N,9,0)</f>
        <v>46.5</v>
      </c>
      <c r="S278" s="174">
        <f t="shared" si="61"/>
        <v>213</v>
      </c>
      <c r="T278" s="174">
        <f>VLOOKUP(D278,原始分!$D:$N,10,0)</f>
        <v>0</v>
      </c>
      <c r="U278" s="174">
        <f t="shared" si="62"/>
        <v>316</v>
      </c>
      <c r="V278" s="174">
        <f>VLOOKUP(D278,原始分!$D:$N,11,0)</f>
        <v>41.5</v>
      </c>
      <c r="W278" s="174">
        <f t="shared" si="63"/>
        <v>479</v>
      </c>
      <c r="X278" s="11">
        <f t="shared" si="64"/>
        <v>260.25</v>
      </c>
      <c r="Y278" s="9">
        <f t="shared" si="65"/>
        <v>772</v>
      </c>
      <c r="Z278" s="11">
        <f t="shared" si="66"/>
        <v>403.25</v>
      </c>
      <c r="AA278" s="9">
        <f t="shared" si="54"/>
        <v>506</v>
      </c>
    </row>
    <row r="279" ht="14.25" spans="1:27">
      <c r="A279" s="13">
        <v>277</v>
      </c>
      <c r="B279" s="15">
        <v>6</v>
      </c>
      <c r="C279" s="16">
        <v>29</v>
      </c>
      <c r="D279" s="17" t="s">
        <v>565</v>
      </c>
      <c r="E279" s="17" t="s">
        <v>566</v>
      </c>
      <c r="F279" s="174">
        <f>VLOOKUP(D279,原始分!$D:$N,3,0)</f>
        <v>100</v>
      </c>
      <c r="G279" s="174">
        <f t="shared" si="55"/>
        <v>400</v>
      </c>
      <c r="H279" s="174">
        <f>VLOOKUP(D279,原始分!$D:$N,4,0)</f>
        <v>58</v>
      </c>
      <c r="I279" s="174">
        <f t="shared" si="56"/>
        <v>848</v>
      </c>
      <c r="J279" s="174">
        <f>VLOOKUP(D279,原始分!$D:$N,5,0)</f>
        <v>94</v>
      </c>
      <c r="K279" s="174">
        <f t="shared" si="57"/>
        <v>507</v>
      </c>
      <c r="L279" s="174">
        <f>VLOOKUP(D279,原始分!$D:$N,6,0)</f>
        <v>45.5</v>
      </c>
      <c r="M279" s="174">
        <f t="shared" si="58"/>
        <v>417</v>
      </c>
      <c r="N279" s="174">
        <f>VLOOKUP(D279,原始分!$D:$N,7,0)</f>
        <v>0</v>
      </c>
      <c r="O279" s="174">
        <f t="shared" si="59"/>
        <v>207</v>
      </c>
      <c r="P279" s="174">
        <f>VLOOKUP(D279,原始分!$D:$N,8,0)</f>
        <v>0</v>
      </c>
      <c r="Q279" s="174">
        <f t="shared" si="60"/>
        <v>541</v>
      </c>
      <c r="R279" s="174">
        <f>VLOOKUP(D279,原始分!$D:$N,9,0)</f>
        <v>51</v>
      </c>
      <c r="S279" s="174">
        <f t="shared" si="61"/>
        <v>140</v>
      </c>
      <c r="T279" s="174">
        <f>VLOOKUP(D279,原始分!$D:$N,10,0)</f>
        <v>0</v>
      </c>
      <c r="U279" s="174">
        <f t="shared" si="62"/>
        <v>316</v>
      </c>
      <c r="V279" s="174">
        <f>VLOOKUP(D279,原始分!$D:$N,11,0)</f>
        <v>56.5</v>
      </c>
      <c r="W279" s="174">
        <f t="shared" si="63"/>
        <v>153</v>
      </c>
      <c r="X279" s="11">
        <f t="shared" si="64"/>
        <v>252</v>
      </c>
      <c r="Y279" s="9">
        <f t="shared" si="65"/>
        <v>799</v>
      </c>
      <c r="Z279" s="11">
        <f t="shared" si="66"/>
        <v>405</v>
      </c>
      <c r="AA279" s="9">
        <f t="shared" si="54"/>
        <v>499</v>
      </c>
    </row>
    <row r="280" ht="14.25" spans="1:27">
      <c r="A280" s="13">
        <v>278</v>
      </c>
      <c r="B280" s="15">
        <v>6</v>
      </c>
      <c r="C280" s="16">
        <v>30</v>
      </c>
      <c r="D280" s="17" t="s">
        <v>567</v>
      </c>
      <c r="E280" s="17" t="s">
        <v>568</v>
      </c>
      <c r="F280" s="174">
        <f>VLOOKUP(D280,原始分!$D:$N,3,0)</f>
        <v>89.5</v>
      </c>
      <c r="G280" s="174">
        <f t="shared" si="55"/>
        <v>789</v>
      </c>
      <c r="H280" s="174">
        <f>VLOOKUP(D280,原始分!$D:$N,4,0)</f>
        <v>60</v>
      </c>
      <c r="I280" s="174">
        <f t="shared" si="56"/>
        <v>844</v>
      </c>
      <c r="J280" s="174">
        <f>VLOOKUP(D280,原始分!$D:$N,5,0)</f>
        <v>82.5</v>
      </c>
      <c r="K280" s="174">
        <f t="shared" si="57"/>
        <v>713</v>
      </c>
      <c r="L280" s="174">
        <f>VLOOKUP(D280,原始分!$D:$N,6,0)</f>
        <v>26</v>
      </c>
      <c r="M280" s="174">
        <f t="shared" si="58"/>
        <v>635</v>
      </c>
      <c r="N280" s="174">
        <f>VLOOKUP(D280,原始分!$D:$N,7,0)</f>
        <v>0</v>
      </c>
      <c r="O280" s="174">
        <f t="shared" si="59"/>
        <v>207</v>
      </c>
      <c r="P280" s="174">
        <f>VLOOKUP(D280,原始分!$D:$N,8,0)</f>
        <v>0</v>
      </c>
      <c r="Q280" s="174">
        <f t="shared" si="60"/>
        <v>541</v>
      </c>
      <c r="R280" s="174">
        <f>VLOOKUP(D280,原始分!$D:$N,9,0)</f>
        <v>38.5</v>
      </c>
      <c r="S280" s="174">
        <f t="shared" si="61"/>
        <v>303</v>
      </c>
      <c r="T280" s="174">
        <f>VLOOKUP(D280,原始分!$D:$N,10,0)</f>
        <v>0</v>
      </c>
      <c r="U280" s="174">
        <f t="shared" si="62"/>
        <v>316</v>
      </c>
      <c r="V280" s="174">
        <f>VLOOKUP(D280,原始分!$D:$N,11,0)</f>
        <v>43.5</v>
      </c>
      <c r="W280" s="174">
        <f t="shared" si="63"/>
        <v>443</v>
      </c>
      <c r="X280" s="11">
        <f t="shared" si="64"/>
        <v>232</v>
      </c>
      <c r="Y280" s="9">
        <f t="shared" si="65"/>
        <v>845</v>
      </c>
      <c r="Z280" s="11">
        <f t="shared" si="66"/>
        <v>340</v>
      </c>
      <c r="AA280" s="9">
        <f t="shared" si="54"/>
        <v>642</v>
      </c>
    </row>
    <row r="281" ht="14.25" spans="1:27">
      <c r="A281" s="13">
        <v>279</v>
      </c>
      <c r="B281" s="15">
        <v>6</v>
      </c>
      <c r="C281" s="16">
        <v>31</v>
      </c>
      <c r="D281" s="17" t="s">
        <v>569</v>
      </c>
      <c r="E281" s="17" t="s">
        <v>570</v>
      </c>
      <c r="F281" s="174">
        <f>VLOOKUP(D281,原始分!$D:$N,3,0)</f>
        <v>97</v>
      </c>
      <c r="G281" s="174">
        <f t="shared" si="55"/>
        <v>551</v>
      </c>
      <c r="H281" s="174">
        <f>VLOOKUP(D281,原始分!$D:$N,4,0)</f>
        <v>99</v>
      </c>
      <c r="I281" s="174">
        <f t="shared" si="56"/>
        <v>433</v>
      </c>
      <c r="J281" s="174">
        <f>VLOOKUP(D281,原始分!$D:$N,5,0)</f>
        <v>81</v>
      </c>
      <c r="K281" s="174">
        <f t="shared" si="57"/>
        <v>733</v>
      </c>
      <c r="L281" s="174">
        <f>VLOOKUP(D281,原始分!$D:$N,6,0)</f>
        <v>28.5</v>
      </c>
      <c r="M281" s="174">
        <f t="shared" si="58"/>
        <v>621</v>
      </c>
      <c r="N281" s="174">
        <f>VLOOKUP(D281,原始分!$D:$N,7,0)</f>
        <v>0</v>
      </c>
      <c r="O281" s="174">
        <f t="shared" si="59"/>
        <v>207</v>
      </c>
      <c r="P281" s="174">
        <f>VLOOKUP(D281,原始分!$D:$N,8,0)</f>
        <v>0</v>
      </c>
      <c r="Q281" s="174">
        <f t="shared" si="60"/>
        <v>541</v>
      </c>
      <c r="R281" s="174">
        <f>VLOOKUP(D281,原始分!$D:$N,9,0)</f>
        <v>35.5</v>
      </c>
      <c r="S281" s="174">
        <f t="shared" si="61"/>
        <v>313</v>
      </c>
      <c r="T281" s="174">
        <f>VLOOKUP(D281,原始分!$D:$N,10,0)</f>
        <v>0</v>
      </c>
      <c r="U281" s="174">
        <f t="shared" si="62"/>
        <v>316</v>
      </c>
      <c r="V281" s="174">
        <f>VLOOKUP(D281,原始分!$D:$N,11,0)</f>
        <v>28.5</v>
      </c>
      <c r="W281" s="174">
        <f t="shared" si="63"/>
        <v>556</v>
      </c>
      <c r="X281" s="11">
        <f t="shared" si="64"/>
        <v>277</v>
      </c>
      <c r="Y281" s="9">
        <f t="shared" si="65"/>
        <v>639</v>
      </c>
      <c r="Z281" s="11">
        <f t="shared" si="66"/>
        <v>369.5</v>
      </c>
      <c r="AA281" s="9">
        <f t="shared" si="54"/>
        <v>612</v>
      </c>
    </row>
    <row r="282" ht="14.25" spans="1:27">
      <c r="A282" s="13">
        <v>280</v>
      </c>
      <c r="B282" s="15">
        <v>6</v>
      </c>
      <c r="C282" s="16">
        <v>32</v>
      </c>
      <c r="D282" s="17" t="s">
        <v>571</v>
      </c>
      <c r="E282" s="17" t="s">
        <v>572</v>
      </c>
      <c r="F282" s="174">
        <f>VLOOKUP(D282,原始分!$D:$N,3,0)</f>
        <v>99</v>
      </c>
      <c r="G282" s="174">
        <f t="shared" si="55"/>
        <v>442</v>
      </c>
      <c r="H282" s="174">
        <f>VLOOKUP(D282,原始分!$D:$N,4,0)</f>
        <v>101.5</v>
      </c>
      <c r="I282" s="174">
        <f t="shared" si="56"/>
        <v>391</v>
      </c>
      <c r="J282" s="174">
        <f>VLOOKUP(D282,原始分!$D:$N,5,0)</f>
        <v>78.75</v>
      </c>
      <c r="K282" s="174">
        <f t="shared" si="57"/>
        <v>761</v>
      </c>
      <c r="L282" s="174">
        <f>VLOOKUP(D282,原始分!$D:$N,6,0)</f>
        <v>61.5</v>
      </c>
      <c r="M282" s="174">
        <f t="shared" si="58"/>
        <v>164</v>
      </c>
      <c r="N282" s="174">
        <f>VLOOKUP(D282,原始分!$D:$N,7,0)</f>
        <v>0</v>
      </c>
      <c r="O282" s="174">
        <f t="shared" si="59"/>
        <v>207</v>
      </c>
      <c r="P282" s="174">
        <f>VLOOKUP(D282,原始分!$D:$N,8,0)</f>
        <v>0</v>
      </c>
      <c r="Q282" s="174">
        <f t="shared" si="60"/>
        <v>541</v>
      </c>
      <c r="R282" s="174">
        <f>VLOOKUP(D282,原始分!$D:$N,9,0)</f>
        <v>56</v>
      </c>
      <c r="S282" s="174">
        <f t="shared" si="61"/>
        <v>58</v>
      </c>
      <c r="T282" s="174">
        <f>VLOOKUP(D282,原始分!$D:$N,10,0)</f>
        <v>0</v>
      </c>
      <c r="U282" s="174">
        <f t="shared" si="62"/>
        <v>316</v>
      </c>
      <c r="V282" s="174">
        <f>VLOOKUP(D282,原始分!$D:$N,11,0)</f>
        <v>64</v>
      </c>
      <c r="W282" s="174">
        <f t="shared" si="63"/>
        <v>50</v>
      </c>
      <c r="X282" s="11">
        <f t="shared" si="64"/>
        <v>279.25</v>
      </c>
      <c r="Y282" s="9">
        <f t="shared" si="65"/>
        <v>604</v>
      </c>
      <c r="Z282" s="11">
        <f t="shared" si="66"/>
        <v>460.75</v>
      </c>
      <c r="AA282" s="9">
        <f t="shared" si="54"/>
        <v>220</v>
      </c>
    </row>
    <row r="283" ht="14.25" spans="1:27">
      <c r="A283" s="13">
        <v>281</v>
      </c>
      <c r="B283" s="15">
        <v>6</v>
      </c>
      <c r="C283" s="16">
        <v>33</v>
      </c>
      <c r="D283" s="17" t="s">
        <v>573</v>
      </c>
      <c r="E283" s="17" t="s">
        <v>574</v>
      </c>
      <c r="F283" s="174">
        <f>VLOOKUP(D283,原始分!$D:$N,3,0)</f>
        <v>95.5</v>
      </c>
      <c r="G283" s="174">
        <f t="shared" si="55"/>
        <v>595</v>
      </c>
      <c r="H283" s="174">
        <f>VLOOKUP(D283,原始分!$D:$N,4,0)</f>
        <v>88.5</v>
      </c>
      <c r="I283" s="174">
        <f t="shared" si="56"/>
        <v>641</v>
      </c>
      <c r="J283" s="174">
        <f>VLOOKUP(D283,原始分!$D:$N,5,0)</f>
        <v>92.5</v>
      </c>
      <c r="K283" s="174">
        <f t="shared" si="57"/>
        <v>539</v>
      </c>
      <c r="L283" s="174">
        <f>VLOOKUP(D283,原始分!$D:$N,6,0)</f>
        <v>35</v>
      </c>
      <c r="M283" s="174">
        <f t="shared" si="58"/>
        <v>572</v>
      </c>
      <c r="N283" s="174">
        <f>VLOOKUP(D283,原始分!$D:$N,7,0)</f>
        <v>0</v>
      </c>
      <c r="O283" s="174">
        <f t="shared" si="59"/>
        <v>207</v>
      </c>
      <c r="P283" s="174">
        <f>VLOOKUP(D283,原始分!$D:$N,8,0)</f>
        <v>0</v>
      </c>
      <c r="Q283" s="174">
        <f t="shared" si="60"/>
        <v>541</v>
      </c>
      <c r="R283" s="174">
        <f>VLOOKUP(D283,原始分!$D:$N,9,0)</f>
        <v>42</v>
      </c>
      <c r="S283" s="174">
        <f t="shared" si="61"/>
        <v>279</v>
      </c>
      <c r="T283" s="174">
        <f>VLOOKUP(D283,原始分!$D:$N,10,0)</f>
        <v>0</v>
      </c>
      <c r="U283" s="174">
        <f t="shared" si="62"/>
        <v>316</v>
      </c>
      <c r="V283" s="174">
        <f>VLOOKUP(D283,原始分!$D:$N,11,0)</f>
        <v>22</v>
      </c>
      <c r="W283" s="174">
        <f t="shared" si="63"/>
        <v>561</v>
      </c>
      <c r="X283" s="11">
        <f t="shared" si="64"/>
        <v>276.5</v>
      </c>
      <c r="Y283" s="9">
        <f t="shared" si="65"/>
        <v>642</v>
      </c>
      <c r="Z283" s="11">
        <f t="shared" si="66"/>
        <v>375.5</v>
      </c>
      <c r="AA283" s="9">
        <f t="shared" si="54"/>
        <v>594</v>
      </c>
    </row>
    <row r="284" ht="14.25" spans="1:27">
      <c r="A284" s="13">
        <v>282</v>
      </c>
      <c r="B284" s="15">
        <v>6</v>
      </c>
      <c r="C284" s="16">
        <v>34</v>
      </c>
      <c r="D284" s="17" t="s">
        <v>575</v>
      </c>
      <c r="E284" s="17" t="s">
        <v>576</v>
      </c>
      <c r="F284" s="174">
        <f>VLOOKUP(D284,原始分!$D:$N,3,0)</f>
        <v>97.5</v>
      </c>
      <c r="G284" s="174">
        <f t="shared" si="55"/>
        <v>531</v>
      </c>
      <c r="H284" s="174">
        <f>VLOOKUP(D284,原始分!$D:$N,4,0)</f>
        <v>103</v>
      </c>
      <c r="I284" s="174">
        <f t="shared" si="56"/>
        <v>366</v>
      </c>
      <c r="J284" s="174">
        <f>VLOOKUP(D284,原始分!$D:$N,5,0)</f>
        <v>112</v>
      </c>
      <c r="K284" s="174">
        <f t="shared" si="57"/>
        <v>143</v>
      </c>
      <c r="L284" s="174">
        <f>VLOOKUP(D284,原始分!$D:$N,6,0)</f>
        <v>58.5</v>
      </c>
      <c r="M284" s="174">
        <f t="shared" si="58"/>
        <v>209</v>
      </c>
      <c r="N284" s="174">
        <f>VLOOKUP(D284,原始分!$D:$N,7,0)</f>
        <v>0</v>
      </c>
      <c r="O284" s="174">
        <f t="shared" si="59"/>
        <v>207</v>
      </c>
      <c r="P284" s="174">
        <f>VLOOKUP(D284,原始分!$D:$N,8,0)</f>
        <v>0</v>
      </c>
      <c r="Q284" s="174">
        <f t="shared" si="60"/>
        <v>541</v>
      </c>
      <c r="R284" s="174">
        <f>VLOOKUP(D284,原始分!$D:$N,9,0)</f>
        <v>52</v>
      </c>
      <c r="S284" s="174">
        <f t="shared" si="61"/>
        <v>121</v>
      </c>
      <c r="T284" s="174">
        <f>VLOOKUP(D284,原始分!$D:$N,10,0)</f>
        <v>0</v>
      </c>
      <c r="U284" s="174">
        <f t="shared" si="62"/>
        <v>316</v>
      </c>
      <c r="V284" s="174">
        <f>VLOOKUP(D284,原始分!$D:$N,11,0)</f>
        <v>55</v>
      </c>
      <c r="W284" s="174">
        <f t="shared" si="63"/>
        <v>181</v>
      </c>
      <c r="X284" s="11">
        <f t="shared" si="64"/>
        <v>312.5</v>
      </c>
      <c r="Y284" s="9">
        <f t="shared" si="65"/>
        <v>231</v>
      </c>
      <c r="Z284" s="11">
        <f t="shared" si="66"/>
        <v>478</v>
      </c>
      <c r="AA284" s="9">
        <f t="shared" si="54"/>
        <v>141</v>
      </c>
    </row>
    <row r="285" ht="14.25" spans="1:27">
      <c r="A285" s="13">
        <v>283</v>
      </c>
      <c r="B285" s="15">
        <v>6</v>
      </c>
      <c r="C285" s="16">
        <v>35</v>
      </c>
      <c r="D285" s="17" t="s">
        <v>577</v>
      </c>
      <c r="E285" s="17" t="s">
        <v>578</v>
      </c>
      <c r="F285" s="174">
        <f>VLOOKUP(D285,原始分!$D:$N,3,0)</f>
        <v>94.5</v>
      </c>
      <c r="G285" s="174">
        <f t="shared" si="55"/>
        <v>642</v>
      </c>
      <c r="H285" s="174">
        <f>VLOOKUP(D285,原始分!$D:$N,4,0)</f>
        <v>94.5</v>
      </c>
      <c r="I285" s="174">
        <f t="shared" si="56"/>
        <v>525</v>
      </c>
      <c r="J285" s="174">
        <f>VLOOKUP(D285,原始分!$D:$N,5,0)</f>
        <v>93</v>
      </c>
      <c r="K285" s="174">
        <f t="shared" si="57"/>
        <v>525</v>
      </c>
      <c r="L285" s="174">
        <f>VLOOKUP(D285,原始分!$D:$N,6,0)</f>
        <v>51</v>
      </c>
      <c r="M285" s="174">
        <f t="shared" si="58"/>
        <v>320</v>
      </c>
      <c r="N285" s="174">
        <f>VLOOKUP(D285,原始分!$D:$N,7,0)</f>
        <v>0</v>
      </c>
      <c r="O285" s="174">
        <f t="shared" si="59"/>
        <v>207</v>
      </c>
      <c r="P285" s="174">
        <f>VLOOKUP(D285,原始分!$D:$N,8,0)</f>
        <v>0</v>
      </c>
      <c r="Q285" s="174">
        <f t="shared" si="60"/>
        <v>541</v>
      </c>
      <c r="R285" s="174">
        <f>VLOOKUP(D285,原始分!$D:$N,9,0)</f>
        <v>41.5</v>
      </c>
      <c r="S285" s="174">
        <f t="shared" si="61"/>
        <v>282</v>
      </c>
      <c r="T285" s="174">
        <f>VLOOKUP(D285,原始分!$D:$N,10,0)</f>
        <v>0</v>
      </c>
      <c r="U285" s="174">
        <f t="shared" si="62"/>
        <v>316</v>
      </c>
      <c r="V285" s="174">
        <f>VLOOKUP(D285,原始分!$D:$N,11,0)</f>
        <v>54.5</v>
      </c>
      <c r="W285" s="174">
        <f t="shared" si="63"/>
        <v>187</v>
      </c>
      <c r="X285" s="11">
        <f t="shared" si="64"/>
        <v>282</v>
      </c>
      <c r="Y285" s="9">
        <f t="shared" si="65"/>
        <v>579</v>
      </c>
      <c r="Z285" s="11">
        <f t="shared" si="66"/>
        <v>429</v>
      </c>
      <c r="AA285" s="9">
        <f t="shared" si="54"/>
        <v>386</v>
      </c>
    </row>
    <row r="286" ht="14.25" spans="1:27">
      <c r="A286" s="13">
        <v>284</v>
      </c>
      <c r="B286" s="15">
        <v>6</v>
      </c>
      <c r="C286" s="16">
        <v>36</v>
      </c>
      <c r="D286" s="17" t="s">
        <v>579</v>
      </c>
      <c r="E286" s="17" t="s">
        <v>580</v>
      </c>
      <c r="F286" s="174">
        <f>VLOOKUP(D286,原始分!$D:$N,3,0)</f>
        <v>106</v>
      </c>
      <c r="G286" s="174">
        <f t="shared" si="55"/>
        <v>145</v>
      </c>
      <c r="H286" s="174">
        <f>VLOOKUP(D286,原始分!$D:$N,4,0)</f>
        <v>86</v>
      </c>
      <c r="I286" s="174">
        <f t="shared" si="56"/>
        <v>692</v>
      </c>
      <c r="J286" s="174">
        <f>VLOOKUP(D286,原始分!$D:$N,5,0)</f>
        <v>80.5</v>
      </c>
      <c r="K286" s="174">
        <f t="shared" si="57"/>
        <v>741</v>
      </c>
      <c r="L286" s="174">
        <f>VLOOKUP(D286,原始分!$D:$N,6,0)</f>
        <v>39.5</v>
      </c>
      <c r="M286" s="174">
        <f t="shared" si="58"/>
        <v>514</v>
      </c>
      <c r="N286" s="174">
        <f>VLOOKUP(D286,原始分!$D:$N,7,0)</f>
        <v>0</v>
      </c>
      <c r="O286" s="174">
        <f t="shared" si="59"/>
        <v>207</v>
      </c>
      <c r="P286" s="174">
        <f>VLOOKUP(D286,原始分!$D:$N,8,0)</f>
        <v>0</v>
      </c>
      <c r="Q286" s="174">
        <f t="shared" si="60"/>
        <v>541</v>
      </c>
      <c r="R286" s="174">
        <f>VLOOKUP(D286,原始分!$D:$N,9,0)</f>
        <v>39</v>
      </c>
      <c r="S286" s="174">
        <f t="shared" si="61"/>
        <v>301</v>
      </c>
      <c r="T286" s="174">
        <f>VLOOKUP(D286,原始分!$D:$N,10,0)</f>
        <v>0</v>
      </c>
      <c r="U286" s="174">
        <f t="shared" si="62"/>
        <v>316</v>
      </c>
      <c r="V286" s="174">
        <f>VLOOKUP(D286,原始分!$D:$N,11,0)</f>
        <v>41</v>
      </c>
      <c r="W286" s="174">
        <f t="shared" si="63"/>
        <v>482</v>
      </c>
      <c r="X286" s="11">
        <f t="shared" si="64"/>
        <v>272.5</v>
      </c>
      <c r="Y286" s="9">
        <f t="shared" si="65"/>
        <v>671</v>
      </c>
      <c r="Z286" s="11">
        <f t="shared" si="66"/>
        <v>392</v>
      </c>
      <c r="AA286" s="9">
        <f t="shared" si="54"/>
        <v>546</v>
      </c>
    </row>
    <row r="287" ht="14.25" spans="1:27">
      <c r="A287" s="13">
        <v>285</v>
      </c>
      <c r="B287" s="15">
        <v>6</v>
      </c>
      <c r="C287" s="16">
        <v>37</v>
      </c>
      <c r="D287" s="17" t="s">
        <v>581</v>
      </c>
      <c r="E287" s="17" t="s">
        <v>582</v>
      </c>
      <c r="F287" s="174">
        <f>VLOOKUP(D287,原始分!$D:$N,3,0)</f>
        <v>105.5</v>
      </c>
      <c r="G287" s="174">
        <f t="shared" si="55"/>
        <v>156</v>
      </c>
      <c r="H287" s="174">
        <f>VLOOKUP(D287,原始分!$D:$N,4,0)</f>
        <v>93.5</v>
      </c>
      <c r="I287" s="174">
        <f t="shared" si="56"/>
        <v>549</v>
      </c>
      <c r="J287" s="174">
        <f>VLOOKUP(D287,原始分!$D:$N,5,0)</f>
        <v>99.5</v>
      </c>
      <c r="K287" s="174">
        <f t="shared" si="57"/>
        <v>383</v>
      </c>
      <c r="L287" s="174">
        <f>VLOOKUP(D287,原始分!$D:$N,6,0)</f>
        <v>55.5</v>
      </c>
      <c r="M287" s="174">
        <f t="shared" si="58"/>
        <v>262</v>
      </c>
      <c r="N287" s="174">
        <f>VLOOKUP(D287,原始分!$D:$N,7,0)</f>
        <v>0</v>
      </c>
      <c r="O287" s="174">
        <f t="shared" si="59"/>
        <v>207</v>
      </c>
      <c r="P287" s="174">
        <f>VLOOKUP(D287,原始分!$D:$N,8,0)</f>
        <v>0</v>
      </c>
      <c r="Q287" s="174">
        <f t="shared" si="60"/>
        <v>541</v>
      </c>
      <c r="R287" s="174">
        <f>VLOOKUP(D287,原始分!$D:$N,9,0)</f>
        <v>63</v>
      </c>
      <c r="S287" s="174">
        <f t="shared" si="61"/>
        <v>17</v>
      </c>
      <c r="T287" s="174">
        <f>VLOOKUP(D287,原始分!$D:$N,10,0)</f>
        <v>0</v>
      </c>
      <c r="U287" s="174">
        <f t="shared" si="62"/>
        <v>316</v>
      </c>
      <c r="V287" s="174">
        <f>VLOOKUP(D287,原始分!$D:$N,11,0)</f>
        <v>73.5</v>
      </c>
      <c r="W287" s="174">
        <f t="shared" si="63"/>
        <v>8</v>
      </c>
      <c r="X287" s="11">
        <f t="shared" si="64"/>
        <v>298.5</v>
      </c>
      <c r="Y287" s="9">
        <f t="shared" si="65"/>
        <v>390</v>
      </c>
      <c r="Z287" s="11">
        <f t="shared" si="66"/>
        <v>490.5</v>
      </c>
      <c r="AA287" s="9">
        <f t="shared" si="54"/>
        <v>104</v>
      </c>
    </row>
    <row r="288" ht="14.25" spans="1:27">
      <c r="A288" s="13">
        <v>286</v>
      </c>
      <c r="B288" s="15">
        <v>6</v>
      </c>
      <c r="C288" s="16">
        <v>38</v>
      </c>
      <c r="D288" s="17" t="s">
        <v>583</v>
      </c>
      <c r="E288" s="17" t="s">
        <v>584</v>
      </c>
      <c r="F288" s="174">
        <f>VLOOKUP(D288,原始分!$D:$N,3,0)</f>
        <v>102.5</v>
      </c>
      <c r="G288" s="174">
        <f t="shared" si="55"/>
        <v>279</v>
      </c>
      <c r="H288" s="174">
        <f>VLOOKUP(D288,原始分!$D:$N,4,0)</f>
        <v>96.5</v>
      </c>
      <c r="I288" s="174">
        <f t="shared" si="56"/>
        <v>485</v>
      </c>
      <c r="J288" s="174">
        <f>VLOOKUP(D288,原始分!$D:$N,5,0)</f>
        <v>87</v>
      </c>
      <c r="K288" s="174">
        <f t="shared" si="57"/>
        <v>632</v>
      </c>
      <c r="L288" s="174">
        <f>VLOOKUP(D288,原始分!$D:$N,6,0)</f>
        <v>58</v>
      </c>
      <c r="M288" s="174">
        <f t="shared" si="58"/>
        <v>220</v>
      </c>
      <c r="N288" s="174">
        <f>VLOOKUP(D288,原始分!$D:$N,7,0)</f>
        <v>0</v>
      </c>
      <c r="O288" s="174">
        <f t="shared" si="59"/>
        <v>207</v>
      </c>
      <c r="P288" s="174">
        <f>VLOOKUP(D288,原始分!$D:$N,8,0)</f>
        <v>0</v>
      </c>
      <c r="Q288" s="174">
        <f t="shared" si="60"/>
        <v>541</v>
      </c>
      <c r="R288" s="174">
        <f>VLOOKUP(D288,原始分!$D:$N,9,0)</f>
        <v>42.5</v>
      </c>
      <c r="S288" s="174">
        <f t="shared" si="61"/>
        <v>275</v>
      </c>
      <c r="T288" s="174">
        <f>VLOOKUP(D288,原始分!$D:$N,10,0)</f>
        <v>0</v>
      </c>
      <c r="U288" s="174">
        <f t="shared" si="62"/>
        <v>316</v>
      </c>
      <c r="V288" s="174">
        <f>VLOOKUP(D288,原始分!$D:$N,11,0)</f>
        <v>65</v>
      </c>
      <c r="W288" s="174">
        <f t="shared" si="63"/>
        <v>37</v>
      </c>
      <c r="X288" s="11">
        <f t="shared" si="64"/>
        <v>286</v>
      </c>
      <c r="Y288" s="9">
        <f t="shared" si="65"/>
        <v>533</v>
      </c>
      <c r="Z288" s="11">
        <f t="shared" si="66"/>
        <v>451.5</v>
      </c>
      <c r="AA288" s="9">
        <f t="shared" si="54"/>
        <v>270</v>
      </c>
    </row>
    <row r="289" ht="14.25" spans="1:27">
      <c r="A289" s="13">
        <v>287</v>
      </c>
      <c r="B289" s="15">
        <v>6</v>
      </c>
      <c r="C289" s="16">
        <v>39</v>
      </c>
      <c r="D289" s="17" t="s">
        <v>585</v>
      </c>
      <c r="E289" s="17" t="s">
        <v>586</v>
      </c>
      <c r="F289" s="174">
        <f>VLOOKUP(D289,原始分!$D:$N,3,0)</f>
        <v>88.25</v>
      </c>
      <c r="G289" s="174">
        <f t="shared" si="55"/>
        <v>808</v>
      </c>
      <c r="H289" s="174">
        <f>VLOOKUP(D289,原始分!$D:$N,4,0)</f>
        <v>95</v>
      </c>
      <c r="I289" s="174">
        <f t="shared" si="56"/>
        <v>510</v>
      </c>
      <c r="J289" s="174">
        <f>VLOOKUP(D289,原始分!$D:$N,5,0)</f>
        <v>95.5</v>
      </c>
      <c r="K289" s="174">
        <f t="shared" si="57"/>
        <v>477</v>
      </c>
      <c r="L289" s="174">
        <f>VLOOKUP(D289,原始分!$D:$N,6,0)</f>
        <v>46.5</v>
      </c>
      <c r="M289" s="174">
        <f t="shared" si="58"/>
        <v>404</v>
      </c>
      <c r="N289" s="174">
        <f>VLOOKUP(D289,原始分!$D:$N,7,0)</f>
        <v>0</v>
      </c>
      <c r="O289" s="174">
        <f t="shared" si="59"/>
        <v>207</v>
      </c>
      <c r="P289" s="174">
        <f>VLOOKUP(D289,原始分!$D:$N,8,0)</f>
        <v>0</v>
      </c>
      <c r="Q289" s="174">
        <f t="shared" si="60"/>
        <v>541</v>
      </c>
      <c r="R289" s="174">
        <f>VLOOKUP(D289,原始分!$D:$N,9,0)</f>
        <v>38.5</v>
      </c>
      <c r="S289" s="174">
        <f t="shared" si="61"/>
        <v>303</v>
      </c>
      <c r="T289" s="174">
        <f>VLOOKUP(D289,原始分!$D:$N,10,0)</f>
        <v>0</v>
      </c>
      <c r="U289" s="174">
        <f t="shared" si="62"/>
        <v>316</v>
      </c>
      <c r="V289" s="174">
        <f>VLOOKUP(D289,原始分!$D:$N,11,0)</f>
        <v>35</v>
      </c>
      <c r="W289" s="174">
        <f t="shared" si="63"/>
        <v>528</v>
      </c>
      <c r="X289" s="11">
        <f t="shared" si="64"/>
        <v>278.75</v>
      </c>
      <c r="Y289" s="9">
        <f t="shared" si="65"/>
        <v>610</v>
      </c>
      <c r="Z289" s="11">
        <f t="shared" si="66"/>
        <v>398.75</v>
      </c>
      <c r="AA289" s="9">
        <f t="shared" ref="AA289:AA352" si="67">RANK(Z289,$Z$3:$Z$665)</f>
        <v>526</v>
      </c>
    </row>
    <row r="290" ht="14.25" spans="1:27">
      <c r="A290" s="13">
        <v>288</v>
      </c>
      <c r="B290" s="15">
        <v>6</v>
      </c>
      <c r="C290" s="16">
        <v>40</v>
      </c>
      <c r="D290" s="17" t="s">
        <v>587</v>
      </c>
      <c r="E290" s="17" t="s">
        <v>588</v>
      </c>
      <c r="F290" s="174">
        <f>VLOOKUP(D290,原始分!$D:$N,3,0)</f>
        <v>100.25</v>
      </c>
      <c r="G290" s="174">
        <f t="shared" si="55"/>
        <v>398</v>
      </c>
      <c r="H290" s="174">
        <f>VLOOKUP(D290,原始分!$D:$N,4,0)</f>
        <v>87.5</v>
      </c>
      <c r="I290" s="174">
        <f t="shared" si="56"/>
        <v>665</v>
      </c>
      <c r="J290" s="174">
        <f>VLOOKUP(D290,原始分!$D:$N,5,0)</f>
        <v>91.5</v>
      </c>
      <c r="K290" s="174">
        <f t="shared" si="57"/>
        <v>565</v>
      </c>
      <c r="L290" s="174">
        <f>VLOOKUP(D290,原始分!$D:$N,6,0)</f>
        <v>25</v>
      </c>
      <c r="M290" s="174">
        <f t="shared" si="58"/>
        <v>638</v>
      </c>
      <c r="N290" s="174">
        <f>VLOOKUP(D290,原始分!$D:$N,7,0)</f>
        <v>0</v>
      </c>
      <c r="O290" s="174">
        <f t="shared" si="59"/>
        <v>207</v>
      </c>
      <c r="P290" s="174">
        <f>VLOOKUP(D290,原始分!$D:$N,8,0)</f>
        <v>0</v>
      </c>
      <c r="Q290" s="174">
        <f t="shared" si="60"/>
        <v>541</v>
      </c>
      <c r="R290" s="174">
        <f>VLOOKUP(D290,原始分!$D:$N,9,0)</f>
        <v>43.5</v>
      </c>
      <c r="S290" s="174">
        <f t="shared" si="61"/>
        <v>264</v>
      </c>
      <c r="T290" s="174">
        <f>VLOOKUP(D290,原始分!$D:$N,10,0)</f>
        <v>0</v>
      </c>
      <c r="U290" s="174">
        <f t="shared" si="62"/>
        <v>316</v>
      </c>
      <c r="V290" s="174">
        <f>VLOOKUP(D290,原始分!$D:$N,11,0)</f>
        <v>48</v>
      </c>
      <c r="W290" s="174">
        <f t="shared" si="63"/>
        <v>341</v>
      </c>
      <c r="X290" s="11">
        <f t="shared" si="64"/>
        <v>279.25</v>
      </c>
      <c r="Y290" s="9">
        <f t="shared" si="65"/>
        <v>604</v>
      </c>
      <c r="Z290" s="11">
        <f t="shared" si="66"/>
        <v>395.75</v>
      </c>
      <c r="AA290" s="9">
        <f t="shared" si="67"/>
        <v>538</v>
      </c>
    </row>
    <row r="291" ht="14.25" spans="1:27">
      <c r="A291" s="13">
        <v>289</v>
      </c>
      <c r="B291" s="15">
        <v>6</v>
      </c>
      <c r="C291" s="16">
        <v>41</v>
      </c>
      <c r="D291" s="17" t="s">
        <v>589</v>
      </c>
      <c r="E291" s="17" t="s">
        <v>590</v>
      </c>
      <c r="F291" s="174">
        <f>VLOOKUP(D291,原始分!$D:$N,3,0)</f>
        <v>86</v>
      </c>
      <c r="G291" s="174">
        <f t="shared" si="55"/>
        <v>830</v>
      </c>
      <c r="H291" s="174">
        <f>VLOOKUP(D291,原始分!$D:$N,4,0)</f>
        <v>79.5</v>
      </c>
      <c r="I291" s="174">
        <f t="shared" si="56"/>
        <v>755</v>
      </c>
      <c r="J291" s="174">
        <f>VLOOKUP(D291,原始分!$D:$N,5,0)</f>
        <v>72</v>
      </c>
      <c r="K291" s="174">
        <f t="shared" si="57"/>
        <v>812</v>
      </c>
      <c r="L291" s="174">
        <f>VLOOKUP(D291,原始分!$D:$N,6,0)</f>
        <v>58</v>
      </c>
      <c r="M291" s="174">
        <f t="shared" si="58"/>
        <v>220</v>
      </c>
      <c r="N291" s="174">
        <f>VLOOKUP(D291,原始分!$D:$N,7,0)</f>
        <v>0</v>
      </c>
      <c r="O291" s="174">
        <f t="shared" si="59"/>
        <v>207</v>
      </c>
      <c r="P291" s="174">
        <f>VLOOKUP(D291,原始分!$D:$N,8,0)</f>
        <v>0</v>
      </c>
      <c r="Q291" s="174">
        <f t="shared" si="60"/>
        <v>541</v>
      </c>
      <c r="R291" s="174">
        <f>VLOOKUP(D291,原始分!$D:$N,9,0)</f>
        <v>38.5</v>
      </c>
      <c r="S291" s="174">
        <f t="shared" si="61"/>
        <v>303</v>
      </c>
      <c r="T291" s="174">
        <f>VLOOKUP(D291,原始分!$D:$N,10,0)</f>
        <v>0</v>
      </c>
      <c r="U291" s="174">
        <f t="shared" si="62"/>
        <v>316</v>
      </c>
      <c r="V291" s="174">
        <f>VLOOKUP(D291,原始分!$D:$N,11,0)</f>
        <v>40.5</v>
      </c>
      <c r="W291" s="174">
        <f t="shared" si="63"/>
        <v>486</v>
      </c>
      <c r="X291" s="11">
        <f t="shared" si="64"/>
        <v>237.5</v>
      </c>
      <c r="Y291" s="9">
        <f t="shared" si="65"/>
        <v>838</v>
      </c>
      <c r="Z291" s="11">
        <f t="shared" si="66"/>
        <v>374.5</v>
      </c>
      <c r="AA291" s="9">
        <f t="shared" si="67"/>
        <v>597</v>
      </c>
    </row>
    <row r="292" ht="14.25" spans="1:27">
      <c r="A292" s="13">
        <v>290</v>
      </c>
      <c r="B292" s="15">
        <v>6</v>
      </c>
      <c r="C292" s="16">
        <v>42</v>
      </c>
      <c r="D292" s="17" t="s">
        <v>591</v>
      </c>
      <c r="E292" s="17" t="s">
        <v>592</v>
      </c>
      <c r="F292" s="174">
        <f>VLOOKUP(D292,原始分!$D:$N,3,0)</f>
        <v>107.5</v>
      </c>
      <c r="G292" s="174">
        <f t="shared" si="55"/>
        <v>93</v>
      </c>
      <c r="H292" s="174">
        <f>VLOOKUP(D292,原始分!$D:$N,4,0)</f>
        <v>96</v>
      </c>
      <c r="I292" s="174">
        <f t="shared" si="56"/>
        <v>492</v>
      </c>
      <c r="J292" s="174">
        <f>VLOOKUP(D292,原始分!$D:$N,5,0)</f>
        <v>105.5</v>
      </c>
      <c r="K292" s="174">
        <f t="shared" si="57"/>
        <v>259</v>
      </c>
      <c r="L292" s="174">
        <f>VLOOKUP(D292,原始分!$D:$N,6,0)</f>
        <v>64</v>
      </c>
      <c r="M292" s="174">
        <f t="shared" si="58"/>
        <v>130</v>
      </c>
      <c r="N292" s="174">
        <f>VLOOKUP(D292,原始分!$D:$N,7,0)</f>
        <v>0</v>
      </c>
      <c r="O292" s="174">
        <f t="shared" si="59"/>
        <v>207</v>
      </c>
      <c r="P292" s="174">
        <f>VLOOKUP(D292,原始分!$D:$N,8,0)</f>
        <v>0</v>
      </c>
      <c r="Q292" s="174">
        <f t="shared" si="60"/>
        <v>541</v>
      </c>
      <c r="R292" s="174">
        <f>VLOOKUP(D292,原始分!$D:$N,9,0)</f>
        <v>55</v>
      </c>
      <c r="S292" s="174">
        <f t="shared" si="61"/>
        <v>73</v>
      </c>
      <c r="T292" s="174">
        <f>VLOOKUP(D292,原始分!$D:$N,10,0)</f>
        <v>0</v>
      </c>
      <c r="U292" s="174">
        <f t="shared" si="62"/>
        <v>316</v>
      </c>
      <c r="V292" s="174">
        <f>VLOOKUP(D292,原始分!$D:$N,11,0)</f>
        <v>48.5</v>
      </c>
      <c r="W292" s="174">
        <f t="shared" si="63"/>
        <v>330</v>
      </c>
      <c r="X292" s="11">
        <f t="shared" si="64"/>
        <v>309</v>
      </c>
      <c r="Y292" s="9">
        <f t="shared" si="65"/>
        <v>276</v>
      </c>
      <c r="Z292" s="11">
        <f t="shared" si="66"/>
        <v>476.5</v>
      </c>
      <c r="AA292" s="9">
        <f t="shared" si="67"/>
        <v>149</v>
      </c>
    </row>
    <row r="293" ht="14.25" spans="1:27">
      <c r="A293" s="13">
        <v>291</v>
      </c>
      <c r="B293" s="15">
        <v>7</v>
      </c>
      <c r="C293" s="16">
        <v>1</v>
      </c>
      <c r="D293" s="17" t="s">
        <v>593</v>
      </c>
      <c r="E293" s="17" t="s">
        <v>594</v>
      </c>
      <c r="F293" s="174">
        <f>VLOOKUP(D293,原始分!$D:$N,3,0)</f>
        <v>96</v>
      </c>
      <c r="G293" s="174">
        <f t="shared" si="55"/>
        <v>579</v>
      </c>
      <c r="H293" s="174">
        <f>VLOOKUP(D293,原始分!$D:$N,4,0)</f>
        <v>89</v>
      </c>
      <c r="I293" s="174">
        <f t="shared" si="56"/>
        <v>632</v>
      </c>
      <c r="J293" s="174">
        <f>VLOOKUP(D293,原始分!$D:$N,5,0)</f>
        <v>92.5</v>
      </c>
      <c r="K293" s="174">
        <f t="shared" si="57"/>
        <v>539</v>
      </c>
      <c r="L293" s="174">
        <f>VLOOKUP(D293,原始分!$D:$N,6,0)</f>
        <v>37.5</v>
      </c>
      <c r="M293" s="174">
        <f t="shared" si="58"/>
        <v>543</v>
      </c>
      <c r="N293" s="174">
        <f>VLOOKUP(D293,原始分!$D:$N,7,0)</f>
        <v>0</v>
      </c>
      <c r="O293" s="174">
        <f t="shared" si="59"/>
        <v>207</v>
      </c>
      <c r="P293" s="174">
        <f>VLOOKUP(D293,原始分!$D:$N,8,0)</f>
        <v>0</v>
      </c>
      <c r="Q293" s="174">
        <f t="shared" si="60"/>
        <v>541</v>
      </c>
      <c r="R293" s="174">
        <f>VLOOKUP(D293,原始分!$D:$N,9,0)</f>
        <v>44</v>
      </c>
      <c r="S293" s="174">
        <f t="shared" si="61"/>
        <v>257</v>
      </c>
      <c r="T293" s="174">
        <f>VLOOKUP(D293,原始分!$D:$N,10,0)</f>
        <v>0</v>
      </c>
      <c r="U293" s="174">
        <f t="shared" si="62"/>
        <v>316</v>
      </c>
      <c r="V293" s="174">
        <f>VLOOKUP(D293,原始分!$D:$N,11,0)</f>
        <v>42.5</v>
      </c>
      <c r="W293" s="174">
        <f t="shared" si="63"/>
        <v>466</v>
      </c>
      <c r="X293" s="11">
        <f t="shared" si="64"/>
        <v>277.5</v>
      </c>
      <c r="Y293" s="9">
        <f t="shared" si="65"/>
        <v>632</v>
      </c>
      <c r="Z293" s="11">
        <f t="shared" si="66"/>
        <v>401.5</v>
      </c>
      <c r="AA293" s="9">
        <f t="shared" si="67"/>
        <v>514</v>
      </c>
    </row>
    <row r="294" ht="14.25" spans="1:27">
      <c r="A294" s="13">
        <v>292</v>
      </c>
      <c r="B294" s="15">
        <v>7</v>
      </c>
      <c r="C294" s="16">
        <v>2</v>
      </c>
      <c r="D294" s="17" t="s">
        <v>595</v>
      </c>
      <c r="E294" s="17" t="s">
        <v>596</v>
      </c>
      <c r="F294" s="174">
        <f>VLOOKUP(D294,原始分!$D:$N,3,0)</f>
        <v>98.5</v>
      </c>
      <c r="G294" s="174">
        <f t="shared" si="55"/>
        <v>469</v>
      </c>
      <c r="H294" s="174">
        <f>VLOOKUP(D294,原始分!$D:$N,4,0)</f>
        <v>90</v>
      </c>
      <c r="I294" s="174">
        <f t="shared" si="56"/>
        <v>614</v>
      </c>
      <c r="J294" s="174">
        <f>VLOOKUP(D294,原始分!$D:$N,5,0)</f>
        <v>85</v>
      </c>
      <c r="K294" s="174">
        <f t="shared" si="57"/>
        <v>669</v>
      </c>
      <c r="L294" s="174">
        <f>VLOOKUP(D294,原始分!$D:$N,6,0)</f>
        <v>36.5</v>
      </c>
      <c r="M294" s="174">
        <f t="shared" si="58"/>
        <v>554</v>
      </c>
      <c r="N294" s="174">
        <f>VLOOKUP(D294,原始分!$D:$N,7,0)</f>
        <v>0</v>
      </c>
      <c r="O294" s="174">
        <f t="shared" si="59"/>
        <v>207</v>
      </c>
      <c r="P294" s="174">
        <f>VLOOKUP(D294,原始分!$D:$N,8,0)</f>
        <v>0</v>
      </c>
      <c r="Q294" s="174">
        <f t="shared" si="60"/>
        <v>541</v>
      </c>
      <c r="R294" s="174">
        <f>VLOOKUP(D294,原始分!$D:$N,9,0)</f>
        <v>40</v>
      </c>
      <c r="S294" s="174">
        <f t="shared" si="61"/>
        <v>294</v>
      </c>
      <c r="T294" s="174">
        <f>VLOOKUP(D294,原始分!$D:$N,10,0)</f>
        <v>0</v>
      </c>
      <c r="U294" s="174">
        <f t="shared" si="62"/>
        <v>316</v>
      </c>
      <c r="V294" s="174">
        <f>VLOOKUP(D294,原始分!$D:$N,11,0)</f>
        <v>41</v>
      </c>
      <c r="W294" s="174">
        <f t="shared" si="63"/>
        <v>482</v>
      </c>
      <c r="X294" s="11">
        <f t="shared" si="64"/>
        <v>273.5</v>
      </c>
      <c r="Y294" s="9">
        <f t="shared" si="65"/>
        <v>664</v>
      </c>
      <c r="Z294" s="11">
        <f t="shared" si="66"/>
        <v>391</v>
      </c>
      <c r="AA294" s="9">
        <f t="shared" si="67"/>
        <v>551</v>
      </c>
    </row>
    <row r="295" ht="14.25" spans="1:27">
      <c r="A295" s="13">
        <v>293</v>
      </c>
      <c r="B295" s="15">
        <v>7</v>
      </c>
      <c r="C295" s="16">
        <v>3</v>
      </c>
      <c r="D295" s="17" t="s">
        <v>597</v>
      </c>
      <c r="E295" s="17" t="s">
        <v>598</v>
      </c>
      <c r="F295" s="174">
        <f>VLOOKUP(D295,原始分!$D:$N,3,0)</f>
        <v>101</v>
      </c>
      <c r="G295" s="174">
        <f t="shared" si="55"/>
        <v>338</v>
      </c>
      <c r="H295" s="174">
        <f>VLOOKUP(D295,原始分!$D:$N,4,0)</f>
        <v>92</v>
      </c>
      <c r="I295" s="174">
        <f t="shared" si="56"/>
        <v>578</v>
      </c>
      <c r="J295" s="174">
        <f>VLOOKUP(D295,原始分!$D:$N,5,0)</f>
        <v>78</v>
      </c>
      <c r="K295" s="174">
        <f t="shared" si="57"/>
        <v>764</v>
      </c>
      <c r="L295" s="174">
        <f>VLOOKUP(D295,原始分!$D:$N,6,0)</f>
        <v>21</v>
      </c>
      <c r="M295" s="174">
        <f t="shared" si="58"/>
        <v>650</v>
      </c>
      <c r="N295" s="174">
        <f>VLOOKUP(D295,原始分!$D:$N,7,0)</f>
        <v>0</v>
      </c>
      <c r="O295" s="174">
        <f t="shared" si="59"/>
        <v>207</v>
      </c>
      <c r="P295" s="174">
        <f>VLOOKUP(D295,原始分!$D:$N,8,0)</f>
        <v>0</v>
      </c>
      <c r="Q295" s="174">
        <f t="shared" si="60"/>
        <v>541</v>
      </c>
      <c r="R295" s="174">
        <f>VLOOKUP(D295,原始分!$D:$N,9,0)</f>
        <v>42.25</v>
      </c>
      <c r="S295" s="174">
        <f t="shared" si="61"/>
        <v>278</v>
      </c>
      <c r="T295" s="174">
        <f>VLOOKUP(D295,原始分!$D:$N,10,0)</f>
        <v>0</v>
      </c>
      <c r="U295" s="174">
        <f t="shared" si="62"/>
        <v>316</v>
      </c>
      <c r="V295" s="174">
        <f>VLOOKUP(D295,原始分!$D:$N,11,0)</f>
        <v>51</v>
      </c>
      <c r="W295" s="174">
        <f t="shared" si="63"/>
        <v>278</v>
      </c>
      <c r="X295" s="11">
        <f t="shared" si="64"/>
        <v>271</v>
      </c>
      <c r="Y295" s="9">
        <f t="shared" si="65"/>
        <v>688</v>
      </c>
      <c r="Z295" s="11">
        <f t="shared" si="66"/>
        <v>385.25</v>
      </c>
      <c r="AA295" s="9">
        <f t="shared" si="67"/>
        <v>564</v>
      </c>
    </row>
    <row r="296" ht="14.25" spans="1:27">
      <c r="A296" s="13">
        <v>294</v>
      </c>
      <c r="B296" s="15">
        <v>7</v>
      </c>
      <c r="C296" s="16">
        <v>4</v>
      </c>
      <c r="D296" s="17" t="s">
        <v>599</v>
      </c>
      <c r="E296" s="17" t="s">
        <v>600</v>
      </c>
      <c r="F296" s="174">
        <f>VLOOKUP(D296,原始分!$D:$N,3,0)</f>
        <v>91.5</v>
      </c>
      <c r="G296" s="174">
        <f t="shared" si="55"/>
        <v>730</v>
      </c>
      <c r="H296" s="174">
        <f>VLOOKUP(D296,原始分!$D:$N,4,0)</f>
        <v>106</v>
      </c>
      <c r="I296" s="174">
        <f t="shared" si="56"/>
        <v>297</v>
      </c>
      <c r="J296" s="174">
        <f>VLOOKUP(D296,原始分!$D:$N,5,0)</f>
        <v>98</v>
      </c>
      <c r="K296" s="174">
        <f t="shared" si="57"/>
        <v>425</v>
      </c>
      <c r="L296" s="174">
        <f>VLOOKUP(D296,原始分!$D:$N,6,0)</f>
        <v>43</v>
      </c>
      <c r="M296" s="174">
        <f t="shared" si="58"/>
        <v>461</v>
      </c>
      <c r="N296" s="174">
        <f>VLOOKUP(D296,原始分!$D:$N,7,0)</f>
        <v>0</v>
      </c>
      <c r="O296" s="174">
        <f t="shared" si="59"/>
        <v>207</v>
      </c>
      <c r="P296" s="174">
        <f>VLOOKUP(D296,原始分!$D:$N,8,0)</f>
        <v>0</v>
      </c>
      <c r="Q296" s="174">
        <f t="shared" si="60"/>
        <v>541</v>
      </c>
      <c r="R296" s="174">
        <f>VLOOKUP(D296,原始分!$D:$N,9,0)</f>
        <v>53</v>
      </c>
      <c r="S296" s="174">
        <f t="shared" si="61"/>
        <v>108</v>
      </c>
      <c r="T296" s="174">
        <f>VLOOKUP(D296,原始分!$D:$N,10,0)</f>
        <v>0</v>
      </c>
      <c r="U296" s="174">
        <f t="shared" si="62"/>
        <v>316</v>
      </c>
      <c r="V296" s="174">
        <f>VLOOKUP(D296,原始分!$D:$N,11,0)</f>
        <v>40.5</v>
      </c>
      <c r="W296" s="174">
        <f t="shared" si="63"/>
        <v>486</v>
      </c>
      <c r="X296" s="11">
        <f t="shared" si="64"/>
        <v>295.5</v>
      </c>
      <c r="Y296" s="9">
        <f t="shared" si="65"/>
        <v>423</v>
      </c>
      <c r="Z296" s="11">
        <f t="shared" si="66"/>
        <v>432</v>
      </c>
      <c r="AA296" s="9">
        <f t="shared" si="67"/>
        <v>371</v>
      </c>
    </row>
    <row r="297" ht="14.25" spans="1:27">
      <c r="A297" s="13">
        <v>295</v>
      </c>
      <c r="B297" s="15">
        <v>7</v>
      </c>
      <c r="C297" s="16">
        <v>5</v>
      </c>
      <c r="D297" s="17" t="s">
        <v>601</v>
      </c>
      <c r="E297" s="17" t="s">
        <v>602</v>
      </c>
      <c r="F297" s="174">
        <f>VLOOKUP(D297,原始分!$D:$N,3,0)</f>
        <v>97</v>
      </c>
      <c r="G297" s="174">
        <f t="shared" si="55"/>
        <v>551</v>
      </c>
      <c r="H297" s="174">
        <f>VLOOKUP(D297,原始分!$D:$N,4,0)</f>
        <v>84.5</v>
      </c>
      <c r="I297" s="174">
        <f t="shared" si="56"/>
        <v>708</v>
      </c>
      <c r="J297" s="174">
        <f>VLOOKUP(D297,原始分!$D:$N,5,0)</f>
        <v>82.75</v>
      </c>
      <c r="K297" s="174">
        <f t="shared" si="57"/>
        <v>706</v>
      </c>
      <c r="L297" s="174">
        <f>VLOOKUP(D297,原始分!$D:$N,6,0)</f>
        <v>40.5</v>
      </c>
      <c r="M297" s="174">
        <f t="shared" si="58"/>
        <v>497</v>
      </c>
      <c r="N297" s="174">
        <f>VLOOKUP(D297,原始分!$D:$N,7,0)</f>
        <v>0</v>
      </c>
      <c r="O297" s="174">
        <f t="shared" si="59"/>
        <v>207</v>
      </c>
      <c r="P297" s="174">
        <f>VLOOKUP(D297,原始分!$D:$N,8,0)</f>
        <v>0</v>
      </c>
      <c r="Q297" s="174">
        <f t="shared" si="60"/>
        <v>541</v>
      </c>
      <c r="R297" s="174">
        <f>VLOOKUP(D297,原始分!$D:$N,9,0)</f>
        <v>42.5</v>
      </c>
      <c r="S297" s="174">
        <f t="shared" si="61"/>
        <v>275</v>
      </c>
      <c r="T297" s="174">
        <f>VLOOKUP(D297,原始分!$D:$N,10,0)</f>
        <v>0</v>
      </c>
      <c r="U297" s="174">
        <f t="shared" si="62"/>
        <v>316</v>
      </c>
      <c r="V297" s="174">
        <f>VLOOKUP(D297,原始分!$D:$N,11,0)</f>
        <v>44.5</v>
      </c>
      <c r="W297" s="174">
        <f t="shared" si="63"/>
        <v>424</v>
      </c>
      <c r="X297" s="11">
        <f t="shared" si="64"/>
        <v>264.25</v>
      </c>
      <c r="Y297" s="9">
        <f t="shared" si="65"/>
        <v>748</v>
      </c>
      <c r="Z297" s="11">
        <f t="shared" si="66"/>
        <v>391.75</v>
      </c>
      <c r="AA297" s="9">
        <f t="shared" si="67"/>
        <v>547</v>
      </c>
    </row>
    <row r="298" ht="14.25" spans="1:27">
      <c r="A298" s="13">
        <v>296</v>
      </c>
      <c r="B298" s="15">
        <v>7</v>
      </c>
      <c r="C298" s="16">
        <v>6</v>
      </c>
      <c r="D298" s="17" t="s">
        <v>603</v>
      </c>
      <c r="E298" s="17" t="s">
        <v>604</v>
      </c>
      <c r="F298" s="174">
        <f>VLOOKUP(D298,原始分!$D:$N,3,0)</f>
        <v>104.25</v>
      </c>
      <c r="G298" s="174">
        <f t="shared" si="55"/>
        <v>205</v>
      </c>
      <c r="H298" s="174">
        <f>VLOOKUP(D298,原始分!$D:$N,4,0)</f>
        <v>74</v>
      </c>
      <c r="I298" s="174">
        <f t="shared" si="56"/>
        <v>796</v>
      </c>
      <c r="J298" s="174">
        <f>VLOOKUP(D298,原始分!$D:$N,5,0)</f>
        <v>136</v>
      </c>
      <c r="K298" s="174">
        <f t="shared" si="57"/>
        <v>2</v>
      </c>
      <c r="L298" s="174">
        <f>VLOOKUP(D298,原始分!$D:$N,6,0)</f>
        <v>32.5</v>
      </c>
      <c r="M298" s="174">
        <f t="shared" si="58"/>
        <v>599</v>
      </c>
      <c r="N298" s="174">
        <f>VLOOKUP(D298,原始分!$D:$N,7,0)</f>
        <v>0</v>
      </c>
      <c r="O298" s="174">
        <f t="shared" si="59"/>
        <v>207</v>
      </c>
      <c r="P298" s="174">
        <f>VLOOKUP(D298,原始分!$D:$N,8,0)</f>
        <v>0</v>
      </c>
      <c r="Q298" s="174">
        <f t="shared" si="60"/>
        <v>541</v>
      </c>
      <c r="R298" s="174">
        <f>VLOOKUP(D298,原始分!$D:$N,9,0)</f>
        <v>53</v>
      </c>
      <c r="S298" s="174">
        <f t="shared" si="61"/>
        <v>108</v>
      </c>
      <c r="T298" s="174">
        <f>VLOOKUP(D298,原始分!$D:$N,10,0)</f>
        <v>0</v>
      </c>
      <c r="U298" s="174">
        <f t="shared" si="62"/>
        <v>316</v>
      </c>
      <c r="V298" s="174">
        <f>VLOOKUP(D298,原始分!$D:$N,11,0)</f>
        <v>51</v>
      </c>
      <c r="W298" s="174">
        <f t="shared" si="63"/>
        <v>278</v>
      </c>
      <c r="X298" s="11">
        <f t="shared" si="64"/>
        <v>314.25</v>
      </c>
      <c r="Y298" s="9">
        <f t="shared" si="65"/>
        <v>213</v>
      </c>
      <c r="Z298" s="11">
        <f t="shared" si="66"/>
        <v>450.75</v>
      </c>
      <c r="AA298" s="9">
        <f t="shared" si="67"/>
        <v>272</v>
      </c>
    </row>
    <row r="299" ht="14.25" spans="1:27">
      <c r="A299" s="13">
        <v>297</v>
      </c>
      <c r="B299" s="15">
        <v>7</v>
      </c>
      <c r="C299" s="16">
        <v>7</v>
      </c>
      <c r="D299" s="17" t="s">
        <v>605</v>
      </c>
      <c r="E299" s="17" t="s">
        <v>606</v>
      </c>
      <c r="F299" s="174">
        <f>VLOOKUP(D299,原始分!$D:$N,3,0)</f>
        <v>107</v>
      </c>
      <c r="G299" s="174">
        <f t="shared" si="55"/>
        <v>113</v>
      </c>
      <c r="H299" s="174">
        <f>VLOOKUP(D299,原始分!$D:$N,4,0)</f>
        <v>95</v>
      </c>
      <c r="I299" s="174">
        <f t="shared" si="56"/>
        <v>510</v>
      </c>
      <c r="J299" s="174">
        <f>VLOOKUP(D299,原始分!$D:$N,5,0)</f>
        <v>69.5</v>
      </c>
      <c r="K299" s="174">
        <f t="shared" si="57"/>
        <v>830</v>
      </c>
      <c r="L299" s="174">
        <f>VLOOKUP(D299,原始分!$D:$N,6,0)</f>
        <v>36.5</v>
      </c>
      <c r="M299" s="174">
        <f t="shared" si="58"/>
        <v>554</v>
      </c>
      <c r="N299" s="174">
        <f>VLOOKUP(D299,原始分!$D:$N,7,0)</f>
        <v>0</v>
      </c>
      <c r="O299" s="174">
        <f t="shared" si="59"/>
        <v>207</v>
      </c>
      <c r="P299" s="174">
        <f>VLOOKUP(D299,原始分!$D:$N,8,0)</f>
        <v>0</v>
      </c>
      <c r="Q299" s="174">
        <f t="shared" si="60"/>
        <v>541</v>
      </c>
      <c r="R299" s="174">
        <f>VLOOKUP(D299,原始分!$D:$N,9,0)</f>
        <v>48.5</v>
      </c>
      <c r="S299" s="174">
        <f t="shared" si="61"/>
        <v>182</v>
      </c>
      <c r="T299" s="174">
        <f>VLOOKUP(D299,原始分!$D:$N,10,0)</f>
        <v>0</v>
      </c>
      <c r="U299" s="174">
        <f t="shared" si="62"/>
        <v>316</v>
      </c>
      <c r="V299" s="174">
        <f>VLOOKUP(D299,原始分!$D:$N,11,0)</f>
        <v>30.5</v>
      </c>
      <c r="W299" s="174">
        <f t="shared" si="63"/>
        <v>550</v>
      </c>
      <c r="X299" s="11">
        <f t="shared" si="64"/>
        <v>271.5</v>
      </c>
      <c r="Y299" s="9">
        <f t="shared" si="65"/>
        <v>683</v>
      </c>
      <c r="Z299" s="11">
        <f t="shared" si="66"/>
        <v>387</v>
      </c>
      <c r="AA299" s="9">
        <f t="shared" si="67"/>
        <v>561</v>
      </c>
    </row>
    <row r="300" ht="14.25" spans="1:27">
      <c r="A300" s="13">
        <v>298</v>
      </c>
      <c r="B300" s="15">
        <v>7</v>
      </c>
      <c r="C300" s="16">
        <v>9</v>
      </c>
      <c r="D300" s="17" t="s">
        <v>607</v>
      </c>
      <c r="E300" s="17" t="s">
        <v>608</v>
      </c>
      <c r="F300" s="174">
        <f>VLOOKUP(D300,原始分!$D:$N,3,0)</f>
        <v>94</v>
      </c>
      <c r="G300" s="174">
        <f t="shared" si="55"/>
        <v>661</v>
      </c>
      <c r="H300" s="174">
        <f>VLOOKUP(D300,原始分!$D:$N,4,0)</f>
        <v>88</v>
      </c>
      <c r="I300" s="174">
        <f t="shared" si="56"/>
        <v>654</v>
      </c>
      <c r="J300" s="174">
        <f>VLOOKUP(D300,原始分!$D:$N,5,0)</f>
        <v>81</v>
      </c>
      <c r="K300" s="174">
        <f t="shared" si="57"/>
        <v>733</v>
      </c>
      <c r="L300" s="174">
        <f>VLOOKUP(D300,原始分!$D:$N,6,0)</f>
        <v>17</v>
      </c>
      <c r="M300" s="174">
        <f t="shared" si="58"/>
        <v>659</v>
      </c>
      <c r="N300" s="174">
        <f>VLOOKUP(D300,原始分!$D:$N,7,0)</f>
        <v>0</v>
      </c>
      <c r="O300" s="174">
        <f t="shared" si="59"/>
        <v>207</v>
      </c>
      <c r="P300" s="174">
        <f>VLOOKUP(D300,原始分!$D:$N,8,0)</f>
        <v>0</v>
      </c>
      <c r="Q300" s="174">
        <f t="shared" si="60"/>
        <v>541</v>
      </c>
      <c r="R300" s="174">
        <f>VLOOKUP(D300,原始分!$D:$N,9,0)</f>
        <v>51</v>
      </c>
      <c r="S300" s="174">
        <f t="shared" si="61"/>
        <v>140</v>
      </c>
      <c r="T300" s="174">
        <f>VLOOKUP(D300,原始分!$D:$N,10,0)</f>
        <v>0</v>
      </c>
      <c r="U300" s="174">
        <f t="shared" si="62"/>
        <v>316</v>
      </c>
      <c r="V300" s="174">
        <f>VLOOKUP(D300,原始分!$D:$N,11,0)</f>
        <v>37</v>
      </c>
      <c r="W300" s="174">
        <f t="shared" si="63"/>
        <v>516</v>
      </c>
      <c r="X300" s="11">
        <f t="shared" si="64"/>
        <v>263</v>
      </c>
      <c r="Y300" s="9">
        <f t="shared" si="65"/>
        <v>757</v>
      </c>
      <c r="Z300" s="11">
        <f t="shared" si="66"/>
        <v>368</v>
      </c>
      <c r="AA300" s="9">
        <f t="shared" si="67"/>
        <v>617</v>
      </c>
    </row>
    <row r="301" ht="14.25" spans="1:27">
      <c r="A301" s="13">
        <v>299</v>
      </c>
      <c r="B301" s="15">
        <v>7</v>
      </c>
      <c r="C301" s="16">
        <v>10</v>
      </c>
      <c r="D301" s="17" t="s">
        <v>609</v>
      </c>
      <c r="E301" s="17" t="s">
        <v>610</v>
      </c>
      <c r="F301" s="174">
        <f>VLOOKUP(D301,原始分!$D:$N,3,0)</f>
        <v>98.5</v>
      </c>
      <c r="G301" s="174">
        <f t="shared" si="55"/>
        <v>469</v>
      </c>
      <c r="H301" s="174">
        <f>VLOOKUP(D301,原始分!$D:$N,4,0)</f>
        <v>87.5</v>
      </c>
      <c r="I301" s="174">
        <f t="shared" si="56"/>
        <v>665</v>
      </c>
      <c r="J301" s="174">
        <f>VLOOKUP(D301,原始分!$D:$N,5,0)</f>
        <v>96.5</v>
      </c>
      <c r="K301" s="174">
        <f t="shared" si="57"/>
        <v>455</v>
      </c>
      <c r="L301" s="174">
        <f>VLOOKUP(D301,原始分!$D:$N,6,0)</f>
        <v>27.5</v>
      </c>
      <c r="M301" s="174">
        <f t="shared" si="58"/>
        <v>627</v>
      </c>
      <c r="N301" s="174">
        <f>VLOOKUP(D301,原始分!$D:$N,7,0)</f>
        <v>0</v>
      </c>
      <c r="O301" s="174">
        <f t="shared" si="59"/>
        <v>207</v>
      </c>
      <c r="P301" s="174">
        <f>VLOOKUP(D301,原始分!$D:$N,8,0)</f>
        <v>0</v>
      </c>
      <c r="Q301" s="174">
        <f t="shared" si="60"/>
        <v>541</v>
      </c>
      <c r="R301" s="174">
        <f>VLOOKUP(D301,原始分!$D:$N,9,0)</f>
        <v>50.5</v>
      </c>
      <c r="S301" s="174">
        <f t="shared" si="61"/>
        <v>144</v>
      </c>
      <c r="T301" s="174">
        <f>VLOOKUP(D301,原始分!$D:$N,10,0)</f>
        <v>0</v>
      </c>
      <c r="U301" s="174">
        <f t="shared" si="62"/>
        <v>316</v>
      </c>
      <c r="V301" s="174">
        <f>VLOOKUP(D301,原始分!$D:$N,11,0)</f>
        <v>44</v>
      </c>
      <c r="W301" s="174">
        <f t="shared" si="63"/>
        <v>433</v>
      </c>
      <c r="X301" s="11">
        <f t="shared" si="64"/>
        <v>282.5</v>
      </c>
      <c r="Y301" s="9">
        <f t="shared" si="65"/>
        <v>571</v>
      </c>
      <c r="Z301" s="11">
        <f t="shared" si="66"/>
        <v>404.5</v>
      </c>
      <c r="AA301" s="9">
        <f t="shared" si="67"/>
        <v>503</v>
      </c>
    </row>
    <row r="302" ht="14.25" spans="1:27">
      <c r="A302" s="13">
        <v>300</v>
      </c>
      <c r="B302" s="15">
        <v>7</v>
      </c>
      <c r="C302" s="16">
        <v>11</v>
      </c>
      <c r="D302" s="17" t="s">
        <v>611</v>
      </c>
      <c r="E302" s="17" t="s">
        <v>612</v>
      </c>
      <c r="F302" s="174">
        <f>VLOOKUP(D302,原始分!$D:$N,3,0)</f>
        <v>84.5</v>
      </c>
      <c r="G302" s="174">
        <f t="shared" si="55"/>
        <v>840</v>
      </c>
      <c r="H302" s="174">
        <f>VLOOKUP(D302,原始分!$D:$N,4,0)</f>
        <v>93.5</v>
      </c>
      <c r="I302" s="174">
        <f t="shared" si="56"/>
        <v>549</v>
      </c>
      <c r="J302" s="174">
        <f>VLOOKUP(D302,原始分!$D:$N,5,0)</f>
        <v>80</v>
      </c>
      <c r="K302" s="174">
        <f t="shared" si="57"/>
        <v>745</v>
      </c>
      <c r="L302" s="174">
        <f>VLOOKUP(D302,原始分!$D:$N,6,0)</f>
        <v>42</v>
      </c>
      <c r="M302" s="174">
        <f t="shared" si="58"/>
        <v>476</v>
      </c>
      <c r="N302" s="174">
        <f>VLOOKUP(D302,原始分!$D:$N,7,0)</f>
        <v>0</v>
      </c>
      <c r="O302" s="174">
        <f t="shared" si="59"/>
        <v>207</v>
      </c>
      <c r="P302" s="174">
        <f>VLOOKUP(D302,原始分!$D:$N,8,0)</f>
        <v>0</v>
      </c>
      <c r="Q302" s="174">
        <f t="shared" si="60"/>
        <v>541</v>
      </c>
      <c r="R302" s="174">
        <f>VLOOKUP(D302,原始分!$D:$N,9,0)</f>
        <v>39.5</v>
      </c>
      <c r="S302" s="174">
        <f t="shared" si="61"/>
        <v>296</v>
      </c>
      <c r="T302" s="174">
        <f>VLOOKUP(D302,原始分!$D:$N,10,0)</f>
        <v>0</v>
      </c>
      <c r="U302" s="174">
        <f t="shared" si="62"/>
        <v>316</v>
      </c>
      <c r="V302" s="174">
        <f>VLOOKUP(D302,原始分!$D:$N,11,0)</f>
        <v>51.5</v>
      </c>
      <c r="W302" s="174">
        <f t="shared" si="63"/>
        <v>262</v>
      </c>
      <c r="X302" s="11">
        <f t="shared" si="64"/>
        <v>258</v>
      </c>
      <c r="Y302" s="9">
        <f t="shared" si="65"/>
        <v>780</v>
      </c>
      <c r="Z302" s="11">
        <f t="shared" si="66"/>
        <v>391</v>
      </c>
      <c r="AA302" s="9">
        <f t="shared" si="67"/>
        <v>551</v>
      </c>
    </row>
    <row r="303" ht="14.25" spans="1:27">
      <c r="A303" s="13">
        <v>301</v>
      </c>
      <c r="B303" s="15">
        <v>7</v>
      </c>
      <c r="C303" s="16">
        <v>12</v>
      </c>
      <c r="D303" s="17" t="s">
        <v>613</v>
      </c>
      <c r="E303" s="17" t="s">
        <v>614</v>
      </c>
      <c r="F303" s="174">
        <f>VLOOKUP(D303,原始分!$D:$N,3,0)</f>
        <v>100</v>
      </c>
      <c r="G303" s="174">
        <f t="shared" si="55"/>
        <v>400</v>
      </c>
      <c r="H303" s="174">
        <f>VLOOKUP(D303,原始分!$D:$N,4,0)</f>
        <v>107.5</v>
      </c>
      <c r="I303" s="174">
        <f t="shared" si="56"/>
        <v>267</v>
      </c>
      <c r="J303" s="174">
        <f>VLOOKUP(D303,原始分!$D:$N,5,0)</f>
        <v>84.75</v>
      </c>
      <c r="K303" s="174">
        <f t="shared" si="57"/>
        <v>673</v>
      </c>
      <c r="L303" s="174">
        <f>VLOOKUP(D303,原始分!$D:$N,6,0)</f>
        <v>67</v>
      </c>
      <c r="M303" s="174">
        <f t="shared" si="58"/>
        <v>82</v>
      </c>
      <c r="N303" s="174">
        <f>VLOOKUP(D303,原始分!$D:$N,7,0)</f>
        <v>0</v>
      </c>
      <c r="O303" s="174">
        <f t="shared" si="59"/>
        <v>207</v>
      </c>
      <c r="P303" s="174">
        <f>VLOOKUP(D303,原始分!$D:$N,8,0)</f>
        <v>0</v>
      </c>
      <c r="Q303" s="174">
        <f t="shared" si="60"/>
        <v>541</v>
      </c>
      <c r="R303" s="174">
        <f>VLOOKUP(D303,原始分!$D:$N,9,0)</f>
        <v>63.75</v>
      </c>
      <c r="S303" s="174">
        <f t="shared" si="61"/>
        <v>15</v>
      </c>
      <c r="T303" s="174">
        <f>VLOOKUP(D303,原始分!$D:$N,10,0)</f>
        <v>0</v>
      </c>
      <c r="U303" s="174">
        <f t="shared" si="62"/>
        <v>316</v>
      </c>
      <c r="V303" s="174">
        <f>VLOOKUP(D303,原始分!$D:$N,11,0)</f>
        <v>45.5</v>
      </c>
      <c r="W303" s="174">
        <f t="shared" si="63"/>
        <v>399</v>
      </c>
      <c r="X303" s="11">
        <f t="shared" si="64"/>
        <v>292.25</v>
      </c>
      <c r="Y303" s="9">
        <f t="shared" si="65"/>
        <v>469</v>
      </c>
      <c r="Z303" s="11">
        <f t="shared" si="66"/>
        <v>468.5</v>
      </c>
      <c r="AA303" s="9">
        <f t="shared" si="67"/>
        <v>183</v>
      </c>
    </row>
    <row r="304" ht="14.25" spans="1:27">
      <c r="A304" s="13">
        <v>302</v>
      </c>
      <c r="B304" s="15">
        <v>7</v>
      </c>
      <c r="C304" s="16">
        <v>13</v>
      </c>
      <c r="D304" s="17" t="s">
        <v>615</v>
      </c>
      <c r="E304" s="17" t="s">
        <v>616</v>
      </c>
      <c r="F304" s="174">
        <f>VLOOKUP(D304,原始分!$D:$N,3,0)</f>
        <v>98.5</v>
      </c>
      <c r="G304" s="174">
        <f t="shared" si="55"/>
        <v>469</v>
      </c>
      <c r="H304" s="174">
        <f>VLOOKUP(D304,原始分!$D:$N,4,0)</f>
        <v>77.5</v>
      </c>
      <c r="I304" s="174">
        <f t="shared" si="56"/>
        <v>773</v>
      </c>
      <c r="J304" s="174">
        <f>VLOOKUP(D304,原始分!$D:$N,5,0)</f>
        <v>72</v>
      </c>
      <c r="K304" s="174">
        <f t="shared" si="57"/>
        <v>812</v>
      </c>
      <c r="L304" s="174">
        <f>VLOOKUP(D304,原始分!$D:$N,6,0)</f>
        <v>29</v>
      </c>
      <c r="M304" s="174">
        <f t="shared" si="58"/>
        <v>618</v>
      </c>
      <c r="N304" s="174">
        <f>VLOOKUP(D304,原始分!$D:$N,7,0)</f>
        <v>0</v>
      </c>
      <c r="O304" s="174">
        <f t="shared" si="59"/>
        <v>207</v>
      </c>
      <c r="P304" s="174">
        <f>VLOOKUP(D304,原始分!$D:$N,8,0)</f>
        <v>0</v>
      </c>
      <c r="Q304" s="174">
        <f t="shared" si="60"/>
        <v>541</v>
      </c>
      <c r="R304" s="174">
        <f>VLOOKUP(D304,原始分!$D:$N,9,0)</f>
        <v>46</v>
      </c>
      <c r="S304" s="174">
        <f t="shared" si="61"/>
        <v>222</v>
      </c>
      <c r="T304" s="174">
        <f>VLOOKUP(D304,原始分!$D:$N,10,0)</f>
        <v>0</v>
      </c>
      <c r="U304" s="174">
        <f t="shared" si="62"/>
        <v>316</v>
      </c>
      <c r="V304" s="174">
        <f>VLOOKUP(D304,原始分!$D:$N,11,0)</f>
        <v>30</v>
      </c>
      <c r="W304" s="174">
        <f t="shared" si="63"/>
        <v>552</v>
      </c>
      <c r="X304" s="11">
        <f t="shared" si="64"/>
        <v>248</v>
      </c>
      <c r="Y304" s="9">
        <f t="shared" si="65"/>
        <v>808</v>
      </c>
      <c r="Z304" s="11">
        <f t="shared" si="66"/>
        <v>353</v>
      </c>
      <c r="AA304" s="9">
        <f t="shared" si="67"/>
        <v>633</v>
      </c>
    </row>
    <row r="305" ht="14.25" spans="1:27">
      <c r="A305" s="13">
        <v>303</v>
      </c>
      <c r="B305" s="15">
        <v>7</v>
      </c>
      <c r="C305" s="16">
        <v>14</v>
      </c>
      <c r="D305" s="17" t="s">
        <v>617</v>
      </c>
      <c r="E305" s="17" t="s">
        <v>618</v>
      </c>
      <c r="F305" s="174">
        <f>VLOOKUP(D305,原始分!$D:$N,3,0)</f>
        <v>101.5</v>
      </c>
      <c r="G305" s="174">
        <f t="shared" si="55"/>
        <v>319</v>
      </c>
      <c r="H305" s="174">
        <f>VLOOKUP(D305,原始分!$D:$N,4,0)</f>
        <v>94</v>
      </c>
      <c r="I305" s="174">
        <f t="shared" si="56"/>
        <v>538</v>
      </c>
      <c r="J305" s="174">
        <f>VLOOKUP(D305,原始分!$D:$N,5,0)</f>
        <v>74.75</v>
      </c>
      <c r="K305" s="174">
        <f t="shared" si="57"/>
        <v>795</v>
      </c>
      <c r="L305" s="174">
        <f>VLOOKUP(D305,原始分!$D:$N,6,0)</f>
        <v>35.5</v>
      </c>
      <c r="M305" s="174">
        <f t="shared" si="58"/>
        <v>566</v>
      </c>
      <c r="N305" s="174">
        <f>VLOOKUP(D305,原始分!$D:$N,7,0)</f>
        <v>0</v>
      </c>
      <c r="O305" s="174">
        <f t="shared" si="59"/>
        <v>207</v>
      </c>
      <c r="P305" s="174">
        <f>VLOOKUP(D305,原始分!$D:$N,8,0)</f>
        <v>0</v>
      </c>
      <c r="Q305" s="174">
        <f t="shared" si="60"/>
        <v>541</v>
      </c>
      <c r="R305" s="174">
        <f>VLOOKUP(D305,原始分!$D:$N,9,0)</f>
        <v>47</v>
      </c>
      <c r="S305" s="174">
        <f t="shared" si="61"/>
        <v>208</v>
      </c>
      <c r="T305" s="174">
        <f>VLOOKUP(D305,原始分!$D:$N,10,0)</f>
        <v>0</v>
      </c>
      <c r="U305" s="174">
        <f t="shared" si="62"/>
        <v>316</v>
      </c>
      <c r="V305" s="174">
        <f>VLOOKUP(D305,原始分!$D:$N,11,0)</f>
        <v>35.5</v>
      </c>
      <c r="W305" s="174">
        <f t="shared" si="63"/>
        <v>522</v>
      </c>
      <c r="X305" s="11">
        <f t="shared" si="64"/>
        <v>270.25</v>
      </c>
      <c r="Y305" s="9">
        <f t="shared" si="65"/>
        <v>698</v>
      </c>
      <c r="Z305" s="11">
        <f t="shared" si="66"/>
        <v>388.25</v>
      </c>
      <c r="AA305" s="9">
        <f t="shared" si="67"/>
        <v>558</v>
      </c>
    </row>
    <row r="306" ht="14.25" spans="1:27">
      <c r="A306" s="13">
        <v>304</v>
      </c>
      <c r="B306" s="15">
        <v>7</v>
      </c>
      <c r="C306" s="16">
        <v>15</v>
      </c>
      <c r="D306" s="17" t="s">
        <v>619</v>
      </c>
      <c r="E306" s="17" t="s">
        <v>620</v>
      </c>
      <c r="F306" s="174">
        <f>VLOOKUP(D306,原始分!$D:$N,3,0)</f>
        <v>102</v>
      </c>
      <c r="G306" s="174">
        <f t="shared" si="55"/>
        <v>304</v>
      </c>
      <c r="H306" s="174">
        <f>VLOOKUP(D306,原始分!$D:$N,4,0)</f>
        <v>112.5</v>
      </c>
      <c r="I306" s="174">
        <f t="shared" si="56"/>
        <v>170</v>
      </c>
      <c r="J306" s="174">
        <f>VLOOKUP(D306,原始分!$D:$N,5,0)</f>
        <v>99.25</v>
      </c>
      <c r="K306" s="174">
        <f t="shared" si="57"/>
        <v>391</v>
      </c>
      <c r="L306" s="174">
        <f>VLOOKUP(D306,原始分!$D:$N,6,0)</f>
        <v>49.5</v>
      </c>
      <c r="M306" s="174">
        <f t="shared" si="58"/>
        <v>341</v>
      </c>
      <c r="N306" s="174">
        <f>VLOOKUP(D306,原始分!$D:$N,7,0)</f>
        <v>0</v>
      </c>
      <c r="O306" s="174">
        <f t="shared" si="59"/>
        <v>207</v>
      </c>
      <c r="P306" s="174">
        <f>VLOOKUP(D306,原始分!$D:$N,8,0)</f>
        <v>0</v>
      </c>
      <c r="Q306" s="174">
        <f t="shared" si="60"/>
        <v>541</v>
      </c>
      <c r="R306" s="174">
        <f>VLOOKUP(D306,原始分!$D:$N,9,0)</f>
        <v>44.5</v>
      </c>
      <c r="S306" s="174">
        <f t="shared" si="61"/>
        <v>244</v>
      </c>
      <c r="T306" s="174">
        <f>VLOOKUP(D306,原始分!$D:$N,10,0)</f>
        <v>0</v>
      </c>
      <c r="U306" s="174">
        <f t="shared" si="62"/>
        <v>316</v>
      </c>
      <c r="V306" s="174">
        <f>VLOOKUP(D306,原始分!$D:$N,11,0)</f>
        <v>52.5</v>
      </c>
      <c r="W306" s="174">
        <f t="shared" si="63"/>
        <v>235</v>
      </c>
      <c r="X306" s="11">
        <f t="shared" si="64"/>
        <v>313.75</v>
      </c>
      <c r="Y306" s="9">
        <f t="shared" si="65"/>
        <v>220</v>
      </c>
      <c r="Z306" s="11">
        <f t="shared" si="66"/>
        <v>460.25</v>
      </c>
      <c r="AA306" s="9">
        <f t="shared" si="67"/>
        <v>222</v>
      </c>
    </row>
    <row r="307" ht="14.25" spans="1:27">
      <c r="A307" s="13">
        <v>305</v>
      </c>
      <c r="B307" s="15">
        <v>7</v>
      </c>
      <c r="C307" s="16">
        <v>16</v>
      </c>
      <c r="D307" s="17" t="s">
        <v>621</v>
      </c>
      <c r="E307" s="17" t="s">
        <v>622</v>
      </c>
      <c r="F307" s="174">
        <f>VLOOKUP(D307,原始分!$D:$N,3,0)</f>
        <v>100.5</v>
      </c>
      <c r="G307" s="174">
        <f t="shared" si="55"/>
        <v>370</v>
      </c>
      <c r="H307" s="174">
        <f>VLOOKUP(D307,原始分!$D:$N,4,0)</f>
        <v>96.5</v>
      </c>
      <c r="I307" s="174">
        <f t="shared" si="56"/>
        <v>485</v>
      </c>
      <c r="J307" s="174">
        <f>VLOOKUP(D307,原始分!$D:$N,5,0)</f>
        <v>80.75</v>
      </c>
      <c r="K307" s="174">
        <f t="shared" si="57"/>
        <v>738</v>
      </c>
      <c r="L307" s="174">
        <f>VLOOKUP(D307,原始分!$D:$N,6,0)</f>
        <v>40</v>
      </c>
      <c r="M307" s="174">
        <f t="shared" si="58"/>
        <v>506</v>
      </c>
      <c r="N307" s="174">
        <f>VLOOKUP(D307,原始分!$D:$N,7,0)</f>
        <v>0</v>
      </c>
      <c r="O307" s="174">
        <f t="shared" si="59"/>
        <v>207</v>
      </c>
      <c r="P307" s="174">
        <f>VLOOKUP(D307,原始分!$D:$N,8,0)</f>
        <v>0</v>
      </c>
      <c r="Q307" s="174">
        <f t="shared" si="60"/>
        <v>541</v>
      </c>
      <c r="R307" s="174">
        <f>VLOOKUP(D307,原始分!$D:$N,9,0)</f>
        <v>49.5</v>
      </c>
      <c r="S307" s="174">
        <f t="shared" si="61"/>
        <v>164</v>
      </c>
      <c r="T307" s="174">
        <f>VLOOKUP(D307,原始分!$D:$N,10,0)</f>
        <v>0</v>
      </c>
      <c r="U307" s="174">
        <f t="shared" si="62"/>
        <v>316</v>
      </c>
      <c r="V307" s="174">
        <f>VLOOKUP(D307,原始分!$D:$N,11,0)</f>
        <v>50.5</v>
      </c>
      <c r="W307" s="174">
        <f t="shared" si="63"/>
        <v>293</v>
      </c>
      <c r="X307" s="11">
        <f t="shared" si="64"/>
        <v>277.75</v>
      </c>
      <c r="Y307" s="9">
        <f t="shared" si="65"/>
        <v>629</v>
      </c>
      <c r="Z307" s="11">
        <f t="shared" si="66"/>
        <v>417.75</v>
      </c>
      <c r="AA307" s="9">
        <f t="shared" si="67"/>
        <v>435</v>
      </c>
    </row>
    <row r="308" ht="14.25" spans="1:27">
      <c r="A308" s="13">
        <v>306</v>
      </c>
      <c r="B308" s="15">
        <v>7</v>
      </c>
      <c r="C308" s="16">
        <v>17</v>
      </c>
      <c r="D308" s="17" t="s">
        <v>623</v>
      </c>
      <c r="E308" s="17" t="s">
        <v>624</v>
      </c>
      <c r="F308" s="174">
        <f>VLOOKUP(D308,原始分!$D:$N,3,0)</f>
        <v>99</v>
      </c>
      <c r="G308" s="174">
        <f t="shared" si="55"/>
        <v>442</v>
      </c>
      <c r="H308" s="174">
        <f>VLOOKUP(D308,原始分!$D:$N,4,0)</f>
        <v>108</v>
      </c>
      <c r="I308" s="174">
        <f t="shared" si="56"/>
        <v>257</v>
      </c>
      <c r="J308" s="174">
        <f>VLOOKUP(D308,原始分!$D:$N,5,0)</f>
        <v>90.5</v>
      </c>
      <c r="K308" s="174">
        <f t="shared" si="57"/>
        <v>579</v>
      </c>
      <c r="L308" s="174">
        <f>VLOOKUP(D308,原始分!$D:$N,6,0)</f>
        <v>45.5</v>
      </c>
      <c r="M308" s="174">
        <f t="shared" si="58"/>
        <v>417</v>
      </c>
      <c r="N308" s="174">
        <f>VLOOKUP(D308,原始分!$D:$N,7,0)</f>
        <v>0</v>
      </c>
      <c r="O308" s="174">
        <f t="shared" si="59"/>
        <v>207</v>
      </c>
      <c r="P308" s="174">
        <f>VLOOKUP(D308,原始分!$D:$N,8,0)</f>
        <v>0</v>
      </c>
      <c r="Q308" s="174">
        <f t="shared" si="60"/>
        <v>541</v>
      </c>
      <c r="R308" s="174">
        <f>VLOOKUP(D308,原始分!$D:$N,9,0)</f>
        <v>41</v>
      </c>
      <c r="S308" s="174">
        <f t="shared" si="61"/>
        <v>287</v>
      </c>
      <c r="T308" s="174">
        <f>VLOOKUP(D308,原始分!$D:$N,10,0)</f>
        <v>0</v>
      </c>
      <c r="U308" s="174">
        <f t="shared" si="62"/>
        <v>316</v>
      </c>
      <c r="V308" s="174">
        <f>VLOOKUP(D308,原始分!$D:$N,11,0)</f>
        <v>45</v>
      </c>
      <c r="W308" s="174">
        <f t="shared" si="63"/>
        <v>410</v>
      </c>
      <c r="X308" s="11">
        <f t="shared" si="64"/>
        <v>297.5</v>
      </c>
      <c r="Y308" s="9">
        <f t="shared" si="65"/>
        <v>404</v>
      </c>
      <c r="Z308" s="11">
        <f t="shared" si="66"/>
        <v>429</v>
      </c>
      <c r="AA308" s="9">
        <f t="shared" si="67"/>
        <v>386</v>
      </c>
    </row>
    <row r="309" ht="14.25" spans="1:27">
      <c r="A309" s="13">
        <v>307</v>
      </c>
      <c r="B309" s="15">
        <v>7</v>
      </c>
      <c r="C309" s="16">
        <v>18</v>
      </c>
      <c r="D309" s="17" t="s">
        <v>625</v>
      </c>
      <c r="E309" s="17" t="s">
        <v>626</v>
      </c>
      <c r="F309" s="174">
        <f>VLOOKUP(D309,原始分!$D:$N,3,0)</f>
        <v>106</v>
      </c>
      <c r="G309" s="174">
        <f t="shared" si="55"/>
        <v>145</v>
      </c>
      <c r="H309" s="174">
        <f>VLOOKUP(D309,原始分!$D:$N,4,0)</f>
        <v>74</v>
      </c>
      <c r="I309" s="174">
        <f t="shared" si="56"/>
        <v>796</v>
      </c>
      <c r="J309" s="174">
        <f>VLOOKUP(D309,原始分!$D:$N,5,0)</f>
        <v>99</v>
      </c>
      <c r="K309" s="174">
        <f t="shared" si="57"/>
        <v>400</v>
      </c>
      <c r="L309" s="174">
        <f>VLOOKUP(D309,原始分!$D:$N,6,0)</f>
        <v>39.5</v>
      </c>
      <c r="M309" s="174">
        <f t="shared" si="58"/>
        <v>514</v>
      </c>
      <c r="N309" s="174">
        <f>VLOOKUP(D309,原始分!$D:$N,7,0)</f>
        <v>0</v>
      </c>
      <c r="O309" s="174">
        <f t="shared" si="59"/>
        <v>207</v>
      </c>
      <c r="P309" s="174">
        <f>VLOOKUP(D309,原始分!$D:$N,8,0)</f>
        <v>0</v>
      </c>
      <c r="Q309" s="174">
        <f t="shared" si="60"/>
        <v>541</v>
      </c>
      <c r="R309" s="174">
        <f>VLOOKUP(D309,原始分!$D:$N,9,0)</f>
        <v>41.5</v>
      </c>
      <c r="S309" s="174">
        <f t="shared" si="61"/>
        <v>282</v>
      </c>
      <c r="T309" s="174">
        <f>VLOOKUP(D309,原始分!$D:$N,10,0)</f>
        <v>0</v>
      </c>
      <c r="U309" s="174">
        <f t="shared" si="62"/>
        <v>316</v>
      </c>
      <c r="V309" s="174">
        <f>VLOOKUP(D309,原始分!$D:$N,11,0)</f>
        <v>36.5</v>
      </c>
      <c r="W309" s="174">
        <f t="shared" si="63"/>
        <v>520</v>
      </c>
      <c r="X309" s="11">
        <f t="shared" si="64"/>
        <v>279</v>
      </c>
      <c r="Y309" s="9">
        <f t="shared" si="65"/>
        <v>607</v>
      </c>
      <c r="Z309" s="11">
        <f t="shared" si="66"/>
        <v>396.5</v>
      </c>
      <c r="AA309" s="9">
        <f t="shared" si="67"/>
        <v>535</v>
      </c>
    </row>
    <row r="310" ht="14.25" spans="1:27">
      <c r="A310" s="13">
        <v>308</v>
      </c>
      <c r="B310" s="15">
        <v>7</v>
      </c>
      <c r="C310" s="16">
        <v>19</v>
      </c>
      <c r="D310" s="17" t="s">
        <v>627</v>
      </c>
      <c r="E310" s="17" t="s">
        <v>628</v>
      </c>
      <c r="F310" s="174">
        <f>VLOOKUP(D310,原始分!$D:$N,3,0)</f>
        <v>107.5</v>
      </c>
      <c r="G310" s="174">
        <f t="shared" si="55"/>
        <v>93</v>
      </c>
      <c r="H310" s="174">
        <f>VLOOKUP(D310,原始分!$D:$N,4,0)</f>
        <v>98.5</v>
      </c>
      <c r="I310" s="174">
        <f t="shared" si="56"/>
        <v>442</v>
      </c>
      <c r="J310" s="174">
        <f>VLOOKUP(D310,原始分!$D:$N,5,0)</f>
        <v>95.25</v>
      </c>
      <c r="K310" s="174">
        <f t="shared" si="57"/>
        <v>482</v>
      </c>
      <c r="L310" s="174">
        <f>VLOOKUP(D310,原始分!$D:$N,6,0)</f>
        <v>55</v>
      </c>
      <c r="M310" s="174">
        <f t="shared" si="58"/>
        <v>269</v>
      </c>
      <c r="N310" s="174">
        <f>VLOOKUP(D310,原始分!$D:$N,7,0)</f>
        <v>0</v>
      </c>
      <c r="O310" s="174">
        <f t="shared" si="59"/>
        <v>207</v>
      </c>
      <c r="P310" s="174">
        <f>VLOOKUP(D310,原始分!$D:$N,8,0)</f>
        <v>0</v>
      </c>
      <c r="Q310" s="174">
        <f t="shared" si="60"/>
        <v>541</v>
      </c>
      <c r="R310" s="174">
        <f>VLOOKUP(D310,原始分!$D:$N,9,0)</f>
        <v>43.5</v>
      </c>
      <c r="S310" s="174">
        <f t="shared" si="61"/>
        <v>264</v>
      </c>
      <c r="T310" s="174">
        <f>VLOOKUP(D310,原始分!$D:$N,10,0)</f>
        <v>0</v>
      </c>
      <c r="U310" s="174">
        <f t="shared" si="62"/>
        <v>316</v>
      </c>
      <c r="V310" s="174">
        <f>VLOOKUP(D310,原始分!$D:$N,11,0)</f>
        <v>52.5</v>
      </c>
      <c r="W310" s="174">
        <f t="shared" si="63"/>
        <v>235</v>
      </c>
      <c r="X310" s="11">
        <f t="shared" si="64"/>
        <v>301.25</v>
      </c>
      <c r="Y310" s="9">
        <f t="shared" si="65"/>
        <v>363</v>
      </c>
      <c r="Z310" s="11">
        <f t="shared" si="66"/>
        <v>452.25</v>
      </c>
      <c r="AA310" s="9">
        <f t="shared" si="67"/>
        <v>264</v>
      </c>
    </row>
    <row r="311" ht="14.25" spans="1:27">
      <c r="A311" s="13">
        <v>309</v>
      </c>
      <c r="B311" s="15">
        <v>7</v>
      </c>
      <c r="C311" s="16">
        <v>20</v>
      </c>
      <c r="D311" s="17" t="s">
        <v>629</v>
      </c>
      <c r="E311" s="17" t="s">
        <v>630</v>
      </c>
      <c r="F311" s="174">
        <f>VLOOKUP(D311,原始分!$D:$N,3,0)</f>
        <v>95</v>
      </c>
      <c r="G311" s="174">
        <f t="shared" si="55"/>
        <v>619</v>
      </c>
      <c r="H311" s="174">
        <f>VLOOKUP(D311,原始分!$D:$N,4,0)</f>
        <v>113.5</v>
      </c>
      <c r="I311" s="174">
        <f t="shared" si="56"/>
        <v>152</v>
      </c>
      <c r="J311" s="174">
        <f>VLOOKUP(D311,原始分!$D:$N,5,0)</f>
        <v>84.5</v>
      </c>
      <c r="K311" s="174">
        <f t="shared" si="57"/>
        <v>677</v>
      </c>
      <c r="L311" s="174">
        <f>VLOOKUP(D311,原始分!$D:$N,6,0)</f>
        <v>57</v>
      </c>
      <c r="M311" s="174">
        <f t="shared" si="58"/>
        <v>237</v>
      </c>
      <c r="N311" s="174">
        <f>VLOOKUP(D311,原始分!$D:$N,7,0)</f>
        <v>0</v>
      </c>
      <c r="O311" s="174">
        <f t="shared" si="59"/>
        <v>207</v>
      </c>
      <c r="P311" s="174">
        <f>VLOOKUP(D311,原始分!$D:$N,8,0)</f>
        <v>0</v>
      </c>
      <c r="Q311" s="174">
        <f t="shared" si="60"/>
        <v>541</v>
      </c>
      <c r="R311" s="174">
        <f>VLOOKUP(D311,原始分!$D:$N,9,0)</f>
        <v>44.5</v>
      </c>
      <c r="S311" s="174">
        <f t="shared" si="61"/>
        <v>244</v>
      </c>
      <c r="T311" s="174">
        <f>VLOOKUP(D311,原始分!$D:$N,10,0)</f>
        <v>0</v>
      </c>
      <c r="U311" s="174">
        <f t="shared" si="62"/>
        <v>316</v>
      </c>
      <c r="V311" s="174">
        <f>VLOOKUP(D311,原始分!$D:$N,11,0)</f>
        <v>57.5</v>
      </c>
      <c r="W311" s="174">
        <f t="shared" si="63"/>
        <v>130</v>
      </c>
      <c r="X311" s="11">
        <f t="shared" si="64"/>
        <v>293</v>
      </c>
      <c r="Y311" s="9">
        <f t="shared" si="65"/>
        <v>456</v>
      </c>
      <c r="Z311" s="11">
        <f t="shared" si="66"/>
        <v>452</v>
      </c>
      <c r="AA311" s="9">
        <f t="shared" si="67"/>
        <v>266</v>
      </c>
    </row>
    <row r="312" ht="14.25" spans="1:27">
      <c r="A312" s="13">
        <v>310</v>
      </c>
      <c r="B312" s="15">
        <v>7</v>
      </c>
      <c r="C312" s="16">
        <v>21</v>
      </c>
      <c r="D312" s="17" t="s">
        <v>631</v>
      </c>
      <c r="E312" s="17" t="s">
        <v>632</v>
      </c>
      <c r="F312" s="174">
        <f>VLOOKUP(D312,原始分!$D:$N,3,0)</f>
        <v>93.5</v>
      </c>
      <c r="G312" s="174">
        <f t="shared" si="55"/>
        <v>676</v>
      </c>
      <c r="H312" s="174">
        <f>VLOOKUP(D312,原始分!$D:$N,4,0)</f>
        <v>83.5</v>
      </c>
      <c r="I312" s="174">
        <f t="shared" si="56"/>
        <v>721</v>
      </c>
      <c r="J312" s="174">
        <f>VLOOKUP(D312,原始分!$D:$N,5,0)</f>
        <v>62.5</v>
      </c>
      <c r="K312" s="174">
        <f t="shared" si="57"/>
        <v>850</v>
      </c>
      <c r="L312" s="174">
        <f>VLOOKUP(D312,原始分!$D:$N,6,0)</f>
        <v>37.5</v>
      </c>
      <c r="M312" s="174">
        <f t="shared" si="58"/>
        <v>543</v>
      </c>
      <c r="N312" s="174">
        <f>VLOOKUP(D312,原始分!$D:$N,7,0)</f>
        <v>0</v>
      </c>
      <c r="O312" s="174">
        <f t="shared" si="59"/>
        <v>207</v>
      </c>
      <c r="P312" s="174">
        <f>VLOOKUP(D312,原始分!$D:$N,8,0)</f>
        <v>0</v>
      </c>
      <c r="Q312" s="174">
        <f t="shared" si="60"/>
        <v>541</v>
      </c>
      <c r="R312" s="174">
        <f>VLOOKUP(D312,原始分!$D:$N,9,0)</f>
        <v>46</v>
      </c>
      <c r="S312" s="174">
        <f t="shared" si="61"/>
        <v>222</v>
      </c>
      <c r="T312" s="174">
        <f>VLOOKUP(D312,原始分!$D:$N,10,0)</f>
        <v>0</v>
      </c>
      <c r="U312" s="174">
        <f t="shared" si="62"/>
        <v>316</v>
      </c>
      <c r="V312" s="174">
        <f>VLOOKUP(D312,原始分!$D:$N,11,0)</f>
        <v>45</v>
      </c>
      <c r="W312" s="174">
        <f t="shared" si="63"/>
        <v>410</v>
      </c>
      <c r="X312" s="11">
        <f t="shared" si="64"/>
        <v>239.5</v>
      </c>
      <c r="Y312" s="9">
        <f t="shared" si="65"/>
        <v>834</v>
      </c>
      <c r="Z312" s="11">
        <f t="shared" si="66"/>
        <v>368</v>
      </c>
      <c r="AA312" s="9">
        <f t="shared" si="67"/>
        <v>617</v>
      </c>
    </row>
    <row r="313" ht="14.25" spans="1:27">
      <c r="A313" s="13">
        <v>311</v>
      </c>
      <c r="B313" s="15">
        <v>7</v>
      </c>
      <c r="C313" s="16">
        <v>22</v>
      </c>
      <c r="D313" s="17" t="s">
        <v>633</v>
      </c>
      <c r="E313" s="17" t="s">
        <v>634</v>
      </c>
      <c r="F313" s="174">
        <f>VLOOKUP(D313,原始分!$D:$N,3,0)</f>
        <v>89</v>
      </c>
      <c r="G313" s="174">
        <f t="shared" si="55"/>
        <v>796</v>
      </c>
      <c r="H313" s="174">
        <f>VLOOKUP(D313,原始分!$D:$N,4,0)</f>
        <v>84</v>
      </c>
      <c r="I313" s="174">
        <f t="shared" si="56"/>
        <v>714</v>
      </c>
      <c r="J313" s="174">
        <f>VLOOKUP(D313,原始分!$D:$N,5,0)</f>
        <v>90.5</v>
      </c>
      <c r="K313" s="174">
        <f t="shared" si="57"/>
        <v>579</v>
      </c>
      <c r="L313" s="174">
        <f>VLOOKUP(D313,原始分!$D:$N,6,0)</f>
        <v>37.5</v>
      </c>
      <c r="M313" s="174">
        <f t="shared" si="58"/>
        <v>543</v>
      </c>
      <c r="N313" s="174">
        <f>VLOOKUP(D313,原始分!$D:$N,7,0)</f>
        <v>0</v>
      </c>
      <c r="O313" s="174">
        <f t="shared" si="59"/>
        <v>207</v>
      </c>
      <c r="P313" s="174">
        <f>VLOOKUP(D313,原始分!$D:$N,8,0)</f>
        <v>0</v>
      </c>
      <c r="Q313" s="174">
        <f t="shared" si="60"/>
        <v>541</v>
      </c>
      <c r="R313" s="174">
        <f>VLOOKUP(D313,原始分!$D:$N,9,0)</f>
        <v>55</v>
      </c>
      <c r="S313" s="174">
        <f t="shared" si="61"/>
        <v>73</v>
      </c>
      <c r="T313" s="174">
        <f>VLOOKUP(D313,原始分!$D:$N,10,0)</f>
        <v>0</v>
      </c>
      <c r="U313" s="174">
        <f t="shared" si="62"/>
        <v>316</v>
      </c>
      <c r="V313" s="174">
        <f>VLOOKUP(D313,原始分!$D:$N,11,0)</f>
        <v>42.5</v>
      </c>
      <c r="W313" s="174">
        <f t="shared" si="63"/>
        <v>466</v>
      </c>
      <c r="X313" s="11">
        <f t="shared" si="64"/>
        <v>263.5</v>
      </c>
      <c r="Y313" s="9">
        <f t="shared" si="65"/>
        <v>750</v>
      </c>
      <c r="Z313" s="11">
        <f t="shared" si="66"/>
        <v>398.5</v>
      </c>
      <c r="AA313" s="9">
        <f t="shared" si="67"/>
        <v>527</v>
      </c>
    </row>
    <row r="314" ht="14.25" spans="1:27">
      <c r="A314" s="13">
        <v>312</v>
      </c>
      <c r="B314" s="15">
        <v>7</v>
      </c>
      <c r="C314" s="16">
        <v>23</v>
      </c>
      <c r="D314" s="17" t="s">
        <v>635</v>
      </c>
      <c r="E314" s="17" t="s">
        <v>636</v>
      </c>
      <c r="F314" s="174">
        <f>VLOOKUP(D314,原始分!$D:$N,3,0)</f>
        <v>94.25</v>
      </c>
      <c r="G314" s="174">
        <f t="shared" si="55"/>
        <v>660</v>
      </c>
      <c r="H314" s="174">
        <f>VLOOKUP(D314,原始分!$D:$N,4,0)</f>
        <v>85</v>
      </c>
      <c r="I314" s="174">
        <f t="shared" si="56"/>
        <v>701</v>
      </c>
      <c r="J314" s="174">
        <f>VLOOKUP(D314,原始分!$D:$N,5,0)</f>
        <v>54.25</v>
      </c>
      <c r="K314" s="174">
        <f t="shared" si="57"/>
        <v>860</v>
      </c>
      <c r="L314" s="174">
        <f>VLOOKUP(D314,原始分!$D:$N,6,0)</f>
        <v>43.5</v>
      </c>
      <c r="M314" s="174">
        <f t="shared" si="58"/>
        <v>452</v>
      </c>
      <c r="N314" s="174">
        <f>VLOOKUP(D314,原始分!$D:$N,7,0)</f>
        <v>0</v>
      </c>
      <c r="O314" s="174">
        <f t="shared" si="59"/>
        <v>207</v>
      </c>
      <c r="P314" s="174">
        <f>VLOOKUP(D314,原始分!$D:$N,8,0)</f>
        <v>0</v>
      </c>
      <c r="Q314" s="174">
        <f t="shared" si="60"/>
        <v>541</v>
      </c>
      <c r="R314" s="174">
        <f>VLOOKUP(D314,原始分!$D:$N,9,0)</f>
        <v>44.5</v>
      </c>
      <c r="S314" s="174">
        <f t="shared" si="61"/>
        <v>244</v>
      </c>
      <c r="T314" s="174">
        <f>VLOOKUP(D314,原始分!$D:$N,10,0)</f>
        <v>0</v>
      </c>
      <c r="U314" s="174">
        <f t="shared" si="62"/>
        <v>316</v>
      </c>
      <c r="V314" s="174">
        <f>VLOOKUP(D314,原始分!$D:$N,11,0)</f>
        <v>53.5</v>
      </c>
      <c r="W314" s="174">
        <f t="shared" si="63"/>
        <v>208</v>
      </c>
      <c r="X314" s="11">
        <f t="shared" si="64"/>
        <v>233.5</v>
      </c>
      <c r="Y314" s="9">
        <f t="shared" si="65"/>
        <v>842</v>
      </c>
      <c r="Z314" s="11">
        <f t="shared" si="66"/>
        <v>375</v>
      </c>
      <c r="AA314" s="9">
        <f t="shared" si="67"/>
        <v>596</v>
      </c>
    </row>
    <row r="315" ht="14.25" spans="1:27">
      <c r="A315" s="13">
        <v>313</v>
      </c>
      <c r="B315" s="15">
        <v>7</v>
      </c>
      <c r="C315" s="16">
        <v>24</v>
      </c>
      <c r="D315" s="17" t="s">
        <v>637</v>
      </c>
      <c r="E315" s="17" t="s">
        <v>638</v>
      </c>
      <c r="F315" s="174">
        <f>VLOOKUP(D315,原始分!$D:$N,3,0)</f>
        <v>88</v>
      </c>
      <c r="G315" s="174">
        <f t="shared" si="55"/>
        <v>809</v>
      </c>
      <c r="H315" s="174">
        <f>VLOOKUP(D315,原始分!$D:$N,4,0)</f>
        <v>74.5</v>
      </c>
      <c r="I315" s="174">
        <f t="shared" si="56"/>
        <v>789</v>
      </c>
      <c r="J315" s="174">
        <f>VLOOKUP(D315,原始分!$D:$N,5,0)</f>
        <v>100</v>
      </c>
      <c r="K315" s="174">
        <f t="shared" si="57"/>
        <v>368</v>
      </c>
      <c r="L315" s="174">
        <f>VLOOKUP(D315,原始分!$D:$N,6,0)</f>
        <v>53</v>
      </c>
      <c r="M315" s="174">
        <f t="shared" si="58"/>
        <v>300</v>
      </c>
      <c r="N315" s="174">
        <f>VLOOKUP(D315,原始分!$D:$N,7,0)</f>
        <v>0</v>
      </c>
      <c r="O315" s="174">
        <f t="shared" si="59"/>
        <v>207</v>
      </c>
      <c r="P315" s="174">
        <f>VLOOKUP(D315,原始分!$D:$N,8,0)</f>
        <v>0</v>
      </c>
      <c r="Q315" s="174">
        <f t="shared" si="60"/>
        <v>541</v>
      </c>
      <c r="R315" s="174">
        <f>VLOOKUP(D315,原始分!$D:$N,9,0)</f>
        <v>39</v>
      </c>
      <c r="S315" s="174">
        <f t="shared" si="61"/>
        <v>301</v>
      </c>
      <c r="T315" s="174">
        <f>VLOOKUP(D315,原始分!$D:$N,10,0)</f>
        <v>0</v>
      </c>
      <c r="U315" s="174">
        <f t="shared" si="62"/>
        <v>316</v>
      </c>
      <c r="V315" s="174">
        <f>VLOOKUP(D315,原始分!$D:$N,11,0)</f>
        <v>47</v>
      </c>
      <c r="W315" s="174">
        <f t="shared" si="63"/>
        <v>366</v>
      </c>
      <c r="X315" s="11">
        <f t="shared" si="64"/>
        <v>262.5</v>
      </c>
      <c r="Y315" s="9">
        <f t="shared" si="65"/>
        <v>761</v>
      </c>
      <c r="Z315" s="11">
        <f t="shared" si="66"/>
        <v>401.5</v>
      </c>
      <c r="AA315" s="9">
        <f t="shared" si="67"/>
        <v>514</v>
      </c>
    </row>
    <row r="316" ht="14.25" spans="1:27">
      <c r="A316" s="13">
        <v>314</v>
      </c>
      <c r="B316" s="15">
        <v>7</v>
      </c>
      <c r="C316" s="16">
        <v>25</v>
      </c>
      <c r="D316" s="17" t="s">
        <v>639</v>
      </c>
      <c r="E316" s="17" t="s">
        <v>640</v>
      </c>
      <c r="F316" s="174">
        <f>VLOOKUP(D316,原始分!$D:$N,3,0)</f>
        <v>88.5</v>
      </c>
      <c r="G316" s="174">
        <f t="shared" si="55"/>
        <v>804</v>
      </c>
      <c r="H316" s="174">
        <f>VLOOKUP(D316,原始分!$D:$N,4,0)</f>
        <v>103.5</v>
      </c>
      <c r="I316" s="174">
        <f t="shared" si="56"/>
        <v>354</v>
      </c>
      <c r="J316" s="174">
        <f>VLOOKUP(D316,原始分!$D:$N,5,0)</f>
        <v>78.75</v>
      </c>
      <c r="K316" s="174">
        <f t="shared" si="57"/>
        <v>761</v>
      </c>
      <c r="L316" s="174">
        <f>VLOOKUP(D316,原始分!$D:$N,6,0)</f>
        <v>51</v>
      </c>
      <c r="M316" s="174">
        <f t="shared" si="58"/>
        <v>320</v>
      </c>
      <c r="N316" s="174">
        <f>VLOOKUP(D316,原始分!$D:$N,7,0)</f>
        <v>0</v>
      </c>
      <c r="O316" s="174">
        <f t="shared" si="59"/>
        <v>207</v>
      </c>
      <c r="P316" s="174">
        <f>VLOOKUP(D316,原始分!$D:$N,8,0)</f>
        <v>0</v>
      </c>
      <c r="Q316" s="174">
        <f t="shared" si="60"/>
        <v>541</v>
      </c>
      <c r="R316" s="174">
        <f>VLOOKUP(D316,原始分!$D:$N,9,0)</f>
        <v>43.5</v>
      </c>
      <c r="S316" s="174">
        <f t="shared" si="61"/>
        <v>264</v>
      </c>
      <c r="T316" s="174">
        <f>VLOOKUP(D316,原始分!$D:$N,10,0)</f>
        <v>0</v>
      </c>
      <c r="U316" s="174">
        <f t="shared" si="62"/>
        <v>316</v>
      </c>
      <c r="V316" s="174">
        <f>VLOOKUP(D316,原始分!$D:$N,11,0)</f>
        <v>54</v>
      </c>
      <c r="W316" s="174">
        <f t="shared" si="63"/>
        <v>199</v>
      </c>
      <c r="X316" s="11">
        <f t="shared" si="64"/>
        <v>270.75</v>
      </c>
      <c r="Y316" s="9">
        <f t="shared" si="65"/>
        <v>691</v>
      </c>
      <c r="Z316" s="11">
        <f t="shared" si="66"/>
        <v>419.25</v>
      </c>
      <c r="AA316" s="9">
        <f t="shared" si="67"/>
        <v>432</v>
      </c>
    </row>
    <row r="317" ht="14.25" spans="1:27">
      <c r="A317" s="13">
        <v>315</v>
      </c>
      <c r="B317" s="15">
        <v>7</v>
      </c>
      <c r="C317" s="16">
        <v>28</v>
      </c>
      <c r="D317" s="17" t="s">
        <v>641</v>
      </c>
      <c r="E317" s="17" t="s">
        <v>642</v>
      </c>
      <c r="F317" s="174">
        <f>VLOOKUP(D317,原始分!$D:$N,3,0)</f>
        <v>101</v>
      </c>
      <c r="G317" s="174">
        <f t="shared" si="55"/>
        <v>338</v>
      </c>
      <c r="H317" s="174">
        <f>VLOOKUP(D317,原始分!$D:$N,4,0)</f>
        <v>73.5</v>
      </c>
      <c r="I317" s="174">
        <f t="shared" si="56"/>
        <v>800</v>
      </c>
      <c r="J317" s="174">
        <f>VLOOKUP(D317,原始分!$D:$N,5,0)</f>
        <v>80</v>
      </c>
      <c r="K317" s="174">
        <f t="shared" si="57"/>
        <v>745</v>
      </c>
      <c r="L317" s="174">
        <f>VLOOKUP(D317,原始分!$D:$N,6,0)</f>
        <v>47</v>
      </c>
      <c r="M317" s="174">
        <f t="shared" si="58"/>
        <v>391</v>
      </c>
      <c r="N317" s="174">
        <f>VLOOKUP(D317,原始分!$D:$N,7,0)</f>
        <v>0</v>
      </c>
      <c r="O317" s="174">
        <f t="shared" si="59"/>
        <v>207</v>
      </c>
      <c r="P317" s="174">
        <f>VLOOKUP(D317,原始分!$D:$N,8,0)</f>
        <v>0</v>
      </c>
      <c r="Q317" s="174">
        <f t="shared" si="60"/>
        <v>541</v>
      </c>
      <c r="R317" s="174">
        <f>VLOOKUP(D317,原始分!$D:$N,9,0)</f>
        <v>41.5</v>
      </c>
      <c r="S317" s="174">
        <f t="shared" si="61"/>
        <v>282</v>
      </c>
      <c r="T317" s="174">
        <f>VLOOKUP(D317,原始分!$D:$N,10,0)</f>
        <v>0</v>
      </c>
      <c r="U317" s="174">
        <f t="shared" si="62"/>
        <v>316</v>
      </c>
      <c r="V317" s="174">
        <f>VLOOKUP(D317,原始分!$D:$N,11,0)</f>
        <v>40.5</v>
      </c>
      <c r="W317" s="174">
        <f t="shared" si="63"/>
        <v>486</v>
      </c>
      <c r="X317" s="11">
        <f t="shared" si="64"/>
        <v>254.5</v>
      </c>
      <c r="Y317" s="9">
        <f t="shared" si="65"/>
        <v>789</v>
      </c>
      <c r="Z317" s="11">
        <f t="shared" si="66"/>
        <v>383.5</v>
      </c>
      <c r="AA317" s="9">
        <f t="shared" si="67"/>
        <v>567</v>
      </c>
    </row>
    <row r="318" ht="14.25" spans="1:27">
      <c r="A318" s="13">
        <v>316</v>
      </c>
      <c r="B318" s="15">
        <v>7</v>
      </c>
      <c r="C318" s="16">
        <v>29</v>
      </c>
      <c r="D318" s="17" t="s">
        <v>643</v>
      </c>
      <c r="E318" s="17" t="s">
        <v>644</v>
      </c>
      <c r="F318" s="174">
        <f>VLOOKUP(D318,原始分!$D:$N,3,0)</f>
        <v>93</v>
      </c>
      <c r="G318" s="174">
        <f t="shared" si="55"/>
        <v>693</v>
      </c>
      <c r="H318" s="174">
        <f>VLOOKUP(D318,原始分!$D:$N,4,0)</f>
        <v>78.5</v>
      </c>
      <c r="I318" s="174">
        <f t="shared" si="56"/>
        <v>765</v>
      </c>
      <c r="J318" s="174">
        <f>VLOOKUP(D318,原始分!$D:$N,5,0)</f>
        <v>87.5</v>
      </c>
      <c r="K318" s="174">
        <f t="shared" si="57"/>
        <v>622</v>
      </c>
      <c r="L318" s="174">
        <f>VLOOKUP(D318,原始分!$D:$N,6,0)</f>
        <v>30.5</v>
      </c>
      <c r="M318" s="174">
        <f t="shared" si="58"/>
        <v>610</v>
      </c>
      <c r="N318" s="174">
        <f>VLOOKUP(D318,原始分!$D:$N,7,0)</f>
        <v>0</v>
      </c>
      <c r="O318" s="174">
        <f t="shared" si="59"/>
        <v>207</v>
      </c>
      <c r="P318" s="174">
        <f>VLOOKUP(D318,原始分!$D:$N,8,0)</f>
        <v>0</v>
      </c>
      <c r="Q318" s="174">
        <f t="shared" si="60"/>
        <v>541</v>
      </c>
      <c r="R318" s="174">
        <f>VLOOKUP(D318,原始分!$D:$N,9,0)</f>
        <v>53.5</v>
      </c>
      <c r="S318" s="174">
        <f t="shared" si="61"/>
        <v>98</v>
      </c>
      <c r="T318" s="174">
        <f>VLOOKUP(D318,原始分!$D:$N,10,0)</f>
        <v>0</v>
      </c>
      <c r="U318" s="174">
        <f t="shared" si="62"/>
        <v>316</v>
      </c>
      <c r="V318" s="174">
        <f>VLOOKUP(D318,原始分!$D:$N,11,0)</f>
        <v>30</v>
      </c>
      <c r="W318" s="174">
        <f t="shared" si="63"/>
        <v>552</v>
      </c>
      <c r="X318" s="11">
        <f t="shared" si="64"/>
        <v>259</v>
      </c>
      <c r="Y318" s="9">
        <f t="shared" si="65"/>
        <v>776</v>
      </c>
      <c r="Z318" s="11">
        <f t="shared" si="66"/>
        <v>373</v>
      </c>
      <c r="AA318" s="9">
        <f t="shared" si="67"/>
        <v>600</v>
      </c>
    </row>
    <row r="319" ht="14.25" spans="1:27">
      <c r="A319" s="13">
        <v>317</v>
      </c>
      <c r="B319" s="15">
        <v>7</v>
      </c>
      <c r="C319" s="16">
        <v>30</v>
      </c>
      <c r="D319" s="17" t="s">
        <v>645</v>
      </c>
      <c r="E319" s="17" t="s">
        <v>646</v>
      </c>
      <c r="F319" s="174">
        <f>VLOOKUP(D319,原始分!$D:$N,3,0)</f>
        <v>97.5</v>
      </c>
      <c r="G319" s="174">
        <f t="shared" si="55"/>
        <v>531</v>
      </c>
      <c r="H319" s="174">
        <f>VLOOKUP(D319,原始分!$D:$N,4,0)</f>
        <v>79</v>
      </c>
      <c r="I319" s="174">
        <f t="shared" si="56"/>
        <v>761</v>
      </c>
      <c r="J319" s="174">
        <f>VLOOKUP(D319,原始分!$D:$N,5,0)</f>
        <v>67</v>
      </c>
      <c r="K319" s="174">
        <f t="shared" si="57"/>
        <v>836</v>
      </c>
      <c r="L319" s="174">
        <f>VLOOKUP(D319,原始分!$D:$N,6,0)</f>
        <v>29.5</v>
      </c>
      <c r="M319" s="174">
        <f t="shared" si="58"/>
        <v>615</v>
      </c>
      <c r="N319" s="174">
        <f>VLOOKUP(D319,原始分!$D:$N,7,0)</f>
        <v>0</v>
      </c>
      <c r="O319" s="174">
        <f t="shared" si="59"/>
        <v>207</v>
      </c>
      <c r="P319" s="174">
        <f>VLOOKUP(D319,原始分!$D:$N,8,0)</f>
        <v>0</v>
      </c>
      <c r="Q319" s="174">
        <f t="shared" si="60"/>
        <v>541</v>
      </c>
      <c r="R319" s="174">
        <f>VLOOKUP(D319,原始分!$D:$N,9,0)</f>
        <v>51</v>
      </c>
      <c r="S319" s="174">
        <f t="shared" si="61"/>
        <v>140</v>
      </c>
      <c r="T319" s="174">
        <f>VLOOKUP(D319,原始分!$D:$N,10,0)</f>
        <v>0</v>
      </c>
      <c r="U319" s="174">
        <f t="shared" si="62"/>
        <v>316</v>
      </c>
      <c r="V319" s="174">
        <f>VLOOKUP(D319,原始分!$D:$N,11,0)</f>
        <v>45</v>
      </c>
      <c r="W319" s="174">
        <f t="shared" si="63"/>
        <v>410</v>
      </c>
      <c r="X319" s="11">
        <f t="shared" si="64"/>
        <v>243.5</v>
      </c>
      <c r="Y319" s="9">
        <f t="shared" si="65"/>
        <v>821</v>
      </c>
      <c r="Z319" s="11">
        <f t="shared" si="66"/>
        <v>369</v>
      </c>
      <c r="AA319" s="9">
        <f t="shared" si="67"/>
        <v>613</v>
      </c>
    </row>
    <row r="320" ht="14.25" spans="1:27">
      <c r="A320" s="13">
        <v>318</v>
      </c>
      <c r="B320" s="15">
        <v>7</v>
      </c>
      <c r="C320" s="16">
        <v>31</v>
      </c>
      <c r="D320" s="17" t="s">
        <v>647</v>
      </c>
      <c r="E320" s="17" t="s">
        <v>648</v>
      </c>
      <c r="F320" s="174">
        <f>VLOOKUP(D320,原始分!$D:$N,3,0)</f>
        <v>98</v>
      </c>
      <c r="G320" s="174">
        <f t="shared" si="55"/>
        <v>500</v>
      </c>
      <c r="H320" s="174">
        <f>VLOOKUP(D320,原始分!$D:$N,4,0)</f>
        <v>104</v>
      </c>
      <c r="I320" s="174">
        <f t="shared" si="56"/>
        <v>341</v>
      </c>
      <c r="J320" s="174">
        <f>VLOOKUP(D320,原始分!$D:$N,5,0)</f>
        <v>83</v>
      </c>
      <c r="K320" s="174">
        <f t="shared" si="57"/>
        <v>700</v>
      </c>
      <c r="L320" s="174">
        <f>VLOOKUP(D320,原始分!$D:$N,6,0)</f>
        <v>56.5</v>
      </c>
      <c r="M320" s="174">
        <f t="shared" si="58"/>
        <v>244</v>
      </c>
      <c r="N320" s="174">
        <f>VLOOKUP(D320,原始分!$D:$N,7,0)</f>
        <v>0</v>
      </c>
      <c r="O320" s="174">
        <f t="shared" si="59"/>
        <v>207</v>
      </c>
      <c r="P320" s="174">
        <f>VLOOKUP(D320,原始分!$D:$N,8,0)</f>
        <v>0</v>
      </c>
      <c r="Q320" s="174">
        <f t="shared" si="60"/>
        <v>541</v>
      </c>
      <c r="R320" s="174">
        <f>VLOOKUP(D320,原始分!$D:$N,9,0)</f>
        <v>47</v>
      </c>
      <c r="S320" s="174">
        <f t="shared" si="61"/>
        <v>208</v>
      </c>
      <c r="T320" s="174">
        <f>VLOOKUP(D320,原始分!$D:$N,10,0)</f>
        <v>0</v>
      </c>
      <c r="U320" s="174">
        <f t="shared" si="62"/>
        <v>316</v>
      </c>
      <c r="V320" s="174">
        <f>VLOOKUP(D320,原始分!$D:$N,11,0)</f>
        <v>65.5</v>
      </c>
      <c r="W320" s="174">
        <f t="shared" si="63"/>
        <v>35</v>
      </c>
      <c r="X320" s="11">
        <f t="shared" si="64"/>
        <v>285</v>
      </c>
      <c r="Y320" s="9">
        <f t="shared" si="65"/>
        <v>543</v>
      </c>
      <c r="Z320" s="11">
        <f t="shared" si="66"/>
        <v>454</v>
      </c>
      <c r="AA320" s="9">
        <f t="shared" si="67"/>
        <v>254</v>
      </c>
    </row>
    <row r="321" ht="14.25" spans="1:27">
      <c r="A321" s="13">
        <v>319</v>
      </c>
      <c r="B321" s="15">
        <v>7</v>
      </c>
      <c r="C321" s="16">
        <v>32</v>
      </c>
      <c r="D321" s="17" t="s">
        <v>649</v>
      </c>
      <c r="E321" s="17" t="s">
        <v>650</v>
      </c>
      <c r="F321" s="174">
        <f>VLOOKUP(D321,原始分!$D:$N,3,0)</f>
        <v>108.5</v>
      </c>
      <c r="G321" s="174">
        <f t="shared" si="55"/>
        <v>70</v>
      </c>
      <c r="H321" s="174">
        <f>VLOOKUP(D321,原始分!$D:$N,4,0)</f>
        <v>108.5</v>
      </c>
      <c r="I321" s="174">
        <f t="shared" si="56"/>
        <v>251</v>
      </c>
      <c r="J321" s="174">
        <f>VLOOKUP(D321,原始分!$D:$N,5,0)</f>
        <v>102</v>
      </c>
      <c r="K321" s="174">
        <f t="shared" si="57"/>
        <v>323</v>
      </c>
      <c r="L321" s="174">
        <f>VLOOKUP(D321,原始分!$D:$N,6,0)</f>
        <v>61</v>
      </c>
      <c r="M321" s="174">
        <f t="shared" si="58"/>
        <v>168</v>
      </c>
      <c r="N321" s="174">
        <f>VLOOKUP(D321,原始分!$D:$N,7,0)</f>
        <v>0</v>
      </c>
      <c r="O321" s="174">
        <f t="shared" si="59"/>
        <v>207</v>
      </c>
      <c r="P321" s="174">
        <f>VLOOKUP(D321,原始分!$D:$N,8,0)</f>
        <v>0</v>
      </c>
      <c r="Q321" s="174">
        <f t="shared" si="60"/>
        <v>541</v>
      </c>
      <c r="R321" s="174">
        <f>VLOOKUP(D321,原始分!$D:$N,9,0)</f>
        <v>53</v>
      </c>
      <c r="S321" s="174">
        <f t="shared" si="61"/>
        <v>108</v>
      </c>
      <c r="T321" s="174">
        <f>VLOOKUP(D321,原始分!$D:$N,10,0)</f>
        <v>0</v>
      </c>
      <c r="U321" s="174">
        <f t="shared" si="62"/>
        <v>316</v>
      </c>
      <c r="V321" s="174">
        <f>VLOOKUP(D321,原始分!$D:$N,11,0)</f>
        <v>52</v>
      </c>
      <c r="W321" s="174">
        <f t="shared" si="63"/>
        <v>248</v>
      </c>
      <c r="X321" s="11">
        <f t="shared" si="64"/>
        <v>319</v>
      </c>
      <c r="Y321" s="9">
        <f t="shared" si="65"/>
        <v>167</v>
      </c>
      <c r="Z321" s="11">
        <f t="shared" si="66"/>
        <v>485</v>
      </c>
      <c r="AA321" s="9">
        <f t="shared" si="67"/>
        <v>114</v>
      </c>
    </row>
    <row r="322" ht="14.25" spans="1:27">
      <c r="A322" s="13">
        <v>320</v>
      </c>
      <c r="B322" s="15">
        <v>7</v>
      </c>
      <c r="C322" s="16">
        <v>33</v>
      </c>
      <c r="D322" s="17" t="s">
        <v>651</v>
      </c>
      <c r="E322" s="17" t="s">
        <v>652</v>
      </c>
      <c r="F322" s="174">
        <f>VLOOKUP(D322,原始分!$D:$N,3,0)</f>
        <v>92.5</v>
      </c>
      <c r="G322" s="174">
        <f t="shared" si="55"/>
        <v>713</v>
      </c>
      <c r="H322" s="174">
        <f>VLOOKUP(D322,原始分!$D:$N,4,0)</f>
        <v>104</v>
      </c>
      <c r="I322" s="174">
        <f t="shared" si="56"/>
        <v>341</v>
      </c>
      <c r="J322" s="174">
        <f>VLOOKUP(D322,原始分!$D:$N,5,0)</f>
        <v>101.5</v>
      </c>
      <c r="K322" s="174">
        <f t="shared" si="57"/>
        <v>334</v>
      </c>
      <c r="L322" s="174">
        <f>VLOOKUP(D322,原始分!$D:$N,6,0)</f>
        <v>38.5</v>
      </c>
      <c r="M322" s="174">
        <f t="shared" si="58"/>
        <v>528</v>
      </c>
      <c r="N322" s="174">
        <f>VLOOKUP(D322,原始分!$D:$N,7,0)</f>
        <v>0</v>
      </c>
      <c r="O322" s="174">
        <f t="shared" si="59"/>
        <v>207</v>
      </c>
      <c r="P322" s="174">
        <f>VLOOKUP(D322,原始分!$D:$N,8,0)</f>
        <v>0</v>
      </c>
      <c r="Q322" s="174">
        <f t="shared" si="60"/>
        <v>541</v>
      </c>
      <c r="R322" s="174">
        <f>VLOOKUP(D322,原始分!$D:$N,9,0)</f>
        <v>36</v>
      </c>
      <c r="S322" s="174">
        <f t="shared" si="61"/>
        <v>311</v>
      </c>
      <c r="T322" s="174">
        <f>VLOOKUP(D322,原始分!$D:$N,10,0)</f>
        <v>0</v>
      </c>
      <c r="U322" s="174">
        <f t="shared" si="62"/>
        <v>316</v>
      </c>
      <c r="V322" s="174">
        <f>VLOOKUP(D322,原始分!$D:$N,11,0)</f>
        <v>42</v>
      </c>
      <c r="W322" s="174">
        <f t="shared" si="63"/>
        <v>472</v>
      </c>
      <c r="X322" s="11">
        <f t="shared" si="64"/>
        <v>298</v>
      </c>
      <c r="Y322" s="9">
        <f t="shared" si="65"/>
        <v>396</v>
      </c>
      <c r="Z322" s="11">
        <f t="shared" si="66"/>
        <v>414.5</v>
      </c>
      <c r="AA322" s="9">
        <f t="shared" si="67"/>
        <v>449</v>
      </c>
    </row>
    <row r="323" ht="14.25" spans="1:27">
      <c r="A323" s="13">
        <v>321</v>
      </c>
      <c r="B323" s="15">
        <v>7</v>
      </c>
      <c r="C323" s="16">
        <v>34</v>
      </c>
      <c r="D323" s="17" t="s">
        <v>653</v>
      </c>
      <c r="E323" s="17" t="s">
        <v>654</v>
      </c>
      <c r="F323" s="174">
        <f>VLOOKUP(D323,原始分!$D:$N,3,0)</f>
        <v>89.75</v>
      </c>
      <c r="G323" s="174">
        <f t="shared" ref="G323:G386" si="68">RANK(F323,$F$3:$F$900)</f>
        <v>788</v>
      </c>
      <c r="H323" s="174">
        <f>VLOOKUP(D323,原始分!$D:$N,4,0)</f>
        <v>109</v>
      </c>
      <c r="I323" s="174">
        <f t="shared" ref="I323:I386" si="69">RANK(H323,$H$3:$H$900)</f>
        <v>241</v>
      </c>
      <c r="J323" s="174">
        <f>VLOOKUP(D323,原始分!$D:$N,5,0)</f>
        <v>79.5</v>
      </c>
      <c r="K323" s="174">
        <f t="shared" ref="K323:K386" si="70">RANK(J323,$J$3:$J$900)</f>
        <v>753</v>
      </c>
      <c r="L323" s="174">
        <f>VLOOKUP(D323,原始分!$D:$N,6,0)</f>
        <v>27</v>
      </c>
      <c r="M323" s="174">
        <f t="shared" ref="M323:M386" si="71">RANK(L323,$L$3:$L$900)</f>
        <v>631</v>
      </c>
      <c r="N323" s="174">
        <f>VLOOKUP(D323,原始分!$D:$N,7,0)</f>
        <v>0</v>
      </c>
      <c r="O323" s="174">
        <f t="shared" ref="O323:O386" si="72">RANK(N323,$N$3:$N$900)</f>
        <v>207</v>
      </c>
      <c r="P323" s="174">
        <f>VLOOKUP(D323,原始分!$D:$N,8,0)</f>
        <v>0</v>
      </c>
      <c r="Q323" s="174">
        <f t="shared" ref="Q323:Q386" si="73">RANK(P323,$P$3:$P$900)</f>
        <v>541</v>
      </c>
      <c r="R323" s="174">
        <f>VLOOKUP(D323,原始分!$D:$N,9,0)</f>
        <v>54</v>
      </c>
      <c r="S323" s="174">
        <f t="shared" ref="S323:S386" si="74">RANK(R323,$R$3:$R$900)</f>
        <v>89</v>
      </c>
      <c r="T323" s="174">
        <f>VLOOKUP(D323,原始分!$D:$N,10,0)</f>
        <v>0</v>
      </c>
      <c r="U323" s="174">
        <f t="shared" ref="U323:U386" si="75">RANK(T323,$T$3:$T$900)</f>
        <v>316</v>
      </c>
      <c r="V323" s="174">
        <f>VLOOKUP(D323,原始分!$D:$N,11,0)</f>
        <v>32</v>
      </c>
      <c r="W323" s="174">
        <f t="shared" ref="W323:W386" si="76">RANK(V323,$V$3:$V$900)</f>
        <v>543</v>
      </c>
      <c r="X323" s="11">
        <f t="shared" ref="X323:X386" si="77">SUM(F323,H323,J323)</f>
        <v>278.25</v>
      </c>
      <c r="Y323" s="9">
        <f t="shared" ref="Y323:Y386" si="78">RANK(X323,$X$3:$X$900)</f>
        <v>617</v>
      </c>
      <c r="Z323" s="11">
        <f t="shared" ref="Z323:Z386" si="79">SUM(F323,H323,J323,L323,N323,P323,R323,T323,V323)</f>
        <v>391.25</v>
      </c>
      <c r="AA323" s="9">
        <f t="shared" si="67"/>
        <v>548</v>
      </c>
    </row>
    <row r="324" ht="14.25" spans="1:27">
      <c r="A324" s="13">
        <v>322</v>
      </c>
      <c r="B324" s="15">
        <v>7</v>
      </c>
      <c r="C324" s="16">
        <v>35</v>
      </c>
      <c r="D324" s="17" t="s">
        <v>655</v>
      </c>
      <c r="E324" s="17" t="s">
        <v>656</v>
      </c>
      <c r="F324" s="174">
        <f>VLOOKUP(D324,原始分!$D:$N,3,0)</f>
        <v>101.25</v>
      </c>
      <c r="G324" s="174">
        <f t="shared" si="68"/>
        <v>334</v>
      </c>
      <c r="H324" s="174">
        <f>VLOOKUP(D324,原始分!$D:$N,4,0)</f>
        <v>83.5</v>
      </c>
      <c r="I324" s="174">
        <f t="shared" si="69"/>
        <v>721</v>
      </c>
      <c r="J324" s="174">
        <f>VLOOKUP(D324,原始分!$D:$N,5,0)</f>
        <v>103.75</v>
      </c>
      <c r="K324" s="174">
        <f t="shared" si="70"/>
        <v>299</v>
      </c>
      <c r="L324" s="174">
        <f>VLOOKUP(D324,原始分!$D:$N,6,0)</f>
        <v>48.5</v>
      </c>
      <c r="M324" s="174">
        <f t="shared" si="71"/>
        <v>364</v>
      </c>
      <c r="N324" s="174">
        <f>VLOOKUP(D324,原始分!$D:$N,7,0)</f>
        <v>0</v>
      </c>
      <c r="O324" s="174">
        <f t="shared" si="72"/>
        <v>207</v>
      </c>
      <c r="P324" s="174">
        <f>VLOOKUP(D324,原始分!$D:$N,8,0)</f>
        <v>0</v>
      </c>
      <c r="Q324" s="174">
        <f t="shared" si="73"/>
        <v>541</v>
      </c>
      <c r="R324" s="174">
        <f>VLOOKUP(D324,原始分!$D:$N,9,0)</f>
        <v>55</v>
      </c>
      <c r="S324" s="174">
        <f t="shared" si="74"/>
        <v>73</v>
      </c>
      <c r="T324" s="174">
        <f>VLOOKUP(D324,原始分!$D:$N,10,0)</f>
        <v>0</v>
      </c>
      <c r="U324" s="174">
        <f t="shared" si="75"/>
        <v>316</v>
      </c>
      <c r="V324" s="174">
        <f>VLOOKUP(D324,原始分!$D:$N,11,0)</f>
        <v>46</v>
      </c>
      <c r="W324" s="174">
        <f t="shared" si="76"/>
        <v>386</v>
      </c>
      <c r="X324" s="11">
        <f t="shared" si="77"/>
        <v>288.5</v>
      </c>
      <c r="Y324" s="9">
        <f t="shared" si="78"/>
        <v>510</v>
      </c>
      <c r="Z324" s="11">
        <f t="shared" si="79"/>
        <v>438</v>
      </c>
      <c r="AA324" s="9">
        <f t="shared" si="67"/>
        <v>340</v>
      </c>
    </row>
    <row r="325" ht="14.25" spans="1:27">
      <c r="A325" s="13">
        <v>323</v>
      </c>
      <c r="B325" s="15">
        <v>7</v>
      </c>
      <c r="C325" s="16">
        <v>36</v>
      </c>
      <c r="D325" s="17" t="s">
        <v>657</v>
      </c>
      <c r="E325" s="17" t="s">
        <v>658</v>
      </c>
      <c r="F325" s="174">
        <f>VLOOKUP(D325,原始分!$D:$N,3,0)</f>
        <v>98.5</v>
      </c>
      <c r="G325" s="174">
        <f t="shared" si="68"/>
        <v>469</v>
      </c>
      <c r="H325" s="174">
        <f>VLOOKUP(D325,原始分!$D:$N,4,0)</f>
        <v>110</v>
      </c>
      <c r="I325" s="174">
        <f t="shared" si="69"/>
        <v>223</v>
      </c>
      <c r="J325" s="174">
        <f>VLOOKUP(D325,原始分!$D:$N,5,0)</f>
        <v>99.25</v>
      </c>
      <c r="K325" s="174">
        <f t="shared" si="70"/>
        <v>391</v>
      </c>
      <c r="L325" s="174">
        <f>VLOOKUP(D325,原始分!$D:$N,6,0)</f>
        <v>50.5</v>
      </c>
      <c r="M325" s="174">
        <f t="shared" si="71"/>
        <v>328</v>
      </c>
      <c r="N325" s="174">
        <f>VLOOKUP(D325,原始分!$D:$N,7,0)</f>
        <v>0</v>
      </c>
      <c r="O325" s="174">
        <f t="shared" si="72"/>
        <v>207</v>
      </c>
      <c r="P325" s="174">
        <f>VLOOKUP(D325,原始分!$D:$N,8,0)</f>
        <v>0</v>
      </c>
      <c r="Q325" s="174">
        <f t="shared" si="73"/>
        <v>541</v>
      </c>
      <c r="R325" s="174">
        <f>VLOOKUP(D325,原始分!$D:$N,9,0)</f>
        <v>56</v>
      </c>
      <c r="S325" s="174">
        <f t="shared" si="74"/>
        <v>58</v>
      </c>
      <c r="T325" s="174">
        <f>VLOOKUP(D325,原始分!$D:$N,10,0)</f>
        <v>0</v>
      </c>
      <c r="U325" s="174">
        <f t="shared" si="75"/>
        <v>316</v>
      </c>
      <c r="V325" s="174">
        <f>VLOOKUP(D325,原始分!$D:$N,11,0)</f>
        <v>51.5</v>
      </c>
      <c r="W325" s="174">
        <f t="shared" si="76"/>
        <v>262</v>
      </c>
      <c r="X325" s="11">
        <f t="shared" si="77"/>
        <v>307.75</v>
      </c>
      <c r="Y325" s="9">
        <f t="shared" si="78"/>
        <v>291</v>
      </c>
      <c r="Z325" s="11">
        <f t="shared" si="79"/>
        <v>465.75</v>
      </c>
      <c r="AA325" s="9">
        <f t="shared" si="67"/>
        <v>193</v>
      </c>
    </row>
    <row r="326" ht="14.25" spans="1:27">
      <c r="A326" s="13">
        <v>324</v>
      </c>
      <c r="B326" s="15">
        <v>7</v>
      </c>
      <c r="C326" s="16">
        <v>37</v>
      </c>
      <c r="D326" s="17" t="s">
        <v>659</v>
      </c>
      <c r="E326" s="17" t="s">
        <v>660</v>
      </c>
      <c r="F326" s="174">
        <f>VLOOKUP(D326,原始分!$D:$N,3,0)</f>
        <v>90</v>
      </c>
      <c r="G326" s="174">
        <f t="shared" si="68"/>
        <v>778</v>
      </c>
      <c r="H326" s="174">
        <f>VLOOKUP(D326,原始分!$D:$N,4,0)</f>
        <v>104.5</v>
      </c>
      <c r="I326" s="174">
        <f t="shared" si="69"/>
        <v>327</v>
      </c>
      <c r="J326" s="174">
        <f>VLOOKUP(D326,原始分!$D:$N,5,0)</f>
        <v>67.5</v>
      </c>
      <c r="K326" s="174">
        <f t="shared" si="70"/>
        <v>835</v>
      </c>
      <c r="L326" s="174">
        <f>VLOOKUP(D326,原始分!$D:$N,6,0)</f>
        <v>28.5</v>
      </c>
      <c r="M326" s="174">
        <f t="shared" si="71"/>
        <v>621</v>
      </c>
      <c r="N326" s="174">
        <f>VLOOKUP(D326,原始分!$D:$N,7,0)</f>
        <v>0</v>
      </c>
      <c r="O326" s="174">
        <f t="shared" si="72"/>
        <v>207</v>
      </c>
      <c r="P326" s="174">
        <f>VLOOKUP(D326,原始分!$D:$N,8,0)</f>
        <v>0</v>
      </c>
      <c r="Q326" s="174">
        <f t="shared" si="73"/>
        <v>541</v>
      </c>
      <c r="R326" s="174">
        <f>VLOOKUP(D326,原始分!$D:$N,9,0)</f>
        <v>44.5</v>
      </c>
      <c r="S326" s="174">
        <f t="shared" si="74"/>
        <v>244</v>
      </c>
      <c r="T326" s="174">
        <f>VLOOKUP(D326,原始分!$D:$N,10,0)</f>
        <v>0</v>
      </c>
      <c r="U326" s="174">
        <f t="shared" si="75"/>
        <v>316</v>
      </c>
      <c r="V326" s="174">
        <f>VLOOKUP(D326,原始分!$D:$N,11,0)</f>
        <v>53.5</v>
      </c>
      <c r="W326" s="174">
        <f t="shared" si="76"/>
        <v>208</v>
      </c>
      <c r="X326" s="11">
        <f t="shared" si="77"/>
        <v>262</v>
      </c>
      <c r="Y326" s="9">
        <f t="shared" si="78"/>
        <v>763</v>
      </c>
      <c r="Z326" s="11">
        <f t="shared" si="79"/>
        <v>388.5</v>
      </c>
      <c r="AA326" s="9">
        <f t="shared" si="67"/>
        <v>557</v>
      </c>
    </row>
    <row r="327" ht="14.25" spans="1:27">
      <c r="A327" s="13">
        <v>325</v>
      </c>
      <c r="B327" s="15">
        <v>7</v>
      </c>
      <c r="C327" s="16">
        <v>38</v>
      </c>
      <c r="D327" s="17" t="s">
        <v>661</v>
      </c>
      <c r="E327" s="17" t="s">
        <v>662</v>
      </c>
      <c r="F327" s="174">
        <f>VLOOKUP(D327,原始分!$D:$N,3,0)</f>
        <v>101.25</v>
      </c>
      <c r="G327" s="174">
        <f t="shared" si="68"/>
        <v>334</v>
      </c>
      <c r="H327" s="174">
        <f>VLOOKUP(D327,原始分!$D:$N,4,0)</f>
        <v>93</v>
      </c>
      <c r="I327" s="174">
        <f t="shared" si="69"/>
        <v>561</v>
      </c>
      <c r="J327" s="174">
        <f>VLOOKUP(D327,原始分!$D:$N,5,0)</f>
        <v>76</v>
      </c>
      <c r="K327" s="174">
        <f t="shared" si="70"/>
        <v>781</v>
      </c>
      <c r="L327" s="174">
        <f>VLOOKUP(D327,原始分!$D:$N,6,0)</f>
        <v>41.5</v>
      </c>
      <c r="M327" s="174">
        <f t="shared" si="71"/>
        <v>483</v>
      </c>
      <c r="N327" s="174">
        <f>VLOOKUP(D327,原始分!$D:$N,7,0)</f>
        <v>0</v>
      </c>
      <c r="O327" s="174">
        <f t="shared" si="72"/>
        <v>207</v>
      </c>
      <c r="P327" s="174">
        <f>VLOOKUP(D327,原始分!$D:$N,8,0)</f>
        <v>0</v>
      </c>
      <c r="Q327" s="174">
        <f t="shared" si="73"/>
        <v>541</v>
      </c>
      <c r="R327" s="174">
        <f>VLOOKUP(D327,原始分!$D:$N,9,0)</f>
        <v>48</v>
      </c>
      <c r="S327" s="174">
        <f t="shared" si="74"/>
        <v>193</v>
      </c>
      <c r="T327" s="174">
        <f>VLOOKUP(D327,原始分!$D:$N,10,0)</f>
        <v>0</v>
      </c>
      <c r="U327" s="174">
        <f t="shared" si="75"/>
        <v>316</v>
      </c>
      <c r="V327" s="174">
        <f>VLOOKUP(D327,原始分!$D:$N,11,0)</f>
        <v>38</v>
      </c>
      <c r="W327" s="174">
        <f t="shared" si="76"/>
        <v>510</v>
      </c>
      <c r="X327" s="11">
        <f t="shared" si="77"/>
        <v>270.25</v>
      </c>
      <c r="Y327" s="9">
        <f t="shared" si="78"/>
        <v>698</v>
      </c>
      <c r="Z327" s="11">
        <f t="shared" si="79"/>
        <v>397.75</v>
      </c>
      <c r="AA327" s="9">
        <f t="shared" si="67"/>
        <v>530</v>
      </c>
    </row>
    <row r="328" ht="14.25" spans="1:27">
      <c r="A328" s="13">
        <v>326</v>
      </c>
      <c r="B328" s="15">
        <v>7</v>
      </c>
      <c r="C328" s="16">
        <v>39</v>
      </c>
      <c r="D328" s="17" t="s">
        <v>663</v>
      </c>
      <c r="E328" s="17" t="s">
        <v>664</v>
      </c>
      <c r="F328" s="174">
        <f>VLOOKUP(D328,原始分!$D:$N,3,0)</f>
        <v>98</v>
      </c>
      <c r="G328" s="174">
        <f t="shared" si="68"/>
        <v>500</v>
      </c>
      <c r="H328" s="174">
        <f>VLOOKUP(D328,原始分!$D:$N,4,0)</f>
        <v>59</v>
      </c>
      <c r="I328" s="174">
        <f t="shared" si="69"/>
        <v>847</v>
      </c>
      <c r="J328" s="174">
        <f>VLOOKUP(D328,原始分!$D:$N,5,0)</f>
        <v>79</v>
      </c>
      <c r="K328" s="174">
        <f t="shared" si="70"/>
        <v>757</v>
      </c>
      <c r="L328" s="174">
        <f>VLOOKUP(D328,原始分!$D:$N,6,0)</f>
        <v>27</v>
      </c>
      <c r="M328" s="174">
        <f t="shared" si="71"/>
        <v>631</v>
      </c>
      <c r="N328" s="174">
        <f>VLOOKUP(D328,原始分!$D:$N,7,0)</f>
        <v>0</v>
      </c>
      <c r="O328" s="174">
        <f t="shared" si="72"/>
        <v>207</v>
      </c>
      <c r="P328" s="174">
        <f>VLOOKUP(D328,原始分!$D:$N,8,0)</f>
        <v>0</v>
      </c>
      <c r="Q328" s="174">
        <f t="shared" si="73"/>
        <v>541</v>
      </c>
      <c r="R328" s="174">
        <f>VLOOKUP(D328,原始分!$D:$N,9,0)</f>
        <v>58</v>
      </c>
      <c r="S328" s="174">
        <f t="shared" si="74"/>
        <v>40</v>
      </c>
      <c r="T328" s="174">
        <f>VLOOKUP(D328,原始分!$D:$N,10,0)</f>
        <v>0</v>
      </c>
      <c r="U328" s="174">
        <f t="shared" si="75"/>
        <v>316</v>
      </c>
      <c r="V328" s="174">
        <f>VLOOKUP(D328,原始分!$D:$N,11,0)</f>
        <v>48</v>
      </c>
      <c r="W328" s="174">
        <f t="shared" si="76"/>
        <v>341</v>
      </c>
      <c r="X328" s="11">
        <f t="shared" si="77"/>
        <v>236</v>
      </c>
      <c r="Y328" s="9">
        <f t="shared" si="78"/>
        <v>841</v>
      </c>
      <c r="Z328" s="11">
        <f t="shared" si="79"/>
        <v>369</v>
      </c>
      <c r="AA328" s="9">
        <f t="shared" si="67"/>
        <v>613</v>
      </c>
    </row>
    <row r="329" ht="14.25" spans="1:27">
      <c r="A329" s="13">
        <v>327</v>
      </c>
      <c r="B329" s="15">
        <v>7</v>
      </c>
      <c r="C329" s="16">
        <v>40</v>
      </c>
      <c r="D329" s="17" t="s">
        <v>665</v>
      </c>
      <c r="E329" s="17" t="s">
        <v>666</v>
      </c>
      <c r="F329" s="174">
        <f>VLOOKUP(D329,原始分!$D:$N,3,0)</f>
        <v>107</v>
      </c>
      <c r="G329" s="174">
        <f t="shared" si="68"/>
        <v>113</v>
      </c>
      <c r="H329" s="174">
        <f>VLOOKUP(D329,原始分!$D:$N,4,0)</f>
        <v>89.5</v>
      </c>
      <c r="I329" s="174">
        <f t="shared" si="69"/>
        <v>622</v>
      </c>
      <c r="J329" s="174">
        <f>VLOOKUP(D329,原始分!$D:$N,5,0)</f>
        <v>76</v>
      </c>
      <c r="K329" s="174">
        <f t="shared" si="70"/>
        <v>781</v>
      </c>
      <c r="L329" s="174">
        <f>VLOOKUP(D329,原始分!$D:$N,6,0)</f>
        <v>17.5</v>
      </c>
      <c r="M329" s="174">
        <f t="shared" si="71"/>
        <v>657</v>
      </c>
      <c r="N329" s="174">
        <f>VLOOKUP(D329,原始分!$D:$N,7,0)</f>
        <v>0</v>
      </c>
      <c r="O329" s="174">
        <f t="shared" si="72"/>
        <v>207</v>
      </c>
      <c r="P329" s="174">
        <f>VLOOKUP(D329,原始分!$D:$N,8,0)</f>
        <v>0</v>
      </c>
      <c r="Q329" s="174">
        <f t="shared" si="73"/>
        <v>541</v>
      </c>
      <c r="R329" s="174">
        <f>VLOOKUP(D329,原始分!$D:$N,9,0)</f>
        <v>49.5</v>
      </c>
      <c r="S329" s="174">
        <f t="shared" si="74"/>
        <v>164</v>
      </c>
      <c r="T329" s="174">
        <f>VLOOKUP(D329,原始分!$D:$N,10,0)</f>
        <v>0</v>
      </c>
      <c r="U329" s="174">
        <f t="shared" si="75"/>
        <v>316</v>
      </c>
      <c r="V329" s="174">
        <f>VLOOKUP(D329,原始分!$D:$N,11,0)</f>
        <v>30.5</v>
      </c>
      <c r="W329" s="174">
        <f t="shared" si="76"/>
        <v>550</v>
      </c>
      <c r="X329" s="11">
        <f t="shared" si="77"/>
        <v>272.5</v>
      </c>
      <c r="Y329" s="9">
        <f t="shared" si="78"/>
        <v>671</v>
      </c>
      <c r="Z329" s="11">
        <f t="shared" si="79"/>
        <v>370</v>
      </c>
      <c r="AA329" s="9">
        <f t="shared" si="67"/>
        <v>611</v>
      </c>
    </row>
    <row r="330" ht="14.25" spans="1:27">
      <c r="A330" s="13">
        <v>328</v>
      </c>
      <c r="B330" s="15">
        <v>7</v>
      </c>
      <c r="C330" s="16">
        <v>41</v>
      </c>
      <c r="D330" s="17" t="s">
        <v>667</v>
      </c>
      <c r="E330" s="17" t="s">
        <v>668</v>
      </c>
      <c r="F330" s="174">
        <f>VLOOKUP(D330,原始分!$D:$N,3,0)</f>
        <v>99.5</v>
      </c>
      <c r="G330" s="174">
        <f t="shared" si="68"/>
        <v>418</v>
      </c>
      <c r="H330" s="174">
        <f>VLOOKUP(D330,原始分!$D:$N,4,0)</f>
        <v>117</v>
      </c>
      <c r="I330" s="174">
        <f t="shared" si="69"/>
        <v>98</v>
      </c>
      <c r="J330" s="174">
        <f>VLOOKUP(D330,原始分!$D:$N,5,0)</f>
        <v>66.5</v>
      </c>
      <c r="K330" s="174">
        <f t="shared" si="70"/>
        <v>838</v>
      </c>
      <c r="L330" s="174">
        <f>VLOOKUP(D330,原始分!$D:$N,6,0)</f>
        <v>32</v>
      </c>
      <c r="M330" s="174">
        <f t="shared" si="71"/>
        <v>603</v>
      </c>
      <c r="N330" s="174">
        <f>VLOOKUP(D330,原始分!$D:$N,7,0)</f>
        <v>0</v>
      </c>
      <c r="O330" s="174">
        <f t="shared" si="72"/>
        <v>207</v>
      </c>
      <c r="P330" s="174">
        <f>VLOOKUP(D330,原始分!$D:$N,8,0)</f>
        <v>0</v>
      </c>
      <c r="Q330" s="174">
        <f t="shared" si="73"/>
        <v>541</v>
      </c>
      <c r="R330" s="174">
        <f>VLOOKUP(D330,原始分!$D:$N,9,0)</f>
        <v>43</v>
      </c>
      <c r="S330" s="174">
        <f t="shared" si="74"/>
        <v>270</v>
      </c>
      <c r="T330" s="174">
        <f>VLOOKUP(D330,原始分!$D:$N,10,0)</f>
        <v>0</v>
      </c>
      <c r="U330" s="174">
        <f t="shared" si="75"/>
        <v>316</v>
      </c>
      <c r="V330" s="174">
        <f>VLOOKUP(D330,原始分!$D:$N,11,0)</f>
        <v>44.5</v>
      </c>
      <c r="W330" s="174">
        <f t="shared" si="76"/>
        <v>424</v>
      </c>
      <c r="X330" s="11">
        <f t="shared" si="77"/>
        <v>283</v>
      </c>
      <c r="Y330" s="9">
        <f t="shared" si="78"/>
        <v>564</v>
      </c>
      <c r="Z330" s="11">
        <f t="shared" si="79"/>
        <v>402.5</v>
      </c>
      <c r="AA330" s="9">
        <f t="shared" si="67"/>
        <v>509</v>
      </c>
    </row>
    <row r="331" ht="14.25" spans="1:27">
      <c r="A331" s="13">
        <v>329</v>
      </c>
      <c r="B331" s="15">
        <v>8</v>
      </c>
      <c r="C331" s="16">
        <v>1</v>
      </c>
      <c r="D331" s="17" t="s">
        <v>669</v>
      </c>
      <c r="E331" s="17" t="s">
        <v>670</v>
      </c>
      <c r="F331" s="174">
        <f>VLOOKUP(D331,原始分!$D:$N,3,0)</f>
        <v>92</v>
      </c>
      <c r="G331" s="174">
        <f t="shared" si="68"/>
        <v>723</v>
      </c>
      <c r="H331" s="174">
        <f>VLOOKUP(D331,原始分!$D:$N,4,0)</f>
        <v>112</v>
      </c>
      <c r="I331" s="174">
        <f t="shared" si="69"/>
        <v>180</v>
      </c>
      <c r="J331" s="174">
        <f>VLOOKUP(D331,原始分!$D:$N,5,0)</f>
        <v>74.25</v>
      </c>
      <c r="K331" s="174">
        <f t="shared" si="70"/>
        <v>797</v>
      </c>
      <c r="L331" s="174">
        <f>VLOOKUP(D331,原始分!$D:$N,6,0)</f>
        <v>49.5</v>
      </c>
      <c r="M331" s="174">
        <f t="shared" si="71"/>
        <v>341</v>
      </c>
      <c r="N331" s="174">
        <f>VLOOKUP(D331,原始分!$D:$N,7,0)</f>
        <v>0</v>
      </c>
      <c r="O331" s="174">
        <f t="shared" si="72"/>
        <v>207</v>
      </c>
      <c r="P331" s="174">
        <f>VLOOKUP(D331,原始分!$D:$N,8,0)</f>
        <v>42.5</v>
      </c>
      <c r="Q331" s="174">
        <f t="shared" si="73"/>
        <v>257</v>
      </c>
      <c r="R331" s="174">
        <f>VLOOKUP(D331,原始分!$D:$N,9,0)</f>
        <v>0</v>
      </c>
      <c r="S331" s="174">
        <f t="shared" si="74"/>
        <v>320</v>
      </c>
      <c r="T331" s="174">
        <f>VLOOKUP(D331,原始分!$D:$N,10,0)</f>
        <v>0</v>
      </c>
      <c r="U331" s="174">
        <f t="shared" si="75"/>
        <v>316</v>
      </c>
      <c r="V331" s="174">
        <f>VLOOKUP(D331,原始分!$D:$N,11,0)</f>
        <v>51.5</v>
      </c>
      <c r="W331" s="174">
        <f t="shared" si="76"/>
        <v>262</v>
      </c>
      <c r="X331" s="11">
        <f t="shared" si="77"/>
        <v>278.25</v>
      </c>
      <c r="Y331" s="9">
        <f t="shared" si="78"/>
        <v>617</v>
      </c>
      <c r="Z331" s="11">
        <f t="shared" si="79"/>
        <v>421.75</v>
      </c>
      <c r="AA331" s="9">
        <f t="shared" si="67"/>
        <v>424</v>
      </c>
    </row>
    <row r="332" ht="14.25" spans="1:27">
      <c r="A332" s="13">
        <v>330</v>
      </c>
      <c r="B332" s="15">
        <v>8</v>
      </c>
      <c r="C332" s="16">
        <v>2</v>
      </c>
      <c r="D332" s="17" t="s">
        <v>671</v>
      </c>
      <c r="E332" s="17" t="s">
        <v>672</v>
      </c>
      <c r="F332" s="174">
        <f>VLOOKUP(D332,原始分!$D:$N,3,0)</f>
        <v>101.5</v>
      </c>
      <c r="G332" s="174">
        <f t="shared" si="68"/>
        <v>319</v>
      </c>
      <c r="H332" s="174">
        <f>VLOOKUP(D332,原始分!$D:$N,4,0)</f>
        <v>89</v>
      </c>
      <c r="I332" s="174">
        <f t="shared" si="69"/>
        <v>632</v>
      </c>
      <c r="J332" s="174">
        <f>VLOOKUP(D332,原始分!$D:$N,5,0)</f>
        <v>99.5</v>
      </c>
      <c r="K332" s="174">
        <f t="shared" si="70"/>
        <v>383</v>
      </c>
      <c r="L332" s="174">
        <f>VLOOKUP(D332,原始分!$D:$N,6,0)</f>
        <v>25</v>
      </c>
      <c r="M332" s="174">
        <f t="shared" si="71"/>
        <v>638</v>
      </c>
      <c r="N332" s="174">
        <f>VLOOKUP(D332,原始分!$D:$N,7,0)</f>
        <v>0</v>
      </c>
      <c r="O332" s="174">
        <f t="shared" si="72"/>
        <v>207</v>
      </c>
      <c r="P332" s="174">
        <f>VLOOKUP(D332,原始分!$D:$N,8,0)</f>
        <v>35</v>
      </c>
      <c r="Q332" s="174">
        <f t="shared" si="73"/>
        <v>403</v>
      </c>
      <c r="R332" s="174">
        <f>VLOOKUP(D332,原始分!$D:$N,9,0)</f>
        <v>0</v>
      </c>
      <c r="S332" s="174">
        <f t="shared" si="74"/>
        <v>320</v>
      </c>
      <c r="T332" s="174">
        <f>VLOOKUP(D332,原始分!$D:$N,10,0)</f>
        <v>0</v>
      </c>
      <c r="U332" s="174">
        <f t="shared" si="75"/>
        <v>316</v>
      </c>
      <c r="V332" s="174">
        <f>VLOOKUP(D332,原始分!$D:$N,11,0)</f>
        <v>31</v>
      </c>
      <c r="W332" s="174">
        <f t="shared" si="76"/>
        <v>548</v>
      </c>
      <c r="X332" s="11">
        <f t="shared" si="77"/>
        <v>290</v>
      </c>
      <c r="Y332" s="9">
        <f t="shared" si="78"/>
        <v>498</v>
      </c>
      <c r="Z332" s="11">
        <f t="shared" si="79"/>
        <v>381</v>
      </c>
      <c r="AA332" s="9">
        <f t="shared" si="67"/>
        <v>572</v>
      </c>
    </row>
    <row r="333" ht="14.25" spans="1:27">
      <c r="A333" s="13">
        <v>331</v>
      </c>
      <c r="B333" s="15">
        <v>8</v>
      </c>
      <c r="C333" s="16">
        <v>3</v>
      </c>
      <c r="D333" s="17" t="s">
        <v>673</v>
      </c>
      <c r="E333" s="17" t="s">
        <v>674</v>
      </c>
      <c r="F333" s="174">
        <f>VLOOKUP(D333,原始分!$D:$N,3,0)</f>
        <v>98</v>
      </c>
      <c r="G333" s="174">
        <f t="shared" si="68"/>
        <v>500</v>
      </c>
      <c r="H333" s="174">
        <f>VLOOKUP(D333,原始分!$D:$N,4,0)</f>
        <v>92.5</v>
      </c>
      <c r="I333" s="174">
        <f t="shared" si="69"/>
        <v>569</v>
      </c>
      <c r="J333" s="174">
        <f>VLOOKUP(D333,原始分!$D:$N,5,0)</f>
        <v>103.25</v>
      </c>
      <c r="K333" s="174">
        <f t="shared" si="70"/>
        <v>307</v>
      </c>
      <c r="L333" s="174">
        <f>VLOOKUP(D333,原始分!$D:$N,6,0)</f>
        <v>38</v>
      </c>
      <c r="M333" s="174">
        <f t="shared" si="71"/>
        <v>537</v>
      </c>
      <c r="N333" s="174">
        <f>VLOOKUP(D333,原始分!$D:$N,7,0)</f>
        <v>0</v>
      </c>
      <c r="O333" s="174">
        <f t="shared" si="72"/>
        <v>207</v>
      </c>
      <c r="P333" s="174">
        <f>VLOOKUP(D333,原始分!$D:$N,8,0)</f>
        <v>44</v>
      </c>
      <c r="Q333" s="174">
        <f t="shared" si="73"/>
        <v>227</v>
      </c>
      <c r="R333" s="174">
        <f>VLOOKUP(D333,原始分!$D:$N,9,0)</f>
        <v>0</v>
      </c>
      <c r="S333" s="174">
        <f t="shared" si="74"/>
        <v>320</v>
      </c>
      <c r="T333" s="174">
        <f>VLOOKUP(D333,原始分!$D:$N,10,0)</f>
        <v>0</v>
      </c>
      <c r="U333" s="174">
        <f t="shared" si="75"/>
        <v>316</v>
      </c>
      <c r="V333" s="174">
        <f>VLOOKUP(D333,原始分!$D:$N,11,0)</f>
        <v>52</v>
      </c>
      <c r="W333" s="174">
        <f t="shared" si="76"/>
        <v>248</v>
      </c>
      <c r="X333" s="11">
        <f t="shared" si="77"/>
        <v>293.75</v>
      </c>
      <c r="Y333" s="9">
        <f t="shared" si="78"/>
        <v>447</v>
      </c>
      <c r="Z333" s="11">
        <f t="shared" si="79"/>
        <v>427.75</v>
      </c>
      <c r="AA333" s="9">
        <f t="shared" si="67"/>
        <v>395</v>
      </c>
    </row>
    <row r="334" ht="14.25" spans="1:27">
      <c r="A334" s="13">
        <v>332</v>
      </c>
      <c r="B334" s="15">
        <v>8</v>
      </c>
      <c r="C334" s="16">
        <v>4</v>
      </c>
      <c r="D334" s="17" t="s">
        <v>675</v>
      </c>
      <c r="E334" s="17" t="s">
        <v>676</v>
      </c>
      <c r="F334" s="174">
        <f>VLOOKUP(D334,原始分!$D:$N,3,0)</f>
        <v>103.5</v>
      </c>
      <c r="G334" s="174">
        <f t="shared" si="68"/>
        <v>230</v>
      </c>
      <c r="H334" s="174">
        <f>VLOOKUP(D334,原始分!$D:$N,4,0)</f>
        <v>98.5</v>
      </c>
      <c r="I334" s="174">
        <f t="shared" si="69"/>
        <v>442</v>
      </c>
      <c r="J334" s="174">
        <f>VLOOKUP(D334,原始分!$D:$N,5,0)</f>
        <v>98</v>
      </c>
      <c r="K334" s="174">
        <f t="shared" si="70"/>
        <v>425</v>
      </c>
      <c r="L334" s="174">
        <f>VLOOKUP(D334,原始分!$D:$N,6,0)</f>
        <v>59</v>
      </c>
      <c r="M334" s="174">
        <f t="shared" si="71"/>
        <v>203</v>
      </c>
      <c r="N334" s="174">
        <f>VLOOKUP(D334,原始分!$D:$N,7,0)</f>
        <v>0</v>
      </c>
      <c r="O334" s="174">
        <f t="shared" si="72"/>
        <v>207</v>
      </c>
      <c r="P334" s="174">
        <f>VLOOKUP(D334,原始分!$D:$N,8,0)</f>
        <v>39.5</v>
      </c>
      <c r="Q334" s="174">
        <f t="shared" si="73"/>
        <v>335</v>
      </c>
      <c r="R334" s="174">
        <f>VLOOKUP(D334,原始分!$D:$N,9,0)</f>
        <v>0</v>
      </c>
      <c r="S334" s="174">
        <f t="shared" si="74"/>
        <v>320</v>
      </c>
      <c r="T334" s="174">
        <f>VLOOKUP(D334,原始分!$D:$N,10,0)</f>
        <v>0</v>
      </c>
      <c r="U334" s="174">
        <f t="shared" si="75"/>
        <v>316</v>
      </c>
      <c r="V334" s="174">
        <f>VLOOKUP(D334,原始分!$D:$N,11,0)</f>
        <v>44</v>
      </c>
      <c r="W334" s="174">
        <f t="shared" si="76"/>
        <v>433</v>
      </c>
      <c r="X334" s="11">
        <f t="shared" si="77"/>
        <v>300</v>
      </c>
      <c r="Y334" s="9">
        <f t="shared" si="78"/>
        <v>373</v>
      </c>
      <c r="Z334" s="11">
        <f t="shared" si="79"/>
        <v>442.5</v>
      </c>
      <c r="AA334" s="9">
        <f t="shared" si="67"/>
        <v>326</v>
      </c>
    </row>
    <row r="335" ht="14.25" spans="1:27">
      <c r="A335" s="13">
        <v>333</v>
      </c>
      <c r="B335" s="15">
        <v>8</v>
      </c>
      <c r="C335" s="16">
        <v>5</v>
      </c>
      <c r="D335" s="17" t="s">
        <v>677</v>
      </c>
      <c r="E335" s="17" t="s">
        <v>678</v>
      </c>
      <c r="F335" s="174">
        <f>VLOOKUP(D335,原始分!$D:$N,3,0)</f>
        <v>84</v>
      </c>
      <c r="G335" s="174">
        <f t="shared" si="68"/>
        <v>846</v>
      </c>
      <c r="H335" s="174">
        <f>VLOOKUP(D335,原始分!$D:$N,4,0)</f>
        <v>79.5</v>
      </c>
      <c r="I335" s="174">
        <f t="shared" si="69"/>
        <v>755</v>
      </c>
      <c r="J335" s="174">
        <f>VLOOKUP(D335,原始分!$D:$N,5,0)</f>
        <v>86.5</v>
      </c>
      <c r="K335" s="174">
        <f t="shared" si="70"/>
        <v>644</v>
      </c>
      <c r="L335" s="174">
        <f>VLOOKUP(D335,原始分!$D:$N,6,0)</f>
        <v>54</v>
      </c>
      <c r="M335" s="174">
        <f t="shared" si="71"/>
        <v>289</v>
      </c>
      <c r="N335" s="174">
        <f>VLOOKUP(D335,原始分!$D:$N,7,0)</f>
        <v>0</v>
      </c>
      <c r="O335" s="174">
        <f t="shared" si="72"/>
        <v>207</v>
      </c>
      <c r="P335" s="174">
        <f>VLOOKUP(D335,原始分!$D:$N,8,0)</f>
        <v>38</v>
      </c>
      <c r="Q335" s="174">
        <f t="shared" si="73"/>
        <v>362</v>
      </c>
      <c r="R335" s="174">
        <f>VLOOKUP(D335,原始分!$D:$N,9,0)</f>
        <v>0</v>
      </c>
      <c r="S335" s="174">
        <f t="shared" si="74"/>
        <v>320</v>
      </c>
      <c r="T335" s="174">
        <f>VLOOKUP(D335,原始分!$D:$N,10,0)</f>
        <v>0</v>
      </c>
      <c r="U335" s="174">
        <f t="shared" si="75"/>
        <v>316</v>
      </c>
      <c r="V335" s="174">
        <f>VLOOKUP(D335,原始分!$D:$N,11,0)</f>
        <v>51</v>
      </c>
      <c r="W335" s="174">
        <f t="shared" si="76"/>
        <v>278</v>
      </c>
      <c r="X335" s="11">
        <f t="shared" si="77"/>
        <v>250</v>
      </c>
      <c r="Y335" s="9">
        <f t="shared" si="78"/>
        <v>803</v>
      </c>
      <c r="Z335" s="11">
        <f t="shared" si="79"/>
        <v>393</v>
      </c>
      <c r="AA335" s="9">
        <f t="shared" si="67"/>
        <v>542</v>
      </c>
    </row>
    <row r="336" ht="14.25" spans="1:27">
      <c r="A336" s="13">
        <v>334</v>
      </c>
      <c r="B336" s="15">
        <v>8</v>
      </c>
      <c r="C336" s="16">
        <v>6</v>
      </c>
      <c r="D336" s="17" t="s">
        <v>679</v>
      </c>
      <c r="E336" s="17" t="s">
        <v>680</v>
      </c>
      <c r="F336" s="174">
        <f>VLOOKUP(D336,原始分!$D:$N,3,0)</f>
        <v>96</v>
      </c>
      <c r="G336" s="174">
        <f t="shared" si="68"/>
        <v>579</v>
      </c>
      <c r="H336" s="174">
        <f>VLOOKUP(D336,原始分!$D:$N,4,0)</f>
        <v>91</v>
      </c>
      <c r="I336" s="174">
        <f t="shared" si="69"/>
        <v>592</v>
      </c>
      <c r="J336" s="174">
        <f>VLOOKUP(D336,原始分!$D:$N,5,0)</f>
        <v>84.75</v>
      </c>
      <c r="K336" s="174">
        <f t="shared" si="70"/>
        <v>673</v>
      </c>
      <c r="L336" s="174">
        <f>VLOOKUP(D336,原始分!$D:$N,6,0)</f>
        <v>38.5</v>
      </c>
      <c r="M336" s="174">
        <f t="shared" si="71"/>
        <v>528</v>
      </c>
      <c r="N336" s="174">
        <f>VLOOKUP(D336,原始分!$D:$N,7,0)</f>
        <v>0</v>
      </c>
      <c r="O336" s="174">
        <f t="shared" si="72"/>
        <v>207</v>
      </c>
      <c r="P336" s="174">
        <f>VLOOKUP(D336,原始分!$D:$N,8,0)</f>
        <v>19.5</v>
      </c>
      <c r="Q336" s="174">
        <f t="shared" si="73"/>
        <v>536</v>
      </c>
      <c r="R336" s="174">
        <f>VLOOKUP(D336,原始分!$D:$N,9,0)</f>
        <v>0</v>
      </c>
      <c r="S336" s="174">
        <f t="shared" si="74"/>
        <v>320</v>
      </c>
      <c r="T336" s="174">
        <f>VLOOKUP(D336,原始分!$D:$N,10,0)</f>
        <v>0</v>
      </c>
      <c r="U336" s="174">
        <f t="shared" si="75"/>
        <v>316</v>
      </c>
      <c r="V336" s="174">
        <f>VLOOKUP(D336,原始分!$D:$N,11,0)</f>
        <v>47.5</v>
      </c>
      <c r="W336" s="174">
        <f t="shared" si="76"/>
        <v>353</v>
      </c>
      <c r="X336" s="11">
        <f t="shared" si="77"/>
        <v>271.75</v>
      </c>
      <c r="Y336" s="9">
        <f t="shared" si="78"/>
        <v>682</v>
      </c>
      <c r="Z336" s="11">
        <f t="shared" si="79"/>
        <v>377.25</v>
      </c>
      <c r="AA336" s="9">
        <f t="shared" si="67"/>
        <v>589</v>
      </c>
    </row>
    <row r="337" ht="14.25" spans="1:27">
      <c r="A337" s="13">
        <v>335</v>
      </c>
      <c r="B337" s="15">
        <v>8</v>
      </c>
      <c r="C337" s="16">
        <v>7</v>
      </c>
      <c r="D337" s="17" t="s">
        <v>681</v>
      </c>
      <c r="E337" s="17" t="s">
        <v>682</v>
      </c>
      <c r="F337" s="174">
        <f>VLOOKUP(D337,原始分!$D:$N,3,0)</f>
        <v>98</v>
      </c>
      <c r="G337" s="174">
        <f t="shared" si="68"/>
        <v>500</v>
      </c>
      <c r="H337" s="174">
        <f>VLOOKUP(D337,原始分!$D:$N,4,0)</f>
        <v>112</v>
      </c>
      <c r="I337" s="174">
        <f t="shared" si="69"/>
        <v>180</v>
      </c>
      <c r="J337" s="174">
        <f>VLOOKUP(D337,原始分!$D:$N,5,0)</f>
        <v>71.75</v>
      </c>
      <c r="K337" s="174">
        <f t="shared" si="70"/>
        <v>817</v>
      </c>
      <c r="L337" s="174">
        <f>VLOOKUP(D337,原始分!$D:$N,6,0)</f>
        <v>76.5</v>
      </c>
      <c r="M337" s="174">
        <f t="shared" si="71"/>
        <v>22</v>
      </c>
      <c r="N337" s="174">
        <f>VLOOKUP(D337,原始分!$D:$N,7,0)</f>
        <v>0</v>
      </c>
      <c r="O337" s="174">
        <f t="shared" si="72"/>
        <v>207</v>
      </c>
      <c r="P337" s="174">
        <f>VLOOKUP(D337,原始分!$D:$N,8,0)</f>
        <v>40</v>
      </c>
      <c r="Q337" s="174">
        <f t="shared" si="73"/>
        <v>316</v>
      </c>
      <c r="R337" s="174">
        <f>VLOOKUP(D337,原始分!$D:$N,9,0)</f>
        <v>0</v>
      </c>
      <c r="S337" s="174">
        <f t="shared" si="74"/>
        <v>320</v>
      </c>
      <c r="T337" s="174">
        <f>VLOOKUP(D337,原始分!$D:$N,10,0)</f>
        <v>0</v>
      </c>
      <c r="U337" s="174">
        <f t="shared" si="75"/>
        <v>316</v>
      </c>
      <c r="V337" s="174">
        <f>VLOOKUP(D337,原始分!$D:$N,11,0)</f>
        <v>35</v>
      </c>
      <c r="W337" s="174">
        <f t="shared" si="76"/>
        <v>528</v>
      </c>
      <c r="X337" s="11">
        <f t="shared" si="77"/>
        <v>281.75</v>
      </c>
      <c r="Y337" s="9">
        <f t="shared" si="78"/>
        <v>585</v>
      </c>
      <c r="Z337" s="11">
        <f t="shared" si="79"/>
        <v>433.25</v>
      </c>
      <c r="AA337" s="9">
        <f t="shared" si="67"/>
        <v>365</v>
      </c>
    </row>
    <row r="338" ht="14.25" spans="1:27">
      <c r="A338" s="13">
        <v>336</v>
      </c>
      <c r="B338" s="15">
        <v>8</v>
      </c>
      <c r="C338" s="16">
        <v>8</v>
      </c>
      <c r="D338" s="17" t="s">
        <v>683</v>
      </c>
      <c r="E338" s="17" t="s">
        <v>684</v>
      </c>
      <c r="F338" s="174">
        <f>VLOOKUP(D338,原始分!$D:$N,3,0)</f>
        <v>107.5</v>
      </c>
      <c r="G338" s="174">
        <f t="shared" si="68"/>
        <v>93</v>
      </c>
      <c r="H338" s="174">
        <f>VLOOKUP(D338,原始分!$D:$N,4,0)</f>
        <v>110.5</v>
      </c>
      <c r="I338" s="174">
        <f t="shared" si="69"/>
        <v>211</v>
      </c>
      <c r="J338" s="174">
        <f>VLOOKUP(D338,原始分!$D:$N,5,0)</f>
        <v>75</v>
      </c>
      <c r="K338" s="174">
        <f t="shared" si="70"/>
        <v>791</v>
      </c>
      <c r="L338" s="174">
        <f>VLOOKUP(D338,原始分!$D:$N,6,0)</f>
        <v>69</v>
      </c>
      <c r="M338" s="174">
        <f t="shared" si="71"/>
        <v>70</v>
      </c>
      <c r="N338" s="174">
        <f>VLOOKUP(D338,原始分!$D:$N,7,0)</f>
        <v>0</v>
      </c>
      <c r="O338" s="174">
        <f t="shared" si="72"/>
        <v>207</v>
      </c>
      <c r="P338" s="174">
        <f>VLOOKUP(D338,原始分!$D:$N,8,0)</f>
        <v>39.5</v>
      </c>
      <c r="Q338" s="174">
        <f t="shared" si="73"/>
        <v>335</v>
      </c>
      <c r="R338" s="174">
        <f>VLOOKUP(D338,原始分!$D:$N,9,0)</f>
        <v>0</v>
      </c>
      <c r="S338" s="174">
        <f t="shared" si="74"/>
        <v>320</v>
      </c>
      <c r="T338" s="174">
        <f>VLOOKUP(D338,原始分!$D:$N,10,0)</f>
        <v>0</v>
      </c>
      <c r="U338" s="174">
        <f t="shared" si="75"/>
        <v>316</v>
      </c>
      <c r="V338" s="174">
        <f>VLOOKUP(D338,原始分!$D:$N,11,0)</f>
        <v>50.5</v>
      </c>
      <c r="W338" s="174">
        <f t="shared" si="76"/>
        <v>293</v>
      </c>
      <c r="X338" s="11">
        <f t="shared" si="77"/>
        <v>293</v>
      </c>
      <c r="Y338" s="9">
        <f t="shared" si="78"/>
        <v>456</v>
      </c>
      <c r="Z338" s="11">
        <f t="shared" si="79"/>
        <v>452</v>
      </c>
      <c r="AA338" s="9">
        <f t="shared" si="67"/>
        <v>266</v>
      </c>
    </row>
    <row r="339" ht="14.25" spans="1:27">
      <c r="A339" s="13">
        <v>337</v>
      </c>
      <c r="B339" s="15">
        <v>8</v>
      </c>
      <c r="C339" s="16">
        <v>9</v>
      </c>
      <c r="D339" s="17" t="s">
        <v>685</v>
      </c>
      <c r="E339" s="17" t="s">
        <v>686</v>
      </c>
      <c r="F339" s="174">
        <f>VLOOKUP(D339,原始分!$D:$N,3,0)</f>
        <v>100.5</v>
      </c>
      <c r="G339" s="174">
        <f t="shared" si="68"/>
        <v>370</v>
      </c>
      <c r="H339" s="174">
        <f>VLOOKUP(D339,原始分!$D:$N,4,0)</f>
        <v>108.5</v>
      </c>
      <c r="I339" s="174">
        <f t="shared" si="69"/>
        <v>251</v>
      </c>
      <c r="J339" s="174">
        <f>VLOOKUP(D339,原始分!$D:$N,5,0)</f>
        <v>87.25</v>
      </c>
      <c r="K339" s="174">
        <f t="shared" si="70"/>
        <v>628</v>
      </c>
      <c r="L339" s="174">
        <f>VLOOKUP(D339,原始分!$D:$N,6,0)</f>
        <v>43.5</v>
      </c>
      <c r="M339" s="174">
        <f t="shared" si="71"/>
        <v>452</v>
      </c>
      <c r="N339" s="174">
        <f>VLOOKUP(D339,原始分!$D:$N,7,0)</f>
        <v>0</v>
      </c>
      <c r="O339" s="174">
        <f t="shared" si="72"/>
        <v>207</v>
      </c>
      <c r="P339" s="174">
        <f>VLOOKUP(D339,原始分!$D:$N,8,0)</f>
        <v>44</v>
      </c>
      <c r="Q339" s="174">
        <f t="shared" si="73"/>
        <v>227</v>
      </c>
      <c r="R339" s="174">
        <f>VLOOKUP(D339,原始分!$D:$N,9,0)</f>
        <v>0</v>
      </c>
      <c r="S339" s="174">
        <f t="shared" si="74"/>
        <v>320</v>
      </c>
      <c r="T339" s="174">
        <f>VLOOKUP(D339,原始分!$D:$N,10,0)</f>
        <v>0</v>
      </c>
      <c r="U339" s="174">
        <f t="shared" si="75"/>
        <v>316</v>
      </c>
      <c r="V339" s="174">
        <f>VLOOKUP(D339,原始分!$D:$N,11,0)</f>
        <v>52</v>
      </c>
      <c r="W339" s="174">
        <f t="shared" si="76"/>
        <v>248</v>
      </c>
      <c r="X339" s="11">
        <f t="shared" si="77"/>
        <v>296.25</v>
      </c>
      <c r="Y339" s="9">
        <f t="shared" si="78"/>
        <v>415</v>
      </c>
      <c r="Z339" s="11">
        <f t="shared" si="79"/>
        <v>435.75</v>
      </c>
      <c r="AA339" s="9">
        <f t="shared" si="67"/>
        <v>356</v>
      </c>
    </row>
    <row r="340" ht="14.25" spans="1:27">
      <c r="A340" s="13">
        <v>338</v>
      </c>
      <c r="B340" s="15">
        <v>8</v>
      </c>
      <c r="C340" s="16">
        <v>10</v>
      </c>
      <c r="D340" s="17" t="s">
        <v>687</v>
      </c>
      <c r="E340" s="17" t="s">
        <v>688</v>
      </c>
      <c r="F340" s="174">
        <f>VLOOKUP(D340,原始分!$D:$N,3,0)</f>
        <v>110.5</v>
      </c>
      <c r="G340" s="174">
        <f t="shared" si="68"/>
        <v>43</v>
      </c>
      <c r="H340" s="174">
        <f>VLOOKUP(D340,原始分!$D:$N,4,0)</f>
        <v>106.5</v>
      </c>
      <c r="I340" s="174">
        <f t="shared" si="69"/>
        <v>286</v>
      </c>
      <c r="J340" s="174">
        <f>VLOOKUP(D340,原始分!$D:$N,5,0)</f>
        <v>76</v>
      </c>
      <c r="K340" s="174">
        <f t="shared" si="70"/>
        <v>781</v>
      </c>
      <c r="L340" s="174">
        <f>VLOOKUP(D340,原始分!$D:$N,6,0)</f>
        <v>56.5</v>
      </c>
      <c r="M340" s="174">
        <f t="shared" si="71"/>
        <v>244</v>
      </c>
      <c r="N340" s="174">
        <f>VLOOKUP(D340,原始分!$D:$N,7,0)</f>
        <v>0</v>
      </c>
      <c r="O340" s="174">
        <f t="shared" si="72"/>
        <v>207</v>
      </c>
      <c r="P340" s="174">
        <f>VLOOKUP(D340,原始分!$D:$N,8,0)</f>
        <v>61</v>
      </c>
      <c r="Q340" s="174">
        <f t="shared" si="73"/>
        <v>21</v>
      </c>
      <c r="R340" s="174">
        <f>VLOOKUP(D340,原始分!$D:$N,9,0)</f>
        <v>0</v>
      </c>
      <c r="S340" s="174">
        <f t="shared" si="74"/>
        <v>320</v>
      </c>
      <c r="T340" s="174">
        <f>VLOOKUP(D340,原始分!$D:$N,10,0)</f>
        <v>0</v>
      </c>
      <c r="U340" s="174">
        <f t="shared" si="75"/>
        <v>316</v>
      </c>
      <c r="V340" s="174">
        <f>VLOOKUP(D340,原始分!$D:$N,11,0)</f>
        <v>47</v>
      </c>
      <c r="W340" s="174">
        <f t="shared" si="76"/>
        <v>366</v>
      </c>
      <c r="X340" s="11">
        <f t="shared" si="77"/>
        <v>293</v>
      </c>
      <c r="Y340" s="9">
        <f t="shared" si="78"/>
        <v>456</v>
      </c>
      <c r="Z340" s="11">
        <f t="shared" si="79"/>
        <v>457.5</v>
      </c>
      <c r="AA340" s="9">
        <f t="shared" si="67"/>
        <v>239</v>
      </c>
    </row>
    <row r="341" ht="14.25" spans="1:27">
      <c r="A341" s="13">
        <v>339</v>
      </c>
      <c r="B341" s="15">
        <v>8</v>
      </c>
      <c r="C341" s="16">
        <v>11</v>
      </c>
      <c r="D341" s="17" t="s">
        <v>689</v>
      </c>
      <c r="E341" s="17" t="s">
        <v>690</v>
      </c>
      <c r="F341" s="174">
        <f>VLOOKUP(D341,原始分!$D:$N,3,0)</f>
        <v>90</v>
      </c>
      <c r="G341" s="174">
        <f t="shared" si="68"/>
        <v>778</v>
      </c>
      <c r="H341" s="174">
        <f>VLOOKUP(D341,原始分!$D:$N,4,0)</f>
        <v>104.5</v>
      </c>
      <c r="I341" s="174">
        <f t="shared" si="69"/>
        <v>327</v>
      </c>
      <c r="J341" s="174">
        <f>VLOOKUP(D341,原始分!$D:$N,5,0)</f>
        <v>98.5</v>
      </c>
      <c r="K341" s="174">
        <f t="shared" si="70"/>
        <v>412</v>
      </c>
      <c r="L341" s="174">
        <f>VLOOKUP(D341,原始分!$D:$N,6,0)</f>
        <v>63.5</v>
      </c>
      <c r="M341" s="174">
        <f t="shared" si="71"/>
        <v>138</v>
      </c>
      <c r="N341" s="174">
        <f>VLOOKUP(D341,原始分!$D:$N,7,0)</f>
        <v>0</v>
      </c>
      <c r="O341" s="174">
        <f t="shared" si="72"/>
        <v>207</v>
      </c>
      <c r="P341" s="174">
        <f>VLOOKUP(D341,原始分!$D:$N,8,0)</f>
        <v>50.5</v>
      </c>
      <c r="Q341" s="174">
        <f t="shared" si="73"/>
        <v>101</v>
      </c>
      <c r="R341" s="174">
        <f>VLOOKUP(D341,原始分!$D:$N,9,0)</f>
        <v>0</v>
      </c>
      <c r="S341" s="174">
        <f t="shared" si="74"/>
        <v>320</v>
      </c>
      <c r="T341" s="174">
        <f>VLOOKUP(D341,原始分!$D:$N,10,0)</f>
        <v>0</v>
      </c>
      <c r="U341" s="174">
        <f t="shared" si="75"/>
        <v>316</v>
      </c>
      <c r="V341" s="174">
        <f>VLOOKUP(D341,原始分!$D:$N,11,0)</f>
        <v>50</v>
      </c>
      <c r="W341" s="174">
        <f t="shared" si="76"/>
        <v>302</v>
      </c>
      <c r="X341" s="11">
        <f t="shared" si="77"/>
        <v>293</v>
      </c>
      <c r="Y341" s="9">
        <f t="shared" si="78"/>
        <v>456</v>
      </c>
      <c r="Z341" s="11">
        <f t="shared" si="79"/>
        <v>457</v>
      </c>
      <c r="AA341" s="9">
        <f t="shared" si="67"/>
        <v>241</v>
      </c>
    </row>
    <row r="342" ht="14.25" spans="1:27">
      <c r="A342" s="13">
        <v>340</v>
      </c>
      <c r="B342" s="15">
        <v>8</v>
      </c>
      <c r="C342" s="16">
        <v>12</v>
      </c>
      <c r="D342" s="17" t="s">
        <v>691</v>
      </c>
      <c r="E342" s="17" t="s">
        <v>692</v>
      </c>
      <c r="F342" s="174">
        <f>VLOOKUP(D342,原始分!$D:$N,3,0)</f>
        <v>87.5</v>
      </c>
      <c r="G342" s="174">
        <f t="shared" si="68"/>
        <v>815</v>
      </c>
      <c r="H342" s="174">
        <f>VLOOKUP(D342,原始分!$D:$N,4,0)</f>
        <v>88.5</v>
      </c>
      <c r="I342" s="174">
        <f t="shared" si="69"/>
        <v>641</v>
      </c>
      <c r="J342" s="174">
        <f>VLOOKUP(D342,原始分!$D:$N,5,0)</f>
        <v>83</v>
      </c>
      <c r="K342" s="174">
        <f t="shared" si="70"/>
        <v>700</v>
      </c>
      <c r="L342" s="174">
        <f>VLOOKUP(D342,原始分!$D:$N,6,0)</f>
        <v>67</v>
      </c>
      <c r="M342" s="174">
        <f t="shared" si="71"/>
        <v>82</v>
      </c>
      <c r="N342" s="174">
        <f>VLOOKUP(D342,原始分!$D:$N,7,0)</f>
        <v>0</v>
      </c>
      <c r="O342" s="174">
        <f t="shared" si="72"/>
        <v>207</v>
      </c>
      <c r="P342" s="174">
        <f>VLOOKUP(D342,原始分!$D:$N,8,0)</f>
        <v>40</v>
      </c>
      <c r="Q342" s="174">
        <f t="shared" si="73"/>
        <v>316</v>
      </c>
      <c r="R342" s="174">
        <f>VLOOKUP(D342,原始分!$D:$N,9,0)</f>
        <v>0</v>
      </c>
      <c r="S342" s="174">
        <f t="shared" si="74"/>
        <v>320</v>
      </c>
      <c r="T342" s="174">
        <f>VLOOKUP(D342,原始分!$D:$N,10,0)</f>
        <v>0</v>
      </c>
      <c r="U342" s="174">
        <f t="shared" si="75"/>
        <v>316</v>
      </c>
      <c r="V342" s="174">
        <f>VLOOKUP(D342,原始分!$D:$N,11,0)</f>
        <v>57</v>
      </c>
      <c r="W342" s="174">
        <f t="shared" si="76"/>
        <v>139</v>
      </c>
      <c r="X342" s="11">
        <f t="shared" si="77"/>
        <v>259</v>
      </c>
      <c r="Y342" s="9">
        <f t="shared" si="78"/>
        <v>776</v>
      </c>
      <c r="Z342" s="11">
        <f t="shared" si="79"/>
        <v>423</v>
      </c>
      <c r="AA342" s="9">
        <f t="shared" si="67"/>
        <v>415</v>
      </c>
    </row>
    <row r="343" ht="14.25" spans="1:27">
      <c r="A343" s="13">
        <v>341</v>
      </c>
      <c r="B343" s="15">
        <v>8</v>
      </c>
      <c r="C343" s="16">
        <v>13</v>
      </c>
      <c r="D343" s="17" t="s">
        <v>693</v>
      </c>
      <c r="E343" s="17" t="s">
        <v>694</v>
      </c>
      <c r="F343" s="174">
        <f>VLOOKUP(D343,原始分!$D:$N,3,0)</f>
        <v>101.5</v>
      </c>
      <c r="G343" s="174">
        <f t="shared" si="68"/>
        <v>319</v>
      </c>
      <c r="H343" s="174">
        <f>VLOOKUP(D343,原始分!$D:$N,4,0)</f>
        <v>94</v>
      </c>
      <c r="I343" s="174">
        <f t="shared" si="69"/>
        <v>538</v>
      </c>
      <c r="J343" s="174">
        <f>VLOOKUP(D343,原始分!$D:$N,5,0)</f>
        <v>85.5</v>
      </c>
      <c r="K343" s="174">
        <f t="shared" si="70"/>
        <v>656</v>
      </c>
      <c r="L343" s="174">
        <f>VLOOKUP(D343,原始分!$D:$N,6,0)</f>
        <v>55</v>
      </c>
      <c r="M343" s="174">
        <f t="shared" si="71"/>
        <v>269</v>
      </c>
      <c r="N343" s="174">
        <f>VLOOKUP(D343,原始分!$D:$N,7,0)</f>
        <v>0</v>
      </c>
      <c r="O343" s="174">
        <f t="shared" si="72"/>
        <v>207</v>
      </c>
      <c r="P343" s="174">
        <f>VLOOKUP(D343,原始分!$D:$N,8,0)</f>
        <v>43.5</v>
      </c>
      <c r="Q343" s="174">
        <f t="shared" si="73"/>
        <v>242</v>
      </c>
      <c r="R343" s="174">
        <f>VLOOKUP(D343,原始分!$D:$N,9,0)</f>
        <v>0</v>
      </c>
      <c r="S343" s="174">
        <f t="shared" si="74"/>
        <v>320</v>
      </c>
      <c r="T343" s="174">
        <f>VLOOKUP(D343,原始分!$D:$N,10,0)</f>
        <v>0</v>
      </c>
      <c r="U343" s="174">
        <f t="shared" si="75"/>
        <v>316</v>
      </c>
      <c r="V343" s="174">
        <f>VLOOKUP(D343,原始分!$D:$N,11,0)</f>
        <v>43.5</v>
      </c>
      <c r="W343" s="174">
        <f t="shared" si="76"/>
        <v>443</v>
      </c>
      <c r="X343" s="11">
        <f t="shared" si="77"/>
        <v>281</v>
      </c>
      <c r="Y343" s="9">
        <f t="shared" si="78"/>
        <v>588</v>
      </c>
      <c r="Z343" s="11">
        <f t="shared" si="79"/>
        <v>423</v>
      </c>
      <c r="AA343" s="9">
        <f t="shared" si="67"/>
        <v>415</v>
      </c>
    </row>
    <row r="344" ht="14.25" spans="1:27">
      <c r="A344" s="13">
        <v>342</v>
      </c>
      <c r="B344" s="15">
        <v>8</v>
      </c>
      <c r="C344" s="16">
        <v>14</v>
      </c>
      <c r="D344" s="17" t="s">
        <v>695</v>
      </c>
      <c r="E344" s="17" t="s">
        <v>696</v>
      </c>
      <c r="F344" s="174">
        <f>VLOOKUP(D344,原始分!$D:$N,3,0)</f>
        <v>103.5</v>
      </c>
      <c r="G344" s="174">
        <f t="shared" si="68"/>
        <v>230</v>
      </c>
      <c r="H344" s="174">
        <f>VLOOKUP(D344,原始分!$D:$N,4,0)</f>
        <v>97</v>
      </c>
      <c r="I344" s="174">
        <f t="shared" si="69"/>
        <v>478</v>
      </c>
      <c r="J344" s="174">
        <f>VLOOKUP(D344,原始分!$D:$N,5,0)</f>
        <v>102.5</v>
      </c>
      <c r="K344" s="174">
        <f t="shared" si="70"/>
        <v>317</v>
      </c>
      <c r="L344" s="174">
        <f>VLOOKUP(D344,原始分!$D:$N,6,0)</f>
        <v>55</v>
      </c>
      <c r="M344" s="174">
        <f t="shared" si="71"/>
        <v>269</v>
      </c>
      <c r="N344" s="174">
        <f>VLOOKUP(D344,原始分!$D:$N,7,0)</f>
        <v>0</v>
      </c>
      <c r="O344" s="174">
        <f t="shared" si="72"/>
        <v>207</v>
      </c>
      <c r="P344" s="174">
        <f>VLOOKUP(D344,原始分!$D:$N,8,0)</f>
        <v>34</v>
      </c>
      <c r="Q344" s="174">
        <f t="shared" si="73"/>
        <v>414</v>
      </c>
      <c r="R344" s="174">
        <f>VLOOKUP(D344,原始分!$D:$N,9,0)</f>
        <v>0</v>
      </c>
      <c r="S344" s="174">
        <f t="shared" si="74"/>
        <v>320</v>
      </c>
      <c r="T344" s="174">
        <f>VLOOKUP(D344,原始分!$D:$N,10,0)</f>
        <v>0</v>
      </c>
      <c r="U344" s="174">
        <f t="shared" si="75"/>
        <v>316</v>
      </c>
      <c r="V344" s="174">
        <f>VLOOKUP(D344,原始分!$D:$N,11,0)</f>
        <v>54</v>
      </c>
      <c r="W344" s="174">
        <f t="shared" si="76"/>
        <v>199</v>
      </c>
      <c r="X344" s="11">
        <f t="shared" si="77"/>
        <v>303</v>
      </c>
      <c r="Y344" s="9">
        <f t="shared" si="78"/>
        <v>335</v>
      </c>
      <c r="Z344" s="11">
        <f t="shared" si="79"/>
        <v>446</v>
      </c>
      <c r="AA344" s="9">
        <f t="shared" si="67"/>
        <v>299</v>
      </c>
    </row>
    <row r="345" ht="14.25" spans="1:27">
      <c r="A345" s="13">
        <v>343</v>
      </c>
      <c r="B345" s="15">
        <v>8</v>
      </c>
      <c r="C345" s="16">
        <v>15</v>
      </c>
      <c r="D345" s="17" t="s">
        <v>697</v>
      </c>
      <c r="E345" s="17" t="s">
        <v>698</v>
      </c>
      <c r="F345" s="174">
        <f>VLOOKUP(D345,原始分!$D:$N,3,0)</f>
        <v>98.5</v>
      </c>
      <c r="G345" s="174">
        <f t="shared" si="68"/>
        <v>469</v>
      </c>
      <c r="H345" s="174">
        <f>VLOOKUP(D345,原始分!$D:$N,4,0)</f>
        <v>104.5</v>
      </c>
      <c r="I345" s="174">
        <f t="shared" si="69"/>
        <v>327</v>
      </c>
      <c r="J345" s="174">
        <f>VLOOKUP(D345,原始分!$D:$N,5,0)</f>
        <v>91</v>
      </c>
      <c r="K345" s="174">
        <f t="shared" si="70"/>
        <v>572</v>
      </c>
      <c r="L345" s="174">
        <f>VLOOKUP(D345,原始分!$D:$N,6,0)</f>
        <v>56</v>
      </c>
      <c r="M345" s="174">
        <f t="shared" si="71"/>
        <v>252</v>
      </c>
      <c r="N345" s="174">
        <f>VLOOKUP(D345,原始分!$D:$N,7,0)</f>
        <v>0</v>
      </c>
      <c r="O345" s="174">
        <f t="shared" si="72"/>
        <v>207</v>
      </c>
      <c r="P345" s="174">
        <f>VLOOKUP(D345,原始分!$D:$N,8,0)</f>
        <v>32</v>
      </c>
      <c r="Q345" s="174">
        <f t="shared" si="73"/>
        <v>455</v>
      </c>
      <c r="R345" s="174">
        <f>VLOOKUP(D345,原始分!$D:$N,9,0)</f>
        <v>0</v>
      </c>
      <c r="S345" s="174">
        <f t="shared" si="74"/>
        <v>320</v>
      </c>
      <c r="T345" s="174">
        <f>VLOOKUP(D345,原始分!$D:$N,10,0)</f>
        <v>0</v>
      </c>
      <c r="U345" s="174">
        <f t="shared" si="75"/>
        <v>316</v>
      </c>
      <c r="V345" s="174">
        <f>VLOOKUP(D345,原始分!$D:$N,11,0)</f>
        <v>50.5</v>
      </c>
      <c r="W345" s="174">
        <f t="shared" si="76"/>
        <v>293</v>
      </c>
      <c r="X345" s="11">
        <f t="shared" si="77"/>
        <v>294</v>
      </c>
      <c r="Y345" s="9">
        <f t="shared" si="78"/>
        <v>446</v>
      </c>
      <c r="Z345" s="11">
        <f t="shared" si="79"/>
        <v>432.5</v>
      </c>
      <c r="AA345" s="9">
        <f t="shared" si="67"/>
        <v>369</v>
      </c>
    </row>
    <row r="346" ht="14.25" spans="1:27">
      <c r="A346" s="13">
        <v>344</v>
      </c>
      <c r="B346" s="15">
        <v>8</v>
      </c>
      <c r="C346" s="16">
        <v>16</v>
      </c>
      <c r="D346" s="17" t="s">
        <v>699</v>
      </c>
      <c r="E346" s="17" t="s">
        <v>700</v>
      </c>
      <c r="F346" s="174">
        <f>VLOOKUP(D346,原始分!$D:$N,3,0)</f>
        <v>105</v>
      </c>
      <c r="G346" s="174">
        <f t="shared" si="68"/>
        <v>171</v>
      </c>
      <c r="H346" s="174">
        <f>VLOOKUP(D346,原始分!$D:$N,4,0)</f>
        <v>112.5</v>
      </c>
      <c r="I346" s="174">
        <f t="shared" si="69"/>
        <v>170</v>
      </c>
      <c r="J346" s="174">
        <f>VLOOKUP(D346,原始分!$D:$N,5,0)</f>
        <v>93.5</v>
      </c>
      <c r="K346" s="174">
        <f t="shared" si="70"/>
        <v>515</v>
      </c>
      <c r="L346" s="174">
        <f>VLOOKUP(D346,原始分!$D:$N,6,0)</f>
        <v>59.5</v>
      </c>
      <c r="M346" s="174">
        <f t="shared" si="71"/>
        <v>195</v>
      </c>
      <c r="N346" s="174">
        <f>VLOOKUP(D346,原始分!$D:$N,7,0)</f>
        <v>0</v>
      </c>
      <c r="O346" s="174">
        <f t="shared" si="72"/>
        <v>207</v>
      </c>
      <c r="P346" s="174">
        <f>VLOOKUP(D346,原始分!$D:$N,8,0)</f>
        <v>49.5</v>
      </c>
      <c r="Q346" s="174">
        <f t="shared" si="73"/>
        <v>120</v>
      </c>
      <c r="R346" s="174">
        <f>VLOOKUP(D346,原始分!$D:$N,9,0)</f>
        <v>0</v>
      </c>
      <c r="S346" s="174">
        <f t="shared" si="74"/>
        <v>320</v>
      </c>
      <c r="T346" s="174">
        <f>VLOOKUP(D346,原始分!$D:$N,10,0)</f>
        <v>0</v>
      </c>
      <c r="U346" s="174">
        <f t="shared" si="75"/>
        <v>316</v>
      </c>
      <c r="V346" s="174">
        <f>VLOOKUP(D346,原始分!$D:$N,11,0)</f>
        <v>63</v>
      </c>
      <c r="W346" s="174">
        <f t="shared" si="76"/>
        <v>56</v>
      </c>
      <c r="X346" s="11">
        <f t="shared" si="77"/>
        <v>311</v>
      </c>
      <c r="Y346" s="9">
        <f t="shared" si="78"/>
        <v>249</v>
      </c>
      <c r="Z346" s="11">
        <f t="shared" si="79"/>
        <v>483</v>
      </c>
      <c r="AA346" s="9">
        <f t="shared" si="67"/>
        <v>120</v>
      </c>
    </row>
    <row r="347" ht="14.25" spans="1:27">
      <c r="A347" s="13">
        <v>345</v>
      </c>
      <c r="B347" s="15">
        <v>8</v>
      </c>
      <c r="C347" s="16">
        <v>17</v>
      </c>
      <c r="D347" s="17" t="s">
        <v>701</v>
      </c>
      <c r="E347" s="17" t="s">
        <v>702</v>
      </c>
      <c r="F347" s="174">
        <f>VLOOKUP(D347,原始分!$D:$N,3,0)</f>
        <v>100.25</v>
      </c>
      <c r="G347" s="174">
        <f t="shared" si="68"/>
        <v>398</v>
      </c>
      <c r="H347" s="174">
        <f>VLOOKUP(D347,原始分!$D:$N,4,0)</f>
        <v>109.5</v>
      </c>
      <c r="I347" s="174">
        <f t="shared" si="69"/>
        <v>232</v>
      </c>
      <c r="J347" s="174">
        <f>VLOOKUP(D347,原始分!$D:$N,5,0)</f>
        <v>116</v>
      </c>
      <c r="K347" s="174">
        <f t="shared" si="70"/>
        <v>89</v>
      </c>
      <c r="L347" s="174">
        <f>VLOOKUP(D347,原始分!$D:$N,6,0)</f>
        <v>49.5</v>
      </c>
      <c r="M347" s="174">
        <f t="shared" si="71"/>
        <v>341</v>
      </c>
      <c r="N347" s="174">
        <f>VLOOKUP(D347,原始分!$D:$N,7,0)</f>
        <v>0</v>
      </c>
      <c r="O347" s="174">
        <f t="shared" si="72"/>
        <v>207</v>
      </c>
      <c r="P347" s="174">
        <f>VLOOKUP(D347,原始分!$D:$N,8,0)</f>
        <v>35</v>
      </c>
      <c r="Q347" s="174">
        <f t="shared" si="73"/>
        <v>403</v>
      </c>
      <c r="R347" s="174">
        <f>VLOOKUP(D347,原始分!$D:$N,9,0)</f>
        <v>0</v>
      </c>
      <c r="S347" s="174">
        <f t="shared" si="74"/>
        <v>320</v>
      </c>
      <c r="T347" s="174">
        <f>VLOOKUP(D347,原始分!$D:$N,10,0)</f>
        <v>0</v>
      </c>
      <c r="U347" s="174">
        <f t="shared" si="75"/>
        <v>316</v>
      </c>
      <c r="V347" s="174">
        <f>VLOOKUP(D347,原始分!$D:$N,11,0)</f>
        <v>49.5</v>
      </c>
      <c r="W347" s="174">
        <f t="shared" si="76"/>
        <v>313</v>
      </c>
      <c r="X347" s="11">
        <f t="shared" si="77"/>
        <v>325.75</v>
      </c>
      <c r="Y347" s="9">
        <f t="shared" si="78"/>
        <v>113</v>
      </c>
      <c r="Z347" s="11">
        <f t="shared" si="79"/>
        <v>459.75</v>
      </c>
      <c r="AA347" s="9">
        <f t="shared" si="67"/>
        <v>226</v>
      </c>
    </row>
    <row r="348" ht="14.25" spans="1:27">
      <c r="A348" s="13">
        <v>346</v>
      </c>
      <c r="B348" s="15">
        <v>8</v>
      </c>
      <c r="C348" s="16">
        <v>18</v>
      </c>
      <c r="D348" s="17" t="s">
        <v>703</v>
      </c>
      <c r="E348" s="17" t="s">
        <v>704</v>
      </c>
      <c r="F348" s="174">
        <f>VLOOKUP(D348,原始分!$D:$N,3,0)</f>
        <v>97</v>
      </c>
      <c r="G348" s="174">
        <f t="shared" si="68"/>
        <v>551</v>
      </c>
      <c r="H348" s="174">
        <f>VLOOKUP(D348,原始分!$D:$N,4,0)</f>
        <v>96</v>
      </c>
      <c r="I348" s="174">
        <f t="shared" si="69"/>
        <v>492</v>
      </c>
      <c r="J348" s="174">
        <f>VLOOKUP(D348,原始分!$D:$N,5,0)</f>
        <v>75</v>
      </c>
      <c r="K348" s="174">
        <f t="shared" si="70"/>
        <v>791</v>
      </c>
      <c r="L348" s="174">
        <f>VLOOKUP(D348,原始分!$D:$N,6,0)</f>
        <v>40.5</v>
      </c>
      <c r="M348" s="174">
        <f t="shared" si="71"/>
        <v>497</v>
      </c>
      <c r="N348" s="174">
        <f>VLOOKUP(D348,原始分!$D:$N,7,0)</f>
        <v>0</v>
      </c>
      <c r="O348" s="174">
        <f t="shared" si="72"/>
        <v>207</v>
      </c>
      <c r="P348" s="174">
        <f>VLOOKUP(D348,原始分!$D:$N,8,0)</f>
        <v>28</v>
      </c>
      <c r="Q348" s="174">
        <f t="shared" si="73"/>
        <v>493</v>
      </c>
      <c r="R348" s="174">
        <f>VLOOKUP(D348,原始分!$D:$N,9,0)</f>
        <v>0</v>
      </c>
      <c r="S348" s="174">
        <f t="shared" si="74"/>
        <v>320</v>
      </c>
      <c r="T348" s="174">
        <f>VLOOKUP(D348,原始分!$D:$N,10,0)</f>
        <v>0</v>
      </c>
      <c r="U348" s="174">
        <f t="shared" si="75"/>
        <v>316</v>
      </c>
      <c r="V348" s="174">
        <f>VLOOKUP(D348,原始分!$D:$N,11,0)</f>
        <v>43.5</v>
      </c>
      <c r="W348" s="174">
        <f t="shared" si="76"/>
        <v>443</v>
      </c>
      <c r="X348" s="11">
        <f t="shared" si="77"/>
        <v>268</v>
      </c>
      <c r="Y348" s="9">
        <f t="shared" si="78"/>
        <v>718</v>
      </c>
      <c r="Z348" s="11">
        <f t="shared" si="79"/>
        <v>380</v>
      </c>
      <c r="AA348" s="9">
        <f t="shared" si="67"/>
        <v>577</v>
      </c>
    </row>
    <row r="349" ht="14.25" spans="1:27">
      <c r="A349" s="13">
        <v>347</v>
      </c>
      <c r="B349" s="15">
        <v>8</v>
      </c>
      <c r="C349" s="16">
        <v>19</v>
      </c>
      <c r="D349" s="17" t="s">
        <v>705</v>
      </c>
      <c r="E349" s="17" t="s">
        <v>706</v>
      </c>
      <c r="F349" s="174">
        <f>VLOOKUP(D349,原始分!$D:$N,3,0)</f>
        <v>104</v>
      </c>
      <c r="G349" s="174">
        <f t="shared" si="68"/>
        <v>209</v>
      </c>
      <c r="H349" s="174">
        <f>VLOOKUP(D349,原始分!$D:$N,4,0)</f>
        <v>113</v>
      </c>
      <c r="I349" s="174">
        <f t="shared" si="69"/>
        <v>160</v>
      </c>
      <c r="J349" s="174">
        <f>VLOOKUP(D349,原始分!$D:$N,5,0)</f>
        <v>100</v>
      </c>
      <c r="K349" s="174">
        <f t="shared" si="70"/>
        <v>368</v>
      </c>
      <c r="L349" s="174">
        <f>VLOOKUP(D349,原始分!$D:$N,6,0)</f>
        <v>63</v>
      </c>
      <c r="M349" s="174">
        <f t="shared" si="71"/>
        <v>147</v>
      </c>
      <c r="N349" s="174">
        <f>VLOOKUP(D349,原始分!$D:$N,7,0)</f>
        <v>0</v>
      </c>
      <c r="O349" s="174">
        <f t="shared" si="72"/>
        <v>207</v>
      </c>
      <c r="P349" s="174">
        <f>VLOOKUP(D349,原始分!$D:$N,8,0)</f>
        <v>46.5</v>
      </c>
      <c r="Q349" s="174">
        <f t="shared" si="73"/>
        <v>188</v>
      </c>
      <c r="R349" s="174">
        <f>VLOOKUP(D349,原始分!$D:$N,9,0)</f>
        <v>0</v>
      </c>
      <c r="S349" s="174">
        <f t="shared" si="74"/>
        <v>320</v>
      </c>
      <c r="T349" s="174">
        <f>VLOOKUP(D349,原始分!$D:$N,10,0)</f>
        <v>0</v>
      </c>
      <c r="U349" s="174">
        <f t="shared" si="75"/>
        <v>316</v>
      </c>
      <c r="V349" s="174">
        <f>VLOOKUP(D349,原始分!$D:$N,11,0)</f>
        <v>44.5</v>
      </c>
      <c r="W349" s="174">
        <f t="shared" si="76"/>
        <v>424</v>
      </c>
      <c r="X349" s="11">
        <f t="shared" si="77"/>
        <v>317</v>
      </c>
      <c r="Y349" s="9">
        <f t="shared" si="78"/>
        <v>189</v>
      </c>
      <c r="Z349" s="11">
        <f t="shared" si="79"/>
        <v>471</v>
      </c>
      <c r="AA349" s="9">
        <f t="shared" si="67"/>
        <v>170</v>
      </c>
    </row>
    <row r="350" ht="14.25" spans="1:27">
      <c r="A350" s="13">
        <v>348</v>
      </c>
      <c r="B350" s="15">
        <v>8</v>
      </c>
      <c r="C350" s="16">
        <v>20</v>
      </c>
      <c r="D350" s="17" t="s">
        <v>707</v>
      </c>
      <c r="E350" s="17" t="s">
        <v>708</v>
      </c>
      <c r="F350" s="174">
        <f>VLOOKUP(D350,原始分!$D:$N,3,0)</f>
        <v>98.5</v>
      </c>
      <c r="G350" s="174">
        <f t="shared" si="68"/>
        <v>469</v>
      </c>
      <c r="H350" s="174">
        <f>VLOOKUP(D350,原始分!$D:$N,4,0)</f>
        <v>104</v>
      </c>
      <c r="I350" s="174">
        <f t="shared" si="69"/>
        <v>341</v>
      </c>
      <c r="J350" s="174">
        <f>VLOOKUP(D350,原始分!$D:$N,5,0)</f>
        <v>77.5</v>
      </c>
      <c r="K350" s="174">
        <f t="shared" si="70"/>
        <v>769</v>
      </c>
      <c r="L350" s="174">
        <f>VLOOKUP(D350,原始分!$D:$N,6,0)</f>
        <v>36</v>
      </c>
      <c r="M350" s="174">
        <f t="shared" si="71"/>
        <v>561</v>
      </c>
      <c r="N350" s="174">
        <f>VLOOKUP(D350,原始分!$D:$N,7,0)</f>
        <v>0</v>
      </c>
      <c r="O350" s="174">
        <f t="shared" si="72"/>
        <v>207</v>
      </c>
      <c r="P350" s="174">
        <f>VLOOKUP(D350,原始分!$D:$N,8,0)</f>
        <v>41</v>
      </c>
      <c r="Q350" s="174">
        <f t="shared" si="73"/>
        <v>296</v>
      </c>
      <c r="R350" s="174">
        <f>VLOOKUP(D350,原始分!$D:$N,9,0)</f>
        <v>0</v>
      </c>
      <c r="S350" s="174">
        <f t="shared" si="74"/>
        <v>320</v>
      </c>
      <c r="T350" s="174">
        <f>VLOOKUP(D350,原始分!$D:$N,10,0)</f>
        <v>0</v>
      </c>
      <c r="U350" s="174">
        <f t="shared" si="75"/>
        <v>316</v>
      </c>
      <c r="V350" s="174">
        <f>VLOOKUP(D350,原始分!$D:$N,11,0)</f>
        <v>43.5</v>
      </c>
      <c r="W350" s="174">
        <f t="shared" si="76"/>
        <v>443</v>
      </c>
      <c r="X350" s="11">
        <f t="shared" si="77"/>
        <v>280</v>
      </c>
      <c r="Y350" s="9">
        <f t="shared" si="78"/>
        <v>598</v>
      </c>
      <c r="Z350" s="11">
        <f t="shared" si="79"/>
        <v>400.5</v>
      </c>
      <c r="AA350" s="9">
        <f t="shared" si="67"/>
        <v>520</v>
      </c>
    </row>
    <row r="351" ht="14.25" spans="1:27">
      <c r="A351" s="13">
        <v>349</v>
      </c>
      <c r="B351" s="15">
        <v>8</v>
      </c>
      <c r="C351" s="16">
        <v>21</v>
      </c>
      <c r="D351" s="17" t="s">
        <v>709</v>
      </c>
      <c r="E351" s="17" t="s">
        <v>710</v>
      </c>
      <c r="F351" s="174">
        <f>VLOOKUP(D351,原始分!$D:$N,3,0)</f>
        <v>64</v>
      </c>
      <c r="G351" s="174">
        <f t="shared" si="68"/>
        <v>869</v>
      </c>
      <c r="H351" s="174">
        <f>VLOOKUP(D351,原始分!$D:$N,4,0)</f>
        <v>12</v>
      </c>
      <c r="I351" s="174">
        <f t="shared" si="69"/>
        <v>869</v>
      </c>
      <c r="J351" s="174">
        <f>VLOOKUP(D351,原始分!$D:$N,5,0)</f>
        <v>36.25</v>
      </c>
      <c r="K351" s="174">
        <f t="shared" si="70"/>
        <v>868</v>
      </c>
      <c r="L351" s="174">
        <f>VLOOKUP(D351,原始分!$D:$N,6,0)</f>
        <v>17</v>
      </c>
      <c r="M351" s="174">
        <f t="shared" si="71"/>
        <v>659</v>
      </c>
      <c r="N351" s="174">
        <f>VLOOKUP(D351,原始分!$D:$N,7,0)</f>
        <v>0</v>
      </c>
      <c r="O351" s="174">
        <f t="shared" si="72"/>
        <v>207</v>
      </c>
      <c r="P351" s="174">
        <f>VLOOKUP(D351,原始分!$D:$N,8,0)</f>
        <v>11</v>
      </c>
      <c r="Q351" s="174">
        <f t="shared" si="73"/>
        <v>540</v>
      </c>
      <c r="R351" s="174">
        <f>VLOOKUP(D351,原始分!$D:$N,9,0)</f>
        <v>0</v>
      </c>
      <c r="S351" s="174">
        <f t="shared" si="74"/>
        <v>320</v>
      </c>
      <c r="T351" s="174">
        <f>VLOOKUP(D351,原始分!$D:$N,10,0)</f>
        <v>0</v>
      </c>
      <c r="U351" s="174">
        <f t="shared" si="75"/>
        <v>316</v>
      </c>
      <c r="V351" s="174">
        <f>VLOOKUP(D351,原始分!$D:$N,11,0)</f>
        <v>15</v>
      </c>
      <c r="W351" s="174">
        <f t="shared" si="76"/>
        <v>563</v>
      </c>
      <c r="X351" s="11">
        <f t="shared" si="77"/>
        <v>112.25</v>
      </c>
      <c r="Y351" s="9">
        <f t="shared" si="78"/>
        <v>869</v>
      </c>
      <c r="Z351" s="11">
        <f t="shared" si="79"/>
        <v>155.25</v>
      </c>
      <c r="AA351" s="9">
        <f t="shared" si="67"/>
        <v>663</v>
      </c>
    </row>
    <row r="352" ht="14.25" spans="1:27">
      <c r="A352" s="13">
        <v>350</v>
      </c>
      <c r="B352" s="15">
        <v>8</v>
      </c>
      <c r="C352" s="16">
        <v>22</v>
      </c>
      <c r="D352" s="17" t="s">
        <v>711</v>
      </c>
      <c r="E352" s="17" t="s">
        <v>712</v>
      </c>
      <c r="F352" s="174">
        <f>VLOOKUP(D352,原始分!$D:$N,3,0)</f>
        <v>105</v>
      </c>
      <c r="G352" s="174">
        <f t="shared" si="68"/>
        <v>171</v>
      </c>
      <c r="H352" s="174">
        <f>VLOOKUP(D352,原始分!$D:$N,4,0)</f>
        <v>88.5</v>
      </c>
      <c r="I352" s="174">
        <f t="shared" si="69"/>
        <v>641</v>
      </c>
      <c r="J352" s="174">
        <f>VLOOKUP(D352,原始分!$D:$N,5,0)</f>
        <v>101.5</v>
      </c>
      <c r="K352" s="174">
        <f t="shared" si="70"/>
        <v>334</v>
      </c>
      <c r="L352" s="174">
        <f>VLOOKUP(D352,原始分!$D:$N,6,0)</f>
        <v>33.5</v>
      </c>
      <c r="M352" s="174">
        <f t="shared" si="71"/>
        <v>592</v>
      </c>
      <c r="N352" s="174">
        <f>VLOOKUP(D352,原始分!$D:$N,7,0)</f>
        <v>0</v>
      </c>
      <c r="O352" s="174">
        <f t="shared" si="72"/>
        <v>207</v>
      </c>
      <c r="P352" s="174">
        <f>VLOOKUP(D352,原始分!$D:$N,8,0)</f>
        <v>33</v>
      </c>
      <c r="Q352" s="174">
        <f t="shared" si="73"/>
        <v>435</v>
      </c>
      <c r="R352" s="174">
        <f>VLOOKUP(D352,原始分!$D:$N,9,0)</f>
        <v>0</v>
      </c>
      <c r="S352" s="174">
        <f t="shared" si="74"/>
        <v>320</v>
      </c>
      <c r="T352" s="174">
        <f>VLOOKUP(D352,原始分!$D:$N,10,0)</f>
        <v>0</v>
      </c>
      <c r="U352" s="174">
        <f t="shared" si="75"/>
        <v>316</v>
      </c>
      <c r="V352" s="174">
        <f>VLOOKUP(D352,原始分!$D:$N,11,0)</f>
        <v>50.5</v>
      </c>
      <c r="W352" s="174">
        <f t="shared" si="76"/>
        <v>293</v>
      </c>
      <c r="X352" s="11">
        <f t="shared" si="77"/>
        <v>295</v>
      </c>
      <c r="Y352" s="9">
        <f t="shared" si="78"/>
        <v>427</v>
      </c>
      <c r="Z352" s="11">
        <f t="shared" si="79"/>
        <v>412</v>
      </c>
      <c r="AA352" s="9">
        <f t="shared" si="67"/>
        <v>462</v>
      </c>
    </row>
    <row r="353" ht="14.25" spans="1:27">
      <c r="A353" s="13">
        <v>351</v>
      </c>
      <c r="B353" s="15">
        <v>8</v>
      </c>
      <c r="C353" s="16">
        <v>23</v>
      </c>
      <c r="D353" s="17" t="s">
        <v>713</v>
      </c>
      <c r="E353" s="17" t="s">
        <v>714</v>
      </c>
      <c r="F353" s="174">
        <f>VLOOKUP(D353,原始分!$D:$N,3,0)</f>
        <v>107.5</v>
      </c>
      <c r="G353" s="174">
        <f t="shared" si="68"/>
        <v>93</v>
      </c>
      <c r="H353" s="174">
        <f>VLOOKUP(D353,原始分!$D:$N,4,0)</f>
        <v>94</v>
      </c>
      <c r="I353" s="174">
        <f t="shared" si="69"/>
        <v>538</v>
      </c>
      <c r="J353" s="174">
        <f>VLOOKUP(D353,原始分!$D:$N,5,0)</f>
        <v>106</v>
      </c>
      <c r="K353" s="174">
        <f t="shared" si="70"/>
        <v>245</v>
      </c>
      <c r="L353" s="174">
        <f>VLOOKUP(D353,原始分!$D:$N,6,0)</f>
        <v>41</v>
      </c>
      <c r="M353" s="174">
        <f t="shared" si="71"/>
        <v>490</v>
      </c>
      <c r="N353" s="174">
        <f>VLOOKUP(D353,原始分!$D:$N,7,0)</f>
        <v>0</v>
      </c>
      <c r="O353" s="174">
        <f t="shared" si="72"/>
        <v>207</v>
      </c>
      <c r="P353" s="174">
        <f>VLOOKUP(D353,原始分!$D:$N,8,0)</f>
        <v>33.5</v>
      </c>
      <c r="Q353" s="174">
        <f t="shared" si="73"/>
        <v>422</v>
      </c>
      <c r="R353" s="174">
        <f>VLOOKUP(D353,原始分!$D:$N,9,0)</f>
        <v>0</v>
      </c>
      <c r="S353" s="174">
        <f t="shared" si="74"/>
        <v>320</v>
      </c>
      <c r="T353" s="174">
        <f>VLOOKUP(D353,原始分!$D:$N,10,0)</f>
        <v>0</v>
      </c>
      <c r="U353" s="174">
        <f t="shared" si="75"/>
        <v>316</v>
      </c>
      <c r="V353" s="174">
        <f>VLOOKUP(D353,原始分!$D:$N,11,0)</f>
        <v>53</v>
      </c>
      <c r="W353" s="174">
        <f t="shared" si="76"/>
        <v>223</v>
      </c>
      <c r="X353" s="11">
        <f t="shared" si="77"/>
        <v>307.5</v>
      </c>
      <c r="Y353" s="9">
        <f t="shared" si="78"/>
        <v>292</v>
      </c>
      <c r="Z353" s="11">
        <f t="shared" si="79"/>
        <v>435</v>
      </c>
      <c r="AA353" s="9">
        <f t="shared" ref="AA353:AA416" si="80">RANK(Z353,$Z$3:$Z$665)</f>
        <v>363</v>
      </c>
    </row>
    <row r="354" ht="14.25" spans="1:27">
      <c r="A354" s="13">
        <v>352</v>
      </c>
      <c r="B354" s="15">
        <v>8</v>
      </c>
      <c r="C354" s="16">
        <v>25</v>
      </c>
      <c r="D354" s="17" t="s">
        <v>715</v>
      </c>
      <c r="E354" s="17" t="s">
        <v>716</v>
      </c>
      <c r="F354" s="174">
        <f>VLOOKUP(D354,原始分!$D:$N,3,0)</f>
        <v>100</v>
      </c>
      <c r="G354" s="174">
        <f t="shared" si="68"/>
        <v>400</v>
      </c>
      <c r="H354" s="174">
        <f>VLOOKUP(D354,原始分!$D:$N,4,0)</f>
        <v>107</v>
      </c>
      <c r="I354" s="174">
        <f t="shared" si="69"/>
        <v>279</v>
      </c>
      <c r="J354" s="174">
        <f>VLOOKUP(D354,原始分!$D:$N,5,0)</f>
        <v>102.5</v>
      </c>
      <c r="K354" s="174">
        <f t="shared" si="70"/>
        <v>317</v>
      </c>
      <c r="L354" s="174">
        <f>VLOOKUP(D354,原始分!$D:$N,6,0)</f>
        <v>47.5</v>
      </c>
      <c r="M354" s="174">
        <f t="shared" si="71"/>
        <v>382</v>
      </c>
      <c r="N354" s="174">
        <f>VLOOKUP(D354,原始分!$D:$N,7,0)</f>
        <v>0</v>
      </c>
      <c r="O354" s="174">
        <f t="shared" si="72"/>
        <v>207</v>
      </c>
      <c r="P354" s="174">
        <f>VLOOKUP(D354,原始分!$D:$N,8,0)</f>
        <v>29.5</v>
      </c>
      <c r="Q354" s="174">
        <f t="shared" si="73"/>
        <v>480</v>
      </c>
      <c r="R354" s="174">
        <f>VLOOKUP(D354,原始分!$D:$N,9,0)</f>
        <v>0</v>
      </c>
      <c r="S354" s="174">
        <f t="shared" si="74"/>
        <v>320</v>
      </c>
      <c r="T354" s="174">
        <f>VLOOKUP(D354,原始分!$D:$N,10,0)</f>
        <v>0</v>
      </c>
      <c r="U354" s="174">
        <f t="shared" si="75"/>
        <v>316</v>
      </c>
      <c r="V354" s="174">
        <f>VLOOKUP(D354,原始分!$D:$N,11,0)</f>
        <v>56.5</v>
      </c>
      <c r="W354" s="174">
        <f t="shared" si="76"/>
        <v>153</v>
      </c>
      <c r="X354" s="11">
        <f t="shared" si="77"/>
        <v>309.5</v>
      </c>
      <c r="Y354" s="9">
        <f t="shared" si="78"/>
        <v>269</v>
      </c>
      <c r="Z354" s="11">
        <f t="shared" si="79"/>
        <v>443</v>
      </c>
      <c r="AA354" s="9">
        <f t="shared" si="80"/>
        <v>321</v>
      </c>
    </row>
    <row r="355" ht="14.25" spans="1:27">
      <c r="A355" s="13">
        <v>353</v>
      </c>
      <c r="B355" s="15">
        <v>8</v>
      </c>
      <c r="C355" s="16">
        <v>26</v>
      </c>
      <c r="D355" s="17" t="s">
        <v>717</v>
      </c>
      <c r="E355" s="17" t="s">
        <v>718</v>
      </c>
      <c r="F355" s="174">
        <f>VLOOKUP(D355,原始分!$D:$N,3,0)</f>
        <v>91</v>
      </c>
      <c r="G355" s="174">
        <f t="shared" si="68"/>
        <v>749</v>
      </c>
      <c r="H355" s="174">
        <f>VLOOKUP(D355,原始分!$D:$N,4,0)</f>
        <v>107</v>
      </c>
      <c r="I355" s="174">
        <f t="shared" si="69"/>
        <v>279</v>
      </c>
      <c r="J355" s="174">
        <f>VLOOKUP(D355,原始分!$D:$N,5,0)</f>
        <v>82.75</v>
      </c>
      <c r="K355" s="174">
        <f t="shared" si="70"/>
        <v>706</v>
      </c>
      <c r="L355" s="174">
        <f>VLOOKUP(D355,原始分!$D:$N,6,0)</f>
        <v>59</v>
      </c>
      <c r="M355" s="174">
        <f t="shared" si="71"/>
        <v>203</v>
      </c>
      <c r="N355" s="174">
        <f>VLOOKUP(D355,原始分!$D:$N,7,0)</f>
        <v>0</v>
      </c>
      <c r="O355" s="174">
        <f t="shared" si="72"/>
        <v>207</v>
      </c>
      <c r="P355" s="174">
        <f>VLOOKUP(D355,原始分!$D:$N,8,0)</f>
        <v>49.5</v>
      </c>
      <c r="Q355" s="174">
        <f t="shared" si="73"/>
        <v>120</v>
      </c>
      <c r="R355" s="174">
        <f>VLOOKUP(D355,原始分!$D:$N,9,0)</f>
        <v>0</v>
      </c>
      <c r="S355" s="174">
        <f t="shared" si="74"/>
        <v>320</v>
      </c>
      <c r="T355" s="174">
        <f>VLOOKUP(D355,原始分!$D:$N,10,0)</f>
        <v>0</v>
      </c>
      <c r="U355" s="174">
        <f t="shared" si="75"/>
        <v>316</v>
      </c>
      <c r="V355" s="174">
        <f>VLOOKUP(D355,原始分!$D:$N,11,0)</f>
        <v>54.5</v>
      </c>
      <c r="W355" s="174">
        <f t="shared" si="76"/>
        <v>187</v>
      </c>
      <c r="X355" s="11">
        <f t="shared" si="77"/>
        <v>280.75</v>
      </c>
      <c r="Y355" s="9">
        <f t="shared" si="78"/>
        <v>591</v>
      </c>
      <c r="Z355" s="11">
        <f t="shared" si="79"/>
        <v>443.75</v>
      </c>
      <c r="AA355" s="9">
        <f t="shared" si="80"/>
        <v>319</v>
      </c>
    </row>
    <row r="356" ht="14.25" spans="1:27">
      <c r="A356" s="13">
        <v>354</v>
      </c>
      <c r="B356" s="15">
        <v>8</v>
      </c>
      <c r="C356" s="16">
        <v>27</v>
      </c>
      <c r="D356" s="17" t="s">
        <v>719</v>
      </c>
      <c r="E356" s="17" t="s">
        <v>720</v>
      </c>
      <c r="F356" s="174">
        <f>VLOOKUP(D356,原始分!$D:$N,3,0)</f>
        <v>98.75</v>
      </c>
      <c r="G356" s="174">
        <f t="shared" si="68"/>
        <v>467</v>
      </c>
      <c r="H356" s="174">
        <f>VLOOKUP(D356,原始分!$D:$N,4,0)</f>
        <v>104.5</v>
      </c>
      <c r="I356" s="174">
        <f t="shared" si="69"/>
        <v>327</v>
      </c>
      <c r="J356" s="174">
        <f>VLOOKUP(D356,原始分!$D:$N,5,0)</f>
        <v>100</v>
      </c>
      <c r="K356" s="174">
        <f t="shared" si="70"/>
        <v>368</v>
      </c>
      <c r="L356" s="174">
        <f>VLOOKUP(D356,原始分!$D:$N,6,0)</f>
        <v>64</v>
      </c>
      <c r="M356" s="174">
        <f t="shared" si="71"/>
        <v>130</v>
      </c>
      <c r="N356" s="174">
        <f>VLOOKUP(D356,原始分!$D:$N,7,0)</f>
        <v>0</v>
      </c>
      <c r="O356" s="174">
        <f t="shared" si="72"/>
        <v>207</v>
      </c>
      <c r="P356" s="174">
        <f>VLOOKUP(D356,原始分!$D:$N,8,0)</f>
        <v>40</v>
      </c>
      <c r="Q356" s="174">
        <f t="shared" si="73"/>
        <v>316</v>
      </c>
      <c r="R356" s="174">
        <f>VLOOKUP(D356,原始分!$D:$N,9,0)</f>
        <v>0</v>
      </c>
      <c r="S356" s="174">
        <f t="shared" si="74"/>
        <v>320</v>
      </c>
      <c r="T356" s="174">
        <f>VLOOKUP(D356,原始分!$D:$N,10,0)</f>
        <v>0</v>
      </c>
      <c r="U356" s="174">
        <f t="shared" si="75"/>
        <v>316</v>
      </c>
      <c r="V356" s="174">
        <f>VLOOKUP(D356,原始分!$D:$N,11,0)</f>
        <v>62</v>
      </c>
      <c r="W356" s="174">
        <f t="shared" si="76"/>
        <v>64</v>
      </c>
      <c r="X356" s="11">
        <f t="shared" si="77"/>
        <v>303.25</v>
      </c>
      <c r="Y356" s="9">
        <f t="shared" si="78"/>
        <v>333</v>
      </c>
      <c r="Z356" s="11">
        <f t="shared" si="79"/>
        <v>469.25</v>
      </c>
      <c r="AA356" s="9">
        <f t="shared" si="80"/>
        <v>180</v>
      </c>
    </row>
    <row r="357" ht="14.25" spans="1:27">
      <c r="A357" s="13">
        <v>355</v>
      </c>
      <c r="B357" s="15">
        <v>8</v>
      </c>
      <c r="C357" s="16">
        <v>28</v>
      </c>
      <c r="D357" s="17" t="s">
        <v>721</v>
      </c>
      <c r="E357" s="17" t="s">
        <v>722</v>
      </c>
      <c r="F357" s="174">
        <f>VLOOKUP(D357,原始分!$D:$N,3,0)</f>
        <v>106</v>
      </c>
      <c r="G357" s="174">
        <f t="shared" si="68"/>
        <v>145</v>
      </c>
      <c r="H357" s="174">
        <f>VLOOKUP(D357,原始分!$D:$N,4,0)</f>
        <v>87.5</v>
      </c>
      <c r="I357" s="174">
        <f t="shared" si="69"/>
        <v>665</v>
      </c>
      <c r="J357" s="174">
        <f>VLOOKUP(D357,原始分!$D:$N,5,0)</f>
        <v>107</v>
      </c>
      <c r="K357" s="174">
        <f t="shared" si="70"/>
        <v>228</v>
      </c>
      <c r="L357" s="174">
        <f>VLOOKUP(D357,原始分!$D:$N,6,0)</f>
        <v>69</v>
      </c>
      <c r="M357" s="174">
        <f t="shared" si="71"/>
        <v>70</v>
      </c>
      <c r="N357" s="174">
        <f>VLOOKUP(D357,原始分!$D:$N,7,0)</f>
        <v>0</v>
      </c>
      <c r="O357" s="174">
        <f t="shared" si="72"/>
        <v>207</v>
      </c>
      <c r="P357" s="174">
        <f>VLOOKUP(D357,原始分!$D:$N,8,0)</f>
        <v>44</v>
      </c>
      <c r="Q357" s="174">
        <f t="shared" si="73"/>
        <v>227</v>
      </c>
      <c r="R357" s="174">
        <f>VLOOKUP(D357,原始分!$D:$N,9,0)</f>
        <v>0</v>
      </c>
      <c r="S357" s="174">
        <f t="shared" si="74"/>
        <v>320</v>
      </c>
      <c r="T357" s="174">
        <f>VLOOKUP(D357,原始分!$D:$N,10,0)</f>
        <v>0</v>
      </c>
      <c r="U357" s="174">
        <f t="shared" si="75"/>
        <v>316</v>
      </c>
      <c r="V357" s="174">
        <f>VLOOKUP(D357,原始分!$D:$N,11,0)</f>
        <v>43.5</v>
      </c>
      <c r="W357" s="174">
        <f t="shared" si="76"/>
        <v>443</v>
      </c>
      <c r="X357" s="11">
        <f t="shared" si="77"/>
        <v>300.5</v>
      </c>
      <c r="Y357" s="9">
        <f t="shared" si="78"/>
        <v>369</v>
      </c>
      <c r="Z357" s="11">
        <f t="shared" si="79"/>
        <v>457</v>
      </c>
      <c r="AA357" s="9">
        <f t="shared" si="80"/>
        <v>241</v>
      </c>
    </row>
    <row r="358" ht="14.25" spans="1:27">
      <c r="A358" s="13">
        <v>356</v>
      </c>
      <c r="B358" s="15">
        <v>8</v>
      </c>
      <c r="C358" s="16">
        <v>29</v>
      </c>
      <c r="D358" s="17" t="s">
        <v>723</v>
      </c>
      <c r="E358" s="17" t="s">
        <v>724</v>
      </c>
      <c r="F358" s="174">
        <f>VLOOKUP(D358,原始分!$D:$N,3,0)</f>
        <v>101</v>
      </c>
      <c r="G358" s="174">
        <f t="shared" si="68"/>
        <v>338</v>
      </c>
      <c r="H358" s="174">
        <f>VLOOKUP(D358,原始分!$D:$N,4,0)</f>
        <v>107</v>
      </c>
      <c r="I358" s="174">
        <f t="shared" si="69"/>
        <v>279</v>
      </c>
      <c r="J358" s="174">
        <f>VLOOKUP(D358,原始分!$D:$N,5,0)</f>
        <v>85.5</v>
      </c>
      <c r="K358" s="174">
        <f t="shared" si="70"/>
        <v>656</v>
      </c>
      <c r="L358" s="174">
        <f>VLOOKUP(D358,原始分!$D:$N,6,0)</f>
        <v>52.5</v>
      </c>
      <c r="M358" s="174">
        <f t="shared" si="71"/>
        <v>307</v>
      </c>
      <c r="N358" s="174">
        <f>VLOOKUP(D358,原始分!$D:$N,7,0)</f>
        <v>0</v>
      </c>
      <c r="O358" s="174">
        <f t="shared" si="72"/>
        <v>207</v>
      </c>
      <c r="P358" s="174">
        <f>VLOOKUP(D358,原始分!$D:$N,8,0)</f>
        <v>31.5</v>
      </c>
      <c r="Q358" s="174">
        <f t="shared" si="73"/>
        <v>461</v>
      </c>
      <c r="R358" s="174">
        <f>VLOOKUP(D358,原始分!$D:$N,9,0)</f>
        <v>0</v>
      </c>
      <c r="S358" s="174">
        <f t="shared" si="74"/>
        <v>320</v>
      </c>
      <c r="T358" s="174">
        <f>VLOOKUP(D358,原始分!$D:$N,10,0)</f>
        <v>0</v>
      </c>
      <c r="U358" s="174">
        <f t="shared" si="75"/>
        <v>316</v>
      </c>
      <c r="V358" s="174">
        <f>VLOOKUP(D358,原始分!$D:$N,11,0)</f>
        <v>53.5</v>
      </c>
      <c r="W358" s="174">
        <f t="shared" si="76"/>
        <v>208</v>
      </c>
      <c r="X358" s="11">
        <f t="shared" si="77"/>
        <v>293.5</v>
      </c>
      <c r="Y358" s="9">
        <f t="shared" si="78"/>
        <v>450</v>
      </c>
      <c r="Z358" s="11">
        <f t="shared" si="79"/>
        <v>431</v>
      </c>
      <c r="AA358" s="9">
        <f t="shared" si="80"/>
        <v>376</v>
      </c>
    </row>
    <row r="359" ht="14.25" spans="1:27">
      <c r="A359" s="13">
        <v>357</v>
      </c>
      <c r="B359" s="15">
        <v>8</v>
      </c>
      <c r="C359" s="16">
        <v>31</v>
      </c>
      <c r="D359" s="17" t="s">
        <v>725</v>
      </c>
      <c r="E359" s="17" t="s">
        <v>726</v>
      </c>
      <c r="F359" s="174">
        <f>VLOOKUP(D359,原始分!$D:$N,3,0)</f>
        <v>99</v>
      </c>
      <c r="G359" s="174">
        <f t="shared" si="68"/>
        <v>442</v>
      </c>
      <c r="H359" s="174">
        <f>VLOOKUP(D359,原始分!$D:$N,4,0)</f>
        <v>114.5</v>
      </c>
      <c r="I359" s="174">
        <f t="shared" si="69"/>
        <v>136</v>
      </c>
      <c r="J359" s="174">
        <f>VLOOKUP(D359,原始分!$D:$N,5,0)</f>
        <v>97.25</v>
      </c>
      <c r="K359" s="174">
        <f t="shared" si="70"/>
        <v>441</v>
      </c>
      <c r="L359" s="174">
        <f>VLOOKUP(D359,原始分!$D:$N,6,0)</f>
        <v>49</v>
      </c>
      <c r="M359" s="174">
        <f t="shared" si="71"/>
        <v>354</v>
      </c>
      <c r="N359" s="174">
        <f>VLOOKUP(D359,原始分!$D:$N,7,0)</f>
        <v>0</v>
      </c>
      <c r="O359" s="174">
        <f t="shared" si="72"/>
        <v>207</v>
      </c>
      <c r="P359" s="174">
        <f>VLOOKUP(D359,原始分!$D:$N,8,0)</f>
        <v>43</v>
      </c>
      <c r="Q359" s="174">
        <f t="shared" si="73"/>
        <v>248</v>
      </c>
      <c r="R359" s="174">
        <f>VLOOKUP(D359,原始分!$D:$N,9,0)</f>
        <v>0</v>
      </c>
      <c r="S359" s="174">
        <f t="shared" si="74"/>
        <v>320</v>
      </c>
      <c r="T359" s="174">
        <f>VLOOKUP(D359,原始分!$D:$N,10,0)</f>
        <v>0</v>
      </c>
      <c r="U359" s="174">
        <f t="shared" si="75"/>
        <v>316</v>
      </c>
      <c r="V359" s="174">
        <f>VLOOKUP(D359,原始分!$D:$N,11,0)</f>
        <v>50</v>
      </c>
      <c r="W359" s="174">
        <f t="shared" si="76"/>
        <v>302</v>
      </c>
      <c r="X359" s="11">
        <f t="shared" si="77"/>
        <v>310.75</v>
      </c>
      <c r="Y359" s="9">
        <f t="shared" si="78"/>
        <v>252</v>
      </c>
      <c r="Z359" s="11">
        <f t="shared" si="79"/>
        <v>452.75</v>
      </c>
      <c r="AA359" s="9">
        <f t="shared" si="80"/>
        <v>259</v>
      </c>
    </row>
    <row r="360" ht="14.25" spans="1:27">
      <c r="A360" s="13">
        <v>358</v>
      </c>
      <c r="B360" s="15">
        <v>8</v>
      </c>
      <c r="C360" s="16">
        <v>32</v>
      </c>
      <c r="D360" s="17" t="s">
        <v>727</v>
      </c>
      <c r="E360" s="17" t="s">
        <v>526</v>
      </c>
      <c r="F360" s="174">
        <f>VLOOKUP(D360,原始分!$D:$N,3,0)</f>
        <v>92.5</v>
      </c>
      <c r="G360" s="174">
        <f t="shared" si="68"/>
        <v>713</v>
      </c>
      <c r="H360" s="174">
        <f>VLOOKUP(D360,原始分!$D:$N,4,0)</f>
        <v>93.5</v>
      </c>
      <c r="I360" s="174">
        <f t="shared" si="69"/>
        <v>549</v>
      </c>
      <c r="J360" s="174">
        <f>VLOOKUP(D360,原始分!$D:$N,5,0)</f>
        <v>77.5</v>
      </c>
      <c r="K360" s="174">
        <f t="shared" si="70"/>
        <v>769</v>
      </c>
      <c r="L360" s="174">
        <f>VLOOKUP(D360,原始分!$D:$N,6,0)</f>
        <v>58.5</v>
      </c>
      <c r="M360" s="174">
        <f t="shared" si="71"/>
        <v>209</v>
      </c>
      <c r="N360" s="174">
        <f>VLOOKUP(D360,原始分!$D:$N,7,0)</f>
        <v>0</v>
      </c>
      <c r="O360" s="174">
        <f t="shared" si="72"/>
        <v>207</v>
      </c>
      <c r="P360" s="174">
        <f>VLOOKUP(D360,原始分!$D:$N,8,0)</f>
        <v>40</v>
      </c>
      <c r="Q360" s="174">
        <f t="shared" si="73"/>
        <v>316</v>
      </c>
      <c r="R360" s="174">
        <f>VLOOKUP(D360,原始分!$D:$N,9,0)</f>
        <v>0</v>
      </c>
      <c r="S360" s="174">
        <f t="shared" si="74"/>
        <v>320</v>
      </c>
      <c r="T360" s="174">
        <f>VLOOKUP(D360,原始分!$D:$N,10,0)</f>
        <v>0</v>
      </c>
      <c r="U360" s="174">
        <f t="shared" si="75"/>
        <v>316</v>
      </c>
      <c r="V360" s="174">
        <f>VLOOKUP(D360,原始分!$D:$N,11,0)</f>
        <v>52.5</v>
      </c>
      <c r="W360" s="174">
        <f t="shared" si="76"/>
        <v>235</v>
      </c>
      <c r="X360" s="11">
        <f t="shared" si="77"/>
        <v>263.5</v>
      </c>
      <c r="Y360" s="9">
        <f t="shared" si="78"/>
        <v>750</v>
      </c>
      <c r="Z360" s="11">
        <f t="shared" si="79"/>
        <v>414.5</v>
      </c>
      <c r="AA360" s="9">
        <f t="shared" si="80"/>
        <v>449</v>
      </c>
    </row>
    <row r="361" ht="14.25" spans="1:27">
      <c r="A361" s="13">
        <v>359</v>
      </c>
      <c r="B361" s="15">
        <v>8</v>
      </c>
      <c r="C361" s="16">
        <v>33</v>
      </c>
      <c r="D361" s="17" t="s">
        <v>728</v>
      </c>
      <c r="E361" s="17" t="s">
        <v>729</v>
      </c>
      <c r="F361" s="174">
        <f>VLOOKUP(D361,原始分!$D:$N,3,0)</f>
        <v>107.5</v>
      </c>
      <c r="G361" s="174">
        <f t="shared" si="68"/>
        <v>93</v>
      </c>
      <c r="H361" s="174">
        <f>VLOOKUP(D361,原始分!$D:$N,4,0)</f>
        <v>125</v>
      </c>
      <c r="I361" s="174">
        <f t="shared" si="69"/>
        <v>33</v>
      </c>
      <c r="J361" s="174">
        <f>VLOOKUP(D361,原始分!$D:$N,5,0)</f>
        <v>90.5</v>
      </c>
      <c r="K361" s="174">
        <f t="shared" si="70"/>
        <v>579</v>
      </c>
      <c r="L361" s="174">
        <f>VLOOKUP(D361,原始分!$D:$N,6,0)</f>
        <v>64</v>
      </c>
      <c r="M361" s="174">
        <f t="shared" si="71"/>
        <v>130</v>
      </c>
      <c r="N361" s="174">
        <f>VLOOKUP(D361,原始分!$D:$N,7,0)</f>
        <v>0</v>
      </c>
      <c r="O361" s="174">
        <f t="shared" si="72"/>
        <v>207</v>
      </c>
      <c r="P361" s="174">
        <f>VLOOKUP(D361,原始分!$D:$N,8,0)</f>
        <v>37.5</v>
      </c>
      <c r="Q361" s="174">
        <f t="shared" si="73"/>
        <v>369</v>
      </c>
      <c r="R361" s="174">
        <f>VLOOKUP(D361,原始分!$D:$N,9,0)</f>
        <v>0</v>
      </c>
      <c r="S361" s="174">
        <f t="shared" si="74"/>
        <v>320</v>
      </c>
      <c r="T361" s="174">
        <f>VLOOKUP(D361,原始分!$D:$N,10,0)</f>
        <v>0</v>
      </c>
      <c r="U361" s="174">
        <f t="shared" si="75"/>
        <v>316</v>
      </c>
      <c r="V361" s="174">
        <f>VLOOKUP(D361,原始分!$D:$N,11,0)</f>
        <v>47.5</v>
      </c>
      <c r="W361" s="174">
        <f t="shared" si="76"/>
        <v>353</v>
      </c>
      <c r="X361" s="11">
        <f t="shared" si="77"/>
        <v>323</v>
      </c>
      <c r="Y361" s="9">
        <f t="shared" si="78"/>
        <v>138</v>
      </c>
      <c r="Z361" s="11">
        <f t="shared" si="79"/>
        <v>472</v>
      </c>
      <c r="AA361" s="9">
        <f t="shared" si="80"/>
        <v>168</v>
      </c>
    </row>
    <row r="362" ht="14.25" spans="1:27">
      <c r="A362" s="13">
        <v>360</v>
      </c>
      <c r="B362" s="15">
        <v>8</v>
      </c>
      <c r="C362" s="16">
        <v>34</v>
      </c>
      <c r="D362" s="17" t="s">
        <v>730</v>
      </c>
      <c r="E362" s="17" t="s">
        <v>731</v>
      </c>
      <c r="F362" s="174">
        <f>VLOOKUP(D362,原始分!$D:$N,3,0)</f>
        <v>73.25</v>
      </c>
      <c r="G362" s="174">
        <f t="shared" si="68"/>
        <v>867</v>
      </c>
      <c r="H362" s="174">
        <f>VLOOKUP(D362,原始分!$D:$N,4,0)</f>
        <v>88.5</v>
      </c>
      <c r="I362" s="174">
        <f t="shared" si="69"/>
        <v>641</v>
      </c>
      <c r="J362" s="174">
        <f>VLOOKUP(D362,原始分!$D:$N,5,0)</f>
        <v>81.5</v>
      </c>
      <c r="K362" s="174">
        <f t="shared" si="70"/>
        <v>726</v>
      </c>
      <c r="L362" s="174">
        <f>VLOOKUP(D362,原始分!$D:$N,6,0)</f>
        <v>48</v>
      </c>
      <c r="M362" s="174">
        <f t="shared" si="71"/>
        <v>375</v>
      </c>
      <c r="N362" s="174">
        <f>VLOOKUP(D362,原始分!$D:$N,7,0)</f>
        <v>0</v>
      </c>
      <c r="O362" s="174">
        <f t="shared" si="72"/>
        <v>207</v>
      </c>
      <c r="P362" s="174">
        <f>VLOOKUP(D362,原始分!$D:$N,8,0)</f>
        <v>32.5</v>
      </c>
      <c r="Q362" s="174">
        <f t="shared" si="73"/>
        <v>447</v>
      </c>
      <c r="R362" s="174">
        <f>VLOOKUP(D362,原始分!$D:$N,9,0)</f>
        <v>0</v>
      </c>
      <c r="S362" s="174">
        <f t="shared" si="74"/>
        <v>320</v>
      </c>
      <c r="T362" s="174">
        <f>VLOOKUP(D362,原始分!$D:$N,10,0)</f>
        <v>0</v>
      </c>
      <c r="U362" s="174">
        <f t="shared" si="75"/>
        <v>316</v>
      </c>
      <c r="V362" s="174">
        <f>VLOOKUP(D362,原始分!$D:$N,11,0)</f>
        <v>49.5</v>
      </c>
      <c r="W362" s="174">
        <f t="shared" si="76"/>
        <v>313</v>
      </c>
      <c r="X362" s="11">
        <f t="shared" si="77"/>
        <v>243.25</v>
      </c>
      <c r="Y362" s="9">
        <f t="shared" si="78"/>
        <v>823</v>
      </c>
      <c r="Z362" s="11">
        <f t="shared" si="79"/>
        <v>373.25</v>
      </c>
      <c r="AA362" s="9">
        <f t="shared" si="80"/>
        <v>599</v>
      </c>
    </row>
    <row r="363" ht="14.25" spans="1:27">
      <c r="A363" s="13">
        <v>361</v>
      </c>
      <c r="B363" s="15">
        <v>8</v>
      </c>
      <c r="C363" s="16">
        <v>35</v>
      </c>
      <c r="D363" s="17" t="s">
        <v>732</v>
      </c>
      <c r="E363" s="17" t="s">
        <v>733</v>
      </c>
      <c r="F363" s="174">
        <f>VLOOKUP(D363,原始分!$D:$N,3,0)</f>
        <v>108</v>
      </c>
      <c r="G363" s="174">
        <f t="shared" si="68"/>
        <v>77</v>
      </c>
      <c r="H363" s="174">
        <f>VLOOKUP(D363,原始分!$D:$N,4,0)</f>
        <v>95</v>
      </c>
      <c r="I363" s="174">
        <f t="shared" si="69"/>
        <v>510</v>
      </c>
      <c r="J363" s="174">
        <f>VLOOKUP(D363,原始分!$D:$N,5,0)</f>
        <v>92</v>
      </c>
      <c r="K363" s="174">
        <f t="shared" si="70"/>
        <v>550</v>
      </c>
      <c r="L363" s="174">
        <f>VLOOKUP(D363,原始分!$D:$N,6,0)</f>
        <v>42</v>
      </c>
      <c r="M363" s="174">
        <f t="shared" si="71"/>
        <v>476</v>
      </c>
      <c r="N363" s="174">
        <f>VLOOKUP(D363,原始分!$D:$N,7,0)</f>
        <v>0</v>
      </c>
      <c r="O363" s="174">
        <f t="shared" si="72"/>
        <v>207</v>
      </c>
      <c r="P363" s="174">
        <f>VLOOKUP(D363,原始分!$D:$N,8,0)</f>
        <v>48</v>
      </c>
      <c r="Q363" s="174">
        <f t="shared" si="73"/>
        <v>146</v>
      </c>
      <c r="R363" s="174">
        <f>VLOOKUP(D363,原始分!$D:$N,9,0)</f>
        <v>0</v>
      </c>
      <c r="S363" s="174">
        <f t="shared" si="74"/>
        <v>320</v>
      </c>
      <c r="T363" s="174">
        <f>VLOOKUP(D363,原始分!$D:$N,10,0)</f>
        <v>0</v>
      </c>
      <c r="U363" s="174">
        <f t="shared" si="75"/>
        <v>316</v>
      </c>
      <c r="V363" s="174">
        <f>VLOOKUP(D363,原始分!$D:$N,11,0)</f>
        <v>50.5</v>
      </c>
      <c r="W363" s="174">
        <f t="shared" si="76"/>
        <v>293</v>
      </c>
      <c r="X363" s="11">
        <f t="shared" si="77"/>
        <v>295</v>
      </c>
      <c r="Y363" s="9">
        <f t="shared" si="78"/>
        <v>427</v>
      </c>
      <c r="Z363" s="11">
        <f t="shared" si="79"/>
        <v>435.5</v>
      </c>
      <c r="AA363" s="9">
        <f t="shared" si="80"/>
        <v>358</v>
      </c>
    </row>
    <row r="364" ht="14.25" spans="1:27">
      <c r="A364" s="13">
        <v>362</v>
      </c>
      <c r="B364" s="15">
        <v>8</v>
      </c>
      <c r="C364" s="16">
        <v>36</v>
      </c>
      <c r="D364" s="17" t="s">
        <v>734</v>
      </c>
      <c r="E364" s="17" t="s">
        <v>735</v>
      </c>
      <c r="F364" s="174">
        <f>VLOOKUP(D364,原始分!$D:$N,3,0)</f>
        <v>93.5</v>
      </c>
      <c r="G364" s="174">
        <f t="shared" si="68"/>
        <v>676</v>
      </c>
      <c r="H364" s="174">
        <f>VLOOKUP(D364,原始分!$D:$N,4,0)</f>
        <v>98</v>
      </c>
      <c r="I364" s="174">
        <f t="shared" si="69"/>
        <v>454</v>
      </c>
      <c r="J364" s="174">
        <f>VLOOKUP(D364,原始分!$D:$N,5,0)</f>
        <v>97.25</v>
      </c>
      <c r="K364" s="174">
        <f t="shared" si="70"/>
        <v>441</v>
      </c>
      <c r="L364" s="174">
        <f>VLOOKUP(D364,原始分!$D:$N,6,0)</f>
        <v>56</v>
      </c>
      <c r="M364" s="174">
        <f t="shared" si="71"/>
        <v>252</v>
      </c>
      <c r="N364" s="174">
        <f>VLOOKUP(D364,原始分!$D:$N,7,0)</f>
        <v>0</v>
      </c>
      <c r="O364" s="174">
        <f t="shared" si="72"/>
        <v>207</v>
      </c>
      <c r="P364" s="174">
        <f>VLOOKUP(D364,原始分!$D:$N,8,0)</f>
        <v>36.5</v>
      </c>
      <c r="Q364" s="174">
        <f t="shared" si="73"/>
        <v>380</v>
      </c>
      <c r="R364" s="174">
        <f>VLOOKUP(D364,原始分!$D:$N,9,0)</f>
        <v>0</v>
      </c>
      <c r="S364" s="174">
        <f t="shared" si="74"/>
        <v>320</v>
      </c>
      <c r="T364" s="174">
        <f>VLOOKUP(D364,原始分!$D:$N,10,0)</f>
        <v>0</v>
      </c>
      <c r="U364" s="174">
        <f t="shared" si="75"/>
        <v>316</v>
      </c>
      <c r="V364" s="174">
        <f>VLOOKUP(D364,原始分!$D:$N,11,0)</f>
        <v>42</v>
      </c>
      <c r="W364" s="174">
        <f t="shared" si="76"/>
        <v>472</v>
      </c>
      <c r="X364" s="11">
        <f t="shared" si="77"/>
        <v>288.75</v>
      </c>
      <c r="Y364" s="9">
        <f t="shared" si="78"/>
        <v>509</v>
      </c>
      <c r="Z364" s="11">
        <f t="shared" si="79"/>
        <v>423.25</v>
      </c>
      <c r="AA364" s="9">
        <f t="shared" si="80"/>
        <v>412</v>
      </c>
    </row>
    <row r="365" ht="14.25" spans="1:27">
      <c r="A365" s="13">
        <v>363</v>
      </c>
      <c r="B365" s="15">
        <v>8</v>
      </c>
      <c r="C365" s="16">
        <v>37</v>
      </c>
      <c r="D365" s="17" t="s">
        <v>736</v>
      </c>
      <c r="E365" s="17" t="s">
        <v>737</v>
      </c>
      <c r="F365" s="174">
        <f>VLOOKUP(D365,原始分!$D:$N,3,0)</f>
        <v>104</v>
      </c>
      <c r="G365" s="174">
        <f t="shared" si="68"/>
        <v>209</v>
      </c>
      <c r="H365" s="174">
        <f>VLOOKUP(D365,原始分!$D:$N,4,0)</f>
        <v>70</v>
      </c>
      <c r="I365" s="174">
        <f t="shared" si="69"/>
        <v>812</v>
      </c>
      <c r="J365" s="174">
        <f>VLOOKUP(D365,原始分!$D:$N,5,0)</f>
        <v>81.5</v>
      </c>
      <c r="K365" s="174">
        <f t="shared" si="70"/>
        <v>726</v>
      </c>
      <c r="L365" s="174">
        <f>VLOOKUP(D365,原始分!$D:$N,6,0)</f>
        <v>36.5</v>
      </c>
      <c r="M365" s="174">
        <f t="shared" si="71"/>
        <v>554</v>
      </c>
      <c r="N365" s="174">
        <f>VLOOKUP(D365,原始分!$D:$N,7,0)</f>
        <v>0</v>
      </c>
      <c r="O365" s="174">
        <f t="shared" si="72"/>
        <v>207</v>
      </c>
      <c r="P365" s="174">
        <f>VLOOKUP(D365,原始分!$D:$N,8,0)</f>
        <v>48</v>
      </c>
      <c r="Q365" s="174">
        <f t="shared" si="73"/>
        <v>146</v>
      </c>
      <c r="R365" s="174">
        <f>VLOOKUP(D365,原始分!$D:$N,9,0)</f>
        <v>0</v>
      </c>
      <c r="S365" s="174">
        <f t="shared" si="74"/>
        <v>320</v>
      </c>
      <c r="T365" s="174">
        <f>VLOOKUP(D365,原始分!$D:$N,10,0)</f>
        <v>0</v>
      </c>
      <c r="U365" s="174">
        <f t="shared" si="75"/>
        <v>316</v>
      </c>
      <c r="V365" s="174">
        <f>VLOOKUP(D365,原始分!$D:$N,11,0)</f>
        <v>35.5</v>
      </c>
      <c r="W365" s="174">
        <f t="shared" si="76"/>
        <v>522</v>
      </c>
      <c r="X365" s="11">
        <f t="shared" si="77"/>
        <v>255.5</v>
      </c>
      <c r="Y365" s="9">
        <f t="shared" si="78"/>
        <v>786</v>
      </c>
      <c r="Z365" s="11">
        <f t="shared" si="79"/>
        <v>375.5</v>
      </c>
      <c r="AA365" s="9">
        <f t="shared" si="80"/>
        <v>594</v>
      </c>
    </row>
    <row r="366" ht="14.25" spans="1:27">
      <c r="A366" s="13">
        <v>364</v>
      </c>
      <c r="B366" s="15">
        <v>8</v>
      </c>
      <c r="C366" s="16">
        <v>38</v>
      </c>
      <c r="D366" s="17" t="s">
        <v>738</v>
      </c>
      <c r="E366" s="17" t="s">
        <v>739</v>
      </c>
      <c r="F366" s="174">
        <f>VLOOKUP(D366,原始分!$D:$N,3,0)</f>
        <v>88</v>
      </c>
      <c r="G366" s="174">
        <f t="shared" si="68"/>
        <v>809</v>
      </c>
      <c r="H366" s="174">
        <f>VLOOKUP(D366,原始分!$D:$N,4,0)</f>
        <v>93</v>
      </c>
      <c r="I366" s="174">
        <f t="shared" si="69"/>
        <v>561</v>
      </c>
      <c r="J366" s="174">
        <f>VLOOKUP(D366,原始分!$D:$N,5,0)</f>
        <v>79</v>
      </c>
      <c r="K366" s="174">
        <f t="shared" si="70"/>
        <v>757</v>
      </c>
      <c r="L366" s="174">
        <f>VLOOKUP(D366,原始分!$D:$N,6,0)</f>
        <v>44</v>
      </c>
      <c r="M366" s="174">
        <f t="shared" si="71"/>
        <v>441</v>
      </c>
      <c r="N366" s="174">
        <f>VLOOKUP(D366,原始分!$D:$N,7,0)</f>
        <v>0</v>
      </c>
      <c r="O366" s="174">
        <f t="shared" si="72"/>
        <v>207</v>
      </c>
      <c r="P366" s="174">
        <f>VLOOKUP(D366,原始分!$D:$N,8,0)</f>
        <v>47.5</v>
      </c>
      <c r="Q366" s="174">
        <f t="shared" si="73"/>
        <v>157</v>
      </c>
      <c r="R366" s="174">
        <f>VLOOKUP(D366,原始分!$D:$N,9,0)</f>
        <v>0</v>
      </c>
      <c r="S366" s="174">
        <f t="shared" si="74"/>
        <v>320</v>
      </c>
      <c r="T366" s="174">
        <f>VLOOKUP(D366,原始分!$D:$N,10,0)</f>
        <v>0</v>
      </c>
      <c r="U366" s="174">
        <f t="shared" si="75"/>
        <v>316</v>
      </c>
      <c r="V366" s="174">
        <f>VLOOKUP(D366,原始分!$D:$N,11,0)</f>
        <v>53.5</v>
      </c>
      <c r="W366" s="174">
        <f t="shared" si="76"/>
        <v>208</v>
      </c>
      <c r="X366" s="11">
        <f t="shared" si="77"/>
        <v>260</v>
      </c>
      <c r="Y366" s="9">
        <f t="shared" si="78"/>
        <v>773</v>
      </c>
      <c r="Z366" s="11">
        <f t="shared" si="79"/>
        <v>405</v>
      </c>
      <c r="AA366" s="9">
        <f t="shared" si="80"/>
        <v>499</v>
      </c>
    </row>
    <row r="367" ht="14.25" spans="1:27">
      <c r="A367" s="13">
        <v>365</v>
      </c>
      <c r="B367" s="15">
        <v>8</v>
      </c>
      <c r="C367" s="16">
        <v>39</v>
      </c>
      <c r="D367" s="17" t="s">
        <v>740</v>
      </c>
      <c r="E367" s="17" t="s">
        <v>741</v>
      </c>
      <c r="F367" s="174">
        <f>VLOOKUP(D367,原始分!$D:$N,3,0)</f>
        <v>103</v>
      </c>
      <c r="G367" s="174">
        <f t="shared" si="68"/>
        <v>260</v>
      </c>
      <c r="H367" s="174">
        <f>VLOOKUP(D367,原始分!$D:$N,4,0)</f>
        <v>100</v>
      </c>
      <c r="I367" s="174">
        <f t="shared" si="69"/>
        <v>416</v>
      </c>
      <c r="J367" s="174">
        <f>VLOOKUP(D367,原始分!$D:$N,5,0)</f>
        <v>111</v>
      </c>
      <c r="K367" s="174">
        <f t="shared" si="70"/>
        <v>159</v>
      </c>
      <c r="L367" s="174">
        <f>VLOOKUP(D367,原始分!$D:$N,6,0)</f>
        <v>61.5</v>
      </c>
      <c r="M367" s="174">
        <f t="shared" si="71"/>
        <v>164</v>
      </c>
      <c r="N367" s="174">
        <f>VLOOKUP(D367,原始分!$D:$N,7,0)</f>
        <v>0</v>
      </c>
      <c r="O367" s="174">
        <f t="shared" si="72"/>
        <v>207</v>
      </c>
      <c r="P367" s="174">
        <f>VLOOKUP(D367,原始分!$D:$N,8,0)</f>
        <v>43.5</v>
      </c>
      <c r="Q367" s="174">
        <f t="shared" si="73"/>
        <v>242</v>
      </c>
      <c r="R367" s="174">
        <f>VLOOKUP(D367,原始分!$D:$N,9,0)</f>
        <v>0</v>
      </c>
      <c r="S367" s="174">
        <f t="shared" si="74"/>
        <v>320</v>
      </c>
      <c r="T367" s="174">
        <f>VLOOKUP(D367,原始分!$D:$N,10,0)</f>
        <v>0</v>
      </c>
      <c r="U367" s="174">
        <f t="shared" si="75"/>
        <v>316</v>
      </c>
      <c r="V367" s="174">
        <f>VLOOKUP(D367,原始分!$D:$N,11,0)</f>
        <v>62.5</v>
      </c>
      <c r="W367" s="174">
        <f t="shared" si="76"/>
        <v>61</v>
      </c>
      <c r="X367" s="11">
        <f t="shared" si="77"/>
        <v>314</v>
      </c>
      <c r="Y367" s="9">
        <f t="shared" si="78"/>
        <v>216</v>
      </c>
      <c r="Z367" s="11">
        <f t="shared" si="79"/>
        <v>481.5</v>
      </c>
      <c r="AA367" s="9">
        <f t="shared" si="80"/>
        <v>126</v>
      </c>
    </row>
    <row r="368" ht="14.25" spans="1:27">
      <c r="A368" s="13">
        <v>366</v>
      </c>
      <c r="B368" s="15">
        <v>8</v>
      </c>
      <c r="C368" s="16">
        <v>40</v>
      </c>
      <c r="D368" s="17" t="s">
        <v>742</v>
      </c>
      <c r="E368" s="17" t="s">
        <v>743</v>
      </c>
      <c r="F368" s="174">
        <f>VLOOKUP(D368,原始分!$D:$N,3,0)</f>
        <v>104.25</v>
      </c>
      <c r="G368" s="174">
        <f t="shared" si="68"/>
        <v>205</v>
      </c>
      <c r="H368" s="174">
        <f>VLOOKUP(D368,原始分!$D:$N,4,0)</f>
        <v>121</v>
      </c>
      <c r="I368" s="174">
        <f t="shared" si="69"/>
        <v>57</v>
      </c>
      <c r="J368" s="174">
        <f>VLOOKUP(D368,原始分!$D:$N,5,0)</f>
        <v>95.75</v>
      </c>
      <c r="K368" s="174">
        <f t="shared" si="70"/>
        <v>472</v>
      </c>
      <c r="L368" s="174">
        <f>VLOOKUP(D368,原始分!$D:$N,6,0)</f>
        <v>61.5</v>
      </c>
      <c r="M368" s="174">
        <f t="shared" si="71"/>
        <v>164</v>
      </c>
      <c r="N368" s="174">
        <f>VLOOKUP(D368,原始分!$D:$N,7,0)</f>
        <v>0</v>
      </c>
      <c r="O368" s="174">
        <f t="shared" si="72"/>
        <v>207</v>
      </c>
      <c r="P368" s="174">
        <f>VLOOKUP(D368,原始分!$D:$N,8,0)</f>
        <v>51.5</v>
      </c>
      <c r="Q368" s="174">
        <f t="shared" si="73"/>
        <v>90</v>
      </c>
      <c r="R368" s="174">
        <f>VLOOKUP(D368,原始分!$D:$N,9,0)</f>
        <v>0</v>
      </c>
      <c r="S368" s="174">
        <f t="shared" si="74"/>
        <v>320</v>
      </c>
      <c r="T368" s="174">
        <f>VLOOKUP(D368,原始分!$D:$N,10,0)</f>
        <v>0</v>
      </c>
      <c r="U368" s="174">
        <f t="shared" si="75"/>
        <v>316</v>
      </c>
      <c r="V368" s="174">
        <f>VLOOKUP(D368,原始分!$D:$N,11,0)</f>
        <v>39.5</v>
      </c>
      <c r="W368" s="174">
        <f t="shared" si="76"/>
        <v>499</v>
      </c>
      <c r="X368" s="11">
        <f t="shared" si="77"/>
        <v>321</v>
      </c>
      <c r="Y368" s="9">
        <f t="shared" si="78"/>
        <v>148</v>
      </c>
      <c r="Z368" s="11">
        <f t="shared" si="79"/>
        <v>473.5</v>
      </c>
      <c r="AA368" s="9">
        <f t="shared" si="80"/>
        <v>164</v>
      </c>
    </row>
    <row r="369" ht="14.25" spans="1:27">
      <c r="A369" s="13">
        <v>367</v>
      </c>
      <c r="B369" s="15">
        <v>8</v>
      </c>
      <c r="C369" s="16">
        <v>41</v>
      </c>
      <c r="D369" s="17" t="s">
        <v>744</v>
      </c>
      <c r="E369" s="17" t="s">
        <v>745</v>
      </c>
      <c r="F369" s="174">
        <f>VLOOKUP(D369,原始分!$D:$N,3,0)</f>
        <v>93</v>
      </c>
      <c r="G369" s="174">
        <f t="shared" si="68"/>
        <v>693</v>
      </c>
      <c r="H369" s="174">
        <f>VLOOKUP(D369,原始分!$D:$N,4,0)</f>
        <v>77.5</v>
      </c>
      <c r="I369" s="174">
        <f t="shared" si="69"/>
        <v>773</v>
      </c>
      <c r="J369" s="174">
        <f>VLOOKUP(D369,原始分!$D:$N,5,0)</f>
        <v>88.5</v>
      </c>
      <c r="K369" s="174">
        <f t="shared" si="70"/>
        <v>604</v>
      </c>
      <c r="L369" s="174">
        <f>VLOOKUP(D369,原始分!$D:$N,6,0)</f>
        <v>44</v>
      </c>
      <c r="M369" s="174">
        <f t="shared" si="71"/>
        <v>441</v>
      </c>
      <c r="N369" s="174">
        <f>VLOOKUP(D369,原始分!$D:$N,7,0)</f>
        <v>0</v>
      </c>
      <c r="O369" s="174">
        <f t="shared" si="72"/>
        <v>207</v>
      </c>
      <c r="P369" s="174">
        <f>VLOOKUP(D369,原始分!$D:$N,8,0)</f>
        <v>27</v>
      </c>
      <c r="Q369" s="174">
        <f t="shared" si="73"/>
        <v>498</v>
      </c>
      <c r="R369" s="174">
        <f>VLOOKUP(D369,原始分!$D:$N,9,0)</f>
        <v>0</v>
      </c>
      <c r="S369" s="174">
        <f t="shared" si="74"/>
        <v>320</v>
      </c>
      <c r="T369" s="174">
        <f>VLOOKUP(D369,原始分!$D:$N,10,0)</f>
        <v>0</v>
      </c>
      <c r="U369" s="174">
        <f t="shared" si="75"/>
        <v>316</v>
      </c>
      <c r="V369" s="174">
        <f>VLOOKUP(D369,原始分!$D:$N,11,0)</f>
        <v>36</v>
      </c>
      <c r="W369" s="174">
        <f t="shared" si="76"/>
        <v>521</v>
      </c>
      <c r="X369" s="11">
        <f t="shared" si="77"/>
        <v>259</v>
      </c>
      <c r="Y369" s="9">
        <f t="shared" si="78"/>
        <v>776</v>
      </c>
      <c r="Z369" s="11">
        <f t="shared" si="79"/>
        <v>366</v>
      </c>
      <c r="AA369" s="9">
        <f t="shared" si="80"/>
        <v>621</v>
      </c>
    </row>
    <row r="370" ht="14.25" spans="1:27">
      <c r="A370" s="13">
        <v>368</v>
      </c>
      <c r="B370" s="15">
        <v>8</v>
      </c>
      <c r="C370" s="16">
        <v>42</v>
      </c>
      <c r="D370" s="17" t="s">
        <v>746</v>
      </c>
      <c r="E370" s="17" t="s">
        <v>747</v>
      </c>
      <c r="F370" s="174">
        <f>VLOOKUP(D370,原始分!$D:$N,3,0)</f>
        <v>100.5</v>
      </c>
      <c r="G370" s="174">
        <f t="shared" si="68"/>
        <v>370</v>
      </c>
      <c r="H370" s="174">
        <f>VLOOKUP(D370,原始分!$D:$N,4,0)</f>
        <v>111.5</v>
      </c>
      <c r="I370" s="174">
        <f t="shared" si="69"/>
        <v>191</v>
      </c>
      <c r="J370" s="174">
        <f>VLOOKUP(D370,原始分!$D:$N,5,0)</f>
        <v>72</v>
      </c>
      <c r="K370" s="174">
        <f t="shared" si="70"/>
        <v>812</v>
      </c>
      <c r="L370" s="174">
        <f>VLOOKUP(D370,原始分!$D:$N,6,0)</f>
        <v>67</v>
      </c>
      <c r="M370" s="174">
        <f t="shared" si="71"/>
        <v>82</v>
      </c>
      <c r="N370" s="174">
        <f>VLOOKUP(D370,原始分!$D:$N,7,0)</f>
        <v>0</v>
      </c>
      <c r="O370" s="174">
        <f t="shared" si="72"/>
        <v>207</v>
      </c>
      <c r="P370" s="174">
        <f>VLOOKUP(D370,原始分!$D:$N,8,0)</f>
        <v>53</v>
      </c>
      <c r="Q370" s="174">
        <f t="shared" si="73"/>
        <v>69</v>
      </c>
      <c r="R370" s="174">
        <f>VLOOKUP(D370,原始分!$D:$N,9,0)</f>
        <v>0</v>
      </c>
      <c r="S370" s="174">
        <f t="shared" si="74"/>
        <v>320</v>
      </c>
      <c r="T370" s="174">
        <f>VLOOKUP(D370,原始分!$D:$N,10,0)</f>
        <v>0</v>
      </c>
      <c r="U370" s="174">
        <f t="shared" si="75"/>
        <v>316</v>
      </c>
      <c r="V370" s="174">
        <f>VLOOKUP(D370,原始分!$D:$N,11,0)</f>
        <v>61</v>
      </c>
      <c r="W370" s="174">
        <f t="shared" si="76"/>
        <v>77</v>
      </c>
      <c r="X370" s="11">
        <f t="shared" si="77"/>
        <v>284</v>
      </c>
      <c r="Y370" s="9">
        <f t="shared" si="78"/>
        <v>551</v>
      </c>
      <c r="Z370" s="11">
        <f t="shared" si="79"/>
        <v>465</v>
      </c>
      <c r="AA370" s="9">
        <f t="shared" si="80"/>
        <v>195</v>
      </c>
    </row>
    <row r="371" ht="14.25" spans="1:27">
      <c r="A371" s="13">
        <v>369</v>
      </c>
      <c r="B371" s="15">
        <v>8</v>
      </c>
      <c r="C371" s="16">
        <v>43</v>
      </c>
      <c r="D371" s="17" t="s">
        <v>748</v>
      </c>
      <c r="E371" s="17" t="s">
        <v>749</v>
      </c>
      <c r="F371" s="174">
        <f>VLOOKUP(D371,原始分!$D:$N,3,0)</f>
        <v>90.5</v>
      </c>
      <c r="G371" s="174">
        <f t="shared" si="68"/>
        <v>765</v>
      </c>
      <c r="H371" s="174">
        <f>VLOOKUP(D371,原始分!$D:$N,4,0)</f>
        <v>82.5</v>
      </c>
      <c r="I371" s="174">
        <f t="shared" si="69"/>
        <v>733</v>
      </c>
      <c r="J371" s="174">
        <f>VLOOKUP(D371,原始分!$D:$N,5,0)</f>
        <v>94.5</v>
      </c>
      <c r="K371" s="174">
        <f t="shared" si="70"/>
        <v>497</v>
      </c>
      <c r="L371" s="174">
        <f>VLOOKUP(D371,原始分!$D:$N,6,0)</f>
        <v>51</v>
      </c>
      <c r="M371" s="174">
        <f t="shared" si="71"/>
        <v>320</v>
      </c>
      <c r="N371" s="174">
        <f>VLOOKUP(D371,原始分!$D:$N,7,0)</f>
        <v>0</v>
      </c>
      <c r="O371" s="174">
        <f t="shared" si="72"/>
        <v>207</v>
      </c>
      <c r="P371" s="174">
        <f>VLOOKUP(D371,原始分!$D:$N,8,0)</f>
        <v>30</v>
      </c>
      <c r="Q371" s="174">
        <f t="shared" si="73"/>
        <v>474</v>
      </c>
      <c r="R371" s="174">
        <f>VLOOKUP(D371,原始分!$D:$N,9,0)</f>
        <v>0</v>
      </c>
      <c r="S371" s="174">
        <f t="shared" si="74"/>
        <v>320</v>
      </c>
      <c r="T371" s="174">
        <f>VLOOKUP(D371,原始分!$D:$N,10,0)</f>
        <v>0</v>
      </c>
      <c r="U371" s="174">
        <f t="shared" si="75"/>
        <v>316</v>
      </c>
      <c r="V371" s="174">
        <f>VLOOKUP(D371,原始分!$D:$N,11,0)</f>
        <v>29.5</v>
      </c>
      <c r="W371" s="174">
        <f t="shared" si="76"/>
        <v>555</v>
      </c>
      <c r="X371" s="11">
        <f t="shared" si="77"/>
        <v>267.5</v>
      </c>
      <c r="Y371" s="9">
        <f t="shared" si="78"/>
        <v>721</v>
      </c>
      <c r="Z371" s="11">
        <f t="shared" si="79"/>
        <v>378</v>
      </c>
      <c r="AA371" s="9">
        <f t="shared" si="80"/>
        <v>586</v>
      </c>
    </row>
    <row r="372" ht="14.25" spans="1:27">
      <c r="A372" s="13">
        <v>370</v>
      </c>
      <c r="B372" s="15">
        <v>8</v>
      </c>
      <c r="C372" s="16">
        <v>44</v>
      </c>
      <c r="D372" s="17" t="s">
        <v>750</v>
      </c>
      <c r="E372" s="17" t="s">
        <v>751</v>
      </c>
      <c r="F372" s="174">
        <f>VLOOKUP(D372,原始分!$D:$N,3,0)</f>
        <v>106.25</v>
      </c>
      <c r="G372" s="174">
        <f t="shared" si="68"/>
        <v>141</v>
      </c>
      <c r="H372" s="174">
        <f>VLOOKUP(D372,原始分!$D:$N,4,0)</f>
        <v>58</v>
      </c>
      <c r="I372" s="174">
        <f t="shared" si="69"/>
        <v>848</v>
      </c>
      <c r="J372" s="174">
        <f>VLOOKUP(D372,原始分!$D:$N,5,0)</f>
        <v>49.25</v>
      </c>
      <c r="K372" s="174">
        <f t="shared" si="70"/>
        <v>863</v>
      </c>
      <c r="L372" s="174">
        <f>VLOOKUP(D372,原始分!$D:$N,6,0)</f>
        <v>39</v>
      </c>
      <c r="M372" s="174">
        <f t="shared" si="71"/>
        <v>520</v>
      </c>
      <c r="N372" s="174">
        <f>VLOOKUP(D372,原始分!$D:$N,7,0)</f>
        <v>0</v>
      </c>
      <c r="O372" s="174">
        <f t="shared" si="72"/>
        <v>207</v>
      </c>
      <c r="P372" s="174">
        <f>VLOOKUP(D372,原始分!$D:$N,8,0)</f>
        <v>29</v>
      </c>
      <c r="Q372" s="174">
        <f t="shared" si="73"/>
        <v>484</v>
      </c>
      <c r="R372" s="174">
        <f>VLOOKUP(D372,原始分!$D:$N,9,0)</f>
        <v>0</v>
      </c>
      <c r="S372" s="174">
        <f t="shared" si="74"/>
        <v>320</v>
      </c>
      <c r="T372" s="174">
        <f>VLOOKUP(D372,原始分!$D:$N,10,0)</f>
        <v>0</v>
      </c>
      <c r="U372" s="174">
        <f t="shared" si="75"/>
        <v>316</v>
      </c>
      <c r="V372" s="174">
        <f>VLOOKUP(D372,原始分!$D:$N,11,0)</f>
        <v>37</v>
      </c>
      <c r="W372" s="174">
        <f t="shared" si="76"/>
        <v>516</v>
      </c>
      <c r="X372" s="11">
        <f t="shared" si="77"/>
        <v>213.5</v>
      </c>
      <c r="Y372" s="9">
        <f t="shared" si="78"/>
        <v>863</v>
      </c>
      <c r="Z372" s="11">
        <f t="shared" si="79"/>
        <v>318.5</v>
      </c>
      <c r="AA372" s="9">
        <f t="shared" si="80"/>
        <v>654</v>
      </c>
    </row>
    <row r="373" ht="14.25" spans="1:27">
      <c r="A373" s="13">
        <v>371</v>
      </c>
      <c r="B373" s="15">
        <v>8</v>
      </c>
      <c r="C373" s="16">
        <v>45</v>
      </c>
      <c r="D373" s="17" t="s">
        <v>752</v>
      </c>
      <c r="E373" s="17" t="s">
        <v>753</v>
      </c>
      <c r="F373" s="174">
        <f>VLOOKUP(D373,原始分!$D:$N,3,0)</f>
        <v>87</v>
      </c>
      <c r="G373" s="174">
        <f t="shared" si="68"/>
        <v>821</v>
      </c>
      <c r="H373" s="174">
        <f>VLOOKUP(D373,原始分!$D:$N,4,0)</f>
        <v>83.5</v>
      </c>
      <c r="I373" s="174">
        <f t="shared" si="69"/>
        <v>721</v>
      </c>
      <c r="J373" s="174">
        <f>VLOOKUP(D373,原始分!$D:$N,5,0)</f>
        <v>61</v>
      </c>
      <c r="K373" s="174">
        <f t="shared" si="70"/>
        <v>851</v>
      </c>
      <c r="L373" s="174">
        <f>VLOOKUP(D373,原始分!$D:$N,6,0)</f>
        <v>33.5</v>
      </c>
      <c r="M373" s="174">
        <f t="shared" si="71"/>
        <v>592</v>
      </c>
      <c r="N373" s="174">
        <f>VLOOKUP(D373,原始分!$D:$N,7,0)</f>
        <v>0</v>
      </c>
      <c r="O373" s="174">
        <f t="shared" si="72"/>
        <v>207</v>
      </c>
      <c r="P373" s="174">
        <f>VLOOKUP(D373,原始分!$D:$N,8,0)</f>
        <v>22.5</v>
      </c>
      <c r="Q373" s="174">
        <f t="shared" si="73"/>
        <v>521</v>
      </c>
      <c r="R373" s="174">
        <f>VLOOKUP(D373,原始分!$D:$N,9,0)</f>
        <v>0</v>
      </c>
      <c r="S373" s="174">
        <f t="shared" si="74"/>
        <v>320</v>
      </c>
      <c r="T373" s="174">
        <f>VLOOKUP(D373,原始分!$D:$N,10,0)</f>
        <v>0</v>
      </c>
      <c r="U373" s="174">
        <f t="shared" si="75"/>
        <v>316</v>
      </c>
      <c r="V373" s="174">
        <f>VLOOKUP(D373,原始分!$D:$N,11,0)</f>
        <v>43</v>
      </c>
      <c r="W373" s="174">
        <f t="shared" si="76"/>
        <v>454</v>
      </c>
      <c r="X373" s="11">
        <f t="shared" si="77"/>
        <v>231.5</v>
      </c>
      <c r="Y373" s="9">
        <f t="shared" si="78"/>
        <v>848</v>
      </c>
      <c r="Z373" s="11">
        <f t="shared" si="79"/>
        <v>330.5</v>
      </c>
      <c r="AA373" s="9">
        <f t="shared" si="80"/>
        <v>649</v>
      </c>
    </row>
    <row r="374" ht="14.25" spans="1:27">
      <c r="A374" s="13">
        <v>372</v>
      </c>
      <c r="B374" s="15">
        <v>8</v>
      </c>
      <c r="C374" s="16">
        <v>46</v>
      </c>
      <c r="D374" s="17" t="s">
        <v>754</v>
      </c>
      <c r="E374" s="17" t="s">
        <v>755</v>
      </c>
      <c r="F374" s="174">
        <f>VLOOKUP(D374,原始分!$D:$N,3,0)</f>
        <v>86.5</v>
      </c>
      <c r="G374" s="174">
        <f t="shared" si="68"/>
        <v>826</v>
      </c>
      <c r="H374" s="174">
        <f>VLOOKUP(D374,原始分!$D:$N,4,0)</f>
        <v>124</v>
      </c>
      <c r="I374" s="174">
        <f t="shared" si="69"/>
        <v>39</v>
      </c>
      <c r="J374" s="174">
        <f>VLOOKUP(D374,原始分!$D:$N,5,0)</f>
        <v>79.75</v>
      </c>
      <c r="K374" s="174">
        <f t="shared" si="70"/>
        <v>751</v>
      </c>
      <c r="L374" s="174">
        <f>VLOOKUP(D374,原始分!$D:$N,6,0)</f>
        <v>65.5</v>
      </c>
      <c r="M374" s="174">
        <f t="shared" si="71"/>
        <v>105</v>
      </c>
      <c r="N374" s="174">
        <f>VLOOKUP(D374,原始分!$D:$N,7,0)</f>
        <v>0</v>
      </c>
      <c r="O374" s="174">
        <f t="shared" si="72"/>
        <v>207</v>
      </c>
      <c r="P374" s="174">
        <f>VLOOKUP(D374,原始分!$D:$N,8,0)</f>
        <v>54.5</v>
      </c>
      <c r="Q374" s="174">
        <f t="shared" si="73"/>
        <v>54</v>
      </c>
      <c r="R374" s="174">
        <f>VLOOKUP(D374,原始分!$D:$N,9,0)</f>
        <v>0</v>
      </c>
      <c r="S374" s="174">
        <f t="shared" si="74"/>
        <v>320</v>
      </c>
      <c r="T374" s="174">
        <f>VLOOKUP(D374,原始分!$D:$N,10,0)</f>
        <v>0</v>
      </c>
      <c r="U374" s="174">
        <f t="shared" si="75"/>
        <v>316</v>
      </c>
      <c r="V374" s="174">
        <f>VLOOKUP(D374,原始分!$D:$N,11,0)</f>
        <v>67.5</v>
      </c>
      <c r="W374" s="174">
        <f t="shared" si="76"/>
        <v>27</v>
      </c>
      <c r="X374" s="11">
        <f t="shared" si="77"/>
        <v>290.25</v>
      </c>
      <c r="Y374" s="9">
        <f t="shared" si="78"/>
        <v>497</v>
      </c>
      <c r="Z374" s="11">
        <f t="shared" si="79"/>
        <v>477.75</v>
      </c>
      <c r="AA374" s="9">
        <f t="shared" si="80"/>
        <v>142</v>
      </c>
    </row>
    <row r="375" ht="14.25" spans="1:27">
      <c r="A375" s="13">
        <v>373</v>
      </c>
      <c r="B375" s="15">
        <v>8</v>
      </c>
      <c r="C375" s="16">
        <v>47</v>
      </c>
      <c r="D375" s="17" t="s">
        <v>756</v>
      </c>
      <c r="E375" s="17" t="s">
        <v>757</v>
      </c>
      <c r="F375" s="174">
        <f>VLOOKUP(D375,原始分!$D:$N,3,0)</f>
        <v>94.5</v>
      </c>
      <c r="G375" s="174">
        <f t="shared" si="68"/>
        <v>642</v>
      </c>
      <c r="H375" s="174">
        <f>VLOOKUP(D375,原始分!$D:$N,4,0)</f>
        <v>89</v>
      </c>
      <c r="I375" s="174">
        <f t="shared" si="69"/>
        <v>632</v>
      </c>
      <c r="J375" s="174">
        <f>VLOOKUP(D375,原始分!$D:$N,5,0)</f>
        <v>91.25</v>
      </c>
      <c r="K375" s="174">
        <f t="shared" si="70"/>
        <v>569</v>
      </c>
      <c r="L375" s="174">
        <f>VLOOKUP(D375,原始分!$D:$N,6,0)</f>
        <v>55.5</v>
      </c>
      <c r="M375" s="174">
        <f t="shared" si="71"/>
        <v>262</v>
      </c>
      <c r="N375" s="174">
        <f>VLOOKUP(D375,原始分!$D:$N,7,0)</f>
        <v>0</v>
      </c>
      <c r="O375" s="174">
        <f t="shared" si="72"/>
        <v>207</v>
      </c>
      <c r="P375" s="174">
        <f>VLOOKUP(D375,原始分!$D:$N,8,0)</f>
        <v>38</v>
      </c>
      <c r="Q375" s="174">
        <f t="shared" si="73"/>
        <v>362</v>
      </c>
      <c r="R375" s="174">
        <f>VLOOKUP(D375,原始分!$D:$N,9,0)</f>
        <v>0</v>
      </c>
      <c r="S375" s="174">
        <f t="shared" si="74"/>
        <v>320</v>
      </c>
      <c r="T375" s="174">
        <f>VLOOKUP(D375,原始分!$D:$N,10,0)</f>
        <v>0</v>
      </c>
      <c r="U375" s="174">
        <f t="shared" si="75"/>
        <v>316</v>
      </c>
      <c r="V375" s="174">
        <f>VLOOKUP(D375,原始分!$D:$N,11,0)</f>
        <v>39</v>
      </c>
      <c r="W375" s="174">
        <f t="shared" si="76"/>
        <v>502</v>
      </c>
      <c r="X375" s="11">
        <f t="shared" si="77"/>
        <v>274.75</v>
      </c>
      <c r="Y375" s="9">
        <f t="shared" si="78"/>
        <v>660</v>
      </c>
      <c r="Z375" s="11">
        <f t="shared" si="79"/>
        <v>407.25</v>
      </c>
      <c r="AA375" s="9">
        <f t="shared" si="80"/>
        <v>488</v>
      </c>
    </row>
    <row r="376" ht="14.25" spans="1:27">
      <c r="A376" s="13">
        <v>374</v>
      </c>
      <c r="B376" s="15">
        <v>8</v>
      </c>
      <c r="C376" s="16">
        <v>48</v>
      </c>
      <c r="D376" s="17" t="s">
        <v>758</v>
      </c>
      <c r="E376" s="17" t="s">
        <v>759</v>
      </c>
      <c r="F376" s="174">
        <f>VLOOKUP(D376,原始分!$D:$N,3,0)</f>
        <v>100.5</v>
      </c>
      <c r="G376" s="174">
        <f t="shared" si="68"/>
        <v>370</v>
      </c>
      <c r="H376" s="174">
        <f>VLOOKUP(D376,原始分!$D:$N,4,0)</f>
        <v>85.5</v>
      </c>
      <c r="I376" s="174">
        <f t="shared" si="69"/>
        <v>699</v>
      </c>
      <c r="J376" s="174">
        <f>VLOOKUP(D376,原始分!$D:$N,5,0)</f>
        <v>115</v>
      </c>
      <c r="K376" s="174">
        <f t="shared" si="70"/>
        <v>102</v>
      </c>
      <c r="L376" s="174">
        <f>VLOOKUP(D376,原始分!$D:$N,6,0)</f>
        <v>43</v>
      </c>
      <c r="M376" s="174">
        <f t="shared" si="71"/>
        <v>461</v>
      </c>
      <c r="N376" s="174">
        <f>VLOOKUP(D376,原始分!$D:$N,7,0)</f>
        <v>0</v>
      </c>
      <c r="O376" s="174">
        <f t="shared" si="72"/>
        <v>207</v>
      </c>
      <c r="P376" s="174">
        <f>VLOOKUP(D376,原始分!$D:$N,8,0)</f>
        <v>46</v>
      </c>
      <c r="Q376" s="174">
        <f t="shared" si="73"/>
        <v>194</v>
      </c>
      <c r="R376" s="174">
        <f>VLOOKUP(D376,原始分!$D:$N,9,0)</f>
        <v>0</v>
      </c>
      <c r="S376" s="174">
        <f t="shared" si="74"/>
        <v>320</v>
      </c>
      <c r="T376" s="174">
        <f>VLOOKUP(D376,原始分!$D:$N,10,0)</f>
        <v>0</v>
      </c>
      <c r="U376" s="174">
        <f t="shared" si="75"/>
        <v>316</v>
      </c>
      <c r="V376" s="174">
        <f>VLOOKUP(D376,原始分!$D:$N,11,0)</f>
        <v>38</v>
      </c>
      <c r="W376" s="174">
        <f t="shared" si="76"/>
        <v>510</v>
      </c>
      <c r="X376" s="11">
        <f t="shared" si="77"/>
        <v>301</v>
      </c>
      <c r="Y376" s="9">
        <f t="shared" si="78"/>
        <v>366</v>
      </c>
      <c r="Z376" s="11">
        <f t="shared" si="79"/>
        <v>428</v>
      </c>
      <c r="AA376" s="9">
        <f t="shared" si="80"/>
        <v>393</v>
      </c>
    </row>
    <row r="377" ht="14.25" spans="1:27">
      <c r="A377" s="13">
        <v>375</v>
      </c>
      <c r="B377" s="15">
        <v>8</v>
      </c>
      <c r="C377" s="16">
        <v>49</v>
      </c>
      <c r="D377" s="17" t="s">
        <v>760</v>
      </c>
      <c r="E377" s="17" t="s">
        <v>761</v>
      </c>
      <c r="F377" s="174">
        <f>VLOOKUP(D377,原始分!$D:$N,3,0)</f>
        <v>108.5</v>
      </c>
      <c r="G377" s="174">
        <f t="shared" si="68"/>
        <v>70</v>
      </c>
      <c r="H377" s="174">
        <f>VLOOKUP(D377,原始分!$D:$N,4,0)</f>
        <v>120</v>
      </c>
      <c r="I377" s="174">
        <f t="shared" si="69"/>
        <v>67</v>
      </c>
      <c r="J377" s="174">
        <f>VLOOKUP(D377,原始分!$D:$N,5,0)</f>
        <v>115.5</v>
      </c>
      <c r="K377" s="174">
        <f t="shared" si="70"/>
        <v>94</v>
      </c>
      <c r="L377" s="174">
        <f>VLOOKUP(D377,原始分!$D:$N,6,0)</f>
        <v>66.5</v>
      </c>
      <c r="M377" s="174">
        <f t="shared" si="71"/>
        <v>88</v>
      </c>
      <c r="N377" s="174">
        <f>VLOOKUP(D377,原始分!$D:$N,7,0)</f>
        <v>0</v>
      </c>
      <c r="O377" s="174">
        <f t="shared" si="72"/>
        <v>207</v>
      </c>
      <c r="P377" s="174">
        <f>VLOOKUP(D377,原始分!$D:$N,8,0)</f>
        <v>60.5</v>
      </c>
      <c r="Q377" s="174">
        <f t="shared" si="73"/>
        <v>25</v>
      </c>
      <c r="R377" s="174">
        <f>VLOOKUP(D377,原始分!$D:$N,9,0)</f>
        <v>0</v>
      </c>
      <c r="S377" s="174">
        <f t="shared" si="74"/>
        <v>320</v>
      </c>
      <c r="T377" s="174">
        <f>VLOOKUP(D377,原始分!$D:$N,10,0)</f>
        <v>0</v>
      </c>
      <c r="U377" s="174">
        <f t="shared" si="75"/>
        <v>316</v>
      </c>
      <c r="V377" s="174">
        <f>VLOOKUP(D377,原始分!$D:$N,11,0)</f>
        <v>62.5</v>
      </c>
      <c r="W377" s="174">
        <f t="shared" si="76"/>
        <v>61</v>
      </c>
      <c r="X377" s="11">
        <f t="shared" si="77"/>
        <v>344</v>
      </c>
      <c r="Y377" s="9">
        <f t="shared" si="78"/>
        <v>28</v>
      </c>
      <c r="Z377" s="11">
        <f t="shared" si="79"/>
        <v>533.5</v>
      </c>
      <c r="AA377" s="9">
        <f t="shared" si="80"/>
        <v>19</v>
      </c>
    </row>
    <row r="378" ht="14.25" spans="1:27">
      <c r="A378" s="13">
        <v>376</v>
      </c>
      <c r="B378" s="15">
        <v>8</v>
      </c>
      <c r="C378" s="16">
        <v>50</v>
      </c>
      <c r="D378" s="17" t="s">
        <v>762</v>
      </c>
      <c r="E378" s="17" t="s">
        <v>763</v>
      </c>
      <c r="F378" s="174">
        <f>VLOOKUP(D378,原始分!$D:$N,3,0)</f>
        <v>102.5</v>
      </c>
      <c r="G378" s="174">
        <f t="shared" si="68"/>
        <v>279</v>
      </c>
      <c r="H378" s="174">
        <f>VLOOKUP(D378,原始分!$D:$N,4,0)</f>
        <v>110.5</v>
      </c>
      <c r="I378" s="174">
        <f t="shared" si="69"/>
        <v>211</v>
      </c>
      <c r="J378" s="174">
        <f>VLOOKUP(D378,原始分!$D:$N,5,0)</f>
        <v>107.25</v>
      </c>
      <c r="K378" s="174">
        <f t="shared" si="70"/>
        <v>225</v>
      </c>
      <c r="L378" s="174">
        <f>VLOOKUP(D378,原始分!$D:$N,6,0)</f>
        <v>62.5</v>
      </c>
      <c r="M378" s="174">
        <f t="shared" si="71"/>
        <v>152</v>
      </c>
      <c r="N378" s="174">
        <f>VLOOKUP(D378,原始分!$D:$N,7,0)</f>
        <v>0</v>
      </c>
      <c r="O378" s="174">
        <f t="shared" si="72"/>
        <v>207</v>
      </c>
      <c r="P378" s="174">
        <f>VLOOKUP(D378,原始分!$D:$N,8,0)</f>
        <v>51.5</v>
      </c>
      <c r="Q378" s="174">
        <f t="shared" si="73"/>
        <v>90</v>
      </c>
      <c r="R378" s="174">
        <f>VLOOKUP(D378,原始分!$D:$N,9,0)</f>
        <v>0</v>
      </c>
      <c r="S378" s="174">
        <f t="shared" si="74"/>
        <v>320</v>
      </c>
      <c r="T378" s="174">
        <f>VLOOKUP(D378,原始分!$D:$N,10,0)</f>
        <v>0</v>
      </c>
      <c r="U378" s="174">
        <f t="shared" si="75"/>
        <v>316</v>
      </c>
      <c r="V378" s="174">
        <f>VLOOKUP(D378,原始分!$D:$N,11,0)</f>
        <v>45</v>
      </c>
      <c r="W378" s="174">
        <f t="shared" si="76"/>
        <v>410</v>
      </c>
      <c r="X378" s="11">
        <f t="shared" si="77"/>
        <v>320.25</v>
      </c>
      <c r="Y378" s="9">
        <f t="shared" si="78"/>
        <v>155</v>
      </c>
      <c r="Z378" s="11">
        <f t="shared" si="79"/>
        <v>479.25</v>
      </c>
      <c r="AA378" s="9">
        <f t="shared" si="80"/>
        <v>135</v>
      </c>
    </row>
    <row r="379" ht="14.25" spans="1:27">
      <c r="A379" s="13">
        <v>377</v>
      </c>
      <c r="B379" s="15">
        <v>8</v>
      </c>
      <c r="C379" s="16">
        <v>51</v>
      </c>
      <c r="D379" s="17" t="s">
        <v>764</v>
      </c>
      <c r="E379" s="17" t="s">
        <v>765</v>
      </c>
      <c r="F379" s="174">
        <f>VLOOKUP(D379,原始分!$D:$N,3,0)</f>
        <v>110.5</v>
      </c>
      <c r="G379" s="174">
        <f t="shared" si="68"/>
        <v>43</v>
      </c>
      <c r="H379" s="174">
        <f>VLOOKUP(D379,原始分!$D:$N,4,0)</f>
        <v>102.5</v>
      </c>
      <c r="I379" s="174">
        <f t="shared" si="69"/>
        <v>372</v>
      </c>
      <c r="J379" s="174">
        <f>VLOOKUP(D379,原始分!$D:$N,5,0)</f>
        <v>96.5</v>
      </c>
      <c r="K379" s="174">
        <f t="shared" si="70"/>
        <v>455</v>
      </c>
      <c r="L379" s="174">
        <f>VLOOKUP(D379,原始分!$D:$N,6,0)</f>
        <v>39.5</v>
      </c>
      <c r="M379" s="174">
        <f t="shared" si="71"/>
        <v>514</v>
      </c>
      <c r="N379" s="174">
        <f>VLOOKUP(D379,原始分!$D:$N,7,0)</f>
        <v>0</v>
      </c>
      <c r="O379" s="174">
        <f t="shared" si="72"/>
        <v>207</v>
      </c>
      <c r="P379" s="174">
        <f>VLOOKUP(D379,原始分!$D:$N,8,0)</f>
        <v>41.5</v>
      </c>
      <c r="Q379" s="174">
        <f t="shared" si="73"/>
        <v>279</v>
      </c>
      <c r="R379" s="174">
        <f>VLOOKUP(D379,原始分!$D:$N,9,0)</f>
        <v>0</v>
      </c>
      <c r="S379" s="174">
        <f t="shared" si="74"/>
        <v>320</v>
      </c>
      <c r="T379" s="174">
        <f>VLOOKUP(D379,原始分!$D:$N,10,0)</f>
        <v>0</v>
      </c>
      <c r="U379" s="174">
        <f t="shared" si="75"/>
        <v>316</v>
      </c>
      <c r="V379" s="174">
        <f>VLOOKUP(D379,原始分!$D:$N,11,0)</f>
        <v>33.5</v>
      </c>
      <c r="W379" s="174">
        <f t="shared" si="76"/>
        <v>536</v>
      </c>
      <c r="X379" s="11">
        <f t="shared" si="77"/>
        <v>309.5</v>
      </c>
      <c r="Y379" s="9">
        <f t="shared" si="78"/>
        <v>269</v>
      </c>
      <c r="Z379" s="11">
        <f t="shared" si="79"/>
        <v>424</v>
      </c>
      <c r="AA379" s="9">
        <f t="shared" si="80"/>
        <v>408</v>
      </c>
    </row>
    <row r="380" ht="14.25" spans="1:27">
      <c r="A380" s="13">
        <v>378</v>
      </c>
      <c r="B380" s="15">
        <v>8</v>
      </c>
      <c r="C380" s="16">
        <v>52</v>
      </c>
      <c r="D380" s="19" t="s">
        <v>766</v>
      </c>
      <c r="E380" s="17" t="s">
        <v>767</v>
      </c>
      <c r="F380" s="174">
        <f>VLOOKUP(D380,原始分!$D:$N,3,0)</f>
        <v>96</v>
      </c>
      <c r="G380" s="174">
        <f t="shared" si="68"/>
        <v>579</v>
      </c>
      <c r="H380" s="174">
        <f>VLOOKUP(D380,原始分!$D:$N,4,0)</f>
        <v>98</v>
      </c>
      <c r="I380" s="174">
        <f t="shared" si="69"/>
        <v>454</v>
      </c>
      <c r="J380" s="174">
        <f>VLOOKUP(D380,原始分!$D:$N,5,0)</f>
        <v>82.75</v>
      </c>
      <c r="K380" s="174">
        <f t="shared" si="70"/>
        <v>706</v>
      </c>
      <c r="L380" s="174">
        <f>VLOOKUP(D380,原始分!$D:$N,6,0)</f>
        <v>57.5</v>
      </c>
      <c r="M380" s="174">
        <f t="shared" si="71"/>
        <v>228</v>
      </c>
      <c r="N380" s="174">
        <f>VLOOKUP(D380,原始分!$D:$N,7,0)</f>
        <v>0</v>
      </c>
      <c r="O380" s="174">
        <f t="shared" si="72"/>
        <v>207</v>
      </c>
      <c r="P380" s="174">
        <f>VLOOKUP(D380,原始分!$D:$N,8,0)</f>
        <v>37.5</v>
      </c>
      <c r="Q380" s="174">
        <f t="shared" si="73"/>
        <v>369</v>
      </c>
      <c r="R380" s="174">
        <f>VLOOKUP(D380,原始分!$D:$N,9,0)</f>
        <v>0</v>
      </c>
      <c r="S380" s="174">
        <f t="shared" si="74"/>
        <v>320</v>
      </c>
      <c r="T380" s="174">
        <f>VLOOKUP(D380,原始分!$D:$N,10,0)</f>
        <v>0</v>
      </c>
      <c r="U380" s="174">
        <f t="shared" si="75"/>
        <v>316</v>
      </c>
      <c r="V380" s="174">
        <f>VLOOKUP(D380,原始分!$D:$N,11,0)</f>
        <v>43.5</v>
      </c>
      <c r="W380" s="174">
        <f t="shared" si="76"/>
        <v>443</v>
      </c>
      <c r="X380" s="11">
        <f t="shared" si="77"/>
        <v>276.75</v>
      </c>
      <c r="Y380" s="9">
        <f t="shared" si="78"/>
        <v>641</v>
      </c>
      <c r="Z380" s="11">
        <f t="shared" si="79"/>
        <v>415.25</v>
      </c>
      <c r="AA380" s="9">
        <f t="shared" si="80"/>
        <v>447</v>
      </c>
    </row>
    <row r="381" ht="14.25" spans="1:27">
      <c r="A381" s="13">
        <v>379</v>
      </c>
      <c r="B381" s="15">
        <v>8</v>
      </c>
      <c r="C381" s="16">
        <v>53</v>
      </c>
      <c r="D381" s="17" t="s">
        <v>768</v>
      </c>
      <c r="E381" s="17" t="s">
        <v>769</v>
      </c>
      <c r="F381" s="174">
        <f>VLOOKUP(D381,原始分!$D:$N,3,0)</f>
        <v>101.5</v>
      </c>
      <c r="G381" s="174">
        <f t="shared" si="68"/>
        <v>319</v>
      </c>
      <c r="H381" s="174">
        <f>VLOOKUP(D381,原始分!$D:$N,4,0)</f>
        <v>101.5</v>
      </c>
      <c r="I381" s="174">
        <f t="shared" si="69"/>
        <v>391</v>
      </c>
      <c r="J381" s="174">
        <f>VLOOKUP(D381,原始分!$D:$N,5,0)</f>
        <v>96</v>
      </c>
      <c r="K381" s="174">
        <f t="shared" si="70"/>
        <v>465</v>
      </c>
      <c r="L381" s="174">
        <f>VLOOKUP(D381,原始分!$D:$N,6,0)</f>
        <v>39</v>
      </c>
      <c r="M381" s="174">
        <f t="shared" si="71"/>
        <v>520</v>
      </c>
      <c r="N381" s="174">
        <f>VLOOKUP(D381,原始分!$D:$N,7,0)</f>
        <v>0</v>
      </c>
      <c r="O381" s="174">
        <f t="shared" si="72"/>
        <v>207</v>
      </c>
      <c r="P381" s="174">
        <f>VLOOKUP(D381,原始分!$D:$N,8,0)</f>
        <v>36</v>
      </c>
      <c r="Q381" s="174">
        <f t="shared" si="73"/>
        <v>386</v>
      </c>
      <c r="R381" s="174">
        <f>VLOOKUP(D381,原始分!$D:$N,9,0)</f>
        <v>0</v>
      </c>
      <c r="S381" s="174">
        <f t="shared" si="74"/>
        <v>320</v>
      </c>
      <c r="T381" s="174">
        <f>VLOOKUP(D381,原始分!$D:$N,10,0)</f>
        <v>0</v>
      </c>
      <c r="U381" s="174">
        <f t="shared" si="75"/>
        <v>316</v>
      </c>
      <c r="V381" s="174">
        <f>VLOOKUP(D381,原始分!$D:$N,11,0)</f>
        <v>51.5</v>
      </c>
      <c r="W381" s="174">
        <f t="shared" si="76"/>
        <v>262</v>
      </c>
      <c r="X381" s="11">
        <f t="shared" si="77"/>
        <v>299</v>
      </c>
      <c r="Y381" s="9">
        <f t="shared" si="78"/>
        <v>383</v>
      </c>
      <c r="Z381" s="11">
        <f t="shared" si="79"/>
        <v>425.5</v>
      </c>
      <c r="AA381" s="9">
        <f t="shared" si="80"/>
        <v>400</v>
      </c>
    </row>
    <row r="382" ht="14.25" spans="1:27">
      <c r="A382" s="13">
        <v>380</v>
      </c>
      <c r="B382" s="15">
        <v>8</v>
      </c>
      <c r="C382" s="16">
        <v>54</v>
      </c>
      <c r="D382" s="17" t="s">
        <v>770</v>
      </c>
      <c r="E382" s="17" t="s">
        <v>771</v>
      </c>
      <c r="F382" s="174">
        <f>VLOOKUP(D382,原始分!$D:$N,3,0)</f>
        <v>107</v>
      </c>
      <c r="G382" s="174">
        <f t="shared" si="68"/>
        <v>113</v>
      </c>
      <c r="H382" s="174">
        <f>VLOOKUP(D382,原始分!$D:$N,4,0)</f>
        <v>101.5</v>
      </c>
      <c r="I382" s="174">
        <f t="shared" si="69"/>
        <v>391</v>
      </c>
      <c r="J382" s="174">
        <f>VLOOKUP(D382,原始分!$D:$N,5,0)</f>
        <v>110</v>
      </c>
      <c r="K382" s="174">
        <f t="shared" si="70"/>
        <v>173</v>
      </c>
      <c r="L382" s="174">
        <f>VLOOKUP(D382,原始分!$D:$N,6,0)</f>
        <v>64.5</v>
      </c>
      <c r="M382" s="174">
        <f t="shared" si="71"/>
        <v>120</v>
      </c>
      <c r="N382" s="174">
        <f>VLOOKUP(D382,原始分!$D:$N,7,0)</f>
        <v>0</v>
      </c>
      <c r="O382" s="174">
        <f t="shared" si="72"/>
        <v>207</v>
      </c>
      <c r="P382" s="174">
        <f>VLOOKUP(D382,原始分!$D:$N,8,0)</f>
        <v>38.5</v>
      </c>
      <c r="Q382" s="174">
        <f t="shared" si="73"/>
        <v>355</v>
      </c>
      <c r="R382" s="174">
        <f>VLOOKUP(D382,原始分!$D:$N,9,0)</f>
        <v>0</v>
      </c>
      <c r="S382" s="174">
        <f t="shared" si="74"/>
        <v>320</v>
      </c>
      <c r="T382" s="174">
        <f>VLOOKUP(D382,原始分!$D:$N,10,0)</f>
        <v>0</v>
      </c>
      <c r="U382" s="174">
        <f t="shared" si="75"/>
        <v>316</v>
      </c>
      <c r="V382" s="174">
        <f>VLOOKUP(D382,原始分!$D:$N,11,0)</f>
        <v>50</v>
      </c>
      <c r="W382" s="174">
        <f t="shared" si="76"/>
        <v>302</v>
      </c>
      <c r="X382" s="11">
        <f t="shared" si="77"/>
        <v>318.5</v>
      </c>
      <c r="Y382" s="9">
        <f t="shared" si="78"/>
        <v>171</v>
      </c>
      <c r="Z382" s="11">
        <f t="shared" si="79"/>
        <v>471.5</v>
      </c>
      <c r="AA382" s="9">
        <f t="shared" si="80"/>
        <v>169</v>
      </c>
    </row>
    <row r="383" ht="14.25" spans="1:27">
      <c r="A383" s="13">
        <v>381</v>
      </c>
      <c r="B383" s="15">
        <v>8</v>
      </c>
      <c r="C383" s="16">
        <v>55</v>
      </c>
      <c r="D383" s="19" t="s">
        <v>772</v>
      </c>
      <c r="E383" s="17" t="s">
        <v>773</v>
      </c>
      <c r="F383" s="174">
        <f>VLOOKUP(D383,原始分!$D:$N,3,0)</f>
        <v>95.5</v>
      </c>
      <c r="G383" s="174">
        <f t="shared" si="68"/>
        <v>595</v>
      </c>
      <c r="H383" s="174">
        <f>VLOOKUP(D383,原始分!$D:$N,4,0)</f>
        <v>115.5</v>
      </c>
      <c r="I383" s="174">
        <f t="shared" si="69"/>
        <v>121</v>
      </c>
      <c r="J383" s="174">
        <f>VLOOKUP(D383,原始分!$D:$N,5,0)</f>
        <v>106.5</v>
      </c>
      <c r="K383" s="174">
        <f t="shared" si="70"/>
        <v>235</v>
      </c>
      <c r="L383" s="174">
        <f>VLOOKUP(D383,原始分!$D:$N,6,0)</f>
        <v>45.5</v>
      </c>
      <c r="M383" s="174">
        <f t="shared" si="71"/>
        <v>417</v>
      </c>
      <c r="N383" s="174">
        <f>VLOOKUP(D383,原始分!$D:$N,7,0)</f>
        <v>0</v>
      </c>
      <c r="O383" s="174">
        <f t="shared" si="72"/>
        <v>207</v>
      </c>
      <c r="P383" s="174">
        <f>VLOOKUP(D383,原始分!$D:$N,8,0)</f>
        <v>41.5</v>
      </c>
      <c r="Q383" s="174">
        <f t="shared" si="73"/>
        <v>279</v>
      </c>
      <c r="R383" s="174">
        <f>VLOOKUP(D383,原始分!$D:$N,9,0)</f>
        <v>0</v>
      </c>
      <c r="S383" s="174">
        <f t="shared" si="74"/>
        <v>320</v>
      </c>
      <c r="T383" s="174">
        <f>VLOOKUP(D383,原始分!$D:$N,10,0)</f>
        <v>0</v>
      </c>
      <c r="U383" s="174">
        <f t="shared" si="75"/>
        <v>316</v>
      </c>
      <c r="V383" s="174">
        <f>VLOOKUP(D383,原始分!$D:$N,11,0)</f>
        <v>48.5</v>
      </c>
      <c r="W383" s="174">
        <f t="shared" si="76"/>
        <v>330</v>
      </c>
      <c r="X383" s="11">
        <f t="shared" si="77"/>
        <v>317.5</v>
      </c>
      <c r="Y383" s="9">
        <f t="shared" si="78"/>
        <v>184</v>
      </c>
      <c r="Z383" s="11">
        <f t="shared" si="79"/>
        <v>453</v>
      </c>
      <c r="AA383" s="9">
        <f t="shared" si="80"/>
        <v>257</v>
      </c>
    </row>
    <row r="384" ht="14.25" spans="1:27">
      <c r="A384" s="13">
        <v>382</v>
      </c>
      <c r="B384" s="15">
        <v>8</v>
      </c>
      <c r="C384" s="16">
        <v>58</v>
      </c>
      <c r="D384" s="17" t="s">
        <v>774</v>
      </c>
      <c r="E384" s="17" t="s">
        <v>775</v>
      </c>
      <c r="F384" s="174">
        <f>VLOOKUP(D384,原始分!$D:$N,3,0)</f>
        <v>102.5</v>
      </c>
      <c r="G384" s="174">
        <f t="shared" si="68"/>
        <v>279</v>
      </c>
      <c r="H384" s="174">
        <f>VLOOKUP(D384,原始分!$D:$N,4,0)</f>
        <v>99.5</v>
      </c>
      <c r="I384" s="174">
        <f t="shared" si="69"/>
        <v>425</v>
      </c>
      <c r="J384" s="174">
        <f>VLOOKUP(D384,原始分!$D:$N,5,0)</f>
        <v>87</v>
      </c>
      <c r="K384" s="174">
        <f t="shared" si="70"/>
        <v>632</v>
      </c>
      <c r="L384" s="174">
        <f>VLOOKUP(D384,原始分!$D:$N,6,0)</f>
        <v>56</v>
      </c>
      <c r="M384" s="174">
        <f t="shared" si="71"/>
        <v>252</v>
      </c>
      <c r="N384" s="174">
        <f>VLOOKUP(D384,原始分!$D:$N,7,0)</f>
        <v>0</v>
      </c>
      <c r="O384" s="174">
        <f t="shared" si="72"/>
        <v>207</v>
      </c>
      <c r="P384" s="174">
        <f>VLOOKUP(D384,原始分!$D:$N,8,0)</f>
        <v>33</v>
      </c>
      <c r="Q384" s="174">
        <f t="shared" si="73"/>
        <v>435</v>
      </c>
      <c r="R384" s="174">
        <f>VLOOKUP(D384,原始分!$D:$N,9,0)</f>
        <v>0</v>
      </c>
      <c r="S384" s="174">
        <f t="shared" si="74"/>
        <v>320</v>
      </c>
      <c r="T384" s="174">
        <f>VLOOKUP(D384,原始分!$D:$N,10,0)</f>
        <v>0</v>
      </c>
      <c r="U384" s="174">
        <f t="shared" si="75"/>
        <v>316</v>
      </c>
      <c r="V384" s="174">
        <f>VLOOKUP(D384,原始分!$D:$N,11,0)</f>
        <v>33.5</v>
      </c>
      <c r="W384" s="174">
        <f t="shared" si="76"/>
        <v>536</v>
      </c>
      <c r="X384" s="11">
        <f t="shared" si="77"/>
        <v>289</v>
      </c>
      <c r="Y384" s="9">
        <f t="shared" si="78"/>
        <v>507</v>
      </c>
      <c r="Z384" s="11">
        <f t="shared" si="79"/>
        <v>411.5</v>
      </c>
      <c r="AA384" s="9">
        <f t="shared" si="80"/>
        <v>465</v>
      </c>
    </row>
    <row r="385" ht="14.25" spans="1:27">
      <c r="A385" s="13">
        <v>383</v>
      </c>
      <c r="B385" s="15">
        <v>8</v>
      </c>
      <c r="C385" s="16">
        <v>59</v>
      </c>
      <c r="D385" s="17" t="s">
        <v>776</v>
      </c>
      <c r="E385" s="17" t="s">
        <v>777</v>
      </c>
      <c r="F385" s="174">
        <f>VLOOKUP(D385,原始分!$D:$N,3,0)</f>
        <v>100.5</v>
      </c>
      <c r="G385" s="174">
        <f t="shared" si="68"/>
        <v>370</v>
      </c>
      <c r="H385" s="174">
        <f>VLOOKUP(D385,原始分!$D:$N,4,0)</f>
        <v>97.5</v>
      </c>
      <c r="I385" s="174">
        <f t="shared" si="69"/>
        <v>464</v>
      </c>
      <c r="J385" s="174">
        <f>VLOOKUP(D385,原始分!$D:$N,5,0)</f>
        <v>89.75</v>
      </c>
      <c r="K385" s="174">
        <f t="shared" si="70"/>
        <v>589</v>
      </c>
      <c r="L385" s="174">
        <f>VLOOKUP(D385,原始分!$D:$N,6,0)</f>
        <v>53.5</v>
      </c>
      <c r="M385" s="174">
        <f t="shared" si="71"/>
        <v>292</v>
      </c>
      <c r="N385" s="174">
        <f>VLOOKUP(D385,原始分!$D:$N,7,0)</f>
        <v>0</v>
      </c>
      <c r="O385" s="174">
        <f t="shared" si="72"/>
        <v>207</v>
      </c>
      <c r="P385" s="174">
        <f>VLOOKUP(D385,原始分!$D:$N,8,0)</f>
        <v>36</v>
      </c>
      <c r="Q385" s="174">
        <f t="shared" si="73"/>
        <v>386</v>
      </c>
      <c r="R385" s="174">
        <f>VLOOKUP(D385,原始分!$D:$N,9,0)</f>
        <v>0</v>
      </c>
      <c r="S385" s="174">
        <f t="shared" si="74"/>
        <v>320</v>
      </c>
      <c r="T385" s="174">
        <f>VLOOKUP(D385,原始分!$D:$N,10,0)</f>
        <v>0</v>
      </c>
      <c r="U385" s="174">
        <f t="shared" si="75"/>
        <v>316</v>
      </c>
      <c r="V385" s="174">
        <f>VLOOKUP(D385,原始分!$D:$N,11,0)</f>
        <v>45</v>
      </c>
      <c r="W385" s="174">
        <f t="shared" si="76"/>
        <v>410</v>
      </c>
      <c r="X385" s="11">
        <f t="shared" si="77"/>
        <v>287.75</v>
      </c>
      <c r="Y385" s="9">
        <f t="shared" si="78"/>
        <v>515</v>
      </c>
      <c r="Z385" s="11">
        <f t="shared" si="79"/>
        <v>422.25</v>
      </c>
      <c r="AA385" s="9">
        <f t="shared" si="80"/>
        <v>422</v>
      </c>
    </row>
    <row r="386" ht="14.25" spans="1:27">
      <c r="A386" s="13">
        <v>384</v>
      </c>
      <c r="B386" s="15">
        <v>8</v>
      </c>
      <c r="C386" s="16">
        <v>60</v>
      </c>
      <c r="D386" s="17" t="s">
        <v>778</v>
      </c>
      <c r="E386" s="17" t="s">
        <v>779</v>
      </c>
      <c r="F386" s="174">
        <f>VLOOKUP(D386,原始分!$D:$N,3,0)</f>
        <v>106.25</v>
      </c>
      <c r="G386" s="174">
        <f t="shared" si="68"/>
        <v>141</v>
      </c>
      <c r="H386" s="174">
        <f>VLOOKUP(D386,原始分!$D:$N,4,0)</f>
        <v>123.5</v>
      </c>
      <c r="I386" s="174">
        <f t="shared" si="69"/>
        <v>45</v>
      </c>
      <c r="J386" s="174">
        <f>VLOOKUP(D386,原始分!$D:$N,5,0)</f>
        <v>84.25</v>
      </c>
      <c r="K386" s="174">
        <f t="shared" si="70"/>
        <v>685</v>
      </c>
      <c r="L386" s="174">
        <f>VLOOKUP(D386,原始分!$D:$N,6,0)</f>
        <v>66</v>
      </c>
      <c r="M386" s="174">
        <f t="shared" si="71"/>
        <v>97</v>
      </c>
      <c r="N386" s="174">
        <f>VLOOKUP(D386,原始分!$D:$N,7,0)</f>
        <v>0</v>
      </c>
      <c r="O386" s="174">
        <f t="shared" si="72"/>
        <v>207</v>
      </c>
      <c r="P386" s="174">
        <f>VLOOKUP(D386,原始分!$D:$N,8,0)</f>
        <v>57</v>
      </c>
      <c r="Q386" s="174">
        <f t="shared" si="73"/>
        <v>39</v>
      </c>
      <c r="R386" s="174">
        <f>VLOOKUP(D386,原始分!$D:$N,9,0)</f>
        <v>0</v>
      </c>
      <c r="S386" s="174">
        <f t="shared" si="74"/>
        <v>320</v>
      </c>
      <c r="T386" s="174">
        <f>VLOOKUP(D386,原始分!$D:$N,10,0)</f>
        <v>0</v>
      </c>
      <c r="U386" s="174">
        <f t="shared" si="75"/>
        <v>316</v>
      </c>
      <c r="V386" s="174">
        <f>VLOOKUP(D386,原始分!$D:$N,11,0)</f>
        <v>53.5</v>
      </c>
      <c r="W386" s="174">
        <f t="shared" si="76"/>
        <v>208</v>
      </c>
      <c r="X386" s="11">
        <f t="shared" si="77"/>
        <v>314</v>
      </c>
      <c r="Y386" s="9">
        <f t="shared" si="78"/>
        <v>216</v>
      </c>
      <c r="Z386" s="11">
        <f t="shared" si="79"/>
        <v>490.5</v>
      </c>
      <c r="AA386" s="9">
        <f t="shared" si="80"/>
        <v>104</v>
      </c>
    </row>
    <row r="387" ht="14.25" spans="1:27">
      <c r="A387" s="13">
        <v>385</v>
      </c>
      <c r="B387" s="15">
        <v>8</v>
      </c>
      <c r="C387" s="16">
        <v>61</v>
      </c>
      <c r="D387" s="17" t="s">
        <v>780</v>
      </c>
      <c r="E387" s="17" t="s">
        <v>781</v>
      </c>
      <c r="F387" s="174">
        <f>VLOOKUP(D387,原始分!$D:$N,3,0)</f>
        <v>109.5</v>
      </c>
      <c r="G387" s="174">
        <f t="shared" ref="G387:G450" si="81">RANK(F387,$F$3:$F$900)</f>
        <v>53</v>
      </c>
      <c r="H387" s="174">
        <f>VLOOKUP(D387,原始分!$D:$N,4,0)</f>
        <v>92.5</v>
      </c>
      <c r="I387" s="174">
        <f t="shared" ref="I387:I450" si="82">RANK(H387,$H$3:$H$900)</f>
        <v>569</v>
      </c>
      <c r="J387" s="174">
        <f>VLOOKUP(D387,原始分!$D:$N,5,0)</f>
        <v>116</v>
      </c>
      <c r="K387" s="174">
        <f t="shared" ref="K387:K450" si="83">RANK(J387,$J$3:$J$900)</f>
        <v>89</v>
      </c>
      <c r="L387" s="174">
        <f>VLOOKUP(D387,原始分!$D:$N,6,0)</f>
        <v>63.5</v>
      </c>
      <c r="M387" s="174">
        <f t="shared" ref="M387:M450" si="84">RANK(L387,$L$3:$L$900)</f>
        <v>138</v>
      </c>
      <c r="N387" s="174">
        <f>VLOOKUP(D387,原始分!$D:$N,7,0)</f>
        <v>0</v>
      </c>
      <c r="O387" s="174">
        <f t="shared" ref="O387:O450" si="85">RANK(N387,$N$3:$N$900)</f>
        <v>207</v>
      </c>
      <c r="P387" s="174">
        <f>VLOOKUP(D387,原始分!$D:$N,8,0)</f>
        <v>46.5</v>
      </c>
      <c r="Q387" s="174">
        <f t="shared" ref="Q387:Q450" si="86">RANK(P387,$P$3:$P$900)</f>
        <v>188</v>
      </c>
      <c r="R387" s="174">
        <f>VLOOKUP(D387,原始分!$D:$N,9,0)</f>
        <v>0</v>
      </c>
      <c r="S387" s="174">
        <f t="shared" ref="S387:S450" si="87">RANK(R387,$R$3:$R$900)</f>
        <v>320</v>
      </c>
      <c r="T387" s="174">
        <f>VLOOKUP(D387,原始分!$D:$N,10,0)</f>
        <v>0</v>
      </c>
      <c r="U387" s="174">
        <f t="shared" ref="U387:U450" si="88">RANK(T387,$T$3:$T$900)</f>
        <v>316</v>
      </c>
      <c r="V387" s="174">
        <f>VLOOKUP(D387,原始分!$D:$N,11,0)</f>
        <v>70</v>
      </c>
      <c r="W387" s="174">
        <f t="shared" ref="W387:W450" si="89">RANK(V387,$V$3:$V$900)</f>
        <v>15</v>
      </c>
      <c r="X387" s="11">
        <f t="shared" ref="X387:X450" si="90">SUM(F387,H387,J387)</f>
        <v>318</v>
      </c>
      <c r="Y387" s="9">
        <f t="shared" ref="Y387:Y450" si="91">RANK(X387,$X$3:$X$900)</f>
        <v>175</v>
      </c>
      <c r="Z387" s="11">
        <f t="shared" ref="Z387:Z450" si="92">SUM(F387,H387,J387,L387,N387,P387,R387,T387,V387)</f>
        <v>498</v>
      </c>
      <c r="AA387" s="9">
        <f t="shared" si="80"/>
        <v>83</v>
      </c>
    </row>
    <row r="388" ht="14.25" spans="1:27">
      <c r="A388" s="13">
        <v>386</v>
      </c>
      <c r="B388" s="15">
        <v>9</v>
      </c>
      <c r="C388" s="16">
        <v>1</v>
      </c>
      <c r="D388" s="17" t="s">
        <v>782</v>
      </c>
      <c r="E388" s="17" t="s">
        <v>783</v>
      </c>
      <c r="F388" s="174">
        <f>VLOOKUP(D388,原始分!$D:$N,3,0)</f>
        <v>100.5</v>
      </c>
      <c r="G388" s="174">
        <f t="shared" si="81"/>
        <v>370</v>
      </c>
      <c r="H388" s="174">
        <f>VLOOKUP(D388,原始分!$D:$N,4,0)</f>
        <v>119.5</v>
      </c>
      <c r="I388" s="174">
        <f t="shared" si="82"/>
        <v>70</v>
      </c>
      <c r="J388" s="174">
        <f>VLOOKUP(D388,原始分!$D:$N,5,0)</f>
        <v>104.75</v>
      </c>
      <c r="K388" s="174">
        <f t="shared" si="83"/>
        <v>281</v>
      </c>
      <c r="L388" s="174">
        <f>VLOOKUP(D388,原始分!$D:$N,6,0)</f>
        <v>79</v>
      </c>
      <c r="M388" s="174">
        <f t="shared" si="84"/>
        <v>14</v>
      </c>
      <c r="N388" s="174">
        <f>VLOOKUP(D388,原始分!$D:$N,7,0)</f>
        <v>0</v>
      </c>
      <c r="O388" s="174">
        <f t="shared" si="85"/>
        <v>207</v>
      </c>
      <c r="P388" s="174">
        <f>VLOOKUP(D388,原始分!$D:$N,8,0)</f>
        <v>63.5</v>
      </c>
      <c r="Q388" s="174">
        <f t="shared" si="86"/>
        <v>12</v>
      </c>
      <c r="R388" s="174">
        <f>VLOOKUP(D388,原始分!$D:$N,9,0)</f>
        <v>0</v>
      </c>
      <c r="S388" s="174">
        <f t="shared" si="87"/>
        <v>320</v>
      </c>
      <c r="T388" s="174">
        <f>VLOOKUP(D388,原始分!$D:$N,10,0)</f>
        <v>0</v>
      </c>
      <c r="U388" s="174">
        <f t="shared" si="88"/>
        <v>316</v>
      </c>
      <c r="V388" s="174">
        <f>VLOOKUP(D388,原始分!$D:$N,11,0)</f>
        <v>59</v>
      </c>
      <c r="W388" s="174">
        <f t="shared" si="89"/>
        <v>107</v>
      </c>
      <c r="X388" s="11">
        <f t="shared" si="90"/>
        <v>324.75</v>
      </c>
      <c r="Y388" s="9">
        <f t="shared" si="91"/>
        <v>125</v>
      </c>
      <c r="Z388" s="11">
        <f t="shared" si="92"/>
        <v>526.25</v>
      </c>
      <c r="AA388" s="9">
        <f t="shared" si="80"/>
        <v>24</v>
      </c>
    </row>
    <row r="389" ht="14.25" spans="1:27">
      <c r="A389" s="13">
        <v>387</v>
      </c>
      <c r="B389" s="15">
        <v>9</v>
      </c>
      <c r="C389" s="16">
        <v>2</v>
      </c>
      <c r="D389" s="17" t="s">
        <v>784</v>
      </c>
      <c r="E389" s="17" t="s">
        <v>785</v>
      </c>
      <c r="F389" s="174">
        <f>VLOOKUP(D389,原始分!$D:$N,3,0)</f>
        <v>100.5</v>
      </c>
      <c r="G389" s="174">
        <f t="shared" si="81"/>
        <v>370</v>
      </c>
      <c r="H389" s="174">
        <f>VLOOKUP(D389,原始分!$D:$N,4,0)</f>
        <v>119.5</v>
      </c>
      <c r="I389" s="174">
        <f t="shared" si="82"/>
        <v>70</v>
      </c>
      <c r="J389" s="174">
        <f>VLOOKUP(D389,原始分!$D:$N,5,0)</f>
        <v>109.25</v>
      </c>
      <c r="K389" s="174">
        <f t="shared" si="83"/>
        <v>189</v>
      </c>
      <c r="L389" s="174">
        <f>VLOOKUP(D389,原始分!$D:$N,6,0)</f>
        <v>73</v>
      </c>
      <c r="M389" s="174">
        <f t="shared" si="84"/>
        <v>47</v>
      </c>
      <c r="N389" s="174">
        <f>VLOOKUP(D389,原始分!$D:$N,7,0)</f>
        <v>0</v>
      </c>
      <c r="O389" s="174">
        <f t="shared" si="85"/>
        <v>207</v>
      </c>
      <c r="P389" s="174">
        <f>VLOOKUP(D389,原始分!$D:$N,8,0)</f>
        <v>48.5</v>
      </c>
      <c r="Q389" s="174">
        <f t="shared" si="86"/>
        <v>139</v>
      </c>
      <c r="R389" s="174">
        <f>VLOOKUP(D389,原始分!$D:$N,9,0)</f>
        <v>0</v>
      </c>
      <c r="S389" s="174">
        <f t="shared" si="87"/>
        <v>320</v>
      </c>
      <c r="T389" s="174">
        <f>VLOOKUP(D389,原始分!$D:$N,10,0)</f>
        <v>0</v>
      </c>
      <c r="U389" s="174">
        <f t="shared" si="88"/>
        <v>316</v>
      </c>
      <c r="V389" s="174">
        <f>VLOOKUP(D389,原始分!$D:$N,11,0)</f>
        <v>64.5</v>
      </c>
      <c r="W389" s="174">
        <f t="shared" si="89"/>
        <v>41</v>
      </c>
      <c r="X389" s="11">
        <f t="shared" si="90"/>
        <v>329.25</v>
      </c>
      <c r="Y389" s="9">
        <f t="shared" si="91"/>
        <v>96</v>
      </c>
      <c r="Z389" s="11">
        <f t="shared" si="92"/>
        <v>515.25</v>
      </c>
      <c r="AA389" s="9">
        <f t="shared" si="80"/>
        <v>43</v>
      </c>
    </row>
    <row r="390" ht="14.25" spans="1:27">
      <c r="A390" s="13">
        <v>388</v>
      </c>
      <c r="B390" s="15">
        <v>9</v>
      </c>
      <c r="C390" s="16">
        <v>3</v>
      </c>
      <c r="D390" s="17" t="s">
        <v>786</v>
      </c>
      <c r="E390" s="17" t="s">
        <v>787</v>
      </c>
      <c r="F390" s="174">
        <f>VLOOKUP(D390,原始分!$D:$N,3,0)</f>
        <v>110.5</v>
      </c>
      <c r="G390" s="174">
        <f t="shared" si="81"/>
        <v>43</v>
      </c>
      <c r="H390" s="174">
        <f>VLOOKUP(D390,原始分!$D:$N,4,0)</f>
        <v>112</v>
      </c>
      <c r="I390" s="174">
        <f t="shared" si="82"/>
        <v>180</v>
      </c>
      <c r="J390" s="174">
        <f>VLOOKUP(D390,原始分!$D:$N,5,0)</f>
        <v>127.5</v>
      </c>
      <c r="K390" s="174">
        <f t="shared" si="83"/>
        <v>8</v>
      </c>
      <c r="L390" s="174">
        <f>VLOOKUP(D390,原始分!$D:$N,6,0)</f>
        <v>70.5</v>
      </c>
      <c r="M390" s="174">
        <f t="shared" si="84"/>
        <v>64</v>
      </c>
      <c r="N390" s="174">
        <f>VLOOKUP(D390,原始分!$D:$N,7,0)</f>
        <v>0</v>
      </c>
      <c r="O390" s="174">
        <f t="shared" si="85"/>
        <v>207</v>
      </c>
      <c r="P390" s="174">
        <f>VLOOKUP(D390,原始分!$D:$N,8,0)</f>
        <v>53</v>
      </c>
      <c r="Q390" s="174">
        <f t="shared" si="86"/>
        <v>69</v>
      </c>
      <c r="R390" s="174">
        <f>VLOOKUP(D390,原始分!$D:$N,9,0)</f>
        <v>0</v>
      </c>
      <c r="S390" s="174">
        <f t="shared" si="87"/>
        <v>320</v>
      </c>
      <c r="T390" s="174">
        <f>VLOOKUP(D390,原始分!$D:$N,10,0)</f>
        <v>0</v>
      </c>
      <c r="U390" s="174">
        <f t="shared" si="88"/>
        <v>316</v>
      </c>
      <c r="V390" s="174">
        <f>VLOOKUP(D390,原始分!$D:$N,11,0)</f>
        <v>61.5</v>
      </c>
      <c r="W390" s="174">
        <f t="shared" si="89"/>
        <v>74</v>
      </c>
      <c r="X390" s="11">
        <f t="shared" si="90"/>
        <v>350</v>
      </c>
      <c r="Y390" s="9">
        <f t="shared" si="91"/>
        <v>15</v>
      </c>
      <c r="Z390" s="11">
        <f t="shared" si="92"/>
        <v>535</v>
      </c>
      <c r="AA390" s="9">
        <f t="shared" si="80"/>
        <v>18</v>
      </c>
    </row>
    <row r="391" ht="14.25" spans="1:27">
      <c r="A391" s="13">
        <v>389</v>
      </c>
      <c r="B391" s="15">
        <v>9</v>
      </c>
      <c r="C391" s="16">
        <v>4</v>
      </c>
      <c r="D391" s="17" t="s">
        <v>788</v>
      </c>
      <c r="E391" s="17" t="s">
        <v>789</v>
      </c>
      <c r="F391" s="174">
        <f>VLOOKUP(D391,原始分!$D:$N,3,0)</f>
        <v>105.5</v>
      </c>
      <c r="G391" s="174">
        <f t="shared" si="81"/>
        <v>156</v>
      </c>
      <c r="H391" s="174">
        <f>VLOOKUP(D391,原始分!$D:$N,4,0)</f>
        <v>112.5</v>
      </c>
      <c r="I391" s="174">
        <f t="shared" si="82"/>
        <v>170</v>
      </c>
      <c r="J391" s="174">
        <f>VLOOKUP(D391,原始分!$D:$N,5,0)</f>
        <v>119</v>
      </c>
      <c r="K391" s="174">
        <f t="shared" si="83"/>
        <v>49</v>
      </c>
      <c r="L391" s="174">
        <f>VLOOKUP(D391,原始分!$D:$N,6,0)</f>
        <v>71</v>
      </c>
      <c r="M391" s="174">
        <f t="shared" si="84"/>
        <v>61</v>
      </c>
      <c r="N391" s="174">
        <f>VLOOKUP(D391,原始分!$D:$N,7,0)</f>
        <v>0</v>
      </c>
      <c r="O391" s="174">
        <f t="shared" si="85"/>
        <v>207</v>
      </c>
      <c r="P391" s="174">
        <f>VLOOKUP(D391,原始分!$D:$N,8,0)</f>
        <v>41</v>
      </c>
      <c r="Q391" s="174">
        <f t="shared" si="86"/>
        <v>296</v>
      </c>
      <c r="R391" s="174">
        <f>VLOOKUP(D391,原始分!$D:$N,9,0)</f>
        <v>0</v>
      </c>
      <c r="S391" s="174">
        <f t="shared" si="87"/>
        <v>320</v>
      </c>
      <c r="T391" s="174">
        <f>VLOOKUP(D391,原始分!$D:$N,10,0)</f>
        <v>0</v>
      </c>
      <c r="U391" s="174">
        <f t="shared" si="88"/>
        <v>316</v>
      </c>
      <c r="V391" s="174">
        <f>VLOOKUP(D391,原始分!$D:$N,11,0)</f>
        <v>54</v>
      </c>
      <c r="W391" s="174">
        <f t="shared" si="89"/>
        <v>199</v>
      </c>
      <c r="X391" s="11">
        <f t="shared" si="90"/>
        <v>337</v>
      </c>
      <c r="Y391" s="9">
        <f t="shared" si="91"/>
        <v>51</v>
      </c>
      <c r="Z391" s="11">
        <f t="shared" si="92"/>
        <v>503</v>
      </c>
      <c r="AA391" s="9">
        <f t="shared" si="80"/>
        <v>71</v>
      </c>
    </row>
    <row r="392" ht="14.25" spans="1:27">
      <c r="A392" s="13">
        <v>390</v>
      </c>
      <c r="B392" s="15">
        <v>9</v>
      </c>
      <c r="C392" s="16">
        <v>5</v>
      </c>
      <c r="D392" s="17" t="s">
        <v>790</v>
      </c>
      <c r="E392" s="17" t="s">
        <v>791</v>
      </c>
      <c r="F392" s="174">
        <f>VLOOKUP(D392,原始分!$D:$N,3,0)</f>
        <v>109.5</v>
      </c>
      <c r="G392" s="174">
        <f t="shared" si="81"/>
        <v>53</v>
      </c>
      <c r="H392" s="174">
        <f>VLOOKUP(D392,原始分!$D:$N,4,0)</f>
        <v>118.5</v>
      </c>
      <c r="I392" s="174">
        <f t="shared" si="82"/>
        <v>84</v>
      </c>
      <c r="J392" s="174">
        <f>VLOOKUP(D392,原始分!$D:$N,5,0)</f>
        <v>118</v>
      </c>
      <c r="K392" s="174">
        <f t="shared" si="83"/>
        <v>65</v>
      </c>
      <c r="L392" s="174">
        <f>VLOOKUP(D392,原始分!$D:$N,6,0)</f>
        <v>55</v>
      </c>
      <c r="M392" s="174">
        <f t="shared" si="84"/>
        <v>269</v>
      </c>
      <c r="N392" s="174">
        <f>VLOOKUP(D392,原始分!$D:$N,7,0)</f>
        <v>0</v>
      </c>
      <c r="O392" s="174">
        <f t="shared" si="85"/>
        <v>207</v>
      </c>
      <c r="P392" s="174">
        <f>VLOOKUP(D392,原始分!$D:$N,8,0)</f>
        <v>40.5</v>
      </c>
      <c r="Q392" s="174">
        <f t="shared" si="86"/>
        <v>303</v>
      </c>
      <c r="R392" s="174">
        <f>VLOOKUP(D392,原始分!$D:$N,9,0)</f>
        <v>0</v>
      </c>
      <c r="S392" s="174">
        <f t="shared" si="87"/>
        <v>320</v>
      </c>
      <c r="T392" s="174">
        <f>VLOOKUP(D392,原始分!$D:$N,10,0)</f>
        <v>0</v>
      </c>
      <c r="U392" s="174">
        <f t="shared" si="88"/>
        <v>316</v>
      </c>
      <c r="V392" s="174">
        <f>VLOOKUP(D392,原始分!$D:$N,11,0)</f>
        <v>57.5</v>
      </c>
      <c r="W392" s="174">
        <f t="shared" si="89"/>
        <v>130</v>
      </c>
      <c r="X392" s="11">
        <f t="shared" si="90"/>
        <v>346</v>
      </c>
      <c r="Y392" s="9">
        <f t="shared" si="91"/>
        <v>22</v>
      </c>
      <c r="Z392" s="11">
        <f t="shared" si="92"/>
        <v>499</v>
      </c>
      <c r="AA392" s="9">
        <f t="shared" si="80"/>
        <v>79</v>
      </c>
    </row>
    <row r="393" ht="14.25" spans="1:27">
      <c r="A393" s="13">
        <v>391</v>
      </c>
      <c r="B393" s="15">
        <v>9</v>
      </c>
      <c r="C393" s="16">
        <v>6</v>
      </c>
      <c r="D393" s="17" t="s">
        <v>792</v>
      </c>
      <c r="E393" s="17" t="s">
        <v>793</v>
      </c>
      <c r="F393" s="174">
        <f>VLOOKUP(D393,原始分!$D:$N,3,0)</f>
        <v>95</v>
      </c>
      <c r="G393" s="174">
        <f t="shared" si="81"/>
        <v>619</v>
      </c>
      <c r="H393" s="174">
        <f>VLOOKUP(D393,原始分!$D:$N,4,0)</f>
        <v>130.5</v>
      </c>
      <c r="I393" s="174">
        <f t="shared" si="82"/>
        <v>9</v>
      </c>
      <c r="J393" s="174">
        <f>VLOOKUP(D393,原始分!$D:$N,5,0)</f>
        <v>101</v>
      </c>
      <c r="K393" s="174">
        <f t="shared" si="83"/>
        <v>349</v>
      </c>
      <c r="L393" s="174">
        <f>VLOOKUP(D393,原始分!$D:$N,6,0)</f>
        <v>74</v>
      </c>
      <c r="M393" s="174">
        <f t="shared" si="84"/>
        <v>43</v>
      </c>
      <c r="N393" s="174">
        <f>VLOOKUP(D393,原始分!$D:$N,7,0)</f>
        <v>0</v>
      </c>
      <c r="O393" s="174">
        <f t="shared" si="85"/>
        <v>207</v>
      </c>
      <c r="P393" s="174">
        <f>VLOOKUP(D393,原始分!$D:$N,8,0)</f>
        <v>49</v>
      </c>
      <c r="Q393" s="174">
        <f t="shared" si="86"/>
        <v>132</v>
      </c>
      <c r="R393" s="174">
        <f>VLOOKUP(D393,原始分!$D:$N,9,0)</f>
        <v>0</v>
      </c>
      <c r="S393" s="174">
        <f t="shared" si="87"/>
        <v>320</v>
      </c>
      <c r="T393" s="174">
        <f>VLOOKUP(D393,原始分!$D:$N,10,0)</f>
        <v>0</v>
      </c>
      <c r="U393" s="174">
        <f t="shared" si="88"/>
        <v>316</v>
      </c>
      <c r="V393" s="174">
        <f>VLOOKUP(D393,原始分!$D:$N,11,0)</f>
        <v>64.5</v>
      </c>
      <c r="W393" s="174">
        <f t="shared" si="89"/>
        <v>41</v>
      </c>
      <c r="X393" s="11">
        <f t="shared" si="90"/>
        <v>326.5</v>
      </c>
      <c r="Y393" s="9">
        <f t="shared" si="91"/>
        <v>110</v>
      </c>
      <c r="Z393" s="11">
        <f t="shared" si="92"/>
        <v>514</v>
      </c>
      <c r="AA393" s="9">
        <f t="shared" si="80"/>
        <v>46</v>
      </c>
    </row>
    <row r="394" ht="14.25" spans="1:27">
      <c r="A394" s="13">
        <v>392</v>
      </c>
      <c r="B394" s="15">
        <v>9</v>
      </c>
      <c r="C394" s="16">
        <v>7</v>
      </c>
      <c r="D394" s="17" t="s">
        <v>794</v>
      </c>
      <c r="E394" s="17" t="s">
        <v>795</v>
      </c>
      <c r="F394" s="174">
        <f>VLOOKUP(D394,原始分!$D:$N,3,0)</f>
        <v>105</v>
      </c>
      <c r="G394" s="174">
        <f t="shared" si="81"/>
        <v>171</v>
      </c>
      <c r="H394" s="174">
        <f>VLOOKUP(D394,原始分!$D:$N,4,0)</f>
        <v>115</v>
      </c>
      <c r="I394" s="174">
        <f t="shared" si="82"/>
        <v>130</v>
      </c>
      <c r="J394" s="174">
        <f>VLOOKUP(D394,原始分!$D:$N,5,0)</f>
        <v>115.5</v>
      </c>
      <c r="K394" s="174">
        <f t="shared" si="83"/>
        <v>94</v>
      </c>
      <c r="L394" s="174">
        <f>VLOOKUP(D394,原始分!$D:$N,6,0)</f>
        <v>55</v>
      </c>
      <c r="M394" s="174">
        <f t="shared" si="84"/>
        <v>269</v>
      </c>
      <c r="N394" s="174">
        <f>VLOOKUP(D394,原始分!$D:$N,7,0)</f>
        <v>0</v>
      </c>
      <c r="O394" s="174">
        <f t="shared" si="85"/>
        <v>207</v>
      </c>
      <c r="P394" s="174">
        <f>VLOOKUP(D394,原始分!$D:$N,8,0)</f>
        <v>48.5</v>
      </c>
      <c r="Q394" s="174">
        <f t="shared" si="86"/>
        <v>139</v>
      </c>
      <c r="R394" s="174">
        <f>VLOOKUP(D394,原始分!$D:$N,9,0)</f>
        <v>0</v>
      </c>
      <c r="S394" s="174">
        <f t="shared" si="87"/>
        <v>320</v>
      </c>
      <c r="T394" s="174">
        <f>VLOOKUP(D394,原始分!$D:$N,10,0)</f>
        <v>0</v>
      </c>
      <c r="U394" s="174">
        <f t="shared" si="88"/>
        <v>316</v>
      </c>
      <c r="V394" s="174">
        <f>VLOOKUP(D394,原始分!$D:$N,11,0)</f>
        <v>53.5</v>
      </c>
      <c r="W394" s="174">
        <f t="shared" si="89"/>
        <v>208</v>
      </c>
      <c r="X394" s="11">
        <f t="shared" si="90"/>
        <v>335.5</v>
      </c>
      <c r="Y394" s="9">
        <f t="shared" si="91"/>
        <v>63</v>
      </c>
      <c r="Z394" s="11">
        <f t="shared" si="92"/>
        <v>492.5</v>
      </c>
      <c r="AA394" s="9">
        <f t="shared" si="80"/>
        <v>98</v>
      </c>
    </row>
    <row r="395" ht="14.25" spans="1:27">
      <c r="A395" s="13">
        <v>393</v>
      </c>
      <c r="B395" s="15">
        <v>9</v>
      </c>
      <c r="C395" s="16">
        <v>8</v>
      </c>
      <c r="D395" s="17" t="s">
        <v>796</v>
      </c>
      <c r="E395" s="17" t="s">
        <v>797</v>
      </c>
      <c r="F395" s="174">
        <f>VLOOKUP(D395,原始分!$D:$N,3,0)</f>
        <v>101.5</v>
      </c>
      <c r="G395" s="174">
        <f t="shared" si="81"/>
        <v>319</v>
      </c>
      <c r="H395" s="174">
        <f>VLOOKUP(D395,原始分!$D:$N,4,0)</f>
        <v>130.5</v>
      </c>
      <c r="I395" s="174">
        <f t="shared" si="82"/>
        <v>9</v>
      </c>
      <c r="J395" s="174">
        <f>VLOOKUP(D395,原始分!$D:$N,5,0)</f>
        <v>124</v>
      </c>
      <c r="K395" s="174">
        <f t="shared" si="83"/>
        <v>15</v>
      </c>
      <c r="L395" s="174">
        <f>VLOOKUP(D395,原始分!$D:$N,6,0)</f>
        <v>76</v>
      </c>
      <c r="M395" s="174">
        <f t="shared" si="84"/>
        <v>27</v>
      </c>
      <c r="N395" s="174">
        <f>VLOOKUP(D395,原始分!$D:$N,7,0)</f>
        <v>0</v>
      </c>
      <c r="O395" s="174">
        <f t="shared" si="85"/>
        <v>207</v>
      </c>
      <c r="P395" s="174">
        <f>VLOOKUP(D395,原始分!$D:$N,8,0)</f>
        <v>62</v>
      </c>
      <c r="Q395" s="174">
        <f t="shared" si="86"/>
        <v>17</v>
      </c>
      <c r="R395" s="174">
        <f>VLOOKUP(D395,原始分!$D:$N,9,0)</f>
        <v>0</v>
      </c>
      <c r="S395" s="174">
        <f t="shared" si="87"/>
        <v>320</v>
      </c>
      <c r="T395" s="174">
        <f>VLOOKUP(D395,原始分!$D:$N,10,0)</f>
        <v>0</v>
      </c>
      <c r="U395" s="174">
        <f t="shared" si="88"/>
        <v>316</v>
      </c>
      <c r="V395" s="174">
        <f>VLOOKUP(D395,原始分!$D:$N,11,0)</f>
        <v>68</v>
      </c>
      <c r="W395" s="174">
        <f t="shared" si="89"/>
        <v>24</v>
      </c>
      <c r="X395" s="11">
        <f t="shared" si="90"/>
        <v>356</v>
      </c>
      <c r="Y395" s="9">
        <f t="shared" si="91"/>
        <v>9</v>
      </c>
      <c r="Z395" s="11">
        <f t="shared" si="92"/>
        <v>562</v>
      </c>
      <c r="AA395" s="9">
        <f t="shared" si="80"/>
        <v>5</v>
      </c>
    </row>
    <row r="396" ht="14.25" spans="1:27">
      <c r="A396" s="13">
        <v>394</v>
      </c>
      <c r="B396" s="15">
        <v>9</v>
      </c>
      <c r="C396" s="16">
        <v>9</v>
      </c>
      <c r="D396" s="17" t="s">
        <v>798</v>
      </c>
      <c r="E396" s="17" t="s">
        <v>799</v>
      </c>
      <c r="F396" s="174">
        <f>VLOOKUP(D396,原始分!$D:$N,3,0)</f>
        <v>104.5</v>
      </c>
      <c r="G396" s="174">
        <f t="shared" si="81"/>
        <v>190</v>
      </c>
      <c r="H396" s="174">
        <f>VLOOKUP(D396,原始分!$D:$N,4,0)</f>
        <v>126.5</v>
      </c>
      <c r="I396" s="174">
        <f t="shared" si="82"/>
        <v>25</v>
      </c>
      <c r="J396" s="174">
        <f>VLOOKUP(D396,原始分!$D:$N,5,0)</f>
        <v>106</v>
      </c>
      <c r="K396" s="174">
        <f t="shared" si="83"/>
        <v>245</v>
      </c>
      <c r="L396" s="174">
        <f>VLOOKUP(D396,原始分!$D:$N,6,0)</f>
        <v>62</v>
      </c>
      <c r="M396" s="174">
        <f t="shared" si="84"/>
        <v>157</v>
      </c>
      <c r="N396" s="174">
        <f>VLOOKUP(D396,原始分!$D:$N,7,0)</f>
        <v>0</v>
      </c>
      <c r="O396" s="174">
        <f t="shared" si="85"/>
        <v>207</v>
      </c>
      <c r="P396" s="174">
        <f>VLOOKUP(D396,原始分!$D:$N,8,0)</f>
        <v>60.5</v>
      </c>
      <c r="Q396" s="174">
        <f t="shared" si="86"/>
        <v>25</v>
      </c>
      <c r="R396" s="174">
        <f>VLOOKUP(D396,原始分!$D:$N,9,0)</f>
        <v>0</v>
      </c>
      <c r="S396" s="174">
        <f t="shared" si="87"/>
        <v>320</v>
      </c>
      <c r="T396" s="174">
        <f>VLOOKUP(D396,原始分!$D:$N,10,0)</f>
        <v>0</v>
      </c>
      <c r="U396" s="174">
        <f t="shared" si="88"/>
        <v>316</v>
      </c>
      <c r="V396" s="174">
        <f>VLOOKUP(D396,原始分!$D:$N,11,0)</f>
        <v>64.5</v>
      </c>
      <c r="W396" s="174">
        <f t="shared" si="89"/>
        <v>41</v>
      </c>
      <c r="X396" s="11">
        <f t="shared" si="90"/>
        <v>337</v>
      </c>
      <c r="Y396" s="9">
        <f t="shared" si="91"/>
        <v>51</v>
      </c>
      <c r="Z396" s="11">
        <f t="shared" si="92"/>
        <v>524</v>
      </c>
      <c r="AA396" s="9">
        <f t="shared" si="80"/>
        <v>27</v>
      </c>
    </row>
    <row r="397" ht="14.25" spans="1:27">
      <c r="A397" s="13">
        <v>395</v>
      </c>
      <c r="B397" s="15">
        <v>9</v>
      </c>
      <c r="C397" s="16">
        <v>10</v>
      </c>
      <c r="D397" s="17" t="s">
        <v>800</v>
      </c>
      <c r="E397" s="17" t="s">
        <v>801</v>
      </c>
      <c r="F397" s="174">
        <f>VLOOKUP(D397,原始分!$D:$N,3,0)</f>
        <v>101</v>
      </c>
      <c r="G397" s="174">
        <f t="shared" si="81"/>
        <v>338</v>
      </c>
      <c r="H397" s="174">
        <f>VLOOKUP(D397,原始分!$D:$N,4,0)</f>
        <v>119</v>
      </c>
      <c r="I397" s="174">
        <f t="shared" si="82"/>
        <v>77</v>
      </c>
      <c r="J397" s="174">
        <f>VLOOKUP(D397,原始分!$D:$N,5,0)</f>
        <v>107.25</v>
      </c>
      <c r="K397" s="174">
        <f t="shared" si="83"/>
        <v>225</v>
      </c>
      <c r="L397" s="174">
        <f>VLOOKUP(D397,原始分!$D:$N,6,0)</f>
        <v>69.5</v>
      </c>
      <c r="M397" s="174">
        <f t="shared" si="84"/>
        <v>67</v>
      </c>
      <c r="N397" s="174">
        <f>VLOOKUP(D397,原始分!$D:$N,7,0)</f>
        <v>0</v>
      </c>
      <c r="O397" s="174">
        <f t="shared" si="85"/>
        <v>207</v>
      </c>
      <c r="P397" s="174">
        <f>VLOOKUP(D397,原始分!$D:$N,8,0)</f>
        <v>49.5</v>
      </c>
      <c r="Q397" s="174">
        <f t="shared" si="86"/>
        <v>120</v>
      </c>
      <c r="R397" s="174">
        <f>VLOOKUP(D397,原始分!$D:$N,9,0)</f>
        <v>0</v>
      </c>
      <c r="S397" s="174">
        <f t="shared" si="87"/>
        <v>320</v>
      </c>
      <c r="T397" s="174">
        <f>VLOOKUP(D397,原始分!$D:$N,10,0)</f>
        <v>0</v>
      </c>
      <c r="U397" s="174">
        <f t="shared" si="88"/>
        <v>316</v>
      </c>
      <c r="V397" s="174">
        <f>VLOOKUP(D397,原始分!$D:$N,11,0)</f>
        <v>65.5</v>
      </c>
      <c r="W397" s="174">
        <f t="shared" si="89"/>
        <v>35</v>
      </c>
      <c r="X397" s="11">
        <f t="shared" si="90"/>
        <v>327.25</v>
      </c>
      <c r="Y397" s="9">
        <f t="shared" si="91"/>
        <v>103</v>
      </c>
      <c r="Z397" s="11">
        <f t="shared" si="92"/>
        <v>511.75</v>
      </c>
      <c r="AA397" s="9">
        <f t="shared" si="80"/>
        <v>51</v>
      </c>
    </row>
    <row r="398" ht="14.25" spans="1:27">
      <c r="A398" s="13">
        <v>396</v>
      </c>
      <c r="B398" s="15">
        <v>9</v>
      </c>
      <c r="C398" s="16">
        <v>11</v>
      </c>
      <c r="D398" s="17" t="s">
        <v>802</v>
      </c>
      <c r="E398" s="17" t="s">
        <v>803</v>
      </c>
      <c r="F398" s="174">
        <f>VLOOKUP(D398,原始分!$D:$N,3,0)</f>
        <v>104</v>
      </c>
      <c r="G398" s="174">
        <f t="shared" si="81"/>
        <v>209</v>
      </c>
      <c r="H398" s="174">
        <f>VLOOKUP(D398,原始分!$D:$N,4,0)</f>
        <v>125.5</v>
      </c>
      <c r="I398" s="174">
        <f t="shared" si="82"/>
        <v>31</v>
      </c>
      <c r="J398" s="174">
        <f>VLOOKUP(D398,原始分!$D:$N,5,0)</f>
        <v>107.5</v>
      </c>
      <c r="K398" s="174">
        <f t="shared" si="83"/>
        <v>216</v>
      </c>
      <c r="L398" s="174">
        <f>VLOOKUP(D398,原始分!$D:$N,6,0)</f>
        <v>76.5</v>
      </c>
      <c r="M398" s="174">
        <f t="shared" si="84"/>
        <v>22</v>
      </c>
      <c r="N398" s="174">
        <f>VLOOKUP(D398,原始分!$D:$N,7,0)</f>
        <v>0</v>
      </c>
      <c r="O398" s="174">
        <f t="shared" si="85"/>
        <v>207</v>
      </c>
      <c r="P398" s="174">
        <f>VLOOKUP(D398,原始分!$D:$N,8,0)</f>
        <v>51</v>
      </c>
      <c r="Q398" s="174">
        <f t="shared" si="86"/>
        <v>97</v>
      </c>
      <c r="R398" s="174">
        <f>VLOOKUP(D398,原始分!$D:$N,9,0)</f>
        <v>0</v>
      </c>
      <c r="S398" s="174">
        <f t="shared" si="87"/>
        <v>320</v>
      </c>
      <c r="T398" s="174">
        <f>VLOOKUP(D398,原始分!$D:$N,10,0)</f>
        <v>0</v>
      </c>
      <c r="U398" s="174">
        <f t="shared" si="88"/>
        <v>316</v>
      </c>
      <c r="V398" s="174">
        <f>VLOOKUP(D398,原始分!$D:$N,11,0)</f>
        <v>60</v>
      </c>
      <c r="W398" s="174">
        <f t="shared" si="89"/>
        <v>91</v>
      </c>
      <c r="X398" s="11">
        <f t="shared" si="90"/>
        <v>337</v>
      </c>
      <c r="Y398" s="9">
        <f t="shared" si="91"/>
        <v>51</v>
      </c>
      <c r="Z398" s="11">
        <f t="shared" si="92"/>
        <v>524.5</v>
      </c>
      <c r="AA398" s="9">
        <f t="shared" si="80"/>
        <v>26</v>
      </c>
    </row>
    <row r="399" ht="14.25" spans="1:27">
      <c r="A399" s="13">
        <v>397</v>
      </c>
      <c r="B399" s="15">
        <v>9</v>
      </c>
      <c r="C399" s="16">
        <v>12</v>
      </c>
      <c r="D399" s="17" t="s">
        <v>804</v>
      </c>
      <c r="E399" s="17" t="s">
        <v>805</v>
      </c>
      <c r="F399" s="174">
        <f>VLOOKUP(D399,原始分!$D:$N,3,0)</f>
        <v>94</v>
      </c>
      <c r="G399" s="174">
        <f t="shared" si="81"/>
        <v>661</v>
      </c>
      <c r="H399" s="174">
        <f>VLOOKUP(D399,原始分!$D:$N,4,0)</f>
        <v>121</v>
      </c>
      <c r="I399" s="174">
        <f t="shared" si="82"/>
        <v>57</v>
      </c>
      <c r="J399" s="174">
        <f>VLOOKUP(D399,原始分!$D:$N,5,0)</f>
        <v>102.75</v>
      </c>
      <c r="K399" s="174">
        <f t="shared" si="83"/>
        <v>313</v>
      </c>
      <c r="L399" s="174">
        <f>VLOOKUP(D399,原始分!$D:$N,6,0)</f>
        <v>55.5</v>
      </c>
      <c r="M399" s="174">
        <f t="shared" si="84"/>
        <v>262</v>
      </c>
      <c r="N399" s="174">
        <f>VLOOKUP(D399,原始分!$D:$N,7,0)</f>
        <v>0</v>
      </c>
      <c r="O399" s="174">
        <f t="shared" si="85"/>
        <v>207</v>
      </c>
      <c r="P399" s="174">
        <f>VLOOKUP(D399,原始分!$D:$N,8,0)</f>
        <v>29</v>
      </c>
      <c r="Q399" s="174">
        <f t="shared" si="86"/>
        <v>484</v>
      </c>
      <c r="R399" s="174">
        <f>VLOOKUP(D399,原始分!$D:$N,9,0)</f>
        <v>0</v>
      </c>
      <c r="S399" s="174">
        <f t="shared" si="87"/>
        <v>320</v>
      </c>
      <c r="T399" s="174">
        <f>VLOOKUP(D399,原始分!$D:$N,10,0)</f>
        <v>0</v>
      </c>
      <c r="U399" s="174">
        <f t="shared" si="88"/>
        <v>316</v>
      </c>
      <c r="V399" s="174">
        <f>VLOOKUP(D399,原始分!$D:$N,11,0)</f>
        <v>68.5</v>
      </c>
      <c r="W399" s="174">
        <f t="shared" si="89"/>
        <v>23</v>
      </c>
      <c r="X399" s="11">
        <f t="shared" si="90"/>
        <v>317.75</v>
      </c>
      <c r="Y399" s="9">
        <f t="shared" si="91"/>
        <v>180</v>
      </c>
      <c r="Z399" s="11">
        <f t="shared" si="92"/>
        <v>470.75</v>
      </c>
      <c r="AA399" s="9">
        <f t="shared" si="80"/>
        <v>171</v>
      </c>
    </row>
    <row r="400" ht="14.25" spans="1:27">
      <c r="A400" s="13">
        <v>398</v>
      </c>
      <c r="B400" s="15">
        <v>9</v>
      </c>
      <c r="C400" s="16">
        <v>13</v>
      </c>
      <c r="D400" s="17" t="s">
        <v>806</v>
      </c>
      <c r="E400" s="17" t="s">
        <v>807</v>
      </c>
      <c r="F400" s="174">
        <f>VLOOKUP(D400,原始分!$D:$N,3,0)</f>
        <v>108</v>
      </c>
      <c r="G400" s="174">
        <f t="shared" si="81"/>
        <v>77</v>
      </c>
      <c r="H400" s="174">
        <f>VLOOKUP(D400,原始分!$D:$N,4,0)</f>
        <v>118.5</v>
      </c>
      <c r="I400" s="174">
        <f t="shared" si="82"/>
        <v>84</v>
      </c>
      <c r="J400" s="174">
        <f>VLOOKUP(D400,原始分!$D:$N,5,0)</f>
        <v>122.5</v>
      </c>
      <c r="K400" s="174">
        <f t="shared" si="83"/>
        <v>20</v>
      </c>
      <c r="L400" s="174">
        <f>VLOOKUP(D400,原始分!$D:$N,6,0)</f>
        <v>76.5</v>
      </c>
      <c r="M400" s="174">
        <f t="shared" si="84"/>
        <v>22</v>
      </c>
      <c r="N400" s="174">
        <f>VLOOKUP(D400,原始分!$D:$N,7,0)</f>
        <v>0</v>
      </c>
      <c r="O400" s="174">
        <f t="shared" si="85"/>
        <v>207</v>
      </c>
      <c r="P400" s="174">
        <f>VLOOKUP(D400,原始分!$D:$N,8,0)</f>
        <v>51.5</v>
      </c>
      <c r="Q400" s="174">
        <f t="shared" si="86"/>
        <v>90</v>
      </c>
      <c r="R400" s="174">
        <f>VLOOKUP(D400,原始分!$D:$N,9,0)</f>
        <v>0</v>
      </c>
      <c r="S400" s="174">
        <f t="shared" si="87"/>
        <v>320</v>
      </c>
      <c r="T400" s="174">
        <f>VLOOKUP(D400,原始分!$D:$N,10,0)</f>
        <v>0</v>
      </c>
      <c r="U400" s="174">
        <f t="shared" si="88"/>
        <v>316</v>
      </c>
      <c r="V400" s="174">
        <f>VLOOKUP(D400,原始分!$D:$N,11,0)</f>
        <v>56</v>
      </c>
      <c r="W400" s="174">
        <f t="shared" si="89"/>
        <v>160</v>
      </c>
      <c r="X400" s="11">
        <f t="shared" si="90"/>
        <v>349</v>
      </c>
      <c r="Y400" s="9">
        <f t="shared" si="91"/>
        <v>17</v>
      </c>
      <c r="Z400" s="11">
        <f t="shared" si="92"/>
        <v>533</v>
      </c>
      <c r="AA400" s="9">
        <f t="shared" si="80"/>
        <v>21</v>
      </c>
    </row>
    <row r="401" ht="14.25" spans="1:27">
      <c r="A401" s="13">
        <v>399</v>
      </c>
      <c r="B401" s="15">
        <v>9</v>
      </c>
      <c r="C401" s="16">
        <v>14</v>
      </c>
      <c r="D401" s="17" t="s">
        <v>808</v>
      </c>
      <c r="E401" s="17" t="s">
        <v>809</v>
      </c>
      <c r="F401" s="174">
        <f>VLOOKUP(D401,原始分!$D:$N,3,0)</f>
        <v>116</v>
      </c>
      <c r="G401" s="174">
        <f t="shared" si="81"/>
        <v>5</v>
      </c>
      <c r="H401" s="174">
        <f>VLOOKUP(D401,原始分!$D:$N,4,0)</f>
        <v>123.5</v>
      </c>
      <c r="I401" s="174">
        <f t="shared" si="82"/>
        <v>45</v>
      </c>
      <c r="J401" s="174">
        <f>VLOOKUP(D401,原始分!$D:$N,5,0)</f>
        <v>117.75</v>
      </c>
      <c r="K401" s="174">
        <f t="shared" si="83"/>
        <v>69</v>
      </c>
      <c r="L401" s="174">
        <f>VLOOKUP(D401,原始分!$D:$N,6,0)</f>
        <v>84</v>
      </c>
      <c r="M401" s="174">
        <f t="shared" si="84"/>
        <v>4</v>
      </c>
      <c r="N401" s="174">
        <f>VLOOKUP(D401,原始分!$D:$N,7,0)</f>
        <v>0</v>
      </c>
      <c r="O401" s="174">
        <f t="shared" si="85"/>
        <v>207</v>
      </c>
      <c r="P401" s="174">
        <f>VLOOKUP(D401,原始分!$D:$N,8,0)</f>
        <v>64.5</v>
      </c>
      <c r="Q401" s="174">
        <f t="shared" si="86"/>
        <v>10</v>
      </c>
      <c r="R401" s="174">
        <f>VLOOKUP(D401,原始分!$D:$N,9,0)</f>
        <v>0</v>
      </c>
      <c r="S401" s="174">
        <f t="shared" si="87"/>
        <v>320</v>
      </c>
      <c r="T401" s="174">
        <f>VLOOKUP(D401,原始分!$D:$N,10,0)</f>
        <v>0</v>
      </c>
      <c r="U401" s="174">
        <f t="shared" si="88"/>
        <v>316</v>
      </c>
      <c r="V401" s="174">
        <f>VLOOKUP(D401,原始分!$D:$N,11,0)</f>
        <v>71</v>
      </c>
      <c r="W401" s="174">
        <f t="shared" si="89"/>
        <v>13</v>
      </c>
      <c r="X401" s="11">
        <f t="shared" si="90"/>
        <v>357.25</v>
      </c>
      <c r="Y401" s="9">
        <f t="shared" si="91"/>
        <v>6</v>
      </c>
      <c r="Z401" s="11">
        <f t="shared" si="92"/>
        <v>576.75</v>
      </c>
      <c r="AA401" s="9">
        <f t="shared" si="80"/>
        <v>4</v>
      </c>
    </row>
    <row r="402" ht="14.25" spans="1:27">
      <c r="A402" s="13">
        <v>400</v>
      </c>
      <c r="B402" s="15">
        <v>9</v>
      </c>
      <c r="C402" s="16">
        <v>15</v>
      </c>
      <c r="D402" s="17" t="s">
        <v>810</v>
      </c>
      <c r="E402" s="17" t="s">
        <v>811</v>
      </c>
      <c r="F402" s="174">
        <f>VLOOKUP(D402,原始分!$D:$N,3,0)</f>
        <v>99</v>
      </c>
      <c r="G402" s="174">
        <f t="shared" si="81"/>
        <v>442</v>
      </c>
      <c r="H402" s="174">
        <f>VLOOKUP(D402,原始分!$D:$N,4,0)</f>
        <v>124.5</v>
      </c>
      <c r="I402" s="174">
        <f t="shared" si="82"/>
        <v>37</v>
      </c>
      <c r="J402" s="174">
        <f>VLOOKUP(D402,原始分!$D:$N,5,0)</f>
        <v>118.75</v>
      </c>
      <c r="K402" s="174">
        <f t="shared" si="83"/>
        <v>56</v>
      </c>
      <c r="L402" s="174">
        <f>VLOOKUP(D402,原始分!$D:$N,6,0)</f>
        <v>71.5</v>
      </c>
      <c r="M402" s="174">
        <f t="shared" si="84"/>
        <v>55</v>
      </c>
      <c r="N402" s="174">
        <f>VLOOKUP(D402,原始分!$D:$N,7,0)</f>
        <v>0</v>
      </c>
      <c r="O402" s="174">
        <f t="shared" si="85"/>
        <v>207</v>
      </c>
      <c r="P402" s="174">
        <f>VLOOKUP(D402,原始分!$D:$N,8,0)</f>
        <v>61</v>
      </c>
      <c r="Q402" s="174">
        <f t="shared" si="86"/>
        <v>21</v>
      </c>
      <c r="R402" s="174">
        <f>VLOOKUP(D402,原始分!$D:$N,9,0)</f>
        <v>0</v>
      </c>
      <c r="S402" s="174">
        <f t="shared" si="87"/>
        <v>320</v>
      </c>
      <c r="T402" s="174">
        <f>VLOOKUP(D402,原始分!$D:$N,10,0)</f>
        <v>0</v>
      </c>
      <c r="U402" s="174">
        <f t="shared" si="88"/>
        <v>316</v>
      </c>
      <c r="V402" s="174">
        <f>VLOOKUP(D402,原始分!$D:$N,11,0)</f>
        <v>60.5</v>
      </c>
      <c r="W402" s="174">
        <f t="shared" si="89"/>
        <v>84</v>
      </c>
      <c r="X402" s="11">
        <f t="shared" si="90"/>
        <v>342.25</v>
      </c>
      <c r="Y402" s="9">
        <f t="shared" si="91"/>
        <v>35</v>
      </c>
      <c r="Z402" s="11">
        <f t="shared" si="92"/>
        <v>535.25</v>
      </c>
      <c r="AA402" s="9">
        <f t="shared" si="80"/>
        <v>17</v>
      </c>
    </row>
    <row r="403" ht="14.25" spans="1:27">
      <c r="A403" s="13">
        <v>401</v>
      </c>
      <c r="B403" s="15">
        <v>9</v>
      </c>
      <c r="C403" s="16">
        <v>16</v>
      </c>
      <c r="D403" s="17" t="s">
        <v>812</v>
      </c>
      <c r="E403" s="17" t="s">
        <v>813</v>
      </c>
      <c r="F403" s="174">
        <f>VLOOKUP(D403,原始分!$D:$N,3,0)</f>
        <v>100</v>
      </c>
      <c r="G403" s="174">
        <f t="shared" si="81"/>
        <v>400</v>
      </c>
      <c r="H403" s="174">
        <f>VLOOKUP(D403,原始分!$D:$N,4,0)</f>
        <v>120</v>
      </c>
      <c r="I403" s="174">
        <f t="shared" si="82"/>
        <v>67</v>
      </c>
      <c r="J403" s="174">
        <f>VLOOKUP(D403,原始分!$D:$N,5,0)</f>
        <v>120.25</v>
      </c>
      <c r="K403" s="174">
        <f t="shared" si="83"/>
        <v>42</v>
      </c>
      <c r="L403" s="174">
        <f>VLOOKUP(D403,原始分!$D:$N,6,0)</f>
        <v>78</v>
      </c>
      <c r="M403" s="174">
        <f t="shared" si="84"/>
        <v>16</v>
      </c>
      <c r="N403" s="174">
        <f>VLOOKUP(D403,原始分!$D:$N,7,0)</f>
        <v>0</v>
      </c>
      <c r="O403" s="174">
        <f t="shared" si="85"/>
        <v>207</v>
      </c>
      <c r="P403" s="174">
        <f>VLOOKUP(D403,原始分!$D:$N,8,0)</f>
        <v>40</v>
      </c>
      <c r="Q403" s="174">
        <f t="shared" si="86"/>
        <v>316</v>
      </c>
      <c r="R403" s="174">
        <f>VLOOKUP(D403,原始分!$D:$N,9,0)</f>
        <v>0</v>
      </c>
      <c r="S403" s="174">
        <f t="shared" si="87"/>
        <v>320</v>
      </c>
      <c r="T403" s="174">
        <f>VLOOKUP(D403,原始分!$D:$N,10,0)</f>
        <v>0</v>
      </c>
      <c r="U403" s="174">
        <f t="shared" si="88"/>
        <v>316</v>
      </c>
      <c r="V403" s="174">
        <f>VLOOKUP(D403,原始分!$D:$N,11,0)</f>
        <v>59.5</v>
      </c>
      <c r="W403" s="174">
        <f t="shared" si="89"/>
        <v>99</v>
      </c>
      <c r="X403" s="11">
        <f t="shared" si="90"/>
        <v>340.25</v>
      </c>
      <c r="Y403" s="9">
        <f t="shared" si="91"/>
        <v>40</v>
      </c>
      <c r="Z403" s="11">
        <f t="shared" si="92"/>
        <v>517.75</v>
      </c>
      <c r="AA403" s="9">
        <f t="shared" si="80"/>
        <v>39</v>
      </c>
    </row>
    <row r="404" ht="14.25" spans="1:27">
      <c r="A404" s="13">
        <v>402</v>
      </c>
      <c r="B404" s="15">
        <v>9</v>
      </c>
      <c r="C404" s="16">
        <v>17</v>
      </c>
      <c r="D404" s="17" t="s">
        <v>814</v>
      </c>
      <c r="E404" s="17" t="s">
        <v>815</v>
      </c>
      <c r="F404" s="174">
        <f>VLOOKUP(D404,原始分!$D:$N,3,0)</f>
        <v>107</v>
      </c>
      <c r="G404" s="174">
        <f t="shared" si="81"/>
        <v>113</v>
      </c>
      <c r="H404" s="174">
        <f>VLOOKUP(D404,原始分!$D:$N,4,0)</f>
        <v>137</v>
      </c>
      <c r="I404" s="174">
        <f t="shared" si="82"/>
        <v>2</v>
      </c>
      <c r="J404" s="174">
        <f>VLOOKUP(D404,原始分!$D:$N,5,0)</f>
        <v>102</v>
      </c>
      <c r="K404" s="174">
        <f t="shared" si="83"/>
        <v>323</v>
      </c>
      <c r="L404" s="174">
        <f>VLOOKUP(D404,原始分!$D:$N,6,0)</f>
        <v>77</v>
      </c>
      <c r="M404" s="174">
        <f t="shared" si="84"/>
        <v>20</v>
      </c>
      <c r="N404" s="174">
        <f>VLOOKUP(D404,原始分!$D:$N,7,0)</f>
        <v>0</v>
      </c>
      <c r="O404" s="174">
        <f t="shared" si="85"/>
        <v>207</v>
      </c>
      <c r="P404" s="174">
        <f>VLOOKUP(D404,原始分!$D:$N,8,0)</f>
        <v>70</v>
      </c>
      <c r="Q404" s="174">
        <f t="shared" si="86"/>
        <v>3</v>
      </c>
      <c r="R404" s="174">
        <f>VLOOKUP(D404,原始分!$D:$N,9,0)</f>
        <v>0</v>
      </c>
      <c r="S404" s="174">
        <f t="shared" si="87"/>
        <v>320</v>
      </c>
      <c r="T404" s="174">
        <f>VLOOKUP(D404,原始分!$D:$N,10,0)</f>
        <v>0</v>
      </c>
      <c r="U404" s="174">
        <f t="shared" si="88"/>
        <v>316</v>
      </c>
      <c r="V404" s="174">
        <f>VLOOKUP(D404,原始分!$D:$N,11,0)</f>
        <v>59.5</v>
      </c>
      <c r="W404" s="174">
        <f t="shared" si="89"/>
        <v>99</v>
      </c>
      <c r="X404" s="11">
        <f t="shared" si="90"/>
        <v>346</v>
      </c>
      <c r="Y404" s="9">
        <f t="shared" si="91"/>
        <v>22</v>
      </c>
      <c r="Z404" s="11">
        <f t="shared" si="92"/>
        <v>552.5</v>
      </c>
      <c r="AA404" s="9">
        <f t="shared" si="80"/>
        <v>9</v>
      </c>
    </row>
    <row r="405" ht="14.25" spans="1:27">
      <c r="A405" s="13">
        <v>403</v>
      </c>
      <c r="B405" s="15">
        <v>9</v>
      </c>
      <c r="C405" s="16">
        <v>18</v>
      </c>
      <c r="D405" s="17" t="s">
        <v>816</v>
      </c>
      <c r="E405" s="17" t="s">
        <v>817</v>
      </c>
      <c r="F405" s="174">
        <f>VLOOKUP(D405,原始分!$D:$N,3,0)</f>
        <v>104</v>
      </c>
      <c r="G405" s="174">
        <f t="shared" si="81"/>
        <v>209</v>
      </c>
      <c r="H405" s="174">
        <f>VLOOKUP(D405,原始分!$D:$N,4,0)</f>
        <v>132</v>
      </c>
      <c r="I405" s="174">
        <f t="shared" si="82"/>
        <v>7</v>
      </c>
      <c r="J405" s="174">
        <f>VLOOKUP(D405,原始分!$D:$N,5,0)</f>
        <v>118</v>
      </c>
      <c r="K405" s="174">
        <f t="shared" si="83"/>
        <v>65</v>
      </c>
      <c r="L405" s="174">
        <f>VLOOKUP(D405,原始分!$D:$N,6,0)</f>
        <v>80.5</v>
      </c>
      <c r="M405" s="174">
        <f t="shared" si="84"/>
        <v>10</v>
      </c>
      <c r="N405" s="174">
        <f>VLOOKUP(D405,原始分!$D:$N,7,0)</f>
        <v>0</v>
      </c>
      <c r="O405" s="174">
        <f t="shared" si="85"/>
        <v>207</v>
      </c>
      <c r="P405" s="174">
        <f>VLOOKUP(D405,原始分!$D:$N,8,0)</f>
        <v>54.5</v>
      </c>
      <c r="Q405" s="174">
        <f t="shared" si="86"/>
        <v>54</v>
      </c>
      <c r="R405" s="174">
        <f>VLOOKUP(D405,原始分!$D:$N,9,0)</f>
        <v>0</v>
      </c>
      <c r="S405" s="174">
        <f t="shared" si="87"/>
        <v>320</v>
      </c>
      <c r="T405" s="174">
        <f>VLOOKUP(D405,原始分!$D:$N,10,0)</f>
        <v>0</v>
      </c>
      <c r="U405" s="174">
        <f t="shared" si="88"/>
        <v>316</v>
      </c>
      <c r="V405" s="174">
        <f>VLOOKUP(D405,原始分!$D:$N,11,0)</f>
        <v>64</v>
      </c>
      <c r="W405" s="174">
        <f t="shared" si="89"/>
        <v>50</v>
      </c>
      <c r="X405" s="11">
        <f t="shared" si="90"/>
        <v>354</v>
      </c>
      <c r="Y405" s="9">
        <f t="shared" si="91"/>
        <v>11</v>
      </c>
      <c r="Z405" s="11">
        <f t="shared" si="92"/>
        <v>553</v>
      </c>
      <c r="AA405" s="9">
        <f t="shared" si="80"/>
        <v>8</v>
      </c>
    </row>
    <row r="406" ht="14.25" spans="1:27">
      <c r="A406" s="13">
        <v>404</v>
      </c>
      <c r="B406" s="15">
        <v>9</v>
      </c>
      <c r="C406" s="16">
        <v>19</v>
      </c>
      <c r="D406" s="17" t="s">
        <v>818</v>
      </c>
      <c r="E406" s="17" t="s">
        <v>819</v>
      </c>
      <c r="F406" s="174">
        <f>VLOOKUP(D406,原始分!$D:$N,3,0)</f>
        <v>103.5</v>
      </c>
      <c r="G406" s="174">
        <f t="shared" si="81"/>
        <v>230</v>
      </c>
      <c r="H406" s="174">
        <f>VLOOKUP(D406,原始分!$D:$N,4,0)</f>
        <v>117</v>
      </c>
      <c r="I406" s="174">
        <f t="shared" si="82"/>
        <v>98</v>
      </c>
      <c r="J406" s="174">
        <f>VLOOKUP(D406,原始分!$D:$N,5,0)</f>
        <v>105.25</v>
      </c>
      <c r="K406" s="174">
        <f t="shared" si="83"/>
        <v>270</v>
      </c>
      <c r="L406" s="174">
        <f>VLOOKUP(D406,原始分!$D:$N,6,0)</f>
        <v>55.5</v>
      </c>
      <c r="M406" s="174">
        <f t="shared" si="84"/>
        <v>262</v>
      </c>
      <c r="N406" s="174">
        <f>VLOOKUP(D406,原始分!$D:$N,7,0)</f>
        <v>0</v>
      </c>
      <c r="O406" s="174">
        <f t="shared" si="85"/>
        <v>207</v>
      </c>
      <c r="P406" s="174">
        <f>VLOOKUP(D406,原始分!$D:$N,8,0)</f>
        <v>49.5</v>
      </c>
      <c r="Q406" s="174">
        <f t="shared" si="86"/>
        <v>120</v>
      </c>
      <c r="R406" s="174">
        <f>VLOOKUP(D406,原始分!$D:$N,9,0)</f>
        <v>0</v>
      </c>
      <c r="S406" s="174">
        <f t="shared" si="87"/>
        <v>320</v>
      </c>
      <c r="T406" s="174">
        <f>VLOOKUP(D406,原始分!$D:$N,10,0)</f>
        <v>0</v>
      </c>
      <c r="U406" s="174">
        <f t="shared" si="88"/>
        <v>316</v>
      </c>
      <c r="V406" s="174">
        <f>VLOOKUP(D406,原始分!$D:$N,11,0)</f>
        <v>61.5</v>
      </c>
      <c r="W406" s="174">
        <f t="shared" si="89"/>
        <v>74</v>
      </c>
      <c r="X406" s="11">
        <f t="shared" si="90"/>
        <v>325.75</v>
      </c>
      <c r="Y406" s="9">
        <f t="shared" si="91"/>
        <v>113</v>
      </c>
      <c r="Z406" s="11">
        <f t="shared" si="92"/>
        <v>492.25</v>
      </c>
      <c r="AA406" s="9">
        <f t="shared" si="80"/>
        <v>100</v>
      </c>
    </row>
    <row r="407" ht="14.25" spans="1:27">
      <c r="A407" s="13">
        <v>405</v>
      </c>
      <c r="B407" s="15">
        <v>9</v>
      </c>
      <c r="C407" s="16">
        <v>20</v>
      </c>
      <c r="D407" s="17" t="s">
        <v>820</v>
      </c>
      <c r="E407" s="17" t="s">
        <v>821</v>
      </c>
      <c r="F407" s="174">
        <f>VLOOKUP(D407,原始分!$D:$N,3,0)</f>
        <v>93.5</v>
      </c>
      <c r="G407" s="174">
        <f t="shared" si="81"/>
        <v>676</v>
      </c>
      <c r="H407" s="174">
        <f>VLOOKUP(D407,原始分!$D:$N,4,0)</f>
        <v>123</v>
      </c>
      <c r="I407" s="174">
        <f t="shared" si="82"/>
        <v>49</v>
      </c>
      <c r="J407" s="174">
        <f>VLOOKUP(D407,原始分!$D:$N,5,0)</f>
        <v>119</v>
      </c>
      <c r="K407" s="174">
        <f t="shared" si="83"/>
        <v>49</v>
      </c>
      <c r="L407" s="174">
        <f>VLOOKUP(D407,原始分!$D:$N,6,0)</f>
        <v>66.5</v>
      </c>
      <c r="M407" s="174">
        <f t="shared" si="84"/>
        <v>88</v>
      </c>
      <c r="N407" s="174">
        <f>VLOOKUP(D407,原始分!$D:$N,7,0)</f>
        <v>0</v>
      </c>
      <c r="O407" s="174">
        <f t="shared" si="85"/>
        <v>207</v>
      </c>
      <c r="P407" s="174">
        <f>VLOOKUP(D407,原始分!$D:$N,8,0)</f>
        <v>45.5</v>
      </c>
      <c r="Q407" s="174">
        <f t="shared" si="86"/>
        <v>203</v>
      </c>
      <c r="R407" s="174">
        <f>VLOOKUP(D407,原始分!$D:$N,9,0)</f>
        <v>0</v>
      </c>
      <c r="S407" s="174">
        <f t="shared" si="87"/>
        <v>320</v>
      </c>
      <c r="T407" s="174">
        <f>VLOOKUP(D407,原始分!$D:$N,10,0)</f>
        <v>0</v>
      </c>
      <c r="U407" s="174">
        <f t="shared" si="88"/>
        <v>316</v>
      </c>
      <c r="V407" s="174">
        <f>VLOOKUP(D407,原始分!$D:$N,11,0)</f>
        <v>56</v>
      </c>
      <c r="W407" s="174">
        <f t="shared" si="89"/>
        <v>160</v>
      </c>
      <c r="X407" s="11">
        <f t="shared" si="90"/>
        <v>335.5</v>
      </c>
      <c r="Y407" s="9">
        <f t="shared" si="91"/>
        <v>63</v>
      </c>
      <c r="Z407" s="11">
        <f t="shared" si="92"/>
        <v>503.5</v>
      </c>
      <c r="AA407" s="9">
        <f t="shared" si="80"/>
        <v>69</v>
      </c>
    </row>
    <row r="408" ht="14.25" spans="1:27">
      <c r="A408" s="13">
        <v>406</v>
      </c>
      <c r="B408" s="15">
        <v>9</v>
      </c>
      <c r="C408" s="16">
        <v>21</v>
      </c>
      <c r="D408" s="17" t="s">
        <v>822</v>
      </c>
      <c r="E408" s="17" t="s">
        <v>823</v>
      </c>
      <c r="F408" s="174">
        <f>VLOOKUP(D408,原始分!$D:$N,3,0)</f>
        <v>103</v>
      </c>
      <c r="G408" s="174">
        <f t="shared" si="81"/>
        <v>260</v>
      </c>
      <c r="H408" s="174">
        <f>VLOOKUP(D408,原始分!$D:$N,4,0)</f>
        <v>118.5</v>
      </c>
      <c r="I408" s="174">
        <f t="shared" si="82"/>
        <v>84</v>
      </c>
      <c r="J408" s="174">
        <f>VLOOKUP(D408,原始分!$D:$N,5,0)</f>
        <v>112.75</v>
      </c>
      <c r="K408" s="174">
        <f t="shared" si="83"/>
        <v>137</v>
      </c>
      <c r="L408" s="174">
        <f>VLOOKUP(D408,原始分!$D:$N,6,0)</f>
        <v>59.5</v>
      </c>
      <c r="M408" s="174">
        <f t="shared" si="84"/>
        <v>195</v>
      </c>
      <c r="N408" s="174">
        <f>VLOOKUP(D408,原始分!$D:$N,7,0)</f>
        <v>0</v>
      </c>
      <c r="O408" s="174">
        <f t="shared" si="85"/>
        <v>207</v>
      </c>
      <c r="P408" s="174">
        <f>VLOOKUP(D408,原始分!$D:$N,8,0)</f>
        <v>33</v>
      </c>
      <c r="Q408" s="174">
        <f t="shared" si="86"/>
        <v>435</v>
      </c>
      <c r="R408" s="174">
        <f>VLOOKUP(D408,原始分!$D:$N,9,0)</f>
        <v>0</v>
      </c>
      <c r="S408" s="174">
        <f t="shared" si="87"/>
        <v>320</v>
      </c>
      <c r="T408" s="174">
        <f>VLOOKUP(D408,原始分!$D:$N,10,0)</f>
        <v>0</v>
      </c>
      <c r="U408" s="174">
        <f t="shared" si="88"/>
        <v>316</v>
      </c>
      <c r="V408" s="174">
        <f>VLOOKUP(D408,原始分!$D:$N,11,0)</f>
        <v>46</v>
      </c>
      <c r="W408" s="174">
        <f t="shared" si="89"/>
        <v>386</v>
      </c>
      <c r="X408" s="11">
        <f t="shared" si="90"/>
        <v>334.25</v>
      </c>
      <c r="Y408" s="9">
        <f t="shared" si="91"/>
        <v>71</v>
      </c>
      <c r="Z408" s="11">
        <f t="shared" si="92"/>
        <v>472.75</v>
      </c>
      <c r="AA408" s="9">
        <f t="shared" si="80"/>
        <v>165</v>
      </c>
    </row>
    <row r="409" ht="14.25" spans="1:27">
      <c r="A409" s="13">
        <v>407</v>
      </c>
      <c r="B409" s="15">
        <v>9</v>
      </c>
      <c r="C409" s="16">
        <v>22</v>
      </c>
      <c r="D409" s="17" t="s">
        <v>824</v>
      </c>
      <c r="E409" s="17" t="s">
        <v>825</v>
      </c>
      <c r="F409" s="174">
        <f>VLOOKUP(D409,原始分!$D:$N,3,0)</f>
        <v>100.75</v>
      </c>
      <c r="G409" s="174">
        <f t="shared" si="81"/>
        <v>364</v>
      </c>
      <c r="H409" s="174">
        <f>VLOOKUP(D409,原始分!$D:$N,4,0)</f>
        <v>104</v>
      </c>
      <c r="I409" s="174">
        <f t="shared" si="82"/>
        <v>341</v>
      </c>
      <c r="J409" s="174">
        <f>VLOOKUP(D409,原始分!$D:$N,5,0)</f>
        <v>117</v>
      </c>
      <c r="K409" s="174">
        <f t="shared" si="83"/>
        <v>77</v>
      </c>
      <c r="L409" s="174">
        <f>VLOOKUP(D409,原始分!$D:$N,6,0)</f>
        <v>72.5</v>
      </c>
      <c r="M409" s="174">
        <f t="shared" si="84"/>
        <v>52</v>
      </c>
      <c r="N409" s="174">
        <f>VLOOKUP(D409,原始分!$D:$N,7,0)</f>
        <v>0</v>
      </c>
      <c r="O409" s="174">
        <f t="shared" si="85"/>
        <v>207</v>
      </c>
      <c r="P409" s="174">
        <f>VLOOKUP(D409,原始分!$D:$N,8,0)</f>
        <v>62</v>
      </c>
      <c r="Q409" s="174">
        <f t="shared" si="86"/>
        <v>17</v>
      </c>
      <c r="R409" s="174">
        <f>VLOOKUP(D409,原始分!$D:$N,9,0)</f>
        <v>0</v>
      </c>
      <c r="S409" s="174">
        <f t="shared" si="87"/>
        <v>320</v>
      </c>
      <c r="T409" s="174">
        <f>VLOOKUP(D409,原始分!$D:$N,10,0)</f>
        <v>0</v>
      </c>
      <c r="U409" s="174">
        <f t="shared" si="88"/>
        <v>316</v>
      </c>
      <c r="V409" s="174">
        <f>VLOOKUP(D409,原始分!$D:$N,11,0)</f>
        <v>64.5</v>
      </c>
      <c r="W409" s="174">
        <f t="shared" si="89"/>
        <v>41</v>
      </c>
      <c r="X409" s="11">
        <f t="shared" si="90"/>
        <v>321.75</v>
      </c>
      <c r="Y409" s="9">
        <f t="shared" si="91"/>
        <v>145</v>
      </c>
      <c r="Z409" s="11">
        <f t="shared" si="92"/>
        <v>520.75</v>
      </c>
      <c r="AA409" s="9">
        <f t="shared" si="80"/>
        <v>34</v>
      </c>
    </row>
    <row r="410" ht="14.25" spans="1:27">
      <c r="A410" s="13">
        <v>408</v>
      </c>
      <c r="B410" s="15">
        <v>9</v>
      </c>
      <c r="C410" s="16">
        <v>23</v>
      </c>
      <c r="D410" s="17" t="s">
        <v>826</v>
      </c>
      <c r="E410" s="17" t="s">
        <v>827</v>
      </c>
      <c r="F410" s="174">
        <f>VLOOKUP(D410,原始分!$D:$N,3,0)</f>
        <v>103.25</v>
      </c>
      <c r="G410" s="174">
        <f t="shared" si="81"/>
        <v>258</v>
      </c>
      <c r="H410" s="174">
        <f>VLOOKUP(D410,原始分!$D:$N,4,0)</f>
        <v>123.5</v>
      </c>
      <c r="I410" s="174">
        <f t="shared" si="82"/>
        <v>45</v>
      </c>
      <c r="J410" s="174">
        <f>VLOOKUP(D410,原始分!$D:$N,5,0)</f>
        <v>111.75</v>
      </c>
      <c r="K410" s="174">
        <f t="shared" si="83"/>
        <v>149</v>
      </c>
      <c r="L410" s="174">
        <f>VLOOKUP(D410,原始分!$D:$N,6,0)</f>
        <v>77.5</v>
      </c>
      <c r="M410" s="174">
        <f t="shared" si="84"/>
        <v>18</v>
      </c>
      <c r="N410" s="174">
        <f>VLOOKUP(D410,原始分!$D:$N,7,0)</f>
        <v>0</v>
      </c>
      <c r="O410" s="174">
        <f t="shared" si="85"/>
        <v>207</v>
      </c>
      <c r="P410" s="174">
        <f>VLOOKUP(D410,原始分!$D:$N,8,0)</f>
        <v>53.5</v>
      </c>
      <c r="Q410" s="174">
        <f t="shared" si="86"/>
        <v>62</v>
      </c>
      <c r="R410" s="174">
        <f>VLOOKUP(D410,原始分!$D:$N,9,0)</f>
        <v>0</v>
      </c>
      <c r="S410" s="174">
        <f t="shared" si="87"/>
        <v>320</v>
      </c>
      <c r="T410" s="174">
        <f>VLOOKUP(D410,原始分!$D:$N,10,0)</f>
        <v>0</v>
      </c>
      <c r="U410" s="174">
        <f t="shared" si="88"/>
        <v>316</v>
      </c>
      <c r="V410" s="174">
        <f>VLOOKUP(D410,原始分!$D:$N,11,0)</f>
        <v>62.5</v>
      </c>
      <c r="W410" s="174">
        <f t="shared" si="89"/>
        <v>61</v>
      </c>
      <c r="X410" s="11">
        <f t="shared" si="90"/>
        <v>338.5</v>
      </c>
      <c r="Y410" s="9">
        <f t="shared" si="91"/>
        <v>43</v>
      </c>
      <c r="Z410" s="11">
        <f t="shared" si="92"/>
        <v>532</v>
      </c>
      <c r="AA410" s="9">
        <f t="shared" si="80"/>
        <v>22</v>
      </c>
    </row>
    <row r="411" ht="14.25" spans="1:27">
      <c r="A411" s="13">
        <v>409</v>
      </c>
      <c r="B411" s="15">
        <v>9</v>
      </c>
      <c r="C411" s="16">
        <v>24</v>
      </c>
      <c r="D411" s="17" t="s">
        <v>828</v>
      </c>
      <c r="E411" s="17" t="s">
        <v>829</v>
      </c>
      <c r="F411" s="174">
        <f>VLOOKUP(D411,原始分!$D:$N,3,0)</f>
        <v>103</v>
      </c>
      <c r="G411" s="174">
        <f t="shared" si="81"/>
        <v>260</v>
      </c>
      <c r="H411" s="174">
        <f>VLOOKUP(D411,原始分!$D:$N,4,0)</f>
        <v>132</v>
      </c>
      <c r="I411" s="174">
        <f t="shared" si="82"/>
        <v>7</v>
      </c>
      <c r="J411" s="174">
        <f>VLOOKUP(D411,原始分!$D:$N,5,0)</f>
        <v>122</v>
      </c>
      <c r="K411" s="174">
        <f t="shared" si="83"/>
        <v>23</v>
      </c>
      <c r="L411" s="174">
        <f>VLOOKUP(D411,原始分!$D:$N,6,0)</f>
        <v>80</v>
      </c>
      <c r="M411" s="174">
        <f t="shared" si="84"/>
        <v>12</v>
      </c>
      <c r="N411" s="174">
        <f>VLOOKUP(D411,原始分!$D:$N,7,0)</f>
        <v>0</v>
      </c>
      <c r="O411" s="174">
        <f t="shared" si="85"/>
        <v>207</v>
      </c>
      <c r="P411" s="174">
        <f>VLOOKUP(D411,原始分!$D:$N,8,0)</f>
        <v>75.5</v>
      </c>
      <c r="Q411" s="174">
        <f t="shared" si="86"/>
        <v>1</v>
      </c>
      <c r="R411" s="174">
        <f>VLOOKUP(D411,原始分!$D:$N,9,0)</f>
        <v>0</v>
      </c>
      <c r="S411" s="174">
        <f t="shared" si="87"/>
        <v>320</v>
      </c>
      <c r="T411" s="174">
        <f>VLOOKUP(D411,原始分!$D:$N,10,0)</f>
        <v>0</v>
      </c>
      <c r="U411" s="174">
        <f t="shared" si="88"/>
        <v>316</v>
      </c>
      <c r="V411" s="174">
        <f>VLOOKUP(D411,原始分!$D:$N,11,0)</f>
        <v>64.5</v>
      </c>
      <c r="W411" s="174">
        <f t="shared" si="89"/>
        <v>41</v>
      </c>
      <c r="X411" s="11">
        <f t="shared" si="90"/>
        <v>357</v>
      </c>
      <c r="Y411" s="9">
        <f t="shared" si="91"/>
        <v>7</v>
      </c>
      <c r="Z411" s="11">
        <f t="shared" si="92"/>
        <v>577</v>
      </c>
      <c r="AA411" s="9">
        <f t="shared" si="80"/>
        <v>3</v>
      </c>
    </row>
    <row r="412" ht="14.25" spans="1:27">
      <c r="A412" s="13">
        <v>410</v>
      </c>
      <c r="B412" s="15">
        <v>9</v>
      </c>
      <c r="C412" s="16">
        <v>26</v>
      </c>
      <c r="D412" s="17" t="s">
        <v>830</v>
      </c>
      <c r="E412" s="17" t="s">
        <v>831</v>
      </c>
      <c r="F412" s="174">
        <f>VLOOKUP(D412,原始分!$D:$N,3,0)</f>
        <v>108.5</v>
      </c>
      <c r="G412" s="174">
        <f t="shared" si="81"/>
        <v>70</v>
      </c>
      <c r="H412" s="174">
        <f>VLOOKUP(D412,原始分!$D:$N,4,0)</f>
        <v>130</v>
      </c>
      <c r="I412" s="174">
        <f t="shared" si="82"/>
        <v>14</v>
      </c>
      <c r="J412" s="174">
        <f>VLOOKUP(D412,原始分!$D:$N,5,0)</f>
        <v>107.5</v>
      </c>
      <c r="K412" s="174">
        <f t="shared" si="83"/>
        <v>216</v>
      </c>
      <c r="L412" s="174">
        <f>VLOOKUP(D412,原始分!$D:$N,6,0)</f>
        <v>69.5</v>
      </c>
      <c r="M412" s="174">
        <f t="shared" si="84"/>
        <v>67</v>
      </c>
      <c r="N412" s="174">
        <f>VLOOKUP(D412,原始分!$D:$N,7,0)</f>
        <v>0</v>
      </c>
      <c r="O412" s="174">
        <f t="shared" si="85"/>
        <v>207</v>
      </c>
      <c r="P412" s="174">
        <f>VLOOKUP(D412,原始分!$D:$N,8,0)</f>
        <v>57</v>
      </c>
      <c r="Q412" s="174">
        <f t="shared" si="86"/>
        <v>39</v>
      </c>
      <c r="R412" s="174">
        <f>VLOOKUP(D412,原始分!$D:$N,9,0)</f>
        <v>0</v>
      </c>
      <c r="S412" s="174">
        <f t="shared" si="87"/>
        <v>320</v>
      </c>
      <c r="T412" s="174">
        <f>VLOOKUP(D412,原始分!$D:$N,10,0)</f>
        <v>0</v>
      </c>
      <c r="U412" s="174">
        <f t="shared" si="88"/>
        <v>316</v>
      </c>
      <c r="V412" s="174">
        <f>VLOOKUP(D412,原始分!$D:$N,11,0)</f>
        <v>63.5</v>
      </c>
      <c r="W412" s="174">
        <f t="shared" si="89"/>
        <v>55</v>
      </c>
      <c r="X412" s="11">
        <f t="shared" si="90"/>
        <v>346</v>
      </c>
      <c r="Y412" s="9">
        <f t="shared" si="91"/>
        <v>22</v>
      </c>
      <c r="Z412" s="11">
        <f t="shared" si="92"/>
        <v>536</v>
      </c>
      <c r="AA412" s="9">
        <f t="shared" si="80"/>
        <v>16</v>
      </c>
    </row>
    <row r="413" ht="14.25" spans="1:27">
      <c r="A413" s="13">
        <v>411</v>
      </c>
      <c r="B413" s="15">
        <v>9</v>
      </c>
      <c r="C413" s="16">
        <v>27</v>
      </c>
      <c r="D413" s="17" t="s">
        <v>832</v>
      </c>
      <c r="E413" s="17" t="s">
        <v>833</v>
      </c>
      <c r="F413" s="174">
        <f>VLOOKUP(D413,原始分!$D:$N,3,0)</f>
        <v>103</v>
      </c>
      <c r="G413" s="174">
        <f t="shared" si="81"/>
        <v>260</v>
      </c>
      <c r="H413" s="174">
        <f>VLOOKUP(D413,原始分!$D:$N,4,0)</f>
        <v>128</v>
      </c>
      <c r="I413" s="174">
        <f t="shared" si="82"/>
        <v>20</v>
      </c>
      <c r="J413" s="174">
        <f>VLOOKUP(D413,原始分!$D:$N,5,0)</f>
        <v>98.5</v>
      </c>
      <c r="K413" s="174">
        <f t="shared" si="83"/>
        <v>412</v>
      </c>
      <c r="L413" s="174">
        <f>VLOOKUP(D413,原始分!$D:$N,6,0)</f>
        <v>80.5</v>
      </c>
      <c r="M413" s="174">
        <f t="shared" si="84"/>
        <v>10</v>
      </c>
      <c r="N413" s="174">
        <f>VLOOKUP(D413,原始分!$D:$N,7,0)</f>
        <v>0</v>
      </c>
      <c r="O413" s="174">
        <f t="shared" si="85"/>
        <v>207</v>
      </c>
      <c r="P413" s="174">
        <f>VLOOKUP(D413,原始分!$D:$N,8,0)</f>
        <v>36.5</v>
      </c>
      <c r="Q413" s="174">
        <f t="shared" si="86"/>
        <v>380</v>
      </c>
      <c r="R413" s="174">
        <f>VLOOKUP(D413,原始分!$D:$N,9,0)</f>
        <v>0</v>
      </c>
      <c r="S413" s="174">
        <f t="shared" si="87"/>
        <v>320</v>
      </c>
      <c r="T413" s="174">
        <f>VLOOKUP(D413,原始分!$D:$N,10,0)</f>
        <v>0</v>
      </c>
      <c r="U413" s="174">
        <f t="shared" si="88"/>
        <v>316</v>
      </c>
      <c r="V413" s="174">
        <f>VLOOKUP(D413,原始分!$D:$N,11,0)</f>
        <v>50</v>
      </c>
      <c r="W413" s="174">
        <f t="shared" si="89"/>
        <v>302</v>
      </c>
      <c r="X413" s="11">
        <f t="shared" si="90"/>
        <v>329.5</v>
      </c>
      <c r="Y413" s="9">
        <f t="shared" si="91"/>
        <v>93</v>
      </c>
      <c r="Z413" s="11">
        <f t="shared" si="92"/>
        <v>496.5</v>
      </c>
      <c r="AA413" s="9">
        <f t="shared" si="80"/>
        <v>85</v>
      </c>
    </row>
    <row r="414" ht="14.25" spans="1:27">
      <c r="A414" s="13">
        <v>412</v>
      </c>
      <c r="B414" s="15">
        <v>9</v>
      </c>
      <c r="C414" s="16">
        <v>28</v>
      </c>
      <c r="D414" s="17" t="s">
        <v>834</v>
      </c>
      <c r="E414" s="17" t="s">
        <v>835</v>
      </c>
      <c r="F414" s="174">
        <f>VLOOKUP(D414,原始分!$D:$N,3,0)</f>
        <v>102.5</v>
      </c>
      <c r="G414" s="174">
        <f t="shared" si="81"/>
        <v>279</v>
      </c>
      <c r="H414" s="174">
        <f>VLOOKUP(D414,原始分!$D:$N,4,0)</f>
        <v>87</v>
      </c>
      <c r="I414" s="174">
        <f t="shared" si="82"/>
        <v>677</v>
      </c>
      <c r="J414" s="174">
        <f>VLOOKUP(D414,原始分!$D:$N,5,0)</f>
        <v>82</v>
      </c>
      <c r="K414" s="174">
        <f t="shared" si="83"/>
        <v>720</v>
      </c>
      <c r="L414" s="174">
        <f>VLOOKUP(D414,原始分!$D:$N,6,0)</f>
        <v>68.5</v>
      </c>
      <c r="M414" s="174">
        <f t="shared" si="84"/>
        <v>76</v>
      </c>
      <c r="N414" s="174">
        <f>VLOOKUP(D414,原始分!$D:$N,7,0)</f>
        <v>0</v>
      </c>
      <c r="O414" s="174">
        <f t="shared" si="85"/>
        <v>207</v>
      </c>
      <c r="P414" s="174">
        <f>VLOOKUP(D414,原始分!$D:$N,8,0)</f>
        <v>63.5</v>
      </c>
      <c r="Q414" s="174">
        <f t="shared" si="86"/>
        <v>12</v>
      </c>
      <c r="R414" s="174">
        <f>VLOOKUP(D414,原始分!$D:$N,9,0)</f>
        <v>0</v>
      </c>
      <c r="S414" s="174">
        <f t="shared" si="87"/>
        <v>320</v>
      </c>
      <c r="T414" s="174">
        <f>VLOOKUP(D414,原始分!$D:$N,10,0)</f>
        <v>0</v>
      </c>
      <c r="U414" s="174">
        <f t="shared" si="88"/>
        <v>316</v>
      </c>
      <c r="V414" s="174">
        <f>VLOOKUP(D414,原始分!$D:$N,11,0)</f>
        <v>73.5</v>
      </c>
      <c r="W414" s="174">
        <f t="shared" si="89"/>
        <v>8</v>
      </c>
      <c r="X414" s="11">
        <f t="shared" si="90"/>
        <v>271.5</v>
      </c>
      <c r="Y414" s="9">
        <f t="shared" si="91"/>
        <v>683</v>
      </c>
      <c r="Z414" s="11">
        <f t="shared" si="92"/>
        <v>477</v>
      </c>
      <c r="AA414" s="9">
        <f t="shared" si="80"/>
        <v>145</v>
      </c>
    </row>
    <row r="415" ht="14.25" spans="1:27">
      <c r="A415" s="13">
        <v>413</v>
      </c>
      <c r="B415" s="15">
        <v>9</v>
      </c>
      <c r="C415" s="16">
        <v>29</v>
      </c>
      <c r="D415" s="17" t="s">
        <v>836</v>
      </c>
      <c r="E415" s="17" t="s">
        <v>837</v>
      </c>
      <c r="F415" s="174">
        <f>VLOOKUP(D415,原始分!$D:$N,3,0)</f>
        <v>93.5</v>
      </c>
      <c r="G415" s="174">
        <f t="shared" si="81"/>
        <v>676</v>
      </c>
      <c r="H415" s="174">
        <f>VLOOKUP(D415,原始分!$D:$N,4,0)</f>
        <v>116</v>
      </c>
      <c r="I415" s="174">
        <f t="shared" si="82"/>
        <v>113</v>
      </c>
      <c r="J415" s="174">
        <f>VLOOKUP(D415,原始分!$D:$N,5,0)</f>
        <v>104</v>
      </c>
      <c r="K415" s="174">
        <f t="shared" si="83"/>
        <v>292</v>
      </c>
      <c r="L415" s="174">
        <f>VLOOKUP(D415,原始分!$D:$N,6,0)</f>
        <v>65.5</v>
      </c>
      <c r="M415" s="174">
        <f t="shared" si="84"/>
        <v>105</v>
      </c>
      <c r="N415" s="174">
        <f>VLOOKUP(D415,原始分!$D:$N,7,0)</f>
        <v>0</v>
      </c>
      <c r="O415" s="174">
        <f t="shared" si="85"/>
        <v>207</v>
      </c>
      <c r="P415" s="174">
        <f>VLOOKUP(D415,原始分!$D:$N,8,0)</f>
        <v>37.5</v>
      </c>
      <c r="Q415" s="174">
        <f t="shared" si="86"/>
        <v>369</v>
      </c>
      <c r="R415" s="174">
        <f>VLOOKUP(D415,原始分!$D:$N,9,0)</f>
        <v>0</v>
      </c>
      <c r="S415" s="174">
        <f t="shared" si="87"/>
        <v>320</v>
      </c>
      <c r="T415" s="174">
        <f>VLOOKUP(D415,原始分!$D:$N,10,0)</f>
        <v>0</v>
      </c>
      <c r="U415" s="174">
        <f t="shared" si="88"/>
        <v>316</v>
      </c>
      <c r="V415" s="174">
        <f>VLOOKUP(D415,原始分!$D:$N,11,0)</f>
        <v>48</v>
      </c>
      <c r="W415" s="174">
        <f t="shared" si="89"/>
        <v>341</v>
      </c>
      <c r="X415" s="11">
        <f t="shared" si="90"/>
        <v>313.5</v>
      </c>
      <c r="Y415" s="9">
        <f t="shared" si="91"/>
        <v>224</v>
      </c>
      <c r="Z415" s="11">
        <f t="shared" si="92"/>
        <v>464.5</v>
      </c>
      <c r="AA415" s="9">
        <f t="shared" si="80"/>
        <v>198</v>
      </c>
    </row>
    <row r="416" ht="14.25" spans="1:27">
      <c r="A416" s="13">
        <v>414</v>
      </c>
      <c r="B416" s="15">
        <v>9</v>
      </c>
      <c r="C416" s="16">
        <v>30</v>
      </c>
      <c r="D416" s="17" t="s">
        <v>838</v>
      </c>
      <c r="E416" s="17" t="s">
        <v>839</v>
      </c>
      <c r="F416" s="174">
        <f>VLOOKUP(D416,原始分!$D:$N,3,0)</f>
        <v>101.5</v>
      </c>
      <c r="G416" s="174">
        <f t="shared" si="81"/>
        <v>319</v>
      </c>
      <c r="H416" s="174">
        <f>VLOOKUP(D416,原始分!$D:$N,4,0)</f>
        <v>130.5</v>
      </c>
      <c r="I416" s="174">
        <f t="shared" si="82"/>
        <v>9</v>
      </c>
      <c r="J416" s="174">
        <f>VLOOKUP(D416,原始分!$D:$N,5,0)</f>
        <v>98.5</v>
      </c>
      <c r="K416" s="174">
        <f t="shared" si="83"/>
        <v>412</v>
      </c>
      <c r="L416" s="174">
        <f>VLOOKUP(D416,原始分!$D:$N,6,0)</f>
        <v>75</v>
      </c>
      <c r="M416" s="174">
        <f t="shared" si="84"/>
        <v>37</v>
      </c>
      <c r="N416" s="174">
        <f>VLOOKUP(D416,原始分!$D:$N,7,0)</f>
        <v>0</v>
      </c>
      <c r="O416" s="174">
        <f t="shared" si="85"/>
        <v>207</v>
      </c>
      <c r="P416" s="174">
        <f>VLOOKUP(D416,原始分!$D:$N,8,0)</f>
        <v>47</v>
      </c>
      <c r="Q416" s="174">
        <f t="shared" si="86"/>
        <v>173</v>
      </c>
      <c r="R416" s="174">
        <f>VLOOKUP(D416,原始分!$D:$N,9,0)</f>
        <v>0</v>
      </c>
      <c r="S416" s="174">
        <f t="shared" si="87"/>
        <v>320</v>
      </c>
      <c r="T416" s="174">
        <f>VLOOKUP(D416,原始分!$D:$N,10,0)</f>
        <v>0</v>
      </c>
      <c r="U416" s="174">
        <f t="shared" si="88"/>
        <v>316</v>
      </c>
      <c r="V416" s="174">
        <f>VLOOKUP(D416,原始分!$D:$N,11,0)</f>
        <v>64.5</v>
      </c>
      <c r="W416" s="174">
        <f t="shared" si="89"/>
        <v>41</v>
      </c>
      <c r="X416" s="11">
        <f t="shared" si="90"/>
        <v>330.5</v>
      </c>
      <c r="Y416" s="9">
        <f t="shared" si="91"/>
        <v>87</v>
      </c>
      <c r="Z416" s="11">
        <f t="shared" si="92"/>
        <v>517</v>
      </c>
      <c r="AA416" s="9">
        <f t="shared" si="80"/>
        <v>40</v>
      </c>
    </row>
    <row r="417" ht="14.25" spans="1:27">
      <c r="A417" s="13">
        <v>415</v>
      </c>
      <c r="B417" s="15">
        <v>9</v>
      </c>
      <c r="C417" s="16">
        <v>31</v>
      </c>
      <c r="D417" s="17" t="s">
        <v>840</v>
      </c>
      <c r="E417" s="17" t="s">
        <v>841</v>
      </c>
      <c r="F417" s="174">
        <f>VLOOKUP(D417,原始分!$D:$N,3,0)</f>
        <v>109</v>
      </c>
      <c r="G417" s="174">
        <f t="shared" si="81"/>
        <v>64</v>
      </c>
      <c r="H417" s="174">
        <f>VLOOKUP(D417,原始分!$D:$N,4,0)</f>
        <v>126</v>
      </c>
      <c r="I417" s="174">
        <f t="shared" si="82"/>
        <v>28</v>
      </c>
      <c r="J417" s="174">
        <f>VLOOKUP(D417,原始分!$D:$N,5,0)</f>
        <v>108.5</v>
      </c>
      <c r="K417" s="174">
        <f t="shared" si="83"/>
        <v>200</v>
      </c>
      <c r="L417" s="174">
        <f>VLOOKUP(D417,原始分!$D:$N,6,0)</f>
        <v>60</v>
      </c>
      <c r="M417" s="174">
        <f t="shared" si="84"/>
        <v>187</v>
      </c>
      <c r="N417" s="174">
        <f>VLOOKUP(D417,原始分!$D:$N,7,0)</f>
        <v>0</v>
      </c>
      <c r="O417" s="174">
        <f t="shared" si="85"/>
        <v>207</v>
      </c>
      <c r="P417" s="174">
        <f>VLOOKUP(D417,原始分!$D:$N,8,0)</f>
        <v>43</v>
      </c>
      <c r="Q417" s="174">
        <f t="shared" si="86"/>
        <v>248</v>
      </c>
      <c r="R417" s="174">
        <f>VLOOKUP(D417,原始分!$D:$N,9,0)</f>
        <v>0</v>
      </c>
      <c r="S417" s="174">
        <f t="shared" si="87"/>
        <v>320</v>
      </c>
      <c r="T417" s="174">
        <f>VLOOKUP(D417,原始分!$D:$N,10,0)</f>
        <v>0</v>
      </c>
      <c r="U417" s="174">
        <f t="shared" si="88"/>
        <v>316</v>
      </c>
      <c r="V417" s="174">
        <f>VLOOKUP(D417,原始分!$D:$N,11,0)</f>
        <v>54.5</v>
      </c>
      <c r="W417" s="174">
        <f t="shared" si="89"/>
        <v>187</v>
      </c>
      <c r="X417" s="11">
        <f t="shared" si="90"/>
        <v>343.5</v>
      </c>
      <c r="Y417" s="9">
        <f t="shared" si="91"/>
        <v>29</v>
      </c>
      <c r="Z417" s="11">
        <f t="shared" si="92"/>
        <v>501</v>
      </c>
      <c r="AA417" s="9">
        <f t="shared" ref="AA417:AA480" si="93">RANK(Z417,$Z$3:$Z$665)</f>
        <v>76</v>
      </c>
    </row>
    <row r="418" ht="14.25" spans="1:27">
      <c r="A418" s="13">
        <v>416</v>
      </c>
      <c r="B418" s="15">
        <v>9</v>
      </c>
      <c r="C418" s="16">
        <v>32</v>
      </c>
      <c r="D418" s="17" t="s">
        <v>842</v>
      </c>
      <c r="E418" s="17" t="s">
        <v>843</v>
      </c>
      <c r="F418" s="174">
        <f>VLOOKUP(D418,原始分!$D:$N,3,0)</f>
        <v>105.5</v>
      </c>
      <c r="G418" s="174">
        <f t="shared" si="81"/>
        <v>156</v>
      </c>
      <c r="H418" s="174">
        <f>VLOOKUP(D418,原始分!$D:$N,4,0)</f>
        <v>130</v>
      </c>
      <c r="I418" s="174">
        <f t="shared" si="82"/>
        <v>14</v>
      </c>
      <c r="J418" s="174">
        <f>VLOOKUP(D418,原始分!$D:$N,5,0)</f>
        <v>121.5</v>
      </c>
      <c r="K418" s="174">
        <f t="shared" si="83"/>
        <v>31</v>
      </c>
      <c r="L418" s="174">
        <f>VLOOKUP(D418,原始分!$D:$N,6,0)</f>
        <v>85</v>
      </c>
      <c r="M418" s="174">
        <f t="shared" si="84"/>
        <v>2</v>
      </c>
      <c r="N418" s="174">
        <f>VLOOKUP(D418,原始分!$D:$N,7,0)</f>
        <v>0</v>
      </c>
      <c r="O418" s="174">
        <f t="shared" si="85"/>
        <v>207</v>
      </c>
      <c r="P418" s="174">
        <f>VLOOKUP(D418,原始分!$D:$N,8,0)</f>
        <v>68</v>
      </c>
      <c r="Q418" s="174">
        <f t="shared" si="86"/>
        <v>8</v>
      </c>
      <c r="R418" s="174">
        <f>VLOOKUP(D418,原始分!$D:$N,9,0)</f>
        <v>0</v>
      </c>
      <c r="S418" s="174">
        <f t="shared" si="87"/>
        <v>320</v>
      </c>
      <c r="T418" s="174">
        <f>VLOOKUP(D418,原始分!$D:$N,10,0)</f>
        <v>0</v>
      </c>
      <c r="U418" s="174">
        <f t="shared" si="88"/>
        <v>316</v>
      </c>
      <c r="V418" s="174">
        <f>VLOOKUP(D418,原始分!$D:$N,11,0)</f>
        <v>74</v>
      </c>
      <c r="W418" s="174">
        <f t="shared" si="89"/>
        <v>5</v>
      </c>
      <c r="X418" s="11">
        <f t="shared" si="90"/>
        <v>357</v>
      </c>
      <c r="Y418" s="9">
        <f t="shared" si="91"/>
        <v>7</v>
      </c>
      <c r="Z418" s="11">
        <f t="shared" si="92"/>
        <v>584</v>
      </c>
      <c r="AA418" s="9">
        <f t="shared" si="93"/>
        <v>2</v>
      </c>
    </row>
    <row r="419" ht="14.25" spans="1:27">
      <c r="A419" s="13">
        <v>417</v>
      </c>
      <c r="B419" s="15">
        <v>9</v>
      </c>
      <c r="C419" s="16">
        <v>33</v>
      </c>
      <c r="D419" s="17" t="s">
        <v>844</v>
      </c>
      <c r="E419" s="17" t="s">
        <v>845</v>
      </c>
      <c r="F419" s="174">
        <f>VLOOKUP(D419,原始分!$D:$N,3,0)</f>
        <v>98.5</v>
      </c>
      <c r="G419" s="174">
        <f t="shared" si="81"/>
        <v>469</v>
      </c>
      <c r="H419" s="174">
        <f>VLOOKUP(D419,原始分!$D:$N,4,0)</f>
        <v>117.5</v>
      </c>
      <c r="I419" s="174">
        <f t="shared" si="82"/>
        <v>95</v>
      </c>
      <c r="J419" s="174">
        <f>VLOOKUP(D419,原始分!$D:$N,5,0)</f>
        <v>120</v>
      </c>
      <c r="K419" s="174">
        <f t="shared" si="83"/>
        <v>44</v>
      </c>
      <c r="L419" s="174">
        <f>VLOOKUP(D419,原始分!$D:$N,6,0)</f>
        <v>62</v>
      </c>
      <c r="M419" s="174">
        <f t="shared" si="84"/>
        <v>157</v>
      </c>
      <c r="N419" s="174">
        <f>VLOOKUP(D419,原始分!$D:$N,7,0)</f>
        <v>0</v>
      </c>
      <c r="O419" s="174">
        <f t="shared" si="85"/>
        <v>207</v>
      </c>
      <c r="P419" s="174">
        <f>VLOOKUP(D419,原始分!$D:$N,8,0)</f>
        <v>55.5</v>
      </c>
      <c r="Q419" s="174">
        <f t="shared" si="86"/>
        <v>47</v>
      </c>
      <c r="R419" s="174">
        <f>VLOOKUP(D419,原始分!$D:$N,9,0)</f>
        <v>0</v>
      </c>
      <c r="S419" s="174">
        <f t="shared" si="87"/>
        <v>320</v>
      </c>
      <c r="T419" s="174">
        <f>VLOOKUP(D419,原始分!$D:$N,10,0)</f>
        <v>0</v>
      </c>
      <c r="U419" s="174">
        <f t="shared" si="88"/>
        <v>316</v>
      </c>
      <c r="V419" s="174">
        <f>VLOOKUP(D419,原始分!$D:$N,11,0)</f>
        <v>53.5</v>
      </c>
      <c r="W419" s="174">
        <f t="shared" si="89"/>
        <v>208</v>
      </c>
      <c r="X419" s="11">
        <f t="shared" si="90"/>
        <v>336</v>
      </c>
      <c r="Y419" s="9">
        <f t="shared" si="91"/>
        <v>59</v>
      </c>
      <c r="Z419" s="11">
        <f t="shared" si="92"/>
        <v>507</v>
      </c>
      <c r="AA419" s="9">
        <f t="shared" si="93"/>
        <v>61</v>
      </c>
    </row>
    <row r="420" ht="14.25" spans="1:27">
      <c r="A420" s="13">
        <v>418</v>
      </c>
      <c r="B420" s="15">
        <v>9</v>
      </c>
      <c r="C420" s="16">
        <v>34</v>
      </c>
      <c r="D420" s="17" t="s">
        <v>846</v>
      </c>
      <c r="E420" s="17" t="s">
        <v>847</v>
      </c>
      <c r="F420" s="174">
        <f>VLOOKUP(D420,原始分!$D:$N,3,0)</f>
        <v>113.5</v>
      </c>
      <c r="G420" s="174">
        <f t="shared" si="81"/>
        <v>19</v>
      </c>
      <c r="H420" s="174">
        <f>VLOOKUP(D420,原始分!$D:$N,4,0)</f>
        <v>112</v>
      </c>
      <c r="I420" s="174">
        <f t="shared" si="82"/>
        <v>180</v>
      </c>
      <c r="J420" s="174">
        <f>VLOOKUP(D420,原始分!$D:$N,5,0)</f>
        <v>138.75</v>
      </c>
      <c r="K420" s="174">
        <f t="shared" si="83"/>
        <v>1</v>
      </c>
      <c r="L420" s="174">
        <f>VLOOKUP(D420,原始分!$D:$N,6,0)</f>
        <v>66</v>
      </c>
      <c r="M420" s="174">
        <f t="shared" si="84"/>
        <v>97</v>
      </c>
      <c r="N420" s="174">
        <f>VLOOKUP(D420,原始分!$D:$N,7,0)</f>
        <v>0</v>
      </c>
      <c r="O420" s="174">
        <f t="shared" si="85"/>
        <v>207</v>
      </c>
      <c r="P420" s="174">
        <f>VLOOKUP(D420,原始分!$D:$N,8,0)</f>
        <v>43.5</v>
      </c>
      <c r="Q420" s="174">
        <f t="shared" si="86"/>
        <v>242</v>
      </c>
      <c r="R420" s="174">
        <f>VLOOKUP(D420,原始分!$D:$N,9,0)</f>
        <v>0</v>
      </c>
      <c r="S420" s="174">
        <f t="shared" si="87"/>
        <v>320</v>
      </c>
      <c r="T420" s="174">
        <f>VLOOKUP(D420,原始分!$D:$N,10,0)</f>
        <v>0</v>
      </c>
      <c r="U420" s="174">
        <f t="shared" si="88"/>
        <v>316</v>
      </c>
      <c r="V420" s="174">
        <f>VLOOKUP(D420,原始分!$D:$N,11,0)</f>
        <v>64.5</v>
      </c>
      <c r="W420" s="174">
        <f t="shared" si="89"/>
        <v>41</v>
      </c>
      <c r="X420" s="11">
        <f t="shared" si="90"/>
        <v>364.25</v>
      </c>
      <c r="Y420" s="9">
        <f t="shared" si="91"/>
        <v>4</v>
      </c>
      <c r="Z420" s="11">
        <f t="shared" si="92"/>
        <v>538.25</v>
      </c>
      <c r="AA420" s="9">
        <f t="shared" si="93"/>
        <v>15</v>
      </c>
    </row>
    <row r="421" ht="14.25" spans="1:27">
      <c r="A421" s="13">
        <v>419</v>
      </c>
      <c r="B421" s="15">
        <v>9</v>
      </c>
      <c r="C421" s="16">
        <v>35</v>
      </c>
      <c r="D421" s="19" t="s">
        <v>848</v>
      </c>
      <c r="E421" s="17" t="s">
        <v>849</v>
      </c>
      <c r="F421" s="174">
        <f>VLOOKUP(D421,原始分!$D:$N,3,0)</f>
        <v>95.5</v>
      </c>
      <c r="G421" s="174">
        <f t="shared" si="81"/>
        <v>595</v>
      </c>
      <c r="H421" s="174">
        <f>VLOOKUP(D421,原始分!$D:$N,4,0)</f>
        <v>128</v>
      </c>
      <c r="I421" s="174">
        <f t="shared" si="82"/>
        <v>20</v>
      </c>
      <c r="J421" s="174">
        <f>VLOOKUP(D421,原始分!$D:$N,5,0)</f>
        <v>104</v>
      </c>
      <c r="K421" s="174">
        <f t="shared" si="83"/>
        <v>292</v>
      </c>
      <c r="L421" s="174">
        <f>VLOOKUP(D421,原始分!$D:$N,6,0)</f>
        <v>69</v>
      </c>
      <c r="M421" s="174">
        <f t="shared" si="84"/>
        <v>70</v>
      </c>
      <c r="N421" s="174">
        <f>VLOOKUP(D421,原始分!$D:$N,7,0)</f>
        <v>0</v>
      </c>
      <c r="O421" s="174">
        <f t="shared" si="85"/>
        <v>207</v>
      </c>
      <c r="P421" s="174">
        <f>VLOOKUP(D421,原始分!$D:$N,8,0)</f>
        <v>53</v>
      </c>
      <c r="Q421" s="174">
        <f t="shared" si="86"/>
        <v>69</v>
      </c>
      <c r="R421" s="174">
        <f>VLOOKUP(D421,原始分!$D:$N,9,0)</f>
        <v>0</v>
      </c>
      <c r="S421" s="174">
        <f t="shared" si="87"/>
        <v>320</v>
      </c>
      <c r="T421" s="174">
        <f>VLOOKUP(D421,原始分!$D:$N,10,0)</f>
        <v>0</v>
      </c>
      <c r="U421" s="174">
        <f t="shared" si="88"/>
        <v>316</v>
      </c>
      <c r="V421" s="174">
        <f>VLOOKUP(D421,原始分!$D:$N,11,0)</f>
        <v>46.5</v>
      </c>
      <c r="W421" s="174">
        <f t="shared" si="89"/>
        <v>376</v>
      </c>
      <c r="X421" s="11">
        <f t="shared" si="90"/>
        <v>327.5</v>
      </c>
      <c r="Y421" s="9">
        <f t="shared" si="91"/>
        <v>102</v>
      </c>
      <c r="Z421" s="11">
        <f t="shared" si="92"/>
        <v>496</v>
      </c>
      <c r="AA421" s="9">
        <f t="shared" si="93"/>
        <v>88</v>
      </c>
    </row>
    <row r="422" ht="14.25" spans="1:27">
      <c r="A422" s="13">
        <v>420</v>
      </c>
      <c r="B422" s="15">
        <v>9</v>
      </c>
      <c r="C422" s="16">
        <v>36</v>
      </c>
      <c r="D422" s="17" t="s">
        <v>850</v>
      </c>
      <c r="E422" s="17" t="s">
        <v>851</v>
      </c>
      <c r="F422" s="174">
        <f>VLOOKUP(D422,原始分!$D:$N,3,0)</f>
        <v>107.75</v>
      </c>
      <c r="G422" s="174">
        <f t="shared" si="81"/>
        <v>92</v>
      </c>
      <c r="H422" s="174">
        <f>VLOOKUP(D422,原始分!$D:$N,4,0)</f>
        <v>121.5</v>
      </c>
      <c r="I422" s="174">
        <f t="shared" si="82"/>
        <v>54</v>
      </c>
      <c r="J422" s="174">
        <f>VLOOKUP(D422,原始分!$D:$N,5,0)</f>
        <v>96</v>
      </c>
      <c r="K422" s="174">
        <f t="shared" si="83"/>
        <v>465</v>
      </c>
      <c r="L422" s="174">
        <f>VLOOKUP(D422,原始分!$D:$N,6,0)</f>
        <v>64.5</v>
      </c>
      <c r="M422" s="174">
        <f t="shared" si="84"/>
        <v>120</v>
      </c>
      <c r="N422" s="174">
        <f>VLOOKUP(D422,原始分!$D:$N,7,0)</f>
        <v>0</v>
      </c>
      <c r="O422" s="174">
        <f t="shared" si="85"/>
        <v>207</v>
      </c>
      <c r="P422" s="174">
        <f>VLOOKUP(D422,原始分!$D:$N,8,0)</f>
        <v>63.5</v>
      </c>
      <c r="Q422" s="174">
        <f t="shared" si="86"/>
        <v>12</v>
      </c>
      <c r="R422" s="174">
        <f>VLOOKUP(D422,原始分!$D:$N,9,0)</f>
        <v>0</v>
      </c>
      <c r="S422" s="174">
        <f t="shared" si="87"/>
        <v>320</v>
      </c>
      <c r="T422" s="174">
        <f>VLOOKUP(D422,原始分!$D:$N,10,0)</f>
        <v>0</v>
      </c>
      <c r="U422" s="174">
        <f t="shared" si="88"/>
        <v>316</v>
      </c>
      <c r="V422" s="174">
        <f>VLOOKUP(D422,原始分!$D:$N,11,0)</f>
        <v>56.5</v>
      </c>
      <c r="W422" s="174">
        <f t="shared" si="89"/>
        <v>153</v>
      </c>
      <c r="X422" s="11">
        <f t="shared" si="90"/>
        <v>325.25</v>
      </c>
      <c r="Y422" s="9">
        <f t="shared" si="91"/>
        <v>120</v>
      </c>
      <c r="Z422" s="11">
        <f t="shared" si="92"/>
        <v>509.75</v>
      </c>
      <c r="AA422" s="9">
        <f t="shared" si="93"/>
        <v>55</v>
      </c>
    </row>
    <row r="423" ht="14.25" spans="1:27">
      <c r="A423" s="13">
        <v>421</v>
      </c>
      <c r="B423" s="15">
        <v>9</v>
      </c>
      <c r="C423" s="16">
        <v>37</v>
      </c>
      <c r="D423" s="17" t="s">
        <v>852</v>
      </c>
      <c r="E423" s="17" t="s">
        <v>853</v>
      </c>
      <c r="F423" s="174">
        <f>VLOOKUP(D423,原始分!$D:$N,3,0)</f>
        <v>99.5</v>
      </c>
      <c r="G423" s="174">
        <f t="shared" si="81"/>
        <v>418</v>
      </c>
      <c r="H423" s="174">
        <f>VLOOKUP(D423,原始分!$D:$N,4,0)</f>
        <v>110.5</v>
      </c>
      <c r="I423" s="174">
        <f t="shared" si="82"/>
        <v>211</v>
      </c>
      <c r="J423" s="174">
        <f>VLOOKUP(D423,原始分!$D:$N,5,0)</f>
        <v>119</v>
      </c>
      <c r="K423" s="174">
        <f t="shared" si="83"/>
        <v>49</v>
      </c>
      <c r="L423" s="174">
        <f>VLOOKUP(D423,原始分!$D:$N,6,0)</f>
        <v>76.5</v>
      </c>
      <c r="M423" s="174">
        <f t="shared" si="84"/>
        <v>22</v>
      </c>
      <c r="N423" s="174">
        <f>VLOOKUP(D423,原始分!$D:$N,7,0)</f>
        <v>0</v>
      </c>
      <c r="O423" s="174">
        <f t="shared" si="85"/>
        <v>207</v>
      </c>
      <c r="P423" s="174">
        <f>VLOOKUP(D423,原始分!$D:$N,8,0)</f>
        <v>45</v>
      </c>
      <c r="Q423" s="174">
        <f t="shared" si="86"/>
        <v>209</v>
      </c>
      <c r="R423" s="174">
        <f>VLOOKUP(D423,原始分!$D:$N,9,0)</f>
        <v>0</v>
      </c>
      <c r="S423" s="174">
        <f t="shared" si="87"/>
        <v>320</v>
      </c>
      <c r="T423" s="174">
        <f>VLOOKUP(D423,原始分!$D:$N,10,0)</f>
        <v>0</v>
      </c>
      <c r="U423" s="174">
        <f t="shared" si="88"/>
        <v>316</v>
      </c>
      <c r="V423" s="174">
        <f>VLOOKUP(D423,原始分!$D:$N,11,0)</f>
        <v>71</v>
      </c>
      <c r="W423" s="174">
        <f t="shared" si="89"/>
        <v>13</v>
      </c>
      <c r="X423" s="11">
        <f t="shared" si="90"/>
        <v>329</v>
      </c>
      <c r="Y423" s="9">
        <f t="shared" si="91"/>
        <v>99</v>
      </c>
      <c r="Z423" s="11">
        <f t="shared" si="92"/>
        <v>521.5</v>
      </c>
      <c r="AA423" s="9">
        <f t="shared" si="93"/>
        <v>33</v>
      </c>
    </row>
    <row r="424" ht="14.25" spans="1:27">
      <c r="A424" s="13">
        <v>422</v>
      </c>
      <c r="B424" s="15">
        <v>9</v>
      </c>
      <c r="C424" s="16">
        <v>38</v>
      </c>
      <c r="D424" s="17" t="s">
        <v>854</v>
      </c>
      <c r="E424" s="17" t="s">
        <v>855</v>
      </c>
      <c r="F424" s="174">
        <f>VLOOKUP(D424,原始分!$D:$N,3,0)</f>
        <v>102</v>
      </c>
      <c r="G424" s="174">
        <f t="shared" si="81"/>
        <v>304</v>
      </c>
      <c r="H424" s="174">
        <f>VLOOKUP(D424,原始分!$D:$N,4,0)</f>
        <v>125</v>
      </c>
      <c r="I424" s="174">
        <f t="shared" si="82"/>
        <v>33</v>
      </c>
      <c r="J424" s="174">
        <f>VLOOKUP(D424,原始分!$D:$N,5,0)</f>
        <v>121.25</v>
      </c>
      <c r="K424" s="174">
        <f t="shared" si="83"/>
        <v>34</v>
      </c>
      <c r="L424" s="174">
        <f>VLOOKUP(D424,原始分!$D:$N,6,0)</f>
        <v>82.5</v>
      </c>
      <c r="M424" s="174">
        <f t="shared" si="84"/>
        <v>7</v>
      </c>
      <c r="N424" s="174">
        <f>VLOOKUP(D424,原始分!$D:$N,7,0)</f>
        <v>0</v>
      </c>
      <c r="O424" s="174">
        <f t="shared" si="85"/>
        <v>207</v>
      </c>
      <c r="P424" s="174">
        <f>VLOOKUP(D424,原始分!$D:$N,8,0)</f>
        <v>47</v>
      </c>
      <c r="Q424" s="174">
        <f t="shared" si="86"/>
        <v>173</v>
      </c>
      <c r="R424" s="174">
        <f>VLOOKUP(D424,原始分!$D:$N,9,0)</f>
        <v>0</v>
      </c>
      <c r="S424" s="174">
        <f t="shared" si="87"/>
        <v>320</v>
      </c>
      <c r="T424" s="174">
        <f>VLOOKUP(D424,原始分!$D:$N,10,0)</f>
        <v>0</v>
      </c>
      <c r="U424" s="174">
        <f t="shared" si="88"/>
        <v>316</v>
      </c>
      <c r="V424" s="174">
        <f>VLOOKUP(D424,原始分!$D:$N,11,0)</f>
        <v>55.5</v>
      </c>
      <c r="W424" s="174">
        <f t="shared" si="89"/>
        <v>170</v>
      </c>
      <c r="X424" s="11">
        <f t="shared" si="90"/>
        <v>348.25</v>
      </c>
      <c r="Y424" s="9">
        <f t="shared" si="91"/>
        <v>20</v>
      </c>
      <c r="Z424" s="11">
        <f t="shared" si="92"/>
        <v>533.25</v>
      </c>
      <c r="AA424" s="9">
        <f t="shared" si="93"/>
        <v>20</v>
      </c>
    </row>
    <row r="425" ht="14.25" spans="1:27">
      <c r="A425" s="13">
        <v>423</v>
      </c>
      <c r="B425" s="15">
        <v>9</v>
      </c>
      <c r="C425" s="16">
        <v>39</v>
      </c>
      <c r="D425" s="17" t="s">
        <v>856</v>
      </c>
      <c r="E425" s="17" t="s">
        <v>857</v>
      </c>
      <c r="F425" s="174">
        <f>VLOOKUP(D425,原始分!$D:$N,3,0)</f>
        <v>116</v>
      </c>
      <c r="G425" s="174">
        <f t="shared" si="81"/>
        <v>5</v>
      </c>
      <c r="H425" s="174">
        <f>VLOOKUP(D425,原始分!$D:$N,4,0)</f>
        <v>135.5</v>
      </c>
      <c r="I425" s="174">
        <f t="shared" si="82"/>
        <v>4</v>
      </c>
      <c r="J425" s="174">
        <f>VLOOKUP(D425,原始分!$D:$N,5,0)</f>
        <v>121.5</v>
      </c>
      <c r="K425" s="174">
        <f t="shared" si="83"/>
        <v>31</v>
      </c>
      <c r="L425" s="174">
        <f>VLOOKUP(D425,原始分!$D:$N,6,0)</f>
        <v>83.5</v>
      </c>
      <c r="M425" s="174">
        <f t="shared" si="84"/>
        <v>5</v>
      </c>
      <c r="N425" s="174">
        <f>VLOOKUP(D425,原始分!$D:$N,7,0)</f>
        <v>0</v>
      </c>
      <c r="O425" s="174">
        <f t="shared" si="85"/>
        <v>207</v>
      </c>
      <c r="P425" s="174">
        <f>VLOOKUP(D425,原始分!$D:$N,8,0)</f>
        <v>69</v>
      </c>
      <c r="Q425" s="174">
        <f t="shared" si="86"/>
        <v>6</v>
      </c>
      <c r="R425" s="174">
        <f>VLOOKUP(D425,原始分!$D:$N,9,0)</f>
        <v>0</v>
      </c>
      <c r="S425" s="174">
        <f t="shared" si="87"/>
        <v>320</v>
      </c>
      <c r="T425" s="174">
        <f>VLOOKUP(D425,原始分!$D:$N,10,0)</f>
        <v>0</v>
      </c>
      <c r="U425" s="174">
        <f t="shared" si="88"/>
        <v>316</v>
      </c>
      <c r="V425" s="174">
        <f>VLOOKUP(D425,原始分!$D:$N,11,0)</f>
        <v>74</v>
      </c>
      <c r="W425" s="174">
        <f t="shared" si="89"/>
        <v>5</v>
      </c>
      <c r="X425" s="11">
        <f t="shared" si="90"/>
        <v>373</v>
      </c>
      <c r="Y425" s="9">
        <f t="shared" si="91"/>
        <v>1</v>
      </c>
      <c r="Z425" s="11">
        <f t="shared" si="92"/>
        <v>599.5</v>
      </c>
      <c r="AA425" s="9">
        <f t="shared" si="93"/>
        <v>1</v>
      </c>
    </row>
    <row r="426" ht="14.25" spans="1:27">
      <c r="A426" s="13">
        <v>424</v>
      </c>
      <c r="B426" s="15">
        <v>9</v>
      </c>
      <c r="C426" s="16">
        <v>40</v>
      </c>
      <c r="D426" s="17" t="s">
        <v>858</v>
      </c>
      <c r="E426" s="17" t="s">
        <v>859</v>
      </c>
      <c r="F426" s="174">
        <f>VLOOKUP(D426,原始分!$D:$N,3,0)</f>
        <v>95</v>
      </c>
      <c r="G426" s="174">
        <f t="shared" si="81"/>
        <v>619</v>
      </c>
      <c r="H426" s="174">
        <f>VLOOKUP(D426,原始分!$D:$N,4,0)</f>
        <v>125.5</v>
      </c>
      <c r="I426" s="174">
        <f t="shared" si="82"/>
        <v>31</v>
      </c>
      <c r="J426" s="174">
        <f>VLOOKUP(D426,原始分!$D:$N,5,0)</f>
        <v>114.75</v>
      </c>
      <c r="K426" s="174">
        <f t="shared" si="83"/>
        <v>105</v>
      </c>
      <c r="L426" s="174">
        <f>VLOOKUP(D426,原始分!$D:$N,6,0)</f>
        <v>51.5</v>
      </c>
      <c r="M426" s="174">
        <f t="shared" si="84"/>
        <v>313</v>
      </c>
      <c r="N426" s="174">
        <f>VLOOKUP(D426,原始分!$D:$N,7,0)</f>
        <v>0</v>
      </c>
      <c r="O426" s="174">
        <f t="shared" si="85"/>
        <v>207</v>
      </c>
      <c r="P426" s="174">
        <f>VLOOKUP(D426,原始分!$D:$N,8,0)</f>
        <v>56.5</v>
      </c>
      <c r="Q426" s="174">
        <f t="shared" si="86"/>
        <v>44</v>
      </c>
      <c r="R426" s="174">
        <f>VLOOKUP(D426,原始分!$D:$N,9,0)</f>
        <v>0</v>
      </c>
      <c r="S426" s="174">
        <f t="shared" si="87"/>
        <v>320</v>
      </c>
      <c r="T426" s="174">
        <f>VLOOKUP(D426,原始分!$D:$N,10,0)</f>
        <v>0</v>
      </c>
      <c r="U426" s="174">
        <f t="shared" si="88"/>
        <v>316</v>
      </c>
      <c r="V426" s="174">
        <f>VLOOKUP(D426,原始分!$D:$N,11,0)</f>
        <v>58.5</v>
      </c>
      <c r="W426" s="174">
        <f t="shared" si="89"/>
        <v>120</v>
      </c>
      <c r="X426" s="11">
        <f t="shared" si="90"/>
        <v>335.25</v>
      </c>
      <c r="Y426" s="9">
        <f t="shared" si="91"/>
        <v>66</v>
      </c>
      <c r="Z426" s="11">
        <f t="shared" si="92"/>
        <v>501.75</v>
      </c>
      <c r="AA426" s="9">
        <f t="shared" si="93"/>
        <v>74</v>
      </c>
    </row>
    <row r="427" ht="14.25" spans="1:27">
      <c r="A427" s="13">
        <v>425</v>
      </c>
      <c r="B427" s="15">
        <v>9</v>
      </c>
      <c r="C427" s="16">
        <v>41</v>
      </c>
      <c r="D427" s="19" t="s">
        <v>860</v>
      </c>
      <c r="E427" s="17" t="s">
        <v>861</v>
      </c>
      <c r="F427" s="174">
        <f>VLOOKUP(D427,原始分!$D:$N,3,0)</f>
        <v>100.75</v>
      </c>
      <c r="G427" s="174">
        <f t="shared" si="81"/>
        <v>364</v>
      </c>
      <c r="H427" s="174">
        <f>VLOOKUP(D427,原始分!$D:$N,4,0)</f>
        <v>129.5</v>
      </c>
      <c r="I427" s="174">
        <f t="shared" si="82"/>
        <v>17</v>
      </c>
      <c r="J427" s="174">
        <f>VLOOKUP(D427,原始分!$D:$N,5,0)</f>
        <v>111</v>
      </c>
      <c r="K427" s="174">
        <f t="shared" si="83"/>
        <v>159</v>
      </c>
      <c r="L427" s="174">
        <f>VLOOKUP(D427,原始分!$D:$N,6,0)</f>
        <v>76.5</v>
      </c>
      <c r="M427" s="174">
        <f t="shared" si="84"/>
        <v>22</v>
      </c>
      <c r="N427" s="174">
        <f>VLOOKUP(D427,原始分!$D:$N,7,0)</f>
        <v>0</v>
      </c>
      <c r="O427" s="174">
        <f t="shared" si="85"/>
        <v>207</v>
      </c>
      <c r="P427" s="174">
        <f>VLOOKUP(D427,原始分!$D:$N,8,0)</f>
        <v>42</v>
      </c>
      <c r="Q427" s="174">
        <f t="shared" si="86"/>
        <v>266</v>
      </c>
      <c r="R427" s="174">
        <f>VLOOKUP(D427,原始分!$D:$N,9,0)</f>
        <v>0</v>
      </c>
      <c r="S427" s="174">
        <f t="shared" si="87"/>
        <v>320</v>
      </c>
      <c r="T427" s="174">
        <f>VLOOKUP(D427,原始分!$D:$N,10,0)</f>
        <v>0</v>
      </c>
      <c r="U427" s="174">
        <f t="shared" si="88"/>
        <v>316</v>
      </c>
      <c r="V427" s="174">
        <f>VLOOKUP(D427,原始分!$D:$N,11,0)</f>
        <v>53</v>
      </c>
      <c r="W427" s="174">
        <f t="shared" si="89"/>
        <v>223</v>
      </c>
      <c r="X427" s="11">
        <f t="shared" si="90"/>
        <v>341.25</v>
      </c>
      <c r="Y427" s="9">
        <f t="shared" si="91"/>
        <v>37</v>
      </c>
      <c r="Z427" s="11">
        <f t="shared" si="92"/>
        <v>512.75</v>
      </c>
      <c r="AA427" s="9">
        <f t="shared" si="93"/>
        <v>48</v>
      </c>
    </row>
    <row r="428" ht="14.25" spans="1:27">
      <c r="A428" s="13">
        <v>426</v>
      </c>
      <c r="B428" s="15">
        <v>9</v>
      </c>
      <c r="C428" s="16">
        <v>42</v>
      </c>
      <c r="D428" s="17" t="s">
        <v>862</v>
      </c>
      <c r="E428" s="17" t="s">
        <v>863</v>
      </c>
      <c r="F428" s="174">
        <f>VLOOKUP(D428,原始分!$D:$N,3,0)</f>
        <v>91</v>
      </c>
      <c r="G428" s="174">
        <f t="shared" si="81"/>
        <v>749</v>
      </c>
      <c r="H428" s="174">
        <f>VLOOKUP(D428,原始分!$D:$N,4,0)</f>
        <v>109</v>
      </c>
      <c r="I428" s="174">
        <f t="shared" si="82"/>
        <v>241</v>
      </c>
      <c r="J428" s="174">
        <f>VLOOKUP(D428,原始分!$D:$N,5,0)</f>
        <v>120.25</v>
      </c>
      <c r="K428" s="174">
        <f t="shared" si="83"/>
        <v>42</v>
      </c>
      <c r="L428" s="174">
        <f>VLOOKUP(D428,原始分!$D:$N,6,0)</f>
        <v>66</v>
      </c>
      <c r="M428" s="174">
        <f t="shared" si="84"/>
        <v>97</v>
      </c>
      <c r="N428" s="174">
        <f>VLOOKUP(D428,原始分!$D:$N,7,0)</f>
        <v>0</v>
      </c>
      <c r="O428" s="174">
        <f t="shared" si="85"/>
        <v>207</v>
      </c>
      <c r="P428" s="174">
        <f>VLOOKUP(D428,原始分!$D:$N,8,0)</f>
        <v>47.5</v>
      </c>
      <c r="Q428" s="174">
        <f t="shared" si="86"/>
        <v>157</v>
      </c>
      <c r="R428" s="174">
        <f>VLOOKUP(D428,原始分!$D:$N,9,0)</f>
        <v>0</v>
      </c>
      <c r="S428" s="174">
        <f t="shared" si="87"/>
        <v>320</v>
      </c>
      <c r="T428" s="174">
        <f>VLOOKUP(D428,原始分!$D:$N,10,0)</f>
        <v>0</v>
      </c>
      <c r="U428" s="174">
        <f t="shared" si="88"/>
        <v>316</v>
      </c>
      <c r="V428" s="174">
        <f>VLOOKUP(D428,原始分!$D:$N,11,0)</f>
        <v>61</v>
      </c>
      <c r="W428" s="174">
        <f t="shared" si="89"/>
        <v>77</v>
      </c>
      <c r="X428" s="11">
        <f t="shared" si="90"/>
        <v>320.25</v>
      </c>
      <c r="Y428" s="9">
        <f t="shared" si="91"/>
        <v>155</v>
      </c>
      <c r="Z428" s="11">
        <f t="shared" si="92"/>
        <v>494.75</v>
      </c>
      <c r="AA428" s="9">
        <f t="shared" si="93"/>
        <v>91</v>
      </c>
    </row>
    <row r="429" ht="14.25" spans="1:27">
      <c r="A429" s="13">
        <v>427</v>
      </c>
      <c r="B429" s="15">
        <v>9</v>
      </c>
      <c r="C429" s="16">
        <v>43</v>
      </c>
      <c r="D429" s="17" t="s">
        <v>864</v>
      </c>
      <c r="E429" s="17" t="s">
        <v>865</v>
      </c>
      <c r="F429" s="174">
        <f>VLOOKUP(D429,原始分!$D:$N,3,0)</f>
        <v>92.5</v>
      </c>
      <c r="G429" s="174">
        <f t="shared" si="81"/>
        <v>713</v>
      </c>
      <c r="H429" s="174">
        <f>VLOOKUP(D429,原始分!$D:$N,4,0)</f>
        <v>116</v>
      </c>
      <c r="I429" s="174">
        <f t="shared" si="82"/>
        <v>113</v>
      </c>
      <c r="J429" s="174">
        <f>VLOOKUP(D429,原始分!$D:$N,5,0)</f>
        <v>114.75</v>
      </c>
      <c r="K429" s="174">
        <f t="shared" si="83"/>
        <v>105</v>
      </c>
      <c r="L429" s="174">
        <f>VLOOKUP(D429,原始分!$D:$N,6,0)</f>
        <v>75.5</v>
      </c>
      <c r="M429" s="174">
        <f t="shared" si="84"/>
        <v>31</v>
      </c>
      <c r="N429" s="174">
        <f>VLOOKUP(D429,原始分!$D:$N,7,0)</f>
        <v>0</v>
      </c>
      <c r="O429" s="174">
        <f t="shared" si="85"/>
        <v>207</v>
      </c>
      <c r="P429" s="174">
        <f>VLOOKUP(D429,原始分!$D:$N,8,0)</f>
        <v>50</v>
      </c>
      <c r="Q429" s="174">
        <f t="shared" si="86"/>
        <v>109</v>
      </c>
      <c r="R429" s="174">
        <f>VLOOKUP(D429,原始分!$D:$N,9,0)</f>
        <v>0</v>
      </c>
      <c r="S429" s="174">
        <f t="shared" si="87"/>
        <v>320</v>
      </c>
      <c r="T429" s="174">
        <f>VLOOKUP(D429,原始分!$D:$N,10,0)</f>
        <v>0</v>
      </c>
      <c r="U429" s="174">
        <f t="shared" si="88"/>
        <v>316</v>
      </c>
      <c r="V429" s="174">
        <f>VLOOKUP(D429,原始分!$D:$N,11,0)</f>
        <v>57.5</v>
      </c>
      <c r="W429" s="174">
        <f t="shared" si="89"/>
        <v>130</v>
      </c>
      <c r="X429" s="11">
        <f t="shared" si="90"/>
        <v>323.25</v>
      </c>
      <c r="Y429" s="9">
        <f t="shared" si="91"/>
        <v>136</v>
      </c>
      <c r="Z429" s="11">
        <f t="shared" si="92"/>
        <v>506.25</v>
      </c>
      <c r="AA429" s="9">
        <f t="shared" si="93"/>
        <v>63</v>
      </c>
    </row>
    <row r="430" ht="14.25" spans="1:27">
      <c r="A430" s="13">
        <v>428</v>
      </c>
      <c r="B430" s="15">
        <v>9</v>
      </c>
      <c r="C430" s="16">
        <v>44</v>
      </c>
      <c r="D430" s="17" t="s">
        <v>866</v>
      </c>
      <c r="E430" s="17" t="s">
        <v>867</v>
      </c>
      <c r="F430" s="174">
        <f>VLOOKUP(D430,原始分!$D:$N,3,0)</f>
        <v>101</v>
      </c>
      <c r="G430" s="174">
        <f t="shared" si="81"/>
        <v>338</v>
      </c>
      <c r="H430" s="174">
        <f>VLOOKUP(D430,原始分!$D:$N,4,0)</f>
        <v>124</v>
      </c>
      <c r="I430" s="174">
        <f t="shared" si="82"/>
        <v>39</v>
      </c>
      <c r="J430" s="174">
        <f>VLOOKUP(D430,原始分!$D:$N,5,0)</f>
        <v>98.75</v>
      </c>
      <c r="K430" s="174">
        <f t="shared" si="83"/>
        <v>407</v>
      </c>
      <c r="L430" s="174">
        <f>VLOOKUP(D430,原始分!$D:$N,6,0)</f>
        <v>76</v>
      </c>
      <c r="M430" s="174">
        <f t="shared" si="84"/>
        <v>27</v>
      </c>
      <c r="N430" s="174">
        <f>VLOOKUP(D430,原始分!$D:$N,7,0)</f>
        <v>0</v>
      </c>
      <c r="O430" s="174">
        <f t="shared" si="85"/>
        <v>207</v>
      </c>
      <c r="P430" s="174">
        <f>VLOOKUP(D430,原始分!$D:$N,8,0)</f>
        <v>66</v>
      </c>
      <c r="Q430" s="174">
        <f t="shared" si="86"/>
        <v>9</v>
      </c>
      <c r="R430" s="174">
        <f>VLOOKUP(D430,原始分!$D:$N,9,0)</f>
        <v>0</v>
      </c>
      <c r="S430" s="174">
        <f t="shared" si="87"/>
        <v>320</v>
      </c>
      <c r="T430" s="174">
        <f>VLOOKUP(D430,原始分!$D:$N,10,0)</f>
        <v>0</v>
      </c>
      <c r="U430" s="174">
        <f t="shared" si="88"/>
        <v>316</v>
      </c>
      <c r="V430" s="174">
        <f>VLOOKUP(D430,原始分!$D:$N,11,0)</f>
        <v>78</v>
      </c>
      <c r="W430" s="174">
        <f t="shared" si="89"/>
        <v>1</v>
      </c>
      <c r="X430" s="11">
        <f t="shared" si="90"/>
        <v>323.75</v>
      </c>
      <c r="Y430" s="9">
        <f t="shared" si="91"/>
        <v>130</v>
      </c>
      <c r="Z430" s="11">
        <f t="shared" si="92"/>
        <v>543.75</v>
      </c>
      <c r="AA430" s="9">
        <f t="shared" si="93"/>
        <v>14</v>
      </c>
    </row>
    <row r="431" ht="14.25" spans="1:27">
      <c r="A431" s="13">
        <v>429</v>
      </c>
      <c r="B431" s="15">
        <v>9</v>
      </c>
      <c r="C431" s="16">
        <v>45</v>
      </c>
      <c r="D431" s="17" t="s">
        <v>868</v>
      </c>
      <c r="E431" s="17" t="s">
        <v>869</v>
      </c>
      <c r="F431" s="174">
        <f>VLOOKUP(D431,原始分!$D:$N,3,0)</f>
        <v>102.25</v>
      </c>
      <c r="G431" s="174">
        <f t="shared" si="81"/>
        <v>300</v>
      </c>
      <c r="H431" s="174">
        <f>VLOOKUP(D431,原始分!$D:$N,4,0)</f>
        <v>110.5</v>
      </c>
      <c r="I431" s="174">
        <f t="shared" si="82"/>
        <v>211</v>
      </c>
      <c r="J431" s="174">
        <f>VLOOKUP(D431,原始分!$D:$N,5,0)</f>
        <v>122</v>
      </c>
      <c r="K431" s="174">
        <f t="shared" si="83"/>
        <v>23</v>
      </c>
      <c r="L431" s="174">
        <f>VLOOKUP(D431,原始分!$D:$N,6,0)</f>
        <v>71.5</v>
      </c>
      <c r="M431" s="174">
        <f t="shared" si="84"/>
        <v>55</v>
      </c>
      <c r="N431" s="174">
        <f>VLOOKUP(D431,原始分!$D:$N,7,0)</f>
        <v>0</v>
      </c>
      <c r="O431" s="174">
        <f t="shared" si="85"/>
        <v>207</v>
      </c>
      <c r="P431" s="174">
        <f>VLOOKUP(D431,原始分!$D:$N,8,0)</f>
        <v>59</v>
      </c>
      <c r="Q431" s="174">
        <f t="shared" si="86"/>
        <v>32</v>
      </c>
      <c r="R431" s="174">
        <f>VLOOKUP(D431,原始分!$D:$N,9,0)</f>
        <v>0</v>
      </c>
      <c r="S431" s="174">
        <f t="shared" si="87"/>
        <v>320</v>
      </c>
      <c r="T431" s="174">
        <f>VLOOKUP(D431,原始分!$D:$N,10,0)</f>
        <v>0</v>
      </c>
      <c r="U431" s="174">
        <f t="shared" si="88"/>
        <v>316</v>
      </c>
      <c r="V431" s="174">
        <f>VLOOKUP(D431,原始分!$D:$N,11,0)</f>
        <v>54.5</v>
      </c>
      <c r="W431" s="174">
        <f t="shared" si="89"/>
        <v>187</v>
      </c>
      <c r="X431" s="11">
        <f t="shared" si="90"/>
        <v>334.75</v>
      </c>
      <c r="Y431" s="9">
        <f t="shared" si="91"/>
        <v>68</v>
      </c>
      <c r="Z431" s="11">
        <f t="shared" si="92"/>
        <v>519.75</v>
      </c>
      <c r="AA431" s="9">
        <f t="shared" si="93"/>
        <v>35</v>
      </c>
    </row>
    <row r="432" ht="14.25" spans="1:27">
      <c r="A432" s="13">
        <v>430</v>
      </c>
      <c r="B432" s="15">
        <v>9</v>
      </c>
      <c r="C432" s="16">
        <v>46</v>
      </c>
      <c r="D432" s="17" t="s">
        <v>870</v>
      </c>
      <c r="E432" s="17" t="s">
        <v>871</v>
      </c>
      <c r="F432" s="174">
        <f>VLOOKUP(D432,原始分!$D:$N,3,0)</f>
        <v>110.25</v>
      </c>
      <c r="G432" s="174">
        <f t="shared" si="81"/>
        <v>48</v>
      </c>
      <c r="H432" s="174">
        <f>VLOOKUP(D432,原始分!$D:$N,4,0)</f>
        <v>134.5</v>
      </c>
      <c r="I432" s="174">
        <f t="shared" si="82"/>
        <v>5</v>
      </c>
      <c r="J432" s="174">
        <f>VLOOKUP(D432,原始分!$D:$N,5,0)</f>
        <v>114</v>
      </c>
      <c r="K432" s="174">
        <f t="shared" si="83"/>
        <v>116</v>
      </c>
      <c r="L432" s="174">
        <f>VLOOKUP(D432,原始分!$D:$N,6,0)</f>
        <v>76</v>
      </c>
      <c r="M432" s="174">
        <f t="shared" si="84"/>
        <v>27</v>
      </c>
      <c r="N432" s="174">
        <f>VLOOKUP(D432,原始分!$D:$N,7,0)</f>
        <v>0</v>
      </c>
      <c r="O432" s="174">
        <f t="shared" si="85"/>
        <v>207</v>
      </c>
      <c r="P432" s="174">
        <f>VLOOKUP(D432,原始分!$D:$N,8,0)</f>
        <v>44.5</v>
      </c>
      <c r="Q432" s="174">
        <f t="shared" si="86"/>
        <v>219</v>
      </c>
      <c r="R432" s="174">
        <f>VLOOKUP(D432,原始分!$D:$N,9,0)</f>
        <v>0</v>
      </c>
      <c r="S432" s="174">
        <f t="shared" si="87"/>
        <v>320</v>
      </c>
      <c r="T432" s="174">
        <f>VLOOKUP(D432,原始分!$D:$N,10,0)</f>
        <v>0</v>
      </c>
      <c r="U432" s="174">
        <f t="shared" si="88"/>
        <v>316</v>
      </c>
      <c r="V432" s="174">
        <f>VLOOKUP(D432,原始分!$D:$N,11,0)</f>
        <v>77</v>
      </c>
      <c r="W432" s="174">
        <f t="shared" si="89"/>
        <v>2</v>
      </c>
      <c r="X432" s="11">
        <f t="shared" si="90"/>
        <v>358.75</v>
      </c>
      <c r="Y432" s="9">
        <f t="shared" si="91"/>
        <v>5</v>
      </c>
      <c r="Z432" s="11">
        <f t="shared" si="92"/>
        <v>556.25</v>
      </c>
      <c r="AA432" s="9">
        <f t="shared" si="93"/>
        <v>6</v>
      </c>
    </row>
    <row r="433" ht="14.25" spans="1:27">
      <c r="A433" s="13">
        <v>431</v>
      </c>
      <c r="B433" s="15">
        <v>9</v>
      </c>
      <c r="C433" s="16">
        <v>47</v>
      </c>
      <c r="D433" s="17" t="s">
        <v>872</v>
      </c>
      <c r="E433" s="17" t="s">
        <v>873</v>
      </c>
      <c r="F433" s="174">
        <f>VLOOKUP(D433,原始分!$D:$N,3,0)</f>
        <v>109.5</v>
      </c>
      <c r="G433" s="174">
        <f t="shared" si="81"/>
        <v>53</v>
      </c>
      <c r="H433" s="174">
        <f>VLOOKUP(D433,原始分!$D:$N,4,0)</f>
        <v>117</v>
      </c>
      <c r="I433" s="174">
        <f t="shared" si="82"/>
        <v>98</v>
      </c>
      <c r="J433" s="174">
        <f>VLOOKUP(D433,原始分!$D:$N,5,0)</f>
        <v>120</v>
      </c>
      <c r="K433" s="174">
        <f t="shared" si="83"/>
        <v>44</v>
      </c>
      <c r="L433" s="174">
        <f>VLOOKUP(D433,原始分!$D:$N,6,0)</f>
        <v>57.5</v>
      </c>
      <c r="M433" s="174">
        <f t="shared" si="84"/>
        <v>228</v>
      </c>
      <c r="N433" s="174">
        <f>VLOOKUP(D433,原始分!$D:$N,7,0)</f>
        <v>0</v>
      </c>
      <c r="O433" s="174">
        <f t="shared" si="85"/>
        <v>207</v>
      </c>
      <c r="P433" s="174">
        <f>VLOOKUP(D433,原始分!$D:$N,8,0)</f>
        <v>44</v>
      </c>
      <c r="Q433" s="174">
        <f t="shared" si="86"/>
        <v>227</v>
      </c>
      <c r="R433" s="174">
        <f>VLOOKUP(D433,原始分!$D:$N,9,0)</f>
        <v>0</v>
      </c>
      <c r="S433" s="174">
        <f t="shared" si="87"/>
        <v>320</v>
      </c>
      <c r="T433" s="174">
        <f>VLOOKUP(D433,原始分!$D:$N,10,0)</f>
        <v>0</v>
      </c>
      <c r="U433" s="174">
        <f t="shared" si="88"/>
        <v>316</v>
      </c>
      <c r="V433" s="174">
        <f>VLOOKUP(D433,原始分!$D:$N,11,0)</f>
        <v>62</v>
      </c>
      <c r="W433" s="174">
        <f t="shared" si="89"/>
        <v>64</v>
      </c>
      <c r="X433" s="11">
        <f t="shared" si="90"/>
        <v>346.5</v>
      </c>
      <c r="Y433" s="9">
        <f t="shared" si="91"/>
        <v>21</v>
      </c>
      <c r="Z433" s="11">
        <f t="shared" si="92"/>
        <v>510</v>
      </c>
      <c r="AA433" s="9">
        <f t="shared" si="93"/>
        <v>53</v>
      </c>
    </row>
    <row r="434" ht="14.25" spans="1:27">
      <c r="A434" s="13">
        <v>432</v>
      </c>
      <c r="B434" s="15">
        <v>9</v>
      </c>
      <c r="C434" s="16">
        <v>48</v>
      </c>
      <c r="D434" s="17" t="s">
        <v>874</v>
      </c>
      <c r="E434" s="17" t="s">
        <v>875</v>
      </c>
      <c r="F434" s="174">
        <f>VLOOKUP(D434,原始分!$D:$N,3,0)</f>
        <v>98.25</v>
      </c>
      <c r="G434" s="174">
        <f t="shared" si="81"/>
        <v>493</v>
      </c>
      <c r="H434" s="174">
        <f>VLOOKUP(D434,原始分!$D:$N,4,0)</f>
        <v>115.5</v>
      </c>
      <c r="I434" s="174">
        <f t="shared" si="82"/>
        <v>121</v>
      </c>
      <c r="J434" s="174">
        <f>VLOOKUP(D434,原始分!$D:$N,5,0)</f>
        <v>122</v>
      </c>
      <c r="K434" s="174">
        <f t="shared" si="83"/>
        <v>23</v>
      </c>
      <c r="L434" s="174">
        <f>VLOOKUP(D434,原始分!$D:$N,6,0)</f>
        <v>75.5</v>
      </c>
      <c r="M434" s="174">
        <f t="shared" si="84"/>
        <v>31</v>
      </c>
      <c r="N434" s="174">
        <f>VLOOKUP(D434,原始分!$D:$N,7,0)</f>
        <v>0</v>
      </c>
      <c r="O434" s="174">
        <f t="shared" si="85"/>
        <v>207</v>
      </c>
      <c r="P434" s="174">
        <f>VLOOKUP(D434,原始分!$D:$N,8,0)</f>
        <v>40.5</v>
      </c>
      <c r="Q434" s="174">
        <f t="shared" si="86"/>
        <v>303</v>
      </c>
      <c r="R434" s="174">
        <f>VLOOKUP(D434,原始分!$D:$N,9,0)</f>
        <v>0</v>
      </c>
      <c r="S434" s="174">
        <f t="shared" si="87"/>
        <v>320</v>
      </c>
      <c r="T434" s="174">
        <f>VLOOKUP(D434,原始分!$D:$N,10,0)</f>
        <v>0</v>
      </c>
      <c r="U434" s="174">
        <f t="shared" si="88"/>
        <v>316</v>
      </c>
      <c r="V434" s="174">
        <f>VLOOKUP(D434,原始分!$D:$N,11,0)</f>
        <v>77</v>
      </c>
      <c r="W434" s="174">
        <f t="shared" si="89"/>
        <v>2</v>
      </c>
      <c r="X434" s="11">
        <f t="shared" si="90"/>
        <v>335.75</v>
      </c>
      <c r="Y434" s="9">
        <f t="shared" si="91"/>
        <v>62</v>
      </c>
      <c r="Z434" s="11">
        <f t="shared" si="92"/>
        <v>528.75</v>
      </c>
      <c r="AA434" s="9">
        <f t="shared" si="93"/>
        <v>23</v>
      </c>
    </row>
    <row r="435" ht="14.25" spans="1:27">
      <c r="A435" s="13">
        <v>433</v>
      </c>
      <c r="B435" s="15">
        <v>9</v>
      </c>
      <c r="C435" s="16">
        <v>49</v>
      </c>
      <c r="D435" s="17" t="s">
        <v>876</v>
      </c>
      <c r="E435" s="17" t="s">
        <v>877</v>
      </c>
      <c r="F435" s="174">
        <f>VLOOKUP(D435,原始分!$D:$N,3,0)</f>
        <v>98.5</v>
      </c>
      <c r="G435" s="174">
        <f t="shared" si="81"/>
        <v>469</v>
      </c>
      <c r="H435" s="174">
        <f>VLOOKUP(D435,原始分!$D:$N,4,0)</f>
        <v>129</v>
      </c>
      <c r="I435" s="174">
        <f t="shared" si="82"/>
        <v>19</v>
      </c>
      <c r="J435" s="174">
        <f>VLOOKUP(D435,原始分!$D:$N,5,0)</f>
        <v>111.5</v>
      </c>
      <c r="K435" s="174">
        <f t="shared" si="83"/>
        <v>152</v>
      </c>
      <c r="L435" s="174">
        <f>VLOOKUP(D435,原始分!$D:$N,6,0)</f>
        <v>68</v>
      </c>
      <c r="M435" s="174">
        <f t="shared" si="84"/>
        <v>77</v>
      </c>
      <c r="N435" s="174">
        <f>VLOOKUP(D435,原始分!$D:$N,7,0)</f>
        <v>0</v>
      </c>
      <c r="O435" s="174">
        <f t="shared" si="85"/>
        <v>207</v>
      </c>
      <c r="P435" s="174">
        <f>VLOOKUP(D435,原始分!$D:$N,8,0)</f>
        <v>51</v>
      </c>
      <c r="Q435" s="174">
        <f t="shared" si="86"/>
        <v>97</v>
      </c>
      <c r="R435" s="174">
        <f>VLOOKUP(D435,原始分!$D:$N,9,0)</f>
        <v>0</v>
      </c>
      <c r="S435" s="174">
        <f t="shared" si="87"/>
        <v>320</v>
      </c>
      <c r="T435" s="174">
        <f>VLOOKUP(D435,原始分!$D:$N,10,0)</f>
        <v>0</v>
      </c>
      <c r="U435" s="174">
        <f t="shared" si="88"/>
        <v>316</v>
      </c>
      <c r="V435" s="174">
        <f>VLOOKUP(D435,原始分!$D:$N,11,0)</f>
        <v>65</v>
      </c>
      <c r="W435" s="174">
        <f t="shared" si="89"/>
        <v>37</v>
      </c>
      <c r="X435" s="11">
        <f t="shared" si="90"/>
        <v>339</v>
      </c>
      <c r="Y435" s="9">
        <f t="shared" si="91"/>
        <v>42</v>
      </c>
      <c r="Z435" s="11">
        <f t="shared" si="92"/>
        <v>523</v>
      </c>
      <c r="AA435" s="9">
        <f t="shared" si="93"/>
        <v>30</v>
      </c>
    </row>
    <row r="436" ht="14.25" spans="1:27">
      <c r="A436" s="13">
        <v>434</v>
      </c>
      <c r="B436" s="15">
        <v>9</v>
      </c>
      <c r="C436" s="16">
        <v>50</v>
      </c>
      <c r="D436" s="19" t="s">
        <v>878</v>
      </c>
      <c r="E436" s="17" t="s">
        <v>879</v>
      </c>
      <c r="F436" s="174">
        <f>VLOOKUP(D436,原始分!$D:$N,3,0)</f>
        <v>118.5</v>
      </c>
      <c r="G436" s="174">
        <f t="shared" si="81"/>
        <v>2</v>
      </c>
      <c r="H436" s="174">
        <f>VLOOKUP(D436,原始分!$D:$N,4,0)</f>
        <v>108</v>
      </c>
      <c r="I436" s="174">
        <f t="shared" si="82"/>
        <v>257</v>
      </c>
      <c r="J436" s="174">
        <f>VLOOKUP(D436,原始分!$D:$N,5,0)</f>
        <v>103.25</v>
      </c>
      <c r="K436" s="174">
        <f t="shared" si="83"/>
        <v>307</v>
      </c>
      <c r="L436" s="174">
        <f>VLOOKUP(D436,原始分!$D:$N,6,0)</f>
        <v>69</v>
      </c>
      <c r="M436" s="174">
        <f t="shared" si="84"/>
        <v>70</v>
      </c>
      <c r="N436" s="174">
        <f>VLOOKUP(D436,原始分!$D:$N,7,0)</f>
        <v>0</v>
      </c>
      <c r="O436" s="174">
        <f t="shared" si="85"/>
        <v>207</v>
      </c>
      <c r="P436" s="174">
        <f>VLOOKUP(D436,原始分!$D:$N,8,0)</f>
        <v>46.5</v>
      </c>
      <c r="Q436" s="174">
        <f t="shared" si="86"/>
        <v>188</v>
      </c>
      <c r="R436" s="174">
        <f>VLOOKUP(D436,原始分!$D:$N,9,0)</f>
        <v>0</v>
      </c>
      <c r="S436" s="174">
        <f t="shared" si="87"/>
        <v>320</v>
      </c>
      <c r="T436" s="174">
        <f>VLOOKUP(D436,原始分!$D:$N,10,0)</f>
        <v>0</v>
      </c>
      <c r="U436" s="174">
        <f t="shared" si="88"/>
        <v>316</v>
      </c>
      <c r="V436" s="174">
        <f>VLOOKUP(D436,原始分!$D:$N,11,0)</f>
        <v>60</v>
      </c>
      <c r="W436" s="174">
        <f t="shared" si="89"/>
        <v>91</v>
      </c>
      <c r="X436" s="11">
        <f t="shared" si="90"/>
        <v>329.75</v>
      </c>
      <c r="Y436" s="9">
        <f t="shared" si="91"/>
        <v>92</v>
      </c>
      <c r="Z436" s="11">
        <f t="shared" si="92"/>
        <v>505.25</v>
      </c>
      <c r="AA436" s="9">
        <f t="shared" si="93"/>
        <v>65</v>
      </c>
    </row>
    <row r="437" ht="14.25" spans="1:27">
      <c r="A437" s="13">
        <v>435</v>
      </c>
      <c r="B437" s="15">
        <v>9</v>
      </c>
      <c r="C437" s="16">
        <v>51</v>
      </c>
      <c r="D437" s="19" t="s">
        <v>880</v>
      </c>
      <c r="E437" s="17" t="s">
        <v>881</v>
      </c>
      <c r="F437" s="174">
        <f>VLOOKUP(D437,原始分!$D:$N,3,0)</f>
        <v>106.25</v>
      </c>
      <c r="G437" s="174">
        <f t="shared" si="81"/>
        <v>141</v>
      </c>
      <c r="H437" s="174">
        <f>VLOOKUP(D437,原始分!$D:$N,4,0)</f>
        <v>129.5</v>
      </c>
      <c r="I437" s="174">
        <f t="shared" si="82"/>
        <v>17</v>
      </c>
      <c r="J437" s="174">
        <f>VLOOKUP(D437,原始分!$D:$N,5,0)</f>
        <v>118.75</v>
      </c>
      <c r="K437" s="174">
        <f t="shared" si="83"/>
        <v>56</v>
      </c>
      <c r="L437" s="174">
        <f>VLOOKUP(D437,原始分!$D:$N,6,0)</f>
        <v>74.5</v>
      </c>
      <c r="M437" s="174">
        <f t="shared" si="84"/>
        <v>38</v>
      </c>
      <c r="N437" s="174">
        <f>VLOOKUP(D437,原始分!$D:$N,7,0)</f>
        <v>0</v>
      </c>
      <c r="O437" s="174">
        <f t="shared" si="85"/>
        <v>207</v>
      </c>
      <c r="P437" s="174">
        <f>VLOOKUP(D437,原始分!$D:$N,8,0)</f>
        <v>62</v>
      </c>
      <c r="Q437" s="174">
        <f t="shared" si="86"/>
        <v>17</v>
      </c>
      <c r="R437" s="174">
        <f>VLOOKUP(D437,原始分!$D:$N,9,0)</f>
        <v>0</v>
      </c>
      <c r="S437" s="174">
        <f t="shared" si="87"/>
        <v>320</v>
      </c>
      <c r="T437" s="174">
        <f>VLOOKUP(D437,原始分!$D:$N,10,0)</f>
        <v>0</v>
      </c>
      <c r="U437" s="174">
        <f t="shared" si="88"/>
        <v>316</v>
      </c>
      <c r="V437" s="174">
        <f>VLOOKUP(D437,原始分!$D:$N,11,0)</f>
        <v>60</v>
      </c>
      <c r="W437" s="174">
        <f t="shared" si="89"/>
        <v>91</v>
      </c>
      <c r="X437" s="11">
        <f t="shared" si="90"/>
        <v>354.5</v>
      </c>
      <c r="Y437" s="9">
        <f t="shared" si="91"/>
        <v>10</v>
      </c>
      <c r="Z437" s="11">
        <f t="shared" si="92"/>
        <v>551</v>
      </c>
      <c r="AA437" s="9">
        <f t="shared" si="93"/>
        <v>12</v>
      </c>
    </row>
    <row r="438" ht="14.25" spans="1:27">
      <c r="A438" s="13">
        <v>436</v>
      </c>
      <c r="B438" s="15">
        <v>9</v>
      </c>
      <c r="C438" s="16">
        <v>52</v>
      </c>
      <c r="D438" s="17" t="s">
        <v>882</v>
      </c>
      <c r="E438" s="17" t="s">
        <v>883</v>
      </c>
      <c r="F438" s="174">
        <f>VLOOKUP(D438,原始分!$D:$N,3,0)</f>
        <v>106.25</v>
      </c>
      <c r="G438" s="174">
        <f t="shared" si="81"/>
        <v>141</v>
      </c>
      <c r="H438" s="174">
        <f>VLOOKUP(D438,原始分!$D:$N,4,0)</f>
        <v>116.25</v>
      </c>
      <c r="I438" s="174">
        <f t="shared" si="82"/>
        <v>112</v>
      </c>
      <c r="J438" s="174">
        <f>VLOOKUP(D438,原始分!$D:$N,5,0)</f>
        <v>114.25</v>
      </c>
      <c r="K438" s="174">
        <f t="shared" si="83"/>
        <v>114</v>
      </c>
      <c r="L438" s="174">
        <f>VLOOKUP(D438,原始分!$D:$N,6,0)</f>
        <v>54.5</v>
      </c>
      <c r="M438" s="174">
        <f t="shared" si="84"/>
        <v>281</v>
      </c>
      <c r="N438" s="174">
        <f>VLOOKUP(D438,原始分!$D:$N,7,0)</f>
        <v>0</v>
      </c>
      <c r="O438" s="174">
        <f t="shared" si="85"/>
        <v>207</v>
      </c>
      <c r="P438" s="174">
        <f>VLOOKUP(D438,原始分!$D:$N,8,0)</f>
        <v>33.5</v>
      </c>
      <c r="Q438" s="174">
        <f t="shared" si="86"/>
        <v>422</v>
      </c>
      <c r="R438" s="174">
        <f>VLOOKUP(D438,原始分!$D:$N,9,0)</f>
        <v>0</v>
      </c>
      <c r="S438" s="174">
        <f t="shared" si="87"/>
        <v>320</v>
      </c>
      <c r="T438" s="174">
        <f>VLOOKUP(D438,原始分!$D:$N,10,0)</f>
        <v>0</v>
      </c>
      <c r="U438" s="174">
        <f t="shared" si="88"/>
        <v>316</v>
      </c>
      <c r="V438" s="174">
        <f>VLOOKUP(D438,原始分!$D:$N,11,0)</f>
        <v>41.5</v>
      </c>
      <c r="W438" s="174">
        <f t="shared" si="89"/>
        <v>479</v>
      </c>
      <c r="X438" s="11">
        <f t="shared" si="90"/>
        <v>336.75</v>
      </c>
      <c r="Y438" s="9">
        <f t="shared" si="91"/>
        <v>56</v>
      </c>
      <c r="Z438" s="11">
        <f t="shared" si="92"/>
        <v>466.25</v>
      </c>
      <c r="AA438" s="9">
        <f t="shared" si="93"/>
        <v>190</v>
      </c>
    </row>
    <row r="439" ht="14.25" spans="1:27">
      <c r="A439" s="13">
        <v>437</v>
      </c>
      <c r="B439" s="15">
        <v>9</v>
      </c>
      <c r="C439" s="16">
        <v>53</v>
      </c>
      <c r="D439" s="17" t="s">
        <v>884</v>
      </c>
      <c r="E439" s="17" t="s">
        <v>885</v>
      </c>
      <c r="F439" s="174">
        <f>VLOOKUP(D439,原始分!$D:$N,3,0)</f>
        <v>105.5</v>
      </c>
      <c r="G439" s="174">
        <f t="shared" si="81"/>
        <v>156</v>
      </c>
      <c r="H439" s="174">
        <f>VLOOKUP(D439,原始分!$D:$N,4,0)</f>
        <v>128</v>
      </c>
      <c r="I439" s="174">
        <f t="shared" si="82"/>
        <v>20</v>
      </c>
      <c r="J439" s="174">
        <f>VLOOKUP(D439,原始分!$D:$N,5,0)</f>
        <v>115.5</v>
      </c>
      <c r="K439" s="174">
        <f t="shared" si="83"/>
        <v>94</v>
      </c>
      <c r="L439" s="174">
        <f>VLOOKUP(D439,原始分!$D:$N,6,0)</f>
        <v>71.5</v>
      </c>
      <c r="M439" s="174">
        <f t="shared" si="84"/>
        <v>55</v>
      </c>
      <c r="N439" s="174">
        <f>VLOOKUP(D439,原始分!$D:$N,7,0)</f>
        <v>0</v>
      </c>
      <c r="O439" s="174">
        <f t="shared" si="85"/>
        <v>207</v>
      </c>
      <c r="P439" s="174">
        <f>VLOOKUP(D439,原始分!$D:$N,8,0)</f>
        <v>57</v>
      </c>
      <c r="Q439" s="174">
        <f t="shared" si="86"/>
        <v>39</v>
      </c>
      <c r="R439" s="174">
        <f>VLOOKUP(D439,原始分!$D:$N,9,0)</f>
        <v>0</v>
      </c>
      <c r="S439" s="174">
        <f t="shared" si="87"/>
        <v>320</v>
      </c>
      <c r="T439" s="174">
        <f>VLOOKUP(D439,原始分!$D:$N,10,0)</f>
        <v>0</v>
      </c>
      <c r="U439" s="174">
        <f t="shared" si="88"/>
        <v>316</v>
      </c>
      <c r="V439" s="174">
        <f>VLOOKUP(D439,原始分!$D:$N,11,0)</f>
        <v>76</v>
      </c>
      <c r="W439" s="174">
        <f t="shared" si="89"/>
        <v>4</v>
      </c>
      <c r="X439" s="11">
        <f t="shared" si="90"/>
        <v>349</v>
      </c>
      <c r="Y439" s="9">
        <f t="shared" si="91"/>
        <v>17</v>
      </c>
      <c r="Z439" s="11">
        <f t="shared" si="92"/>
        <v>553.5</v>
      </c>
      <c r="AA439" s="9">
        <f t="shared" si="93"/>
        <v>7</v>
      </c>
    </row>
    <row r="440" ht="14.25" spans="1:27">
      <c r="A440" s="13">
        <v>438</v>
      </c>
      <c r="B440" s="15">
        <v>9</v>
      </c>
      <c r="C440" s="16">
        <v>54</v>
      </c>
      <c r="D440" s="17" t="s">
        <v>886</v>
      </c>
      <c r="E440" s="17" t="s">
        <v>887</v>
      </c>
      <c r="F440" s="174">
        <f>VLOOKUP(D440,原始分!$D:$N,3,0)</f>
        <v>93.5</v>
      </c>
      <c r="G440" s="174">
        <f t="shared" si="81"/>
        <v>676</v>
      </c>
      <c r="H440" s="174">
        <f>VLOOKUP(D440,原始分!$D:$N,4,0)</f>
        <v>127</v>
      </c>
      <c r="I440" s="174">
        <f t="shared" si="82"/>
        <v>24</v>
      </c>
      <c r="J440" s="174">
        <f>VLOOKUP(D440,原始分!$D:$N,5,0)</f>
        <v>118</v>
      </c>
      <c r="K440" s="174">
        <f t="shared" si="83"/>
        <v>65</v>
      </c>
      <c r="L440" s="174">
        <f>VLOOKUP(D440,原始分!$D:$N,6,0)</f>
        <v>79</v>
      </c>
      <c r="M440" s="174">
        <f t="shared" si="84"/>
        <v>14</v>
      </c>
      <c r="N440" s="174">
        <f>VLOOKUP(D440,原始分!$D:$N,7,0)</f>
        <v>0</v>
      </c>
      <c r="O440" s="174">
        <f t="shared" si="85"/>
        <v>207</v>
      </c>
      <c r="P440" s="174">
        <f>VLOOKUP(D440,原始分!$D:$N,8,0)</f>
        <v>44</v>
      </c>
      <c r="Q440" s="174">
        <f t="shared" si="86"/>
        <v>227</v>
      </c>
      <c r="R440" s="174">
        <f>VLOOKUP(D440,原始分!$D:$N,9,0)</f>
        <v>0</v>
      </c>
      <c r="S440" s="174">
        <f t="shared" si="87"/>
        <v>320</v>
      </c>
      <c r="T440" s="174">
        <f>VLOOKUP(D440,原始分!$D:$N,10,0)</f>
        <v>0</v>
      </c>
      <c r="U440" s="174">
        <f t="shared" si="88"/>
        <v>316</v>
      </c>
      <c r="V440" s="174">
        <f>VLOOKUP(D440,原始分!$D:$N,11,0)</f>
        <v>62</v>
      </c>
      <c r="W440" s="174">
        <f t="shared" si="89"/>
        <v>64</v>
      </c>
      <c r="X440" s="11">
        <f t="shared" si="90"/>
        <v>338.5</v>
      </c>
      <c r="Y440" s="9">
        <f t="shared" si="91"/>
        <v>43</v>
      </c>
      <c r="Z440" s="11">
        <f t="shared" si="92"/>
        <v>523.5</v>
      </c>
      <c r="AA440" s="9">
        <f t="shared" si="93"/>
        <v>29</v>
      </c>
    </row>
    <row r="441" ht="14.25" spans="1:27">
      <c r="A441" s="13">
        <v>439</v>
      </c>
      <c r="B441" s="15">
        <v>9</v>
      </c>
      <c r="C441" s="16">
        <v>55</v>
      </c>
      <c r="D441" s="17" t="s">
        <v>888</v>
      </c>
      <c r="E441" s="17" t="s">
        <v>889</v>
      </c>
      <c r="F441" s="174">
        <f>VLOOKUP(D441,原始分!$D:$N,3,0)</f>
        <v>95</v>
      </c>
      <c r="G441" s="174">
        <f t="shared" si="81"/>
        <v>619</v>
      </c>
      <c r="H441" s="174">
        <f>VLOOKUP(D441,原始分!$D:$N,4,0)</f>
        <v>97.5</v>
      </c>
      <c r="I441" s="174">
        <f t="shared" si="82"/>
        <v>464</v>
      </c>
      <c r="J441" s="174">
        <f>VLOOKUP(D441,原始分!$D:$N,5,0)</f>
        <v>111.75</v>
      </c>
      <c r="K441" s="174">
        <f t="shared" si="83"/>
        <v>149</v>
      </c>
      <c r="L441" s="174">
        <f>VLOOKUP(D441,原始分!$D:$N,6,0)</f>
        <v>78</v>
      </c>
      <c r="M441" s="174">
        <f t="shared" si="84"/>
        <v>16</v>
      </c>
      <c r="N441" s="174">
        <f>VLOOKUP(D441,原始分!$D:$N,7,0)</f>
        <v>0</v>
      </c>
      <c r="O441" s="174">
        <f t="shared" si="85"/>
        <v>207</v>
      </c>
      <c r="P441" s="174">
        <f>VLOOKUP(D441,原始分!$D:$N,8,0)</f>
        <v>59.5</v>
      </c>
      <c r="Q441" s="174">
        <f t="shared" si="86"/>
        <v>30</v>
      </c>
      <c r="R441" s="174">
        <f>VLOOKUP(D441,原始分!$D:$N,9,0)</f>
        <v>0</v>
      </c>
      <c r="S441" s="174">
        <f t="shared" si="87"/>
        <v>320</v>
      </c>
      <c r="T441" s="174">
        <f>VLOOKUP(D441,原始分!$D:$N,10,0)</f>
        <v>0</v>
      </c>
      <c r="U441" s="174">
        <f t="shared" si="88"/>
        <v>316</v>
      </c>
      <c r="V441" s="174">
        <f>VLOOKUP(D441,原始分!$D:$N,11,0)</f>
        <v>61</v>
      </c>
      <c r="W441" s="174">
        <f t="shared" si="89"/>
        <v>77</v>
      </c>
      <c r="X441" s="11">
        <f t="shared" si="90"/>
        <v>304.25</v>
      </c>
      <c r="Y441" s="9">
        <f t="shared" si="91"/>
        <v>325</v>
      </c>
      <c r="Z441" s="11">
        <f t="shared" si="92"/>
        <v>502.75</v>
      </c>
      <c r="AA441" s="9">
        <f t="shared" si="93"/>
        <v>73</v>
      </c>
    </row>
    <row r="442" ht="14.25" spans="1:27">
      <c r="A442" s="13">
        <v>440</v>
      </c>
      <c r="B442" s="15">
        <v>10</v>
      </c>
      <c r="C442" s="16">
        <v>1</v>
      </c>
      <c r="D442" s="17" t="s">
        <v>890</v>
      </c>
      <c r="E442" s="17" t="s">
        <v>891</v>
      </c>
      <c r="F442" s="174">
        <f>VLOOKUP(D442,原始分!$D:$N,3,0)</f>
        <v>102.5</v>
      </c>
      <c r="G442" s="174">
        <f t="shared" si="81"/>
        <v>279</v>
      </c>
      <c r="H442" s="174">
        <f>VLOOKUP(D442,原始分!$D:$N,4,0)</f>
        <v>108.5</v>
      </c>
      <c r="I442" s="174">
        <f t="shared" si="82"/>
        <v>251</v>
      </c>
      <c r="J442" s="174">
        <f>VLOOKUP(D442,原始分!$D:$N,5,0)</f>
        <v>93.5</v>
      </c>
      <c r="K442" s="174">
        <f t="shared" si="83"/>
        <v>515</v>
      </c>
      <c r="L442" s="174">
        <f>VLOOKUP(D442,原始分!$D:$N,6,0)</f>
        <v>66</v>
      </c>
      <c r="M442" s="174">
        <f t="shared" si="84"/>
        <v>97</v>
      </c>
      <c r="N442" s="174">
        <f>VLOOKUP(D442,原始分!$D:$N,7,0)</f>
        <v>0</v>
      </c>
      <c r="O442" s="174">
        <f t="shared" si="85"/>
        <v>207</v>
      </c>
      <c r="P442" s="174">
        <f>VLOOKUP(D442,原始分!$D:$N,8,0)</f>
        <v>50.5</v>
      </c>
      <c r="Q442" s="174">
        <f t="shared" si="86"/>
        <v>101</v>
      </c>
      <c r="R442" s="174">
        <f>VLOOKUP(D442,原始分!$D:$N,9,0)</f>
        <v>0</v>
      </c>
      <c r="S442" s="174">
        <f t="shared" si="87"/>
        <v>320</v>
      </c>
      <c r="T442" s="174">
        <f>VLOOKUP(D442,原始分!$D:$N,10,0)</f>
        <v>0</v>
      </c>
      <c r="U442" s="174">
        <f t="shared" si="88"/>
        <v>316</v>
      </c>
      <c r="V442" s="174">
        <f>VLOOKUP(D442,原始分!$D:$N,11,0)</f>
        <v>59</v>
      </c>
      <c r="W442" s="174">
        <f t="shared" si="89"/>
        <v>107</v>
      </c>
      <c r="X442" s="11">
        <f t="shared" si="90"/>
        <v>304.5</v>
      </c>
      <c r="Y442" s="9">
        <f t="shared" si="91"/>
        <v>320</v>
      </c>
      <c r="Z442" s="11">
        <f t="shared" si="92"/>
        <v>480</v>
      </c>
      <c r="AA442" s="9">
        <f t="shared" si="93"/>
        <v>133</v>
      </c>
    </row>
    <row r="443" ht="14.25" spans="1:27">
      <c r="A443" s="13">
        <v>441</v>
      </c>
      <c r="B443" s="15">
        <v>10</v>
      </c>
      <c r="C443" s="16">
        <v>2</v>
      </c>
      <c r="D443" s="17" t="s">
        <v>892</v>
      </c>
      <c r="E443" s="17" t="s">
        <v>893</v>
      </c>
      <c r="F443" s="174">
        <f>VLOOKUP(D443,原始分!$D:$N,3,0)</f>
        <v>109.5</v>
      </c>
      <c r="G443" s="174">
        <f t="shared" si="81"/>
        <v>53</v>
      </c>
      <c r="H443" s="174">
        <f>VLOOKUP(D443,原始分!$D:$N,4,0)</f>
        <v>107</v>
      </c>
      <c r="I443" s="174">
        <f t="shared" si="82"/>
        <v>279</v>
      </c>
      <c r="J443" s="174">
        <f>VLOOKUP(D443,原始分!$D:$N,5,0)</f>
        <v>89.5</v>
      </c>
      <c r="K443" s="174">
        <f t="shared" si="83"/>
        <v>591</v>
      </c>
      <c r="L443" s="174">
        <f>VLOOKUP(D443,原始分!$D:$N,6,0)</f>
        <v>57</v>
      </c>
      <c r="M443" s="174">
        <f t="shared" si="84"/>
        <v>237</v>
      </c>
      <c r="N443" s="174">
        <f>VLOOKUP(D443,原始分!$D:$N,7,0)</f>
        <v>0</v>
      </c>
      <c r="O443" s="174">
        <f t="shared" si="85"/>
        <v>207</v>
      </c>
      <c r="P443" s="174">
        <f>VLOOKUP(D443,原始分!$D:$N,8,0)</f>
        <v>42.5</v>
      </c>
      <c r="Q443" s="174">
        <f t="shared" si="86"/>
        <v>257</v>
      </c>
      <c r="R443" s="174">
        <f>VLOOKUP(D443,原始分!$D:$N,9,0)</f>
        <v>0</v>
      </c>
      <c r="S443" s="174">
        <f t="shared" si="87"/>
        <v>320</v>
      </c>
      <c r="T443" s="174">
        <f>VLOOKUP(D443,原始分!$D:$N,10,0)</f>
        <v>0</v>
      </c>
      <c r="U443" s="174">
        <f t="shared" si="88"/>
        <v>316</v>
      </c>
      <c r="V443" s="174">
        <f>VLOOKUP(D443,原始分!$D:$N,11,0)</f>
        <v>55.5</v>
      </c>
      <c r="W443" s="174">
        <f t="shared" si="89"/>
        <v>170</v>
      </c>
      <c r="X443" s="11">
        <f t="shared" si="90"/>
        <v>306</v>
      </c>
      <c r="Y443" s="9">
        <f t="shared" si="91"/>
        <v>308</v>
      </c>
      <c r="Z443" s="11">
        <f t="shared" si="92"/>
        <v>461</v>
      </c>
      <c r="AA443" s="9">
        <f t="shared" si="93"/>
        <v>217</v>
      </c>
    </row>
    <row r="444" ht="14.25" spans="1:27">
      <c r="A444" s="13">
        <v>442</v>
      </c>
      <c r="B444" s="15">
        <v>10</v>
      </c>
      <c r="C444" s="16">
        <v>3</v>
      </c>
      <c r="D444" s="17" t="s">
        <v>894</v>
      </c>
      <c r="E444" s="17" t="s">
        <v>895</v>
      </c>
      <c r="F444" s="174">
        <f>VLOOKUP(D444,原始分!$D:$N,3,0)</f>
        <v>103</v>
      </c>
      <c r="G444" s="174">
        <f t="shared" si="81"/>
        <v>260</v>
      </c>
      <c r="H444" s="174">
        <f>VLOOKUP(D444,原始分!$D:$N,4,0)</f>
        <v>86.5</v>
      </c>
      <c r="I444" s="174">
        <f t="shared" si="82"/>
        <v>684</v>
      </c>
      <c r="J444" s="174">
        <f>VLOOKUP(D444,原始分!$D:$N,5,0)</f>
        <v>106.5</v>
      </c>
      <c r="K444" s="174">
        <f t="shared" si="83"/>
        <v>235</v>
      </c>
      <c r="L444" s="174">
        <f>VLOOKUP(D444,原始分!$D:$N,6,0)</f>
        <v>44</v>
      </c>
      <c r="M444" s="174">
        <f t="shared" si="84"/>
        <v>441</v>
      </c>
      <c r="N444" s="174">
        <f>VLOOKUP(D444,原始分!$D:$N,7,0)</f>
        <v>0</v>
      </c>
      <c r="O444" s="174">
        <f t="shared" si="85"/>
        <v>207</v>
      </c>
      <c r="P444" s="174">
        <f>VLOOKUP(D444,原始分!$D:$N,8,0)</f>
        <v>38.5</v>
      </c>
      <c r="Q444" s="174">
        <f t="shared" si="86"/>
        <v>355</v>
      </c>
      <c r="R444" s="174">
        <f>VLOOKUP(D444,原始分!$D:$N,9,0)</f>
        <v>0</v>
      </c>
      <c r="S444" s="174">
        <f t="shared" si="87"/>
        <v>320</v>
      </c>
      <c r="T444" s="174">
        <f>VLOOKUP(D444,原始分!$D:$N,10,0)</f>
        <v>0</v>
      </c>
      <c r="U444" s="174">
        <f t="shared" si="88"/>
        <v>316</v>
      </c>
      <c r="V444" s="174">
        <f>VLOOKUP(D444,原始分!$D:$N,11,0)</f>
        <v>69</v>
      </c>
      <c r="W444" s="174">
        <f t="shared" si="89"/>
        <v>17</v>
      </c>
      <c r="X444" s="11">
        <f t="shared" si="90"/>
        <v>296</v>
      </c>
      <c r="Y444" s="9">
        <f t="shared" si="91"/>
        <v>417</v>
      </c>
      <c r="Z444" s="11">
        <f t="shared" si="92"/>
        <v>447.5</v>
      </c>
      <c r="AA444" s="9">
        <f t="shared" si="93"/>
        <v>291</v>
      </c>
    </row>
    <row r="445" ht="14.25" spans="1:27">
      <c r="A445" s="13">
        <v>443</v>
      </c>
      <c r="B445" s="15">
        <v>10</v>
      </c>
      <c r="C445" s="16">
        <v>4</v>
      </c>
      <c r="D445" s="17" t="s">
        <v>896</v>
      </c>
      <c r="E445" s="17" t="s">
        <v>897</v>
      </c>
      <c r="F445" s="174">
        <f>VLOOKUP(D445,原始分!$D:$N,3,0)</f>
        <v>104.5</v>
      </c>
      <c r="G445" s="174">
        <f t="shared" si="81"/>
        <v>190</v>
      </c>
      <c r="H445" s="174">
        <f>VLOOKUP(D445,原始分!$D:$N,4,0)</f>
        <v>113</v>
      </c>
      <c r="I445" s="174">
        <f t="shared" si="82"/>
        <v>160</v>
      </c>
      <c r="J445" s="174">
        <f>VLOOKUP(D445,原始分!$D:$N,5,0)</f>
        <v>119</v>
      </c>
      <c r="K445" s="174">
        <f t="shared" si="83"/>
        <v>49</v>
      </c>
      <c r="L445" s="174">
        <f>VLOOKUP(D445,原始分!$D:$N,6,0)</f>
        <v>65.5</v>
      </c>
      <c r="M445" s="174">
        <f t="shared" si="84"/>
        <v>105</v>
      </c>
      <c r="N445" s="174">
        <f>VLOOKUP(D445,原始分!$D:$N,7,0)</f>
        <v>0</v>
      </c>
      <c r="O445" s="174">
        <f t="shared" si="85"/>
        <v>207</v>
      </c>
      <c r="P445" s="174">
        <f>VLOOKUP(D445,原始分!$D:$N,8,0)</f>
        <v>61</v>
      </c>
      <c r="Q445" s="174">
        <f t="shared" si="86"/>
        <v>21</v>
      </c>
      <c r="R445" s="174">
        <f>VLOOKUP(D445,原始分!$D:$N,9,0)</f>
        <v>0</v>
      </c>
      <c r="S445" s="174">
        <f t="shared" si="87"/>
        <v>320</v>
      </c>
      <c r="T445" s="174">
        <f>VLOOKUP(D445,原始分!$D:$N,10,0)</f>
        <v>0</v>
      </c>
      <c r="U445" s="174">
        <f t="shared" si="88"/>
        <v>316</v>
      </c>
      <c r="V445" s="174">
        <f>VLOOKUP(D445,原始分!$D:$N,11,0)</f>
        <v>60</v>
      </c>
      <c r="W445" s="174">
        <f t="shared" si="89"/>
        <v>91</v>
      </c>
      <c r="X445" s="11">
        <f t="shared" si="90"/>
        <v>336.5</v>
      </c>
      <c r="Y445" s="9">
        <f t="shared" si="91"/>
        <v>57</v>
      </c>
      <c r="Z445" s="11">
        <f t="shared" si="92"/>
        <v>523</v>
      </c>
      <c r="AA445" s="9">
        <f t="shared" si="93"/>
        <v>30</v>
      </c>
    </row>
    <row r="446" ht="14.25" spans="1:27">
      <c r="A446" s="13">
        <v>444</v>
      </c>
      <c r="B446" s="15">
        <v>10</v>
      </c>
      <c r="C446" s="16">
        <v>5</v>
      </c>
      <c r="D446" s="17" t="s">
        <v>898</v>
      </c>
      <c r="E446" s="17" t="s">
        <v>899</v>
      </c>
      <c r="F446" s="174">
        <f>VLOOKUP(D446,原始分!$D:$N,3,0)</f>
        <v>114</v>
      </c>
      <c r="G446" s="174">
        <f t="shared" si="81"/>
        <v>17</v>
      </c>
      <c r="H446" s="174">
        <f>VLOOKUP(D446,原始分!$D:$N,4,0)</f>
        <v>109</v>
      </c>
      <c r="I446" s="174">
        <f t="shared" si="82"/>
        <v>241</v>
      </c>
      <c r="J446" s="174">
        <f>VLOOKUP(D446,原始分!$D:$N,5,0)</f>
        <v>107.75</v>
      </c>
      <c r="K446" s="174">
        <f t="shared" si="83"/>
        <v>213</v>
      </c>
      <c r="L446" s="174">
        <f>VLOOKUP(D446,原始分!$D:$N,6,0)</f>
        <v>53.5</v>
      </c>
      <c r="M446" s="174">
        <f t="shared" si="84"/>
        <v>292</v>
      </c>
      <c r="N446" s="174">
        <f>VLOOKUP(D446,原始分!$D:$N,7,0)</f>
        <v>0</v>
      </c>
      <c r="O446" s="174">
        <f t="shared" si="85"/>
        <v>207</v>
      </c>
      <c r="P446" s="174">
        <f>VLOOKUP(D446,原始分!$D:$N,8,0)</f>
        <v>62</v>
      </c>
      <c r="Q446" s="174">
        <f t="shared" si="86"/>
        <v>17</v>
      </c>
      <c r="R446" s="174">
        <f>VLOOKUP(D446,原始分!$D:$N,9,0)</f>
        <v>0</v>
      </c>
      <c r="S446" s="174">
        <f t="shared" si="87"/>
        <v>320</v>
      </c>
      <c r="T446" s="174">
        <f>VLOOKUP(D446,原始分!$D:$N,10,0)</f>
        <v>0</v>
      </c>
      <c r="U446" s="174">
        <f t="shared" si="88"/>
        <v>316</v>
      </c>
      <c r="V446" s="174">
        <f>VLOOKUP(D446,原始分!$D:$N,11,0)</f>
        <v>69</v>
      </c>
      <c r="W446" s="174">
        <f t="shared" si="89"/>
        <v>17</v>
      </c>
      <c r="X446" s="11">
        <f t="shared" si="90"/>
        <v>330.75</v>
      </c>
      <c r="Y446" s="9">
        <f t="shared" si="91"/>
        <v>85</v>
      </c>
      <c r="Z446" s="11">
        <f t="shared" si="92"/>
        <v>515.25</v>
      </c>
      <c r="AA446" s="9">
        <f t="shared" si="93"/>
        <v>43</v>
      </c>
    </row>
    <row r="447" ht="14.25" spans="1:27">
      <c r="A447" s="13">
        <v>445</v>
      </c>
      <c r="B447" s="15">
        <v>10</v>
      </c>
      <c r="C447" s="16">
        <v>6</v>
      </c>
      <c r="D447" s="17" t="s">
        <v>900</v>
      </c>
      <c r="E447" s="17" t="s">
        <v>901</v>
      </c>
      <c r="F447" s="174">
        <f>VLOOKUP(D447,原始分!$D:$N,3,0)</f>
        <v>111.75</v>
      </c>
      <c r="G447" s="174">
        <f t="shared" si="81"/>
        <v>33</v>
      </c>
      <c r="H447" s="174">
        <f>VLOOKUP(D447,原始分!$D:$N,4,0)</f>
        <v>91</v>
      </c>
      <c r="I447" s="174">
        <f t="shared" si="82"/>
        <v>592</v>
      </c>
      <c r="J447" s="174">
        <f>VLOOKUP(D447,原始分!$D:$N,5,0)</f>
        <v>83</v>
      </c>
      <c r="K447" s="174">
        <f t="shared" si="83"/>
        <v>700</v>
      </c>
      <c r="L447" s="174">
        <f>VLOOKUP(D447,原始分!$D:$N,6,0)</f>
        <v>60.5</v>
      </c>
      <c r="M447" s="174">
        <f t="shared" si="84"/>
        <v>180</v>
      </c>
      <c r="N447" s="174">
        <f>VLOOKUP(D447,原始分!$D:$N,7,0)</f>
        <v>0</v>
      </c>
      <c r="O447" s="174">
        <f t="shared" si="85"/>
        <v>207</v>
      </c>
      <c r="P447" s="174">
        <f>VLOOKUP(D447,原始分!$D:$N,8,0)</f>
        <v>43</v>
      </c>
      <c r="Q447" s="174">
        <f t="shared" si="86"/>
        <v>248</v>
      </c>
      <c r="R447" s="174">
        <f>VLOOKUP(D447,原始分!$D:$N,9,0)</f>
        <v>0</v>
      </c>
      <c r="S447" s="174">
        <f t="shared" si="87"/>
        <v>320</v>
      </c>
      <c r="T447" s="174">
        <f>VLOOKUP(D447,原始分!$D:$N,10,0)</f>
        <v>0</v>
      </c>
      <c r="U447" s="174">
        <f t="shared" si="88"/>
        <v>316</v>
      </c>
      <c r="V447" s="174">
        <f>VLOOKUP(D447,原始分!$D:$N,11,0)</f>
        <v>57</v>
      </c>
      <c r="W447" s="174">
        <f t="shared" si="89"/>
        <v>139</v>
      </c>
      <c r="X447" s="11">
        <f t="shared" si="90"/>
        <v>285.75</v>
      </c>
      <c r="Y447" s="9">
        <f t="shared" si="91"/>
        <v>537</v>
      </c>
      <c r="Z447" s="11">
        <f t="shared" si="92"/>
        <v>446.25</v>
      </c>
      <c r="AA447" s="9">
        <f t="shared" si="93"/>
        <v>298</v>
      </c>
    </row>
    <row r="448" ht="14.25" spans="1:27">
      <c r="A448" s="13">
        <v>446</v>
      </c>
      <c r="B448" s="15">
        <v>10</v>
      </c>
      <c r="C448" s="16">
        <v>7</v>
      </c>
      <c r="D448" s="17" t="s">
        <v>902</v>
      </c>
      <c r="E448" s="17" t="s">
        <v>903</v>
      </c>
      <c r="F448" s="174">
        <f>VLOOKUP(D448,原始分!$D:$N,3,0)</f>
        <v>105.5</v>
      </c>
      <c r="G448" s="174">
        <f t="shared" si="81"/>
        <v>156</v>
      </c>
      <c r="H448" s="174">
        <f>VLOOKUP(D448,原始分!$D:$N,4,0)</f>
        <v>116.5</v>
      </c>
      <c r="I448" s="174">
        <f t="shared" si="82"/>
        <v>106</v>
      </c>
      <c r="J448" s="174">
        <f>VLOOKUP(D448,原始分!$D:$N,5,0)</f>
        <v>108</v>
      </c>
      <c r="K448" s="174">
        <f t="shared" si="83"/>
        <v>206</v>
      </c>
      <c r="L448" s="174">
        <f>VLOOKUP(D448,原始分!$D:$N,6,0)</f>
        <v>71.5</v>
      </c>
      <c r="M448" s="174">
        <f t="shared" si="84"/>
        <v>55</v>
      </c>
      <c r="N448" s="174">
        <f>VLOOKUP(D448,原始分!$D:$N,7,0)</f>
        <v>0</v>
      </c>
      <c r="O448" s="174">
        <f t="shared" si="85"/>
        <v>207</v>
      </c>
      <c r="P448" s="174">
        <f>VLOOKUP(D448,原始分!$D:$N,8,0)</f>
        <v>49.5</v>
      </c>
      <c r="Q448" s="174">
        <f t="shared" si="86"/>
        <v>120</v>
      </c>
      <c r="R448" s="174">
        <f>VLOOKUP(D448,原始分!$D:$N,9,0)</f>
        <v>0</v>
      </c>
      <c r="S448" s="174">
        <f t="shared" si="87"/>
        <v>320</v>
      </c>
      <c r="T448" s="174">
        <f>VLOOKUP(D448,原始分!$D:$N,10,0)</f>
        <v>0</v>
      </c>
      <c r="U448" s="174">
        <f t="shared" si="88"/>
        <v>316</v>
      </c>
      <c r="V448" s="174">
        <f>VLOOKUP(D448,原始分!$D:$N,11,0)</f>
        <v>73</v>
      </c>
      <c r="W448" s="174">
        <f t="shared" si="89"/>
        <v>10</v>
      </c>
      <c r="X448" s="11">
        <f t="shared" si="90"/>
        <v>330</v>
      </c>
      <c r="Y448" s="9">
        <f t="shared" si="91"/>
        <v>90</v>
      </c>
      <c r="Z448" s="11">
        <f t="shared" si="92"/>
        <v>524</v>
      </c>
      <c r="AA448" s="9">
        <f t="shared" si="93"/>
        <v>27</v>
      </c>
    </row>
    <row r="449" ht="14.25" spans="1:27">
      <c r="A449" s="13">
        <v>447</v>
      </c>
      <c r="B449" s="15">
        <v>10</v>
      </c>
      <c r="C449" s="16">
        <v>8</v>
      </c>
      <c r="D449" s="17" t="s">
        <v>904</v>
      </c>
      <c r="E449" s="17" t="s">
        <v>905</v>
      </c>
      <c r="F449" s="174">
        <f>VLOOKUP(D449,原始分!$D:$N,3,0)</f>
        <v>101</v>
      </c>
      <c r="G449" s="174">
        <f t="shared" si="81"/>
        <v>338</v>
      </c>
      <c r="H449" s="174">
        <f>VLOOKUP(D449,原始分!$D:$N,4,0)</f>
        <v>100</v>
      </c>
      <c r="I449" s="174">
        <f t="shared" si="82"/>
        <v>416</v>
      </c>
      <c r="J449" s="174">
        <f>VLOOKUP(D449,原始分!$D:$N,5,0)</f>
        <v>112.75</v>
      </c>
      <c r="K449" s="174">
        <f t="shared" si="83"/>
        <v>137</v>
      </c>
      <c r="L449" s="174">
        <f>VLOOKUP(D449,原始分!$D:$N,6,0)</f>
        <v>64</v>
      </c>
      <c r="M449" s="174">
        <f t="shared" si="84"/>
        <v>130</v>
      </c>
      <c r="N449" s="174">
        <f>VLOOKUP(D449,原始分!$D:$N,7,0)</f>
        <v>0</v>
      </c>
      <c r="O449" s="174">
        <f t="shared" si="85"/>
        <v>207</v>
      </c>
      <c r="P449" s="174">
        <f>VLOOKUP(D449,原始分!$D:$N,8,0)</f>
        <v>42</v>
      </c>
      <c r="Q449" s="174">
        <f t="shared" si="86"/>
        <v>266</v>
      </c>
      <c r="R449" s="174">
        <f>VLOOKUP(D449,原始分!$D:$N,9,0)</f>
        <v>0</v>
      </c>
      <c r="S449" s="174">
        <f t="shared" si="87"/>
        <v>320</v>
      </c>
      <c r="T449" s="174">
        <f>VLOOKUP(D449,原始分!$D:$N,10,0)</f>
        <v>0</v>
      </c>
      <c r="U449" s="174">
        <f t="shared" si="88"/>
        <v>316</v>
      </c>
      <c r="V449" s="174">
        <f>VLOOKUP(D449,原始分!$D:$N,11,0)</f>
        <v>62</v>
      </c>
      <c r="W449" s="174">
        <f t="shared" si="89"/>
        <v>64</v>
      </c>
      <c r="X449" s="11">
        <f t="shared" si="90"/>
        <v>313.75</v>
      </c>
      <c r="Y449" s="9">
        <f t="shared" si="91"/>
        <v>220</v>
      </c>
      <c r="Z449" s="11">
        <f t="shared" si="92"/>
        <v>481.75</v>
      </c>
      <c r="AA449" s="9">
        <f t="shared" si="93"/>
        <v>124</v>
      </c>
    </row>
    <row r="450" ht="14.25" spans="1:27">
      <c r="A450" s="13">
        <v>448</v>
      </c>
      <c r="B450" s="15">
        <v>10</v>
      </c>
      <c r="C450" s="16">
        <v>9</v>
      </c>
      <c r="D450" s="17" t="s">
        <v>906</v>
      </c>
      <c r="E450" s="17" t="s">
        <v>907</v>
      </c>
      <c r="F450" s="174">
        <f>VLOOKUP(D450,原始分!$D:$N,3,0)</f>
        <v>107.5</v>
      </c>
      <c r="G450" s="174">
        <f t="shared" si="81"/>
        <v>93</v>
      </c>
      <c r="H450" s="174">
        <f>VLOOKUP(D450,原始分!$D:$N,4,0)</f>
        <v>116.5</v>
      </c>
      <c r="I450" s="174">
        <f t="shared" si="82"/>
        <v>106</v>
      </c>
      <c r="J450" s="174">
        <f>VLOOKUP(D450,原始分!$D:$N,5,0)</f>
        <v>85.5</v>
      </c>
      <c r="K450" s="174">
        <f t="shared" si="83"/>
        <v>656</v>
      </c>
      <c r="L450" s="174">
        <f>VLOOKUP(D450,原始分!$D:$N,6,0)</f>
        <v>64.5</v>
      </c>
      <c r="M450" s="174">
        <f t="shared" si="84"/>
        <v>120</v>
      </c>
      <c r="N450" s="174">
        <f>VLOOKUP(D450,原始分!$D:$N,7,0)</f>
        <v>0</v>
      </c>
      <c r="O450" s="174">
        <f t="shared" si="85"/>
        <v>207</v>
      </c>
      <c r="P450" s="174">
        <f>VLOOKUP(D450,原始分!$D:$N,8,0)</f>
        <v>47.5</v>
      </c>
      <c r="Q450" s="174">
        <f t="shared" si="86"/>
        <v>157</v>
      </c>
      <c r="R450" s="174">
        <f>VLOOKUP(D450,原始分!$D:$N,9,0)</f>
        <v>0</v>
      </c>
      <c r="S450" s="174">
        <f t="shared" si="87"/>
        <v>320</v>
      </c>
      <c r="T450" s="174">
        <f>VLOOKUP(D450,原始分!$D:$N,10,0)</f>
        <v>0</v>
      </c>
      <c r="U450" s="174">
        <f t="shared" si="88"/>
        <v>316</v>
      </c>
      <c r="V450" s="174">
        <f>VLOOKUP(D450,原始分!$D:$N,11,0)</f>
        <v>61</v>
      </c>
      <c r="W450" s="174">
        <f t="shared" si="89"/>
        <v>77</v>
      </c>
      <c r="X450" s="11">
        <f t="shared" si="90"/>
        <v>309.5</v>
      </c>
      <c r="Y450" s="9">
        <f t="shared" si="91"/>
        <v>269</v>
      </c>
      <c r="Z450" s="11">
        <f t="shared" si="92"/>
        <v>482.5</v>
      </c>
      <c r="AA450" s="9">
        <f t="shared" si="93"/>
        <v>122</v>
      </c>
    </row>
    <row r="451" ht="14.25" spans="1:27">
      <c r="A451" s="13">
        <v>449</v>
      </c>
      <c r="B451" s="15">
        <v>10</v>
      </c>
      <c r="C451" s="16">
        <v>10</v>
      </c>
      <c r="D451" s="17" t="s">
        <v>908</v>
      </c>
      <c r="E451" s="17" t="s">
        <v>909</v>
      </c>
      <c r="F451" s="174">
        <f>VLOOKUP(D451,原始分!$D:$N,3,0)</f>
        <v>102</v>
      </c>
      <c r="G451" s="174">
        <f t="shared" ref="G451:G514" si="94">RANK(F451,$F$3:$F$900)</f>
        <v>304</v>
      </c>
      <c r="H451" s="174">
        <f>VLOOKUP(D451,原始分!$D:$N,4,0)</f>
        <v>119</v>
      </c>
      <c r="I451" s="174">
        <f t="shared" ref="I451:I514" si="95">RANK(H451,$H$3:$H$900)</f>
        <v>77</v>
      </c>
      <c r="J451" s="174">
        <f>VLOOKUP(D451,原始分!$D:$N,5,0)</f>
        <v>102</v>
      </c>
      <c r="K451" s="174">
        <f t="shared" ref="K451:K514" si="96">RANK(J451,$J$3:$J$900)</f>
        <v>323</v>
      </c>
      <c r="L451" s="174">
        <f>VLOOKUP(D451,原始分!$D:$N,6,0)</f>
        <v>65.5</v>
      </c>
      <c r="M451" s="174">
        <f t="shared" ref="M451:M514" si="97">RANK(L451,$L$3:$L$900)</f>
        <v>105</v>
      </c>
      <c r="N451" s="174">
        <f>VLOOKUP(D451,原始分!$D:$N,7,0)</f>
        <v>0</v>
      </c>
      <c r="O451" s="174">
        <f t="shared" ref="O451:O514" si="98">RANK(N451,$N$3:$N$900)</f>
        <v>207</v>
      </c>
      <c r="P451" s="174">
        <f>VLOOKUP(D451,原始分!$D:$N,8,0)</f>
        <v>53</v>
      </c>
      <c r="Q451" s="174">
        <f t="shared" ref="Q451:Q514" si="99">RANK(P451,$P$3:$P$900)</f>
        <v>69</v>
      </c>
      <c r="R451" s="174">
        <f>VLOOKUP(D451,原始分!$D:$N,9,0)</f>
        <v>0</v>
      </c>
      <c r="S451" s="174">
        <f t="shared" ref="S451:S514" si="100">RANK(R451,$R$3:$R$900)</f>
        <v>320</v>
      </c>
      <c r="T451" s="174">
        <f>VLOOKUP(D451,原始分!$D:$N,10,0)</f>
        <v>0</v>
      </c>
      <c r="U451" s="174">
        <f t="shared" ref="U451:U514" si="101">RANK(T451,$T$3:$T$900)</f>
        <v>316</v>
      </c>
      <c r="V451" s="174">
        <f>VLOOKUP(D451,原始分!$D:$N,11,0)</f>
        <v>52.5</v>
      </c>
      <c r="W451" s="174">
        <f t="shared" ref="W451:W514" si="102">RANK(V451,$V$3:$V$900)</f>
        <v>235</v>
      </c>
      <c r="X451" s="11">
        <f t="shared" ref="X451:X514" si="103">SUM(F451,H451,J451)</f>
        <v>323</v>
      </c>
      <c r="Y451" s="9">
        <f t="shared" ref="Y451:Y514" si="104">RANK(X451,$X$3:$X$900)</f>
        <v>138</v>
      </c>
      <c r="Z451" s="11">
        <f t="shared" ref="Z451:Z514" si="105">SUM(F451,H451,J451,L451,N451,P451,R451,T451,V451)</f>
        <v>494</v>
      </c>
      <c r="AA451" s="9">
        <f t="shared" si="93"/>
        <v>93</v>
      </c>
    </row>
    <row r="452" ht="14.25" spans="1:27">
      <c r="A452" s="13">
        <v>450</v>
      </c>
      <c r="B452" s="15">
        <v>10</v>
      </c>
      <c r="C452" s="16">
        <v>11</v>
      </c>
      <c r="D452" s="17" t="s">
        <v>910</v>
      </c>
      <c r="E452" s="17" t="s">
        <v>911</v>
      </c>
      <c r="F452" s="174">
        <f>VLOOKUP(D452,原始分!$D:$N,3,0)</f>
        <v>101</v>
      </c>
      <c r="G452" s="174">
        <f t="shared" si="94"/>
        <v>338</v>
      </c>
      <c r="H452" s="174">
        <f>VLOOKUP(D452,原始分!$D:$N,4,0)</f>
        <v>113</v>
      </c>
      <c r="I452" s="174">
        <f t="shared" si="95"/>
        <v>160</v>
      </c>
      <c r="J452" s="174">
        <f>VLOOKUP(D452,原始分!$D:$N,5,0)</f>
        <v>109.75</v>
      </c>
      <c r="K452" s="174">
        <f t="shared" si="96"/>
        <v>181</v>
      </c>
      <c r="L452" s="174">
        <f>VLOOKUP(D452,原始分!$D:$N,6,0)</f>
        <v>43</v>
      </c>
      <c r="M452" s="174">
        <f t="shared" si="97"/>
        <v>461</v>
      </c>
      <c r="N452" s="174">
        <f>VLOOKUP(D452,原始分!$D:$N,7,0)</f>
        <v>0</v>
      </c>
      <c r="O452" s="174">
        <f t="shared" si="98"/>
        <v>207</v>
      </c>
      <c r="P452" s="174">
        <f>VLOOKUP(D452,原始分!$D:$N,8,0)</f>
        <v>48</v>
      </c>
      <c r="Q452" s="174">
        <f t="shared" si="99"/>
        <v>146</v>
      </c>
      <c r="R452" s="174">
        <f>VLOOKUP(D452,原始分!$D:$N,9,0)</f>
        <v>0</v>
      </c>
      <c r="S452" s="174">
        <f t="shared" si="100"/>
        <v>320</v>
      </c>
      <c r="T452" s="174">
        <f>VLOOKUP(D452,原始分!$D:$N,10,0)</f>
        <v>0</v>
      </c>
      <c r="U452" s="174">
        <f t="shared" si="101"/>
        <v>316</v>
      </c>
      <c r="V452" s="174">
        <f>VLOOKUP(D452,原始分!$D:$N,11,0)</f>
        <v>35</v>
      </c>
      <c r="W452" s="174">
        <f t="shared" si="102"/>
        <v>528</v>
      </c>
      <c r="X452" s="11">
        <f t="shared" si="103"/>
        <v>323.75</v>
      </c>
      <c r="Y452" s="9">
        <f t="shared" si="104"/>
        <v>130</v>
      </c>
      <c r="Z452" s="11">
        <f t="shared" si="105"/>
        <v>449.75</v>
      </c>
      <c r="AA452" s="9">
        <f t="shared" si="93"/>
        <v>283</v>
      </c>
    </row>
    <row r="453" ht="14.25" spans="1:27">
      <c r="A453" s="13">
        <v>451</v>
      </c>
      <c r="B453" s="15">
        <v>10</v>
      </c>
      <c r="C453" s="16">
        <v>12</v>
      </c>
      <c r="D453" s="17" t="s">
        <v>912</v>
      </c>
      <c r="E453" s="17" t="s">
        <v>913</v>
      </c>
      <c r="F453" s="174">
        <f>VLOOKUP(D453,原始分!$D:$N,3,0)</f>
        <v>106</v>
      </c>
      <c r="G453" s="174">
        <f t="shared" si="94"/>
        <v>145</v>
      </c>
      <c r="H453" s="174">
        <f>VLOOKUP(D453,原始分!$D:$N,4,0)</f>
        <v>116</v>
      </c>
      <c r="I453" s="174">
        <f t="shared" si="95"/>
        <v>113</v>
      </c>
      <c r="J453" s="174">
        <f>VLOOKUP(D453,原始分!$D:$N,5,0)</f>
        <v>81</v>
      </c>
      <c r="K453" s="174">
        <f t="shared" si="96"/>
        <v>733</v>
      </c>
      <c r="L453" s="174">
        <f>VLOOKUP(D453,原始分!$D:$N,6,0)</f>
        <v>61</v>
      </c>
      <c r="M453" s="174">
        <f t="shared" si="97"/>
        <v>168</v>
      </c>
      <c r="N453" s="174">
        <f>VLOOKUP(D453,原始分!$D:$N,7,0)</f>
        <v>0</v>
      </c>
      <c r="O453" s="174">
        <f t="shared" si="98"/>
        <v>207</v>
      </c>
      <c r="P453" s="174">
        <f>VLOOKUP(D453,原始分!$D:$N,8,0)</f>
        <v>47.5</v>
      </c>
      <c r="Q453" s="174">
        <f t="shared" si="99"/>
        <v>157</v>
      </c>
      <c r="R453" s="174">
        <f>VLOOKUP(D453,原始分!$D:$N,9,0)</f>
        <v>0</v>
      </c>
      <c r="S453" s="174">
        <f t="shared" si="100"/>
        <v>320</v>
      </c>
      <c r="T453" s="174">
        <f>VLOOKUP(D453,原始分!$D:$N,10,0)</f>
        <v>0</v>
      </c>
      <c r="U453" s="174">
        <f t="shared" si="101"/>
        <v>316</v>
      </c>
      <c r="V453" s="174">
        <f>VLOOKUP(D453,原始分!$D:$N,11,0)</f>
        <v>54.5</v>
      </c>
      <c r="W453" s="174">
        <f t="shared" si="102"/>
        <v>187</v>
      </c>
      <c r="X453" s="11">
        <f t="shared" si="103"/>
        <v>303</v>
      </c>
      <c r="Y453" s="9">
        <f t="shared" si="104"/>
        <v>335</v>
      </c>
      <c r="Z453" s="11">
        <f t="shared" si="105"/>
        <v>466</v>
      </c>
      <c r="AA453" s="9">
        <f t="shared" si="93"/>
        <v>191</v>
      </c>
    </row>
    <row r="454" ht="14.25" spans="1:27">
      <c r="A454" s="13">
        <v>452</v>
      </c>
      <c r="B454" s="15">
        <v>10</v>
      </c>
      <c r="C454" s="16">
        <v>13</v>
      </c>
      <c r="D454" s="17" t="s">
        <v>914</v>
      </c>
      <c r="E454" s="17" t="s">
        <v>915</v>
      </c>
      <c r="F454" s="174">
        <f>VLOOKUP(D454,原始分!$D:$N,3,0)</f>
        <v>110</v>
      </c>
      <c r="G454" s="174">
        <f t="shared" si="94"/>
        <v>49</v>
      </c>
      <c r="H454" s="174">
        <f>VLOOKUP(D454,原始分!$D:$N,4,0)</f>
        <v>115.5</v>
      </c>
      <c r="I454" s="174">
        <f t="shared" si="95"/>
        <v>121</v>
      </c>
      <c r="J454" s="174">
        <f>VLOOKUP(D454,原始分!$D:$N,5,0)</f>
        <v>100</v>
      </c>
      <c r="K454" s="174">
        <f t="shared" si="96"/>
        <v>368</v>
      </c>
      <c r="L454" s="174">
        <f>VLOOKUP(D454,原始分!$D:$N,6,0)</f>
        <v>57.5</v>
      </c>
      <c r="M454" s="174">
        <f t="shared" si="97"/>
        <v>228</v>
      </c>
      <c r="N454" s="174">
        <f>VLOOKUP(D454,原始分!$D:$N,7,0)</f>
        <v>0</v>
      </c>
      <c r="O454" s="174">
        <f t="shared" si="98"/>
        <v>207</v>
      </c>
      <c r="P454" s="174">
        <f>VLOOKUP(D454,原始分!$D:$N,8,0)</f>
        <v>52.5</v>
      </c>
      <c r="Q454" s="174">
        <f t="shared" si="99"/>
        <v>81</v>
      </c>
      <c r="R454" s="174">
        <f>VLOOKUP(D454,原始分!$D:$N,9,0)</f>
        <v>0</v>
      </c>
      <c r="S454" s="174">
        <f t="shared" si="100"/>
        <v>320</v>
      </c>
      <c r="T454" s="174">
        <f>VLOOKUP(D454,原始分!$D:$N,10,0)</f>
        <v>0</v>
      </c>
      <c r="U454" s="174">
        <f t="shared" si="101"/>
        <v>316</v>
      </c>
      <c r="V454" s="174">
        <f>VLOOKUP(D454,原始分!$D:$N,11,0)</f>
        <v>57</v>
      </c>
      <c r="W454" s="174">
        <f t="shared" si="102"/>
        <v>139</v>
      </c>
      <c r="X454" s="11">
        <f t="shared" si="103"/>
        <v>325.5</v>
      </c>
      <c r="Y454" s="9">
        <f t="shared" si="104"/>
        <v>116</v>
      </c>
      <c r="Z454" s="11">
        <f t="shared" si="105"/>
        <v>492.5</v>
      </c>
      <c r="AA454" s="9">
        <f t="shared" si="93"/>
        <v>98</v>
      </c>
    </row>
    <row r="455" ht="14.25" spans="1:27">
      <c r="A455" s="13">
        <v>453</v>
      </c>
      <c r="B455" s="15">
        <v>10</v>
      </c>
      <c r="C455" s="16">
        <v>14</v>
      </c>
      <c r="D455" s="19" t="s">
        <v>916</v>
      </c>
      <c r="E455" s="17" t="s">
        <v>917</v>
      </c>
      <c r="F455" s="174">
        <f>VLOOKUP(D455,原始分!$D:$N,3,0)</f>
        <v>99.5</v>
      </c>
      <c r="G455" s="174">
        <f t="shared" si="94"/>
        <v>418</v>
      </c>
      <c r="H455" s="174">
        <f>VLOOKUP(D455,原始分!$D:$N,4,0)</f>
        <v>108</v>
      </c>
      <c r="I455" s="174">
        <f t="shared" si="95"/>
        <v>257</v>
      </c>
      <c r="J455" s="174">
        <f>VLOOKUP(D455,原始分!$D:$N,5,0)</f>
        <v>100</v>
      </c>
      <c r="K455" s="174">
        <f t="shared" si="96"/>
        <v>368</v>
      </c>
      <c r="L455" s="174">
        <f>VLOOKUP(D455,原始分!$D:$N,6,0)</f>
        <v>58</v>
      </c>
      <c r="M455" s="174">
        <f t="shared" si="97"/>
        <v>220</v>
      </c>
      <c r="N455" s="174">
        <f>VLOOKUP(D455,原始分!$D:$N,7,0)</f>
        <v>0</v>
      </c>
      <c r="O455" s="174">
        <f t="shared" si="98"/>
        <v>207</v>
      </c>
      <c r="P455" s="174">
        <f>VLOOKUP(D455,原始分!$D:$N,8,0)</f>
        <v>73</v>
      </c>
      <c r="Q455" s="174">
        <f t="shared" si="99"/>
        <v>2</v>
      </c>
      <c r="R455" s="174">
        <f>VLOOKUP(D455,原始分!$D:$N,9,0)</f>
        <v>0</v>
      </c>
      <c r="S455" s="174">
        <f t="shared" si="100"/>
        <v>320</v>
      </c>
      <c r="T455" s="174">
        <f>VLOOKUP(D455,原始分!$D:$N,10,0)</f>
        <v>0</v>
      </c>
      <c r="U455" s="174">
        <f t="shared" si="101"/>
        <v>316</v>
      </c>
      <c r="V455" s="174">
        <f>VLOOKUP(D455,原始分!$D:$N,11,0)</f>
        <v>69.5</v>
      </c>
      <c r="W455" s="174">
        <f t="shared" si="102"/>
        <v>16</v>
      </c>
      <c r="X455" s="11">
        <f t="shared" si="103"/>
        <v>307.5</v>
      </c>
      <c r="Y455" s="9">
        <f t="shared" si="104"/>
        <v>292</v>
      </c>
      <c r="Z455" s="11">
        <f t="shared" si="105"/>
        <v>508</v>
      </c>
      <c r="AA455" s="9">
        <f t="shared" si="93"/>
        <v>58</v>
      </c>
    </row>
    <row r="456" ht="14.25" spans="1:27">
      <c r="A456" s="13">
        <v>454</v>
      </c>
      <c r="B456" s="15">
        <v>10</v>
      </c>
      <c r="C456" s="16">
        <v>15</v>
      </c>
      <c r="D456" s="17" t="s">
        <v>918</v>
      </c>
      <c r="E456" s="17" t="s">
        <v>919</v>
      </c>
      <c r="F456" s="174">
        <f>VLOOKUP(D456,原始分!$D:$N,3,0)</f>
        <v>105</v>
      </c>
      <c r="G456" s="174">
        <f t="shared" si="94"/>
        <v>171</v>
      </c>
      <c r="H456" s="174">
        <f>VLOOKUP(D456,原始分!$D:$N,4,0)</f>
        <v>109.5</v>
      </c>
      <c r="I456" s="174">
        <f t="shared" si="95"/>
        <v>232</v>
      </c>
      <c r="J456" s="174">
        <f>VLOOKUP(D456,原始分!$D:$N,5,0)</f>
        <v>111.75</v>
      </c>
      <c r="K456" s="174">
        <f t="shared" si="96"/>
        <v>149</v>
      </c>
      <c r="L456" s="174">
        <f>VLOOKUP(D456,原始分!$D:$N,6,0)</f>
        <v>49.5</v>
      </c>
      <c r="M456" s="174">
        <f t="shared" si="97"/>
        <v>341</v>
      </c>
      <c r="N456" s="174">
        <f>VLOOKUP(D456,原始分!$D:$N,7,0)</f>
        <v>0</v>
      </c>
      <c r="O456" s="174">
        <f t="shared" si="98"/>
        <v>207</v>
      </c>
      <c r="P456" s="174">
        <f>VLOOKUP(D456,原始分!$D:$N,8,0)</f>
        <v>55.5</v>
      </c>
      <c r="Q456" s="174">
        <f t="shared" si="99"/>
        <v>47</v>
      </c>
      <c r="R456" s="174">
        <f>VLOOKUP(D456,原始分!$D:$N,9,0)</f>
        <v>0</v>
      </c>
      <c r="S456" s="174">
        <f t="shared" si="100"/>
        <v>320</v>
      </c>
      <c r="T456" s="174">
        <f>VLOOKUP(D456,原始分!$D:$N,10,0)</f>
        <v>0</v>
      </c>
      <c r="U456" s="174">
        <f t="shared" si="101"/>
        <v>316</v>
      </c>
      <c r="V456" s="174">
        <f>VLOOKUP(D456,原始分!$D:$N,11,0)</f>
        <v>67.5</v>
      </c>
      <c r="W456" s="174">
        <f t="shared" si="102"/>
        <v>27</v>
      </c>
      <c r="X456" s="11">
        <f t="shared" si="103"/>
        <v>326.25</v>
      </c>
      <c r="Y456" s="9">
        <f t="shared" si="104"/>
        <v>112</v>
      </c>
      <c r="Z456" s="11">
        <f t="shared" si="105"/>
        <v>498.75</v>
      </c>
      <c r="AA456" s="9">
        <f t="shared" si="93"/>
        <v>81</v>
      </c>
    </row>
    <row r="457" ht="14.25" spans="1:27">
      <c r="A457" s="13">
        <v>455</v>
      </c>
      <c r="B457" s="15">
        <v>10</v>
      </c>
      <c r="C457" s="16">
        <v>16</v>
      </c>
      <c r="D457" s="17" t="s">
        <v>920</v>
      </c>
      <c r="E457" s="17" t="s">
        <v>921</v>
      </c>
      <c r="F457" s="174">
        <f>VLOOKUP(D457,原始分!$D:$N,3,0)</f>
        <v>100.5</v>
      </c>
      <c r="G457" s="174">
        <f t="shared" si="94"/>
        <v>370</v>
      </c>
      <c r="H457" s="174">
        <f>VLOOKUP(D457,原始分!$D:$N,4,0)</f>
        <v>112</v>
      </c>
      <c r="I457" s="174">
        <f t="shared" si="95"/>
        <v>180</v>
      </c>
      <c r="J457" s="174">
        <f>VLOOKUP(D457,原始分!$D:$N,5,0)</f>
        <v>99.75</v>
      </c>
      <c r="K457" s="174">
        <f t="shared" si="96"/>
        <v>381</v>
      </c>
      <c r="L457" s="174">
        <f>VLOOKUP(D457,原始分!$D:$N,6,0)</f>
        <v>61</v>
      </c>
      <c r="M457" s="174">
        <f t="shared" si="97"/>
        <v>168</v>
      </c>
      <c r="N457" s="174">
        <f>VLOOKUP(D457,原始分!$D:$N,7,0)</f>
        <v>0</v>
      </c>
      <c r="O457" s="174">
        <f t="shared" si="98"/>
        <v>207</v>
      </c>
      <c r="P457" s="174">
        <f>VLOOKUP(D457,原始分!$D:$N,8,0)</f>
        <v>30</v>
      </c>
      <c r="Q457" s="174">
        <f t="shared" si="99"/>
        <v>474</v>
      </c>
      <c r="R457" s="174">
        <f>VLOOKUP(D457,原始分!$D:$N,9,0)</f>
        <v>0</v>
      </c>
      <c r="S457" s="174">
        <f t="shared" si="100"/>
        <v>320</v>
      </c>
      <c r="T457" s="174">
        <f>VLOOKUP(D457,原始分!$D:$N,10,0)</f>
        <v>0</v>
      </c>
      <c r="U457" s="174">
        <f t="shared" si="101"/>
        <v>316</v>
      </c>
      <c r="V457" s="174">
        <f>VLOOKUP(D457,原始分!$D:$N,11,0)</f>
        <v>54.5</v>
      </c>
      <c r="W457" s="174">
        <f t="shared" si="102"/>
        <v>187</v>
      </c>
      <c r="X457" s="11">
        <f t="shared" si="103"/>
        <v>312.25</v>
      </c>
      <c r="Y457" s="9">
        <f t="shared" si="104"/>
        <v>234</v>
      </c>
      <c r="Z457" s="11">
        <f t="shared" si="105"/>
        <v>457.75</v>
      </c>
      <c r="AA457" s="9">
        <f t="shared" si="93"/>
        <v>236</v>
      </c>
    </row>
    <row r="458" ht="14.25" spans="1:27">
      <c r="A458" s="13">
        <v>456</v>
      </c>
      <c r="B458" s="15">
        <v>10</v>
      </c>
      <c r="C458" s="16">
        <v>17</v>
      </c>
      <c r="D458" s="17" t="s">
        <v>922</v>
      </c>
      <c r="E458" s="17" t="s">
        <v>923</v>
      </c>
      <c r="F458" s="174">
        <f>VLOOKUP(D458,原始分!$D:$N,3,0)</f>
        <v>93.5</v>
      </c>
      <c r="G458" s="174">
        <f t="shared" si="94"/>
        <v>676</v>
      </c>
      <c r="H458" s="174">
        <f>VLOOKUP(D458,原始分!$D:$N,4,0)</f>
        <v>99</v>
      </c>
      <c r="I458" s="174">
        <f t="shared" si="95"/>
        <v>433</v>
      </c>
      <c r="J458" s="174">
        <f>VLOOKUP(D458,原始分!$D:$N,5,0)</f>
        <v>91</v>
      </c>
      <c r="K458" s="174">
        <f t="shared" si="96"/>
        <v>572</v>
      </c>
      <c r="L458" s="174">
        <f>VLOOKUP(D458,原始分!$D:$N,6,0)</f>
        <v>66</v>
      </c>
      <c r="M458" s="174">
        <f t="shared" si="97"/>
        <v>97</v>
      </c>
      <c r="N458" s="174">
        <f>VLOOKUP(D458,原始分!$D:$N,7,0)</f>
        <v>0</v>
      </c>
      <c r="O458" s="174">
        <f t="shared" si="98"/>
        <v>207</v>
      </c>
      <c r="P458" s="174">
        <f>VLOOKUP(D458,原始分!$D:$N,8,0)</f>
        <v>53</v>
      </c>
      <c r="Q458" s="174">
        <f t="shared" si="99"/>
        <v>69</v>
      </c>
      <c r="R458" s="174">
        <f>VLOOKUP(D458,原始分!$D:$N,9,0)</f>
        <v>0</v>
      </c>
      <c r="S458" s="174">
        <f t="shared" si="100"/>
        <v>320</v>
      </c>
      <c r="T458" s="174">
        <f>VLOOKUP(D458,原始分!$D:$N,10,0)</f>
        <v>0</v>
      </c>
      <c r="U458" s="174">
        <f t="shared" si="101"/>
        <v>316</v>
      </c>
      <c r="V458" s="174">
        <f>VLOOKUP(D458,原始分!$D:$N,11,0)</f>
        <v>48</v>
      </c>
      <c r="W458" s="174">
        <f t="shared" si="102"/>
        <v>341</v>
      </c>
      <c r="X458" s="11">
        <f t="shared" si="103"/>
        <v>283.5</v>
      </c>
      <c r="Y458" s="9">
        <f t="shared" si="104"/>
        <v>555</v>
      </c>
      <c r="Z458" s="11">
        <f t="shared" si="105"/>
        <v>450.5</v>
      </c>
      <c r="AA458" s="9">
        <f t="shared" si="93"/>
        <v>274</v>
      </c>
    </row>
    <row r="459" ht="14.25" spans="1:27">
      <c r="A459" s="13">
        <v>457</v>
      </c>
      <c r="B459" s="15">
        <v>10</v>
      </c>
      <c r="C459" s="16">
        <v>18</v>
      </c>
      <c r="D459" s="17" t="s">
        <v>924</v>
      </c>
      <c r="E459" s="17" t="s">
        <v>925</v>
      </c>
      <c r="F459" s="174">
        <f>VLOOKUP(D459,原始分!$D:$N,3,0)</f>
        <v>93</v>
      </c>
      <c r="G459" s="174">
        <f t="shared" si="94"/>
        <v>693</v>
      </c>
      <c r="H459" s="174">
        <f>VLOOKUP(D459,原始分!$D:$N,4,0)</f>
        <v>109</v>
      </c>
      <c r="I459" s="174">
        <f t="shared" si="95"/>
        <v>241</v>
      </c>
      <c r="J459" s="174">
        <f>VLOOKUP(D459,原始分!$D:$N,5,0)</f>
        <v>114.75</v>
      </c>
      <c r="K459" s="174">
        <f t="shared" si="96"/>
        <v>105</v>
      </c>
      <c r="L459" s="174">
        <f>VLOOKUP(D459,原始分!$D:$N,6,0)</f>
        <v>49.5</v>
      </c>
      <c r="M459" s="174">
        <f t="shared" si="97"/>
        <v>341</v>
      </c>
      <c r="N459" s="174">
        <f>VLOOKUP(D459,原始分!$D:$N,7,0)</f>
        <v>0</v>
      </c>
      <c r="O459" s="174">
        <f t="shared" si="98"/>
        <v>207</v>
      </c>
      <c r="P459" s="174">
        <f>VLOOKUP(D459,原始分!$D:$N,8,0)</f>
        <v>52</v>
      </c>
      <c r="Q459" s="174">
        <f t="shared" si="99"/>
        <v>86</v>
      </c>
      <c r="R459" s="174">
        <f>VLOOKUP(D459,原始分!$D:$N,9,0)</f>
        <v>0</v>
      </c>
      <c r="S459" s="174">
        <f t="shared" si="100"/>
        <v>320</v>
      </c>
      <c r="T459" s="174">
        <f>VLOOKUP(D459,原始分!$D:$N,10,0)</f>
        <v>0</v>
      </c>
      <c r="U459" s="174">
        <f t="shared" si="101"/>
        <v>316</v>
      </c>
      <c r="V459" s="174">
        <f>VLOOKUP(D459,原始分!$D:$N,11,0)</f>
        <v>48.5</v>
      </c>
      <c r="W459" s="174">
        <f t="shared" si="102"/>
        <v>330</v>
      </c>
      <c r="X459" s="11">
        <f t="shared" si="103"/>
        <v>316.75</v>
      </c>
      <c r="Y459" s="9">
        <f t="shared" si="104"/>
        <v>191</v>
      </c>
      <c r="Z459" s="11">
        <f t="shared" si="105"/>
        <v>466.75</v>
      </c>
      <c r="AA459" s="9">
        <f t="shared" si="93"/>
        <v>188</v>
      </c>
    </row>
    <row r="460" ht="14.25" spans="1:27">
      <c r="A460" s="13">
        <v>458</v>
      </c>
      <c r="B460" s="15">
        <v>10</v>
      </c>
      <c r="C460" s="16">
        <v>19</v>
      </c>
      <c r="D460" s="17" t="s">
        <v>926</v>
      </c>
      <c r="E460" s="17" t="s">
        <v>927</v>
      </c>
      <c r="F460" s="174">
        <f>VLOOKUP(D460,原始分!$D:$N,3,0)</f>
        <v>107.5</v>
      </c>
      <c r="G460" s="174">
        <f t="shared" si="94"/>
        <v>93</v>
      </c>
      <c r="H460" s="174">
        <f>VLOOKUP(D460,原始分!$D:$N,4,0)</f>
        <v>115.5</v>
      </c>
      <c r="I460" s="174">
        <f t="shared" si="95"/>
        <v>121</v>
      </c>
      <c r="J460" s="174">
        <f>VLOOKUP(D460,原始分!$D:$N,5,0)</f>
        <v>88.5</v>
      </c>
      <c r="K460" s="174">
        <f t="shared" si="96"/>
        <v>604</v>
      </c>
      <c r="L460" s="174">
        <f>VLOOKUP(D460,原始分!$D:$N,6,0)</f>
        <v>62.5</v>
      </c>
      <c r="M460" s="174">
        <f t="shared" si="97"/>
        <v>152</v>
      </c>
      <c r="N460" s="174">
        <f>VLOOKUP(D460,原始分!$D:$N,7,0)</f>
        <v>0</v>
      </c>
      <c r="O460" s="174">
        <f t="shared" si="98"/>
        <v>207</v>
      </c>
      <c r="P460" s="174">
        <f>VLOOKUP(D460,原始分!$D:$N,8,0)</f>
        <v>41.5</v>
      </c>
      <c r="Q460" s="174">
        <f t="shared" si="99"/>
        <v>279</v>
      </c>
      <c r="R460" s="174">
        <f>VLOOKUP(D460,原始分!$D:$N,9,0)</f>
        <v>0</v>
      </c>
      <c r="S460" s="174">
        <f t="shared" si="100"/>
        <v>320</v>
      </c>
      <c r="T460" s="174">
        <f>VLOOKUP(D460,原始分!$D:$N,10,0)</f>
        <v>0</v>
      </c>
      <c r="U460" s="174">
        <f t="shared" si="101"/>
        <v>316</v>
      </c>
      <c r="V460" s="174">
        <f>VLOOKUP(D460,原始分!$D:$N,11,0)</f>
        <v>60.5</v>
      </c>
      <c r="W460" s="174">
        <f t="shared" si="102"/>
        <v>84</v>
      </c>
      <c r="X460" s="11">
        <f t="shared" si="103"/>
        <v>311.5</v>
      </c>
      <c r="Y460" s="9">
        <f t="shared" si="104"/>
        <v>239</v>
      </c>
      <c r="Z460" s="11">
        <f t="shared" si="105"/>
        <v>476</v>
      </c>
      <c r="AA460" s="9">
        <f t="shared" si="93"/>
        <v>151</v>
      </c>
    </row>
    <row r="461" ht="14.25" spans="1:27">
      <c r="A461" s="13">
        <v>459</v>
      </c>
      <c r="B461" s="15">
        <v>10</v>
      </c>
      <c r="C461" s="16">
        <v>20</v>
      </c>
      <c r="D461" s="17" t="s">
        <v>928</v>
      </c>
      <c r="E461" s="17" t="s">
        <v>929</v>
      </c>
      <c r="F461" s="174">
        <f>VLOOKUP(D461,原始分!$D:$N,3,0)</f>
        <v>108</v>
      </c>
      <c r="G461" s="174">
        <f t="shared" si="94"/>
        <v>77</v>
      </c>
      <c r="H461" s="174">
        <f>VLOOKUP(D461,原始分!$D:$N,4,0)</f>
        <v>103.5</v>
      </c>
      <c r="I461" s="174">
        <f t="shared" si="95"/>
        <v>354</v>
      </c>
      <c r="J461" s="174">
        <f>VLOOKUP(D461,原始分!$D:$N,5,0)</f>
        <v>100</v>
      </c>
      <c r="K461" s="174">
        <f t="shared" si="96"/>
        <v>368</v>
      </c>
      <c r="L461" s="174">
        <f>VLOOKUP(D461,原始分!$D:$N,6,0)</f>
        <v>58</v>
      </c>
      <c r="M461" s="174">
        <f t="shared" si="97"/>
        <v>220</v>
      </c>
      <c r="N461" s="174">
        <f>VLOOKUP(D461,原始分!$D:$N,7,0)</f>
        <v>0</v>
      </c>
      <c r="O461" s="174">
        <f t="shared" si="98"/>
        <v>207</v>
      </c>
      <c r="P461" s="174">
        <f>VLOOKUP(D461,原始分!$D:$N,8,0)</f>
        <v>53</v>
      </c>
      <c r="Q461" s="174">
        <f t="shared" si="99"/>
        <v>69</v>
      </c>
      <c r="R461" s="174">
        <f>VLOOKUP(D461,原始分!$D:$N,9,0)</f>
        <v>0</v>
      </c>
      <c r="S461" s="174">
        <f t="shared" si="100"/>
        <v>320</v>
      </c>
      <c r="T461" s="174">
        <f>VLOOKUP(D461,原始分!$D:$N,10,0)</f>
        <v>0</v>
      </c>
      <c r="U461" s="174">
        <f t="shared" si="101"/>
        <v>316</v>
      </c>
      <c r="V461" s="174">
        <f>VLOOKUP(D461,原始分!$D:$N,11,0)</f>
        <v>51.5</v>
      </c>
      <c r="W461" s="174">
        <f t="shared" si="102"/>
        <v>262</v>
      </c>
      <c r="X461" s="11">
        <f t="shared" si="103"/>
        <v>311.5</v>
      </c>
      <c r="Y461" s="9">
        <f t="shared" si="104"/>
        <v>239</v>
      </c>
      <c r="Z461" s="11">
        <f t="shared" si="105"/>
        <v>474</v>
      </c>
      <c r="AA461" s="9">
        <f t="shared" si="93"/>
        <v>161</v>
      </c>
    </row>
    <row r="462" ht="14.25" spans="1:27">
      <c r="A462" s="13">
        <v>460</v>
      </c>
      <c r="B462" s="15">
        <v>10</v>
      </c>
      <c r="C462" s="16">
        <v>21</v>
      </c>
      <c r="D462" s="17" t="s">
        <v>930</v>
      </c>
      <c r="E462" s="17" t="s">
        <v>931</v>
      </c>
      <c r="F462" s="174">
        <f>VLOOKUP(D462,原始分!$D:$N,3,0)</f>
        <v>100</v>
      </c>
      <c r="G462" s="174">
        <f t="shared" si="94"/>
        <v>400</v>
      </c>
      <c r="H462" s="174">
        <f>VLOOKUP(D462,原始分!$D:$N,4,0)</f>
        <v>117</v>
      </c>
      <c r="I462" s="174">
        <f t="shared" si="95"/>
        <v>98</v>
      </c>
      <c r="J462" s="174">
        <f>VLOOKUP(D462,原始分!$D:$N,5,0)</f>
        <v>101.5</v>
      </c>
      <c r="K462" s="174">
        <f t="shared" si="96"/>
        <v>334</v>
      </c>
      <c r="L462" s="174">
        <f>VLOOKUP(D462,原始分!$D:$N,6,0)</f>
        <v>67.5</v>
      </c>
      <c r="M462" s="174">
        <f t="shared" si="97"/>
        <v>79</v>
      </c>
      <c r="N462" s="174">
        <f>VLOOKUP(D462,原始分!$D:$N,7,0)</f>
        <v>0</v>
      </c>
      <c r="O462" s="174">
        <f t="shared" si="98"/>
        <v>207</v>
      </c>
      <c r="P462" s="174">
        <f>VLOOKUP(D462,原始分!$D:$N,8,0)</f>
        <v>50</v>
      </c>
      <c r="Q462" s="174">
        <f t="shared" si="99"/>
        <v>109</v>
      </c>
      <c r="R462" s="174">
        <f>VLOOKUP(D462,原始分!$D:$N,9,0)</f>
        <v>0</v>
      </c>
      <c r="S462" s="174">
        <f t="shared" si="100"/>
        <v>320</v>
      </c>
      <c r="T462" s="174">
        <f>VLOOKUP(D462,原始分!$D:$N,10,0)</f>
        <v>0</v>
      </c>
      <c r="U462" s="174">
        <f t="shared" si="101"/>
        <v>316</v>
      </c>
      <c r="V462" s="174">
        <f>VLOOKUP(D462,原始分!$D:$N,11,0)</f>
        <v>60.5</v>
      </c>
      <c r="W462" s="174">
        <f t="shared" si="102"/>
        <v>84</v>
      </c>
      <c r="X462" s="11">
        <f t="shared" si="103"/>
        <v>318.5</v>
      </c>
      <c r="Y462" s="9">
        <f t="shared" si="104"/>
        <v>171</v>
      </c>
      <c r="Z462" s="11">
        <f t="shared" si="105"/>
        <v>496.5</v>
      </c>
      <c r="AA462" s="9">
        <f t="shared" si="93"/>
        <v>85</v>
      </c>
    </row>
    <row r="463" ht="14.25" spans="1:27">
      <c r="A463" s="13">
        <v>461</v>
      </c>
      <c r="B463" s="15">
        <v>10</v>
      </c>
      <c r="C463" s="16">
        <v>22</v>
      </c>
      <c r="D463" s="17" t="s">
        <v>932</v>
      </c>
      <c r="E463" s="17" t="s">
        <v>933</v>
      </c>
      <c r="F463" s="174">
        <f>VLOOKUP(D463,原始分!$D:$N,3,0)</f>
        <v>100</v>
      </c>
      <c r="G463" s="174">
        <f t="shared" si="94"/>
        <v>400</v>
      </c>
      <c r="H463" s="174">
        <f>VLOOKUP(D463,原始分!$D:$N,4,0)</f>
        <v>116</v>
      </c>
      <c r="I463" s="174">
        <f t="shared" si="95"/>
        <v>113</v>
      </c>
      <c r="J463" s="174">
        <f>VLOOKUP(D463,原始分!$D:$N,5,0)</f>
        <v>105.75</v>
      </c>
      <c r="K463" s="174">
        <f t="shared" si="96"/>
        <v>251</v>
      </c>
      <c r="L463" s="174">
        <f>VLOOKUP(D463,原始分!$D:$N,6,0)</f>
        <v>65.5</v>
      </c>
      <c r="M463" s="174">
        <f t="shared" si="97"/>
        <v>105</v>
      </c>
      <c r="N463" s="174">
        <f>VLOOKUP(D463,原始分!$D:$N,7,0)</f>
        <v>0</v>
      </c>
      <c r="O463" s="174">
        <f t="shared" si="98"/>
        <v>207</v>
      </c>
      <c r="P463" s="174">
        <f>VLOOKUP(D463,原始分!$D:$N,8,0)</f>
        <v>51</v>
      </c>
      <c r="Q463" s="174">
        <f t="shared" si="99"/>
        <v>97</v>
      </c>
      <c r="R463" s="174">
        <f>VLOOKUP(D463,原始分!$D:$N,9,0)</f>
        <v>0</v>
      </c>
      <c r="S463" s="174">
        <f t="shared" si="100"/>
        <v>320</v>
      </c>
      <c r="T463" s="174">
        <f>VLOOKUP(D463,原始分!$D:$N,10,0)</f>
        <v>0</v>
      </c>
      <c r="U463" s="174">
        <f t="shared" si="101"/>
        <v>316</v>
      </c>
      <c r="V463" s="174">
        <f>VLOOKUP(D463,原始分!$D:$N,11,0)</f>
        <v>46</v>
      </c>
      <c r="W463" s="174">
        <f t="shared" si="102"/>
        <v>386</v>
      </c>
      <c r="X463" s="11">
        <f t="shared" si="103"/>
        <v>321.75</v>
      </c>
      <c r="Y463" s="9">
        <f t="shared" si="104"/>
        <v>145</v>
      </c>
      <c r="Z463" s="11">
        <f t="shared" si="105"/>
        <v>484.25</v>
      </c>
      <c r="AA463" s="9">
        <f t="shared" si="93"/>
        <v>115</v>
      </c>
    </row>
    <row r="464" ht="14.25" spans="1:27">
      <c r="A464" s="13">
        <v>462</v>
      </c>
      <c r="B464" s="15">
        <v>10</v>
      </c>
      <c r="C464" s="16">
        <v>23</v>
      </c>
      <c r="D464" s="17" t="s">
        <v>934</v>
      </c>
      <c r="E464" s="17" t="s">
        <v>935</v>
      </c>
      <c r="F464" s="174">
        <f>VLOOKUP(D464,原始分!$D:$N,3,0)</f>
        <v>99.5</v>
      </c>
      <c r="G464" s="174">
        <f t="shared" si="94"/>
        <v>418</v>
      </c>
      <c r="H464" s="174">
        <f>VLOOKUP(D464,原始分!$D:$N,4,0)</f>
        <v>101.5</v>
      </c>
      <c r="I464" s="174">
        <f t="shared" si="95"/>
        <v>391</v>
      </c>
      <c r="J464" s="174">
        <f>VLOOKUP(D464,原始分!$D:$N,5,0)</f>
        <v>117.75</v>
      </c>
      <c r="K464" s="174">
        <f t="shared" si="96"/>
        <v>69</v>
      </c>
      <c r="L464" s="174">
        <f>VLOOKUP(D464,原始分!$D:$N,6,0)</f>
        <v>60</v>
      </c>
      <c r="M464" s="174">
        <f t="shared" si="97"/>
        <v>187</v>
      </c>
      <c r="N464" s="174">
        <f>VLOOKUP(D464,原始分!$D:$N,7,0)</f>
        <v>0</v>
      </c>
      <c r="O464" s="174">
        <f t="shared" si="98"/>
        <v>207</v>
      </c>
      <c r="P464" s="174">
        <f>VLOOKUP(D464,原始分!$D:$N,8,0)</f>
        <v>44</v>
      </c>
      <c r="Q464" s="174">
        <f t="shared" si="99"/>
        <v>227</v>
      </c>
      <c r="R464" s="174">
        <f>VLOOKUP(D464,原始分!$D:$N,9,0)</f>
        <v>0</v>
      </c>
      <c r="S464" s="174">
        <f t="shared" si="100"/>
        <v>320</v>
      </c>
      <c r="T464" s="174">
        <f>VLOOKUP(D464,原始分!$D:$N,10,0)</f>
        <v>0</v>
      </c>
      <c r="U464" s="174">
        <f t="shared" si="101"/>
        <v>316</v>
      </c>
      <c r="V464" s="174">
        <f>VLOOKUP(D464,原始分!$D:$N,11,0)</f>
        <v>48</v>
      </c>
      <c r="W464" s="174">
        <f t="shared" si="102"/>
        <v>341</v>
      </c>
      <c r="X464" s="11">
        <f t="shared" si="103"/>
        <v>318.75</v>
      </c>
      <c r="Y464" s="9">
        <f t="shared" si="104"/>
        <v>169</v>
      </c>
      <c r="Z464" s="11">
        <f t="shared" si="105"/>
        <v>470.75</v>
      </c>
      <c r="AA464" s="9">
        <f t="shared" si="93"/>
        <v>171</v>
      </c>
    </row>
    <row r="465" ht="14.25" spans="1:27">
      <c r="A465" s="13">
        <v>463</v>
      </c>
      <c r="B465" s="15">
        <v>10</v>
      </c>
      <c r="C465" s="16">
        <v>24</v>
      </c>
      <c r="D465" s="17" t="s">
        <v>936</v>
      </c>
      <c r="E465" s="17" t="s">
        <v>937</v>
      </c>
      <c r="F465" s="174">
        <f>VLOOKUP(D465,原始分!$D:$N,3,0)</f>
        <v>97.5</v>
      </c>
      <c r="G465" s="174">
        <f t="shared" si="94"/>
        <v>531</v>
      </c>
      <c r="H465" s="174">
        <f>VLOOKUP(D465,原始分!$D:$N,4,0)</f>
        <v>100</v>
      </c>
      <c r="I465" s="174">
        <f t="shared" si="95"/>
        <v>416</v>
      </c>
      <c r="J465" s="174">
        <f>VLOOKUP(D465,原始分!$D:$N,5,0)</f>
        <v>105.5</v>
      </c>
      <c r="K465" s="174">
        <f t="shared" si="96"/>
        <v>259</v>
      </c>
      <c r="L465" s="174">
        <f>VLOOKUP(D465,原始分!$D:$N,6,0)</f>
        <v>49</v>
      </c>
      <c r="M465" s="174">
        <f t="shared" si="97"/>
        <v>354</v>
      </c>
      <c r="N465" s="174">
        <f>VLOOKUP(D465,原始分!$D:$N,7,0)</f>
        <v>0</v>
      </c>
      <c r="O465" s="174">
        <f t="shared" si="98"/>
        <v>207</v>
      </c>
      <c r="P465" s="174">
        <f>VLOOKUP(D465,原始分!$D:$N,8,0)</f>
        <v>38.5</v>
      </c>
      <c r="Q465" s="174">
        <f t="shared" si="99"/>
        <v>355</v>
      </c>
      <c r="R465" s="174">
        <f>VLOOKUP(D465,原始分!$D:$N,9,0)</f>
        <v>0</v>
      </c>
      <c r="S465" s="174">
        <f t="shared" si="100"/>
        <v>320</v>
      </c>
      <c r="T465" s="174">
        <f>VLOOKUP(D465,原始分!$D:$N,10,0)</f>
        <v>0</v>
      </c>
      <c r="U465" s="174">
        <f t="shared" si="101"/>
        <v>316</v>
      </c>
      <c r="V465" s="174">
        <f>VLOOKUP(D465,原始分!$D:$N,11,0)</f>
        <v>52.5</v>
      </c>
      <c r="W465" s="174">
        <f t="shared" si="102"/>
        <v>235</v>
      </c>
      <c r="X465" s="11">
        <f t="shared" si="103"/>
        <v>303</v>
      </c>
      <c r="Y465" s="9">
        <f t="shared" si="104"/>
        <v>335</v>
      </c>
      <c r="Z465" s="11">
        <f t="shared" si="105"/>
        <v>443</v>
      </c>
      <c r="AA465" s="9">
        <f t="shared" si="93"/>
        <v>321</v>
      </c>
    </row>
    <row r="466" ht="14.25" spans="1:27">
      <c r="A466" s="13">
        <v>464</v>
      </c>
      <c r="B466" s="15">
        <v>10</v>
      </c>
      <c r="C466" s="16">
        <v>25</v>
      </c>
      <c r="D466" s="17" t="s">
        <v>938</v>
      </c>
      <c r="E466" s="17" t="s">
        <v>939</v>
      </c>
      <c r="F466" s="174">
        <f>VLOOKUP(D466,原始分!$D:$N,3,0)</f>
        <v>94.5</v>
      </c>
      <c r="G466" s="174">
        <f t="shared" si="94"/>
        <v>642</v>
      </c>
      <c r="H466" s="174">
        <f>VLOOKUP(D466,原始分!$D:$N,4,0)</f>
        <v>95</v>
      </c>
      <c r="I466" s="174">
        <f t="shared" si="95"/>
        <v>510</v>
      </c>
      <c r="J466" s="174">
        <f>VLOOKUP(D466,原始分!$D:$N,5,0)</f>
        <v>102.75</v>
      </c>
      <c r="K466" s="174">
        <f t="shared" si="96"/>
        <v>313</v>
      </c>
      <c r="L466" s="174">
        <f>VLOOKUP(D466,原始分!$D:$N,6,0)</f>
        <v>56</v>
      </c>
      <c r="M466" s="174">
        <f t="shared" si="97"/>
        <v>252</v>
      </c>
      <c r="N466" s="174">
        <f>VLOOKUP(D466,原始分!$D:$N,7,0)</f>
        <v>0</v>
      </c>
      <c r="O466" s="174">
        <f t="shared" si="98"/>
        <v>207</v>
      </c>
      <c r="P466" s="174">
        <f>VLOOKUP(D466,原始分!$D:$N,8,0)</f>
        <v>42</v>
      </c>
      <c r="Q466" s="174">
        <f t="shared" si="99"/>
        <v>266</v>
      </c>
      <c r="R466" s="174">
        <f>VLOOKUP(D466,原始分!$D:$N,9,0)</f>
        <v>0</v>
      </c>
      <c r="S466" s="174">
        <f t="shared" si="100"/>
        <v>320</v>
      </c>
      <c r="T466" s="174">
        <f>VLOOKUP(D466,原始分!$D:$N,10,0)</f>
        <v>0</v>
      </c>
      <c r="U466" s="174">
        <f t="shared" si="101"/>
        <v>316</v>
      </c>
      <c r="V466" s="174">
        <f>VLOOKUP(D466,原始分!$D:$N,11,0)</f>
        <v>58.5</v>
      </c>
      <c r="W466" s="174">
        <f t="shared" si="102"/>
        <v>120</v>
      </c>
      <c r="X466" s="11">
        <f t="shared" si="103"/>
        <v>292.25</v>
      </c>
      <c r="Y466" s="9">
        <f t="shared" si="104"/>
        <v>469</v>
      </c>
      <c r="Z466" s="11">
        <f t="shared" si="105"/>
        <v>448.75</v>
      </c>
      <c r="AA466" s="9">
        <f t="shared" si="93"/>
        <v>286</v>
      </c>
    </row>
    <row r="467" ht="14.25" spans="1:27">
      <c r="A467" s="13">
        <v>465</v>
      </c>
      <c r="B467" s="15">
        <v>10</v>
      </c>
      <c r="C467" s="16">
        <v>26</v>
      </c>
      <c r="D467" s="17" t="s">
        <v>940</v>
      </c>
      <c r="E467" s="17" t="s">
        <v>941</v>
      </c>
      <c r="F467" s="174">
        <f>VLOOKUP(D467,原始分!$D:$N,3,0)</f>
        <v>101.25</v>
      </c>
      <c r="G467" s="174">
        <f t="shared" si="94"/>
        <v>334</v>
      </c>
      <c r="H467" s="174">
        <f>VLOOKUP(D467,原始分!$D:$N,4,0)</f>
        <v>114</v>
      </c>
      <c r="I467" s="174">
        <f t="shared" si="95"/>
        <v>145</v>
      </c>
      <c r="J467" s="174">
        <f>VLOOKUP(D467,原始分!$D:$N,5,0)</f>
        <v>104</v>
      </c>
      <c r="K467" s="174">
        <f t="shared" si="96"/>
        <v>292</v>
      </c>
      <c r="L467" s="174">
        <f>VLOOKUP(D467,原始分!$D:$N,6,0)</f>
        <v>68</v>
      </c>
      <c r="M467" s="174">
        <f t="shared" si="97"/>
        <v>77</v>
      </c>
      <c r="N467" s="174">
        <f>VLOOKUP(D467,原始分!$D:$N,7,0)</f>
        <v>0</v>
      </c>
      <c r="O467" s="174">
        <f t="shared" si="98"/>
        <v>207</v>
      </c>
      <c r="P467" s="174">
        <f>VLOOKUP(D467,原始分!$D:$N,8,0)</f>
        <v>34.5</v>
      </c>
      <c r="Q467" s="174">
        <f t="shared" si="99"/>
        <v>409</v>
      </c>
      <c r="R467" s="174">
        <f>VLOOKUP(D467,原始分!$D:$N,9,0)</f>
        <v>0</v>
      </c>
      <c r="S467" s="174">
        <f t="shared" si="100"/>
        <v>320</v>
      </c>
      <c r="T467" s="174">
        <f>VLOOKUP(D467,原始分!$D:$N,10,0)</f>
        <v>0</v>
      </c>
      <c r="U467" s="174">
        <f t="shared" si="101"/>
        <v>316</v>
      </c>
      <c r="V467" s="174">
        <f>VLOOKUP(D467,原始分!$D:$N,11,0)</f>
        <v>59.5</v>
      </c>
      <c r="W467" s="174">
        <f t="shared" si="102"/>
        <v>99</v>
      </c>
      <c r="X467" s="11">
        <f t="shared" si="103"/>
        <v>319.25</v>
      </c>
      <c r="Y467" s="9">
        <f t="shared" si="104"/>
        <v>165</v>
      </c>
      <c r="Z467" s="11">
        <f t="shared" si="105"/>
        <v>481.25</v>
      </c>
      <c r="AA467" s="9">
        <f t="shared" si="93"/>
        <v>127</v>
      </c>
    </row>
    <row r="468" ht="14.25" spans="1:27">
      <c r="A468" s="13">
        <v>466</v>
      </c>
      <c r="B468" s="15">
        <v>10</v>
      </c>
      <c r="C468" s="16">
        <v>27</v>
      </c>
      <c r="D468" s="17" t="s">
        <v>942</v>
      </c>
      <c r="E468" s="17" t="s">
        <v>943</v>
      </c>
      <c r="F468" s="174">
        <f>VLOOKUP(D468,原始分!$D:$N,3,0)</f>
        <v>92.75</v>
      </c>
      <c r="G468" s="174">
        <f t="shared" si="94"/>
        <v>709</v>
      </c>
      <c r="H468" s="174">
        <f>VLOOKUP(D468,原始分!$D:$N,4,0)</f>
        <v>116</v>
      </c>
      <c r="I468" s="174">
        <f t="shared" si="95"/>
        <v>113</v>
      </c>
      <c r="J468" s="174">
        <f>VLOOKUP(D468,原始分!$D:$N,5,0)</f>
        <v>86</v>
      </c>
      <c r="K468" s="174">
        <f t="shared" si="96"/>
        <v>649</v>
      </c>
      <c r="L468" s="174">
        <f>VLOOKUP(D468,原始分!$D:$N,6,0)</f>
        <v>73</v>
      </c>
      <c r="M468" s="174">
        <f t="shared" si="97"/>
        <v>47</v>
      </c>
      <c r="N468" s="174">
        <f>VLOOKUP(D468,原始分!$D:$N,7,0)</f>
        <v>0</v>
      </c>
      <c r="O468" s="174">
        <f t="shared" si="98"/>
        <v>207</v>
      </c>
      <c r="P468" s="174">
        <f>VLOOKUP(D468,原始分!$D:$N,8,0)</f>
        <v>60</v>
      </c>
      <c r="Q468" s="174">
        <f t="shared" si="99"/>
        <v>28</v>
      </c>
      <c r="R468" s="174">
        <f>VLOOKUP(D468,原始分!$D:$N,9,0)</f>
        <v>0</v>
      </c>
      <c r="S468" s="174">
        <f t="shared" si="100"/>
        <v>320</v>
      </c>
      <c r="T468" s="174">
        <f>VLOOKUP(D468,原始分!$D:$N,10,0)</f>
        <v>0</v>
      </c>
      <c r="U468" s="174">
        <f t="shared" si="101"/>
        <v>316</v>
      </c>
      <c r="V468" s="174">
        <f>VLOOKUP(D468,原始分!$D:$N,11,0)</f>
        <v>52</v>
      </c>
      <c r="W468" s="174">
        <f t="shared" si="102"/>
        <v>248</v>
      </c>
      <c r="X468" s="11">
        <f t="shared" si="103"/>
        <v>294.75</v>
      </c>
      <c r="Y468" s="9">
        <f t="shared" si="104"/>
        <v>434</v>
      </c>
      <c r="Z468" s="11">
        <f t="shared" si="105"/>
        <v>479.75</v>
      </c>
      <c r="AA468" s="9">
        <f t="shared" si="93"/>
        <v>134</v>
      </c>
    </row>
    <row r="469" ht="14.25" spans="1:27">
      <c r="A469" s="13">
        <v>467</v>
      </c>
      <c r="B469" s="15">
        <v>10</v>
      </c>
      <c r="C469" s="16">
        <v>28</v>
      </c>
      <c r="D469" s="17" t="s">
        <v>944</v>
      </c>
      <c r="E469" s="17" t="s">
        <v>945</v>
      </c>
      <c r="F469" s="174">
        <f>VLOOKUP(D469,原始分!$D:$N,3,0)</f>
        <v>114</v>
      </c>
      <c r="G469" s="174">
        <f t="shared" si="94"/>
        <v>17</v>
      </c>
      <c r="H469" s="174">
        <f>VLOOKUP(D469,原始分!$D:$N,4,0)</f>
        <v>115</v>
      </c>
      <c r="I469" s="174">
        <f t="shared" si="95"/>
        <v>130</v>
      </c>
      <c r="J469" s="174">
        <f>VLOOKUP(D469,原始分!$D:$N,5,0)</f>
        <v>107</v>
      </c>
      <c r="K469" s="174">
        <f t="shared" si="96"/>
        <v>228</v>
      </c>
      <c r="L469" s="174">
        <f>VLOOKUP(D469,原始分!$D:$N,6,0)</f>
        <v>55.5</v>
      </c>
      <c r="M469" s="174">
        <f t="shared" si="97"/>
        <v>262</v>
      </c>
      <c r="N469" s="174">
        <f>VLOOKUP(D469,原始分!$D:$N,7,0)</f>
        <v>0</v>
      </c>
      <c r="O469" s="174">
        <f t="shared" si="98"/>
        <v>207</v>
      </c>
      <c r="P469" s="174">
        <f>VLOOKUP(D469,原始分!$D:$N,8,0)</f>
        <v>40</v>
      </c>
      <c r="Q469" s="174">
        <f t="shared" si="99"/>
        <v>316</v>
      </c>
      <c r="R469" s="174">
        <f>VLOOKUP(D469,原始分!$D:$N,9,0)</f>
        <v>0</v>
      </c>
      <c r="S469" s="174">
        <f t="shared" si="100"/>
        <v>320</v>
      </c>
      <c r="T469" s="174">
        <f>VLOOKUP(D469,原始分!$D:$N,10,0)</f>
        <v>0</v>
      </c>
      <c r="U469" s="174">
        <f t="shared" si="101"/>
        <v>316</v>
      </c>
      <c r="V469" s="174">
        <f>VLOOKUP(D469,原始分!$D:$N,11,0)</f>
        <v>52</v>
      </c>
      <c r="W469" s="174">
        <f t="shared" si="102"/>
        <v>248</v>
      </c>
      <c r="X469" s="11">
        <f t="shared" si="103"/>
        <v>336</v>
      </c>
      <c r="Y469" s="9">
        <f t="shared" si="104"/>
        <v>59</v>
      </c>
      <c r="Z469" s="11">
        <f t="shared" si="105"/>
        <v>483.5</v>
      </c>
      <c r="AA469" s="9">
        <f t="shared" si="93"/>
        <v>117</v>
      </c>
    </row>
    <row r="470" ht="14.25" spans="1:27">
      <c r="A470" s="13">
        <v>468</v>
      </c>
      <c r="B470" s="15">
        <v>10</v>
      </c>
      <c r="C470" s="16">
        <v>29</v>
      </c>
      <c r="D470" s="17" t="s">
        <v>946</v>
      </c>
      <c r="E470" s="17" t="s">
        <v>947</v>
      </c>
      <c r="F470" s="174">
        <f>VLOOKUP(D470,原始分!$D:$N,3,0)</f>
        <v>102.5</v>
      </c>
      <c r="G470" s="174">
        <f t="shared" si="94"/>
        <v>279</v>
      </c>
      <c r="H470" s="174">
        <f>VLOOKUP(D470,原始分!$D:$N,4,0)</f>
        <v>130.5</v>
      </c>
      <c r="I470" s="174">
        <f t="shared" si="95"/>
        <v>9</v>
      </c>
      <c r="J470" s="174">
        <f>VLOOKUP(D470,原始分!$D:$N,5,0)</f>
        <v>104.25</v>
      </c>
      <c r="K470" s="174">
        <f t="shared" si="96"/>
        <v>289</v>
      </c>
      <c r="L470" s="174">
        <f>VLOOKUP(D470,原始分!$D:$N,6,0)</f>
        <v>63.5</v>
      </c>
      <c r="M470" s="174">
        <f t="shared" si="97"/>
        <v>138</v>
      </c>
      <c r="N470" s="174">
        <f>VLOOKUP(D470,原始分!$D:$N,7,0)</f>
        <v>0</v>
      </c>
      <c r="O470" s="174">
        <f t="shared" si="98"/>
        <v>207</v>
      </c>
      <c r="P470" s="174">
        <f>VLOOKUP(D470,原始分!$D:$N,8,0)</f>
        <v>50</v>
      </c>
      <c r="Q470" s="174">
        <f t="shared" si="99"/>
        <v>109</v>
      </c>
      <c r="R470" s="174">
        <f>VLOOKUP(D470,原始分!$D:$N,9,0)</f>
        <v>0</v>
      </c>
      <c r="S470" s="174">
        <f t="shared" si="100"/>
        <v>320</v>
      </c>
      <c r="T470" s="174">
        <f>VLOOKUP(D470,原始分!$D:$N,10,0)</f>
        <v>0</v>
      </c>
      <c r="U470" s="174">
        <f t="shared" si="101"/>
        <v>316</v>
      </c>
      <c r="V470" s="174">
        <f>VLOOKUP(D470,原始分!$D:$N,11,0)</f>
        <v>57.5</v>
      </c>
      <c r="W470" s="174">
        <f t="shared" si="102"/>
        <v>130</v>
      </c>
      <c r="X470" s="11">
        <f t="shared" si="103"/>
        <v>337.25</v>
      </c>
      <c r="Y470" s="9">
        <f t="shared" si="104"/>
        <v>49</v>
      </c>
      <c r="Z470" s="11">
        <f t="shared" si="105"/>
        <v>508.25</v>
      </c>
      <c r="AA470" s="9">
        <f t="shared" si="93"/>
        <v>57</v>
      </c>
    </row>
    <row r="471" ht="14.25" spans="1:27">
      <c r="A471" s="13">
        <v>469</v>
      </c>
      <c r="B471" s="15">
        <v>10</v>
      </c>
      <c r="C471" s="16">
        <v>30</v>
      </c>
      <c r="D471" s="17" t="s">
        <v>948</v>
      </c>
      <c r="E471" s="17" t="s">
        <v>949</v>
      </c>
      <c r="F471" s="174">
        <f>VLOOKUP(D471,原始分!$D:$N,3,0)</f>
        <v>99.5</v>
      </c>
      <c r="G471" s="174">
        <f t="shared" si="94"/>
        <v>418</v>
      </c>
      <c r="H471" s="174">
        <f>VLOOKUP(D471,原始分!$D:$N,4,0)</f>
        <v>111.5</v>
      </c>
      <c r="I471" s="174">
        <f t="shared" si="95"/>
        <v>191</v>
      </c>
      <c r="J471" s="174">
        <f>VLOOKUP(D471,原始分!$D:$N,5,0)</f>
        <v>93.5</v>
      </c>
      <c r="K471" s="174">
        <f t="shared" si="96"/>
        <v>515</v>
      </c>
      <c r="L471" s="174">
        <f>VLOOKUP(D471,原始分!$D:$N,6,0)</f>
        <v>45.5</v>
      </c>
      <c r="M471" s="174">
        <f t="shared" si="97"/>
        <v>417</v>
      </c>
      <c r="N471" s="174">
        <f>VLOOKUP(D471,原始分!$D:$N,7,0)</f>
        <v>0</v>
      </c>
      <c r="O471" s="174">
        <f t="shared" si="98"/>
        <v>207</v>
      </c>
      <c r="P471" s="174">
        <f>VLOOKUP(D471,原始分!$D:$N,8,0)</f>
        <v>26.5</v>
      </c>
      <c r="Q471" s="174">
        <f t="shared" si="99"/>
        <v>504</v>
      </c>
      <c r="R471" s="174">
        <f>VLOOKUP(D471,原始分!$D:$N,9,0)</f>
        <v>0</v>
      </c>
      <c r="S471" s="174">
        <f t="shared" si="100"/>
        <v>320</v>
      </c>
      <c r="T471" s="174">
        <f>VLOOKUP(D471,原始分!$D:$N,10,0)</f>
        <v>0</v>
      </c>
      <c r="U471" s="174">
        <f t="shared" si="101"/>
        <v>316</v>
      </c>
      <c r="V471" s="174">
        <f>VLOOKUP(D471,原始分!$D:$N,11,0)</f>
        <v>43.5</v>
      </c>
      <c r="W471" s="174">
        <f t="shared" si="102"/>
        <v>443</v>
      </c>
      <c r="X471" s="11">
        <f t="shared" si="103"/>
        <v>304.5</v>
      </c>
      <c r="Y471" s="9">
        <f t="shared" si="104"/>
        <v>320</v>
      </c>
      <c r="Z471" s="11">
        <f t="shared" si="105"/>
        <v>420</v>
      </c>
      <c r="AA471" s="9">
        <f t="shared" si="93"/>
        <v>428</v>
      </c>
    </row>
    <row r="472" ht="14.25" spans="1:27">
      <c r="A472" s="13">
        <v>470</v>
      </c>
      <c r="B472" s="15">
        <v>10</v>
      </c>
      <c r="C472" s="16">
        <v>31</v>
      </c>
      <c r="D472" s="17" t="s">
        <v>950</v>
      </c>
      <c r="E472" s="17" t="s">
        <v>951</v>
      </c>
      <c r="F472" s="174">
        <f>VLOOKUP(D472,原始分!$D:$N,3,0)</f>
        <v>107</v>
      </c>
      <c r="G472" s="174">
        <f t="shared" si="94"/>
        <v>113</v>
      </c>
      <c r="H472" s="174">
        <f>VLOOKUP(D472,原始分!$D:$N,4,0)</f>
        <v>107.5</v>
      </c>
      <c r="I472" s="174">
        <f t="shared" si="95"/>
        <v>267</v>
      </c>
      <c r="J472" s="174">
        <f>VLOOKUP(D472,原始分!$D:$N,5,0)</f>
        <v>96.75</v>
      </c>
      <c r="K472" s="174">
        <f t="shared" si="96"/>
        <v>449</v>
      </c>
      <c r="L472" s="174">
        <f>VLOOKUP(D472,原始分!$D:$N,6,0)</f>
        <v>65</v>
      </c>
      <c r="M472" s="174">
        <f t="shared" si="97"/>
        <v>115</v>
      </c>
      <c r="N472" s="174">
        <f>VLOOKUP(D472,原始分!$D:$N,7,0)</f>
        <v>0</v>
      </c>
      <c r="O472" s="174">
        <f t="shared" si="98"/>
        <v>207</v>
      </c>
      <c r="P472" s="174">
        <f>VLOOKUP(D472,原始分!$D:$N,8,0)</f>
        <v>53.5</v>
      </c>
      <c r="Q472" s="174">
        <f t="shared" si="99"/>
        <v>62</v>
      </c>
      <c r="R472" s="174">
        <f>VLOOKUP(D472,原始分!$D:$N,9,0)</f>
        <v>0</v>
      </c>
      <c r="S472" s="174">
        <f t="shared" si="100"/>
        <v>320</v>
      </c>
      <c r="T472" s="174">
        <f>VLOOKUP(D472,原始分!$D:$N,10,0)</f>
        <v>0</v>
      </c>
      <c r="U472" s="174">
        <f t="shared" si="101"/>
        <v>316</v>
      </c>
      <c r="V472" s="174">
        <f>VLOOKUP(D472,原始分!$D:$N,11,0)</f>
        <v>51</v>
      </c>
      <c r="W472" s="174">
        <f t="shared" si="102"/>
        <v>278</v>
      </c>
      <c r="X472" s="11">
        <f t="shared" si="103"/>
        <v>311.25</v>
      </c>
      <c r="Y472" s="9">
        <f t="shared" si="104"/>
        <v>244</v>
      </c>
      <c r="Z472" s="11">
        <f t="shared" si="105"/>
        <v>480.75</v>
      </c>
      <c r="AA472" s="9">
        <f t="shared" si="93"/>
        <v>130</v>
      </c>
    </row>
    <row r="473" ht="14.25" spans="1:27">
      <c r="A473" s="13">
        <v>471</v>
      </c>
      <c r="B473" s="15">
        <v>10</v>
      </c>
      <c r="C473" s="16">
        <v>32</v>
      </c>
      <c r="D473" s="17" t="s">
        <v>952</v>
      </c>
      <c r="E473" s="17" t="s">
        <v>953</v>
      </c>
      <c r="F473" s="174">
        <f>VLOOKUP(D473,原始分!$D:$N,3,0)</f>
        <v>95</v>
      </c>
      <c r="G473" s="174">
        <f t="shared" si="94"/>
        <v>619</v>
      </c>
      <c r="H473" s="174">
        <f>VLOOKUP(D473,原始分!$D:$N,4,0)</f>
        <v>114.5</v>
      </c>
      <c r="I473" s="174">
        <f t="shared" si="95"/>
        <v>136</v>
      </c>
      <c r="J473" s="174">
        <f>VLOOKUP(D473,原始分!$D:$N,5,0)</f>
        <v>103.5</v>
      </c>
      <c r="K473" s="174">
        <f t="shared" si="96"/>
        <v>305</v>
      </c>
      <c r="L473" s="174">
        <f>VLOOKUP(D473,原始分!$D:$N,6,0)</f>
        <v>71.5</v>
      </c>
      <c r="M473" s="174">
        <f t="shared" si="97"/>
        <v>55</v>
      </c>
      <c r="N473" s="174">
        <f>VLOOKUP(D473,原始分!$D:$N,7,0)</f>
        <v>0</v>
      </c>
      <c r="O473" s="174">
        <f t="shared" si="98"/>
        <v>207</v>
      </c>
      <c r="P473" s="174">
        <f>VLOOKUP(D473,原始分!$D:$N,8,0)</f>
        <v>52</v>
      </c>
      <c r="Q473" s="174">
        <f t="shared" si="99"/>
        <v>86</v>
      </c>
      <c r="R473" s="174">
        <f>VLOOKUP(D473,原始分!$D:$N,9,0)</f>
        <v>0</v>
      </c>
      <c r="S473" s="174">
        <f t="shared" si="100"/>
        <v>320</v>
      </c>
      <c r="T473" s="174">
        <f>VLOOKUP(D473,原始分!$D:$N,10,0)</f>
        <v>0</v>
      </c>
      <c r="U473" s="174">
        <f t="shared" si="101"/>
        <v>316</v>
      </c>
      <c r="V473" s="174">
        <f>VLOOKUP(D473,原始分!$D:$N,11,0)</f>
        <v>61</v>
      </c>
      <c r="W473" s="174">
        <f t="shared" si="102"/>
        <v>77</v>
      </c>
      <c r="X473" s="11">
        <f t="shared" si="103"/>
        <v>313</v>
      </c>
      <c r="Y473" s="9">
        <f t="shared" si="104"/>
        <v>228</v>
      </c>
      <c r="Z473" s="11">
        <f t="shared" si="105"/>
        <v>497.5</v>
      </c>
      <c r="AA473" s="9">
        <f t="shared" si="93"/>
        <v>84</v>
      </c>
    </row>
    <row r="474" ht="14.25" spans="1:27">
      <c r="A474" s="13">
        <v>472</v>
      </c>
      <c r="B474" s="15">
        <v>10</v>
      </c>
      <c r="C474" s="16">
        <v>33</v>
      </c>
      <c r="D474" s="17" t="s">
        <v>954</v>
      </c>
      <c r="E474" s="17" t="s">
        <v>955</v>
      </c>
      <c r="F474" s="174">
        <f>VLOOKUP(D474,原始分!$D:$N,3,0)</f>
        <v>106</v>
      </c>
      <c r="G474" s="174">
        <f t="shared" si="94"/>
        <v>145</v>
      </c>
      <c r="H474" s="174">
        <f>VLOOKUP(D474,原始分!$D:$N,4,0)</f>
        <v>112.5</v>
      </c>
      <c r="I474" s="174">
        <f t="shared" si="95"/>
        <v>170</v>
      </c>
      <c r="J474" s="174">
        <f>VLOOKUP(D474,原始分!$D:$N,5,0)</f>
        <v>100</v>
      </c>
      <c r="K474" s="174">
        <f t="shared" si="96"/>
        <v>368</v>
      </c>
      <c r="L474" s="174">
        <f>VLOOKUP(D474,原始分!$D:$N,6,0)</f>
        <v>65</v>
      </c>
      <c r="M474" s="174">
        <f t="shared" si="97"/>
        <v>115</v>
      </c>
      <c r="N474" s="174">
        <f>VLOOKUP(D474,原始分!$D:$N,7,0)</f>
        <v>0</v>
      </c>
      <c r="O474" s="174">
        <f t="shared" si="98"/>
        <v>207</v>
      </c>
      <c r="P474" s="174">
        <f>VLOOKUP(D474,原始分!$D:$N,8,0)</f>
        <v>43.5</v>
      </c>
      <c r="Q474" s="174">
        <f t="shared" si="99"/>
        <v>242</v>
      </c>
      <c r="R474" s="174">
        <f>VLOOKUP(D474,原始分!$D:$N,9,0)</f>
        <v>0</v>
      </c>
      <c r="S474" s="174">
        <f t="shared" si="100"/>
        <v>320</v>
      </c>
      <c r="T474" s="174">
        <f>VLOOKUP(D474,原始分!$D:$N,10,0)</f>
        <v>0</v>
      </c>
      <c r="U474" s="174">
        <f t="shared" si="101"/>
        <v>316</v>
      </c>
      <c r="V474" s="174">
        <f>VLOOKUP(D474,原始分!$D:$N,11,0)</f>
        <v>51.5</v>
      </c>
      <c r="W474" s="174">
        <f t="shared" si="102"/>
        <v>262</v>
      </c>
      <c r="X474" s="11">
        <f t="shared" si="103"/>
        <v>318.5</v>
      </c>
      <c r="Y474" s="9">
        <f t="shared" si="104"/>
        <v>171</v>
      </c>
      <c r="Z474" s="11">
        <f t="shared" si="105"/>
        <v>478.5</v>
      </c>
      <c r="AA474" s="9">
        <f t="shared" si="93"/>
        <v>138</v>
      </c>
    </row>
    <row r="475" ht="14.25" spans="1:27">
      <c r="A475" s="13">
        <v>473</v>
      </c>
      <c r="B475" s="15">
        <v>10</v>
      </c>
      <c r="C475" s="16">
        <v>34</v>
      </c>
      <c r="D475" s="17" t="s">
        <v>956</v>
      </c>
      <c r="E475" s="17" t="s">
        <v>957</v>
      </c>
      <c r="F475" s="174">
        <f>VLOOKUP(D475,原始分!$D:$N,3,0)</f>
        <v>88.5</v>
      </c>
      <c r="G475" s="174">
        <f t="shared" si="94"/>
        <v>804</v>
      </c>
      <c r="H475" s="174">
        <f>VLOOKUP(D475,原始分!$D:$N,4,0)</f>
        <v>100.5</v>
      </c>
      <c r="I475" s="174">
        <f t="shared" si="95"/>
        <v>410</v>
      </c>
      <c r="J475" s="174">
        <f>VLOOKUP(D475,原始分!$D:$N,5,0)</f>
        <v>98</v>
      </c>
      <c r="K475" s="174">
        <f t="shared" si="96"/>
        <v>425</v>
      </c>
      <c r="L475" s="174">
        <f>VLOOKUP(D475,原始分!$D:$N,6,0)</f>
        <v>61</v>
      </c>
      <c r="M475" s="174">
        <f t="shared" si="97"/>
        <v>168</v>
      </c>
      <c r="N475" s="174">
        <f>VLOOKUP(D475,原始分!$D:$N,7,0)</f>
        <v>0</v>
      </c>
      <c r="O475" s="174">
        <f t="shared" si="98"/>
        <v>207</v>
      </c>
      <c r="P475" s="174">
        <f>VLOOKUP(D475,原始分!$D:$N,8,0)</f>
        <v>42</v>
      </c>
      <c r="Q475" s="174">
        <f t="shared" si="99"/>
        <v>266</v>
      </c>
      <c r="R475" s="174">
        <f>VLOOKUP(D475,原始分!$D:$N,9,0)</f>
        <v>0</v>
      </c>
      <c r="S475" s="174">
        <f t="shared" si="100"/>
        <v>320</v>
      </c>
      <c r="T475" s="174">
        <f>VLOOKUP(D475,原始分!$D:$N,10,0)</f>
        <v>0</v>
      </c>
      <c r="U475" s="174">
        <f t="shared" si="101"/>
        <v>316</v>
      </c>
      <c r="V475" s="174">
        <f>VLOOKUP(D475,原始分!$D:$N,11,0)</f>
        <v>46</v>
      </c>
      <c r="W475" s="174">
        <f t="shared" si="102"/>
        <v>386</v>
      </c>
      <c r="X475" s="11">
        <f t="shared" si="103"/>
        <v>287</v>
      </c>
      <c r="Y475" s="9">
        <f t="shared" si="104"/>
        <v>522</v>
      </c>
      <c r="Z475" s="11">
        <f t="shared" si="105"/>
        <v>436</v>
      </c>
      <c r="AA475" s="9">
        <f t="shared" si="93"/>
        <v>352</v>
      </c>
    </row>
    <row r="476" ht="14.25" spans="1:27">
      <c r="A476" s="13">
        <v>474</v>
      </c>
      <c r="B476" s="15">
        <v>10</v>
      </c>
      <c r="C476" s="16">
        <v>35</v>
      </c>
      <c r="D476" s="17" t="s">
        <v>958</v>
      </c>
      <c r="E476" s="17" t="s">
        <v>959</v>
      </c>
      <c r="F476" s="174">
        <f>VLOOKUP(D476,原始分!$D:$N,3,0)</f>
        <v>104.5</v>
      </c>
      <c r="G476" s="174">
        <f t="shared" si="94"/>
        <v>190</v>
      </c>
      <c r="H476" s="174">
        <f>VLOOKUP(D476,原始分!$D:$N,4,0)</f>
        <v>92</v>
      </c>
      <c r="I476" s="174">
        <f t="shared" si="95"/>
        <v>578</v>
      </c>
      <c r="J476" s="174">
        <f>VLOOKUP(D476,原始分!$D:$N,5,0)</f>
        <v>107.5</v>
      </c>
      <c r="K476" s="174">
        <f t="shared" si="96"/>
        <v>216</v>
      </c>
      <c r="L476" s="174">
        <f>VLOOKUP(D476,原始分!$D:$N,6,0)</f>
        <v>42.5</v>
      </c>
      <c r="M476" s="174">
        <f t="shared" si="97"/>
        <v>470</v>
      </c>
      <c r="N476" s="174">
        <f>VLOOKUP(D476,原始分!$D:$N,7,0)</f>
        <v>0</v>
      </c>
      <c r="O476" s="174">
        <f t="shared" si="98"/>
        <v>207</v>
      </c>
      <c r="P476" s="174">
        <f>VLOOKUP(D476,原始分!$D:$N,8,0)</f>
        <v>38</v>
      </c>
      <c r="Q476" s="174">
        <f t="shared" si="99"/>
        <v>362</v>
      </c>
      <c r="R476" s="174">
        <f>VLOOKUP(D476,原始分!$D:$N,9,0)</f>
        <v>0</v>
      </c>
      <c r="S476" s="174">
        <f t="shared" si="100"/>
        <v>320</v>
      </c>
      <c r="T476" s="174">
        <f>VLOOKUP(D476,原始分!$D:$N,10,0)</f>
        <v>0</v>
      </c>
      <c r="U476" s="174">
        <f t="shared" si="101"/>
        <v>316</v>
      </c>
      <c r="V476" s="174">
        <f>VLOOKUP(D476,原始分!$D:$N,11,0)</f>
        <v>60.5</v>
      </c>
      <c r="W476" s="174">
        <f t="shared" si="102"/>
        <v>84</v>
      </c>
      <c r="X476" s="11">
        <f t="shared" si="103"/>
        <v>304</v>
      </c>
      <c r="Y476" s="9">
        <f t="shared" si="104"/>
        <v>328</v>
      </c>
      <c r="Z476" s="11">
        <f t="shared" si="105"/>
        <v>445</v>
      </c>
      <c r="AA476" s="9">
        <f t="shared" si="93"/>
        <v>309</v>
      </c>
    </row>
    <row r="477" ht="14.25" spans="1:27">
      <c r="A477" s="13">
        <v>475</v>
      </c>
      <c r="B477" s="15">
        <v>10</v>
      </c>
      <c r="C477" s="16">
        <v>36</v>
      </c>
      <c r="D477" s="17" t="s">
        <v>960</v>
      </c>
      <c r="E477" s="17" t="s">
        <v>961</v>
      </c>
      <c r="F477" s="174">
        <f>VLOOKUP(D477,原始分!$D:$N,3,0)</f>
        <v>102.75</v>
      </c>
      <c r="G477" s="174">
        <f t="shared" si="94"/>
        <v>275</v>
      </c>
      <c r="H477" s="174">
        <f>VLOOKUP(D477,原始分!$D:$N,4,0)</f>
        <v>107.5</v>
      </c>
      <c r="I477" s="174">
        <f t="shared" si="95"/>
        <v>267</v>
      </c>
      <c r="J477" s="174">
        <f>VLOOKUP(D477,原始分!$D:$N,5,0)</f>
        <v>101</v>
      </c>
      <c r="K477" s="174">
        <f t="shared" si="96"/>
        <v>349</v>
      </c>
      <c r="L477" s="174">
        <f>VLOOKUP(D477,原始分!$D:$N,6,0)</f>
        <v>65.5</v>
      </c>
      <c r="M477" s="174">
        <f t="shared" si="97"/>
        <v>105</v>
      </c>
      <c r="N477" s="174">
        <f>VLOOKUP(D477,原始分!$D:$N,7,0)</f>
        <v>0</v>
      </c>
      <c r="O477" s="174">
        <f t="shared" si="98"/>
        <v>207</v>
      </c>
      <c r="P477" s="174">
        <f>VLOOKUP(D477,原始分!$D:$N,8,0)</f>
        <v>45</v>
      </c>
      <c r="Q477" s="174">
        <f t="shared" si="99"/>
        <v>209</v>
      </c>
      <c r="R477" s="174">
        <f>VLOOKUP(D477,原始分!$D:$N,9,0)</f>
        <v>0</v>
      </c>
      <c r="S477" s="174">
        <f t="shared" si="100"/>
        <v>320</v>
      </c>
      <c r="T477" s="174">
        <f>VLOOKUP(D477,原始分!$D:$N,10,0)</f>
        <v>0</v>
      </c>
      <c r="U477" s="174">
        <f t="shared" si="101"/>
        <v>316</v>
      </c>
      <c r="V477" s="174">
        <f>VLOOKUP(D477,原始分!$D:$N,11,0)</f>
        <v>57</v>
      </c>
      <c r="W477" s="174">
        <f t="shared" si="102"/>
        <v>139</v>
      </c>
      <c r="X477" s="11">
        <f t="shared" si="103"/>
        <v>311.25</v>
      </c>
      <c r="Y477" s="9">
        <f t="shared" si="104"/>
        <v>244</v>
      </c>
      <c r="Z477" s="11">
        <f t="shared" si="105"/>
        <v>478.75</v>
      </c>
      <c r="AA477" s="9">
        <f t="shared" si="93"/>
        <v>137</v>
      </c>
    </row>
    <row r="478" ht="14.25" spans="1:27">
      <c r="A478" s="13">
        <v>476</v>
      </c>
      <c r="B478" s="15">
        <v>10</v>
      </c>
      <c r="C478" s="16">
        <v>37</v>
      </c>
      <c r="D478" s="17" t="s">
        <v>962</v>
      </c>
      <c r="E478" s="17" t="s">
        <v>963</v>
      </c>
      <c r="F478" s="174">
        <f>VLOOKUP(D478,原始分!$D:$N,3,0)</f>
        <v>93.5</v>
      </c>
      <c r="G478" s="174">
        <f t="shared" si="94"/>
        <v>676</v>
      </c>
      <c r="H478" s="174">
        <f>VLOOKUP(D478,原始分!$D:$N,4,0)</f>
        <v>106</v>
      </c>
      <c r="I478" s="174">
        <f t="shared" si="95"/>
        <v>297</v>
      </c>
      <c r="J478" s="174">
        <f>VLOOKUP(D478,原始分!$D:$N,5,0)</f>
        <v>91.25</v>
      </c>
      <c r="K478" s="174">
        <f t="shared" si="96"/>
        <v>569</v>
      </c>
      <c r="L478" s="174">
        <f>VLOOKUP(D478,原始分!$D:$N,6,0)</f>
        <v>59.5</v>
      </c>
      <c r="M478" s="174">
        <f t="shared" si="97"/>
        <v>195</v>
      </c>
      <c r="N478" s="174">
        <f>VLOOKUP(D478,原始分!$D:$N,7,0)</f>
        <v>0</v>
      </c>
      <c r="O478" s="174">
        <f t="shared" si="98"/>
        <v>207</v>
      </c>
      <c r="P478" s="174">
        <f>VLOOKUP(D478,原始分!$D:$N,8,0)</f>
        <v>50.5</v>
      </c>
      <c r="Q478" s="174">
        <f t="shared" si="99"/>
        <v>101</v>
      </c>
      <c r="R478" s="174">
        <f>VLOOKUP(D478,原始分!$D:$N,9,0)</f>
        <v>0</v>
      </c>
      <c r="S478" s="174">
        <f t="shared" si="100"/>
        <v>320</v>
      </c>
      <c r="T478" s="174">
        <f>VLOOKUP(D478,原始分!$D:$N,10,0)</f>
        <v>0</v>
      </c>
      <c r="U478" s="174">
        <f t="shared" si="101"/>
        <v>316</v>
      </c>
      <c r="V478" s="174">
        <f>VLOOKUP(D478,原始分!$D:$N,11,0)</f>
        <v>65</v>
      </c>
      <c r="W478" s="174">
        <f t="shared" si="102"/>
        <v>37</v>
      </c>
      <c r="X478" s="11">
        <f t="shared" si="103"/>
        <v>290.75</v>
      </c>
      <c r="Y478" s="9">
        <f t="shared" si="104"/>
        <v>487</v>
      </c>
      <c r="Z478" s="11">
        <f t="shared" si="105"/>
        <v>465.75</v>
      </c>
      <c r="AA478" s="9">
        <f t="shared" si="93"/>
        <v>193</v>
      </c>
    </row>
    <row r="479" ht="14.25" spans="1:27">
      <c r="A479" s="13">
        <v>477</v>
      </c>
      <c r="B479" s="15">
        <v>10</v>
      </c>
      <c r="C479" s="16">
        <v>38</v>
      </c>
      <c r="D479" s="17" t="s">
        <v>964</v>
      </c>
      <c r="E479" s="17" t="s">
        <v>965</v>
      </c>
      <c r="F479" s="174">
        <f>VLOOKUP(D479,原始分!$D:$N,3,0)</f>
        <v>109</v>
      </c>
      <c r="G479" s="174">
        <f t="shared" si="94"/>
        <v>64</v>
      </c>
      <c r="H479" s="174">
        <f>VLOOKUP(D479,原始分!$D:$N,4,0)</f>
        <v>113</v>
      </c>
      <c r="I479" s="174">
        <f t="shared" si="95"/>
        <v>160</v>
      </c>
      <c r="J479" s="174">
        <f>VLOOKUP(D479,原始分!$D:$N,5,0)</f>
        <v>109.5</v>
      </c>
      <c r="K479" s="174">
        <f t="shared" si="96"/>
        <v>184</v>
      </c>
      <c r="L479" s="174">
        <f>VLOOKUP(D479,原始分!$D:$N,6,0)</f>
        <v>66.5</v>
      </c>
      <c r="M479" s="174">
        <f t="shared" si="97"/>
        <v>88</v>
      </c>
      <c r="N479" s="174">
        <f>VLOOKUP(D479,原始分!$D:$N,7,0)</f>
        <v>0</v>
      </c>
      <c r="O479" s="174">
        <f t="shared" si="98"/>
        <v>207</v>
      </c>
      <c r="P479" s="174">
        <f>VLOOKUP(D479,原始分!$D:$N,8,0)</f>
        <v>47</v>
      </c>
      <c r="Q479" s="174">
        <f t="shared" si="99"/>
        <v>173</v>
      </c>
      <c r="R479" s="174">
        <f>VLOOKUP(D479,原始分!$D:$N,9,0)</f>
        <v>0</v>
      </c>
      <c r="S479" s="174">
        <f t="shared" si="100"/>
        <v>320</v>
      </c>
      <c r="T479" s="174">
        <f>VLOOKUP(D479,原始分!$D:$N,10,0)</f>
        <v>0</v>
      </c>
      <c r="U479" s="174">
        <f t="shared" si="101"/>
        <v>316</v>
      </c>
      <c r="V479" s="174">
        <f>VLOOKUP(D479,原始分!$D:$N,11,0)</f>
        <v>65</v>
      </c>
      <c r="W479" s="174">
        <f t="shared" si="102"/>
        <v>37</v>
      </c>
      <c r="X479" s="11">
        <f t="shared" si="103"/>
        <v>331.5</v>
      </c>
      <c r="Y479" s="9">
        <f t="shared" si="104"/>
        <v>81</v>
      </c>
      <c r="Z479" s="11">
        <f t="shared" si="105"/>
        <v>510</v>
      </c>
      <c r="AA479" s="9">
        <f t="shared" si="93"/>
        <v>53</v>
      </c>
    </row>
    <row r="480" ht="14.25" spans="1:27">
      <c r="A480" s="13">
        <v>478</v>
      </c>
      <c r="B480" s="15">
        <v>10</v>
      </c>
      <c r="C480" s="16">
        <v>39</v>
      </c>
      <c r="D480" s="17" t="s">
        <v>966</v>
      </c>
      <c r="E480" s="17" t="s">
        <v>967</v>
      </c>
      <c r="F480" s="174">
        <f>VLOOKUP(D480,原始分!$D:$N,3,0)</f>
        <v>95</v>
      </c>
      <c r="G480" s="174">
        <f t="shared" si="94"/>
        <v>619</v>
      </c>
      <c r="H480" s="174">
        <f>VLOOKUP(D480,原始分!$D:$N,4,0)</f>
        <v>112.5</v>
      </c>
      <c r="I480" s="174">
        <f t="shared" si="95"/>
        <v>170</v>
      </c>
      <c r="J480" s="174">
        <f>VLOOKUP(D480,原始分!$D:$N,5,0)</f>
        <v>108.75</v>
      </c>
      <c r="K480" s="174">
        <f t="shared" si="96"/>
        <v>198</v>
      </c>
      <c r="L480" s="174">
        <f>VLOOKUP(D480,原始分!$D:$N,6,0)</f>
        <v>64</v>
      </c>
      <c r="M480" s="174">
        <f t="shared" si="97"/>
        <v>130</v>
      </c>
      <c r="N480" s="174">
        <f>VLOOKUP(D480,原始分!$D:$N,7,0)</f>
        <v>0</v>
      </c>
      <c r="O480" s="174">
        <f t="shared" si="98"/>
        <v>207</v>
      </c>
      <c r="P480" s="174">
        <f>VLOOKUP(D480,原始分!$D:$N,8,0)</f>
        <v>44.5</v>
      </c>
      <c r="Q480" s="174">
        <f t="shared" si="99"/>
        <v>219</v>
      </c>
      <c r="R480" s="174">
        <f>VLOOKUP(D480,原始分!$D:$N,9,0)</f>
        <v>0</v>
      </c>
      <c r="S480" s="174">
        <f t="shared" si="100"/>
        <v>320</v>
      </c>
      <c r="T480" s="174">
        <f>VLOOKUP(D480,原始分!$D:$N,10,0)</f>
        <v>0</v>
      </c>
      <c r="U480" s="174">
        <f t="shared" si="101"/>
        <v>316</v>
      </c>
      <c r="V480" s="174">
        <f>VLOOKUP(D480,原始分!$D:$N,11,0)</f>
        <v>51</v>
      </c>
      <c r="W480" s="174">
        <f t="shared" si="102"/>
        <v>278</v>
      </c>
      <c r="X480" s="11">
        <f t="shared" si="103"/>
        <v>316.25</v>
      </c>
      <c r="Y480" s="9">
        <f t="shared" si="104"/>
        <v>194</v>
      </c>
      <c r="Z480" s="11">
        <f t="shared" si="105"/>
        <v>475.75</v>
      </c>
      <c r="AA480" s="9">
        <f t="shared" si="93"/>
        <v>155</v>
      </c>
    </row>
    <row r="481" ht="14.25" spans="1:27">
      <c r="A481" s="13">
        <v>479</v>
      </c>
      <c r="B481" s="15">
        <v>10</v>
      </c>
      <c r="C481" s="16">
        <v>40</v>
      </c>
      <c r="D481" s="17" t="s">
        <v>968</v>
      </c>
      <c r="E481" s="17" t="s">
        <v>969</v>
      </c>
      <c r="F481" s="174">
        <f>VLOOKUP(D481,原始分!$D:$N,3,0)</f>
        <v>115</v>
      </c>
      <c r="G481" s="174">
        <f t="shared" si="94"/>
        <v>12</v>
      </c>
      <c r="H481" s="174">
        <f>VLOOKUP(D481,原始分!$D:$N,4,0)</f>
        <v>103</v>
      </c>
      <c r="I481" s="174">
        <f t="shared" si="95"/>
        <v>366</v>
      </c>
      <c r="J481" s="174">
        <f>VLOOKUP(D481,原始分!$D:$N,5,0)</f>
        <v>112.75</v>
      </c>
      <c r="K481" s="174">
        <f t="shared" si="96"/>
        <v>137</v>
      </c>
      <c r="L481" s="174">
        <f>VLOOKUP(D481,原始分!$D:$N,6,0)</f>
        <v>66</v>
      </c>
      <c r="M481" s="174">
        <f t="shared" si="97"/>
        <v>97</v>
      </c>
      <c r="N481" s="174">
        <f>VLOOKUP(D481,原始分!$D:$N,7,0)</f>
        <v>0</v>
      </c>
      <c r="O481" s="174">
        <f t="shared" si="98"/>
        <v>207</v>
      </c>
      <c r="P481" s="174">
        <f>VLOOKUP(D481,原始分!$D:$N,8,0)</f>
        <v>62.5</v>
      </c>
      <c r="Q481" s="174">
        <f t="shared" si="99"/>
        <v>16</v>
      </c>
      <c r="R481" s="174">
        <f>VLOOKUP(D481,原始分!$D:$N,9,0)</f>
        <v>0</v>
      </c>
      <c r="S481" s="174">
        <f t="shared" si="100"/>
        <v>320</v>
      </c>
      <c r="T481" s="174">
        <f>VLOOKUP(D481,原始分!$D:$N,10,0)</f>
        <v>0</v>
      </c>
      <c r="U481" s="174">
        <f t="shared" si="101"/>
        <v>316</v>
      </c>
      <c r="V481" s="174">
        <f>VLOOKUP(D481,原始分!$D:$N,11,0)</f>
        <v>48</v>
      </c>
      <c r="W481" s="174">
        <f t="shared" si="102"/>
        <v>341</v>
      </c>
      <c r="X481" s="11">
        <f t="shared" si="103"/>
        <v>330.75</v>
      </c>
      <c r="Y481" s="9">
        <f t="shared" si="104"/>
        <v>85</v>
      </c>
      <c r="Z481" s="11">
        <f t="shared" si="105"/>
        <v>507.25</v>
      </c>
      <c r="AA481" s="9">
        <f t="shared" ref="AA481:AA544" si="106">RANK(Z481,$Z$3:$Z$665)</f>
        <v>60</v>
      </c>
    </row>
    <row r="482" ht="14.25" spans="1:27">
      <c r="A482" s="13">
        <v>480</v>
      </c>
      <c r="B482" s="15">
        <v>10</v>
      </c>
      <c r="C482" s="16">
        <v>41</v>
      </c>
      <c r="D482" s="17" t="s">
        <v>970</v>
      </c>
      <c r="E482" s="17" t="s">
        <v>971</v>
      </c>
      <c r="F482" s="174">
        <f>VLOOKUP(D482,原始分!$D:$N,3,0)</f>
        <v>103.5</v>
      </c>
      <c r="G482" s="174">
        <f t="shared" si="94"/>
        <v>230</v>
      </c>
      <c r="H482" s="174">
        <f>VLOOKUP(D482,原始分!$D:$N,4,0)</f>
        <v>111</v>
      </c>
      <c r="I482" s="174">
        <f t="shared" si="95"/>
        <v>201</v>
      </c>
      <c r="J482" s="174">
        <f>VLOOKUP(D482,原始分!$D:$N,5,0)</f>
        <v>94.25</v>
      </c>
      <c r="K482" s="174">
        <f t="shared" si="96"/>
        <v>504</v>
      </c>
      <c r="L482" s="174">
        <f>VLOOKUP(D482,原始分!$D:$N,6,0)</f>
        <v>75.5</v>
      </c>
      <c r="M482" s="174">
        <f t="shared" si="97"/>
        <v>31</v>
      </c>
      <c r="N482" s="174">
        <f>VLOOKUP(D482,原始分!$D:$N,7,0)</f>
        <v>0</v>
      </c>
      <c r="O482" s="174">
        <f t="shared" si="98"/>
        <v>207</v>
      </c>
      <c r="P482" s="174">
        <f>VLOOKUP(D482,原始分!$D:$N,8,0)</f>
        <v>39.5</v>
      </c>
      <c r="Q482" s="174">
        <f t="shared" si="99"/>
        <v>335</v>
      </c>
      <c r="R482" s="174">
        <f>VLOOKUP(D482,原始分!$D:$N,9,0)</f>
        <v>0</v>
      </c>
      <c r="S482" s="174">
        <f t="shared" si="100"/>
        <v>320</v>
      </c>
      <c r="T482" s="174">
        <f>VLOOKUP(D482,原始分!$D:$N,10,0)</f>
        <v>0</v>
      </c>
      <c r="U482" s="174">
        <f t="shared" si="101"/>
        <v>316</v>
      </c>
      <c r="V482" s="174">
        <f>VLOOKUP(D482,原始分!$D:$N,11,0)</f>
        <v>49</v>
      </c>
      <c r="W482" s="174">
        <f t="shared" si="102"/>
        <v>323</v>
      </c>
      <c r="X482" s="11">
        <f t="shared" si="103"/>
        <v>308.75</v>
      </c>
      <c r="Y482" s="9">
        <f t="shared" si="104"/>
        <v>279</v>
      </c>
      <c r="Z482" s="11">
        <f t="shared" si="105"/>
        <v>472.75</v>
      </c>
      <c r="AA482" s="9">
        <f t="shared" si="106"/>
        <v>165</v>
      </c>
    </row>
    <row r="483" ht="14.25" spans="1:27">
      <c r="A483" s="13">
        <v>481</v>
      </c>
      <c r="B483" s="15">
        <v>10</v>
      </c>
      <c r="C483" s="16">
        <v>42</v>
      </c>
      <c r="D483" s="17" t="s">
        <v>972</v>
      </c>
      <c r="E483" s="17" t="s">
        <v>973</v>
      </c>
      <c r="F483" s="174">
        <f>VLOOKUP(D483,原始分!$D:$N,3,0)</f>
        <v>98.5</v>
      </c>
      <c r="G483" s="174">
        <f t="shared" si="94"/>
        <v>469</v>
      </c>
      <c r="H483" s="174">
        <f>VLOOKUP(D483,原始分!$D:$N,4,0)</f>
        <v>116.5</v>
      </c>
      <c r="I483" s="174">
        <f t="shared" si="95"/>
        <v>106</v>
      </c>
      <c r="J483" s="174">
        <f>VLOOKUP(D483,原始分!$D:$N,5,0)</f>
        <v>99.75</v>
      </c>
      <c r="K483" s="174">
        <f t="shared" si="96"/>
        <v>381</v>
      </c>
      <c r="L483" s="174">
        <f>VLOOKUP(D483,原始分!$D:$N,6,0)</f>
        <v>74.5</v>
      </c>
      <c r="M483" s="174">
        <f t="shared" si="97"/>
        <v>38</v>
      </c>
      <c r="N483" s="174">
        <f>VLOOKUP(D483,原始分!$D:$N,7,0)</f>
        <v>0</v>
      </c>
      <c r="O483" s="174">
        <f t="shared" si="98"/>
        <v>207</v>
      </c>
      <c r="P483" s="174">
        <f>VLOOKUP(D483,原始分!$D:$N,8,0)</f>
        <v>48</v>
      </c>
      <c r="Q483" s="174">
        <f t="shared" si="99"/>
        <v>146</v>
      </c>
      <c r="R483" s="174">
        <f>VLOOKUP(D483,原始分!$D:$N,9,0)</f>
        <v>0</v>
      </c>
      <c r="S483" s="174">
        <f t="shared" si="100"/>
        <v>320</v>
      </c>
      <c r="T483" s="174">
        <f>VLOOKUP(D483,原始分!$D:$N,10,0)</f>
        <v>0</v>
      </c>
      <c r="U483" s="174">
        <f t="shared" si="101"/>
        <v>316</v>
      </c>
      <c r="V483" s="174">
        <f>VLOOKUP(D483,原始分!$D:$N,11,0)</f>
        <v>66</v>
      </c>
      <c r="W483" s="174">
        <f t="shared" si="102"/>
        <v>32</v>
      </c>
      <c r="X483" s="11">
        <f t="shared" si="103"/>
        <v>314.75</v>
      </c>
      <c r="Y483" s="9">
        <f t="shared" si="104"/>
        <v>207</v>
      </c>
      <c r="Z483" s="11">
        <f t="shared" si="105"/>
        <v>503.25</v>
      </c>
      <c r="AA483" s="9">
        <f t="shared" si="106"/>
        <v>70</v>
      </c>
    </row>
    <row r="484" ht="14.25" spans="1:27">
      <c r="A484" s="13">
        <v>482</v>
      </c>
      <c r="B484" s="15">
        <v>10</v>
      </c>
      <c r="C484" s="16">
        <v>43</v>
      </c>
      <c r="D484" s="17" t="s">
        <v>974</v>
      </c>
      <c r="E484" s="17" t="s">
        <v>975</v>
      </c>
      <c r="F484" s="174">
        <f>VLOOKUP(D484,原始分!$D:$N,3,0)</f>
        <v>96.5</v>
      </c>
      <c r="G484" s="174">
        <f t="shared" si="94"/>
        <v>566</v>
      </c>
      <c r="H484" s="174">
        <f>VLOOKUP(D484,原始分!$D:$N,4,0)</f>
        <v>100.5</v>
      </c>
      <c r="I484" s="174">
        <f t="shared" si="95"/>
        <v>410</v>
      </c>
      <c r="J484" s="174">
        <f>VLOOKUP(D484,原始分!$D:$N,5,0)</f>
        <v>99</v>
      </c>
      <c r="K484" s="174">
        <f t="shared" si="96"/>
        <v>400</v>
      </c>
      <c r="L484" s="174">
        <f>VLOOKUP(D484,原始分!$D:$N,6,0)</f>
        <v>73</v>
      </c>
      <c r="M484" s="174">
        <f t="shared" si="97"/>
        <v>47</v>
      </c>
      <c r="N484" s="174">
        <f>VLOOKUP(D484,原始分!$D:$N,7,0)</f>
        <v>0</v>
      </c>
      <c r="O484" s="174">
        <f t="shared" si="98"/>
        <v>207</v>
      </c>
      <c r="P484" s="174">
        <f>VLOOKUP(D484,原始分!$D:$N,8,0)</f>
        <v>54.5</v>
      </c>
      <c r="Q484" s="174">
        <f t="shared" si="99"/>
        <v>54</v>
      </c>
      <c r="R484" s="174">
        <f>VLOOKUP(D484,原始分!$D:$N,9,0)</f>
        <v>0</v>
      </c>
      <c r="S484" s="174">
        <f t="shared" si="100"/>
        <v>320</v>
      </c>
      <c r="T484" s="174">
        <f>VLOOKUP(D484,原始分!$D:$N,10,0)</f>
        <v>0</v>
      </c>
      <c r="U484" s="174">
        <f t="shared" si="101"/>
        <v>316</v>
      </c>
      <c r="V484" s="174">
        <f>VLOOKUP(D484,原始分!$D:$N,11,0)</f>
        <v>53.5</v>
      </c>
      <c r="W484" s="174">
        <f t="shared" si="102"/>
        <v>208</v>
      </c>
      <c r="X484" s="11">
        <f t="shared" si="103"/>
        <v>296</v>
      </c>
      <c r="Y484" s="9">
        <f t="shared" si="104"/>
        <v>417</v>
      </c>
      <c r="Z484" s="11">
        <f t="shared" si="105"/>
        <v>477</v>
      </c>
      <c r="AA484" s="9">
        <f t="shared" si="106"/>
        <v>145</v>
      </c>
    </row>
    <row r="485" ht="14.25" spans="1:27">
      <c r="A485" s="13">
        <v>483</v>
      </c>
      <c r="B485" s="15">
        <v>10</v>
      </c>
      <c r="C485" s="16">
        <v>44</v>
      </c>
      <c r="D485" s="17" t="s">
        <v>976</v>
      </c>
      <c r="E485" s="17" t="s">
        <v>977</v>
      </c>
      <c r="F485" s="174">
        <f>VLOOKUP(D485,原始分!$D:$N,3,0)</f>
        <v>94</v>
      </c>
      <c r="G485" s="174">
        <f t="shared" si="94"/>
        <v>661</v>
      </c>
      <c r="H485" s="174">
        <f>VLOOKUP(D485,原始分!$D:$N,4,0)</f>
        <v>109.5</v>
      </c>
      <c r="I485" s="174">
        <f t="shared" si="95"/>
        <v>232</v>
      </c>
      <c r="J485" s="174">
        <f>VLOOKUP(D485,原始分!$D:$N,5,0)</f>
        <v>114.25</v>
      </c>
      <c r="K485" s="174">
        <f t="shared" si="96"/>
        <v>114</v>
      </c>
      <c r="L485" s="174">
        <f>VLOOKUP(D485,原始分!$D:$N,6,0)</f>
        <v>58</v>
      </c>
      <c r="M485" s="174">
        <f t="shared" si="97"/>
        <v>220</v>
      </c>
      <c r="N485" s="174">
        <f>VLOOKUP(D485,原始分!$D:$N,7,0)</f>
        <v>0</v>
      </c>
      <c r="O485" s="174">
        <f t="shared" si="98"/>
        <v>207</v>
      </c>
      <c r="P485" s="174">
        <f>VLOOKUP(D485,原始分!$D:$N,8,0)</f>
        <v>53.5</v>
      </c>
      <c r="Q485" s="174">
        <f t="shared" si="99"/>
        <v>62</v>
      </c>
      <c r="R485" s="174">
        <f>VLOOKUP(D485,原始分!$D:$N,9,0)</f>
        <v>0</v>
      </c>
      <c r="S485" s="174">
        <f t="shared" si="100"/>
        <v>320</v>
      </c>
      <c r="T485" s="174">
        <f>VLOOKUP(D485,原始分!$D:$N,10,0)</f>
        <v>0</v>
      </c>
      <c r="U485" s="174">
        <f t="shared" si="101"/>
        <v>316</v>
      </c>
      <c r="V485" s="174">
        <f>VLOOKUP(D485,原始分!$D:$N,11,0)</f>
        <v>56.5</v>
      </c>
      <c r="W485" s="174">
        <f t="shared" si="102"/>
        <v>153</v>
      </c>
      <c r="X485" s="11">
        <f t="shared" si="103"/>
        <v>317.75</v>
      </c>
      <c r="Y485" s="9">
        <f t="shared" si="104"/>
        <v>180</v>
      </c>
      <c r="Z485" s="11">
        <f t="shared" si="105"/>
        <v>485.75</v>
      </c>
      <c r="AA485" s="9">
        <f t="shared" si="106"/>
        <v>113</v>
      </c>
    </row>
    <row r="486" ht="14.25" spans="1:27">
      <c r="A486" s="13">
        <v>484</v>
      </c>
      <c r="B486" s="15">
        <v>10</v>
      </c>
      <c r="C486" s="16">
        <v>45</v>
      </c>
      <c r="D486" s="17" t="s">
        <v>978</v>
      </c>
      <c r="E486" s="17" t="s">
        <v>979</v>
      </c>
      <c r="F486" s="174">
        <f>VLOOKUP(D486,原始分!$D:$N,3,0)</f>
        <v>90.5</v>
      </c>
      <c r="G486" s="174">
        <f t="shared" si="94"/>
        <v>765</v>
      </c>
      <c r="H486" s="174">
        <f>VLOOKUP(D486,原始分!$D:$N,4,0)</f>
        <v>113.5</v>
      </c>
      <c r="I486" s="174">
        <f t="shared" si="95"/>
        <v>152</v>
      </c>
      <c r="J486" s="174">
        <f>VLOOKUP(D486,原始分!$D:$N,5,0)</f>
        <v>89</v>
      </c>
      <c r="K486" s="174">
        <f t="shared" si="96"/>
        <v>597</v>
      </c>
      <c r="L486" s="174">
        <f>VLOOKUP(D486,原始分!$D:$N,6,0)</f>
        <v>73.5</v>
      </c>
      <c r="M486" s="174">
        <f t="shared" si="97"/>
        <v>45</v>
      </c>
      <c r="N486" s="174">
        <f>VLOOKUP(D486,原始分!$D:$N,7,0)</f>
        <v>0</v>
      </c>
      <c r="O486" s="174">
        <f t="shared" si="98"/>
        <v>207</v>
      </c>
      <c r="P486" s="174">
        <f>VLOOKUP(D486,原始分!$D:$N,8,0)</f>
        <v>50.5</v>
      </c>
      <c r="Q486" s="174">
        <f t="shared" si="99"/>
        <v>101</v>
      </c>
      <c r="R486" s="174">
        <f>VLOOKUP(D486,原始分!$D:$N,9,0)</f>
        <v>0</v>
      </c>
      <c r="S486" s="174">
        <f t="shared" si="100"/>
        <v>320</v>
      </c>
      <c r="T486" s="174">
        <f>VLOOKUP(D486,原始分!$D:$N,10,0)</f>
        <v>0</v>
      </c>
      <c r="U486" s="174">
        <f t="shared" si="101"/>
        <v>316</v>
      </c>
      <c r="V486" s="174">
        <f>VLOOKUP(D486,原始分!$D:$N,11,0)</f>
        <v>69</v>
      </c>
      <c r="W486" s="174">
        <f t="shared" si="102"/>
        <v>17</v>
      </c>
      <c r="X486" s="11">
        <f t="shared" si="103"/>
        <v>293</v>
      </c>
      <c r="Y486" s="9">
        <f t="shared" si="104"/>
        <v>456</v>
      </c>
      <c r="Z486" s="11">
        <f t="shared" si="105"/>
        <v>486</v>
      </c>
      <c r="AA486" s="9">
        <f t="shared" si="106"/>
        <v>112</v>
      </c>
    </row>
    <row r="487" ht="14.25" spans="1:27">
      <c r="A487" s="13">
        <v>485</v>
      </c>
      <c r="B487" s="15">
        <v>10</v>
      </c>
      <c r="C487" s="16">
        <v>46</v>
      </c>
      <c r="D487" s="17" t="s">
        <v>980</v>
      </c>
      <c r="E487" s="17" t="s">
        <v>981</v>
      </c>
      <c r="F487" s="174">
        <f>VLOOKUP(D487,原始分!$D:$N,3,0)</f>
        <v>108</v>
      </c>
      <c r="G487" s="174">
        <f t="shared" si="94"/>
        <v>77</v>
      </c>
      <c r="H487" s="174">
        <f>VLOOKUP(D487,原始分!$D:$N,4,0)</f>
        <v>111.5</v>
      </c>
      <c r="I487" s="174">
        <f t="shared" si="95"/>
        <v>191</v>
      </c>
      <c r="J487" s="174">
        <f>VLOOKUP(D487,原始分!$D:$N,5,0)</f>
        <v>86.25</v>
      </c>
      <c r="K487" s="174">
        <f t="shared" si="96"/>
        <v>647</v>
      </c>
      <c r="L487" s="174">
        <f>VLOOKUP(D487,原始分!$D:$N,6,0)</f>
        <v>73</v>
      </c>
      <c r="M487" s="174">
        <f t="shared" si="97"/>
        <v>47</v>
      </c>
      <c r="N487" s="174">
        <f>VLOOKUP(D487,原始分!$D:$N,7,0)</f>
        <v>0</v>
      </c>
      <c r="O487" s="174">
        <f t="shared" si="98"/>
        <v>207</v>
      </c>
      <c r="P487" s="174">
        <f>VLOOKUP(D487,原始分!$D:$N,8,0)</f>
        <v>58</v>
      </c>
      <c r="Q487" s="174">
        <f t="shared" si="99"/>
        <v>37</v>
      </c>
      <c r="R487" s="174">
        <f>VLOOKUP(D487,原始分!$D:$N,9,0)</f>
        <v>0</v>
      </c>
      <c r="S487" s="174">
        <f t="shared" si="100"/>
        <v>320</v>
      </c>
      <c r="T487" s="174">
        <f>VLOOKUP(D487,原始分!$D:$N,10,0)</f>
        <v>0</v>
      </c>
      <c r="U487" s="174">
        <f t="shared" si="101"/>
        <v>316</v>
      </c>
      <c r="V487" s="174">
        <f>VLOOKUP(D487,原始分!$D:$N,11,0)</f>
        <v>69</v>
      </c>
      <c r="W487" s="174">
        <f t="shared" si="102"/>
        <v>17</v>
      </c>
      <c r="X487" s="11">
        <f t="shared" si="103"/>
        <v>305.75</v>
      </c>
      <c r="Y487" s="9">
        <f t="shared" si="104"/>
        <v>310</v>
      </c>
      <c r="Z487" s="11">
        <f t="shared" si="105"/>
        <v>505.75</v>
      </c>
      <c r="AA487" s="9">
        <f t="shared" si="106"/>
        <v>64</v>
      </c>
    </row>
    <row r="488" ht="14.25" spans="1:27">
      <c r="A488" s="13">
        <v>486</v>
      </c>
      <c r="B488" s="15">
        <v>10</v>
      </c>
      <c r="C488" s="16">
        <v>47</v>
      </c>
      <c r="D488" s="17" t="s">
        <v>982</v>
      </c>
      <c r="E488" s="17" t="s">
        <v>983</v>
      </c>
      <c r="F488" s="174">
        <f>VLOOKUP(D488,原始分!$D:$N,3,0)</f>
        <v>104.5</v>
      </c>
      <c r="G488" s="174">
        <f t="shared" si="94"/>
        <v>190</v>
      </c>
      <c r="H488" s="174">
        <f>VLOOKUP(D488,原始分!$D:$N,4,0)</f>
        <v>120.5</v>
      </c>
      <c r="I488" s="174">
        <f t="shared" si="95"/>
        <v>62</v>
      </c>
      <c r="J488" s="174">
        <f>VLOOKUP(D488,原始分!$D:$N,5,0)</f>
        <v>108</v>
      </c>
      <c r="K488" s="174">
        <f t="shared" si="96"/>
        <v>206</v>
      </c>
      <c r="L488" s="174">
        <f>VLOOKUP(D488,原始分!$D:$N,6,0)</f>
        <v>74.5</v>
      </c>
      <c r="M488" s="174">
        <f t="shared" si="97"/>
        <v>38</v>
      </c>
      <c r="N488" s="174">
        <f>VLOOKUP(D488,原始分!$D:$N,7,0)</f>
        <v>0</v>
      </c>
      <c r="O488" s="174">
        <f t="shared" si="98"/>
        <v>207</v>
      </c>
      <c r="P488" s="174">
        <f>VLOOKUP(D488,原始分!$D:$N,8,0)</f>
        <v>54.5</v>
      </c>
      <c r="Q488" s="174">
        <f t="shared" si="99"/>
        <v>54</v>
      </c>
      <c r="R488" s="174">
        <f>VLOOKUP(D488,原始分!$D:$N,9,0)</f>
        <v>0</v>
      </c>
      <c r="S488" s="174">
        <f t="shared" si="100"/>
        <v>320</v>
      </c>
      <c r="T488" s="174">
        <f>VLOOKUP(D488,原始分!$D:$N,10,0)</f>
        <v>0</v>
      </c>
      <c r="U488" s="174">
        <f t="shared" si="101"/>
        <v>316</v>
      </c>
      <c r="V488" s="174">
        <f>VLOOKUP(D488,原始分!$D:$N,11,0)</f>
        <v>63</v>
      </c>
      <c r="W488" s="174">
        <f t="shared" si="102"/>
        <v>56</v>
      </c>
      <c r="X488" s="11">
        <f t="shared" si="103"/>
        <v>333</v>
      </c>
      <c r="Y488" s="9">
        <f t="shared" si="104"/>
        <v>77</v>
      </c>
      <c r="Z488" s="11">
        <f t="shared" si="105"/>
        <v>525</v>
      </c>
      <c r="AA488" s="9">
        <f t="shared" si="106"/>
        <v>25</v>
      </c>
    </row>
    <row r="489" ht="14.25" spans="1:27">
      <c r="A489" s="13">
        <v>487</v>
      </c>
      <c r="B489" s="15">
        <v>10</v>
      </c>
      <c r="C489" s="16">
        <v>48</v>
      </c>
      <c r="D489" s="19" t="s">
        <v>984</v>
      </c>
      <c r="E489" s="17" t="s">
        <v>985</v>
      </c>
      <c r="F489" s="174">
        <f>VLOOKUP(D489,原始分!$D:$N,3,0)</f>
        <v>98.75</v>
      </c>
      <c r="G489" s="174">
        <f t="shared" si="94"/>
        <v>467</v>
      </c>
      <c r="H489" s="174">
        <f>VLOOKUP(D489,原始分!$D:$N,4,0)</f>
        <v>106</v>
      </c>
      <c r="I489" s="174">
        <f t="shared" si="95"/>
        <v>297</v>
      </c>
      <c r="J489" s="174">
        <f>VLOOKUP(D489,原始分!$D:$N,5,0)</f>
        <v>112.5</v>
      </c>
      <c r="K489" s="174">
        <f t="shared" si="96"/>
        <v>140</v>
      </c>
      <c r="L489" s="174">
        <f>VLOOKUP(D489,原始分!$D:$N,6,0)</f>
        <v>61</v>
      </c>
      <c r="M489" s="174">
        <f t="shared" si="97"/>
        <v>168</v>
      </c>
      <c r="N489" s="174">
        <f>VLOOKUP(D489,原始分!$D:$N,7,0)</f>
        <v>0</v>
      </c>
      <c r="O489" s="174">
        <f t="shared" si="98"/>
        <v>207</v>
      </c>
      <c r="P489" s="174">
        <f>VLOOKUP(D489,原始分!$D:$N,8,0)</f>
        <v>58.5</v>
      </c>
      <c r="Q489" s="174">
        <f t="shared" si="99"/>
        <v>36</v>
      </c>
      <c r="R489" s="174">
        <f>VLOOKUP(D489,原始分!$D:$N,9,0)</f>
        <v>0</v>
      </c>
      <c r="S489" s="174">
        <f t="shared" si="100"/>
        <v>320</v>
      </c>
      <c r="T489" s="174">
        <f>VLOOKUP(D489,原始分!$D:$N,10,0)</f>
        <v>0</v>
      </c>
      <c r="U489" s="174">
        <f t="shared" si="101"/>
        <v>316</v>
      </c>
      <c r="V489" s="174">
        <f>VLOOKUP(D489,原始分!$D:$N,11,0)</f>
        <v>59.5</v>
      </c>
      <c r="W489" s="174">
        <f t="shared" si="102"/>
        <v>99</v>
      </c>
      <c r="X489" s="11">
        <f t="shared" si="103"/>
        <v>317.25</v>
      </c>
      <c r="Y489" s="9">
        <f t="shared" si="104"/>
        <v>188</v>
      </c>
      <c r="Z489" s="11">
        <f t="shared" si="105"/>
        <v>496.25</v>
      </c>
      <c r="AA489" s="9">
        <f t="shared" si="106"/>
        <v>87</v>
      </c>
    </row>
    <row r="490" ht="14.25" spans="1:27">
      <c r="A490" s="13">
        <v>488</v>
      </c>
      <c r="B490" s="15">
        <v>10</v>
      </c>
      <c r="C490" s="16">
        <v>49</v>
      </c>
      <c r="D490" s="17" t="s">
        <v>986</v>
      </c>
      <c r="E490" s="17" t="s">
        <v>987</v>
      </c>
      <c r="F490" s="174">
        <f>VLOOKUP(D490,原始分!$D:$N,3,0)</f>
        <v>98</v>
      </c>
      <c r="G490" s="174">
        <f t="shared" si="94"/>
        <v>500</v>
      </c>
      <c r="H490" s="174">
        <f>VLOOKUP(D490,原始分!$D:$N,4,0)</f>
        <v>115</v>
      </c>
      <c r="I490" s="174">
        <f t="shared" si="95"/>
        <v>130</v>
      </c>
      <c r="J490" s="174">
        <f>VLOOKUP(D490,原始分!$D:$N,5,0)</f>
        <v>92</v>
      </c>
      <c r="K490" s="174">
        <f t="shared" si="96"/>
        <v>550</v>
      </c>
      <c r="L490" s="174">
        <f>VLOOKUP(D490,原始分!$D:$N,6,0)</f>
        <v>63.5</v>
      </c>
      <c r="M490" s="174">
        <f t="shared" si="97"/>
        <v>138</v>
      </c>
      <c r="N490" s="174">
        <f>VLOOKUP(D490,原始分!$D:$N,7,0)</f>
        <v>0</v>
      </c>
      <c r="O490" s="174">
        <f t="shared" si="98"/>
        <v>207</v>
      </c>
      <c r="P490" s="174">
        <f>VLOOKUP(D490,原始分!$D:$N,8,0)</f>
        <v>44</v>
      </c>
      <c r="Q490" s="174">
        <f t="shared" si="99"/>
        <v>227</v>
      </c>
      <c r="R490" s="174">
        <f>VLOOKUP(D490,原始分!$D:$N,9,0)</f>
        <v>0</v>
      </c>
      <c r="S490" s="174">
        <f t="shared" si="100"/>
        <v>320</v>
      </c>
      <c r="T490" s="174">
        <f>VLOOKUP(D490,原始分!$D:$N,10,0)</f>
        <v>0</v>
      </c>
      <c r="U490" s="174">
        <f t="shared" si="101"/>
        <v>316</v>
      </c>
      <c r="V490" s="174">
        <f>VLOOKUP(D490,原始分!$D:$N,11,0)</f>
        <v>57</v>
      </c>
      <c r="W490" s="174">
        <f t="shared" si="102"/>
        <v>139</v>
      </c>
      <c r="X490" s="11">
        <f t="shared" si="103"/>
        <v>305</v>
      </c>
      <c r="Y490" s="9">
        <f t="shared" si="104"/>
        <v>317</v>
      </c>
      <c r="Z490" s="11">
        <f t="shared" si="105"/>
        <v>469.5</v>
      </c>
      <c r="AA490" s="9">
        <f t="shared" si="106"/>
        <v>179</v>
      </c>
    </row>
    <row r="491" ht="14.25" spans="1:27">
      <c r="A491" s="13">
        <v>489</v>
      </c>
      <c r="B491" s="15">
        <v>10</v>
      </c>
      <c r="C491" s="16">
        <v>50</v>
      </c>
      <c r="D491" s="17" t="s">
        <v>988</v>
      </c>
      <c r="E491" s="17" t="s">
        <v>989</v>
      </c>
      <c r="F491" s="174">
        <f>VLOOKUP(D491,原始分!$D:$N,3,0)</f>
        <v>107</v>
      </c>
      <c r="G491" s="174">
        <f t="shared" si="94"/>
        <v>113</v>
      </c>
      <c r="H491" s="174">
        <f>VLOOKUP(D491,原始分!$D:$N,4,0)</f>
        <v>119.5</v>
      </c>
      <c r="I491" s="174">
        <f t="shared" si="95"/>
        <v>70</v>
      </c>
      <c r="J491" s="174">
        <f>VLOOKUP(D491,原始分!$D:$N,5,0)</f>
        <v>100.5</v>
      </c>
      <c r="K491" s="174">
        <f t="shared" si="96"/>
        <v>357</v>
      </c>
      <c r="L491" s="174">
        <f>VLOOKUP(D491,原始分!$D:$N,6,0)</f>
        <v>63</v>
      </c>
      <c r="M491" s="174">
        <f t="shared" si="97"/>
        <v>147</v>
      </c>
      <c r="N491" s="174">
        <f>VLOOKUP(D491,原始分!$D:$N,7,0)</f>
        <v>0</v>
      </c>
      <c r="O491" s="174">
        <f t="shared" si="98"/>
        <v>207</v>
      </c>
      <c r="P491" s="174">
        <f>VLOOKUP(D491,原始分!$D:$N,8,0)</f>
        <v>69.5</v>
      </c>
      <c r="Q491" s="174">
        <f t="shared" si="99"/>
        <v>5</v>
      </c>
      <c r="R491" s="174">
        <f>VLOOKUP(D491,原始分!$D:$N,9,0)</f>
        <v>0</v>
      </c>
      <c r="S491" s="174">
        <f t="shared" si="100"/>
        <v>320</v>
      </c>
      <c r="T491" s="174">
        <f>VLOOKUP(D491,原始分!$D:$N,10,0)</f>
        <v>0</v>
      </c>
      <c r="U491" s="174">
        <f t="shared" si="101"/>
        <v>316</v>
      </c>
      <c r="V491" s="174">
        <f>VLOOKUP(D491,原始分!$D:$N,11,0)</f>
        <v>55</v>
      </c>
      <c r="W491" s="174">
        <f t="shared" si="102"/>
        <v>181</v>
      </c>
      <c r="X491" s="11">
        <f t="shared" si="103"/>
        <v>327</v>
      </c>
      <c r="Y491" s="9">
        <f t="shared" si="104"/>
        <v>104</v>
      </c>
      <c r="Z491" s="11">
        <f t="shared" si="105"/>
        <v>514.5</v>
      </c>
      <c r="AA491" s="9">
        <f t="shared" si="106"/>
        <v>45</v>
      </c>
    </row>
    <row r="492" ht="14.25" spans="1:27">
      <c r="A492" s="13">
        <v>490</v>
      </c>
      <c r="B492" s="15">
        <v>10</v>
      </c>
      <c r="C492" s="16">
        <v>51</v>
      </c>
      <c r="D492" s="17" t="s">
        <v>990</v>
      </c>
      <c r="E492" s="17" t="s">
        <v>991</v>
      </c>
      <c r="F492" s="174">
        <f>VLOOKUP(D492,原始分!$D:$N,3,0)</f>
        <v>106</v>
      </c>
      <c r="G492" s="174">
        <f t="shared" si="94"/>
        <v>145</v>
      </c>
      <c r="H492" s="174">
        <f>VLOOKUP(D492,原始分!$D:$N,4,0)</f>
        <v>112</v>
      </c>
      <c r="I492" s="174">
        <f t="shared" si="95"/>
        <v>180</v>
      </c>
      <c r="J492" s="174">
        <f>VLOOKUP(D492,原始分!$D:$N,5,0)</f>
        <v>112.5</v>
      </c>
      <c r="K492" s="174">
        <f t="shared" si="96"/>
        <v>140</v>
      </c>
      <c r="L492" s="174">
        <f>VLOOKUP(D492,原始分!$D:$N,6,0)</f>
        <v>63.5</v>
      </c>
      <c r="M492" s="174">
        <f t="shared" si="97"/>
        <v>138</v>
      </c>
      <c r="N492" s="174">
        <f>VLOOKUP(D492,原始分!$D:$N,7,0)</f>
        <v>0</v>
      </c>
      <c r="O492" s="174">
        <f t="shared" si="98"/>
        <v>207</v>
      </c>
      <c r="P492" s="174">
        <f>VLOOKUP(D492,原始分!$D:$N,8,0)</f>
        <v>45.5</v>
      </c>
      <c r="Q492" s="174">
        <f t="shared" si="99"/>
        <v>203</v>
      </c>
      <c r="R492" s="174">
        <f>VLOOKUP(D492,原始分!$D:$N,9,0)</f>
        <v>0</v>
      </c>
      <c r="S492" s="174">
        <f t="shared" si="100"/>
        <v>320</v>
      </c>
      <c r="T492" s="174">
        <f>VLOOKUP(D492,原始分!$D:$N,10,0)</f>
        <v>0</v>
      </c>
      <c r="U492" s="174">
        <f t="shared" si="101"/>
        <v>316</v>
      </c>
      <c r="V492" s="174">
        <f>VLOOKUP(D492,原始分!$D:$N,11,0)</f>
        <v>54</v>
      </c>
      <c r="W492" s="174">
        <f t="shared" si="102"/>
        <v>199</v>
      </c>
      <c r="X492" s="11">
        <f t="shared" si="103"/>
        <v>330.5</v>
      </c>
      <c r="Y492" s="9">
        <f t="shared" si="104"/>
        <v>87</v>
      </c>
      <c r="Z492" s="11">
        <f t="shared" si="105"/>
        <v>493.5</v>
      </c>
      <c r="AA492" s="9">
        <f t="shared" si="106"/>
        <v>94</v>
      </c>
    </row>
    <row r="493" ht="14.25" spans="1:27">
      <c r="A493" s="13">
        <v>491</v>
      </c>
      <c r="B493" s="15">
        <v>10</v>
      </c>
      <c r="C493" s="16">
        <v>52</v>
      </c>
      <c r="D493" s="17" t="s">
        <v>992</v>
      </c>
      <c r="E493" s="17" t="s">
        <v>993</v>
      </c>
      <c r="F493" s="174">
        <f>VLOOKUP(D493,原始分!$D:$N,3,0)</f>
        <v>98.5</v>
      </c>
      <c r="G493" s="174">
        <f t="shared" si="94"/>
        <v>469</v>
      </c>
      <c r="H493" s="174">
        <f>VLOOKUP(D493,原始分!$D:$N,4,0)</f>
        <v>105</v>
      </c>
      <c r="I493" s="174">
        <f t="shared" si="95"/>
        <v>317</v>
      </c>
      <c r="J493" s="174">
        <f>VLOOKUP(D493,原始分!$D:$N,5,0)</f>
        <v>96.75</v>
      </c>
      <c r="K493" s="174">
        <f t="shared" si="96"/>
        <v>449</v>
      </c>
      <c r="L493" s="174">
        <f>VLOOKUP(D493,原始分!$D:$N,6,0)</f>
        <v>72.5</v>
      </c>
      <c r="M493" s="174">
        <f t="shared" si="97"/>
        <v>52</v>
      </c>
      <c r="N493" s="174">
        <f>VLOOKUP(D493,原始分!$D:$N,7,0)</f>
        <v>0</v>
      </c>
      <c r="O493" s="174">
        <f t="shared" si="98"/>
        <v>207</v>
      </c>
      <c r="P493" s="174">
        <f>VLOOKUP(D493,原始分!$D:$N,8,0)</f>
        <v>46</v>
      </c>
      <c r="Q493" s="174">
        <f t="shared" si="99"/>
        <v>194</v>
      </c>
      <c r="R493" s="174">
        <f>VLOOKUP(D493,原始分!$D:$N,9,0)</f>
        <v>0</v>
      </c>
      <c r="S493" s="174">
        <f t="shared" si="100"/>
        <v>320</v>
      </c>
      <c r="T493" s="174">
        <f>VLOOKUP(D493,原始分!$D:$N,10,0)</f>
        <v>0</v>
      </c>
      <c r="U493" s="174">
        <f t="shared" si="101"/>
        <v>316</v>
      </c>
      <c r="V493" s="174">
        <f>VLOOKUP(D493,原始分!$D:$N,11,0)</f>
        <v>52</v>
      </c>
      <c r="W493" s="174">
        <f t="shared" si="102"/>
        <v>248</v>
      </c>
      <c r="X493" s="11">
        <f t="shared" si="103"/>
        <v>300.25</v>
      </c>
      <c r="Y493" s="9">
        <f t="shared" si="104"/>
        <v>371</v>
      </c>
      <c r="Z493" s="11">
        <f t="shared" si="105"/>
        <v>470.75</v>
      </c>
      <c r="AA493" s="9">
        <f t="shared" si="106"/>
        <v>171</v>
      </c>
    </row>
    <row r="494" ht="14.25" spans="1:27">
      <c r="A494" s="13">
        <v>492</v>
      </c>
      <c r="B494" s="15">
        <v>10</v>
      </c>
      <c r="C494" s="16">
        <v>53</v>
      </c>
      <c r="D494" s="17" t="s">
        <v>994</v>
      </c>
      <c r="E494" s="17" t="s">
        <v>995</v>
      </c>
      <c r="F494" s="174">
        <f>VLOOKUP(D494,原始分!$D:$N,3,0)</f>
        <v>102.5</v>
      </c>
      <c r="G494" s="174">
        <f t="shared" si="94"/>
        <v>279</v>
      </c>
      <c r="H494" s="174">
        <f>VLOOKUP(D494,原始分!$D:$N,4,0)</f>
        <v>116.5</v>
      </c>
      <c r="I494" s="174">
        <f t="shared" si="95"/>
        <v>106</v>
      </c>
      <c r="J494" s="174">
        <f>VLOOKUP(D494,原始分!$D:$N,5,0)</f>
        <v>114.75</v>
      </c>
      <c r="K494" s="174">
        <f t="shared" si="96"/>
        <v>105</v>
      </c>
      <c r="L494" s="174">
        <f>VLOOKUP(D494,原始分!$D:$N,6,0)</f>
        <v>83</v>
      </c>
      <c r="M494" s="174">
        <f t="shared" si="97"/>
        <v>6</v>
      </c>
      <c r="N494" s="174">
        <f>VLOOKUP(D494,原始分!$D:$N,7,0)</f>
        <v>0</v>
      </c>
      <c r="O494" s="174">
        <f t="shared" si="98"/>
        <v>207</v>
      </c>
      <c r="P494" s="174">
        <f>VLOOKUP(D494,原始分!$D:$N,8,0)</f>
        <v>57</v>
      </c>
      <c r="Q494" s="174">
        <f t="shared" si="99"/>
        <v>39</v>
      </c>
      <c r="R494" s="174">
        <f>VLOOKUP(D494,原始分!$D:$N,9,0)</f>
        <v>0</v>
      </c>
      <c r="S494" s="174">
        <f t="shared" si="100"/>
        <v>320</v>
      </c>
      <c r="T494" s="174">
        <f>VLOOKUP(D494,原始分!$D:$N,10,0)</f>
        <v>0</v>
      </c>
      <c r="U494" s="174">
        <f t="shared" si="101"/>
        <v>316</v>
      </c>
      <c r="V494" s="174">
        <f>VLOOKUP(D494,原始分!$D:$N,11,0)</f>
        <v>73</v>
      </c>
      <c r="W494" s="174">
        <f t="shared" si="102"/>
        <v>10</v>
      </c>
      <c r="X494" s="11">
        <f t="shared" si="103"/>
        <v>333.75</v>
      </c>
      <c r="Y494" s="9">
        <f t="shared" si="104"/>
        <v>74</v>
      </c>
      <c r="Z494" s="11">
        <f t="shared" si="105"/>
        <v>546.75</v>
      </c>
      <c r="AA494" s="9">
        <f t="shared" si="106"/>
        <v>13</v>
      </c>
    </row>
    <row r="495" ht="14.25" spans="1:27">
      <c r="A495" s="13">
        <v>493</v>
      </c>
      <c r="B495" s="15">
        <v>10</v>
      </c>
      <c r="C495" s="16">
        <v>54</v>
      </c>
      <c r="D495" s="17" t="s">
        <v>996</v>
      </c>
      <c r="E495" s="17" t="s">
        <v>997</v>
      </c>
      <c r="F495" s="174">
        <f>VLOOKUP(D495,原始分!$D:$N,3,0)</f>
        <v>108.5</v>
      </c>
      <c r="G495" s="174">
        <f t="shared" si="94"/>
        <v>70</v>
      </c>
      <c r="H495" s="174">
        <f>VLOOKUP(D495,原始分!$D:$N,4,0)</f>
        <v>121.5</v>
      </c>
      <c r="I495" s="174">
        <f t="shared" si="95"/>
        <v>54</v>
      </c>
      <c r="J495" s="174">
        <f>VLOOKUP(D495,原始分!$D:$N,5,0)</f>
        <v>121.75</v>
      </c>
      <c r="K495" s="174">
        <f t="shared" si="96"/>
        <v>29</v>
      </c>
      <c r="L495" s="174">
        <f>VLOOKUP(D495,原始分!$D:$N,6,0)</f>
        <v>84.5</v>
      </c>
      <c r="M495" s="174">
        <f t="shared" si="97"/>
        <v>3</v>
      </c>
      <c r="N495" s="174">
        <f>VLOOKUP(D495,原始分!$D:$N,7,0)</f>
        <v>0</v>
      </c>
      <c r="O495" s="174">
        <f t="shared" si="98"/>
        <v>207</v>
      </c>
      <c r="P495" s="174">
        <f>VLOOKUP(D495,原始分!$D:$N,8,0)</f>
        <v>57</v>
      </c>
      <c r="Q495" s="174">
        <f t="shared" si="99"/>
        <v>39</v>
      </c>
      <c r="R495" s="174">
        <f>VLOOKUP(D495,原始分!$D:$N,9,0)</f>
        <v>0</v>
      </c>
      <c r="S495" s="174">
        <f t="shared" si="100"/>
        <v>320</v>
      </c>
      <c r="T495" s="174">
        <f>VLOOKUP(D495,原始分!$D:$N,10,0)</f>
        <v>0</v>
      </c>
      <c r="U495" s="174">
        <f t="shared" si="101"/>
        <v>316</v>
      </c>
      <c r="V495" s="174">
        <f>VLOOKUP(D495,原始分!$D:$N,11,0)</f>
        <v>59</v>
      </c>
      <c r="W495" s="174">
        <f t="shared" si="102"/>
        <v>107</v>
      </c>
      <c r="X495" s="11">
        <f t="shared" si="103"/>
        <v>351.75</v>
      </c>
      <c r="Y495" s="9">
        <f t="shared" si="104"/>
        <v>13</v>
      </c>
      <c r="Z495" s="11">
        <f t="shared" si="105"/>
        <v>552.25</v>
      </c>
      <c r="AA495" s="9">
        <f t="shared" si="106"/>
        <v>10</v>
      </c>
    </row>
    <row r="496" ht="14.25" spans="1:27">
      <c r="A496" s="13">
        <v>494</v>
      </c>
      <c r="B496" s="15">
        <v>10</v>
      </c>
      <c r="C496" s="16">
        <v>55</v>
      </c>
      <c r="D496" s="17" t="s">
        <v>998</v>
      </c>
      <c r="E496" s="17" t="s">
        <v>999</v>
      </c>
      <c r="F496" s="174">
        <f>VLOOKUP(D496,原始分!$D:$N,3,0)</f>
        <v>108.75</v>
      </c>
      <c r="G496" s="174">
        <f t="shared" si="94"/>
        <v>69</v>
      </c>
      <c r="H496" s="174">
        <f>VLOOKUP(D496,原始分!$D:$N,4,0)</f>
        <v>98.5</v>
      </c>
      <c r="I496" s="174">
        <f t="shared" si="95"/>
        <v>442</v>
      </c>
      <c r="J496" s="174">
        <f>VLOOKUP(D496,原始分!$D:$N,5,0)</f>
        <v>117.25</v>
      </c>
      <c r="K496" s="174">
        <f t="shared" si="96"/>
        <v>75</v>
      </c>
      <c r="L496" s="174">
        <f>VLOOKUP(D496,原始分!$D:$N,6,0)</f>
        <v>55</v>
      </c>
      <c r="M496" s="174">
        <f t="shared" si="97"/>
        <v>269</v>
      </c>
      <c r="N496" s="174">
        <f>VLOOKUP(D496,原始分!$D:$N,7,0)</f>
        <v>0</v>
      </c>
      <c r="O496" s="174">
        <f t="shared" si="98"/>
        <v>207</v>
      </c>
      <c r="P496" s="174">
        <f>VLOOKUP(D496,原始分!$D:$N,8,0)</f>
        <v>53</v>
      </c>
      <c r="Q496" s="174">
        <f t="shared" si="99"/>
        <v>69</v>
      </c>
      <c r="R496" s="174">
        <f>VLOOKUP(D496,原始分!$D:$N,9,0)</f>
        <v>0</v>
      </c>
      <c r="S496" s="174">
        <f t="shared" si="100"/>
        <v>320</v>
      </c>
      <c r="T496" s="174">
        <f>VLOOKUP(D496,原始分!$D:$N,10,0)</f>
        <v>0</v>
      </c>
      <c r="U496" s="174">
        <f t="shared" si="101"/>
        <v>316</v>
      </c>
      <c r="V496" s="174">
        <f>VLOOKUP(D496,原始分!$D:$N,11,0)</f>
        <v>55.5</v>
      </c>
      <c r="W496" s="174">
        <f t="shared" si="102"/>
        <v>170</v>
      </c>
      <c r="X496" s="11">
        <f t="shared" si="103"/>
        <v>324.5</v>
      </c>
      <c r="Y496" s="9">
        <f t="shared" si="104"/>
        <v>127</v>
      </c>
      <c r="Z496" s="11">
        <f t="shared" si="105"/>
        <v>488</v>
      </c>
      <c r="AA496" s="9">
        <f t="shared" si="106"/>
        <v>108</v>
      </c>
    </row>
    <row r="497" ht="14.25" spans="1:27">
      <c r="A497" s="13">
        <v>495</v>
      </c>
      <c r="B497" s="15">
        <v>10</v>
      </c>
      <c r="C497" s="16">
        <v>56</v>
      </c>
      <c r="D497" s="17" t="s">
        <v>1000</v>
      </c>
      <c r="E497" s="17" t="s">
        <v>1001</v>
      </c>
      <c r="F497" s="174">
        <f>VLOOKUP(D497,原始分!$D:$N,3,0)</f>
        <v>99</v>
      </c>
      <c r="G497" s="174">
        <f t="shared" si="94"/>
        <v>442</v>
      </c>
      <c r="H497" s="174">
        <f>VLOOKUP(D497,原始分!$D:$N,4,0)</f>
        <v>136</v>
      </c>
      <c r="I497" s="174">
        <f t="shared" si="95"/>
        <v>3</v>
      </c>
      <c r="J497" s="174">
        <f>VLOOKUP(D497,原始分!$D:$N,5,0)</f>
        <v>107</v>
      </c>
      <c r="K497" s="174">
        <f t="shared" si="96"/>
        <v>228</v>
      </c>
      <c r="L497" s="174">
        <f>VLOOKUP(D497,原始分!$D:$N,6,0)</f>
        <v>89</v>
      </c>
      <c r="M497" s="174">
        <f t="shared" si="97"/>
        <v>1</v>
      </c>
      <c r="N497" s="174">
        <f>VLOOKUP(D497,原始分!$D:$N,7,0)</f>
        <v>0</v>
      </c>
      <c r="O497" s="174">
        <f t="shared" si="98"/>
        <v>207</v>
      </c>
      <c r="P497" s="174">
        <f>VLOOKUP(D497,原始分!$D:$N,8,0)</f>
        <v>61</v>
      </c>
      <c r="Q497" s="174">
        <f t="shared" si="99"/>
        <v>21</v>
      </c>
      <c r="R497" s="174">
        <f>VLOOKUP(D497,原始分!$D:$N,9,0)</f>
        <v>0</v>
      </c>
      <c r="S497" s="174">
        <f t="shared" si="100"/>
        <v>320</v>
      </c>
      <c r="T497" s="174">
        <f>VLOOKUP(D497,原始分!$D:$N,10,0)</f>
        <v>0</v>
      </c>
      <c r="U497" s="174">
        <f t="shared" si="101"/>
        <v>316</v>
      </c>
      <c r="V497" s="174">
        <f>VLOOKUP(D497,原始分!$D:$N,11,0)</f>
        <v>60</v>
      </c>
      <c r="W497" s="174">
        <f t="shared" si="102"/>
        <v>91</v>
      </c>
      <c r="X497" s="11">
        <f t="shared" si="103"/>
        <v>342</v>
      </c>
      <c r="Y497" s="9">
        <f t="shared" si="104"/>
        <v>36</v>
      </c>
      <c r="Z497" s="11">
        <f t="shared" si="105"/>
        <v>552</v>
      </c>
      <c r="AA497" s="9">
        <f t="shared" si="106"/>
        <v>11</v>
      </c>
    </row>
    <row r="498" ht="14.25" spans="1:27">
      <c r="A498" s="13">
        <v>496</v>
      </c>
      <c r="B498" s="15">
        <v>10</v>
      </c>
      <c r="C498" s="16">
        <v>57</v>
      </c>
      <c r="D498" s="17" t="s">
        <v>1002</v>
      </c>
      <c r="E498" s="17" t="s">
        <v>1003</v>
      </c>
      <c r="F498" s="174">
        <f>VLOOKUP(D498,原始分!$D:$N,3,0)</f>
        <v>98.25</v>
      </c>
      <c r="G498" s="174">
        <f t="shared" si="94"/>
        <v>493</v>
      </c>
      <c r="H498" s="174">
        <f>VLOOKUP(D498,原始分!$D:$N,4,0)</f>
        <v>118.5</v>
      </c>
      <c r="I498" s="174">
        <f t="shared" si="95"/>
        <v>84</v>
      </c>
      <c r="J498" s="174">
        <f>VLOOKUP(D498,原始分!$D:$N,5,0)</f>
        <v>110</v>
      </c>
      <c r="K498" s="174">
        <f t="shared" si="96"/>
        <v>173</v>
      </c>
      <c r="L498" s="174">
        <f>VLOOKUP(D498,原始分!$D:$N,6,0)</f>
        <v>63</v>
      </c>
      <c r="M498" s="174">
        <f t="shared" si="97"/>
        <v>147</v>
      </c>
      <c r="N498" s="174">
        <f>VLOOKUP(D498,原始分!$D:$N,7,0)</f>
        <v>0</v>
      </c>
      <c r="O498" s="174">
        <f t="shared" si="98"/>
        <v>207</v>
      </c>
      <c r="P498" s="174">
        <f>VLOOKUP(D498,原始分!$D:$N,8,0)</f>
        <v>50.5</v>
      </c>
      <c r="Q498" s="174">
        <f t="shared" si="99"/>
        <v>101</v>
      </c>
      <c r="R498" s="174">
        <f>VLOOKUP(D498,原始分!$D:$N,9,0)</f>
        <v>0</v>
      </c>
      <c r="S498" s="174">
        <f t="shared" si="100"/>
        <v>320</v>
      </c>
      <c r="T498" s="174">
        <f>VLOOKUP(D498,原始分!$D:$N,10,0)</f>
        <v>0</v>
      </c>
      <c r="U498" s="174">
        <f t="shared" si="101"/>
        <v>316</v>
      </c>
      <c r="V498" s="174">
        <f>VLOOKUP(D498,原始分!$D:$N,11,0)</f>
        <v>64</v>
      </c>
      <c r="W498" s="174">
        <f t="shared" si="102"/>
        <v>50</v>
      </c>
      <c r="X498" s="11">
        <f t="shared" si="103"/>
        <v>326.75</v>
      </c>
      <c r="Y498" s="9">
        <f t="shared" si="104"/>
        <v>106</v>
      </c>
      <c r="Z498" s="11">
        <f t="shared" si="105"/>
        <v>504.25</v>
      </c>
      <c r="AA498" s="9">
        <f t="shared" si="106"/>
        <v>68</v>
      </c>
    </row>
    <row r="499" ht="14.25" spans="1:27">
      <c r="A499" s="13">
        <v>497</v>
      </c>
      <c r="B499" s="15">
        <v>11</v>
      </c>
      <c r="C499" s="16">
        <v>1</v>
      </c>
      <c r="D499" s="17" t="s">
        <v>1004</v>
      </c>
      <c r="E499" s="17" t="s">
        <v>1005</v>
      </c>
      <c r="F499" s="174">
        <f>VLOOKUP(D499,原始分!$D:$N,3,0)</f>
        <v>93</v>
      </c>
      <c r="G499" s="174">
        <f t="shared" si="94"/>
        <v>693</v>
      </c>
      <c r="H499" s="174">
        <f>VLOOKUP(D499,原始分!$D:$N,4,0)</f>
        <v>110</v>
      </c>
      <c r="I499" s="174">
        <f t="shared" si="95"/>
        <v>223</v>
      </c>
      <c r="J499" s="174">
        <f>VLOOKUP(D499,原始分!$D:$N,5,0)</f>
        <v>105.75</v>
      </c>
      <c r="K499" s="174">
        <f t="shared" si="96"/>
        <v>251</v>
      </c>
      <c r="L499" s="174">
        <f>VLOOKUP(D499,原始分!$D:$N,6,0)</f>
        <v>58.5</v>
      </c>
      <c r="M499" s="174">
        <f t="shared" si="97"/>
        <v>209</v>
      </c>
      <c r="N499" s="174">
        <f>VLOOKUP(D499,原始分!$D:$N,7,0)</f>
        <v>0</v>
      </c>
      <c r="O499" s="174">
        <f t="shared" si="98"/>
        <v>207</v>
      </c>
      <c r="P499" s="174">
        <f>VLOOKUP(D499,原始分!$D:$N,8,0)</f>
        <v>49</v>
      </c>
      <c r="Q499" s="174">
        <f t="shared" si="99"/>
        <v>132</v>
      </c>
      <c r="R499" s="174">
        <f>VLOOKUP(D499,原始分!$D:$N,9,0)</f>
        <v>0</v>
      </c>
      <c r="S499" s="174">
        <f t="shared" si="100"/>
        <v>320</v>
      </c>
      <c r="T499" s="174">
        <f>VLOOKUP(D499,原始分!$D:$N,10,0)</f>
        <v>0</v>
      </c>
      <c r="U499" s="174">
        <f t="shared" si="101"/>
        <v>316</v>
      </c>
      <c r="V499" s="174">
        <f>VLOOKUP(D499,原始分!$D:$N,11,0)</f>
        <v>56</v>
      </c>
      <c r="W499" s="174">
        <f t="shared" si="102"/>
        <v>160</v>
      </c>
      <c r="X499" s="11">
        <f t="shared" si="103"/>
        <v>308.75</v>
      </c>
      <c r="Y499" s="9">
        <f t="shared" si="104"/>
        <v>279</v>
      </c>
      <c r="Z499" s="11">
        <f t="shared" si="105"/>
        <v>472.25</v>
      </c>
      <c r="AA499" s="9">
        <f t="shared" si="106"/>
        <v>167</v>
      </c>
    </row>
    <row r="500" ht="14.25" spans="1:27">
      <c r="A500" s="13">
        <v>498</v>
      </c>
      <c r="B500" s="15">
        <v>11</v>
      </c>
      <c r="C500" s="16">
        <v>2</v>
      </c>
      <c r="D500" s="17" t="s">
        <v>1006</v>
      </c>
      <c r="E500" s="17" t="s">
        <v>1007</v>
      </c>
      <c r="F500" s="174">
        <f>VLOOKUP(D500,原始分!$D:$N,3,0)</f>
        <v>103.5</v>
      </c>
      <c r="G500" s="174">
        <f t="shared" si="94"/>
        <v>230</v>
      </c>
      <c r="H500" s="174">
        <f>VLOOKUP(D500,原始分!$D:$N,4,0)</f>
        <v>105.5</v>
      </c>
      <c r="I500" s="174">
        <f t="shared" si="95"/>
        <v>311</v>
      </c>
      <c r="J500" s="174">
        <f>VLOOKUP(D500,原始分!$D:$N,5,0)</f>
        <v>92.5</v>
      </c>
      <c r="K500" s="174">
        <f t="shared" si="96"/>
        <v>539</v>
      </c>
      <c r="L500" s="174">
        <f>VLOOKUP(D500,原始分!$D:$N,6,0)</f>
        <v>37.5</v>
      </c>
      <c r="M500" s="174">
        <f t="shared" si="97"/>
        <v>543</v>
      </c>
      <c r="N500" s="174">
        <f>VLOOKUP(D500,原始分!$D:$N,7,0)</f>
        <v>0</v>
      </c>
      <c r="O500" s="174">
        <f t="shared" si="98"/>
        <v>207</v>
      </c>
      <c r="P500" s="174">
        <f>VLOOKUP(D500,原始分!$D:$N,8,0)</f>
        <v>44</v>
      </c>
      <c r="Q500" s="174">
        <f t="shared" si="99"/>
        <v>227</v>
      </c>
      <c r="R500" s="174">
        <f>VLOOKUP(D500,原始分!$D:$N,9,0)</f>
        <v>0</v>
      </c>
      <c r="S500" s="174">
        <f t="shared" si="100"/>
        <v>320</v>
      </c>
      <c r="T500" s="174">
        <f>VLOOKUP(D500,原始分!$D:$N,10,0)</f>
        <v>0</v>
      </c>
      <c r="U500" s="174">
        <f t="shared" si="101"/>
        <v>316</v>
      </c>
      <c r="V500" s="174">
        <f>VLOOKUP(D500,原始分!$D:$N,11,0)</f>
        <v>48</v>
      </c>
      <c r="W500" s="174">
        <f t="shared" si="102"/>
        <v>341</v>
      </c>
      <c r="X500" s="11">
        <f t="shared" si="103"/>
        <v>301.5</v>
      </c>
      <c r="Y500" s="9">
        <f t="shared" si="104"/>
        <v>357</v>
      </c>
      <c r="Z500" s="11">
        <f t="shared" si="105"/>
        <v>431</v>
      </c>
      <c r="AA500" s="9">
        <f t="shared" si="106"/>
        <v>376</v>
      </c>
    </row>
    <row r="501" ht="14.25" spans="1:27">
      <c r="A501" s="13">
        <v>499</v>
      </c>
      <c r="B501" s="15">
        <v>11</v>
      </c>
      <c r="C501" s="16">
        <v>3</v>
      </c>
      <c r="D501" s="17" t="s">
        <v>1008</v>
      </c>
      <c r="E501" s="17" t="s">
        <v>1009</v>
      </c>
      <c r="F501" s="174">
        <f>VLOOKUP(D501,原始分!$D:$N,3,0)</f>
        <v>90.5</v>
      </c>
      <c r="G501" s="174">
        <f t="shared" si="94"/>
        <v>765</v>
      </c>
      <c r="H501" s="174">
        <f>VLOOKUP(D501,原始分!$D:$N,4,0)</f>
        <v>81.5</v>
      </c>
      <c r="I501" s="174">
        <f t="shared" si="95"/>
        <v>744</v>
      </c>
      <c r="J501" s="174">
        <f>VLOOKUP(D501,原始分!$D:$N,5,0)</f>
        <v>77.5</v>
      </c>
      <c r="K501" s="174">
        <f t="shared" si="96"/>
        <v>769</v>
      </c>
      <c r="L501" s="174">
        <f>VLOOKUP(D501,原始分!$D:$N,6,0)</f>
        <v>32</v>
      </c>
      <c r="M501" s="174">
        <f t="shared" si="97"/>
        <v>603</v>
      </c>
      <c r="N501" s="174">
        <f>VLOOKUP(D501,原始分!$D:$N,7,0)</f>
        <v>0</v>
      </c>
      <c r="O501" s="174">
        <f t="shared" si="98"/>
        <v>207</v>
      </c>
      <c r="P501" s="174">
        <f>VLOOKUP(D501,原始分!$D:$N,8,0)</f>
        <v>48.5</v>
      </c>
      <c r="Q501" s="174">
        <f t="shared" si="99"/>
        <v>139</v>
      </c>
      <c r="R501" s="174">
        <f>VLOOKUP(D501,原始分!$D:$N,9,0)</f>
        <v>0</v>
      </c>
      <c r="S501" s="174">
        <f t="shared" si="100"/>
        <v>320</v>
      </c>
      <c r="T501" s="174">
        <f>VLOOKUP(D501,原始分!$D:$N,10,0)</f>
        <v>0</v>
      </c>
      <c r="U501" s="174">
        <f t="shared" si="101"/>
        <v>316</v>
      </c>
      <c r="V501" s="174">
        <f>VLOOKUP(D501,原始分!$D:$N,11,0)</f>
        <v>51</v>
      </c>
      <c r="W501" s="174">
        <f t="shared" si="102"/>
        <v>278</v>
      </c>
      <c r="X501" s="11">
        <f t="shared" si="103"/>
        <v>249.5</v>
      </c>
      <c r="Y501" s="9">
        <f t="shared" si="104"/>
        <v>805</v>
      </c>
      <c r="Z501" s="11">
        <f t="shared" si="105"/>
        <v>381</v>
      </c>
      <c r="AA501" s="9">
        <f t="shared" si="106"/>
        <v>572</v>
      </c>
    </row>
    <row r="502" ht="14.25" spans="1:27">
      <c r="A502" s="13">
        <v>500</v>
      </c>
      <c r="B502" s="15">
        <v>11</v>
      </c>
      <c r="C502" s="16">
        <v>4</v>
      </c>
      <c r="D502" s="17" t="s">
        <v>1010</v>
      </c>
      <c r="E502" s="17" t="s">
        <v>1011</v>
      </c>
      <c r="F502" s="174">
        <f>VLOOKUP(D502,原始分!$D:$N,3,0)</f>
        <v>99.5</v>
      </c>
      <c r="G502" s="174">
        <f t="shared" si="94"/>
        <v>418</v>
      </c>
      <c r="H502" s="174">
        <f>VLOOKUP(D502,原始分!$D:$N,4,0)</f>
        <v>83.5</v>
      </c>
      <c r="I502" s="174">
        <f t="shared" si="95"/>
        <v>721</v>
      </c>
      <c r="J502" s="174">
        <f>VLOOKUP(D502,原始分!$D:$N,5,0)</f>
        <v>86</v>
      </c>
      <c r="K502" s="174">
        <f t="shared" si="96"/>
        <v>649</v>
      </c>
      <c r="L502" s="174">
        <f>VLOOKUP(D502,原始分!$D:$N,6,0)</f>
        <v>47</v>
      </c>
      <c r="M502" s="174">
        <f t="shared" si="97"/>
        <v>391</v>
      </c>
      <c r="N502" s="174">
        <f>VLOOKUP(D502,原始分!$D:$N,7,0)</f>
        <v>0</v>
      </c>
      <c r="O502" s="174">
        <f t="shared" si="98"/>
        <v>207</v>
      </c>
      <c r="P502" s="174">
        <f>VLOOKUP(D502,原始分!$D:$N,8,0)</f>
        <v>52.5</v>
      </c>
      <c r="Q502" s="174">
        <f t="shared" si="99"/>
        <v>81</v>
      </c>
      <c r="R502" s="174">
        <f>VLOOKUP(D502,原始分!$D:$N,9,0)</f>
        <v>0</v>
      </c>
      <c r="S502" s="174">
        <f t="shared" si="100"/>
        <v>320</v>
      </c>
      <c r="T502" s="174">
        <f>VLOOKUP(D502,原始分!$D:$N,10,0)</f>
        <v>0</v>
      </c>
      <c r="U502" s="174">
        <f t="shared" si="101"/>
        <v>316</v>
      </c>
      <c r="V502" s="174">
        <f>VLOOKUP(D502,原始分!$D:$N,11,0)</f>
        <v>40</v>
      </c>
      <c r="W502" s="174">
        <f t="shared" si="102"/>
        <v>496</v>
      </c>
      <c r="X502" s="11">
        <f t="shared" si="103"/>
        <v>269</v>
      </c>
      <c r="Y502" s="9">
        <f t="shared" si="104"/>
        <v>714</v>
      </c>
      <c r="Z502" s="11">
        <f t="shared" si="105"/>
        <v>408.5</v>
      </c>
      <c r="AA502" s="9">
        <f t="shared" si="106"/>
        <v>478</v>
      </c>
    </row>
    <row r="503" ht="14.25" spans="1:27">
      <c r="A503" s="13">
        <v>501</v>
      </c>
      <c r="B503" s="15">
        <v>11</v>
      </c>
      <c r="C503" s="16">
        <v>5</v>
      </c>
      <c r="D503" s="17" t="s">
        <v>1012</v>
      </c>
      <c r="E503" s="17" t="s">
        <v>1013</v>
      </c>
      <c r="F503" s="174">
        <f>VLOOKUP(D503,原始分!$D:$N,3,0)</f>
        <v>90</v>
      </c>
      <c r="G503" s="174">
        <f t="shared" si="94"/>
        <v>778</v>
      </c>
      <c r="H503" s="174">
        <f>VLOOKUP(D503,原始分!$D:$N,4,0)</f>
        <v>75</v>
      </c>
      <c r="I503" s="174">
        <f t="shared" si="95"/>
        <v>785</v>
      </c>
      <c r="J503" s="174">
        <f>VLOOKUP(D503,原始分!$D:$N,5,0)</f>
        <v>76.5</v>
      </c>
      <c r="K503" s="174">
        <f t="shared" si="96"/>
        <v>779</v>
      </c>
      <c r="L503" s="174">
        <f>VLOOKUP(D503,原始分!$D:$N,6,0)</f>
        <v>51.5</v>
      </c>
      <c r="M503" s="174">
        <f t="shared" si="97"/>
        <v>313</v>
      </c>
      <c r="N503" s="174">
        <f>VLOOKUP(D503,原始分!$D:$N,7,0)</f>
        <v>0</v>
      </c>
      <c r="O503" s="174">
        <f t="shared" si="98"/>
        <v>207</v>
      </c>
      <c r="P503" s="174">
        <f>VLOOKUP(D503,原始分!$D:$N,8,0)</f>
        <v>31</v>
      </c>
      <c r="Q503" s="174">
        <f t="shared" si="99"/>
        <v>465</v>
      </c>
      <c r="R503" s="174">
        <f>VLOOKUP(D503,原始分!$D:$N,9,0)</f>
        <v>0</v>
      </c>
      <c r="S503" s="174">
        <f t="shared" si="100"/>
        <v>320</v>
      </c>
      <c r="T503" s="174">
        <f>VLOOKUP(D503,原始分!$D:$N,10,0)</f>
        <v>0</v>
      </c>
      <c r="U503" s="174">
        <f t="shared" si="101"/>
        <v>316</v>
      </c>
      <c r="V503" s="174">
        <f>VLOOKUP(D503,原始分!$D:$N,11,0)</f>
        <v>40</v>
      </c>
      <c r="W503" s="174">
        <f t="shared" si="102"/>
        <v>496</v>
      </c>
      <c r="X503" s="11">
        <f t="shared" si="103"/>
        <v>241.5</v>
      </c>
      <c r="Y503" s="9">
        <f t="shared" si="104"/>
        <v>829</v>
      </c>
      <c r="Z503" s="11">
        <f t="shared" si="105"/>
        <v>364</v>
      </c>
      <c r="AA503" s="9">
        <f t="shared" si="106"/>
        <v>624</v>
      </c>
    </row>
    <row r="504" ht="14.25" spans="1:27">
      <c r="A504" s="13">
        <v>502</v>
      </c>
      <c r="B504" s="15">
        <v>11</v>
      </c>
      <c r="C504" s="16">
        <v>6</v>
      </c>
      <c r="D504" s="17" t="s">
        <v>1014</v>
      </c>
      <c r="E504" s="17" t="s">
        <v>1015</v>
      </c>
      <c r="F504" s="174">
        <f>VLOOKUP(D504,原始分!$D:$N,3,0)</f>
        <v>92.75</v>
      </c>
      <c r="G504" s="174">
        <f t="shared" si="94"/>
        <v>709</v>
      </c>
      <c r="H504" s="174">
        <f>VLOOKUP(D504,原始分!$D:$N,4,0)</f>
        <v>107.5</v>
      </c>
      <c r="I504" s="174">
        <f t="shared" si="95"/>
        <v>267</v>
      </c>
      <c r="J504" s="174">
        <f>VLOOKUP(D504,原始分!$D:$N,5,0)</f>
        <v>83.5</v>
      </c>
      <c r="K504" s="174">
        <f t="shared" si="96"/>
        <v>694</v>
      </c>
      <c r="L504" s="174">
        <f>VLOOKUP(D504,原始分!$D:$N,6,0)</f>
        <v>64.5</v>
      </c>
      <c r="M504" s="174">
        <f t="shared" si="97"/>
        <v>120</v>
      </c>
      <c r="N504" s="174">
        <f>VLOOKUP(D504,原始分!$D:$N,7,0)</f>
        <v>0</v>
      </c>
      <c r="O504" s="174">
        <f t="shared" si="98"/>
        <v>207</v>
      </c>
      <c r="P504" s="174">
        <f>VLOOKUP(D504,原始分!$D:$N,8,0)</f>
        <v>45.5</v>
      </c>
      <c r="Q504" s="174">
        <f t="shared" si="99"/>
        <v>203</v>
      </c>
      <c r="R504" s="174">
        <f>VLOOKUP(D504,原始分!$D:$N,9,0)</f>
        <v>0</v>
      </c>
      <c r="S504" s="174">
        <f t="shared" si="100"/>
        <v>320</v>
      </c>
      <c r="T504" s="174">
        <f>VLOOKUP(D504,原始分!$D:$N,10,0)</f>
        <v>0</v>
      </c>
      <c r="U504" s="174">
        <f t="shared" si="101"/>
        <v>316</v>
      </c>
      <c r="V504" s="174">
        <f>VLOOKUP(D504,原始分!$D:$N,11,0)</f>
        <v>64</v>
      </c>
      <c r="W504" s="174">
        <f t="shared" si="102"/>
        <v>50</v>
      </c>
      <c r="X504" s="11">
        <f t="shared" si="103"/>
        <v>283.75</v>
      </c>
      <c r="Y504" s="9">
        <f t="shared" si="104"/>
        <v>554</v>
      </c>
      <c r="Z504" s="11">
        <f t="shared" si="105"/>
        <v>457.75</v>
      </c>
      <c r="AA504" s="9">
        <f t="shared" si="106"/>
        <v>236</v>
      </c>
    </row>
    <row r="505" ht="14.25" spans="1:27">
      <c r="A505" s="13">
        <v>503</v>
      </c>
      <c r="B505" s="15">
        <v>11</v>
      </c>
      <c r="C505" s="16">
        <v>7</v>
      </c>
      <c r="D505" s="17" t="s">
        <v>1016</v>
      </c>
      <c r="E505" s="17" t="s">
        <v>1017</v>
      </c>
      <c r="F505" s="174">
        <f>VLOOKUP(D505,原始分!$D:$N,3,0)</f>
        <v>101</v>
      </c>
      <c r="G505" s="174">
        <f t="shared" si="94"/>
        <v>338</v>
      </c>
      <c r="H505" s="174">
        <f>VLOOKUP(D505,原始分!$D:$N,4,0)</f>
        <v>21.5</v>
      </c>
      <c r="I505" s="174">
        <f t="shared" si="95"/>
        <v>868</v>
      </c>
      <c r="J505" s="174">
        <f>VLOOKUP(D505,原始分!$D:$N,5,0)</f>
        <v>38</v>
      </c>
      <c r="K505" s="174">
        <f t="shared" si="96"/>
        <v>866</v>
      </c>
      <c r="L505" s="174">
        <f>VLOOKUP(D505,原始分!$D:$N,6,0)</f>
        <v>14</v>
      </c>
      <c r="M505" s="174">
        <f t="shared" si="97"/>
        <v>663</v>
      </c>
      <c r="N505" s="174">
        <f>VLOOKUP(D505,原始分!$D:$N,7,0)</f>
        <v>0</v>
      </c>
      <c r="O505" s="174">
        <f t="shared" si="98"/>
        <v>207</v>
      </c>
      <c r="P505" s="174">
        <f>VLOOKUP(D505,原始分!$D:$N,8,0)</f>
        <v>17</v>
      </c>
      <c r="Q505" s="174">
        <f t="shared" si="99"/>
        <v>538</v>
      </c>
      <c r="R505" s="174">
        <f>VLOOKUP(D505,原始分!$D:$N,9,0)</f>
        <v>0</v>
      </c>
      <c r="S505" s="174">
        <f t="shared" si="100"/>
        <v>320</v>
      </c>
      <c r="T505" s="174">
        <f>VLOOKUP(D505,原始分!$D:$N,10,0)</f>
        <v>0</v>
      </c>
      <c r="U505" s="174">
        <f t="shared" si="101"/>
        <v>316</v>
      </c>
      <c r="V505" s="174">
        <f>VLOOKUP(D505,原始分!$D:$N,11,0)</f>
        <v>27</v>
      </c>
      <c r="W505" s="174">
        <f t="shared" si="102"/>
        <v>557</v>
      </c>
      <c r="X505" s="11">
        <f t="shared" si="103"/>
        <v>160.5</v>
      </c>
      <c r="Y505" s="9">
        <f t="shared" si="104"/>
        <v>868</v>
      </c>
      <c r="Z505" s="11">
        <f t="shared" si="105"/>
        <v>218.5</v>
      </c>
      <c r="AA505" s="9">
        <f t="shared" si="106"/>
        <v>662</v>
      </c>
    </row>
    <row r="506" ht="14.25" spans="1:27">
      <c r="A506" s="13">
        <v>504</v>
      </c>
      <c r="B506" s="15">
        <v>11</v>
      </c>
      <c r="C506" s="16">
        <v>8</v>
      </c>
      <c r="D506" s="17" t="s">
        <v>1018</v>
      </c>
      <c r="E506" s="17" t="s">
        <v>1019</v>
      </c>
      <c r="F506" s="174">
        <f>VLOOKUP(D506,原始分!$D:$N,3,0)</f>
        <v>93</v>
      </c>
      <c r="G506" s="174">
        <f t="shared" si="94"/>
        <v>693</v>
      </c>
      <c r="H506" s="174">
        <f>VLOOKUP(D506,原始分!$D:$N,4,0)</f>
        <v>100</v>
      </c>
      <c r="I506" s="174">
        <f t="shared" si="95"/>
        <v>416</v>
      </c>
      <c r="J506" s="174">
        <f>VLOOKUP(D506,原始分!$D:$N,5,0)</f>
        <v>80.75</v>
      </c>
      <c r="K506" s="174">
        <f t="shared" si="96"/>
        <v>738</v>
      </c>
      <c r="L506" s="174">
        <f>VLOOKUP(D506,原始分!$D:$N,6,0)</f>
        <v>57.5</v>
      </c>
      <c r="M506" s="174">
        <f t="shared" si="97"/>
        <v>228</v>
      </c>
      <c r="N506" s="174">
        <f>VLOOKUP(D506,原始分!$D:$N,7,0)</f>
        <v>0</v>
      </c>
      <c r="O506" s="174">
        <f t="shared" si="98"/>
        <v>207</v>
      </c>
      <c r="P506" s="174">
        <f>VLOOKUP(D506,原始分!$D:$N,8,0)</f>
        <v>50</v>
      </c>
      <c r="Q506" s="174">
        <f t="shared" si="99"/>
        <v>109</v>
      </c>
      <c r="R506" s="174">
        <f>VLOOKUP(D506,原始分!$D:$N,9,0)</f>
        <v>0</v>
      </c>
      <c r="S506" s="174">
        <f t="shared" si="100"/>
        <v>320</v>
      </c>
      <c r="T506" s="174">
        <f>VLOOKUP(D506,原始分!$D:$N,10,0)</f>
        <v>0</v>
      </c>
      <c r="U506" s="174">
        <f t="shared" si="101"/>
        <v>316</v>
      </c>
      <c r="V506" s="174">
        <f>VLOOKUP(D506,原始分!$D:$N,11,0)</f>
        <v>69</v>
      </c>
      <c r="W506" s="174">
        <f t="shared" si="102"/>
        <v>17</v>
      </c>
      <c r="X506" s="11">
        <f t="shared" si="103"/>
        <v>273.75</v>
      </c>
      <c r="Y506" s="9">
        <f t="shared" si="104"/>
        <v>663</v>
      </c>
      <c r="Z506" s="11">
        <f t="shared" si="105"/>
        <v>450.25</v>
      </c>
      <c r="AA506" s="9">
        <f t="shared" si="106"/>
        <v>279</v>
      </c>
    </row>
    <row r="507" ht="14.25" spans="1:27">
      <c r="A507" s="13">
        <v>505</v>
      </c>
      <c r="B507" s="15">
        <v>11</v>
      </c>
      <c r="C507" s="16">
        <v>9</v>
      </c>
      <c r="D507" s="17" t="s">
        <v>1020</v>
      </c>
      <c r="E507" s="17" t="s">
        <v>1021</v>
      </c>
      <c r="F507" s="174">
        <f>VLOOKUP(D507,原始分!$D:$N,3,0)</f>
        <v>92.5</v>
      </c>
      <c r="G507" s="174">
        <f t="shared" si="94"/>
        <v>713</v>
      </c>
      <c r="H507" s="174">
        <f>VLOOKUP(D507,原始分!$D:$N,4,0)</f>
        <v>100</v>
      </c>
      <c r="I507" s="174">
        <f t="shared" si="95"/>
        <v>416</v>
      </c>
      <c r="J507" s="174">
        <f>VLOOKUP(D507,原始分!$D:$N,5,0)</f>
        <v>100</v>
      </c>
      <c r="K507" s="174">
        <f t="shared" si="96"/>
        <v>368</v>
      </c>
      <c r="L507" s="174">
        <f>VLOOKUP(D507,原始分!$D:$N,6,0)</f>
        <v>49.5</v>
      </c>
      <c r="M507" s="174">
        <f t="shared" si="97"/>
        <v>341</v>
      </c>
      <c r="N507" s="174">
        <f>VLOOKUP(D507,原始分!$D:$N,7,0)</f>
        <v>0</v>
      </c>
      <c r="O507" s="174">
        <f t="shared" si="98"/>
        <v>207</v>
      </c>
      <c r="P507" s="174">
        <f>VLOOKUP(D507,原始分!$D:$N,8,0)</f>
        <v>49.5</v>
      </c>
      <c r="Q507" s="174">
        <f t="shared" si="99"/>
        <v>120</v>
      </c>
      <c r="R507" s="174">
        <f>VLOOKUP(D507,原始分!$D:$N,9,0)</f>
        <v>0</v>
      </c>
      <c r="S507" s="174">
        <f t="shared" si="100"/>
        <v>320</v>
      </c>
      <c r="T507" s="174">
        <f>VLOOKUP(D507,原始分!$D:$N,10,0)</f>
        <v>0</v>
      </c>
      <c r="U507" s="174">
        <f t="shared" si="101"/>
        <v>316</v>
      </c>
      <c r="V507" s="174">
        <f>VLOOKUP(D507,原始分!$D:$N,11,0)</f>
        <v>53.5</v>
      </c>
      <c r="W507" s="174">
        <f t="shared" si="102"/>
        <v>208</v>
      </c>
      <c r="X507" s="11">
        <f t="shared" si="103"/>
        <v>292.5</v>
      </c>
      <c r="Y507" s="9">
        <f t="shared" si="104"/>
        <v>466</v>
      </c>
      <c r="Z507" s="11">
        <f t="shared" si="105"/>
        <v>445</v>
      </c>
      <c r="AA507" s="9">
        <f t="shared" si="106"/>
        <v>309</v>
      </c>
    </row>
    <row r="508" ht="14.25" spans="1:27">
      <c r="A508" s="13">
        <v>506</v>
      </c>
      <c r="B508" s="15">
        <v>11</v>
      </c>
      <c r="C508" s="16">
        <v>10</v>
      </c>
      <c r="D508" s="17" t="s">
        <v>1022</v>
      </c>
      <c r="E508" s="17" t="s">
        <v>1023</v>
      </c>
      <c r="F508" s="174">
        <f>VLOOKUP(D508,原始分!$D:$N,3,0)</f>
        <v>98.5</v>
      </c>
      <c r="G508" s="174">
        <f t="shared" si="94"/>
        <v>469</v>
      </c>
      <c r="H508" s="174">
        <f>VLOOKUP(D508,原始分!$D:$N,4,0)</f>
        <v>82</v>
      </c>
      <c r="I508" s="174">
        <f t="shared" si="95"/>
        <v>737</v>
      </c>
      <c r="J508" s="174">
        <f>VLOOKUP(D508,原始分!$D:$N,5,0)</f>
        <v>99.5</v>
      </c>
      <c r="K508" s="174">
        <f t="shared" si="96"/>
        <v>383</v>
      </c>
      <c r="L508" s="174">
        <f>VLOOKUP(D508,原始分!$D:$N,6,0)</f>
        <v>48.5</v>
      </c>
      <c r="M508" s="174">
        <f t="shared" si="97"/>
        <v>364</v>
      </c>
      <c r="N508" s="174">
        <f>VLOOKUP(D508,原始分!$D:$N,7,0)</f>
        <v>0</v>
      </c>
      <c r="O508" s="174">
        <f t="shared" si="98"/>
        <v>207</v>
      </c>
      <c r="P508" s="174">
        <f>VLOOKUP(D508,原始分!$D:$N,8,0)</f>
        <v>31</v>
      </c>
      <c r="Q508" s="174">
        <f t="shared" si="99"/>
        <v>465</v>
      </c>
      <c r="R508" s="174">
        <f>VLOOKUP(D508,原始分!$D:$N,9,0)</f>
        <v>0</v>
      </c>
      <c r="S508" s="174">
        <f t="shared" si="100"/>
        <v>320</v>
      </c>
      <c r="T508" s="174">
        <f>VLOOKUP(D508,原始分!$D:$N,10,0)</f>
        <v>0</v>
      </c>
      <c r="U508" s="174">
        <f t="shared" si="101"/>
        <v>316</v>
      </c>
      <c r="V508" s="174">
        <f>VLOOKUP(D508,原始分!$D:$N,11,0)</f>
        <v>46</v>
      </c>
      <c r="W508" s="174">
        <f t="shared" si="102"/>
        <v>386</v>
      </c>
      <c r="X508" s="11">
        <f t="shared" si="103"/>
        <v>280</v>
      </c>
      <c r="Y508" s="9">
        <f t="shared" si="104"/>
        <v>598</v>
      </c>
      <c r="Z508" s="11">
        <f t="shared" si="105"/>
        <v>405.5</v>
      </c>
      <c r="AA508" s="9">
        <f t="shared" si="106"/>
        <v>494</v>
      </c>
    </row>
    <row r="509" ht="14.25" spans="1:27">
      <c r="A509" s="13">
        <v>507</v>
      </c>
      <c r="B509" s="15">
        <v>11</v>
      </c>
      <c r="C509" s="16">
        <v>11</v>
      </c>
      <c r="D509" s="17" t="s">
        <v>1024</v>
      </c>
      <c r="E509" s="17" t="s">
        <v>1025</v>
      </c>
      <c r="F509" s="174">
        <f>VLOOKUP(D509,原始分!$D:$N,3,0)</f>
        <v>95</v>
      </c>
      <c r="G509" s="174">
        <f t="shared" si="94"/>
        <v>619</v>
      </c>
      <c r="H509" s="174">
        <f>VLOOKUP(D509,原始分!$D:$N,4,0)</f>
        <v>118</v>
      </c>
      <c r="I509" s="174">
        <f t="shared" si="95"/>
        <v>91</v>
      </c>
      <c r="J509" s="174">
        <f>VLOOKUP(D509,原始分!$D:$N,5,0)</f>
        <v>101.5</v>
      </c>
      <c r="K509" s="174">
        <f t="shared" si="96"/>
        <v>334</v>
      </c>
      <c r="L509" s="174">
        <f>VLOOKUP(D509,原始分!$D:$N,6,0)</f>
        <v>45</v>
      </c>
      <c r="M509" s="174">
        <f t="shared" si="97"/>
        <v>424</v>
      </c>
      <c r="N509" s="174">
        <f>VLOOKUP(D509,原始分!$D:$N,7,0)</f>
        <v>0</v>
      </c>
      <c r="O509" s="174">
        <f t="shared" si="98"/>
        <v>207</v>
      </c>
      <c r="P509" s="174">
        <f>VLOOKUP(D509,原始分!$D:$N,8,0)</f>
        <v>42</v>
      </c>
      <c r="Q509" s="174">
        <f t="shared" si="99"/>
        <v>266</v>
      </c>
      <c r="R509" s="174">
        <f>VLOOKUP(D509,原始分!$D:$N,9,0)</f>
        <v>0</v>
      </c>
      <c r="S509" s="174">
        <f t="shared" si="100"/>
        <v>320</v>
      </c>
      <c r="T509" s="174">
        <f>VLOOKUP(D509,原始分!$D:$N,10,0)</f>
        <v>0</v>
      </c>
      <c r="U509" s="174">
        <f t="shared" si="101"/>
        <v>316</v>
      </c>
      <c r="V509" s="174">
        <f>VLOOKUP(D509,原始分!$D:$N,11,0)</f>
        <v>51</v>
      </c>
      <c r="W509" s="174">
        <f t="shared" si="102"/>
        <v>278</v>
      </c>
      <c r="X509" s="11">
        <f t="shared" si="103"/>
        <v>314.5</v>
      </c>
      <c r="Y509" s="9">
        <f t="shared" si="104"/>
        <v>209</v>
      </c>
      <c r="Z509" s="11">
        <f t="shared" si="105"/>
        <v>452.5</v>
      </c>
      <c r="AA509" s="9">
        <f t="shared" si="106"/>
        <v>261</v>
      </c>
    </row>
    <row r="510" ht="14.25" spans="1:27">
      <c r="A510" s="13">
        <v>508</v>
      </c>
      <c r="B510" s="15">
        <v>11</v>
      </c>
      <c r="C510" s="16">
        <v>12</v>
      </c>
      <c r="D510" s="17" t="s">
        <v>1026</v>
      </c>
      <c r="E510" s="17" t="s">
        <v>1027</v>
      </c>
      <c r="F510" s="174">
        <f>VLOOKUP(D510,原始分!$D:$N,3,0)</f>
        <v>94</v>
      </c>
      <c r="G510" s="174">
        <f t="shared" si="94"/>
        <v>661</v>
      </c>
      <c r="H510" s="174">
        <f>VLOOKUP(D510,原始分!$D:$N,4,0)</f>
        <v>124</v>
      </c>
      <c r="I510" s="174">
        <f t="shared" si="95"/>
        <v>39</v>
      </c>
      <c r="J510" s="174">
        <f>VLOOKUP(D510,原始分!$D:$N,5,0)</f>
        <v>103</v>
      </c>
      <c r="K510" s="174">
        <f t="shared" si="96"/>
        <v>309</v>
      </c>
      <c r="L510" s="174">
        <f>VLOOKUP(D510,原始分!$D:$N,6,0)</f>
        <v>62.5</v>
      </c>
      <c r="M510" s="174">
        <f t="shared" si="97"/>
        <v>152</v>
      </c>
      <c r="N510" s="174">
        <f>VLOOKUP(D510,原始分!$D:$N,7,0)</f>
        <v>0</v>
      </c>
      <c r="O510" s="174">
        <f t="shared" si="98"/>
        <v>207</v>
      </c>
      <c r="P510" s="174">
        <f>VLOOKUP(D510,原始分!$D:$N,8,0)</f>
        <v>47</v>
      </c>
      <c r="Q510" s="174">
        <f t="shared" si="99"/>
        <v>173</v>
      </c>
      <c r="R510" s="174">
        <f>VLOOKUP(D510,原始分!$D:$N,9,0)</f>
        <v>0</v>
      </c>
      <c r="S510" s="174">
        <f t="shared" si="100"/>
        <v>320</v>
      </c>
      <c r="T510" s="174">
        <f>VLOOKUP(D510,原始分!$D:$N,10,0)</f>
        <v>0</v>
      </c>
      <c r="U510" s="174">
        <f t="shared" si="101"/>
        <v>316</v>
      </c>
      <c r="V510" s="174">
        <f>VLOOKUP(D510,原始分!$D:$N,11,0)</f>
        <v>45.5</v>
      </c>
      <c r="W510" s="174">
        <f t="shared" si="102"/>
        <v>399</v>
      </c>
      <c r="X510" s="11">
        <f t="shared" si="103"/>
        <v>321</v>
      </c>
      <c r="Y510" s="9">
        <f t="shared" si="104"/>
        <v>148</v>
      </c>
      <c r="Z510" s="11">
        <f t="shared" si="105"/>
        <v>476</v>
      </c>
      <c r="AA510" s="9">
        <f t="shared" si="106"/>
        <v>151</v>
      </c>
    </row>
    <row r="511" ht="14.25" spans="1:27">
      <c r="A511" s="13">
        <v>509</v>
      </c>
      <c r="B511" s="15">
        <v>11</v>
      </c>
      <c r="C511" s="16">
        <v>13</v>
      </c>
      <c r="D511" s="17" t="s">
        <v>1028</v>
      </c>
      <c r="E511" s="17" t="s">
        <v>1029</v>
      </c>
      <c r="F511" s="174">
        <f>VLOOKUP(D511,原始分!$D:$N,3,0)</f>
        <v>99.5</v>
      </c>
      <c r="G511" s="174">
        <f t="shared" si="94"/>
        <v>418</v>
      </c>
      <c r="H511" s="174">
        <f>VLOOKUP(D511,原始分!$D:$N,4,0)</f>
        <v>92.5</v>
      </c>
      <c r="I511" s="174">
        <f t="shared" si="95"/>
        <v>569</v>
      </c>
      <c r="J511" s="174">
        <f>VLOOKUP(D511,原始分!$D:$N,5,0)</f>
        <v>86.75</v>
      </c>
      <c r="K511" s="174">
        <f t="shared" si="96"/>
        <v>642</v>
      </c>
      <c r="L511" s="174">
        <f>VLOOKUP(D511,原始分!$D:$N,6,0)</f>
        <v>40</v>
      </c>
      <c r="M511" s="174">
        <f t="shared" si="97"/>
        <v>506</v>
      </c>
      <c r="N511" s="174">
        <f>VLOOKUP(D511,原始分!$D:$N,7,0)</f>
        <v>0</v>
      </c>
      <c r="O511" s="174">
        <f t="shared" si="98"/>
        <v>207</v>
      </c>
      <c r="P511" s="174">
        <f>VLOOKUP(D511,原始分!$D:$N,8,0)</f>
        <v>31</v>
      </c>
      <c r="Q511" s="174">
        <f t="shared" si="99"/>
        <v>465</v>
      </c>
      <c r="R511" s="174">
        <f>VLOOKUP(D511,原始分!$D:$N,9,0)</f>
        <v>0</v>
      </c>
      <c r="S511" s="174">
        <f t="shared" si="100"/>
        <v>320</v>
      </c>
      <c r="T511" s="174">
        <f>VLOOKUP(D511,原始分!$D:$N,10,0)</f>
        <v>0</v>
      </c>
      <c r="U511" s="174">
        <f t="shared" si="101"/>
        <v>316</v>
      </c>
      <c r="V511" s="174">
        <f>VLOOKUP(D511,原始分!$D:$N,11,0)</f>
        <v>55</v>
      </c>
      <c r="W511" s="174">
        <f t="shared" si="102"/>
        <v>181</v>
      </c>
      <c r="X511" s="11">
        <f t="shared" si="103"/>
        <v>278.75</v>
      </c>
      <c r="Y511" s="9">
        <f t="shared" si="104"/>
        <v>610</v>
      </c>
      <c r="Z511" s="11">
        <f t="shared" si="105"/>
        <v>404.75</v>
      </c>
      <c r="AA511" s="9">
        <f t="shared" si="106"/>
        <v>501</v>
      </c>
    </row>
    <row r="512" ht="14.25" spans="1:27">
      <c r="A512" s="13">
        <v>510</v>
      </c>
      <c r="B512" s="15">
        <v>11</v>
      </c>
      <c r="C512" s="16">
        <v>14</v>
      </c>
      <c r="D512" s="17" t="s">
        <v>1030</v>
      </c>
      <c r="E512" s="17" t="s">
        <v>1031</v>
      </c>
      <c r="F512" s="174">
        <f>VLOOKUP(D512,原始分!$D:$N,3,0)</f>
        <v>101.5</v>
      </c>
      <c r="G512" s="174">
        <f t="shared" si="94"/>
        <v>319</v>
      </c>
      <c r="H512" s="174">
        <f>VLOOKUP(D512,原始分!$D:$N,4,0)</f>
        <v>94.5</v>
      </c>
      <c r="I512" s="174">
        <f t="shared" si="95"/>
        <v>525</v>
      </c>
      <c r="J512" s="174">
        <f>VLOOKUP(D512,原始分!$D:$N,5,0)</f>
        <v>94.75</v>
      </c>
      <c r="K512" s="174">
        <f t="shared" si="96"/>
        <v>493</v>
      </c>
      <c r="L512" s="174">
        <f>VLOOKUP(D512,原始分!$D:$N,6,0)</f>
        <v>56</v>
      </c>
      <c r="M512" s="174">
        <f t="shared" si="97"/>
        <v>252</v>
      </c>
      <c r="N512" s="174">
        <f>VLOOKUP(D512,原始分!$D:$N,7,0)</f>
        <v>0</v>
      </c>
      <c r="O512" s="174">
        <f t="shared" si="98"/>
        <v>207</v>
      </c>
      <c r="P512" s="174">
        <f>VLOOKUP(D512,原始分!$D:$N,8,0)</f>
        <v>46.5</v>
      </c>
      <c r="Q512" s="174">
        <f t="shared" si="99"/>
        <v>188</v>
      </c>
      <c r="R512" s="174">
        <f>VLOOKUP(D512,原始分!$D:$N,9,0)</f>
        <v>0</v>
      </c>
      <c r="S512" s="174">
        <f t="shared" si="100"/>
        <v>320</v>
      </c>
      <c r="T512" s="174">
        <f>VLOOKUP(D512,原始分!$D:$N,10,0)</f>
        <v>0</v>
      </c>
      <c r="U512" s="174">
        <f t="shared" si="101"/>
        <v>316</v>
      </c>
      <c r="V512" s="174">
        <f>VLOOKUP(D512,原始分!$D:$N,11,0)</f>
        <v>57</v>
      </c>
      <c r="W512" s="174">
        <f t="shared" si="102"/>
        <v>139</v>
      </c>
      <c r="X512" s="11">
        <f t="shared" si="103"/>
        <v>290.75</v>
      </c>
      <c r="Y512" s="9">
        <f t="shared" si="104"/>
        <v>487</v>
      </c>
      <c r="Z512" s="11">
        <f t="shared" si="105"/>
        <v>450.25</v>
      </c>
      <c r="AA512" s="9">
        <f t="shared" si="106"/>
        <v>279</v>
      </c>
    </row>
    <row r="513" ht="14.25" spans="1:27">
      <c r="A513" s="13">
        <v>511</v>
      </c>
      <c r="B513" s="15">
        <v>11</v>
      </c>
      <c r="C513" s="16">
        <v>15</v>
      </c>
      <c r="D513" s="17" t="s">
        <v>1032</v>
      </c>
      <c r="E513" s="17" t="s">
        <v>1033</v>
      </c>
      <c r="F513" s="174">
        <f>VLOOKUP(D513,原始分!$D:$N,3,0)</f>
        <v>96</v>
      </c>
      <c r="G513" s="174">
        <f t="shared" si="94"/>
        <v>579</v>
      </c>
      <c r="H513" s="174">
        <f>VLOOKUP(D513,原始分!$D:$N,4,0)</f>
        <v>87.5</v>
      </c>
      <c r="I513" s="174">
        <f t="shared" si="95"/>
        <v>665</v>
      </c>
      <c r="J513" s="174">
        <f>VLOOKUP(D513,原始分!$D:$N,5,0)</f>
        <v>96.25</v>
      </c>
      <c r="K513" s="174">
        <f t="shared" si="96"/>
        <v>464</v>
      </c>
      <c r="L513" s="174">
        <f>VLOOKUP(D513,原始分!$D:$N,6,0)</f>
        <v>40.5</v>
      </c>
      <c r="M513" s="174">
        <f t="shared" si="97"/>
        <v>497</v>
      </c>
      <c r="N513" s="174">
        <f>VLOOKUP(D513,原始分!$D:$N,7,0)</f>
        <v>0</v>
      </c>
      <c r="O513" s="174">
        <f t="shared" si="98"/>
        <v>207</v>
      </c>
      <c r="P513" s="174">
        <f>VLOOKUP(D513,原始分!$D:$N,8,0)</f>
        <v>41.5</v>
      </c>
      <c r="Q513" s="174">
        <f t="shared" si="99"/>
        <v>279</v>
      </c>
      <c r="R513" s="174">
        <f>VLOOKUP(D513,原始分!$D:$N,9,0)</f>
        <v>0</v>
      </c>
      <c r="S513" s="174">
        <f t="shared" si="100"/>
        <v>320</v>
      </c>
      <c r="T513" s="174">
        <f>VLOOKUP(D513,原始分!$D:$N,10,0)</f>
        <v>0</v>
      </c>
      <c r="U513" s="174">
        <f t="shared" si="101"/>
        <v>316</v>
      </c>
      <c r="V513" s="174">
        <f>VLOOKUP(D513,原始分!$D:$N,11,0)</f>
        <v>49</v>
      </c>
      <c r="W513" s="174">
        <f t="shared" si="102"/>
        <v>323</v>
      </c>
      <c r="X513" s="11">
        <f t="shared" si="103"/>
        <v>279.75</v>
      </c>
      <c r="Y513" s="9">
        <f t="shared" si="104"/>
        <v>600</v>
      </c>
      <c r="Z513" s="11">
        <f t="shared" si="105"/>
        <v>410.75</v>
      </c>
      <c r="AA513" s="9">
        <f t="shared" si="106"/>
        <v>470</v>
      </c>
    </row>
    <row r="514" ht="14.25" spans="1:27">
      <c r="A514" s="13">
        <v>512</v>
      </c>
      <c r="B514" s="15">
        <v>11</v>
      </c>
      <c r="C514" s="16">
        <v>16</v>
      </c>
      <c r="D514" s="17" t="s">
        <v>1034</v>
      </c>
      <c r="E514" s="17" t="s">
        <v>1035</v>
      </c>
      <c r="F514" s="174">
        <f>VLOOKUP(D514,原始分!$D:$N,3,0)</f>
        <v>85.5</v>
      </c>
      <c r="G514" s="174">
        <f t="shared" si="94"/>
        <v>833</v>
      </c>
      <c r="H514" s="174">
        <f>VLOOKUP(D514,原始分!$D:$N,4,0)</f>
        <v>70</v>
      </c>
      <c r="I514" s="174">
        <f t="shared" si="95"/>
        <v>812</v>
      </c>
      <c r="J514" s="174">
        <f>VLOOKUP(D514,原始分!$D:$N,5,0)</f>
        <v>64</v>
      </c>
      <c r="K514" s="174">
        <f t="shared" si="96"/>
        <v>846</v>
      </c>
      <c r="L514" s="174">
        <f>VLOOKUP(D514,原始分!$D:$N,6,0)</f>
        <v>35</v>
      </c>
      <c r="M514" s="174">
        <f t="shared" si="97"/>
        <v>572</v>
      </c>
      <c r="N514" s="174">
        <f>VLOOKUP(D514,原始分!$D:$N,7,0)</f>
        <v>0</v>
      </c>
      <c r="O514" s="174">
        <f t="shared" si="98"/>
        <v>207</v>
      </c>
      <c r="P514" s="174">
        <f>VLOOKUP(D514,原始分!$D:$N,8,0)</f>
        <v>21.5</v>
      </c>
      <c r="Q514" s="174">
        <f t="shared" si="99"/>
        <v>527</v>
      </c>
      <c r="R514" s="174">
        <f>VLOOKUP(D514,原始分!$D:$N,9,0)</f>
        <v>0</v>
      </c>
      <c r="S514" s="174">
        <f t="shared" si="100"/>
        <v>320</v>
      </c>
      <c r="T514" s="174">
        <f>VLOOKUP(D514,原始分!$D:$N,10,0)</f>
        <v>0</v>
      </c>
      <c r="U514" s="174">
        <f t="shared" si="101"/>
        <v>316</v>
      </c>
      <c r="V514" s="174">
        <f>VLOOKUP(D514,原始分!$D:$N,11,0)</f>
        <v>33.5</v>
      </c>
      <c r="W514" s="174">
        <f t="shared" si="102"/>
        <v>536</v>
      </c>
      <c r="X514" s="11">
        <f t="shared" si="103"/>
        <v>219.5</v>
      </c>
      <c r="Y514" s="9">
        <f t="shared" si="104"/>
        <v>860</v>
      </c>
      <c r="Z514" s="11">
        <f t="shared" si="105"/>
        <v>309.5</v>
      </c>
      <c r="AA514" s="9">
        <f t="shared" si="106"/>
        <v>657</v>
      </c>
    </row>
    <row r="515" ht="14.25" spans="1:27">
      <c r="A515" s="13">
        <v>513</v>
      </c>
      <c r="B515" s="15">
        <v>11</v>
      </c>
      <c r="C515" s="16">
        <v>17</v>
      </c>
      <c r="D515" s="17" t="s">
        <v>1036</v>
      </c>
      <c r="E515" s="17" t="s">
        <v>1037</v>
      </c>
      <c r="F515" s="174">
        <f>VLOOKUP(D515,原始分!$D:$N,3,0)</f>
        <v>102</v>
      </c>
      <c r="G515" s="174">
        <f t="shared" ref="G515:G578" si="107">RANK(F515,$F$3:$F$900)</f>
        <v>304</v>
      </c>
      <c r="H515" s="174">
        <f>VLOOKUP(D515,原始分!$D:$N,4,0)</f>
        <v>104</v>
      </c>
      <c r="I515" s="174">
        <f t="shared" ref="I515:I578" si="108">RANK(H515,$H$3:$H$900)</f>
        <v>341</v>
      </c>
      <c r="J515" s="174">
        <f>VLOOKUP(D515,原始分!$D:$N,5,0)</f>
        <v>113</v>
      </c>
      <c r="K515" s="174">
        <f t="shared" ref="K515:K578" si="109">RANK(J515,$J$3:$J$900)</f>
        <v>130</v>
      </c>
      <c r="L515" s="174">
        <f>VLOOKUP(D515,原始分!$D:$N,6,0)</f>
        <v>24</v>
      </c>
      <c r="M515" s="174">
        <f t="shared" ref="M515:M578" si="110">RANK(L515,$L$3:$L$900)</f>
        <v>641</v>
      </c>
      <c r="N515" s="174">
        <f>VLOOKUP(D515,原始分!$D:$N,7,0)</f>
        <v>0</v>
      </c>
      <c r="O515" s="174">
        <f t="shared" ref="O515:O578" si="111">RANK(N515,$N$3:$N$900)</f>
        <v>207</v>
      </c>
      <c r="P515" s="174">
        <f>VLOOKUP(D515,原始分!$D:$N,8,0)</f>
        <v>47.5</v>
      </c>
      <c r="Q515" s="174">
        <f t="shared" ref="Q515:Q578" si="112">RANK(P515,$P$3:$P$900)</f>
        <v>157</v>
      </c>
      <c r="R515" s="174">
        <f>VLOOKUP(D515,原始分!$D:$N,9,0)</f>
        <v>0</v>
      </c>
      <c r="S515" s="174">
        <f t="shared" ref="S515:S578" si="113">RANK(R515,$R$3:$R$900)</f>
        <v>320</v>
      </c>
      <c r="T515" s="174">
        <f>VLOOKUP(D515,原始分!$D:$N,10,0)</f>
        <v>0</v>
      </c>
      <c r="U515" s="174">
        <f t="shared" ref="U515:U578" si="114">RANK(T515,$T$3:$T$900)</f>
        <v>316</v>
      </c>
      <c r="V515" s="174">
        <f>VLOOKUP(D515,原始分!$D:$N,11,0)</f>
        <v>45.5</v>
      </c>
      <c r="W515" s="174">
        <f t="shared" ref="W515:W578" si="115">RANK(V515,$V$3:$V$900)</f>
        <v>399</v>
      </c>
      <c r="X515" s="11">
        <f t="shared" ref="X515:X578" si="116">SUM(F515,H515,J515)</f>
        <v>319</v>
      </c>
      <c r="Y515" s="9">
        <f t="shared" ref="Y515:Y578" si="117">RANK(X515,$X$3:$X$900)</f>
        <v>167</v>
      </c>
      <c r="Z515" s="11">
        <f t="shared" ref="Z515:Z578" si="118">SUM(F515,H515,J515,L515,N515,P515,R515,T515,V515)</f>
        <v>436</v>
      </c>
      <c r="AA515" s="9">
        <f t="shared" si="106"/>
        <v>352</v>
      </c>
    </row>
    <row r="516" ht="14.25" spans="1:27">
      <c r="A516" s="13">
        <v>514</v>
      </c>
      <c r="B516" s="15">
        <v>11</v>
      </c>
      <c r="C516" s="16">
        <v>18</v>
      </c>
      <c r="D516" s="19" t="s">
        <v>1038</v>
      </c>
      <c r="E516" s="17" t="s">
        <v>1039</v>
      </c>
      <c r="F516" s="174">
        <f>VLOOKUP(D516,原始分!$D:$N,3,0)</f>
        <v>103.5</v>
      </c>
      <c r="G516" s="174">
        <f t="shared" si="107"/>
        <v>230</v>
      </c>
      <c r="H516" s="174">
        <f>VLOOKUP(D516,原始分!$D:$N,4,0)</f>
        <v>128</v>
      </c>
      <c r="I516" s="174">
        <f t="shared" si="108"/>
        <v>20</v>
      </c>
      <c r="J516" s="174">
        <f>VLOOKUP(D516,原始分!$D:$N,5,0)</f>
        <v>118</v>
      </c>
      <c r="K516" s="174">
        <f t="shared" si="109"/>
        <v>65</v>
      </c>
      <c r="L516" s="174">
        <f>VLOOKUP(D516,原始分!$D:$N,6,0)</f>
        <v>63</v>
      </c>
      <c r="M516" s="174">
        <f t="shared" si="110"/>
        <v>147</v>
      </c>
      <c r="N516" s="174">
        <f>VLOOKUP(D516,原始分!$D:$N,7,0)</f>
        <v>0</v>
      </c>
      <c r="O516" s="174">
        <f t="shared" si="111"/>
        <v>207</v>
      </c>
      <c r="P516" s="174">
        <f>VLOOKUP(D516,原始分!$D:$N,8,0)</f>
        <v>35</v>
      </c>
      <c r="Q516" s="174">
        <f t="shared" si="112"/>
        <v>403</v>
      </c>
      <c r="R516" s="174">
        <f>VLOOKUP(D516,原始分!$D:$N,9,0)</f>
        <v>0</v>
      </c>
      <c r="S516" s="174">
        <f t="shared" si="113"/>
        <v>320</v>
      </c>
      <c r="T516" s="174">
        <f>VLOOKUP(D516,原始分!$D:$N,10,0)</f>
        <v>0</v>
      </c>
      <c r="U516" s="174">
        <f t="shared" si="114"/>
        <v>316</v>
      </c>
      <c r="V516" s="174">
        <f>VLOOKUP(D516,原始分!$D:$N,11,0)</f>
        <v>52</v>
      </c>
      <c r="W516" s="174">
        <f t="shared" si="115"/>
        <v>248</v>
      </c>
      <c r="X516" s="11">
        <f t="shared" si="116"/>
        <v>349.5</v>
      </c>
      <c r="Y516" s="9">
        <f t="shared" si="117"/>
        <v>16</v>
      </c>
      <c r="Z516" s="11">
        <f t="shared" si="118"/>
        <v>499.5</v>
      </c>
      <c r="AA516" s="9">
        <f t="shared" si="106"/>
        <v>78</v>
      </c>
    </row>
    <row r="517" ht="14.25" spans="1:27">
      <c r="A517" s="13">
        <v>515</v>
      </c>
      <c r="B517" s="15">
        <v>11</v>
      </c>
      <c r="C517" s="16">
        <v>19</v>
      </c>
      <c r="D517" s="17" t="s">
        <v>1040</v>
      </c>
      <c r="E517" s="17" t="s">
        <v>1041</v>
      </c>
      <c r="F517" s="174">
        <f>VLOOKUP(D517,原始分!$D:$N,3,0)</f>
        <v>107.5</v>
      </c>
      <c r="G517" s="174">
        <f t="shared" si="107"/>
        <v>93</v>
      </c>
      <c r="H517" s="174">
        <f>VLOOKUP(D517,原始分!$D:$N,4,0)</f>
        <v>115.5</v>
      </c>
      <c r="I517" s="174">
        <f t="shared" si="108"/>
        <v>121</v>
      </c>
      <c r="J517" s="174">
        <f>VLOOKUP(D517,原始分!$D:$N,5,0)</f>
        <v>99.5</v>
      </c>
      <c r="K517" s="174">
        <f t="shared" si="109"/>
        <v>383</v>
      </c>
      <c r="L517" s="174">
        <f>VLOOKUP(D517,原始分!$D:$N,6,0)</f>
        <v>41.5</v>
      </c>
      <c r="M517" s="174">
        <f t="shared" si="110"/>
        <v>483</v>
      </c>
      <c r="N517" s="174">
        <f>VLOOKUP(D517,原始分!$D:$N,7,0)</f>
        <v>0</v>
      </c>
      <c r="O517" s="174">
        <f t="shared" si="111"/>
        <v>207</v>
      </c>
      <c r="P517" s="174">
        <f>VLOOKUP(D517,原始分!$D:$N,8,0)</f>
        <v>48</v>
      </c>
      <c r="Q517" s="174">
        <f t="shared" si="112"/>
        <v>146</v>
      </c>
      <c r="R517" s="174">
        <f>VLOOKUP(D517,原始分!$D:$N,9,0)</f>
        <v>0</v>
      </c>
      <c r="S517" s="174">
        <f t="shared" si="113"/>
        <v>320</v>
      </c>
      <c r="T517" s="174">
        <f>VLOOKUP(D517,原始分!$D:$N,10,0)</f>
        <v>0</v>
      </c>
      <c r="U517" s="174">
        <f t="shared" si="114"/>
        <v>316</v>
      </c>
      <c r="V517" s="174">
        <f>VLOOKUP(D517,原始分!$D:$N,11,0)</f>
        <v>66.5</v>
      </c>
      <c r="W517" s="174">
        <f t="shared" si="115"/>
        <v>30</v>
      </c>
      <c r="X517" s="11">
        <f t="shared" si="116"/>
        <v>322.5</v>
      </c>
      <c r="Y517" s="9">
        <f t="shared" si="117"/>
        <v>141</v>
      </c>
      <c r="Z517" s="11">
        <f t="shared" si="118"/>
        <v>478.5</v>
      </c>
      <c r="AA517" s="9">
        <f t="shared" si="106"/>
        <v>138</v>
      </c>
    </row>
    <row r="518" ht="14.25" spans="1:27">
      <c r="A518" s="13">
        <v>516</v>
      </c>
      <c r="B518" s="15">
        <v>11</v>
      </c>
      <c r="C518" s="16">
        <v>20</v>
      </c>
      <c r="D518" s="17" t="s">
        <v>1042</v>
      </c>
      <c r="E518" s="17" t="s">
        <v>1043</v>
      </c>
      <c r="F518" s="174">
        <f>VLOOKUP(D518,原始分!$D:$N,3,0)</f>
        <v>92.5</v>
      </c>
      <c r="G518" s="174">
        <f t="shared" si="107"/>
        <v>713</v>
      </c>
      <c r="H518" s="174">
        <f>VLOOKUP(D518,原始分!$D:$N,4,0)</f>
        <v>121</v>
      </c>
      <c r="I518" s="174">
        <f t="shared" si="108"/>
        <v>57</v>
      </c>
      <c r="J518" s="174">
        <f>VLOOKUP(D518,原始分!$D:$N,5,0)</f>
        <v>113.5</v>
      </c>
      <c r="K518" s="174">
        <f t="shared" si="109"/>
        <v>125</v>
      </c>
      <c r="L518" s="174">
        <f>VLOOKUP(D518,原始分!$D:$N,6,0)</f>
        <v>60</v>
      </c>
      <c r="M518" s="174">
        <f t="shared" si="110"/>
        <v>187</v>
      </c>
      <c r="N518" s="174">
        <f>VLOOKUP(D518,原始分!$D:$N,7,0)</f>
        <v>0</v>
      </c>
      <c r="O518" s="174">
        <f t="shared" si="111"/>
        <v>207</v>
      </c>
      <c r="P518" s="174">
        <f>VLOOKUP(D518,原始分!$D:$N,8,0)</f>
        <v>48</v>
      </c>
      <c r="Q518" s="174">
        <f t="shared" si="112"/>
        <v>146</v>
      </c>
      <c r="R518" s="174">
        <f>VLOOKUP(D518,原始分!$D:$N,9,0)</f>
        <v>0</v>
      </c>
      <c r="S518" s="174">
        <f t="shared" si="113"/>
        <v>320</v>
      </c>
      <c r="T518" s="174">
        <f>VLOOKUP(D518,原始分!$D:$N,10,0)</f>
        <v>0</v>
      </c>
      <c r="U518" s="174">
        <f t="shared" si="114"/>
        <v>316</v>
      </c>
      <c r="V518" s="174">
        <f>VLOOKUP(D518,原始分!$D:$N,11,0)</f>
        <v>53.5</v>
      </c>
      <c r="W518" s="174">
        <f t="shared" si="115"/>
        <v>208</v>
      </c>
      <c r="X518" s="11">
        <f t="shared" si="116"/>
        <v>327</v>
      </c>
      <c r="Y518" s="9">
        <f t="shared" si="117"/>
        <v>104</v>
      </c>
      <c r="Z518" s="11">
        <f t="shared" si="118"/>
        <v>488.5</v>
      </c>
      <c r="AA518" s="9">
        <f t="shared" si="106"/>
        <v>107</v>
      </c>
    </row>
    <row r="519" ht="14.25" spans="1:27">
      <c r="A519" s="13">
        <v>517</v>
      </c>
      <c r="B519" s="15">
        <v>11</v>
      </c>
      <c r="C519" s="16">
        <v>21</v>
      </c>
      <c r="D519" s="17" t="s">
        <v>1044</v>
      </c>
      <c r="E519" s="17" t="s">
        <v>1045</v>
      </c>
      <c r="F519" s="174">
        <f>VLOOKUP(D519,原始分!$D:$N,3,0)</f>
        <v>105</v>
      </c>
      <c r="G519" s="174">
        <f t="shared" si="107"/>
        <v>171</v>
      </c>
      <c r="H519" s="174">
        <f>VLOOKUP(D519,原始分!$D:$N,4,0)</f>
        <v>98</v>
      </c>
      <c r="I519" s="174">
        <f t="shared" si="108"/>
        <v>454</v>
      </c>
      <c r="J519" s="174">
        <f>VLOOKUP(D519,原始分!$D:$N,5,0)</f>
        <v>95</v>
      </c>
      <c r="K519" s="174">
        <f t="shared" si="109"/>
        <v>484</v>
      </c>
      <c r="L519" s="174">
        <f>VLOOKUP(D519,原始分!$D:$N,6,0)</f>
        <v>50</v>
      </c>
      <c r="M519" s="174">
        <f t="shared" si="110"/>
        <v>337</v>
      </c>
      <c r="N519" s="174">
        <f>VLOOKUP(D519,原始分!$D:$N,7,0)</f>
        <v>0</v>
      </c>
      <c r="O519" s="174">
        <f t="shared" si="111"/>
        <v>207</v>
      </c>
      <c r="P519" s="174">
        <f>VLOOKUP(D519,原始分!$D:$N,8,0)</f>
        <v>48</v>
      </c>
      <c r="Q519" s="174">
        <f t="shared" si="112"/>
        <v>146</v>
      </c>
      <c r="R519" s="174">
        <f>VLOOKUP(D519,原始分!$D:$N,9,0)</f>
        <v>0</v>
      </c>
      <c r="S519" s="174">
        <f t="shared" si="113"/>
        <v>320</v>
      </c>
      <c r="T519" s="174">
        <f>VLOOKUP(D519,原始分!$D:$N,10,0)</f>
        <v>0</v>
      </c>
      <c r="U519" s="174">
        <f t="shared" si="114"/>
        <v>316</v>
      </c>
      <c r="V519" s="174">
        <f>VLOOKUP(D519,原始分!$D:$N,11,0)</f>
        <v>53.5</v>
      </c>
      <c r="W519" s="174">
        <f t="shared" si="115"/>
        <v>208</v>
      </c>
      <c r="X519" s="11">
        <f t="shared" si="116"/>
        <v>298</v>
      </c>
      <c r="Y519" s="9">
        <f t="shared" si="117"/>
        <v>396</v>
      </c>
      <c r="Z519" s="11">
        <f t="shared" si="118"/>
        <v>449.5</v>
      </c>
      <c r="AA519" s="9">
        <f t="shared" si="106"/>
        <v>284</v>
      </c>
    </row>
    <row r="520" ht="14.25" spans="1:27">
      <c r="A520" s="13">
        <v>518</v>
      </c>
      <c r="B520" s="15">
        <v>11</v>
      </c>
      <c r="C520" s="16">
        <v>22</v>
      </c>
      <c r="D520" s="17" t="s">
        <v>1046</v>
      </c>
      <c r="E520" s="17" t="s">
        <v>1047</v>
      </c>
      <c r="F520" s="174">
        <f>VLOOKUP(D520,原始分!$D:$N,3,0)</f>
        <v>94.5</v>
      </c>
      <c r="G520" s="174">
        <f t="shared" si="107"/>
        <v>642</v>
      </c>
      <c r="H520" s="174">
        <f>VLOOKUP(D520,原始分!$D:$N,4,0)</f>
        <v>84</v>
      </c>
      <c r="I520" s="174">
        <f t="shared" si="108"/>
        <v>714</v>
      </c>
      <c r="J520" s="174">
        <f>VLOOKUP(D520,原始分!$D:$N,5,0)</f>
        <v>99.5</v>
      </c>
      <c r="K520" s="174">
        <f t="shared" si="109"/>
        <v>383</v>
      </c>
      <c r="L520" s="174">
        <f>VLOOKUP(D520,原始分!$D:$N,6,0)</f>
        <v>62.5</v>
      </c>
      <c r="M520" s="174">
        <f t="shared" si="110"/>
        <v>152</v>
      </c>
      <c r="N520" s="174">
        <f>VLOOKUP(D520,原始分!$D:$N,7,0)</f>
        <v>0</v>
      </c>
      <c r="O520" s="174">
        <f t="shared" si="111"/>
        <v>207</v>
      </c>
      <c r="P520" s="174">
        <f>VLOOKUP(D520,原始分!$D:$N,8,0)</f>
        <v>50.5</v>
      </c>
      <c r="Q520" s="174">
        <f t="shared" si="112"/>
        <v>101</v>
      </c>
      <c r="R520" s="174">
        <f>VLOOKUP(D520,原始分!$D:$N,9,0)</f>
        <v>0</v>
      </c>
      <c r="S520" s="174">
        <f t="shared" si="113"/>
        <v>320</v>
      </c>
      <c r="T520" s="174">
        <f>VLOOKUP(D520,原始分!$D:$N,10,0)</f>
        <v>0</v>
      </c>
      <c r="U520" s="174">
        <f t="shared" si="114"/>
        <v>316</v>
      </c>
      <c r="V520" s="174">
        <f>VLOOKUP(D520,原始分!$D:$N,11,0)</f>
        <v>56.5</v>
      </c>
      <c r="W520" s="174">
        <f t="shared" si="115"/>
        <v>153</v>
      </c>
      <c r="X520" s="11">
        <f t="shared" si="116"/>
        <v>278</v>
      </c>
      <c r="Y520" s="9">
        <f t="shared" si="117"/>
        <v>621</v>
      </c>
      <c r="Z520" s="11">
        <f t="shared" si="118"/>
        <v>447.5</v>
      </c>
      <c r="AA520" s="9">
        <f t="shared" si="106"/>
        <v>291</v>
      </c>
    </row>
    <row r="521" ht="14.25" spans="1:27">
      <c r="A521" s="13">
        <v>519</v>
      </c>
      <c r="B521" s="15">
        <v>11</v>
      </c>
      <c r="C521" s="16">
        <v>24</v>
      </c>
      <c r="D521" s="17" t="s">
        <v>1048</v>
      </c>
      <c r="E521" s="17" t="s">
        <v>1049</v>
      </c>
      <c r="F521" s="174">
        <f>VLOOKUP(D521,原始分!$D:$N,3,0)</f>
        <v>99.5</v>
      </c>
      <c r="G521" s="174">
        <f t="shared" si="107"/>
        <v>418</v>
      </c>
      <c r="H521" s="174">
        <f>VLOOKUP(D521,原始分!$D:$N,4,0)</f>
        <v>108</v>
      </c>
      <c r="I521" s="174">
        <f t="shared" si="108"/>
        <v>257</v>
      </c>
      <c r="J521" s="174">
        <f>VLOOKUP(D521,原始分!$D:$N,5,0)</f>
        <v>103</v>
      </c>
      <c r="K521" s="174">
        <f t="shared" si="109"/>
        <v>309</v>
      </c>
      <c r="L521" s="174">
        <f>VLOOKUP(D521,原始分!$D:$N,6,0)</f>
        <v>51</v>
      </c>
      <c r="M521" s="174">
        <f t="shared" si="110"/>
        <v>320</v>
      </c>
      <c r="N521" s="174">
        <f>VLOOKUP(D521,原始分!$D:$N,7,0)</f>
        <v>0</v>
      </c>
      <c r="O521" s="174">
        <f t="shared" si="111"/>
        <v>207</v>
      </c>
      <c r="P521" s="174">
        <f>VLOOKUP(D521,原始分!$D:$N,8,0)</f>
        <v>51.5</v>
      </c>
      <c r="Q521" s="174">
        <f t="shared" si="112"/>
        <v>90</v>
      </c>
      <c r="R521" s="174">
        <f>VLOOKUP(D521,原始分!$D:$N,9,0)</f>
        <v>0</v>
      </c>
      <c r="S521" s="174">
        <f t="shared" si="113"/>
        <v>320</v>
      </c>
      <c r="T521" s="174">
        <f>VLOOKUP(D521,原始分!$D:$N,10,0)</f>
        <v>0</v>
      </c>
      <c r="U521" s="174">
        <f t="shared" si="114"/>
        <v>316</v>
      </c>
      <c r="V521" s="174">
        <f>VLOOKUP(D521,原始分!$D:$N,11,0)</f>
        <v>48.5</v>
      </c>
      <c r="W521" s="174">
        <f t="shared" si="115"/>
        <v>330</v>
      </c>
      <c r="X521" s="11">
        <f t="shared" si="116"/>
        <v>310.5</v>
      </c>
      <c r="Y521" s="9">
        <f t="shared" si="117"/>
        <v>258</v>
      </c>
      <c r="Z521" s="11">
        <f t="shared" si="118"/>
        <v>461.5</v>
      </c>
      <c r="AA521" s="9">
        <f t="shared" si="106"/>
        <v>214</v>
      </c>
    </row>
    <row r="522" ht="14.25" spans="1:27">
      <c r="A522" s="13">
        <v>520</v>
      </c>
      <c r="B522" s="15">
        <v>11</v>
      </c>
      <c r="C522" s="16">
        <v>25</v>
      </c>
      <c r="D522" s="17" t="s">
        <v>1050</v>
      </c>
      <c r="E522" s="17" t="s">
        <v>1051</v>
      </c>
      <c r="F522" s="174">
        <f>VLOOKUP(D522,原始分!$D:$N,3,0)</f>
        <v>99</v>
      </c>
      <c r="G522" s="174">
        <f t="shared" si="107"/>
        <v>442</v>
      </c>
      <c r="H522" s="174">
        <f>VLOOKUP(D522,原始分!$D:$N,4,0)</f>
        <v>102.5</v>
      </c>
      <c r="I522" s="174">
        <f t="shared" si="108"/>
        <v>372</v>
      </c>
      <c r="J522" s="174">
        <f>VLOOKUP(D522,原始分!$D:$N,5,0)</f>
        <v>101.25</v>
      </c>
      <c r="K522" s="174">
        <f t="shared" si="109"/>
        <v>346</v>
      </c>
      <c r="L522" s="174">
        <f>VLOOKUP(D522,原始分!$D:$N,6,0)</f>
        <v>23</v>
      </c>
      <c r="M522" s="174">
        <f t="shared" si="110"/>
        <v>645</v>
      </c>
      <c r="N522" s="174">
        <f>VLOOKUP(D522,原始分!$D:$N,7,0)</f>
        <v>0</v>
      </c>
      <c r="O522" s="174">
        <f t="shared" si="111"/>
        <v>207</v>
      </c>
      <c r="P522" s="174">
        <f>VLOOKUP(D522,原始分!$D:$N,8,0)</f>
        <v>36.5</v>
      </c>
      <c r="Q522" s="174">
        <f t="shared" si="112"/>
        <v>380</v>
      </c>
      <c r="R522" s="174">
        <f>VLOOKUP(D522,原始分!$D:$N,9,0)</f>
        <v>0</v>
      </c>
      <c r="S522" s="174">
        <f t="shared" si="113"/>
        <v>320</v>
      </c>
      <c r="T522" s="174">
        <f>VLOOKUP(D522,原始分!$D:$N,10,0)</f>
        <v>0</v>
      </c>
      <c r="U522" s="174">
        <f t="shared" si="114"/>
        <v>316</v>
      </c>
      <c r="V522" s="174">
        <f>VLOOKUP(D522,原始分!$D:$N,11,0)</f>
        <v>44</v>
      </c>
      <c r="W522" s="174">
        <f t="shared" si="115"/>
        <v>433</v>
      </c>
      <c r="X522" s="11">
        <f t="shared" si="116"/>
        <v>302.75</v>
      </c>
      <c r="Y522" s="9">
        <f t="shared" si="117"/>
        <v>345</v>
      </c>
      <c r="Z522" s="11">
        <f t="shared" si="118"/>
        <v>406.25</v>
      </c>
      <c r="AA522" s="9">
        <f t="shared" si="106"/>
        <v>492</v>
      </c>
    </row>
    <row r="523" ht="14.25" spans="1:27">
      <c r="A523" s="13">
        <v>521</v>
      </c>
      <c r="B523" s="15">
        <v>11</v>
      </c>
      <c r="C523" s="16">
        <v>26</v>
      </c>
      <c r="D523" s="17" t="s">
        <v>1052</v>
      </c>
      <c r="E523" s="17" t="s">
        <v>1053</v>
      </c>
      <c r="F523" s="174">
        <f>VLOOKUP(D523,原始分!$D:$N,3,0)</f>
        <v>98.5</v>
      </c>
      <c r="G523" s="174">
        <f t="shared" si="107"/>
        <v>469</v>
      </c>
      <c r="H523" s="174">
        <f>VLOOKUP(D523,原始分!$D:$N,4,0)</f>
        <v>96</v>
      </c>
      <c r="I523" s="174">
        <f t="shared" si="108"/>
        <v>492</v>
      </c>
      <c r="J523" s="174">
        <f>VLOOKUP(D523,原始分!$D:$N,5,0)</f>
        <v>87.5</v>
      </c>
      <c r="K523" s="174">
        <f t="shared" si="109"/>
        <v>622</v>
      </c>
      <c r="L523" s="174">
        <f>VLOOKUP(D523,原始分!$D:$N,6,0)</f>
        <v>31</v>
      </c>
      <c r="M523" s="174">
        <f t="shared" si="110"/>
        <v>609</v>
      </c>
      <c r="N523" s="174">
        <f>VLOOKUP(D523,原始分!$D:$N,7,0)</f>
        <v>0</v>
      </c>
      <c r="O523" s="174">
        <f t="shared" si="111"/>
        <v>207</v>
      </c>
      <c r="P523" s="174">
        <f>VLOOKUP(D523,原始分!$D:$N,8,0)</f>
        <v>22.5</v>
      </c>
      <c r="Q523" s="174">
        <f t="shared" si="112"/>
        <v>521</v>
      </c>
      <c r="R523" s="174">
        <f>VLOOKUP(D523,原始分!$D:$N,9,0)</f>
        <v>0</v>
      </c>
      <c r="S523" s="174">
        <f t="shared" si="113"/>
        <v>320</v>
      </c>
      <c r="T523" s="174">
        <f>VLOOKUP(D523,原始分!$D:$N,10,0)</f>
        <v>0</v>
      </c>
      <c r="U523" s="174">
        <f t="shared" si="114"/>
        <v>316</v>
      </c>
      <c r="V523" s="174">
        <f>VLOOKUP(D523,原始分!$D:$N,11,0)</f>
        <v>42</v>
      </c>
      <c r="W523" s="174">
        <f t="shared" si="115"/>
        <v>472</v>
      </c>
      <c r="X523" s="11">
        <f t="shared" si="116"/>
        <v>282</v>
      </c>
      <c r="Y523" s="9">
        <f t="shared" si="117"/>
        <v>579</v>
      </c>
      <c r="Z523" s="11">
        <f t="shared" si="118"/>
        <v>377.5</v>
      </c>
      <c r="AA523" s="9">
        <f t="shared" si="106"/>
        <v>588</v>
      </c>
    </row>
    <row r="524" ht="14.25" spans="1:27">
      <c r="A524" s="13">
        <v>522</v>
      </c>
      <c r="B524" s="15">
        <v>11</v>
      </c>
      <c r="C524" s="16">
        <v>27</v>
      </c>
      <c r="D524" s="17" t="s">
        <v>1054</v>
      </c>
      <c r="E524" s="17" t="s">
        <v>1055</v>
      </c>
      <c r="F524" s="174">
        <f>VLOOKUP(D524,原始分!$D:$N,3,0)</f>
        <v>116</v>
      </c>
      <c r="G524" s="174">
        <f t="shared" si="107"/>
        <v>5</v>
      </c>
      <c r="H524" s="174">
        <f>VLOOKUP(D524,原始分!$D:$N,4,0)</f>
        <v>101</v>
      </c>
      <c r="I524" s="174">
        <f t="shared" si="108"/>
        <v>403</v>
      </c>
      <c r="J524" s="174">
        <f>VLOOKUP(D524,原始分!$D:$N,5,0)</f>
        <v>99.5</v>
      </c>
      <c r="K524" s="174">
        <f t="shared" si="109"/>
        <v>383</v>
      </c>
      <c r="L524" s="174">
        <f>VLOOKUP(D524,原始分!$D:$N,6,0)</f>
        <v>35.5</v>
      </c>
      <c r="M524" s="174">
        <f t="shared" si="110"/>
        <v>566</v>
      </c>
      <c r="N524" s="174">
        <f>VLOOKUP(D524,原始分!$D:$N,7,0)</f>
        <v>0</v>
      </c>
      <c r="O524" s="174">
        <f t="shared" si="111"/>
        <v>207</v>
      </c>
      <c r="P524" s="174">
        <f>VLOOKUP(D524,原始分!$D:$N,8,0)</f>
        <v>55</v>
      </c>
      <c r="Q524" s="174">
        <f t="shared" si="112"/>
        <v>51</v>
      </c>
      <c r="R524" s="174">
        <f>VLOOKUP(D524,原始分!$D:$N,9,0)</f>
        <v>0</v>
      </c>
      <c r="S524" s="174">
        <f t="shared" si="113"/>
        <v>320</v>
      </c>
      <c r="T524" s="174">
        <f>VLOOKUP(D524,原始分!$D:$N,10,0)</f>
        <v>0</v>
      </c>
      <c r="U524" s="174">
        <f t="shared" si="114"/>
        <v>316</v>
      </c>
      <c r="V524" s="174">
        <f>VLOOKUP(D524,原始分!$D:$N,11,0)</f>
        <v>57</v>
      </c>
      <c r="W524" s="174">
        <f t="shared" si="115"/>
        <v>139</v>
      </c>
      <c r="X524" s="11">
        <f t="shared" si="116"/>
        <v>316.5</v>
      </c>
      <c r="Y524" s="9">
        <f t="shared" si="117"/>
        <v>193</v>
      </c>
      <c r="Z524" s="11">
        <f t="shared" si="118"/>
        <v>464</v>
      </c>
      <c r="AA524" s="9">
        <f t="shared" si="106"/>
        <v>202</v>
      </c>
    </row>
    <row r="525" ht="14.25" spans="1:27">
      <c r="A525" s="13">
        <v>523</v>
      </c>
      <c r="B525" s="15">
        <v>11</v>
      </c>
      <c r="C525" s="16">
        <v>28</v>
      </c>
      <c r="D525" s="17" t="s">
        <v>1056</v>
      </c>
      <c r="E525" s="17" t="s">
        <v>1057</v>
      </c>
      <c r="F525" s="174">
        <f>VLOOKUP(D525,原始分!$D:$N,3,0)</f>
        <v>99</v>
      </c>
      <c r="G525" s="174">
        <f t="shared" si="107"/>
        <v>442</v>
      </c>
      <c r="H525" s="174">
        <f>VLOOKUP(D525,原始分!$D:$N,4,0)</f>
        <v>86.5</v>
      </c>
      <c r="I525" s="174">
        <f t="shared" si="108"/>
        <v>684</v>
      </c>
      <c r="J525" s="174">
        <f>VLOOKUP(D525,原始分!$D:$N,5,0)</f>
        <v>106.25</v>
      </c>
      <c r="K525" s="174">
        <f t="shared" si="109"/>
        <v>242</v>
      </c>
      <c r="L525" s="174">
        <f>VLOOKUP(D525,原始分!$D:$N,6,0)</f>
        <v>51.5</v>
      </c>
      <c r="M525" s="174">
        <f t="shared" si="110"/>
        <v>313</v>
      </c>
      <c r="N525" s="174">
        <f>VLOOKUP(D525,原始分!$D:$N,7,0)</f>
        <v>0</v>
      </c>
      <c r="O525" s="174">
        <f t="shared" si="111"/>
        <v>207</v>
      </c>
      <c r="P525" s="174">
        <f>VLOOKUP(D525,原始分!$D:$N,8,0)</f>
        <v>33.5</v>
      </c>
      <c r="Q525" s="174">
        <f t="shared" si="112"/>
        <v>422</v>
      </c>
      <c r="R525" s="174">
        <f>VLOOKUP(D525,原始分!$D:$N,9,0)</f>
        <v>0</v>
      </c>
      <c r="S525" s="174">
        <f t="shared" si="113"/>
        <v>320</v>
      </c>
      <c r="T525" s="174">
        <f>VLOOKUP(D525,原始分!$D:$N,10,0)</f>
        <v>0</v>
      </c>
      <c r="U525" s="174">
        <f t="shared" si="114"/>
        <v>316</v>
      </c>
      <c r="V525" s="174">
        <f>VLOOKUP(D525,原始分!$D:$N,11,0)</f>
        <v>35.5</v>
      </c>
      <c r="W525" s="174">
        <f t="shared" si="115"/>
        <v>522</v>
      </c>
      <c r="X525" s="11">
        <f t="shared" si="116"/>
        <v>291.75</v>
      </c>
      <c r="Y525" s="9">
        <f t="shared" si="117"/>
        <v>480</v>
      </c>
      <c r="Z525" s="11">
        <f t="shared" si="118"/>
        <v>412.25</v>
      </c>
      <c r="AA525" s="9">
        <f t="shared" si="106"/>
        <v>459</v>
      </c>
    </row>
    <row r="526" ht="14.25" spans="1:27">
      <c r="A526" s="13">
        <v>524</v>
      </c>
      <c r="B526" s="15">
        <v>11</v>
      </c>
      <c r="C526" s="16">
        <v>29</v>
      </c>
      <c r="D526" s="17" t="s">
        <v>1058</v>
      </c>
      <c r="E526" s="17" t="s">
        <v>1059</v>
      </c>
      <c r="F526" s="174">
        <f>VLOOKUP(D526,原始分!$D:$N,3,0)</f>
        <v>103</v>
      </c>
      <c r="G526" s="174">
        <f t="shared" si="107"/>
        <v>260</v>
      </c>
      <c r="H526" s="174">
        <f>VLOOKUP(D526,原始分!$D:$N,4,0)</f>
        <v>102.5</v>
      </c>
      <c r="I526" s="174">
        <f t="shared" si="108"/>
        <v>372</v>
      </c>
      <c r="J526" s="174">
        <f>VLOOKUP(D526,原始分!$D:$N,5,0)</f>
        <v>100.75</v>
      </c>
      <c r="K526" s="174">
        <f t="shared" si="109"/>
        <v>354</v>
      </c>
      <c r="L526" s="174">
        <f>VLOOKUP(D526,原始分!$D:$N,6,0)</f>
        <v>57.5</v>
      </c>
      <c r="M526" s="174">
        <f t="shared" si="110"/>
        <v>228</v>
      </c>
      <c r="N526" s="174">
        <f>VLOOKUP(D526,原始分!$D:$N,7,0)</f>
        <v>0</v>
      </c>
      <c r="O526" s="174">
        <f t="shared" si="111"/>
        <v>207</v>
      </c>
      <c r="P526" s="174">
        <f>VLOOKUP(D526,原始分!$D:$N,8,0)</f>
        <v>40.5</v>
      </c>
      <c r="Q526" s="174">
        <f t="shared" si="112"/>
        <v>303</v>
      </c>
      <c r="R526" s="174">
        <f>VLOOKUP(D526,原始分!$D:$N,9,0)</f>
        <v>0</v>
      </c>
      <c r="S526" s="174">
        <f t="shared" si="113"/>
        <v>320</v>
      </c>
      <c r="T526" s="174">
        <f>VLOOKUP(D526,原始分!$D:$N,10,0)</f>
        <v>0</v>
      </c>
      <c r="U526" s="174">
        <f t="shared" si="114"/>
        <v>316</v>
      </c>
      <c r="V526" s="174">
        <f>VLOOKUP(D526,原始分!$D:$N,11,0)</f>
        <v>48.5</v>
      </c>
      <c r="W526" s="174">
        <f t="shared" si="115"/>
        <v>330</v>
      </c>
      <c r="X526" s="11">
        <f t="shared" si="116"/>
        <v>306.25</v>
      </c>
      <c r="Y526" s="9">
        <f t="shared" si="117"/>
        <v>305</v>
      </c>
      <c r="Z526" s="11">
        <f t="shared" si="118"/>
        <v>452.75</v>
      </c>
      <c r="AA526" s="9">
        <f t="shared" si="106"/>
        <v>259</v>
      </c>
    </row>
    <row r="527" ht="14.25" spans="1:27">
      <c r="A527" s="13">
        <v>525</v>
      </c>
      <c r="B527" s="15">
        <v>11</v>
      </c>
      <c r="C527" s="16">
        <v>30</v>
      </c>
      <c r="D527" s="17" t="s">
        <v>1060</v>
      </c>
      <c r="E527" s="17" t="s">
        <v>1061</v>
      </c>
      <c r="F527" s="174">
        <f>VLOOKUP(D527,原始分!$D:$N,3,0)</f>
        <v>95.5</v>
      </c>
      <c r="G527" s="174">
        <f t="shared" si="107"/>
        <v>595</v>
      </c>
      <c r="H527" s="174">
        <f>VLOOKUP(D527,原始分!$D:$N,4,0)</f>
        <v>93.5</v>
      </c>
      <c r="I527" s="174">
        <f t="shared" si="108"/>
        <v>549</v>
      </c>
      <c r="J527" s="174">
        <f>VLOOKUP(D527,原始分!$D:$N,5,0)</f>
        <v>110.25</v>
      </c>
      <c r="K527" s="174">
        <f t="shared" si="109"/>
        <v>170</v>
      </c>
      <c r="L527" s="174">
        <f>VLOOKUP(D527,原始分!$D:$N,6,0)</f>
        <v>55.5</v>
      </c>
      <c r="M527" s="174">
        <f t="shared" si="110"/>
        <v>262</v>
      </c>
      <c r="N527" s="174">
        <f>VLOOKUP(D527,原始分!$D:$N,7,0)</f>
        <v>0</v>
      </c>
      <c r="O527" s="174">
        <f t="shared" si="111"/>
        <v>207</v>
      </c>
      <c r="P527" s="174">
        <f>VLOOKUP(D527,原始分!$D:$N,8,0)</f>
        <v>47.5</v>
      </c>
      <c r="Q527" s="174">
        <f t="shared" si="112"/>
        <v>157</v>
      </c>
      <c r="R527" s="174">
        <f>VLOOKUP(D527,原始分!$D:$N,9,0)</f>
        <v>0</v>
      </c>
      <c r="S527" s="174">
        <f t="shared" si="113"/>
        <v>320</v>
      </c>
      <c r="T527" s="174">
        <f>VLOOKUP(D527,原始分!$D:$N,10,0)</f>
        <v>0</v>
      </c>
      <c r="U527" s="174">
        <f t="shared" si="114"/>
        <v>316</v>
      </c>
      <c r="V527" s="174">
        <f>VLOOKUP(D527,原始分!$D:$N,11,0)</f>
        <v>43</v>
      </c>
      <c r="W527" s="174">
        <f t="shared" si="115"/>
        <v>454</v>
      </c>
      <c r="X527" s="11">
        <f t="shared" si="116"/>
        <v>299.25</v>
      </c>
      <c r="Y527" s="9">
        <f t="shared" si="117"/>
        <v>379</v>
      </c>
      <c r="Z527" s="11">
        <f t="shared" si="118"/>
        <v>445.25</v>
      </c>
      <c r="AA527" s="9">
        <f t="shared" si="106"/>
        <v>308</v>
      </c>
    </row>
    <row r="528" ht="14.25" spans="1:27">
      <c r="A528" s="13">
        <v>526</v>
      </c>
      <c r="B528" s="15">
        <v>11</v>
      </c>
      <c r="C528" s="16">
        <v>31</v>
      </c>
      <c r="D528" s="17" t="s">
        <v>1062</v>
      </c>
      <c r="E528" s="17" t="s">
        <v>630</v>
      </c>
      <c r="F528" s="174">
        <f>VLOOKUP(D528,原始分!$D:$N,3,0)</f>
        <v>88.5</v>
      </c>
      <c r="G528" s="174">
        <f t="shared" si="107"/>
        <v>804</v>
      </c>
      <c r="H528" s="174">
        <f>VLOOKUP(D528,原始分!$D:$N,4,0)</f>
        <v>101</v>
      </c>
      <c r="I528" s="174">
        <f t="shared" si="108"/>
        <v>403</v>
      </c>
      <c r="J528" s="174">
        <f>VLOOKUP(D528,原始分!$D:$N,5,0)</f>
        <v>54.5</v>
      </c>
      <c r="K528" s="174">
        <f t="shared" si="109"/>
        <v>858</v>
      </c>
      <c r="L528" s="174">
        <f>VLOOKUP(D528,原始分!$D:$N,6,0)</f>
        <v>57</v>
      </c>
      <c r="M528" s="174">
        <f t="shared" si="110"/>
        <v>237</v>
      </c>
      <c r="N528" s="174">
        <f>VLOOKUP(D528,原始分!$D:$N,7,0)</f>
        <v>0</v>
      </c>
      <c r="O528" s="174">
        <f t="shared" si="111"/>
        <v>207</v>
      </c>
      <c r="P528" s="174">
        <f>VLOOKUP(D528,原始分!$D:$N,8,0)</f>
        <v>49.5</v>
      </c>
      <c r="Q528" s="174">
        <f t="shared" si="112"/>
        <v>120</v>
      </c>
      <c r="R528" s="174">
        <f>VLOOKUP(D528,原始分!$D:$N,9,0)</f>
        <v>0</v>
      </c>
      <c r="S528" s="174">
        <f t="shared" si="113"/>
        <v>320</v>
      </c>
      <c r="T528" s="174">
        <f>VLOOKUP(D528,原始分!$D:$N,10,0)</f>
        <v>0</v>
      </c>
      <c r="U528" s="174">
        <f t="shared" si="114"/>
        <v>316</v>
      </c>
      <c r="V528" s="174">
        <f>VLOOKUP(D528,原始分!$D:$N,11,0)</f>
        <v>51</v>
      </c>
      <c r="W528" s="174">
        <f t="shared" si="115"/>
        <v>278</v>
      </c>
      <c r="X528" s="11">
        <f t="shared" si="116"/>
        <v>244</v>
      </c>
      <c r="Y528" s="9">
        <f t="shared" si="117"/>
        <v>820</v>
      </c>
      <c r="Z528" s="11">
        <f t="shared" si="118"/>
        <v>401.5</v>
      </c>
      <c r="AA528" s="9">
        <f t="shared" si="106"/>
        <v>514</v>
      </c>
    </row>
    <row r="529" ht="14.25" spans="1:27">
      <c r="A529" s="13">
        <v>527</v>
      </c>
      <c r="B529" s="15">
        <v>11</v>
      </c>
      <c r="C529" s="16">
        <v>32</v>
      </c>
      <c r="D529" s="17" t="s">
        <v>1063</v>
      </c>
      <c r="E529" s="17" t="s">
        <v>1064</v>
      </c>
      <c r="F529" s="174">
        <f>VLOOKUP(D529,原始分!$D:$N,3,0)</f>
        <v>97</v>
      </c>
      <c r="G529" s="174">
        <f t="shared" si="107"/>
        <v>551</v>
      </c>
      <c r="H529" s="174">
        <f>VLOOKUP(D529,原始分!$D:$N,4,0)</f>
        <v>122</v>
      </c>
      <c r="I529" s="174">
        <f t="shared" si="108"/>
        <v>53</v>
      </c>
      <c r="J529" s="174">
        <f>VLOOKUP(D529,原始分!$D:$N,5,0)</f>
        <v>99</v>
      </c>
      <c r="K529" s="174">
        <f t="shared" si="109"/>
        <v>400</v>
      </c>
      <c r="L529" s="174">
        <f>VLOOKUP(D529,原始分!$D:$N,6,0)</f>
        <v>47</v>
      </c>
      <c r="M529" s="174">
        <f t="shared" si="110"/>
        <v>391</v>
      </c>
      <c r="N529" s="174">
        <f>VLOOKUP(D529,原始分!$D:$N,7,0)</f>
        <v>0</v>
      </c>
      <c r="O529" s="174">
        <f t="shared" si="111"/>
        <v>207</v>
      </c>
      <c r="P529" s="174">
        <f>VLOOKUP(D529,原始分!$D:$N,8,0)</f>
        <v>42</v>
      </c>
      <c r="Q529" s="174">
        <f t="shared" si="112"/>
        <v>266</v>
      </c>
      <c r="R529" s="174">
        <f>VLOOKUP(D529,原始分!$D:$N,9,0)</f>
        <v>0</v>
      </c>
      <c r="S529" s="174">
        <f t="shared" si="113"/>
        <v>320</v>
      </c>
      <c r="T529" s="174">
        <f>VLOOKUP(D529,原始分!$D:$N,10,0)</f>
        <v>0</v>
      </c>
      <c r="U529" s="174">
        <f t="shared" si="114"/>
        <v>316</v>
      </c>
      <c r="V529" s="174">
        <f>VLOOKUP(D529,原始分!$D:$N,11,0)</f>
        <v>52</v>
      </c>
      <c r="W529" s="174">
        <f t="shared" si="115"/>
        <v>248</v>
      </c>
      <c r="X529" s="11">
        <f t="shared" si="116"/>
        <v>318</v>
      </c>
      <c r="Y529" s="9">
        <f t="shared" si="117"/>
        <v>175</v>
      </c>
      <c r="Z529" s="11">
        <f t="shared" si="118"/>
        <v>459</v>
      </c>
      <c r="AA529" s="9">
        <f t="shared" si="106"/>
        <v>230</v>
      </c>
    </row>
    <row r="530" ht="14.25" spans="1:27">
      <c r="A530" s="13">
        <v>528</v>
      </c>
      <c r="B530" s="15">
        <v>11</v>
      </c>
      <c r="C530" s="16">
        <v>33</v>
      </c>
      <c r="D530" s="17" t="s">
        <v>1065</v>
      </c>
      <c r="E530" s="17" t="s">
        <v>1066</v>
      </c>
      <c r="F530" s="174">
        <f>VLOOKUP(D530,原始分!$D:$N,3,0)</f>
        <v>95</v>
      </c>
      <c r="G530" s="174">
        <f t="shared" si="107"/>
        <v>619</v>
      </c>
      <c r="H530" s="174">
        <f>VLOOKUP(D530,原始分!$D:$N,4,0)</f>
        <v>117</v>
      </c>
      <c r="I530" s="174">
        <f t="shared" si="108"/>
        <v>98</v>
      </c>
      <c r="J530" s="174">
        <f>VLOOKUP(D530,原始分!$D:$N,5,0)</f>
        <v>93</v>
      </c>
      <c r="K530" s="174">
        <f t="shared" si="109"/>
        <v>525</v>
      </c>
      <c r="L530" s="174">
        <f>VLOOKUP(D530,原始分!$D:$N,6,0)</f>
        <v>49.5</v>
      </c>
      <c r="M530" s="174">
        <f t="shared" si="110"/>
        <v>341</v>
      </c>
      <c r="N530" s="174">
        <f>VLOOKUP(D530,原始分!$D:$N,7,0)</f>
        <v>0</v>
      </c>
      <c r="O530" s="174">
        <f t="shared" si="111"/>
        <v>207</v>
      </c>
      <c r="P530" s="174">
        <f>VLOOKUP(D530,原始分!$D:$N,8,0)</f>
        <v>50</v>
      </c>
      <c r="Q530" s="174">
        <f t="shared" si="112"/>
        <v>109</v>
      </c>
      <c r="R530" s="174">
        <f>VLOOKUP(D530,原始分!$D:$N,9,0)</f>
        <v>0</v>
      </c>
      <c r="S530" s="174">
        <f t="shared" si="113"/>
        <v>320</v>
      </c>
      <c r="T530" s="174">
        <f>VLOOKUP(D530,原始分!$D:$N,10,0)</f>
        <v>0</v>
      </c>
      <c r="U530" s="174">
        <f t="shared" si="114"/>
        <v>316</v>
      </c>
      <c r="V530" s="174">
        <f>VLOOKUP(D530,原始分!$D:$N,11,0)</f>
        <v>54.5</v>
      </c>
      <c r="W530" s="174">
        <f t="shared" si="115"/>
        <v>187</v>
      </c>
      <c r="X530" s="11">
        <f t="shared" si="116"/>
        <v>305</v>
      </c>
      <c r="Y530" s="9">
        <f t="shared" si="117"/>
        <v>317</v>
      </c>
      <c r="Z530" s="11">
        <f t="shared" si="118"/>
        <v>459</v>
      </c>
      <c r="AA530" s="9">
        <f t="shared" si="106"/>
        <v>230</v>
      </c>
    </row>
    <row r="531" ht="14.25" spans="1:27">
      <c r="A531" s="13">
        <v>529</v>
      </c>
      <c r="B531" s="15">
        <v>11</v>
      </c>
      <c r="C531" s="16">
        <v>34</v>
      </c>
      <c r="D531" s="17" t="s">
        <v>1067</v>
      </c>
      <c r="E531" s="17" t="s">
        <v>1068</v>
      </c>
      <c r="F531" s="174">
        <f>VLOOKUP(D531,原始分!$D:$N,3,0)</f>
        <v>91</v>
      </c>
      <c r="G531" s="174">
        <f t="shared" si="107"/>
        <v>749</v>
      </c>
      <c r="H531" s="174">
        <f>VLOOKUP(D531,原始分!$D:$N,4,0)</f>
        <v>91</v>
      </c>
      <c r="I531" s="174">
        <f t="shared" si="108"/>
        <v>592</v>
      </c>
      <c r="J531" s="174">
        <f>VLOOKUP(D531,原始分!$D:$N,5,0)</f>
        <v>84</v>
      </c>
      <c r="K531" s="174">
        <f t="shared" si="109"/>
        <v>689</v>
      </c>
      <c r="L531" s="174">
        <f>VLOOKUP(D531,原始分!$D:$N,6,0)</f>
        <v>42.5</v>
      </c>
      <c r="M531" s="174">
        <f t="shared" si="110"/>
        <v>470</v>
      </c>
      <c r="N531" s="174">
        <f>VLOOKUP(D531,原始分!$D:$N,7,0)</f>
        <v>0</v>
      </c>
      <c r="O531" s="174">
        <f t="shared" si="111"/>
        <v>207</v>
      </c>
      <c r="P531" s="174">
        <f>VLOOKUP(D531,原始分!$D:$N,8,0)</f>
        <v>44.25</v>
      </c>
      <c r="Q531" s="174">
        <f t="shared" si="112"/>
        <v>226</v>
      </c>
      <c r="R531" s="174">
        <f>VLOOKUP(D531,原始分!$D:$N,9,0)</f>
        <v>0</v>
      </c>
      <c r="S531" s="174">
        <f t="shared" si="113"/>
        <v>320</v>
      </c>
      <c r="T531" s="174">
        <f>VLOOKUP(D531,原始分!$D:$N,10,0)</f>
        <v>0</v>
      </c>
      <c r="U531" s="174">
        <f t="shared" si="114"/>
        <v>316</v>
      </c>
      <c r="V531" s="174">
        <f>VLOOKUP(D531,原始分!$D:$N,11,0)</f>
        <v>49</v>
      </c>
      <c r="W531" s="174">
        <f t="shared" si="115"/>
        <v>323</v>
      </c>
      <c r="X531" s="11">
        <f t="shared" si="116"/>
        <v>266</v>
      </c>
      <c r="Y531" s="9">
        <f t="shared" si="117"/>
        <v>733</v>
      </c>
      <c r="Z531" s="11">
        <f t="shared" si="118"/>
        <v>401.75</v>
      </c>
      <c r="AA531" s="9">
        <f t="shared" si="106"/>
        <v>513</v>
      </c>
    </row>
    <row r="532" ht="14.25" spans="1:27">
      <c r="A532" s="13">
        <v>530</v>
      </c>
      <c r="B532" s="15">
        <v>11</v>
      </c>
      <c r="C532" s="16">
        <v>36</v>
      </c>
      <c r="D532" s="17" t="s">
        <v>1069</v>
      </c>
      <c r="E532" s="17" t="s">
        <v>1070</v>
      </c>
      <c r="F532" s="174">
        <f>VLOOKUP(D532,原始分!$D:$N,3,0)</f>
        <v>91</v>
      </c>
      <c r="G532" s="174">
        <f t="shared" si="107"/>
        <v>749</v>
      </c>
      <c r="H532" s="174">
        <f>VLOOKUP(D532,原始分!$D:$N,4,0)</f>
        <v>113.5</v>
      </c>
      <c r="I532" s="174">
        <f t="shared" si="108"/>
        <v>152</v>
      </c>
      <c r="J532" s="174">
        <f>VLOOKUP(D532,原始分!$D:$N,5,0)</f>
        <v>95.25</v>
      </c>
      <c r="K532" s="174">
        <f t="shared" si="109"/>
        <v>482</v>
      </c>
      <c r="L532" s="174">
        <f>VLOOKUP(D532,原始分!$D:$N,6,0)</f>
        <v>64</v>
      </c>
      <c r="M532" s="174">
        <f t="shared" si="110"/>
        <v>130</v>
      </c>
      <c r="N532" s="174">
        <f>VLOOKUP(D532,原始分!$D:$N,7,0)</f>
        <v>0</v>
      </c>
      <c r="O532" s="174">
        <f t="shared" si="111"/>
        <v>207</v>
      </c>
      <c r="P532" s="174">
        <f>VLOOKUP(D532,原始分!$D:$N,8,0)</f>
        <v>55</v>
      </c>
      <c r="Q532" s="174">
        <f t="shared" si="112"/>
        <v>51</v>
      </c>
      <c r="R532" s="174">
        <f>VLOOKUP(D532,原始分!$D:$N,9,0)</f>
        <v>0</v>
      </c>
      <c r="S532" s="174">
        <f t="shared" si="113"/>
        <v>320</v>
      </c>
      <c r="T532" s="174">
        <f>VLOOKUP(D532,原始分!$D:$N,10,0)</f>
        <v>0</v>
      </c>
      <c r="U532" s="174">
        <f t="shared" si="114"/>
        <v>316</v>
      </c>
      <c r="V532" s="174">
        <f>VLOOKUP(D532,原始分!$D:$N,11,0)</f>
        <v>51.5</v>
      </c>
      <c r="W532" s="174">
        <f t="shared" si="115"/>
        <v>262</v>
      </c>
      <c r="X532" s="11">
        <f t="shared" si="116"/>
        <v>299.75</v>
      </c>
      <c r="Y532" s="9">
        <f t="shared" si="117"/>
        <v>376</v>
      </c>
      <c r="Z532" s="11">
        <f t="shared" si="118"/>
        <v>470.25</v>
      </c>
      <c r="AA532" s="9">
        <f t="shared" si="106"/>
        <v>176</v>
      </c>
    </row>
    <row r="533" ht="14.25" spans="1:27">
      <c r="A533" s="13">
        <v>531</v>
      </c>
      <c r="B533" s="15">
        <v>11</v>
      </c>
      <c r="C533" s="16">
        <v>37</v>
      </c>
      <c r="D533" s="17" t="s">
        <v>1071</v>
      </c>
      <c r="E533" s="17" t="s">
        <v>1072</v>
      </c>
      <c r="F533" s="174">
        <f>VLOOKUP(D533,原始分!$D:$N,3,0)</f>
        <v>95.5</v>
      </c>
      <c r="G533" s="174">
        <f t="shared" si="107"/>
        <v>595</v>
      </c>
      <c r="H533" s="174">
        <f>VLOOKUP(D533,原始分!$D:$N,4,0)</f>
        <v>109</v>
      </c>
      <c r="I533" s="174">
        <f t="shared" si="108"/>
        <v>241</v>
      </c>
      <c r="J533" s="174">
        <f>VLOOKUP(D533,原始分!$D:$N,5,0)</f>
        <v>117.5</v>
      </c>
      <c r="K533" s="174">
        <f t="shared" si="109"/>
        <v>71</v>
      </c>
      <c r="L533" s="174">
        <f>VLOOKUP(D533,原始分!$D:$N,6,0)</f>
        <v>60</v>
      </c>
      <c r="M533" s="174">
        <f t="shared" si="110"/>
        <v>187</v>
      </c>
      <c r="N533" s="174">
        <f>VLOOKUP(D533,原始分!$D:$N,7,0)</f>
        <v>0</v>
      </c>
      <c r="O533" s="174">
        <f t="shared" si="111"/>
        <v>207</v>
      </c>
      <c r="P533" s="174">
        <f>VLOOKUP(D533,原始分!$D:$N,8,0)</f>
        <v>49.5</v>
      </c>
      <c r="Q533" s="174">
        <f t="shared" si="112"/>
        <v>120</v>
      </c>
      <c r="R533" s="174">
        <f>VLOOKUP(D533,原始分!$D:$N,9,0)</f>
        <v>0</v>
      </c>
      <c r="S533" s="174">
        <f t="shared" si="113"/>
        <v>320</v>
      </c>
      <c r="T533" s="174">
        <f>VLOOKUP(D533,原始分!$D:$N,10,0)</f>
        <v>0</v>
      </c>
      <c r="U533" s="174">
        <f t="shared" si="114"/>
        <v>316</v>
      </c>
      <c r="V533" s="174">
        <f>VLOOKUP(D533,原始分!$D:$N,11,0)</f>
        <v>62</v>
      </c>
      <c r="W533" s="174">
        <f t="shared" si="115"/>
        <v>64</v>
      </c>
      <c r="X533" s="11">
        <f t="shared" si="116"/>
        <v>322</v>
      </c>
      <c r="Y533" s="9">
        <f t="shared" si="117"/>
        <v>143</v>
      </c>
      <c r="Z533" s="11">
        <f t="shared" si="118"/>
        <v>493.5</v>
      </c>
      <c r="AA533" s="9">
        <f t="shared" si="106"/>
        <v>94</v>
      </c>
    </row>
    <row r="534" ht="14.25" spans="1:27">
      <c r="A534" s="13">
        <v>532</v>
      </c>
      <c r="B534" s="15">
        <v>11</v>
      </c>
      <c r="C534" s="16">
        <v>38</v>
      </c>
      <c r="D534" s="17" t="s">
        <v>1073</v>
      </c>
      <c r="E534" s="17" t="s">
        <v>1074</v>
      </c>
      <c r="F534" s="174">
        <f>VLOOKUP(D534,原始分!$D:$N,3,0)</f>
        <v>105</v>
      </c>
      <c r="G534" s="174">
        <f t="shared" si="107"/>
        <v>171</v>
      </c>
      <c r="H534" s="174">
        <f>VLOOKUP(D534,原始分!$D:$N,4,0)</f>
        <v>111</v>
      </c>
      <c r="I534" s="174">
        <f t="shared" si="108"/>
        <v>201</v>
      </c>
      <c r="J534" s="174">
        <f>VLOOKUP(D534,原始分!$D:$N,5,0)</f>
        <v>98.25</v>
      </c>
      <c r="K534" s="174">
        <f t="shared" si="109"/>
        <v>423</v>
      </c>
      <c r="L534" s="174">
        <f>VLOOKUP(D534,原始分!$D:$N,6,0)</f>
        <v>59.5</v>
      </c>
      <c r="M534" s="174">
        <f t="shared" si="110"/>
        <v>195</v>
      </c>
      <c r="N534" s="174">
        <f>VLOOKUP(D534,原始分!$D:$N,7,0)</f>
        <v>0</v>
      </c>
      <c r="O534" s="174">
        <f t="shared" si="111"/>
        <v>207</v>
      </c>
      <c r="P534" s="174">
        <f>VLOOKUP(D534,原始分!$D:$N,8,0)</f>
        <v>53.5</v>
      </c>
      <c r="Q534" s="174">
        <f t="shared" si="112"/>
        <v>62</v>
      </c>
      <c r="R534" s="174">
        <f>VLOOKUP(D534,原始分!$D:$N,9,0)</f>
        <v>0</v>
      </c>
      <c r="S534" s="174">
        <f t="shared" si="113"/>
        <v>320</v>
      </c>
      <c r="T534" s="174">
        <f>VLOOKUP(D534,原始分!$D:$N,10,0)</f>
        <v>0</v>
      </c>
      <c r="U534" s="174">
        <f t="shared" si="114"/>
        <v>316</v>
      </c>
      <c r="V534" s="174">
        <f>VLOOKUP(D534,原始分!$D:$N,11,0)</f>
        <v>54.5</v>
      </c>
      <c r="W534" s="174">
        <f t="shared" si="115"/>
        <v>187</v>
      </c>
      <c r="X534" s="11">
        <f t="shared" si="116"/>
        <v>314.25</v>
      </c>
      <c r="Y534" s="9">
        <f t="shared" si="117"/>
        <v>213</v>
      </c>
      <c r="Z534" s="11">
        <f t="shared" si="118"/>
        <v>481.75</v>
      </c>
      <c r="AA534" s="9">
        <f t="shared" si="106"/>
        <v>124</v>
      </c>
    </row>
    <row r="535" ht="14.25" spans="1:27">
      <c r="A535" s="13">
        <v>533</v>
      </c>
      <c r="B535" s="15">
        <v>11</v>
      </c>
      <c r="C535" s="16">
        <v>39</v>
      </c>
      <c r="D535" s="17" t="s">
        <v>1075</v>
      </c>
      <c r="E535" s="17" t="s">
        <v>1076</v>
      </c>
      <c r="F535" s="174">
        <f>VLOOKUP(D535,原始分!$D:$N,3,0)</f>
        <v>101</v>
      </c>
      <c r="G535" s="174">
        <f t="shared" si="107"/>
        <v>338</v>
      </c>
      <c r="H535" s="174">
        <f>VLOOKUP(D535,原始分!$D:$N,4,0)</f>
        <v>53</v>
      </c>
      <c r="I535" s="174">
        <f t="shared" si="108"/>
        <v>860</v>
      </c>
      <c r="J535" s="174">
        <f>VLOOKUP(D535,原始分!$D:$N,5,0)</f>
        <v>76.75</v>
      </c>
      <c r="K535" s="174">
        <f t="shared" si="109"/>
        <v>778</v>
      </c>
      <c r="L535" s="174">
        <f>VLOOKUP(D535,原始分!$D:$N,6,0)</f>
        <v>41</v>
      </c>
      <c r="M535" s="174">
        <f t="shared" si="110"/>
        <v>490</v>
      </c>
      <c r="N535" s="174">
        <f>VLOOKUP(D535,原始分!$D:$N,7,0)</f>
        <v>0</v>
      </c>
      <c r="O535" s="174">
        <f t="shared" si="111"/>
        <v>207</v>
      </c>
      <c r="P535" s="174">
        <f>VLOOKUP(D535,原始分!$D:$N,8,0)</f>
        <v>38</v>
      </c>
      <c r="Q535" s="174">
        <f t="shared" si="112"/>
        <v>362</v>
      </c>
      <c r="R535" s="174">
        <f>VLOOKUP(D535,原始分!$D:$N,9,0)</f>
        <v>0</v>
      </c>
      <c r="S535" s="174">
        <f t="shared" si="113"/>
        <v>320</v>
      </c>
      <c r="T535" s="174">
        <f>VLOOKUP(D535,原始分!$D:$N,10,0)</f>
        <v>0</v>
      </c>
      <c r="U535" s="174">
        <f t="shared" si="114"/>
        <v>316</v>
      </c>
      <c r="V535" s="174">
        <f>VLOOKUP(D535,原始分!$D:$N,11,0)</f>
        <v>62</v>
      </c>
      <c r="W535" s="174">
        <f t="shared" si="115"/>
        <v>64</v>
      </c>
      <c r="X535" s="11">
        <f t="shared" si="116"/>
        <v>230.75</v>
      </c>
      <c r="Y535" s="9">
        <f t="shared" si="117"/>
        <v>850</v>
      </c>
      <c r="Z535" s="11">
        <f t="shared" si="118"/>
        <v>371.75</v>
      </c>
      <c r="AA535" s="9">
        <f t="shared" si="106"/>
        <v>603</v>
      </c>
    </row>
    <row r="536" ht="14.25" spans="1:27">
      <c r="A536" s="13">
        <v>534</v>
      </c>
      <c r="B536" s="15">
        <v>11</v>
      </c>
      <c r="C536" s="16">
        <v>40</v>
      </c>
      <c r="D536" s="17" t="s">
        <v>1077</v>
      </c>
      <c r="E536" s="17" t="s">
        <v>1078</v>
      </c>
      <c r="F536" s="174">
        <f>VLOOKUP(D536,原始分!$D:$N,3,0)</f>
        <v>97.5</v>
      </c>
      <c r="G536" s="174">
        <f t="shared" si="107"/>
        <v>531</v>
      </c>
      <c r="H536" s="174">
        <f>VLOOKUP(D536,原始分!$D:$N,4,0)</f>
        <v>113</v>
      </c>
      <c r="I536" s="174">
        <f t="shared" si="108"/>
        <v>160</v>
      </c>
      <c r="J536" s="174">
        <f>VLOOKUP(D536,原始分!$D:$N,5,0)</f>
        <v>96.5</v>
      </c>
      <c r="K536" s="174">
        <f t="shared" si="109"/>
        <v>455</v>
      </c>
      <c r="L536" s="174">
        <f>VLOOKUP(D536,原始分!$D:$N,6,0)</f>
        <v>71.5</v>
      </c>
      <c r="M536" s="174">
        <f t="shared" si="110"/>
        <v>55</v>
      </c>
      <c r="N536" s="174">
        <f>VLOOKUP(D536,原始分!$D:$N,7,0)</f>
        <v>0</v>
      </c>
      <c r="O536" s="174">
        <f t="shared" si="111"/>
        <v>207</v>
      </c>
      <c r="P536" s="174">
        <f>VLOOKUP(D536,原始分!$D:$N,8,0)</f>
        <v>47</v>
      </c>
      <c r="Q536" s="174">
        <f t="shared" si="112"/>
        <v>173</v>
      </c>
      <c r="R536" s="174">
        <f>VLOOKUP(D536,原始分!$D:$N,9,0)</f>
        <v>0</v>
      </c>
      <c r="S536" s="174">
        <f t="shared" si="113"/>
        <v>320</v>
      </c>
      <c r="T536" s="174">
        <f>VLOOKUP(D536,原始分!$D:$N,10,0)</f>
        <v>0</v>
      </c>
      <c r="U536" s="174">
        <f t="shared" si="114"/>
        <v>316</v>
      </c>
      <c r="V536" s="174">
        <f>VLOOKUP(D536,原始分!$D:$N,11,0)</f>
        <v>39</v>
      </c>
      <c r="W536" s="174">
        <f t="shared" si="115"/>
        <v>502</v>
      </c>
      <c r="X536" s="11">
        <f t="shared" si="116"/>
        <v>307</v>
      </c>
      <c r="Y536" s="9">
        <f t="shared" si="117"/>
        <v>300</v>
      </c>
      <c r="Z536" s="11">
        <f t="shared" si="118"/>
        <v>464.5</v>
      </c>
      <c r="AA536" s="9">
        <f t="shared" si="106"/>
        <v>198</v>
      </c>
    </row>
    <row r="537" ht="14.25" spans="1:27">
      <c r="A537" s="13">
        <v>535</v>
      </c>
      <c r="B537" s="15">
        <v>11</v>
      </c>
      <c r="C537" s="16">
        <v>41</v>
      </c>
      <c r="D537" s="17" t="s">
        <v>1079</v>
      </c>
      <c r="E537" s="17" t="s">
        <v>1080</v>
      </c>
      <c r="F537" s="174">
        <f>VLOOKUP(D537,原始分!$D:$N,3,0)</f>
        <v>101</v>
      </c>
      <c r="G537" s="174">
        <f t="shared" si="107"/>
        <v>338</v>
      </c>
      <c r="H537" s="174">
        <f>VLOOKUP(D537,原始分!$D:$N,4,0)</f>
        <v>91</v>
      </c>
      <c r="I537" s="174">
        <f t="shared" si="108"/>
        <v>592</v>
      </c>
      <c r="J537" s="174">
        <f>VLOOKUP(D537,原始分!$D:$N,5,0)</f>
        <v>88.5</v>
      </c>
      <c r="K537" s="174">
        <f t="shared" si="109"/>
        <v>604</v>
      </c>
      <c r="L537" s="174">
        <f>VLOOKUP(D537,原始分!$D:$N,6,0)</f>
        <v>44</v>
      </c>
      <c r="M537" s="174">
        <f t="shared" si="110"/>
        <v>441</v>
      </c>
      <c r="N537" s="174">
        <f>VLOOKUP(D537,原始分!$D:$N,7,0)</f>
        <v>0</v>
      </c>
      <c r="O537" s="174">
        <f t="shared" si="111"/>
        <v>207</v>
      </c>
      <c r="P537" s="174">
        <f>VLOOKUP(D537,原始分!$D:$N,8,0)</f>
        <v>33</v>
      </c>
      <c r="Q537" s="174">
        <f t="shared" si="112"/>
        <v>435</v>
      </c>
      <c r="R537" s="174">
        <f>VLOOKUP(D537,原始分!$D:$N,9,0)</f>
        <v>0</v>
      </c>
      <c r="S537" s="174">
        <f t="shared" si="113"/>
        <v>320</v>
      </c>
      <c r="T537" s="174">
        <f>VLOOKUP(D537,原始分!$D:$N,10,0)</f>
        <v>0</v>
      </c>
      <c r="U537" s="174">
        <f t="shared" si="114"/>
        <v>316</v>
      </c>
      <c r="V537" s="174">
        <f>VLOOKUP(D537,原始分!$D:$N,11,0)</f>
        <v>43</v>
      </c>
      <c r="W537" s="174">
        <f t="shared" si="115"/>
        <v>454</v>
      </c>
      <c r="X537" s="11">
        <f t="shared" si="116"/>
        <v>280.5</v>
      </c>
      <c r="Y537" s="9">
        <f t="shared" si="117"/>
        <v>593</v>
      </c>
      <c r="Z537" s="11">
        <f t="shared" si="118"/>
        <v>400.5</v>
      </c>
      <c r="AA537" s="9">
        <f t="shared" si="106"/>
        <v>520</v>
      </c>
    </row>
    <row r="538" ht="14.25" spans="1:27">
      <c r="A538" s="13">
        <v>536</v>
      </c>
      <c r="B538" s="15">
        <v>11</v>
      </c>
      <c r="C538" s="16">
        <v>42</v>
      </c>
      <c r="D538" s="17" t="s">
        <v>1081</v>
      </c>
      <c r="E538" s="17" t="s">
        <v>1082</v>
      </c>
      <c r="F538" s="174">
        <f>VLOOKUP(D538,原始分!$D:$N,3,0)</f>
        <v>94.5</v>
      </c>
      <c r="G538" s="174">
        <f t="shared" si="107"/>
        <v>642</v>
      </c>
      <c r="H538" s="174">
        <f>VLOOKUP(D538,原始分!$D:$N,4,0)</f>
        <v>100.5</v>
      </c>
      <c r="I538" s="174">
        <f t="shared" si="108"/>
        <v>410</v>
      </c>
      <c r="J538" s="174">
        <f>VLOOKUP(D538,原始分!$D:$N,5,0)</f>
        <v>37.75</v>
      </c>
      <c r="K538" s="174">
        <f t="shared" si="109"/>
        <v>867</v>
      </c>
      <c r="L538" s="174">
        <f>VLOOKUP(D538,原始分!$D:$N,6,0)</f>
        <v>54.5</v>
      </c>
      <c r="M538" s="174">
        <f t="shared" si="110"/>
        <v>281</v>
      </c>
      <c r="N538" s="174">
        <f>VLOOKUP(D538,原始分!$D:$N,7,0)</f>
        <v>0</v>
      </c>
      <c r="O538" s="174">
        <f t="shared" si="111"/>
        <v>207</v>
      </c>
      <c r="P538" s="174">
        <f>VLOOKUP(D538,原始分!$D:$N,8,0)</f>
        <v>29.5</v>
      </c>
      <c r="Q538" s="174">
        <f t="shared" si="112"/>
        <v>480</v>
      </c>
      <c r="R538" s="174">
        <f>VLOOKUP(D538,原始分!$D:$N,9,0)</f>
        <v>0</v>
      </c>
      <c r="S538" s="174">
        <f t="shared" si="113"/>
        <v>320</v>
      </c>
      <c r="T538" s="174">
        <f>VLOOKUP(D538,原始分!$D:$N,10,0)</f>
        <v>0</v>
      </c>
      <c r="U538" s="174">
        <f t="shared" si="114"/>
        <v>316</v>
      </c>
      <c r="V538" s="174">
        <f>VLOOKUP(D538,原始分!$D:$N,11,0)</f>
        <v>49.5</v>
      </c>
      <c r="W538" s="174">
        <f t="shared" si="115"/>
        <v>313</v>
      </c>
      <c r="X538" s="11">
        <f t="shared" si="116"/>
        <v>232.75</v>
      </c>
      <c r="Y538" s="9">
        <f t="shared" si="117"/>
        <v>844</v>
      </c>
      <c r="Z538" s="11">
        <f t="shared" si="118"/>
        <v>366.25</v>
      </c>
      <c r="AA538" s="9">
        <f t="shared" si="106"/>
        <v>620</v>
      </c>
    </row>
    <row r="539" ht="14.25" spans="1:27">
      <c r="A539" s="13">
        <v>537</v>
      </c>
      <c r="B539" s="15">
        <v>11</v>
      </c>
      <c r="C539" s="16">
        <v>43</v>
      </c>
      <c r="D539" s="17" t="s">
        <v>1083</v>
      </c>
      <c r="E539" s="17" t="s">
        <v>1084</v>
      </c>
      <c r="F539" s="174">
        <f>VLOOKUP(D539,原始分!$D:$N,3,0)</f>
        <v>86.75</v>
      </c>
      <c r="G539" s="174">
        <f t="shared" si="107"/>
        <v>824</v>
      </c>
      <c r="H539" s="174">
        <f>VLOOKUP(D539,原始分!$D:$N,4,0)</f>
        <v>105.5</v>
      </c>
      <c r="I539" s="174">
        <f t="shared" si="108"/>
        <v>311</v>
      </c>
      <c r="J539" s="174">
        <f>VLOOKUP(D539,原始分!$D:$N,5,0)</f>
        <v>72.5</v>
      </c>
      <c r="K539" s="174">
        <f t="shared" si="109"/>
        <v>809</v>
      </c>
      <c r="L539" s="174">
        <f>VLOOKUP(D539,原始分!$D:$N,6,0)</f>
        <v>38.5</v>
      </c>
      <c r="M539" s="174">
        <f t="shared" si="110"/>
        <v>528</v>
      </c>
      <c r="N539" s="174">
        <f>VLOOKUP(D539,原始分!$D:$N,7,0)</f>
        <v>0</v>
      </c>
      <c r="O539" s="174">
        <f t="shared" si="111"/>
        <v>207</v>
      </c>
      <c r="P539" s="174">
        <f>VLOOKUP(D539,原始分!$D:$N,8,0)</f>
        <v>43</v>
      </c>
      <c r="Q539" s="174">
        <f t="shared" si="112"/>
        <v>248</v>
      </c>
      <c r="R539" s="174">
        <f>VLOOKUP(D539,原始分!$D:$N,9,0)</f>
        <v>0</v>
      </c>
      <c r="S539" s="174">
        <f t="shared" si="113"/>
        <v>320</v>
      </c>
      <c r="T539" s="174">
        <f>VLOOKUP(D539,原始分!$D:$N,10,0)</f>
        <v>0</v>
      </c>
      <c r="U539" s="174">
        <f t="shared" si="114"/>
        <v>316</v>
      </c>
      <c r="V539" s="174">
        <f>VLOOKUP(D539,原始分!$D:$N,11,0)</f>
        <v>35</v>
      </c>
      <c r="W539" s="174">
        <f t="shared" si="115"/>
        <v>528</v>
      </c>
      <c r="X539" s="11">
        <f t="shared" si="116"/>
        <v>264.75</v>
      </c>
      <c r="Y539" s="9">
        <f t="shared" si="117"/>
        <v>743</v>
      </c>
      <c r="Z539" s="11">
        <f t="shared" si="118"/>
        <v>381.25</v>
      </c>
      <c r="AA539" s="9">
        <f t="shared" si="106"/>
        <v>571</v>
      </c>
    </row>
    <row r="540" ht="14.25" spans="1:27">
      <c r="A540" s="13">
        <v>538</v>
      </c>
      <c r="B540" s="15">
        <v>11</v>
      </c>
      <c r="C540" s="16">
        <v>44</v>
      </c>
      <c r="D540" s="17" t="s">
        <v>1085</v>
      </c>
      <c r="E540" s="17" t="s">
        <v>1029</v>
      </c>
      <c r="F540" s="174">
        <f>VLOOKUP(D540,原始分!$D:$N,3,0)</f>
        <v>105</v>
      </c>
      <c r="G540" s="174">
        <f t="shared" si="107"/>
        <v>171</v>
      </c>
      <c r="H540" s="174">
        <f>VLOOKUP(D540,原始分!$D:$N,4,0)</f>
        <v>97</v>
      </c>
      <c r="I540" s="174">
        <f t="shared" si="108"/>
        <v>478</v>
      </c>
      <c r="J540" s="174">
        <f>VLOOKUP(D540,原始分!$D:$N,5,0)</f>
        <v>105.5</v>
      </c>
      <c r="K540" s="174">
        <f t="shared" si="109"/>
        <v>259</v>
      </c>
      <c r="L540" s="174">
        <f>VLOOKUP(D540,原始分!$D:$N,6,0)</f>
        <v>23</v>
      </c>
      <c r="M540" s="174">
        <f t="shared" si="110"/>
        <v>645</v>
      </c>
      <c r="N540" s="174">
        <f>VLOOKUP(D540,原始分!$D:$N,7,0)</f>
        <v>0</v>
      </c>
      <c r="O540" s="174">
        <f t="shared" si="111"/>
        <v>207</v>
      </c>
      <c r="P540" s="174">
        <f>VLOOKUP(D540,原始分!$D:$N,8,0)</f>
        <v>53.5</v>
      </c>
      <c r="Q540" s="174">
        <f t="shared" si="112"/>
        <v>62</v>
      </c>
      <c r="R540" s="174">
        <f>VLOOKUP(D540,原始分!$D:$N,9,0)</f>
        <v>0</v>
      </c>
      <c r="S540" s="174">
        <f t="shared" si="113"/>
        <v>320</v>
      </c>
      <c r="T540" s="174">
        <f>VLOOKUP(D540,原始分!$D:$N,10,0)</f>
        <v>0</v>
      </c>
      <c r="U540" s="174">
        <f t="shared" si="114"/>
        <v>316</v>
      </c>
      <c r="V540" s="174">
        <f>VLOOKUP(D540,原始分!$D:$N,11,0)</f>
        <v>51.5</v>
      </c>
      <c r="W540" s="174">
        <f t="shared" si="115"/>
        <v>262</v>
      </c>
      <c r="X540" s="11">
        <f t="shared" si="116"/>
        <v>307.5</v>
      </c>
      <c r="Y540" s="9">
        <f t="shared" si="117"/>
        <v>292</v>
      </c>
      <c r="Z540" s="11">
        <f t="shared" si="118"/>
        <v>435.5</v>
      </c>
      <c r="AA540" s="9">
        <f t="shared" si="106"/>
        <v>358</v>
      </c>
    </row>
    <row r="541" ht="14.25" spans="1:27">
      <c r="A541" s="13">
        <v>539</v>
      </c>
      <c r="B541" s="15">
        <v>11</v>
      </c>
      <c r="C541" s="16">
        <v>45</v>
      </c>
      <c r="D541" s="17" t="s">
        <v>1086</v>
      </c>
      <c r="E541" s="17" t="s">
        <v>1087</v>
      </c>
      <c r="F541" s="174">
        <f>VLOOKUP(D541,原始分!$D:$N,3,0)</f>
        <v>87</v>
      </c>
      <c r="G541" s="174">
        <f t="shared" si="107"/>
        <v>821</v>
      </c>
      <c r="H541" s="174">
        <f>VLOOKUP(D541,原始分!$D:$N,4,0)</f>
        <v>102</v>
      </c>
      <c r="I541" s="174">
        <f t="shared" si="108"/>
        <v>383</v>
      </c>
      <c r="J541" s="174">
        <f>VLOOKUP(D541,原始分!$D:$N,5,0)</f>
        <v>105.25</v>
      </c>
      <c r="K541" s="174">
        <f t="shared" si="109"/>
        <v>270</v>
      </c>
      <c r="L541" s="174">
        <f>VLOOKUP(D541,原始分!$D:$N,6,0)</f>
        <v>47</v>
      </c>
      <c r="M541" s="174">
        <f t="shared" si="110"/>
        <v>391</v>
      </c>
      <c r="N541" s="174">
        <f>VLOOKUP(D541,原始分!$D:$N,7,0)</f>
        <v>0</v>
      </c>
      <c r="O541" s="174">
        <f t="shared" si="111"/>
        <v>207</v>
      </c>
      <c r="P541" s="174">
        <f>VLOOKUP(D541,原始分!$D:$N,8,0)</f>
        <v>46</v>
      </c>
      <c r="Q541" s="174">
        <f t="shared" si="112"/>
        <v>194</v>
      </c>
      <c r="R541" s="174">
        <f>VLOOKUP(D541,原始分!$D:$N,9,0)</f>
        <v>0</v>
      </c>
      <c r="S541" s="174">
        <f t="shared" si="113"/>
        <v>320</v>
      </c>
      <c r="T541" s="174">
        <f>VLOOKUP(D541,原始分!$D:$N,10,0)</f>
        <v>0</v>
      </c>
      <c r="U541" s="174">
        <f t="shared" si="114"/>
        <v>316</v>
      </c>
      <c r="V541" s="174">
        <f>VLOOKUP(D541,原始分!$D:$N,11,0)</f>
        <v>51.5</v>
      </c>
      <c r="W541" s="174">
        <f t="shared" si="115"/>
        <v>262</v>
      </c>
      <c r="X541" s="11">
        <f t="shared" si="116"/>
        <v>294.25</v>
      </c>
      <c r="Y541" s="9">
        <f t="shared" si="117"/>
        <v>441</v>
      </c>
      <c r="Z541" s="11">
        <f t="shared" si="118"/>
        <v>438.75</v>
      </c>
      <c r="AA541" s="9">
        <f t="shared" si="106"/>
        <v>338</v>
      </c>
    </row>
    <row r="542" ht="14.25" spans="1:27">
      <c r="A542" s="13">
        <v>540</v>
      </c>
      <c r="B542" s="15">
        <v>11</v>
      </c>
      <c r="C542" s="16">
        <v>46</v>
      </c>
      <c r="D542" s="17" t="s">
        <v>1088</v>
      </c>
      <c r="E542" s="17" t="s">
        <v>1089</v>
      </c>
      <c r="F542" s="174">
        <f>VLOOKUP(D542,原始分!$D:$N,3,0)</f>
        <v>107</v>
      </c>
      <c r="G542" s="174">
        <f t="shared" si="107"/>
        <v>113</v>
      </c>
      <c r="H542" s="174">
        <f>VLOOKUP(D542,原始分!$D:$N,4,0)</f>
        <v>86.5</v>
      </c>
      <c r="I542" s="174">
        <f t="shared" si="108"/>
        <v>684</v>
      </c>
      <c r="J542" s="174">
        <f>VLOOKUP(D542,原始分!$D:$N,5,0)</f>
        <v>92.5</v>
      </c>
      <c r="K542" s="174">
        <f t="shared" si="109"/>
        <v>539</v>
      </c>
      <c r="L542" s="174">
        <f>VLOOKUP(D542,原始分!$D:$N,6,0)</f>
        <v>50.5</v>
      </c>
      <c r="M542" s="174">
        <f t="shared" si="110"/>
        <v>328</v>
      </c>
      <c r="N542" s="174">
        <f>VLOOKUP(D542,原始分!$D:$N,7,0)</f>
        <v>0</v>
      </c>
      <c r="O542" s="174">
        <f t="shared" si="111"/>
        <v>207</v>
      </c>
      <c r="P542" s="174">
        <f>VLOOKUP(D542,原始分!$D:$N,8,0)</f>
        <v>45</v>
      </c>
      <c r="Q542" s="174">
        <f t="shared" si="112"/>
        <v>209</v>
      </c>
      <c r="R542" s="174">
        <f>VLOOKUP(D542,原始分!$D:$N,9,0)</f>
        <v>0</v>
      </c>
      <c r="S542" s="174">
        <f t="shared" si="113"/>
        <v>320</v>
      </c>
      <c r="T542" s="174">
        <f>VLOOKUP(D542,原始分!$D:$N,10,0)</f>
        <v>0</v>
      </c>
      <c r="U542" s="174">
        <f t="shared" si="114"/>
        <v>316</v>
      </c>
      <c r="V542" s="174">
        <f>VLOOKUP(D542,原始分!$D:$N,11,0)</f>
        <v>56.5</v>
      </c>
      <c r="W542" s="174">
        <f t="shared" si="115"/>
        <v>153</v>
      </c>
      <c r="X542" s="11">
        <f t="shared" si="116"/>
        <v>286</v>
      </c>
      <c r="Y542" s="9">
        <f t="shared" si="117"/>
        <v>533</v>
      </c>
      <c r="Z542" s="11">
        <f t="shared" si="118"/>
        <v>438</v>
      </c>
      <c r="AA542" s="9">
        <f t="shared" si="106"/>
        <v>340</v>
      </c>
    </row>
    <row r="543" ht="14.25" spans="1:27">
      <c r="A543" s="13">
        <v>541</v>
      </c>
      <c r="B543" s="15">
        <v>11</v>
      </c>
      <c r="C543" s="16">
        <v>47</v>
      </c>
      <c r="D543" s="17" t="s">
        <v>1090</v>
      </c>
      <c r="E543" s="17" t="s">
        <v>1091</v>
      </c>
      <c r="F543" s="174">
        <f>VLOOKUP(D543,原始分!$D:$N,3,0)</f>
        <v>94</v>
      </c>
      <c r="G543" s="174">
        <f t="shared" si="107"/>
        <v>661</v>
      </c>
      <c r="H543" s="174">
        <f>VLOOKUP(D543,原始分!$D:$N,4,0)</f>
        <v>102</v>
      </c>
      <c r="I543" s="174">
        <f t="shared" si="108"/>
        <v>383</v>
      </c>
      <c r="J543" s="174">
        <f>VLOOKUP(D543,原始分!$D:$N,5,0)</f>
        <v>101.25</v>
      </c>
      <c r="K543" s="174">
        <f t="shared" si="109"/>
        <v>346</v>
      </c>
      <c r="L543" s="174">
        <f>VLOOKUP(D543,原始分!$D:$N,6,0)</f>
        <v>61</v>
      </c>
      <c r="M543" s="174">
        <f t="shared" si="110"/>
        <v>168</v>
      </c>
      <c r="N543" s="174">
        <f>VLOOKUP(D543,原始分!$D:$N,7,0)</f>
        <v>0</v>
      </c>
      <c r="O543" s="174">
        <f t="shared" si="111"/>
        <v>207</v>
      </c>
      <c r="P543" s="174">
        <f>VLOOKUP(D543,原始分!$D:$N,8,0)</f>
        <v>49</v>
      </c>
      <c r="Q543" s="174">
        <f t="shared" si="112"/>
        <v>132</v>
      </c>
      <c r="R543" s="174">
        <f>VLOOKUP(D543,原始分!$D:$N,9,0)</f>
        <v>0</v>
      </c>
      <c r="S543" s="174">
        <f t="shared" si="113"/>
        <v>320</v>
      </c>
      <c r="T543" s="174">
        <f>VLOOKUP(D543,原始分!$D:$N,10,0)</f>
        <v>0</v>
      </c>
      <c r="U543" s="174">
        <f t="shared" si="114"/>
        <v>316</v>
      </c>
      <c r="V543" s="174">
        <f>VLOOKUP(D543,原始分!$D:$N,11,0)</f>
        <v>53</v>
      </c>
      <c r="W543" s="174">
        <f t="shared" si="115"/>
        <v>223</v>
      </c>
      <c r="X543" s="11">
        <f t="shared" si="116"/>
        <v>297.25</v>
      </c>
      <c r="Y543" s="9">
        <f t="shared" si="117"/>
        <v>406</v>
      </c>
      <c r="Z543" s="11">
        <f t="shared" si="118"/>
        <v>460.25</v>
      </c>
      <c r="AA543" s="9">
        <f t="shared" si="106"/>
        <v>222</v>
      </c>
    </row>
    <row r="544" ht="14.25" spans="1:27">
      <c r="A544" s="13">
        <v>542</v>
      </c>
      <c r="B544" s="15">
        <v>11</v>
      </c>
      <c r="C544" s="16">
        <v>48</v>
      </c>
      <c r="D544" s="17" t="s">
        <v>1092</v>
      </c>
      <c r="E544" s="17" t="s">
        <v>1093</v>
      </c>
      <c r="F544" s="174">
        <f>VLOOKUP(D544,原始分!$D:$N,3,0)</f>
        <v>109</v>
      </c>
      <c r="G544" s="174">
        <f t="shared" si="107"/>
        <v>64</v>
      </c>
      <c r="H544" s="174">
        <f>VLOOKUP(D544,原始分!$D:$N,4,0)</f>
        <v>85</v>
      </c>
      <c r="I544" s="174">
        <f t="shared" si="108"/>
        <v>701</v>
      </c>
      <c r="J544" s="174">
        <f>VLOOKUP(D544,原始分!$D:$N,5,0)</f>
        <v>47.5</v>
      </c>
      <c r="K544" s="174">
        <f t="shared" si="109"/>
        <v>864</v>
      </c>
      <c r="L544" s="174">
        <f>VLOOKUP(D544,原始分!$D:$N,6,0)</f>
        <v>49.5</v>
      </c>
      <c r="M544" s="174">
        <f t="shared" si="110"/>
        <v>341</v>
      </c>
      <c r="N544" s="174">
        <f>VLOOKUP(D544,原始分!$D:$N,7,0)</f>
        <v>0</v>
      </c>
      <c r="O544" s="174">
        <f t="shared" si="111"/>
        <v>207</v>
      </c>
      <c r="P544" s="174">
        <f>VLOOKUP(D544,原始分!$D:$N,8,0)</f>
        <v>33.5</v>
      </c>
      <c r="Q544" s="174">
        <f t="shared" si="112"/>
        <v>422</v>
      </c>
      <c r="R544" s="174">
        <f>VLOOKUP(D544,原始分!$D:$N,9,0)</f>
        <v>0</v>
      </c>
      <c r="S544" s="174">
        <f t="shared" si="113"/>
        <v>320</v>
      </c>
      <c r="T544" s="174">
        <f>VLOOKUP(D544,原始分!$D:$N,10,0)</f>
        <v>0</v>
      </c>
      <c r="U544" s="174">
        <f t="shared" si="114"/>
        <v>316</v>
      </c>
      <c r="V544" s="174">
        <f>VLOOKUP(D544,原始分!$D:$N,11,0)</f>
        <v>38.5</v>
      </c>
      <c r="W544" s="174">
        <f t="shared" si="115"/>
        <v>506</v>
      </c>
      <c r="X544" s="11">
        <f t="shared" si="116"/>
        <v>241.5</v>
      </c>
      <c r="Y544" s="9">
        <f t="shared" si="117"/>
        <v>829</v>
      </c>
      <c r="Z544" s="11">
        <f t="shared" si="118"/>
        <v>363</v>
      </c>
      <c r="AA544" s="9">
        <f t="shared" si="106"/>
        <v>625</v>
      </c>
    </row>
    <row r="545" ht="14.25" spans="1:27">
      <c r="A545" s="13">
        <v>543</v>
      </c>
      <c r="B545" s="15">
        <v>11</v>
      </c>
      <c r="C545" s="16">
        <v>49</v>
      </c>
      <c r="D545" s="17" t="s">
        <v>1094</v>
      </c>
      <c r="E545" s="17" t="s">
        <v>1095</v>
      </c>
      <c r="F545" s="174">
        <f>VLOOKUP(D545,原始分!$D:$N,3,0)</f>
        <v>107</v>
      </c>
      <c r="G545" s="174">
        <f t="shared" si="107"/>
        <v>113</v>
      </c>
      <c r="H545" s="174">
        <f>VLOOKUP(D545,原始分!$D:$N,4,0)</f>
        <v>103.5</v>
      </c>
      <c r="I545" s="174">
        <f t="shared" si="108"/>
        <v>354</v>
      </c>
      <c r="J545" s="174">
        <f>VLOOKUP(D545,原始分!$D:$N,5,0)</f>
        <v>112</v>
      </c>
      <c r="K545" s="174">
        <f t="shared" si="109"/>
        <v>143</v>
      </c>
      <c r="L545" s="174">
        <f>VLOOKUP(D545,原始分!$D:$N,6,0)</f>
        <v>32</v>
      </c>
      <c r="M545" s="174">
        <f t="shared" si="110"/>
        <v>603</v>
      </c>
      <c r="N545" s="174">
        <f>VLOOKUP(D545,原始分!$D:$N,7,0)</f>
        <v>0</v>
      </c>
      <c r="O545" s="174">
        <f t="shared" si="111"/>
        <v>207</v>
      </c>
      <c r="P545" s="174">
        <f>VLOOKUP(D545,原始分!$D:$N,8,0)</f>
        <v>40</v>
      </c>
      <c r="Q545" s="174">
        <f t="shared" si="112"/>
        <v>316</v>
      </c>
      <c r="R545" s="174">
        <f>VLOOKUP(D545,原始分!$D:$N,9,0)</f>
        <v>0</v>
      </c>
      <c r="S545" s="174">
        <f t="shared" si="113"/>
        <v>320</v>
      </c>
      <c r="T545" s="174">
        <f>VLOOKUP(D545,原始分!$D:$N,10,0)</f>
        <v>0</v>
      </c>
      <c r="U545" s="174">
        <f t="shared" si="114"/>
        <v>316</v>
      </c>
      <c r="V545" s="174">
        <f>VLOOKUP(D545,原始分!$D:$N,11,0)</f>
        <v>55.5</v>
      </c>
      <c r="W545" s="174">
        <f t="shared" si="115"/>
        <v>170</v>
      </c>
      <c r="X545" s="11">
        <f t="shared" si="116"/>
        <v>322.5</v>
      </c>
      <c r="Y545" s="9">
        <f t="shared" si="117"/>
        <v>141</v>
      </c>
      <c r="Z545" s="11">
        <f t="shared" si="118"/>
        <v>450</v>
      </c>
      <c r="AA545" s="9">
        <f t="shared" ref="AA545:AA608" si="119">RANK(Z545,$Z$3:$Z$665)</f>
        <v>282</v>
      </c>
    </row>
    <row r="546" ht="14.25" spans="1:27">
      <c r="A546" s="13">
        <v>544</v>
      </c>
      <c r="B546" s="15">
        <v>11</v>
      </c>
      <c r="C546" s="16">
        <v>50</v>
      </c>
      <c r="D546" s="17" t="s">
        <v>1096</v>
      </c>
      <c r="E546" s="17" t="s">
        <v>1097</v>
      </c>
      <c r="F546" s="174">
        <f>VLOOKUP(D546,原始分!$D:$N,3,0)</f>
        <v>94.75</v>
      </c>
      <c r="G546" s="174">
        <f t="shared" si="107"/>
        <v>639</v>
      </c>
      <c r="H546" s="174">
        <f>VLOOKUP(D546,原始分!$D:$N,4,0)</f>
        <v>66.5</v>
      </c>
      <c r="I546" s="174">
        <f t="shared" si="108"/>
        <v>827</v>
      </c>
      <c r="J546" s="174">
        <f>VLOOKUP(D546,原始分!$D:$N,5,0)</f>
        <v>55</v>
      </c>
      <c r="K546" s="174">
        <f t="shared" si="109"/>
        <v>857</v>
      </c>
      <c r="L546" s="174">
        <f>VLOOKUP(D546,原始分!$D:$N,6,0)</f>
        <v>38.5</v>
      </c>
      <c r="M546" s="174">
        <f t="shared" si="110"/>
        <v>528</v>
      </c>
      <c r="N546" s="174">
        <f>VLOOKUP(D546,原始分!$D:$N,7,0)</f>
        <v>0</v>
      </c>
      <c r="O546" s="174">
        <f t="shared" si="111"/>
        <v>207</v>
      </c>
      <c r="P546" s="174">
        <f>VLOOKUP(D546,原始分!$D:$N,8,0)</f>
        <v>37</v>
      </c>
      <c r="Q546" s="174">
        <f t="shared" si="112"/>
        <v>376</v>
      </c>
      <c r="R546" s="174">
        <f>VLOOKUP(D546,原始分!$D:$N,9,0)</f>
        <v>0</v>
      </c>
      <c r="S546" s="174">
        <f t="shared" si="113"/>
        <v>320</v>
      </c>
      <c r="T546" s="174">
        <f>VLOOKUP(D546,原始分!$D:$N,10,0)</f>
        <v>0</v>
      </c>
      <c r="U546" s="174">
        <f t="shared" si="114"/>
        <v>316</v>
      </c>
      <c r="V546" s="174">
        <f>VLOOKUP(D546,原始分!$D:$N,11,0)</f>
        <v>46.5</v>
      </c>
      <c r="W546" s="174">
        <f t="shared" si="115"/>
        <v>376</v>
      </c>
      <c r="X546" s="11">
        <f t="shared" si="116"/>
        <v>216.25</v>
      </c>
      <c r="Y546" s="9">
        <f t="shared" si="117"/>
        <v>861</v>
      </c>
      <c r="Z546" s="11">
        <f t="shared" si="118"/>
        <v>338.25</v>
      </c>
      <c r="AA546" s="9">
        <f t="shared" si="119"/>
        <v>643</v>
      </c>
    </row>
    <row r="547" ht="14.25" spans="1:27">
      <c r="A547" s="13">
        <v>545</v>
      </c>
      <c r="B547" s="15">
        <v>11</v>
      </c>
      <c r="C547" s="16">
        <v>51</v>
      </c>
      <c r="D547" s="17" t="s">
        <v>1098</v>
      </c>
      <c r="E547" s="17" t="s">
        <v>1099</v>
      </c>
      <c r="F547" s="174">
        <f>VLOOKUP(D547,原始分!$D:$N,3,0)</f>
        <v>93.5</v>
      </c>
      <c r="G547" s="174">
        <f t="shared" si="107"/>
        <v>676</v>
      </c>
      <c r="H547" s="174">
        <f>VLOOKUP(D547,原始分!$D:$N,4,0)</f>
        <v>80.5</v>
      </c>
      <c r="I547" s="174">
        <f t="shared" si="108"/>
        <v>747</v>
      </c>
      <c r="J547" s="174">
        <f>VLOOKUP(D547,原始分!$D:$N,5,0)</f>
        <v>79.75</v>
      </c>
      <c r="K547" s="174">
        <f t="shared" si="109"/>
        <v>751</v>
      </c>
      <c r="L547" s="174">
        <f>VLOOKUP(D547,原始分!$D:$N,6,0)</f>
        <v>23.5</v>
      </c>
      <c r="M547" s="174">
        <f t="shared" si="110"/>
        <v>642</v>
      </c>
      <c r="N547" s="174">
        <f>VLOOKUP(D547,原始分!$D:$N,7,0)</f>
        <v>0</v>
      </c>
      <c r="O547" s="174">
        <f t="shared" si="111"/>
        <v>207</v>
      </c>
      <c r="P547" s="174">
        <f>VLOOKUP(D547,原始分!$D:$N,8,0)</f>
        <v>38</v>
      </c>
      <c r="Q547" s="174">
        <f t="shared" si="112"/>
        <v>362</v>
      </c>
      <c r="R547" s="174">
        <f>VLOOKUP(D547,原始分!$D:$N,9,0)</f>
        <v>0</v>
      </c>
      <c r="S547" s="174">
        <f t="shared" si="113"/>
        <v>320</v>
      </c>
      <c r="T547" s="174">
        <f>VLOOKUP(D547,原始分!$D:$N,10,0)</f>
        <v>0</v>
      </c>
      <c r="U547" s="174">
        <f t="shared" si="114"/>
        <v>316</v>
      </c>
      <c r="V547" s="174">
        <f>VLOOKUP(D547,原始分!$D:$N,11,0)</f>
        <v>33.5</v>
      </c>
      <c r="W547" s="174">
        <f t="shared" si="115"/>
        <v>536</v>
      </c>
      <c r="X547" s="11">
        <f t="shared" si="116"/>
        <v>253.75</v>
      </c>
      <c r="Y547" s="9">
        <f t="shared" si="117"/>
        <v>792</v>
      </c>
      <c r="Z547" s="11">
        <f t="shared" si="118"/>
        <v>348.75</v>
      </c>
      <c r="AA547" s="9">
        <f t="shared" si="119"/>
        <v>635</v>
      </c>
    </row>
    <row r="548" ht="14.25" spans="1:27">
      <c r="A548" s="13">
        <v>546</v>
      </c>
      <c r="B548" s="15">
        <v>11</v>
      </c>
      <c r="C548" s="16">
        <v>52</v>
      </c>
      <c r="D548" s="17" t="s">
        <v>1100</v>
      </c>
      <c r="E548" s="17" t="s">
        <v>1101</v>
      </c>
      <c r="F548" s="174">
        <f>VLOOKUP(D548,原始分!$D:$N,3,0)</f>
        <v>95.5</v>
      </c>
      <c r="G548" s="174">
        <f t="shared" si="107"/>
        <v>595</v>
      </c>
      <c r="H548" s="174">
        <f>VLOOKUP(D548,原始分!$D:$N,4,0)</f>
        <v>99.5</v>
      </c>
      <c r="I548" s="174">
        <f t="shared" si="108"/>
        <v>425</v>
      </c>
      <c r="J548" s="174">
        <f>VLOOKUP(D548,原始分!$D:$N,5,0)</f>
        <v>75</v>
      </c>
      <c r="K548" s="174">
        <f t="shared" si="109"/>
        <v>791</v>
      </c>
      <c r="L548" s="174">
        <f>VLOOKUP(D548,原始分!$D:$N,6,0)</f>
        <v>40.5</v>
      </c>
      <c r="M548" s="174">
        <f t="shared" si="110"/>
        <v>497</v>
      </c>
      <c r="N548" s="174">
        <f>VLOOKUP(D548,原始分!$D:$N,7,0)</f>
        <v>0</v>
      </c>
      <c r="O548" s="174">
        <f t="shared" si="111"/>
        <v>207</v>
      </c>
      <c r="P548" s="174">
        <f>VLOOKUP(D548,原始分!$D:$N,8,0)</f>
        <v>27</v>
      </c>
      <c r="Q548" s="174">
        <f t="shared" si="112"/>
        <v>498</v>
      </c>
      <c r="R548" s="174">
        <f>VLOOKUP(D548,原始分!$D:$N,9,0)</f>
        <v>0</v>
      </c>
      <c r="S548" s="174">
        <f t="shared" si="113"/>
        <v>320</v>
      </c>
      <c r="T548" s="174">
        <f>VLOOKUP(D548,原始分!$D:$N,10,0)</f>
        <v>0</v>
      </c>
      <c r="U548" s="174">
        <f t="shared" si="114"/>
        <v>316</v>
      </c>
      <c r="V548" s="174">
        <f>VLOOKUP(D548,原始分!$D:$N,11,0)</f>
        <v>43.5</v>
      </c>
      <c r="W548" s="174">
        <f t="shared" si="115"/>
        <v>443</v>
      </c>
      <c r="X548" s="11">
        <f t="shared" si="116"/>
        <v>270</v>
      </c>
      <c r="Y548" s="9">
        <f t="shared" si="117"/>
        <v>700</v>
      </c>
      <c r="Z548" s="11">
        <f t="shared" si="118"/>
        <v>381</v>
      </c>
      <c r="AA548" s="9">
        <f t="shared" si="119"/>
        <v>572</v>
      </c>
    </row>
    <row r="549" ht="14.25" spans="1:27">
      <c r="A549" s="13">
        <v>547</v>
      </c>
      <c r="B549" s="15">
        <v>11</v>
      </c>
      <c r="C549" s="16">
        <v>53</v>
      </c>
      <c r="D549" s="17" t="s">
        <v>1102</v>
      </c>
      <c r="E549" s="17" t="s">
        <v>1103</v>
      </c>
      <c r="F549" s="174">
        <f>VLOOKUP(D549,原始分!$D:$N,3,0)</f>
        <v>97.5</v>
      </c>
      <c r="G549" s="174">
        <f t="shared" si="107"/>
        <v>531</v>
      </c>
      <c r="H549" s="174">
        <f>VLOOKUP(D549,原始分!$D:$N,4,0)</f>
        <v>78</v>
      </c>
      <c r="I549" s="174">
        <f t="shared" si="108"/>
        <v>767</v>
      </c>
      <c r="J549" s="174">
        <f>VLOOKUP(D549,原始分!$D:$N,5,0)</f>
        <v>87.25</v>
      </c>
      <c r="K549" s="174">
        <f t="shared" si="109"/>
        <v>628</v>
      </c>
      <c r="L549" s="174">
        <f>VLOOKUP(D549,原始分!$D:$N,6,0)</f>
        <v>32.5</v>
      </c>
      <c r="M549" s="174">
        <f t="shared" si="110"/>
        <v>599</v>
      </c>
      <c r="N549" s="174">
        <f>VLOOKUP(D549,原始分!$D:$N,7,0)</f>
        <v>0</v>
      </c>
      <c r="O549" s="174">
        <f t="shared" si="111"/>
        <v>207</v>
      </c>
      <c r="P549" s="174">
        <f>VLOOKUP(D549,原始分!$D:$N,8,0)</f>
        <v>28</v>
      </c>
      <c r="Q549" s="174">
        <f t="shared" si="112"/>
        <v>493</v>
      </c>
      <c r="R549" s="174">
        <f>VLOOKUP(D549,原始分!$D:$N,9,0)</f>
        <v>0</v>
      </c>
      <c r="S549" s="174">
        <f t="shared" si="113"/>
        <v>320</v>
      </c>
      <c r="T549" s="174">
        <f>VLOOKUP(D549,原始分!$D:$N,10,0)</f>
        <v>0</v>
      </c>
      <c r="U549" s="174">
        <f t="shared" si="114"/>
        <v>316</v>
      </c>
      <c r="V549" s="174">
        <f>VLOOKUP(D549,原始分!$D:$N,11,0)</f>
        <v>48</v>
      </c>
      <c r="W549" s="174">
        <f t="shared" si="115"/>
        <v>341</v>
      </c>
      <c r="X549" s="11">
        <f t="shared" si="116"/>
        <v>262.75</v>
      </c>
      <c r="Y549" s="9">
        <f t="shared" si="117"/>
        <v>759</v>
      </c>
      <c r="Z549" s="11">
        <f t="shared" si="118"/>
        <v>371.25</v>
      </c>
      <c r="AA549" s="9">
        <f t="shared" si="119"/>
        <v>605</v>
      </c>
    </row>
    <row r="550" ht="14.25" spans="1:27">
      <c r="A550" s="13">
        <v>548</v>
      </c>
      <c r="B550" s="15">
        <v>11</v>
      </c>
      <c r="C550" s="16">
        <v>54</v>
      </c>
      <c r="D550" s="17" t="s">
        <v>1104</v>
      </c>
      <c r="E550" s="17" t="s">
        <v>1105</v>
      </c>
      <c r="F550" s="174">
        <f>VLOOKUP(D550,原始分!$D:$N,3,0)</f>
        <v>91.5</v>
      </c>
      <c r="G550" s="174">
        <f t="shared" si="107"/>
        <v>730</v>
      </c>
      <c r="H550" s="174">
        <f>VLOOKUP(D550,原始分!$D:$N,4,0)</f>
        <v>109.5</v>
      </c>
      <c r="I550" s="174">
        <f t="shared" si="108"/>
        <v>232</v>
      </c>
      <c r="J550" s="174">
        <f>VLOOKUP(D550,原始分!$D:$N,5,0)</f>
        <v>87</v>
      </c>
      <c r="K550" s="174">
        <f t="shared" si="109"/>
        <v>632</v>
      </c>
      <c r="L550" s="174">
        <f>VLOOKUP(D550,原始分!$D:$N,6,0)</f>
        <v>55</v>
      </c>
      <c r="M550" s="174">
        <f t="shared" si="110"/>
        <v>269</v>
      </c>
      <c r="N550" s="174">
        <f>VLOOKUP(D550,原始分!$D:$N,7,0)</f>
        <v>0</v>
      </c>
      <c r="O550" s="174">
        <f t="shared" si="111"/>
        <v>207</v>
      </c>
      <c r="P550" s="174">
        <f>VLOOKUP(D550,原始分!$D:$N,8,0)</f>
        <v>35</v>
      </c>
      <c r="Q550" s="174">
        <f t="shared" si="112"/>
        <v>403</v>
      </c>
      <c r="R550" s="174">
        <f>VLOOKUP(D550,原始分!$D:$N,9,0)</f>
        <v>0</v>
      </c>
      <c r="S550" s="174">
        <f t="shared" si="113"/>
        <v>320</v>
      </c>
      <c r="T550" s="174">
        <f>VLOOKUP(D550,原始分!$D:$N,10,0)</f>
        <v>0</v>
      </c>
      <c r="U550" s="174">
        <f t="shared" si="114"/>
        <v>316</v>
      </c>
      <c r="V550" s="174">
        <f>VLOOKUP(D550,原始分!$D:$N,11,0)</f>
        <v>51.5</v>
      </c>
      <c r="W550" s="174">
        <f t="shared" si="115"/>
        <v>262</v>
      </c>
      <c r="X550" s="11">
        <f t="shared" si="116"/>
        <v>288</v>
      </c>
      <c r="Y550" s="9">
        <f t="shared" si="117"/>
        <v>513</v>
      </c>
      <c r="Z550" s="11">
        <f t="shared" si="118"/>
        <v>429.5</v>
      </c>
      <c r="AA550" s="9">
        <f t="shared" si="119"/>
        <v>383</v>
      </c>
    </row>
    <row r="551" ht="14.25" spans="1:27">
      <c r="A551" s="13">
        <v>549</v>
      </c>
      <c r="B551" s="15">
        <v>11</v>
      </c>
      <c r="C551" s="16">
        <v>55</v>
      </c>
      <c r="D551" s="17" t="s">
        <v>1106</v>
      </c>
      <c r="E551" s="17" t="s">
        <v>1107</v>
      </c>
      <c r="F551" s="174">
        <f>VLOOKUP(D551,原始分!$D:$N,3,0)</f>
        <v>86</v>
      </c>
      <c r="G551" s="174">
        <f t="shared" si="107"/>
        <v>830</v>
      </c>
      <c r="H551" s="174">
        <f>VLOOKUP(D551,原始分!$D:$N,4,0)</f>
        <v>73</v>
      </c>
      <c r="I551" s="174">
        <f t="shared" si="108"/>
        <v>802</v>
      </c>
      <c r="J551" s="174">
        <f>VLOOKUP(D551,原始分!$D:$N,5,0)</f>
        <v>63.5</v>
      </c>
      <c r="K551" s="174">
        <f t="shared" si="109"/>
        <v>849</v>
      </c>
      <c r="L551" s="174">
        <f>VLOOKUP(D551,原始分!$D:$N,6,0)</f>
        <v>17</v>
      </c>
      <c r="M551" s="174">
        <f t="shared" si="110"/>
        <v>659</v>
      </c>
      <c r="N551" s="174">
        <f>VLOOKUP(D551,原始分!$D:$N,7,0)</f>
        <v>0</v>
      </c>
      <c r="O551" s="174">
        <f t="shared" si="111"/>
        <v>207</v>
      </c>
      <c r="P551" s="174">
        <f>VLOOKUP(D551,原始分!$D:$N,8,0)</f>
        <v>26</v>
      </c>
      <c r="Q551" s="174">
        <f t="shared" si="112"/>
        <v>507</v>
      </c>
      <c r="R551" s="174">
        <f>VLOOKUP(D551,原始分!$D:$N,9,0)</f>
        <v>0</v>
      </c>
      <c r="S551" s="174">
        <f t="shared" si="113"/>
        <v>320</v>
      </c>
      <c r="T551" s="174">
        <f>VLOOKUP(D551,原始分!$D:$N,10,0)</f>
        <v>0</v>
      </c>
      <c r="U551" s="174">
        <f t="shared" si="114"/>
        <v>316</v>
      </c>
      <c r="V551" s="174">
        <f>VLOOKUP(D551,原始分!$D:$N,11,0)</f>
        <v>34</v>
      </c>
      <c r="W551" s="174">
        <f t="shared" si="115"/>
        <v>535</v>
      </c>
      <c r="X551" s="11">
        <f t="shared" si="116"/>
        <v>222.5</v>
      </c>
      <c r="Y551" s="9">
        <f t="shared" si="117"/>
        <v>856</v>
      </c>
      <c r="Z551" s="11">
        <f t="shared" si="118"/>
        <v>299.5</v>
      </c>
      <c r="AA551" s="9">
        <f t="shared" si="119"/>
        <v>658</v>
      </c>
    </row>
    <row r="552" ht="14.25" spans="1:27">
      <c r="A552" s="13">
        <v>550</v>
      </c>
      <c r="B552" s="15">
        <v>11</v>
      </c>
      <c r="C552" s="16">
        <v>56</v>
      </c>
      <c r="D552" s="17" t="s">
        <v>1108</v>
      </c>
      <c r="E552" s="17" t="s">
        <v>1109</v>
      </c>
      <c r="F552" s="174">
        <f>VLOOKUP(D552,原始分!$D:$N,3,0)</f>
        <v>98</v>
      </c>
      <c r="G552" s="174">
        <f t="shared" si="107"/>
        <v>500</v>
      </c>
      <c r="H552" s="174">
        <f>VLOOKUP(D552,原始分!$D:$N,4,0)</f>
        <v>96</v>
      </c>
      <c r="I552" s="174">
        <f t="shared" si="108"/>
        <v>492</v>
      </c>
      <c r="J552" s="174">
        <f>VLOOKUP(D552,原始分!$D:$N,5,0)</f>
        <v>71.25</v>
      </c>
      <c r="K552" s="174">
        <f t="shared" si="109"/>
        <v>820</v>
      </c>
      <c r="L552" s="174">
        <f>VLOOKUP(D552,原始分!$D:$N,6,0)</f>
        <v>41.5</v>
      </c>
      <c r="M552" s="174">
        <f t="shared" si="110"/>
        <v>483</v>
      </c>
      <c r="N552" s="174">
        <f>VLOOKUP(D552,原始分!$D:$N,7,0)</f>
        <v>0</v>
      </c>
      <c r="O552" s="174">
        <f t="shared" si="111"/>
        <v>207</v>
      </c>
      <c r="P552" s="174">
        <f>VLOOKUP(D552,原始分!$D:$N,8,0)</f>
        <v>53</v>
      </c>
      <c r="Q552" s="174">
        <f t="shared" si="112"/>
        <v>69</v>
      </c>
      <c r="R552" s="174">
        <f>VLOOKUP(D552,原始分!$D:$N,9,0)</f>
        <v>0</v>
      </c>
      <c r="S552" s="174">
        <f t="shared" si="113"/>
        <v>320</v>
      </c>
      <c r="T552" s="174">
        <f>VLOOKUP(D552,原始分!$D:$N,10,0)</f>
        <v>0</v>
      </c>
      <c r="U552" s="174">
        <f t="shared" si="114"/>
        <v>316</v>
      </c>
      <c r="V552" s="174">
        <f>VLOOKUP(D552,原始分!$D:$N,11,0)</f>
        <v>52.5</v>
      </c>
      <c r="W552" s="174">
        <f t="shared" si="115"/>
        <v>235</v>
      </c>
      <c r="X552" s="11">
        <f t="shared" si="116"/>
        <v>265.25</v>
      </c>
      <c r="Y552" s="9">
        <f t="shared" si="117"/>
        <v>739</v>
      </c>
      <c r="Z552" s="11">
        <f t="shared" si="118"/>
        <v>412.25</v>
      </c>
      <c r="AA552" s="9">
        <f t="shared" si="119"/>
        <v>459</v>
      </c>
    </row>
    <row r="553" ht="14.25" spans="1:27">
      <c r="A553" s="13">
        <v>551</v>
      </c>
      <c r="B553" s="15">
        <v>11</v>
      </c>
      <c r="C553" s="16">
        <v>57</v>
      </c>
      <c r="D553" s="17" t="s">
        <v>1110</v>
      </c>
      <c r="E553" s="17" t="s">
        <v>1111</v>
      </c>
      <c r="F553" s="174">
        <f>VLOOKUP(D553,原始分!$D:$N,3,0)</f>
        <v>92.5</v>
      </c>
      <c r="G553" s="174">
        <f t="shared" si="107"/>
        <v>713</v>
      </c>
      <c r="H553" s="174">
        <f>VLOOKUP(D553,原始分!$D:$N,4,0)</f>
        <v>87.5</v>
      </c>
      <c r="I553" s="174">
        <f t="shared" si="108"/>
        <v>665</v>
      </c>
      <c r="J553" s="174">
        <f>VLOOKUP(D553,原始分!$D:$N,5,0)</f>
        <v>81.5</v>
      </c>
      <c r="K553" s="174">
        <f t="shared" si="109"/>
        <v>726</v>
      </c>
      <c r="L553" s="174">
        <f>VLOOKUP(D553,原始分!$D:$N,6,0)</f>
        <v>41</v>
      </c>
      <c r="M553" s="174">
        <f t="shared" si="110"/>
        <v>490</v>
      </c>
      <c r="N553" s="174">
        <f>VLOOKUP(D553,原始分!$D:$N,7,0)</f>
        <v>0</v>
      </c>
      <c r="O553" s="174">
        <f t="shared" si="111"/>
        <v>207</v>
      </c>
      <c r="P553" s="174">
        <f>VLOOKUP(D553,原始分!$D:$N,8,0)</f>
        <v>42</v>
      </c>
      <c r="Q553" s="174">
        <f t="shared" si="112"/>
        <v>266</v>
      </c>
      <c r="R553" s="174">
        <f>VLOOKUP(D553,原始分!$D:$N,9,0)</f>
        <v>0</v>
      </c>
      <c r="S553" s="174">
        <f t="shared" si="113"/>
        <v>320</v>
      </c>
      <c r="T553" s="174">
        <f>VLOOKUP(D553,原始分!$D:$N,10,0)</f>
        <v>0</v>
      </c>
      <c r="U553" s="174">
        <f t="shared" si="114"/>
        <v>316</v>
      </c>
      <c r="V553" s="174">
        <f>VLOOKUP(D553,原始分!$D:$N,11,0)</f>
        <v>40.5</v>
      </c>
      <c r="W553" s="174">
        <f t="shared" si="115"/>
        <v>486</v>
      </c>
      <c r="X553" s="11">
        <f t="shared" si="116"/>
        <v>261.5</v>
      </c>
      <c r="Y553" s="9">
        <f t="shared" si="117"/>
        <v>764</v>
      </c>
      <c r="Z553" s="11">
        <f t="shared" si="118"/>
        <v>385</v>
      </c>
      <c r="AA553" s="9">
        <f t="shared" si="119"/>
        <v>565</v>
      </c>
    </row>
    <row r="554" ht="14.25" spans="1:27">
      <c r="A554" s="13">
        <v>552</v>
      </c>
      <c r="B554" s="15">
        <v>11</v>
      </c>
      <c r="C554" s="16">
        <v>58</v>
      </c>
      <c r="D554" s="17" t="s">
        <v>1112</v>
      </c>
      <c r="E554" s="17" t="s">
        <v>1113</v>
      </c>
      <c r="F554" s="174">
        <f>VLOOKUP(D554,原始分!$D:$N,3,0)</f>
        <v>87</v>
      </c>
      <c r="G554" s="174">
        <f t="shared" si="107"/>
        <v>821</v>
      </c>
      <c r="H554" s="174">
        <f>VLOOKUP(D554,原始分!$D:$N,4,0)</f>
        <v>126.5</v>
      </c>
      <c r="I554" s="174">
        <f t="shared" si="108"/>
        <v>25</v>
      </c>
      <c r="J554" s="174">
        <f>VLOOKUP(D554,原始分!$D:$N,5,0)</f>
        <v>80</v>
      </c>
      <c r="K554" s="174">
        <f t="shared" si="109"/>
        <v>745</v>
      </c>
      <c r="L554" s="174">
        <f>VLOOKUP(D554,原始分!$D:$N,6,0)</f>
        <v>51.5</v>
      </c>
      <c r="M554" s="174">
        <f t="shared" si="110"/>
        <v>313</v>
      </c>
      <c r="N554" s="174">
        <f>VLOOKUP(D554,原始分!$D:$N,7,0)</f>
        <v>0</v>
      </c>
      <c r="O554" s="174">
        <f t="shared" si="111"/>
        <v>207</v>
      </c>
      <c r="P554" s="174">
        <f>VLOOKUP(D554,原始分!$D:$N,8,0)</f>
        <v>42</v>
      </c>
      <c r="Q554" s="174">
        <f t="shared" si="112"/>
        <v>266</v>
      </c>
      <c r="R554" s="174">
        <f>VLOOKUP(D554,原始分!$D:$N,9,0)</f>
        <v>0</v>
      </c>
      <c r="S554" s="174">
        <f t="shared" si="113"/>
        <v>320</v>
      </c>
      <c r="T554" s="174">
        <f>VLOOKUP(D554,原始分!$D:$N,10,0)</f>
        <v>0</v>
      </c>
      <c r="U554" s="174">
        <f t="shared" si="114"/>
        <v>316</v>
      </c>
      <c r="V554" s="174">
        <f>VLOOKUP(D554,原始分!$D:$N,11,0)</f>
        <v>48.5</v>
      </c>
      <c r="W554" s="174">
        <f t="shared" si="115"/>
        <v>330</v>
      </c>
      <c r="X554" s="11">
        <f t="shared" si="116"/>
        <v>293.5</v>
      </c>
      <c r="Y554" s="9">
        <f t="shared" si="117"/>
        <v>450</v>
      </c>
      <c r="Z554" s="11">
        <f t="shared" si="118"/>
        <v>435.5</v>
      </c>
      <c r="AA554" s="9">
        <f t="shared" si="119"/>
        <v>358</v>
      </c>
    </row>
    <row r="555" ht="14.25" spans="1:27">
      <c r="A555" s="13">
        <v>553</v>
      </c>
      <c r="B555" s="15">
        <v>11</v>
      </c>
      <c r="C555" s="16">
        <v>59</v>
      </c>
      <c r="D555" s="17" t="s">
        <v>1114</v>
      </c>
      <c r="E555" s="17" t="s">
        <v>1115</v>
      </c>
      <c r="F555" s="174">
        <f>VLOOKUP(D555,原始分!$D:$N,3,0)</f>
        <v>91</v>
      </c>
      <c r="G555" s="174">
        <f t="shared" si="107"/>
        <v>749</v>
      </c>
      <c r="H555" s="174">
        <f>VLOOKUP(D555,原始分!$D:$N,4,0)</f>
        <v>98</v>
      </c>
      <c r="I555" s="174">
        <f t="shared" si="108"/>
        <v>454</v>
      </c>
      <c r="J555" s="174">
        <f>VLOOKUP(D555,原始分!$D:$N,5,0)</f>
        <v>96</v>
      </c>
      <c r="K555" s="174">
        <f t="shared" si="109"/>
        <v>465</v>
      </c>
      <c r="L555" s="174">
        <f>VLOOKUP(D555,原始分!$D:$N,6,0)</f>
        <v>37.5</v>
      </c>
      <c r="M555" s="174">
        <f t="shared" si="110"/>
        <v>543</v>
      </c>
      <c r="N555" s="174">
        <f>VLOOKUP(D555,原始分!$D:$N,7,0)</f>
        <v>0</v>
      </c>
      <c r="O555" s="174">
        <f t="shared" si="111"/>
        <v>207</v>
      </c>
      <c r="P555" s="174">
        <f>VLOOKUP(D555,原始分!$D:$N,8,0)</f>
        <v>28.5</v>
      </c>
      <c r="Q555" s="174">
        <f t="shared" si="112"/>
        <v>488</v>
      </c>
      <c r="R555" s="174">
        <f>VLOOKUP(D555,原始分!$D:$N,9,0)</f>
        <v>0</v>
      </c>
      <c r="S555" s="174">
        <f t="shared" si="113"/>
        <v>320</v>
      </c>
      <c r="T555" s="174">
        <f>VLOOKUP(D555,原始分!$D:$N,10,0)</f>
        <v>0</v>
      </c>
      <c r="U555" s="174">
        <f t="shared" si="114"/>
        <v>316</v>
      </c>
      <c r="V555" s="174">
        <f>VLOOKUP(D555,原始分!$D:$N,11,0)</f>
        <v>61</v>
      </c>
      <c r="W555" s="174">
        <f t="shared" si="115"/>
        <v>77</v>
      </c>
      <c r="X555" s="11">
        <f t="shared" si="116"/>
        <v>285</v>
      </c>
      <c r="Y555" s="9">
        <f t="shared" si="117"/>
        <v>543</v>
      </c>
      <c r="Z555" s="11">
        <f t="shared" si="118"/>
        <v>412</v>
      </c>
      <c r="AA555" s="9">
        <f t="shared" si="119"/>
        <v>462</v>
      </c>
    </row>
    <row r="556" ht="14.25" spans="1:27">
      <c r="A556" s="13">
        <v>554</v>
      </c>
      <c r="B556" s="15">
        <v>12</v>
      </c>
      <c r="C556" s="16">
        <v>1</v>
      </c>
      <c r="D556" s="17" t="s">
        <v>1116</v>
      </c>
      <c r="E556" s="17" t="s">
        <v>1117</v>
      </c>
      <c r="F556" s="174">
        <f>VLOOKUP(D556,原始分!$D:$N,3,0)</f>
        <v>98</v>
      </c>
      <c r="G556" s="174">
        <f t="shared" si="107"/>
        <v>500</v>
      </c>
      <c r="H556" s="174">
        <f>VLOOKUP(D556,原始分!$D:$N,4,0)</f>
        <v>95</v>
      </c>
      <c r="I556" s="174">
        <f t="shared" si="108"/>
        <v>510</v>
      </c>
      <c r="J556" s="174">
        <f>VLOOKUP(D556,原始分!$D:$N,5,0)</f>
        <v>111.5</v>
      </c>
      <c r="K556" s="174">
        <f t="shared" si="109"/>
        <v>152</v>
      </c>
      <c r="L556" s="174">
        <f>VLOOKUP(D556,原始分!$D:$N,6,0)</f>
        <v>44.5</v>
      </c>
      <c r="M556" s="174">
        <f t="shared" si="110"/>
        <v>432</v>
      </c>
      <c r="N556" s="174">
        <f>VLOOKUP(D556,原始分!$D:$N,7,0)</f>
        <v>0</v>
      </c>
      <c r="O556" s="174">
        <f t="shared" si="111"/>
        <v>207</v>
      </c>
      <c r="P556" s="174">
        <f>VLOOKUP(D556,原始分!$D:$N,8,0)</f>
        <v>29</v>
      </c>
      <c r="Q556" s="174">
        <f t="shared" si="112"/>
        <v>484</v>
      </c>
      <c r="R556" s="174">
        <f>VLOOKUP(D556,原始分!$D:$N,9,0)</f>
        <v>0</v>
      </c>
      <c r="S556" s="174">
        <f t="shared" si="113"/>
        <v>320</v>
      </c>
      <c r="T556" s="174">
        <f>VLOOKUP(D556,原始分!$D:$N,10,0)</f>
        <v>0</v>
      </c>
      <c r="U556" s="174">
        <f t="shared" si="114"/>
        <v>316</v>
      </c>
      <c r="V556" s="174">
        <f>VLOOKUP(D556,原始分!$D:$N,11,0)</f>
        <v>46.5</v>
      </c>
      <c r="W556" s="174">
        <f t="shared" si="115"/>
        <v>376</v>
      </c>
      <c r="X556" s="11">
        <f t="shared" si="116"/>
        <v>304.5</v>
      </c>
      <c r="Y556" s="9">
        <f t="shared" si="117"/>
        <v>320</v>
      </c>
      <c r="Z556" s="11">
        <f t="shared" si="118"/>
        <v>424.5</v>
      </c>
      <c r="AA556" s="9">
        <f t="shared" si="119"/>
        <v>403</v>
      </c>
    </row>
    <row r="557" ht="14.25" spans="1:27">
      <c r="A557" s="13">
        <v>555</v>
      </c>
      <c r="B557" s="15">
        <v>12</v>
      </c>
      <c r="C557" s="16">
        <v>2</v>
      </c>
      <c r="D557" s="17" t="s">
        <v>1118</v>
      </c>
      <c r="E557" s="17" t="s">
        <v>1119</v>
      </c>
      <c r="F557" s="174">
        <f>VLOOKUP(D557,原始分!$D:$N,3,0)</f>
        <v>88</v>
      </c>
      <c r="G557" s="174">
        <f t="shared" si="107"/>
        <v>809</v>
      </c>
      <c r="H557" s="174">
        <f>VLOOKUP(D557,原始分!$D:$N,4,0)</f>
        <v>96</v>
      </c>
      <c r="I557" s="174">
        <f t="shared" si="108"/>
        <v>492</v>
      </c>
      <c r="J557" s="174">
        <f>VLOOKUP(D557,原始分!$D:$N,5,0)</f>
        <v>94</v>
      </c>
      <c r="K557" s="174">
        <f t="shared" si="109"/>
        <v>507</v>
      </c>
      <c r="L557" s="174">
        <f>VLOOKUP(D557,原始分!$D:$N,6,0)</f>
        <v>39</v>
      </c>
      <c r="M557" s="174">
        <f t="shared" si="110"/>
        <v>520</v>
      </c>
      <c r="N557" s="174">
        <f>VLOOKUP(D557,原始分!$D:$N,7,0)</f>
        <v>0</v>
      </c>
      <c r="O557" s="174">
        <f t="shared" si="111"/>
        <v>207</v>
      </c>
      <c r="P557" s="174">
        <f>VLOOKUP(D557,原始分!$D:$N,8,0)</f>
        <v>36</v>
      </c>
      <c r="Q557" s="174">
        <f t="shared" si="112"/>
        <v>386</v>
      </c>
      <c r="R557" s="174">
        <f>VLOOKUP(D557,原始分!$D:$N,9,0)</f>
        <v>0</v>
      </c>
      <c r="S557" s="174">
        <f t="shared" si="113"/>
        <v>320</v>
      </c>
      <c r="T557" s="174">
        <f>VLOOKUP(D557,原始分!$D:$N,10,0)</f>
        <v>0</v>
      </c>
      <c r="U557" s="174">
        <f t="shared" si="114"/>
        <v>316</v>
      </c>
      <c r="V557" s="174">
        <f>VLOOKUP(D557,原始分!$D:$N,11,0)</f>
        <v>44</v>
      </c>
      <c r="W557" s="174">
        <f t="shared" si="115"/>
        <v>433</v>
      </c>
      <c r="X557" s="11">
        <f t="shared" si="116"/>
        <v>278</v>
      </c>
      <c r="Y557" s="9">
        <f t="shared" si="117"/>
        <v>621</v>
      </c>
      <c r="Z557" s="11">
        <f t="shared" si="118"/>
        <v>397</v>
      </c>
      <c r="AA557" s="9">
        <f t="shared" si="119"/>
        <v>531</v>
      </c>
    </row>
    <row r="558" ht="14.25" spans="1:27">
      <c r="A558" s="13">
        <v>556</v>
      </c>
      <c r="B558" s="15">
        <v>12</v>
      </c>
      <c r="C558" s="16">
        <v>3</v>
      </c>
      <c r="D558" s="17" t="s">
        <v>1120</v>
      </c>
      <c r="E558" s="17" t="s">
        <v>1121</v>
      </c>
      <c r="F558" s="174">
        <f>VLOOKUP(D558,原始分!$D:$N,3,0)</f>
        <v>108</v>
      </c>
      <c r="G558" s="174">
        <f t="shared" si="107"/>
        <v>77</v>
      </c>
      <c r="H558" s="174">
        <f>VLOOKUP(D558,原始分!$D:$N,4,0)</f>
        <v>85</v>
      </c>
      <c r="I558" s="174">
        <f t="shared" si="108"/>
        <v>701</v>
      </c>
      <c r="J558" s="174">
        <f>VLOOKUP(D558,原始分!$D:$N,5,0)</f>
        <v>100</v>
      </c>
      <c r="K558" s="174">
        <f t="shared" si="109"/>
        <v>368</v>
      </c>
      <c r="L558" s="174">
        <f>VLOOKUP(D558,原始分!$D:$N,6,0)</f>
        <v>49</v>
      </c>
      <c r="M558" s="174">
        <f t="shared" si="110"/>
        <v>354</v>
      </c>
      <c r="N558" s="174">
        <f>VLOOKUP(D558,原始分!$D:$N,7,0)</f>
        <v>0</v>
      </c>
      <c r="O558" s="174">
        <f t="shared" si="111"/>
        <v>207</v>
      </c>
      <c r="P558" s="174">
        <f>VLOOKUP(D558,原始分!$D:$N,8,0)</f>
        <v>51.5</v>
      </c>
      <c r="Q558" s="174">
        <f t="shared" si="112"/>
        <v>90</v>
      </c>
      <c r="R558" s="174">
        <f>VLOOKUP(D558,原始分!$D:$N,9,0)</f>
        <v>0</v>
      </c>
      <c r="S558" s="174">
        <f t="shared" si="113"/>
        <v>320</v>
      </c>
      <c r="T558" s="174">
        <f>VLOOKUP(D558,原始分!$D:$N,10,0)</f>
        <v>0</v>
      </c>
      <c r="U558" s="174">
        <f t="shared" si="114"/>
        <v>316</v>
      </c>
      <c r="V558" s="174">
        <f>VLOOKUP(D558,原始分!$D:$N,11,0)</f>
        <v>49.5</v>
      </c>
      <c r="W558" s="174">
        <f t="shared" si="115"/>
        <v>313</v>
      </c>
      <c r="X558" s="11">
        <f t="shared" si="116"/>
        <v>293</v>
      </c>
      <c r="Y558" s="9">
        <f t="shared" si="117"/>
        <v>456</v>
      </c>
      <c r="Z558" s="11">
        <f t="shared" si="118"/>
        <v>443</v>
      </c>
      <c r="AA558" s="9">
        <f t="shared" si="119"/>
        <v>321</v>
      </c>
    </row>
    <row r="559" ht="14.25" spans="1:27">
      <c r="A559" s="13">
        <v>557</v>
      </c>
      <c r="B559" s="15">
        <v>12</v>
      </c>
      <c r="C559" s="16">
        <v>4</v>
      </c>
      <c r="D559" s="17" t="s">
        <v>1122</v>
      </c>
      <c r="E559" s="17" t="s">
        <v>1123</v>
      </c>
      <c r="F559" s="174">
        <f>VLOOKUP(D559,原始分!$D:$N,3,0)</f>
        <v>102</v>
      </c>
      <c r="G559" s="174">
        <f t="shared" si="107"/>
        <v>304</v>
      </c>
      <c r="H559" s="174">
        <f>VLOOKUP(D559,原始分!$D:$N,4,0)</f>
        <v>104.5</v>
      </c>
      <c r="I559" s="174">
        <f t="shared" si="108"/>
        <v>327</v>
      </c>
      <c r="J559" s="174">
        <f>VLOOKUP(D559,原始分!$D:$N,5,0)</f>
        <v>125.5</v>
      </c>
      <c r="K559" s="174">
        <f t="shared" si="109"/>
        <v>10</v>
      </c>
      <c r="L559" s="174">
        <f>VLOOKUP(D559,原始分!$D:$N,6,0)</f>
        <v>72.5</v>
      </c>
      <c r="M559" s="174">
        <f t="shared" si="110"/>
        <v>52</v>
      </c>
      <c r="N559" s="174">
        <f>VLOOKUP(D559,原始分!$D:$N,7,0)</f>
        <v>0</v>
      </c>
      <c r="O559" s="174">
        <f t="shared" si="111"/>
        <v>207</v>
      </c>
      <c r="P559" s="174">
        <f>VLOOKUP(D559,原始分!$D:$N,8,0)</f>
        <v>41.5</v>
      </c>
      <c r="Q559" s="174">
        <f t="shared" si="112"/>
        <v>279</v>
      </c>
      <c r="R559" s="174">
        <f>VLOOKUP(D559,原始分!$D:$N,9,0)</f>
        <v>0</v>
      </c>
      <c r="S559" s="174">
        <f t="shared" si="113"/>
        <v>320</v>
      </c>
      <c r="T559" s="174">
        <f>VLOOKUP(D559,原始分!$D:$N,10,0)</f>
        <v>0</v>
      </c>
      <c r="U559" s="174">
        <f t="shared" si="114"/>
        <v>316</v>
      </c>
      <c r="V559" s="174">
        <f>VLOOKUP(D559,原始分!$D:$N,11,0)</f>
        <v>60.5</v>
      </c>
      <c r="W559" s="174">
        <f t="shared" si="115"/>
        <v>84</v>
      </c>
      <c r="X559" s="11">
        <f t="shared" si="116"/>
        <v>332</v>
      </c>
      <c r="Y559" s="9">
        <f t="shared" si="117"/>
        <v>80</v>
      </c>
      <c r="Z559" s="11">
        <f t="shared" si="118"/>
        <v>506.5</v>
      </c>
      <c r="AA559" s="9">
        <f t="shared" si="119"/>
        <v>62</v>
      </c>
    </row>
    <row r="560" ht="14.25" spans="1:27">
      <c r="A560" s="13">
        <v>558</v>
      </c>
      <c r="B560" s="15">
        <v>12</v>
      </c>
      <c r="C560" s="16">
        <v>5</v>
      </c>
      <c r="D560" s="17" t="s">
        <v>1124</v>
      </c>
      <c r="E560" s="17" t="s">
        <v>1125</v>
      </c>
      <c r="F560" s="174">
        <f>VLOOKUP(D560,原始分!$D:$N,3,0)</f>
        <v>100</v>
      </c>
      <c r="G560" s="174">
        <f t="shared" si="107"/>
        <v>400</v>
      </c>
      <c r="H560" s="174">
        <f>VLOOKUP(D560,原始分!$D:$N,4,0)</f>
        <v>101.5</v>
      </c>
      <c r="I560" s="174">
        <f t="shared" si="108"/>
        <v>391</v>
      </c>
      <c r="J560" s="174">
        <f>VLOOKUP(D560,原始分!$D:$N,5,0)</f>
        <v>75.5</v>
      </c>
      <c r="K560" s="174">
        <f t="shared" si="109"/>
        <v>786</v>
      </c>
      <c r="L560" s="174">
        <f>VLOOKUP(D560,原始分!$D:$N,6,0)</f>
        <v>62</v>
      </c>
      <c r="M560" s="174">
        <f t="shared" si="110"/>
        <v>157</v>
      </c>
      <c r="N560" s="174">
        <f>VLOOKUP(D560,原始分!$D:$N,7,0)</f>
        <v>0</v>
      </c>
      <c r="O560" s="174">
        <f t="shared" si="111"/>
        <v>207</v>
      </c>
      <c r="P560" s="174">
        <f>VLOOKUP(D560,原始分!$D:$N,8,0)</f>
        <v>47</v>
      </c>
      <c r="Q560" s="174">
        <f t="shared" si="112"/>
        <v>173</v>
      </c>
      <c r="R560" s="174">
        <f>VLOOKUP(D560,原始分!$D:$N,9,0)</f>
        <v>0</v>
      </c>
      <c r="S560" s="174">
        <f t="shared" si="113"/>
        <v>320</v>
      </c>
      <c r="T560" s="174">
        <f>VLOOKUP(D560,原始分!$D:$N,10,0)</f>
        <v>0</v>
      </c>
      <c r="U560" s="174">
        <f t="shared" si="114"/>
        <v>316</v>
      </c>
      <c r="V560" s="174">
        <f>VLOOKUP(D560,原始分!$D:$N,11,0)</f>
        <v>59</v>
      </c>
      <c r="W560" s="174">
        <f t="shared" si="115"/>
        <v>107</v>
      </c>
      <c r="X560" s="11">
        <f t="shared" si="116"/>
        <v>277</v>
      </c>
      <c r="Y560" s="9">
        <f t="shared" si="117"/>
        <v>639</v>
      </c>
      <c r="Z560" s="11">
        <f t="shared" si="118"/>
        <v>445</v>
      </c>
      <c r="AA560" s="9">
        <f t="shared" si="119"/>
        <v>309</v>
      </c>
    </row>
    <row r="561" ht="14.25" spans="1:27">
      <c r="A561" s="13">
        <v>559</v>
      </c>
      <c r="B561" s="15">
        <v>12</v>
      </c>
      <c r="C561" s="16">
        <v>6</v>
      </c>
      <c r="D561" s="17" t="s">
        <v>1126</v>
      </c>
      <c r="E561" s="17" t="s">
        <v>1127</v>
      </c>
      <c r="F561" s="174">
        <f>VLOOKUP(D561,原始分!$D:$N,3,0)</f>
        <v>85.5</v>
      </c>
      <c r="G561" s="174">
        <f t="shared" si="107"/>
        <v>833</v>
      </c>
      <c r="H561" s="174">
        <f>VLOOKUP(D561,原始分!$D:$N,4,0)</f>
        <v>113</v>
      </c>
      <c r="I561" s="174">
        <f t="shared" si="108"/>
        <v>160</v>
      </c>
      <c r="J561" s="174">
        <f>VLOOKUP(D561,原始分!$D:$N,5,0)</f>
        <v>64.25</v>
      </c>
      <c r="K561" s="174">
        <f t="shared" si="109"/>
        <v>844</v>
      </c>
      <c r="L561" s="174">
        <f>VLOOKUP(D561,原始分!$D:$N,6,0)</f>
        <v>51</v>
      </c>
      <c r="M561" s="174">
        <f t="shared" si="110"/>
        <v>320</v>
      </c>
      <c r="N561" s="174">
        <f>VLOOKUP(D561,原始分!$D:$N,7,0)</f>
        <v>0</v>
      </c>
      <c r="O561" s="174">
        <f t="shared" si="111"/>
        <v>207</v>
      </c>
      <c r="P561" s="174">
        <f>VLOOKUP(D561,原始分!$D:$N,8,0)</f>
        <v>25</v>
      </c>
      <c r="Q561" s="174">
        <f t="shared" si="112"/>
        <v>510</v>
      </c>
      <c r="R561" s="174">
        <f>VLOOKUP(D561,原始分!$D:$N,9,0)</f>
        <v>0</v>
      </c>
      <c r="S561" s="174">
        <f t="shared" si="113"/>
        <v>320</v>
      </c>
      <c r="T561" s="174">
        <f>VLOOKUP(D561,原始分!$D:$N,10,0)</f>
        <v>0</v>
      </c>
      <c r="U561" s="174">
        <f t="shared" si="114"/>
        <v>316</v>
      </c>
      <c r="V561" s="174">
        <f>VLOOKUP(D561,原始分!$D:$N,11,0)</f>
        <v>31.5</v>
      </c>
      <c r="W561" s="174">
        <f t="shared" si="115"/>
        <v>547</v>
      </c>
      <c r="X561" s="11">
        <f t="shared" si="116"/>
        <v>262.75</v>
      </c>
      <c r="Y561" s="9">
        <f t="shared" si="117"/>
        <v>759</v>
      </c>
      <c r="Z561" s="11">
        <f t="shared" si="118"/>
        <v>370.25</v>
      </c>
      <c r="AA561" s="9">
        <f t="shared" si="119"/>
        <v>609</v>
      </c>
    </row>
    <row r="562" ht="14.25" spans="1:27">
      <c r="A562" s="13">
        <v>560</v>
      </c>
      <c r="B562" s="15">
        <v>12</v>
      </c>
      <c r="C562" s="16">
        <v>7</v>
      </c>
      <c r="D562" s="17" t="s">
        <v>1128</v>
      </c>
      <c r="E562" s="17" t="s">
        <v>1129</v>
      </c>
      <c r="F562" s="174">
        <f>VLOOKUP(D562,原始分!$D:$N,3,0)</f>
        <v>99</v>
      </c>
      <c r="G562" s="174">
        <f t="shared" si="107"/>
        <v>442</v>
      </c>
      <c r="H562" s="174">
        <f>VLOOKUP(D562,原始分!$D:$N,4,0)</f>
        <v>92.5</v>
      </c>
      <c r="I562" s="174">
        <f t="shared" si="108"/>
        <v>569</v>
      </c>
      <c r="J562" s="174">
        <f>VLOOKUP(D562,原始分!$D:$N,5,0)</f>
        <v>75.5</v>
      </c>
      <c r="K562" s="174">
        <f t="shared" si="109"/>
        <v>786</v>
      </c>
      <c r="L562" s="174">
        <f>VLOOKUP(D562,原始分!$D:$N,6,0)</f>
        <v>40</v>
      </c>
      <c r="M562" s="174">
        <f t="shared" si="110"/>
        <v>506</v>
      </c>
      <c r="N562" s="174">
        <f>VLOOKUP(D562,原始分!$D:$N,7,0)</f>
        <v>0</v>
      </c>
      <c r="O562" s="174">
        <f t="shared" si="111"/>
        <v>207</v>
      </c>
      <c r="P562" s="174">
        <f>VLOOKUP(D562,原始分!$D:$N,8,0)</f>
        <v>30.5</v>
      </c>
      <c r="Q562" s="174">
        <f t="shared" si="112"/>
        <v>470</v>
      </c>
      <c r="R562" s="174">
        <f>VLOOKUP(D562,原始分!$D:$N,9,0)</f>
        <v>0</v>
      </c>
      <c r="S562" s="174">
        <f t="shared" si="113"/>
        <v>320</v>
      </c>
      <c r="T562" s="174">
        <f>VLOOKUP(D562,原始分!$D:$N,10,0)</f>
        <v>0</v>
      </c>
      <c r="U562" s="174">
        <f t="shared" si="114"/>
        <v>316</v>
      </c>
      <c r="V562" s="174">
        <f>VLOOKUP(D562,原始分!$D:$N,11,0)</f>
        <v>35.5</v>
      </c>
      <c r="W562" s="174">
        <f t="shared" si="115"/>
        <v>522</v>
      </c>
      <c r="X562" s="11">
        <f t="shared" si="116"/>
        <v>267</v>
      </c>
      <c r="Y562" s="9">
        <f t="shared" si="117"/>
        <v>727</v>
      </c>
      <c r="Z562" s="11">
        <f t="shared" si="118"/>
        <v>373</v>
      </c>
      <c r="AA562" s="9">
        <f t="shared" si="119"/>
        <v>600</v>
      </c>
    </row>
    <row r="563" ht="14.25" spans="1:27">
      <c r="A563" s="13">
        <v>561</v>
      </c>
      <c r="B563" s="15">
        <v>12</v>
      </c>
      <c r="C563" s="16">
        <v>8</v>
      </c>
      <c r="D563" s="17" t="s">
        <v>1130</v>
      </c>
      <c r="E563" s="17" t="s">
        <v>1131</v>
      </c>
      <c r="F563" s="174">
        <f>VLOOKUP(D563,原始分!$D:$N,3,0)</f>
        <v>102.5</v>
      </c>
      <c r="G563" s="174">
        <f t="shared" si="107"/>
        <v>279</v>
      </c>
      <c r="H563" s="174">
        <f>VLOOKUP(D563,原始分!$D:$N,4,0)</f>
        <v>108</v>
      </c>
      <c r="I563" s="174">
        <f t="shared" si="108"/>
        <v>257</v>
      </c>
      <c r="J563" s="174">
        <f>VLOOKUP(D563,原始分!$D:$N,5,0)</f>
        <v>64.5</v>
      </c>
      <c r="K563" s="174">
        <f t="shared" si="109"/>
        <v>841</v>
      </c>
      <c r="L563" s="174">
        <f>VLOOKUP(D563,原始分!$D:$N,6,0)</f>
        <v>52.5</v>
      </c>
      <c r="M563" s="174">
        <f t="shared" si="110"/>
        <v>307</v>
      </c>
      <c r="N563" s="174">
        <f>VLOOKUP(D563,原始分!$D:$N,7,0)</f>
        <v>0</v>
      </c>
      <c r="O563" s="174">
        <f t="shared" si="111"/>
        <v>207</v>
      </c>
      <c r="P563" s="174">
        <f>VLOOKUP(D563,原始分!$D:$N,8,0)</f>
        <v>37</v>
      </c>
      <c r="Q563" s="174">
        <f t="shared" si="112"/>
        <v>376</v>
      </c>
      <c r="R563" s="174">
        <f>VLOOKUP(D563,原始分!$D:$N,9,0)</f>
        <v>0</v>
      </c>
      <c r="S563" s="174">
        <f t="shared" si="113"/>
        <v>320</v>
      </c>
      <c r="T563" s="174">
        <f>VLOOKUP(D563,原始分!$D:$N,10,0)</f>
        <v>0</v>
      </c>
      <c r="U563" s="174">
        <f t="shared" si="114"/>
        <v>316</v>
      </c>
      <c r="V563" s="174">
        <f>VLOOKUP(D563,原始分!$D:$N,11,0)</f>
        <v>49.5</v>
      </c>
      <c r="W563" s="174">
        <f t="shared" si="115"/>
        <v>313</v>
      </c>
      <c r="X563" s="11">
        <f t="shared" si="116"/>
        <v>275</v>
      </c>
      <c r="Y563" s="9">
        <f t="shared" si="117"/>
        <v>655</v>
      </c>
      <c r="Z563" s="11">
        <f t="shared" si="118"/>
        <v>414</v>
      </c>
      <c r="AA563" s="9">
        <f t="shared" si="119"/>
        <v>453</v>
      </c>
    </row>
    <row r="564" ht="14.25" spans="1:27">
      <c r="A564" s="13">
        <v>562</v>
      </c>
      <c r="B564" s="15">
        <v>12</v>
      </c>
      <c r="C564" s="16">
        <v>9</v>
      </c>
      <c r="D564" s="17" t="s">
        <v>1132</v>
      </c>
      <c r="E564" s="17" t="s">
        <v>1133</v>
      </c>
      <c r="F564" s="174">
        <f>VLOOKUP(D564,原始分!$D:$N,3,0)</f>
        <v>107.5</v>
      </c>
      <c r="G564" s="174">
        <f t="shared" si="107"/>
        <v>93</v>
      </c>
      <c r="H564" s="174">
        <f>VLOOKUP(D564,原始分!$D:$N,4,0)</f>
        <v>99</v>
      </c>
      <c r="I564" s="174">
        <f t="shared" si="108"/>
        <v>433</v>
      </c>
      <c r="J564" s="174">
        <f>VLOOKUP(D564,原始分!$D:$N,5,0)</f>
        <v>103.75</v>
      </c>
      <c r="K564" s="174">
        <f t="shared" si="109"/>
        <v>299</v>
      </c>
      <c r="L564" s="174">
        <f>VLOOKUP(D564,原始分!$D:$N,6,0)</f>
        <v>44.5</v>
      </c>
      <c r="M564" s="174">
        <f t="shared" si="110"/>
        <v>432</v>
      </c>
      <c r="N564" s="174">
        <f>VLOOKUP(D564,原始分!$D:$N,7,0)</f>
        <v>0</v>
      </c>
      <c r="O564" s="174">
        <f t="shared" si="111"/>
        <v>207</v>
      </c>
      <c r="P564" s="174">
        <f>VLOOKUP(D564,原始分!$D:$N,8,0)</f>
        <v>42.5</v>
      </c>
      <c r="Q564" s="174">
        <f t="shared" si="112"/>
        <v>257</v>
      </c>
      <c r="R564" s="174">
        <f>VLOOKUP(D564,原始分!$D:$N,9,0)</f>
        <v>0</v>
      </c>
      <c r="S564" s="174">
        <f t="shared" si="113"/>
        <v>320</v>
      </c>
      <c r="T564" s="174">
        <f>VLOOKUP(D564,原始分!$D:$N,10,0)</f>
        <v>0</v>
      </c>
      <c r="U564" s="174">
        <f t="shared" si="114"/>
        <v>316</v>
      </c>
      <c r="V564" s="174">
        <f>VLOOKUP(D564,原始分!$D:$N,11,0)</f>
        <v>48.5</v>
      </c>
      <c r="W564" s="174">
        <f t="shared" si="115"/>
        <v>330</v>
      </c>
      <c r="X564" s="11">
        <f t="shared" si="116"/>
        <v>310.25</v>
      </c>
      <c r="Y564" s="9">
        <f t="shared" si="117"/>
        <v>260</v>
      </c>
      <c r="Z564" s="11">
        <f t="shared" si="118"/>
        <v>445.75</v>
      </c>
      <c r="AA564" s="9">
        <f t="shared" si="119"/>
        <v>302</v>
      </c>
    </row>
    <row r="565" ht="14.25" spans="1:27">
      <c r="A565" s="13">
        <v>563</v>
      </c>
      <c r="B565" s="15">
        <v>12</v>
      </c>
      <c r="C565" s="16">
        <v>10</v>
      </c>
      <c r="D565" s="17" t="s">
        <v>1134</v>
      </c>
      <c r="E565" s="17" t="s">
        <v>1135</v>
      </c>
      <c r="F565" s="174">
        <f>VLOOKUP(D565,原始分!$D:$N,3,0)</f>
        <v>91</v>
      </c>
      <c r="G565" s="174">
        <f t="shared" si="107"/>
        <v>749</v>
      </c>
      <c r="H565" s="174">
        <f>VLOOKUP(D565,原始分!$D:$N,4,0)</f>
        <v>111</v>
      </c>
      <c r="I565" s="174">
        <f t="shared" si="108"/>
        <v>201</v>
      </c>
      <c r="J565" s="174">
        <f>VLOOKUP(D565,原始分!$D:$N,5,0)</f>
        <v>73.5</v>
      </c>
      <c r="K565" s="174">
        <f t="shared" si="109"/>
        <v>802</v>
      </c>
      <c r="L565" s="174">
        <f>VLOOKUP(D565,原始分!$D:$N,6,0)</f>
        <v>48.5</v>
      </c>
      <c r="M565" s="174">
        <f t="shared" si="110"/>
        <v>364</v>
      </c>
      <c r="N565" s="174">
        <f>VLOOKUP(D565,原始分!$D:$N,7,0)</f>
        <v>0</v>
      </c>
      <c r="O565" s="174">
        <f t="shared" si="111"/>
        <v>207</v>
      </c>
      <c r="P565" s="174">
        <f>VLOOKUP(D565,原始分!$D:$N,8,0)</f>
        <v>53</v>
      </c>
      <c r="Q565" s="174">
        <f t="shared" si="112"/>
        <v>69</v>
      </c>
      <c r="R565" s="174">
        <f>VLOOKUP(D565,原始分!$D:$N,9,0)</f>
        <v>0</v>
      </c>
      <c r="S565" s="174">
        <f t="shared" si="113"/>
        <v>320</v>
      </c>
      <c r="T565" s="174">
        <f>VLOOKUP(D565,原始分!$D:$N,10,0)</f>
        <v>0</v>
      </c>
      <c r="U565" s="174">
        <f t="shared" si="114"/>
        <v>316</v>
      </c>
      <c r="V565" s="174">
        <f>VLOOKUP(D565,原始分!$D:$N,11,0)</f>
        <v>50.5</v>
      </c>
      <c r="W565" s="174">
        <f t="shared" si="115"/>
        <v>293</v>
      </c>
      <c r="X565" s="11">
        <f t="shared" si="116"/>
        <v>275.5</v>
      </c>
      <c r="Y565" s="9">
        <f t="shared" si="117"/>
        <v>652</v>
      </c>
      <c r="Z565" s="11">
        <f t="shared" si="118"/>
        <v>427.5</v>
      </c>
      <c r="AA565" s="9">
        <f t="shared" si="119"/>
        <v>397</v>
      </c>
    </row>
    <row r="566" ht="14.25" spans="1:27">
      <c r="A566" s="13">
        <v>564</v>
      </c>
      <c r="B566" s="20">
        <v>12</v>
      </c>
      <c r="C566" s="16">
        <v>11</v>
      </c>
      <c r="D566" s="19" t="s">
        <v>1136</v>
      </c>
      <c r="E566" s="17" t="s">
        <v>1137</v>
      </c>
      <c r="F566" s="174">
        <f>VLOOKUP(D566,原始分!$D:$N,3,0)</f>
        <v>82.5</v>
      </c>
      <c r="G566" s="174">
        <f t="shared" si="107"/>
        <v>854</v>
      </c>
      <c r="H566" s="174">
        <f>VLOOKUP(D566,原始分!$D:$N,4,0)</f>
        <v>55.5</v>
      </c>
      <c r="I566" s="174">
        <f t="shared" si="108"/>
        <v>856</v>
      </c>
      <c r="J566" s="174">
        <f>VLOOKUP(D566,原始分!$D:$N,5,0)</f>
        <v>70.75</v>
      </c>
      <c r="K566" s="174">
        <f t="shared" si="109"/>
        <v>823</v>
      </c>
      <c r="L566" s="174">
        <f>VLOOKUP(D566,原始分!$D:$N,6,0)</f>
        <v>23</v>
      </c>
      <c r="M566" s="174">
        <f t="shared" si="110"/>
        <v>645</v>
      </c>
      <c r="N566" s="174">
        <f>VLOOKUP(D566,原始分!$D:$N,7,0)</f>
        <v>0</v>
      </c>
      <c r="O566" s="174">
        <f t="shared" si="111"/>
        <v>207</v>
      </c>
      <c r="P566" s="174">
        <f>VLOOKUP(D566,原始分!$D:$N,8,0)</f>
        <v>24.5</v>
      </c>
      <c r="Q566" s="174">
        <f t="shared" si="112"/>
        <v>514</v>
      </c>
      <c r="R566" s="174">
        <f>VLOOKUP(D566,原始分!$D:$N,9,0)</f>
        <v>0</v>
      </c>
      <c r="S566" s="174">
        <f t="shared" si="113"/>
        <v>320</v>
      </c>
      <c r="T566" s="174">
        <f>VLOOKUP(D566,原始分!$D:$N,10,0)</f>
        <v>0</v>
      </c>
      <c r="U566" s="174">
        <f t="shared" si="114"/>
        <v>316</v>
      </c>
      <c r="V566" s="174">
        <f>VLOOKUP(D566,原始分!$D:$N,11,0)</f>
        <v>32</v>
      </c>
      <c r="W566" s="174">
        <f t="shared" si="115"/>
        <v>543</v>
      </c>
      <c r="X566" s="11">
        <f t="shared" si="116"/>
        <v>208.75</v>
      </c>
      <c r="Y566" s="9">
        <f t="shared" si="117"/>
        <v>867</v>
      </c>
      <c r="Z566" s="11">
        <f t="shared" si="118"/>
        <v>288.25</v>
      </c>
      <c r="AA566" s="9">
        <f t="shared" si="119"/>
        <v>660</v>
      </c>
    </row>
    <row r="567" ht="14.25" spans="1:27">
      <c r="A567" s="13">
        <v>565</v>
      </c>
      <c r="B567" s="15">
        <v>12</v>
      </c>
      <c r="C567" s="16">
        <v>12</v>
      </c>
      <c r="D567" s="17" t="s">
        <v>1138</v>
      </c>
      <c r="E567" s="17" t="s">
        <v>1139</v>
      </c>
      <c r="F567" s="174">
        <f>VLOOKUP(D567,原始分!$D:$N,3,0)</f>
        <v>98.5</v>
      </c>
      <c r="G567" s="174">
        <f t="shared" si="107"/>
        <v>469</v>
      </c>
      <c r="H567" s="174">
        <f>VLOOKUP(D567,原始分!$D:$N,4,0)</f>
        <v>91.5</v>
      </c>
      <c r="I567" s="174">
        <f t="shared" si="108"/>
        <v>586</v>
      </c>
      <c r="J567" s="174">
        <f>VLOOKUP(D567,原始分!$D:$N,5,0)</f>
        <v>93.5</v>
      </c>
      <c r="K567" s="174">
        <f t="shared" si="109"/>
        <v>515</v>
      </c>
      <c r="L567" s="174">
        <f>VLOOKUP(D567,原始分!$D:$N,6,0)</f>
        <v>57.5</v>
      </c>
      <c r="M567" s="174">
        <f t="shared" si="110"/>
        <v>228</v>
      </c>
      <c r="N567" s="174">
        <f>VLOOKUP(D567,原始分!$D:$N,7,0)</f>
        <v>0</v>
      </c>
      <c r="O567" s="174">
        <f t="shared" si="111"/>
        <v>207</v>
      </c>
      <c r="P567" s="174">
        <f>VLOOKUP(D567,原始分!$D:$N,8,0)</f>
        <v>50</v>
      </c>
      <c r="Q567" s="174">
        <f t="shared" si="112"/>
        <v>109</v>
      </c>
      <c r="R567" s="174">
        <f>VLOOKUP(D567,原始分!$D:$N,9,0)</f>
        <v>0</v>
      </c>
      <c r="S567" s="174">
        <f t="shared" si="113"/>
        <v>320</v>
      </c>
      <c r="T567" s="174">
        <f>VLOOKUP(D567,原始分!$D:$N,10,0)</f>
        <v>0</v>
      </c>
      <c r="U567" s="174">
        <f t="shared" si="114"/>
        <v>316</v>
      </c>
      <c r="V567" s="174">
        <f>VLOOKUP(D567,原始分!$D:$N,11,0)</f>
        <v>53.5</v>
      </c>
      <c r="W567" s="174">
        <f t="shared" si="115"/>
        <v>208</v>
      </c>
      <c r="X567" s="11">
        <f t="shared" si="116"/>
        <v>283.5</v>
      </c>
      <c r="Y567" s="9">
        <f t="shared" si="117"/>
        <v>555</v>
      </c>
      <c r="Z567" s="11">
        <f t="shared" si="118"/>
        <v>444.5</v>
      </c>
      <c r="AA567" s="9">
        <f t="shared" si="119"/>
        <v>313</v>
      </c>
    </row>
    <row r="568" ht="14.25" spans="1:27">
      <c r="A568" s="13">
        <v>566</v>
      </c>
      <c r="B568" s="15">
        <v>12</v>
      </c>
      <c r="C568" s="16">
        <v>13</v>
      </c>
      <c r="D568" s="17" t="s">
        <v>1140</v>
      </c>
      <c r="E568" s="17" t="s">
        <v>1141</v>
      </c>
      <c r="F568" s="174">
        <f>VLOOKUP(D568,原始分!$D:$N,3,0)</f>
        <v>96</v>
      </c>
      <c r="G568" s="174">
        <f t="shared" si="107"/>
        <v>579</v>
      </c>
      <c r="H568" s="174">
        <f>VLOOKUP(D568,原始分!$D:$N,4,0)</f>
        <v>108</v>
      </c>
      <c r="I568" s="174">
        <f t="shared" si="108"/>
        <v>257</v>
      </c>
      <c r="J568" s="174">
        <f>VLOOKUP(D568,原始分!$D:$N,5,0)</f>
        <v>26</v>
      </c>
      <c r="K568" s="174">
        <f t="shared" si="109"/>
        <v>869</v>
      </c>
      <c r="L568" s="174">
        <f>VLOOKUP(D568,原始分!$D:$N,6,0)</f>
        <v>43.5</v>
      </c>
      <c r="M568" s="174">
        <f t="shared" si="110"/>
        <v>452</v>
      </c>
      <c r="N568" s="174">
        <f>VLOOKUP(D568,原始分!$D:$N,7,0)</f>
        <v>0</v>
      </c>
      <c r="O568" s="174">
        <f t="shared" si="111"/>
        <v>207</v>
      </c>
      <c r="P568" s="174">
        <f>VLOOKUP(D568,原始分!$D:$N,8,0)</f>
        <v>44</v>
      </c>
      <c r="Q568" s="174">
        <f t="shared" si="112"/>
        <v>227</v>
      </c>
      <c r="R568" s="174">
        <f>VLOOKUP(D568,原始分!$D:$N,9,0)</f>
        <v>0</v>
      </c>
      <c r="S568" s="174">
        <f t="shared" si="113"/>
        <v>320</v>
      </c>
      <c r="T568" s="174">
        <f>VLOOKUP(D568,原始分!$D:$N,10,0)</f>
        <v>0</v>
      </c>
      <c r="U568" s="174">
        <f t="shared" si="114"/>
        <v>316</v>
      </c>
      <c r="V568" s="174">
        <f>VLOOKUP(D568,原始分!$D:$N,11,0)</f>
        <v>54</v>
      </c>
      <c r="W568" s="174">
        <f t="shared" si="115"/>
        <v>199</v>
      </c>
      <c r="X568" s="11">
        <f t="shared" si="116"/>
        <v>230</v>
      </c>
      <c r="Y568" s="9">
        <f t="shared" si="117"/>
        <v>852</v>
      </c>
      <c r="Z568" s="11">
        <f t="shared" si="118"/>
        <v>371.5</v>
      </c>
      <c r="AA568" s="9">
        <f t="shared" si="119"/>
        <v>604</v>
      </c>
    </row>
    <row r="569" ht="14.25" spans="1:27">
      <c r="A569" s="13">
        <v>567</v>
      </c>
      <c r="B569" s="15">
        <v>12</v>
      </c>
      <c r="C569" s="16">
        <v>14</v>
      </c>
      <c r="D569" s="17" t="s">
        <v>1142</v>
      </c>
      <c r="E569" s="17" t="s">
        <v>1143</v>
      </c>
      <c r="F569" s="174">
        <f>VLOOKUP(D569,原始分!$D:$N,3,0)</f>
        <v>99.5</v>
      </c>
      <c r="G569" s="174">
        <f t="shared" si="107"/>
        <v>418</v>
      </c>
      <c r="H569" s="174">
        <f>VLOOKUP(D569,原始分!$D:$N,4,0)</f>
        <v>97</v>
      </c>
      <c r="I569" s="174">
        <f t="shared" si="108"/>
        <v>478</v>
      </c>
      <c r="J569" s="174">
        <f>VLOOKUP(D569,原始分!$D:$N,5,0)</f>
        <v>111</v>
      </c>
      <c r="K569" s="174">
        <f t="shared" si="109"/>
        <v>159</v>
      </c>
      <c r="L569" s="174">
        <f>VLOOKUP(D569,原始分!$D:$N,6,0)</f>
        <v>54</v>
      </c>
      <c r="M569" s="174">
        <f t="shared" si="110"/>
        <v>289</v>
      </c>
      <c r="N569" s="174">
        <f>VLOOKUP(D569,原始分!$D:$N,7,0)</f>
        <v>0</v>
      </c>
      <c r="O569" s="174">
        <f t="shared" si="111"/>
        <v>207</v>
      </c>
      <c r="P569" s="174">
        <f>VLOOKUP(D569,原始分!$D:$N,8,0)</f>
        <v>34.5</v>
      </c>
      <c r="Q569" s="174">
        <f t="shared" si="112"/>
        <v>409</v>
      </c>
      <c r="R569" s="174">
        <f>VLOOKUP(D569,原始分!$D:$N,9,0)</f>
        <v>0</v>
      </c>
      <c r="S569" s="174">
        <f t="shared" si="113"/>
        <v>320</v>
      </c>
      <c r="T569" s="174">
        <f>VLOOKUP(D569,原始分!$D:$N,10,0)</f>
        <v>0</v>
      </c>
      <c r="U569" s="174">
        <f t="shared" si="114"/>
        <v>316</v>
      </c>
      <c r="V569" s="174">
        <f>VLOOKUP(D569,原始分!$D:$N,11,0)</f>
        <v>46.5</v>
      </c>
      <c r="W569" s="174">
        <f t="shared" si="115"/>
        <v>376</v>
      </c>
      <c r="X569" s="11">
        <f t="shared" si="116"/>
        <v>307.5</v>
      </c>
      <c r="Y569" s="9">
        <f t="shared" si="117"/>
        <v>292</v>
      </c>
      <c r="Z569" s="11">
        <f t="shared" si="118"/>
        <v>442.5</v>
      </c>
      <c r="AA569" s="9">
        <f t="shared" si="119"/>
        <v>326</v>
      </c>
    </row>
    <row r="570" ht="14.25" spans="1:27">
      <c r="A570" s="13">
        <v>568</v>
      </c>
      <c r="B570" s="15">
        <v>12</v>
      </c>
      <c r="C570" s="16">
        <v>15</v>
      </c>
      <c r="D570" s="17" t="s">
        <v>1144</v>
      </c>
      <c r="E570" s="17" t="s">
        <v>1145</v>
      </c>
      <c r="F570" s="174">
        <f>VLOOKUP(D570,原始分!$D:$N,3,0)</f>
        <v>103</v>
      </c>
      <c r="G570" s="174">
        <f t="shared" si="107"/>
        <v>260</v>
      </c>
      <c r="H570" s="174">
        <f>VLOOKUP(D570,原始分!$D:$N,4,0)</f>
        <v>115.5</v>
      </c>
      <c r="I570" s="174">
        <f t="shared" si="108"/>
        <v>121</v>
      </c>
      <c r="J570" s="174">
        <f>VLOOKUP(D570,原始分!$D:$N,5,0)</f>
        <v>92.5</v>
      </c>
      <c r="K570" s="174">
        <f t="shared" si="109"/>
        <v>539</v>
      </c>
      <c r="L570" s="174">
        <f>VLOOKUP(D570,原始分!$D:$N,6,0)</f>
        <v>73</v>
      </c>
      <c r="M570" s="174">
        <f t="shared" si="110"/>
        <v>47</v>
      </c>
      <c r="N570" s="174">
        <f>VLOOKUP(D570,原始分!$D:$N,7,0)</f>
        <v>0</v>
      </c>
      <c r="O570" s="174">
        <f t="shared" si="111"/>
        <v>207</v>
      </c>
      <c r="P570" s="174">
        <f>VLOOKUP(D570,原始分!$D:$N,8,0)</f>
        <v>48.5</v>
      </c>
      <c r="Q570" s="174">
        <f t="shared" si="112"/>
        <v>139</v>
      </c>
      <c r="R570" s="174">
        <f>VLOOKUP(D570,原始分!$D:$N,9,0)</f>
        <v>0</v>
      </c>
      <c r="S570" s="174">
        <f t="shared" si="113"/>
        <v>320</v>
      </c>
      <c r="T570" s="174">
        <f>VLOOKUP(D570,原始分!$D:$N,10,0)</f>
        <v>0</v>
      </c>
      <c r="U570" s="174">
        <f t="shared" si="114"/>
        <v>316</v>
      </c>
      <c r="V570" s="174">
        <f>VLOOKUP(D570,原始分!$D:$N,11,0)</f>
        <v>55.5</v>
      </c>
      <c r="W570" s="174">
        <f t="shared" si="115"/>
        <v>170</v>
      </c>
      <c r="X570" s="11">
        <f t="shared" si="116"/>
        <v>311</v>
      </c>
      <c r="Y570" s="9">
        <f t="shared" si="117"/>
        <v>249</v>
      </c>
      <c r="Z570" s="11">
        <f t="shared" si="118"/>
        <v>488</v>
      </c>
      <c r="AA570" s="9">
        <f t="shared" si="119"/>
        <v>108</v>
      </c>
    </row>
    <row r="571" ht="14.25" spans="1:27">
      <c r="A571" s="13">
        <v>569</v>
      </c>
      <c r="B571" s="15">
        <v>12</v>
      </c>
      <c r="C571" s="16">
        <v>16</v>
      </c>
      <c r="D571" s="17" t="s">
        <v>1146</v>
      </c>
      <c r="E571" s="17" t="s">
        <v>1147</v>
      </c>
      <c r="F571" s="174">
        <f>VLOOKUP(D571,原始分!$D:$N,3,0)</f>
        <v>103.5</v>
      </c>
      <c r="G571" s="174">
        <f t="shared" si="107"/>
        <v>230</v>
      </c>
      <c r="H571" s="174">
        <f>VLOOKUP(D571,原始分!$D:$N,4,0)</f>
        <v>119</v>
      </c>
      <c r="I571" s="174">
        <f t="shared" si="108"/>
        <v>77</v>
      </c>
      <c r="J571" s="174">
        <f>VLOOKUP(D571,原始分!$D:$N,5,0)</f>
        <v>98.25</v>
      </c>
      <c r="K571" s="174">
        <f t="shared" si="109"/>
        <v>423</v>
      </c>
      <c r="L571" s="174">
        <f>VLOOKUP(D571,原始分!$D:$N,6,0)</f>
        <v>69</v>
      </c>
      <c r="M571" s="174">
        <f t="shared" si="110"/>
        <v>70</v>
      </c>
      <c r="N571" s="174">
        <f>VLOOKUP(D571,原始分!$D:$N,7,0)</f>
        <v>0</v>
      </c>
      <c r="O571" s="174">
        <f t="shared" si="111"/>
        <v>207</v>
      </c>
      <c r="P571" s="174">
        <f>VLOOKUP(D571,原始分!$D:$N,8,0)</f>
        <v>68.5</v>
      </c>
      <c r="Q571" s="174">
        <f t="shared" si="112"/>
        <v>7</v>
      </c>
      <c r="R571" s="174">
        <f>VLOOKUP(D571,原始分!$D:$N,9,0)</f>
        <v>0</v>
      </c>
      <c r="S571" s="174">
        <f t="shared" si="113"/>
        <v>320</v>
      </c>
      <c r="T571" s="174">
        <f>VLOOKUP(D571,原始分!$D:$N,10,0)</f>
        <v>0</v>
      </c>
      <c r="U571" s="174">
        <f t="shared" si="114"/>
        <v>316</v>
      </c>
      <c r="V571" s="174">
        <f>VLOOKUP(D571,原始分!$D:$N,11,0)</f>
        <v>64.5</v>
      </c>
      <c r="W571" s="174">
        <f t="shared" si="115"/>
        <v>41</v>
      </c>
      <c r="X571" s="11">
        <f t="shared" si="116"/>
        <v>320.75</v>
      </c>
      <c r="Y571" s="9">
        <f t="shared" si="117"/>
        <v>151</v>
      </c>
      <c r="Z571" s="11">
        <f t="shared" si="118"/>
        <v>522.75</v>
      </c>
      <c r="AA571" s="9">
        <f t="shared" si="119"/>
        <v>32</v>
      </c>
    </row>
    <row r="572" ht="14.25" spans="1:27">
      <c r="A572" s="13">
        <v>570</v>
      </c>
      <c r="B572" s="15">
        <v>12</v>
      </c>
      <c r="C572" s="16">
        <v>17</v>
      </c>
      <c r="D572" s="17" t="s">
        <v>1148</v>
      </c>
      <c r="E572" s="17" t="s">
        <v>1149</v>
      </c>
      <c r="F572" s="174">
        <f>VLOOKUP(D572,原始分!$D:$N,3,0)</f>
        <v>97.25</v>
      </c>
      <c r="G572" s="174">
        <f t="shared" si="107"/>
        <v>548</v>
      </c>
      <c r="H572" s="174">
        <f>VLOOKUP(D572,原始分!$D:$N,4,0)</f>
        <v>111.5</v>
      </c>
      <c r="I572" s="174">
        <f t="shared" si="108"/>
        <v>191</v>
      </c>
      <c r="J572" s="174">
        <f>VLOOKUP(D572,原始分!$D:$N,5,0)</f>
        <v>116.5</v>
      </c>
      <c r="K572" s="174">
        <f t="shared" si="109"/>
        <v>82</v>
      </c>
      <c r="L572" s="174">
        <f>VLOOKUP(D572,原始分!$D:$N,6,0)</f>
        <v>59</v>
      </c>
      <c r="M572" s="174">
        <f t="shared" si="110"/>
        <v>203</v>
      </c>
      <c r="N572" s="174">
        <f>VLOOKUP(D572,原始分!$D:$N,7,0)</f>
        <v>0</v>
      </c>
      <c r="O572" s="174">
        <f t="shared" si="111"/>
        <v>207</v>
      </c>
      <c r="P572" s="174">
        <f>VLOOKUP(D572,原始分!$D:$N,8,0)</f>
        <v>50.5</v>
      </c>
      <c r="Q572" s="174">
        <f t="shared" si="112"/>
        <v>101</v>
      </c>
      <c r="R572" s="174">
        <f>VLOOKUP(D572,原始分!$D:$N,9,0)</f>
        <v>0</v>
      </c>
      <c r="S572" s="174">
        <f t="shared" si="113"/>
        <v>320</v>
      </c>
      <c r="T572" s="174">
        <f>VLOOKUP(D572,原始分!$D:$N,10,0)</f>
        <v>0</v>
      </c>
      <c r="U572" s="174">
        <f t="shared" si="114"/>
        <v>316</v>
      </c>
      <c r="V572" s="174">
        <f>VLOOKUP(D572,原始分!$D:$N,11,0)</f>
        <v>58.5</v>
      </c>
      <c r="W572" s="174">
        <f t="shared" si="115"/>
        <v>120</v>
      </c>
      <c r="X572" s="11">
        <f t="shared" si="116"/>
        <v>325.25</v>
      </c>
      <c r="Y572" s="9">
        <f t="shared" si="117"/>
        <v>120</v>
      </c>
      <c r="Z572" s="11">
        <f t="shared" si="118"/>
        <v>493.25</v>
      </c>
      <c r="AA572" s="9">
        <f t="shared" si="119"/>
        <v>96</v>
      </c>
    </row>
    <row r="573" ht="14.25" spans="1:27">
      <c r="A573" s="13">
        <v>571</v>
      </c>
      <c r="B573" s="15">
        <v>12</v>
      </c>
      <c r="C573" s="16">
        <v>18</v>
      </c>
      <c r="D573" s="17" t="s">
        <v>1150</v>
      </c>
      <c r="E573" s="17" t="s">
        <v>1151</v>
      </c>
      <c r="F573" s="174">
        <f>VLOOKUP(D573,原始分!$D:$N,3,0)</f>
        <v>109.5</v>
      </c>
      <c r="G573" s="174">
        <f t="shared" si="107"/>
        <v>53</v>
      </c>
      <c r="H573" s="174">
        <f>VLOOKUP(D573,原始分!$D:$N,4,0)</f>
        <v>91</v>
      </c>
      <c r="I573" s="174">
        <f t="shared" si="108"/>
        <v>592</v>
      </c>
      <c r="J573" s="174">
        <f>VLOOKUP(D573,原始分!$D:$N,5,0)</f>
        <v>101</v>
      </c>
      <c r="K573" s="174">
        <f t="shared" si="109"/>
        <v>349</v>
      </c>
      <c r="L573" s="174">
        <f>VLOOKUP(D573,原始分!$D:$N,6,0)</f>
        <v>49.5</v>
      </c>
      <c r="M573" s="174">
        <f t="shared" si="110"/>
        <v>341</v>
      </c>
      <c r="N573" s="174">
        <f>VLOOKUP(D573,原始分!$D:$N,7,0)</f>
        <v>0</v>
      </c>
      <c r="O573" s="174">
        <f t="shared" si="111"/>
        <v>207</v>
      </c>
      <c r="P573" s="174">
        <f>VLOOKUP(D573,原始分!$D:$N,8,0)</f>
        <v>43</v>
      </c>
      <c r="Q573" s="174">
        <f t="shared" si="112"/>
        <v>248</v>
      </c>
      <c r="R573" s="174">
        <f>VLOOKUP(D573,原始分!$D:$N,9,0)</f>
        <v>0</v>
      </c>
      <c r="S573" s="174">
        <f t="shared" si="113"/>
        <v>320</v>
      </c>
      <c r="T573" s="174">
        <f>VLOOKUP(D573,原始分!$D:$N,10,0)</f>
        <v>0</v>
      </c>
      <c r="U573" s="174">
        <f t="shared" si="114"/>
        <v>316</v>
      </c>
      <c r="V573" s="174">
        <f>VLOOKUP(D573,原始分!$D:$N,11,0)</f>
        <v>43.5</v>
      </c>
      <c r="W573" s="174">
        <f t="shared" si="115"/>
        <v>443</v>
      </c>
      <c r="X573" s="11">
        <f t="shared" si="116"/>
        <v>301.5</v>
      </c>
      <c r="Y573" s="9">
        <f t="shared" si="117"/>
        <v>357</v>
      </c>
      <c r="Z573" s="11">
        <f t="shared" si="118"/>
        <v>437.5</v>
      </c>
      <c r="AA573" s="9">
        <f t="shared" si="119"/>
        <v>343</v>
      </c>
    </row>
    <row r="574" ht="14.25" spans="1:27">
      <c r="A574" s="13">
        <v>572</v>
      </c>
      <c r="B574" s="15">
        <v>12</v>
      </c>
      <c r="C574" s="16">
        <v>19</v>
      </c>
      <c r="D574" s="17" t="s">
        <v>1152</v>
      </c>
      <c r="E574" s="17" t="s">
        <v>1153</v>
      </c>
      <c r="F574" s="174">
        <f>VLOOKUP(D574,原始分!$D:$N,3,0)</f>
        <v>99</v>
      </c>
      <c r="G574" s="174">
        <f t="shared" si="107"/>
        <v>442</v>
      </c>
      <c r="H574" s="174">
        <f>VLOOKUP(D574,原始分!$D:$N,4,0)</f>
        <v>99.5</v>
      </c>
      <c r="I574" s="174">
        <f t="shared" si="108"/>
        <v>425</v>
      </c>
      <c r="J574" s="174">
        <f>VLOOKUP(D574,原始分!$D:$N,5,0)</f>
        <v>107.5</v>
      </c>
      <c r="K574" s="174">
        <f t="shared" si="109"/>
        <v>216</v>
      </c>
      <c r="L574" s="174">
        <f>VLOOKUP(D574,原始分!$D:$N,6,0)</f>
        <v>48</v>
      </c>
      <c r="M574" s="174">
        <f t="shared" si="110"/>
        <v>375</v>
      </c>
      <c r="N574" s="174">
        <f>VLOOKUP(D574,原始分!$D:$N,7,0)</f>
        <v>0</v>
      </c>
      <c r="O574" s="174">
        <f t="shared" si="111"/>
        <v>207</v>
      </c>
      <c r="P574" s="174">
        <f>VLOOKUP(D574,原始分!$D:$N,8,0)</f>
        <v>46</v>
      </c>
      <c r="Q574" s="174">
        <f t="shared" si="112"/>
        <v>194</v>
      </c>
      <c r="R574" s="174">
        <f>VLOOKUP(D574,原始分!$D:$N,9,0)</f>
        <v>0</v>
      </c>
      <c r="S574" s="174">
        <f t="shared" si="113"/>
        <v>320</v>
      </c>
      <c r="T574" s="174">
        <f>VLOOKUP(D574,原始分!$D:$N,10,0)</f>
        <v>0</v>
      </c>
      <c r="U574" s="174">
        <f t="shared" si="114"/>
        <v>316</v>
      </c>
      <c r="V574" s="174">
        <f>VLOOKUP(D574,原始分!$D:$N,11,0)</f>
        <v>47</v>
      </c>
      <c r="W574" s="174">
        <f t="shared" si="115"/>
        <v>366</v>
      </c>
      <c r="X574" s="11">
        <f t="shared" si="116"/>
        <v>306</v>
      </c>
      <c r="Y574" s="9">
        <f t="shared" si="117"/>
        <v>308</v>
      </c>
      <c r="Z574" s="11">
        <f t="shared" si="118"/>
        <v>447</v>
      </c>
      <c r="AA574" s="9">
        <f t="shared" si="119"/>
        <v>295</v>
      </c>
    </row>
    <row r="575" ht="14.25" spans="1:27">
      <c r="A575" s="13">
        <v>573</v>
      </c>
      <c r="B575" s="15">
        <v>12</v>
      </c>
      <c r="C575" s="16">
        <v>20</v>
      </c>
      <c r="D575" s="17" t="s">
        <v>1154</v>
      </c>
      <c r="E575" s="17" t="s">
        <v>1155</v>
      </c>
      <c r="F575" s="174">
        <f>VLOOKUP(D575,原始分!$D:$N,3,0)</f>
        <v>75.25</v>
      </c>
      <c r="G575" s="174">
        <f t="shared" si="107"/>
        <v>865</v>
      </c>
      <c r="H575" s="174">
        <f>VLOOKUP(D575,原始分!$D:$N,4,0)</f>
        <v>41.5</v>
      </c>
      <c r="I575" s="174">
        <f t="shared" si="108"/>
        <v>867</v>
      </c>
      <c r="J575" s="174">
        <f>VLOOKUP(D575,原始分!$D:$N,5,0)</f>
        <v>93.75</v>
      </c>
      <c r="K575" s="174">
        <f t="shared" si="109"/>
        <v>512</v>
      </c>
      <c r="L575" s="174">
        <f>VLOOKUP(D575,原始分!$D:$N,6,0)</f>
        <v>21</v>
      </c>
      <c r="M575" s="174">
        <f t="shared" si="110"/>
        <v>650</v>
      </c>
      <c r="N575" s="174">
        <f>VLOOKUP(D575,原始分!$D:$N,7,0)</f>
        <v>0</v>
      </c>
      <c r="O575" s="174">
        <f t="shared" si="111"/>
        <v>207</v>
      </c>
      <c r="P575" s="174">
        <f>VLOOKUP(D575,原始分!$D:$N,8,0)</f>
        <v>21</v>
      </c>
      <c r="Q575" s="174">
        <f t="shared" si="112"/>
        <v>530</v>
      </c>
      <c r="R575" s="174">
        <f>VLOOKUP(D575,原始分!$D:$N,9,0)</f>
        <v>0</v>
      </c>
      <c r="S575" s="174">
        <f t="shared" si="113"/>
        <v>320</v>
      </c>
      <c r="T575" s="174">
        <f>VLOOKUP(D575,原始分!$D:$N,10,0)</f>
        <v>0</v>
      </c>
      <c r="U575" s="174">
        <f t="shared" si="114"/>
        <v>316</v>
      </c>
      <c r="V575" s="174">
        <f>VLOOKUP(D575,原始分!$D:$N,11,0)</f>
        <v>31</v>
      </c>
      <c r="W575" s="174">
        <f t="shared" si="115"/>
        <v>548</v>
      </c>
      <c r="X575" s="11">
        <f t="shared" si="116"/>
        <v>210.5</v>
      </c>
      <c r="Y575" s="9">
        <f t="shared" si="117"/>
        <v>864</v>
      </c>
      <c r="Z575" s="11">
        <f t="shared" si="118"/>
        <v>283.5</v>
      </c>
      <c r="AA575" s="9">
        <f t="shared" si="119"/>
        <v>661</v>
      </c>
    </row>
    <row r="576" ht="14.25" spans="1:27">
      <c r="A576" s="13">
        <v>574</v>
      </c>
      <c r="B576" s="15">
        <v>12</v>
      </c>
      <c r="C576" s="16">
        <v>21</v>
      </c>
      <c r="D576" s="17" t="s">
        <v>1156</v>
      </c>
      <c r="E576" s="17" t="s">
        <v>1157</v>
      </c>
      <c r="F576" s="174">
        <f>VLOOKUP(D576,原始分!$D:$N,3,0)</f>
        <v>105</v>
      </c>
      <c r="G576" s="174">
        <f t="shared" si="107"/>
        <v>171</v>
      </c>
      <c r="H576" s="174">
        <f>VLOOKUP(D576,原始分!$D:$N,4,0)</f>
        <v>94.5</v>
      </c>
      <c r="I576" s="174">
        <f t="shared" si="108"/>
        <v>525</v>
      </c>
      <c r="J576" s="174">
        <f>VLOOKUP(D576,原始分!$D:$N,5,0)</f>
        <v>104.75</v>
      </c>
      <c r="K576" s="174">
        <f t="shared" si="109"/>
        <v>281</v>
      </c>
      <c r="L576" s="174">
        <f>VLOOKUP(D576,原始分!$D:$N,6,0)</f>
        <v>48.5</v>
      </c>
      <c r="M576" s="174">
        <f t="shared" si="110"/>
        <v>364</v>
      </c>
      <c r="N576" s="174">
        <f>VLOOKUP(D576,原始分!$D:$N,7,0)</f>
        <v>0</v>
      </c>
      <c r="O576" s="174">
        <f t="shared" si="111"/>
        <v>207</v>
      </c>
      <c r="P576" s="174">
        <f>VLOOKUP(D576,原始分!$D:$N,8,0)</f>
        <v>47</v>
      </c>
      <c r="Q576" s="174">
        <f t="shared" si="112"/>
        <v>173</v>
      </c>
      <c r="R576" s="174">
        <f>VLOOKUP(D576,原始分!$D:$N,9,0)</f>
        <v>0</v>
      </c>
      <c r="S576" s="174">
        <f t="shared" si="113"/>
        <v>320</v>
      </c>
      <c r="T576" s="174">
        <f>VLOOKUP(D576,原始分!$D:$N,10,0)</f>
        <v>0</v>
      </c>
      <c r="U576" s="174">
        <f t="shared" si="114"/>
        <v>316</v>
      </c>
      <c r="V576" s="174">
        <f>VLOOKUP(D576,原始分!$D:$N,11,0)</f>
        <v>50.5</v>
      </c>
      <c r="W576" s="174">
        <f t="shared" si="115"/>
        <v>293</v>
      </c>
      <c r="X576" s="11">
        <f t="shared" si="116"/>
        <v>304.25</v>
      </c>
      <c r="Y576" s="9">
        <f t="shared" si="117"/>
        <v>325</v>
      </c>
      <c r="Z576" s="11">
        <f t="shared" si="118"/>
        <v>450.25</v>
      </c>
      <c r="AA576" s="9">
        <f t="shared" si="119"/>
        <v>279</v>
      </c>
    </row>
    <row r="577" ht="14.25" spans="1:27">
      <c r="A577" s="13">
        <v>575</v>
      </c>
      <c r="B577" s="15">
        <v>12</v>
      </c>
      <c r="C577" s="16">
        <v>22</v>
      </c>
      <c r="D577" s="17" t="s">
        <v>1158</v>
      </c>
      <c r="E577" s="17" t="s">
        <v>1159</v>
      </c>
      <c r="F577" s="174">
        <f>VLOOKUP(D577,原始分!$D:$N,3,0)</f>
        <v>78</v>
      </c>
      <c r="G577" s="174">
        <f t="shared" si="107"/>
        <v>861</v>
      </c>
      <c r="H577" s="174">
        <f>VLOOKUP(D577,原始分!$D:$N,4,0)</f>
        <v>63</v>
      </c>
      <c r="I577" s="174">
        <f t="shared" si="108"/>
        <v>837</v>
      </c>
      <c r="J577" s="174">
        <f>VLOOKUP(D577,原始分!$D:$N,5,0)</f>
        <v>68.5</v>
      </c>
      <c r="K577" s="174">
        <f t="shared" si="109"/>
        <v>834</v>
      </c>
      <c r="L577" s="174">
        <f>VLOOKUP(D577,原始分!$D:$N,6,0)</f>
        <v>34.5</v>
      </c>
      <c r="M577" s="174">
        <f t="shared" si="110"/>
        <v>582</v>
      </c>
      <c r="N577" s="174">
        <f>VLOOKUP(D577,原始分!$D:$N,7,0)</f>
        <v>0</v>
      </c>
      <c r="O577" s="174">
        <f t="shared" si="111"/>
        <v>207</v>
      </c>
      <c r="P577" s="174">
        <f>VLOOKUP(D577,原始分!$D:$N,8,0)</f>
        <v>12.5</v>
      </c>
      <c r="Q577" s="174">
        <f t="shared" si="112"/>
        <v>539</v>
      </c>
      <c r="R577" s="174">
        <f>VLOOKUP(D577,原始分!$D:$N,9,0)</f>
        <v>0</v>
      </c>
      <c r="S577" s="174">
        <f t="shared" si="113"/>
        <v>320</v>
      </c>
      <c r="T577" s="174">
        <f>VLOOKUP(D577,原始分!$D:$N,10,0)</f>
        <v>0</v>
      </c>
      <c r="U577" s="174">
        <f t="shared" si="114"/>
        <v>316</v>
      </c>
      <c r="V577" s="174">
        <f>VLOOKUP(D577,原始分!$D:$N,11,0)</f>
        <v>42.5</v>
      </c>
      <c r="W577" s="174">
        <f t="shared" si="115"/>
        <v>466</v>
      </c>
      <c r="X577" s="11">
        <f t="shared" si="116"/>
        <v>209.5</v>
      </c>
      <c r="Y577" s="9">
        <f t="shared" si="117"/>
        <v>866</v>
      </c>
      <c r="Z577" s="11">
        <f t="shared" si="118"/>
        <v>299</v>
      </c>
      <c r="AA577" s="9">
        <f t="shared" si="119"/>
        <v>659</v>
      </c>
    </row>
    <row r="578" ht="14.25" spans="1:27">
      <c r="A578" s="13">
        <v>576</v>
      </c>
      <c r="B578" s="15">
        <v>12</v>
      </c>
      <c r="C578" s="16">
        <v>23</v>
      </c>
      <c r="D578" s="17" t="s">
        <v>1160</v>
      </c>
      <c r="E578" s="17" t="s">
        <v>1161</v>
      </c>
      <c r="F578" s="174">
        <f>VLOOKUP(D578,原始分!$D:$N,3,0)</f>
        <v>92</v>
      </c>
      <c r="G578" s="174">
        <f t="shared" si="107"/>
        <v>723</v>
      </c>
      <c r="H578" s="174">
        <f>VLOOKUP(D578,原始分!$D:$N,4,0)</f>
        <v>93.5</v>
      </c>
      <c r="I578" s="174">
        <f t="shared" si="108"/>
        <v>549</v>
      </c>
      <c r="J578" s="174">
        <f>VLOOKUP(D578,原始分!$D:$N,5,0)</f>
        <v>78</v>
      </c>
      <c r="K578" s="174">
        <f t="shared" si="109"/>
        <v>764</v>
      </c>
      <c r="L578" s="174">
        <f>VLOOKUP(D578,原始分!$D:$N,6,0)</f>
        <v>63.5</v>
      </c>
      <c r="M578" s="174">
        <f t="shared" si="110"/>
        <v>138</v>
      </c>
      <c r="N578" s="174">
        <f>VLOOKUP(D578,原始分!$D:$N,7,0)</f>
        <v>0</v>
      </c>
      <c r="O578" s="174">
        <f t="shared" si="111"/>
        <v>207</v>
      </c>
      <c r="P578" s="174">
        <f>VLOOKUP(D578,原始分!$D:$N,8,0)</f>
        <v>25</v>
      </c>
      <c r="Q578" s="174">
        <f t="shared" si="112"/>
        <v>510</v>
      </c>
      <c r="R578" s="174">
        <f>VLOOKUP(D578,原始分!$D:$N,9,0)</f>
        <v>0</v>
      </c>
      <c r="S578" s="174">
        <f t="shared" si="113"/>
        <v>320</v>
      </c>
      <c r="T578" s="174">
        <f>VLOOKUP(D578,原始分!$D:$N,10,0)</f>
        <v>0</v>
      </c>
      <c r="U578" s="174">
        <f t="shared" si="114"/>
        <v>316</v>
      </c>
      <c r="V578" s="174">
        <f>VLOOKUP(D578,原始分!$D:$N,11,0)</f>
        <v>45</v>
      </c>
      <c r="W578" s="174">
        <f t="shared" si="115"/>
        <v>410</v>
      </c>
      <c r="X578" s="11">
        <f t="shared" si="116"/>
        <v>263.5</v>
      </c>
      <c r="Y578" s="9">
        <f t="shared" si="117"/>
        <v>750</v>
      </c>
      <c r="Z578" s="11">
        <f t="shared" si="118"/>
        <v>397</v>
      </c>
      <c r="AA578" s="9">
        <f t="shared" si="119"/>
        <v>531</v>
      </c>
    </row>
    <row r="579" ht="14.25" spans="1:27">
      <c r="A579" s="13">
        <v>577</v>
      </c>
      <c r="B579" s="15">
        <v>12</v>
      </c>
      <c r="C579" s="16">
        <v>25</v>
      </c>
      <c r="D579" s="17" t="s">
        <v>1162</v>
      </c>
      <c r="E579" s="17" t="s">
        <v>1163</v>
      </c>
      <c r="F579" s="174">
        <f>VLOOKUP(D579,原始分!$D:$N,3,0)</f>
        <v>103</v>
      </c>
      <c r="G579" s="174">
        <f t="shared" ref="G579:G642" si="120">RANK(F579,$F$3:$F$900)</f>
        <v>260</v>
      </c>
      <c r="H579" s="174">
        <f>VLOOKUP(D579,原始分!$D:$N,4,0)</f>
        <v>97.5</v>
      </c>
      <c r="I579" s="174">
        <f t="shared" ref="I579:I642" si="121">RANK(H579,$H$3:$H$900)</f>
        <v>464</v>
      </c>
      <c r="J579" s="174">
        <f>VLOOKUP(D579,原始分!$D:$N,5,0)</f>
        <v>82</v>
      </c>
      <c r="K579" s="174">
        <f t="shared" ref="K579:K642" si="122">RANK(J579,$J$3:$J$900)</f>
        <v>720</v>
      </c>
      <c r="L579" s="174">
        <f>VLOOKUP(D579,原始分!$D:$N,6,0)</f>
        <v>48</v>
      </c>
      <c r="M579" s="174">
        <f t="shared" ref="M579:M642" si="123">RANK(L579,$L$3:$L$900)</f>
        <v>375</v>
      </c>
      <c r="N579" s="174">
        <f>VLOOKUP(D579,原始分!$D:$N,7,0)</f>
        <v>0</v>
      </c>
      <c r="O579" s="174">
        <f t="shared" ref="O579:O642" si="124">RANK(N579,$N$3:$N$900)</f>
        <v>207</v>
      </c>
      <c r="P579" s="174">
        <f>VLOOKUP(D579,原始分!$D:$N,8,0)</f>
        <v>21.5</v>
      </c>
      <c r="Q579" s="174">
        <f t="shared" ref="Q579:Q642" si="125">RANK(P579,$P$3:$P$900)</f>
        <v>527</v>
      </c>
      <c r="R579" s="174">
        <f>VLOOKUP(D579,原始分!$D:$N,9,0)</f>
        <v>0</v>
      </c>
      <c r="S579" s="174">
        <f t="shared" ref="S579:S642" si="126">RANK(R579,$R$3:$R$900)</f>
        <v>320</v>
      </c>
      <c r="T579" s="174">
        <f>VLOOKUP(D579,原始分!$D:$N,10,0)</f>
        <v>0</v>
      </c>
      <c r="U579" s="174">
        <f t="shared" ref="U579:U642" si="127">RANK(T579,$T$3:$T$900)</f>
        <v>316</v>
      </c>
      <c r="V579" s="174">
        <f>VLOOKUP(D579,原始分!$D:$N,11,0)</f>
        <v>46.5</v>
      </c>
      <c r="W579" s="174">
        <f t="shared" ref="W579:W642" si="128">RANK(V579,$V$3:$V$900)</f>
        <v>376</v>
      </c>
      <c r="X579" s="11">
        <f t="shared" ref="X579:X642" si="129">SUM(F579,H579,J579)</f>
        <v>282.5</v>
      </c>
      <c r="Y579" s="9">
        <f t="shared" ref="Y579:Y642" si="130">RANK(X579,$X$3:$X$900)</f>
        <v>571</v>
      </c>
      <c r="Z579" s="11">
        <f t="shared" ref="Z579:Z642" si="131">SUM(F579,H579,J579,L579,N579,P579,R579,T579,V579)</f>
        <v>398.5</v>
      </c>
      <c r="AA579" s="9">
        <f t="shared" si="119"/>
        <v>527</v>
      </c>
    </row>
    <row r="580" ht="14.25" spans="1:27">
      <c r="A580" s="13">
        <v>578</v>
      </c>
      <c r="B580" s="15">
        <v>12</v>
      </c>
      <c r="C580" s="16">
        <v>26</v>
      </c>
      <c r="D580" s="17" t="s">
        <v>1164</v>
      </c>
      <c r="E580" s="17" t="s">
        <v>1165</v>
      </c>
      <c r="F580" s="174">
        <f>VLOOKUP(D580,原始分!$D:$N,3,0)</f>
        <v>91.25</v>
      </c>
      <c r="G580" s="174">
        <f t="shared" si="120"/>
        <v>745</v>
      </c>
      <c r="H580" s="174">
        <f>VLOOKUP(D580,原始分!$D:$N,4,0)</f>
        <v>101</v>
      </c>
      <c r="I580" s="174">
        <f t="shared" si="121"/>
        <v>403</v>
      </c>
      <c r="J580" s="174">
        <f>VLOOKUP(D580,原始分!$D:$N,5,0)</f>
        <v>92</v>
      </c>
      <c r="K580" s="174">
        <f t="shared" si="122"/>
        <v>550</v>
      </c>
      <c r="L580" s="174">
        <f>VLOOKUP(D580,原始分!$D:$N,6,0)</f>
        <v>58.5</v>
      </c>
      <c r="M580" s="174">
        <f t="shared" si="123"/>
        <v>209</v>
      </c>
      <c r="N580" s="174">
        <f>VLOOKUP(D580,原始分!$D:$N,7,0)</f>
        <v>0</v>
      </c>
      <c r="O580" s="174">
        <f t="shared" si="124"/>
        <v>207</v>
      </c>
      <c r="P580" s="174">
        <f>VLOOKUP(D580,原始分!$D:$N,8,0)</f>
        <v>45.5</v>
      </c>
      <c r="Q580" s="174">
        <f t="shared" si="125"/>
        <v>203</v>
      </c>
      <c r="R580" s="174">
        <f>VLOOKUP(D580,原始分!$D:$N,9,0)</f>
        <v>0</v>
      </c>
      <c r="S580" s="174">
        <f t="shared" si="126"/>
        <v>320</v>
      </c>
      <c r="T580" s="174">
        <f>VLOOKUP(D580,原始分!$D:$N,10,0)</f>
        <v>0</v>
      </c>
      <c r="U580" s="174">
        <f t="shared" si="127"/>
        <v>316</v>
      </c>
      <c r="V580" s="174">
        <f>VLOOKUP(D580,原始分!$D:$N,11,0)</f>
        <v>41</v>
      </c>
      <c r="W580" s="174">
        <f t="shared" si="128"/>
        <v>482</v>
      </c>
      <c r="X580" s="11">
        <f t="shared" si="129"/>
        <v>284.25</v>
      </c>
      <c r="Y580" s="9">
        <f t="shared" si="130"/>
        <v>550</v>
      </c>
      <c r="Z580" s="11">
        <f t="shared" si="131"/>
        <v>429.25</v>
      </c>
      <c r="AA580" s="9">
        <f t="shared" si="119"/>
        <v>385</v>
      </c>
    </row>
    <row r="581" ht="14.25" spans="1:27">
      <c r="A581" s="13">
        <v>579</v>
      </c>
      <c r="B581" s="15">
        <v>12</v>
      </c>
      <c r="C581" s="16">
        <v>27</v>
      </c>
      <c r="D581" s="17" t="s">
        <v>1166</v>
      </c>
      <c r="E581" s="17" t="s">
        <v>1167</v>
      </c>
      <c r="F581" s="174">
        <f>VLOOKUP(D581,原始分!$D:$N,3,0)</f>
        <v>93</v>
      </c>
      <c r="G581" s="174">
        <f t="shared" si="120"/>
        <v>693</v>
      </c>
      <c r="H581" s="174">
        <f>VLOOKUP(D581,原始分!$D:$N,4,0)</f>
        <v>84.5</v>
      </c>
      <c r="I581" s="174">
        <f t="shared" si="121"/>
        <v>708</v>
      </c>
      <c r="J581" s="174">
        <f>VLOOKUP(D581,原始分!$D:$N,5,0)</f>
        <v>83</v>
      </c>
      <c r="K581" s="174">
        <f t="shared" si="122"/>
        <v>700</v>
      </c>
      <c r="L581" s="174">
        <f>VLOOKUP(D581,原始分!$D:$N,6,0)</f>
        <v>26</v>
      </c>
      <c r="M581" s="174">
        <f t="shared" si="123"/>
        <v>635</v>
      </c>
      <c r="N581" s="174">
        <f>VLOOKUP(D581,原始分!$D:$N,7,0)</f>
        <v>0</v>
      </c>
      <c r="O581" s="174">
        <f t="shared" si="124"/>
        <v>207</v>
      </c>
      <c r="P581" s="174">
        <f>VLOOKUP(D581,原始分!$D:$N,8,0)</f>
        <v>24.5</v>
      </c>
      <c r="Q581" s="174">
        <f t="shared" si="125"/>
        <v>514</v>
      </c>
      <c r="R581" s="174">
        <f>VLOOKUP(D581,原始分!$D:$N,9,0)</f>
        <v>0</v>
      </c>
      <c r="S581" s="174">
        <f t="shared" si="126"/>
        <v>320</v>
      </c>
      <c r="T581" s="174">
        <f>VLOOKUP(D581,原始分!$D:$N,10,0)</f>
        <v>0</v>
      </c>
      <c r="U581" s="174">
        <f t="shared" si="127"/>
        <v>316</v>
      </c>
      <c r="V581" s="174">
        <f>VLOOKUP(D581,原始分!$D:$N,11,0)</f>
        <v>25.5</v>
      </c>
      <c r="W581" s="174">
        <f t="shared" si="128"/>
        <v>558</v>
      </c>
      <c r="X581" s="11">
        <f t="shared" si="129"/>
        <v>260.5</v>
      </c>
      <c r="Y581" s="9">
        <f t="shared" si="130"/>
        <v>771</v>
      </c>
      <c r="Z581" s="11">
        <f t="shared" si="131"/>
        <v>336.5</v>
      </c>
      <c r="AA581" s="9">
        <f t="shared" si="119"/>
        <v>646</v>
      </c>
    </row>
    <row r="582" ht="14.25" spans="1:27">
      <c r="A582" s="13">
        <v>580</v>
      </c>
      <c r="B582" s="15">
        <v>12</v>
      </c>
      <c r="C582" s="16">
        <v>28</v>
      </c>
      <c r="D582" s="17" t="s">
        <v>1168</v>
      </c>
      <c r="E582" s="17" t="s">
        <v>1169</v>
      </c>
      <c r="F582" s="174">
        <f>VLOOKUP(D582,原始分!$D:$N,3,0)</f>
        <v>88.75</v>
      </c>
      <c r="G582" s="174">
        <f t="shared" si="120"/>
        <v>802</v>
      </c>
      <c r="H582" s="174">
        <f>VLOOKUP(D582,原始分!$D:$N,4,0)</f>
        <v>98.5</v>
      </c>
      <c r="I582" s="174">
        <f t="shared" si="121"/>
        <v>442</v>
      </c>
      <c r="J582" s="174">
        <f>VLOOKUP(D582,原始分!$D:$N,5,0)</f>
        <v>82.25</v>
      </c>
      <c r="K582" s="174">
        <f t="shared" si="122"/>
        <v>717</v>
      </c>
      <c r="L582" s="174">
        <f>VLOOKUP(D582,原始分!$D:$N,6,0)</f>
        <v>38.5</v>
      </c>
      <c r="M582" s="174">
        <f t="shared" si="123"/>
        <v>528</v>
      </c>
      <c r="N582" s="174">
        <f>VLOOKUP(D582,原始分!$D:$N,7,0)</f>
        <v>0</v>
      </c>
      <c r="O582" s="174">
        <f t="shared" si="124"/>
        <v>207</v>
      </c>
      <c r="P582" s="174">
        <f>VLOOKUP(D582,原始分!$D:$N,8,0)</f>
        <v>27</v>
      </c>
      <c r="Q582" s="174">
        <f t="shared" si="125"/>
        <v>498</v>
      </c>
      <c r="R582" s="174">
        <f>VLOOKUP(D582,原始分!$D:$N,9,0)</f>
        <v>0</v>
      </c>
      <c r="S582" s="174">
        <f t="shared" si="126"/>
        <v>320</v>
      </c>
      <c r="T582" s="174">
        <f>VLOOKUP(D582,原始分!$D:$N,10,0)</f>
        <v>0</v>
      </c>
      <c r="U582" s="174">
        <f t="shared" si="127"/>
        <v>316</v>
      </c>
      <c r="V582" s="174">
        <f>VLOOKUP(D582,原始分!$D:$N,11,0)</f>
        <v>13</v>
      </c>
      <c r="W582" s="174">
        <f t="shared" si="128"/>
        <v>564</v>
      </c>
      <c r="X582" s="11">
        <f t="shared" si="129"/>
        <v>269.5</v>
      </c>
      <c r="Y582" s="9">
        <f t="shared" si="130"/>
        <v>710</v>
      </c>
      <c r="Z582" s="11">
        <f t="shared" si="131"/>
        <v>348</v>
      </c>
      <c r="AA582" s="9">
        <f t="shared" si="119"/>
        <v>637</v>
      </c>
    </row>
    <row r="583" ht="14.25" spans="1:27">
      <c r="A583" s="13">
        <v>581</v>
      </c>
      <c r="B583" s="15">
        <v>12</v>
      </c>
      <c r="C583" s="16">
        <v>29</v>
      </c>
      <c r="D583" s="17" t="s">
        <v>1170</v>
      </c>
      <c r="E583" s="17" t="s">
        <v>1171</v>
      </c>
      <c r="F583" s="174">
        <f>VLOOKUP(D583,原始分!$D:$N,3,0)</f>
        <v>90</v>
      </c>
      <c r="G583" s="174">
        <f t="shared" si="120"/>
        <v>778</v>
      </c>
      <c r="H583" s="174">
        <f>VLOOKUP(D583,原始分!$D:$N,4,0)</f>
        <v>63.5</v>
      </c>
      <c r="I583" s="174">
        <f t="shared" si="121"/>
        <v>836</v>
      </c>
      <c r="J583" s="174">
        <f>VLOOKUP(D583,原始分!$D:$N,5,0)</f>
        <v>88.5</v>
      </c>
      <c r="K583" s="174">
        <f t="shared" si="122"/>
        <v>604</v>
      </c>
      <c r="L583" s="174">
        <f>VLOOKUP(D583,原始分!$D:$N,6,0)</f>
        <v>21</v>
      </c>
      <c r="M583" s="174">
        <f t="shared" si="123"/>
        <v>650</v>
      </c>
      <c r="N583" s="174">
        <f>VLOOKUP(D583,原始分!$D:$N,7,0)</f>
        <v>0</v>
      </c>
      <c r="O583" s="174">
        <f t="shared" si="124"/>
        <v>207</v>
      </c>
      <c r="P583" s="174">
        <f>VLOOKUP(D583,原始分!$D:$N,8,0)</f>
        <v>24.5</v>
      </c>
      <c r="Q583" s="174">
        <f t="shared" si="125"/>
        <v>514</v>
      </c>
      <c r="R583" s="174">
        <f>VLOOKUP(D583,原始分!$D:$N,9,0)</f>
        <v>0</v>
      </c>
      <c r="S583" s="174">
        <f t="shared" si="126"/>
        <v>320</v>
      </c>
      <c r="T583" s="174">
        <f>VLOOKUP(D583,原始分!$D:$N,10,0)</f>
        <v>0</v>
      </c>
      <c r="U583" s="174">
        <f t="shared" si="127"/>
        <v>316</v>
      </c>
      <c r="V583" s="174">
        <f>VLOOKUP(D583,原始分!$D:$N,11,0)</f>
        <v>42</v>
      </c>
      <c r="W583" s="174">
        <f t="shared" si="128"/>
        <v>472</v>
      </c>
      <c r="X583" s="11">
        <f t="shared" si="129"/>
        <v>242</v>
      </c>
      <c r="Y583" s="9">
        <f t="shared" si="130"/>
        <v>827</v>
      </c>
      <c r="Z583" s="11">
        <f t="shared" si="131"/>
        <v>329.5</v>
      </c>
      <c r="AA583" s="9">
        <f t="shared" si="119"/>
        <v>650</v>
      </c>
    </row>
    <row r="584" ht="14.25" spans="1:27">
      <c r="A584" s="13">
        <v>582</v>
      </c>
      <c r="B584" s="15">
        <v>12</v>
      </c>
      <c r="C584" s="16">
        <v>30</v>
      </c>
      <c r="D584" s="17" t="s">
        <v>1172</v>
      </c>
      <c r="E584" s="17" t="s">
        <v>1173</v>
      </c>
      <c r="F584" s="174">
        <f>VLOOKUP(D584,原始分!$D:$N,3,0)</f>
        <v>93</v>
      </c>
      <c r="G584" s="174">
        <f t="shared" si="120"/>
        <v>693</v>
      </c>
      <c r="H584" s="174">
        <f>VLOOKUP(D584,原始分!$D:$N,4,0)</f>
        <v>73.5</v>
      </c>
      <c r="I584" s="174">
        <f t="shared" si="121"/>
        <v>800</v>
      </c>
      <c r="J584" s="174">
        <f>VLOOKUP(D584,原始分!$D:$N,5,0)</f>
        <v>65.25</v>
      </c>
      <c r="K584" s="174">
        <f t="shared" si="122"/>
        <v>839</v>
      </c>
      <c r="L584" s="174">
        <f>VLOOKUP(D584,原始分!$D:$N,6,0)</f>
        <v>36.5</v>
      </c>
      <c r="M584" s="174">
        <f t="shared" si="123"/>
        <v>554</v>
      </c>
      <c r="N584" s="174">
        <f>VLOOKUP(D584,原始分!$D:$N,7,0)</f>
        <v>0</v>
      </c>
      <c r="O584" s="174">
        <f t="shared" si="124"/>
        <v>207</v>
      </c>
      <c r="P584" s="174">
        <f>VLOOKUP(D584,原始分!$D:$N,8,0)</f>
        <v>42.5</v>
      </c>
      <c r="Q584" s="174">
        <f t="shared" si="125"/>
        <v>257</v>
      </c>
      <c r="R584" s="174">
        <f>VLOOKUP(D584,原始分!$D:$N,9,0)</f>
        <v>0</v>
      </c>
      <c r="S584" s="174">
        <f t="shared" si="126"/>
        <v>320</v>
      </c>
      <c r="T584" s="174">
        <f>VLOOKUP(D584,原始分!$D:$N,10,0)</f>
        <v>0</v>
      </c>
      <c r="U584" s="174">
        <f t="shared" si="127"/>
        <v>316</v>
      </c>
      <c r="V584" s="174">
        <f>VLOOKUP(D584,原始分!$D:$N,11,0)</f>
        <v>43</v>
      </c>
      <c r="W584" s="174">
        <f t="shared" si="128"/>
        <v>454</v>
      </c>
      <c r="X584" s="11">
        <f t="shared" si="129"/>
        <v>231.75</v>
      </c>
      <c r="Y584" s="9">
        <f t="shared" si="130"/>
        <v>847</v>
      </c>
      <c r="Z584" s="11">
        <f t="shared" si="131"/>
        <v>353.75</v>
      </c>
      <c r="AA584" s="9">
        <f t="shared" si="119"/>
        <v>631</v>
      </c>
    </row>
    <row r="585" ht="14.25" spans="1:27">
      <c r="A585" s="13">
        <v>583</v>
      </c>
      <c r="B585" s="15">
        <v>12</v>
      </c>
      <c r="C585" s="16">
        <v>31</v>
      </c>
      <c r="D585" s="17" t="s">
        <v>1174</v>
      </c>
      <c r="E585" s="17" t="s">
        <v>1175</v>
      </c>
      <c r="F585" s="174">
        <f>VLOOKUP(D585,原始分!$D:$N,3,0)</f>
        <v>103</v>
      </c>
      <c r="G585" s="174">
        <f t="shared" si="120"/>
        <v>260</v>
      </c>
      <c r="H585" s="174">
        <f>VLOOKUP(D585,原始分!$D:$N,4,0)</f>
        <v>97</v>
      </c>
      <c r="I585" s="174">
        <f t="shared" si="121"/>
        <v>478</v>
      </c>
      <c r="J585" s="174">
        <f>VLOOKUP(D585,原始分!$D:$N,5,0)</f>
        <v>92</v>
      </c>
      <c r="K585" s="174">
        <f t="shared" si="122"/>
        <v>550</v>
      </c>
      <c r="L585" s="174">
        <f>VLOOKUP(D585,原始分!$D:$N,6,0)</f>
        <v>40</v>
      </c>
      <c r="M585" s="174">
        <f t="shared" si="123"/>
        <v>506</v>
      </c>
      <c r="N585" s="174">
        <f>VLOOKUP(D585,原始分!$D:$N,7,0)</f>
        <v>0</v>
      </c>
      <c r="O585" s="174">
        <f t="shared" si="124"/>
        <v>207</v>
      </c>
      <c r="P585" s="174">
        <f>VLOOKUP(D585,原始分!$D:$N,8,0)</f>
        <v>22</v>
      </c>
      <c r="Q585" s="174">
        <f t="shared" si="125"/>
        <v>523</v>
      </c>
      <c r="R585" s="174">
        <f>VLOOKUP(D585,原始分!$D:$N,9,0)</f>
        <v>0</v>
      </c>
      <c r="S585" s="174">
        <f t="shared" si="126"/>
        <v>320</v>
      </c>
      <c r="T585" s="174">
        <f>VLOOKUP(D585,原始分!$D:$N,10,0)</f>
        <v>0</v>
      </c>
      <c r="U585" s="174">
        <f t="shared" si="127"/>
        <v>316</v>
      </c>
      <c r="V585" s="174">
        <f>VLOOKUP(D585,原始分!$D:$N,11,0)</f>
        <v>58</v>
      </c>
      <c r="W585" s="174">
        <f t="shared" si="128"/>
        <v>125</v>
      </c>
      <c r="X585" s="11">
        <f t="shared" si="129"/>
        <v>292</v>
      </c>
      <c r="Y585" s="9">
        <f t="shared" si="130"/>
        <v>472</v>
      </c>
      <c r="Z585" s="11">
        <f t="shared" si="131"/>
        <v>412</v>
      </c>
      <c r="AA585" s="9">
        <f t="shared" si="119"/>
        <v>462</v>
      </c>
    </row>
    <row r="586" ht="14.25" spans="1:27">
      <c r="A586" s="13">
        <v>584</v>
      </c>
      <c r="B586" s="15">
        <v>12</v>
      </c>
      <c r="C586" s="16">
        <v>33</v>
      </c>
      <c r="D586" s="17" t="s">
        <v>1176</v>
      </c>
      <c r="E586" s="17" t="s">
        <v>1177</v>
      </c>
      <c r="F586" s="174">
        <f>VLOOKUP(D586,原始分!$D:$N,3,0)</f>
        <v>78.5</v>
      </c>
      <c r="G586" s="174">
        <f t="shared" si="120"/>
        <v>860</v>
      </c>
      <c r="H586" s="174">
        <f>VLOOKUP(D586,原始分!$D:$N,4,0)</f>
        <v>98.5</v>
      </c>
      <c r="I586" s="174">
        <f t="shared" si="121"/>
        <v>442</v>
      </c>
      <c r="J586" s="174">
        <f>VLOOKUP(D586,原始分!$D:$N,5,0)</f>
        <v>61</v>
      </c>
      <c r="K586" s="174">
        <f t="shared" si="122"/>
        <v>851</v>
      </c>
      <c r="L586" s="174">
        <f>VLOOKUP(D586,原始分!$D:$N,6,0)</f>
        <v>29</v>
      </c>
      <c r="M586" s="174">
        <f t="shared" si="123"/>
        <v>618</v>
      </c>
      <c r="N586" s="174">
        <f>VLOOKUP(D586,原始分!$D:$N,7,0)</f>
        <v>0</v>
      </c>
      <c r="O586" s="174">
        <f t="shared" si="124"/>
        <v>207</v>
      </c>
      <c r="P586" s="174">
        <f>VLOOKUP(D586,原始分!$D:$N,8,0)</f>
        <v>18</v>
      </c>
      <c r="Q586" s="174">
        <f t="shared" si="125"/>
        <v>537</v>
      </c>
      <c r="R586" s="174">
        <f>VLOOKUP(D586,原始分!$D:$N,9,0)</f>
        <v>0</v>
      </c>
      <c r="S586" s="174">
        <f t="shared" si="126"/>
        <v>320</v>
      </c>
      <c r="T586" s="174">
        <f>VLOOKUP(D586,原始分!$D:$N,10,0)</f>
        <v>0</v>
      </c>
      <c r="U586" s="174">
        <f t="shared" si="127"/>
        <v>316</v>
      </c>
      <c r="V586" s="174">
        <f>VLOOKUP(D586,原始分!$D:$N,11,0)</f>
        <v>25.5</v>
      </c>
      <c r="W586" s="174">
        <f t="shared" si="128"/>
        <v>558</v>
      </c>
      <c r="X586" s="11">
        <f t="shared" si="129"/>
        <v>238</v>
      </c>
      <c r="Y586" s="9">
        <f t="shared" si="130"/>
        <v>837</v>
      </c>
      <c r="Z586" s="11">
        <f t="shared" si="131"/>
        <v>310.5</v>
      </c>
      <c r="AA586" s="9">
        <f t="shared" si="119"/>
        <v>655</v>
      </c>
    </row>
    <row r="587" ht="14.25" spans="1:27">
      <c r="A587" s="13">
        <v>585</v>
      </c>
      <c r="B587" s="15">
        <v>12</v>
      </c>
      <c r="C587" s="16">
        <v>34</v>
      </c>
      <c r="D587" s="17" t="s">
        <v>1178</v>
      </c>
      <c r="E587" s="17" t="s">
        <v>1179</v>
      </c>
      <c r="F587" s="174">
        <f>VLOOKUP(D587,原始分!$D:$N,3,0)</f>
        <v>91.5</v>
      </c>
      <c r="G587" s="174">
        <f t="shared" si="120"/>
        <v>730</v>
      </c>
      <c r="H587" s="174">
        <f>VLOOKUP(D587,原始分!$D:$N,4,0)</f>
        <v>115.5</v>
      </c>
      <c r="I587" s="174">
        <f t="shared" si="121"/>
        <v>121</v>
      </c>
      <c r="J587" s="174">
        <f>VLOOKUP(D587,原始分!$D:$N,5,0)</f>
        <v>92</v>
      </c>
      <c r="K587" s="174">
        <f t="shared" si="122"/>
        <v>550</v>
      </c>
      <c r="L587" s="174">
        <f>VLOOKUP(D587,原始分!$D:$N,6,0)</f>
        <v>58.5</v>
      </c>
      <c r="M587" s="174">
        <f t="shared" si="123"/>
        <v>209</v>
      </c>
      <c r="N587" s="174">
        <f>VLOOKUP(D587,原始分!$D:$N,7,0)</f>
        <v>0</v>
      </c>
      <c r="O587" s="174">
        <f t="shared" si="124"/>
        <v>207</v>
      </c>
      <c r="P587" s="174">
        <f>VLOOKUP(D587,原始分!$D:$N,8,0)</f>
        <v>59</v>
      </c>
      <c r="Q587" s="174">
        <f t="shared" si="125"/>
        <v>32</v>
      </c>
      <c r="R587" s="174">
        <f>VLOOKUP(D587,原始分!$D:$N,9,0)</f>
        <v>0</v>
      </c>
      <c r="S587" s="174">
        <f t="shared" si="126"/>
        <v>320</v>
      </c>
      <c r="T587" s="174">
        <f>VLOOKUP(D587,原始分!$D:$N,10,0)</f>
        <v>0</v>
      </c>
      <c r="U587" s="174">
        <f t="shared" si="127"/>
        <v>316</v>
      </c>
      <c r="V587" s="174">
        <f>VLOOKUP(D587,原始分!$D:$N,11,0)</f>
        <v>47</v>
      </c>
      <c r="W587" s="174">
        <f t="shared" si="128"/>
        <v>366</v>
      </c>
      <c r="X587" s="11">
        <f t="shared" si="129"/>
        <v>299</v>
      </c>
      <c r="Y587" s="9">
        <f t="shared" si="130"/>
        <v>383</v>
      </c>
      <c r="Z587" s="11">
        <f t="shared" si="131"/>
        <v>463.5</v>
      </c>
      <c r="AA587" s="9">
        <f t="shared" si="119"/>
        <v>208</v>
      </c>
    </row>
    <row r="588" ht="14.25" spans="1:27">
      <c r="A588" s="13">
        <v>586</v>
      </c>
      <c r="B588" s="15">
        <v>12</v>
      </c>
      <c r="C588" s="16">
        <v>35</v>
      </c>
      <c r="D588" s="17" t="s">
        <v>1180</v>
      </c>
      <c r="E588" s="17" t="s">
        <v>1181</v>
      </c>
      <c r="F588" s="174">
        <f>VLOOKUP(D588,原始分!$D:$N,3,0)</f>
        <v>86.75</v>
      </c>
      <c r="G588" s="174">
        <f t="shared" si="120"/>
        <v>824</v>
      </c>
      <c r="H588" s="174">
        <f>VLOOKUP(D588,原始分!$D:$N,4,0)</f>
        <v>106.5</v>
      </c>
      <c r="I588" s="174">
        <f t="shared" si="121"/>
        <v>286</v>
      </c>
      <c r="J588" s="174">
        <f>VLOOKUP(D588,原始分!$D:$N,5,0)</f>
        <v>65</v>
      </c>
      <c r="K588" s="174">
        <f t="shared" si="122"/>
        <v>840</v>
      </c>
      <c r="L588" s="174">
        <f>VLOOKUP(D588,原始分!$D:$N,6,0)</f>
        <v>47</v>
      </c>
      <c r="M588" s="174">
        <f t="shared" si="123"/>
        <v>391</v>
      </c>
      <c r="N588" s="174">
        <f>VLOOKUP(D588,原始分!$D:$N,7,0)</f>
        <v>0</v>
      </c>
      <c r="O588" s="174">
        <f t="shared" si="124"/>
        <v>207</v>
      </c>
      <c r="P588" s="174">
        <f>VLOOKUP(D588,原始分!$D:$N,8,0)</f>
        <v>24</v>
      </c>
      <c r="Q588" s="174">
        <f t="shared" si="125"/>
        <v>518</v>
      </c>
      <c r="R588" s="174">
        <f>VLOOKUP(D588,原始分!$D:$N,9,0)</f>
        <v>0</v>
      </c>
      <c r="S588" s="174">
        <f t="shared" si="126"/>
        <v>320</v>
      </c>
      <c r="T588" s="174">
        <f>VLOOKUP(D588,原始分!$D:$N,10,0)</f>
        <v>0</v>
      </c>
      <c r="U588" s="174">
        <f t="shared" si="127"/>
        <v>316</v>
      </c>
      <c r="V588" s="174">
        <f>VLOOKUP(D588,原始分!$D:$N,11,0)</f>
        <v>25.5</v>
      </c>
      <c r="W588" s="174">
        <f t="shared" si="128"/>
        <v>558</v>
      </c>
      <c r="X588" s="11">
        <f t="shared" si="129"/>
        <v>258.25</v>
      </c>
      <c r="Y588" s="9">
        <f t="shared" si="130"/>
        <v>779</v>
      </c>
      <c r="Z588" s="11">
        <f t="shared" si="131"/>
        <v>354.75</v>
      </c>
      <c r="AA588" s="9">
        <f t="shared" si="119"/>
        <v>630</v>
      </c>
    </row>
    <row r="589" ht="14.25" spans="1:27">
      <c r="A589" s="13">
        <v>587</v>
      </c>
      <c r="B589" s="15">
        <v>12</v>
      </c>
      <c r="C589" s="16">
        <v>37</v>
      </c>
      <c r="D589" s="17" t="s">
        <v>1182</v>
      </c>
      <c r="E589" s="17" t="s">
        <v>1183</v>
      </c>
      <c r="F589" s="174">
        <f>VLOOKUP(D589,原始分!$D:$N,3,0)</f>
        <v>91.5</v>
      </c>
      <c r="G589" s="174">
        <f t="shared" si="120"/>
        <v>730</v>
      </c>
      <c r="H589" s="174">
        <f>VLOOKUP(D589,原始分!$D:$N,4,0)</f>
        <v>98.5</v>
      </c>
      <c r="I589" s="174">
        <f t="shared" si="121"/>
        <v>442</v>
      </c>
      <c r="J589" s="174">
        <f>VLOOKUP(D589,原始分!$D:$N,5,0)</f>
        <v>105</v>
      </c>
      <c r="K589" s="174">
        <f t="shared" si="122"/>
        <v>276</v>
      </c>
      <c r="L589" s="174">
        <f>VLOOKUP(D589,原始分!$D:$N,6,0)</f>
        <v>33</v>
      </c>
      <c r="M589" s="174">
        <f t="shared" si="123"/>
        <v>596</v>
      </c>
      <c r="N589" s="174">
        <f>VLOOKUP(D589,原始分!$D:$N,7,0)</f>
        <v>0</v>
      </c>
      <c r="O589" s="174">
        <f t="shared" si="124"/>
        <v>207</v>
      </c>
      <c r="P589" s="174">
        <f>VLOOKUP(D589,原始分!$D:$N,8,0)</f>
        <v>42</v>
      </c>
      <c r="Q589" s="174">
        <f t="shared" si="125"/>
        <v>266</v>
      </c>
      <c r="R589" s="174">
        <f>VLOOKUP(D589,原始分!$D:$N,9,0)</f>
        <v>0</v>
      </c>
      <c r="S589" s="174">
        <f t="shared" si="126"/>
        <v>320</v>
      </c>
      <c r="T589" s="174">
        <f>VLOOKUP(D589,原始分!$D:$N,10,0)</f>
        <v>0</v>
      </c>
      <c r="U589" s="174">
        <f t="shared" si="127"/>
        <v>316</v>
      </c>
      <c r="V589" s="174">
        <f>VLOOKUP(D589,原始分!$D:$N,11,0)</f>
        <v>38</v>
      </c>
      <c r="W589" s="174">
        <f t="shared" si="128"/>
        <v>510</v>
      </c>
      <c r="X589" s="11">
        <f t="shared" si="129"/>
        <v>295</v>
      </c>
      <c r="Y589" s="9">
        <f t="shared" si="130"/>
        <v>427</v>
      </c>
      <c r="Z589" s="11">
        <f t="shared" si="131"/>
        <v>408</v>
      </c>
      <c r="AA589" s="9">
        <f t="shared" si="119"/>
        <v>479</v>
      </c>
    </row>
    <row r="590" ht="14.25" spans="1:27">
      <c r="A590" s="13">
        <v>588</v>
      </c>
      <c r="B590" s="15">
        <v>12</v>
      </c>
      <c r="C590" s="16">
        <v>38</v>
      </c>
      <c r="D590" s="17" t="s">
        <v>1184</v>
      </c>
      <c r="E590" s="17" t="s">
        <v>1185</v>
      </c>
      <c r="F590" s="174">
        <f>VLOOKUP(D590,原始分!$D:$N,3,0)</f>
        <v>93</v>
      </c>
      <c r="G590" s="174">
        <f t="shared" si="120"/>
        <v>693</v>
      </c>
      <c r="H590" s="174">
        <f>VLOOKUP(D590,原始分!$D:$N,4,0)</f>
        <v>89.5</v>
      </c>
      <c r="I590" s="174">
        <f t="shared" si="121"/>
        <v>622</v>
      </c>
      <c r="J590" s="174">
        <f>VLOOKUP(D590,原始分!$D:$N,5,0)</f>
        <v>95</v>
      </c>
      <c r="K590" s="174">
        <f t="shared" si="122"/>
        <v>484</v>
      </c>
      <c r="L590" s="174">
        <f>VLOOKUP(D590,原始分!$D:$N,6,0)</f>
        <v>64.5</v>
      </c>
      <c r="M590" s="174">
        <f t="shared" si="123"/>
        <v>120</v>
      </c>
      <c r="N590" s="174">
        <f>VLOOKUP(D590,原始分!$D:$N,7,0)</f>
        <v>0</v>
      </c>
      <c r="O590" s="174">
        <f t="shared" si="124"/>
        <v>207</v>
      </c>
      <c r="P590" s="174">
        <f>VLOOKUP(D590,原始分!$D:$N,8,0)</f>
        <v>33</v>
      </c>
      <c r="Q590" s="174">
        <f t="shared" si="125"/>
        <v>435</v>
      </c>
      <c r="R590" s="174">
        <f>VLOOKUP(D590,原始分!$D:$N,9,0)</f>
        <v>0</v>
      </c>
      <c r="S590" s="174">
        <f t="shared" si="126"/>
        <v>320</v>
      </c>
      <c r="T590" s="174">
        <f>VLOOKUP(D590,原始分!$D:$N,10,0)</f>
        <v>0</v>
      </c>
      <c r="U590" s="174">
        <f t="shared" si="127"/>
        <v>316</v>
      </c>
      <c r="V590" s="174">
        <f>VLOOKUP(D590,原始分!$D:$N,11,0)</f>
        <v>47</v>
      </c>
      <c r="W590" s="174">
        <f t="shared" si="128"/>
        <v>366</v>
      </c>
      <c r="X590" s="11">
        <f t="shared" si="129"/>
        <v>277.5</v>
      </c>
      <c r="Y590" s="9">
        <f t="shared" si="130"/>
        <v>632</v>
      </c>
      <c r="Z590" s="11">
        <f t="shared" si="131"/>
        <v>422</v>
      </c>
      <c r="AA590" s="9">
        <f t="shared" si="119"/>
        <v>423</v>
      </c>
    </row>
    <row r="591" ht="14.25" spans="1:27">
      <c r="A591" s="13">
        <v>589</v>
      </c>
      <c r="B591" s="15">
        <v>12</v>
      </c>
      <c r="C591" s="16">
        <v>39</v>
      </c>
      <c r="D591" s="17" t="s">
        <v>1186</v>
      </c>
      <c r="E591" s="17" t="s">
        <v>1187</v>
      </c>
      <c r="F591" s="174">
        <f>VLOOKUP(D591,原始分!$D:$N,3,0)</f>
        <v>98</v>
      </c>
      <c r="G591" s="174">
        <f t="shared" si="120"/>
        <v>500</v>
      </c>
      <c r="H591" s="174">
        <f>VLOOKUP(D591,原始分!$D:$N,4,0)</f>
        <v>116</v>
      </c>
      <c r="I591" s="174">
        <f t="shared" si="121"/>
        <v>113</v>
      </c>
      <c r="J591" s="174">
        <f>VLOOKUP(D591,原始分!$D:$N,5,0)</f>
        <v>73.25</v>
      </c>
      <c r="K591" s="174">
        <f t="shared" si="122"/>
        <v>805</v>
      </c>
      <c r="L591" s="174">
        <f>VLOOKUP(D591,原始分!$D:$N,6,0)</f>
        <v>65</v>
      </c>
      <c r="M591" s="174">
        <f t="shared" si="123"/>
        <v>115</v>
      </c>
      <c r="N591" s="174">
        <f>VLOOKUP(D591,原始分!$D:$N,7,0)</f>
        <v>0</v>
      </c>
      <c r="O591" s="174">
        <f t="shared" si="124"/>
        <v>207</v>
      </c>
      <c r="P591" s="174">
        <f>VLOOKUP(D591,原始分!$D:$N,8,0)</f>
        <v>40.5</v>
      </c>
      <c r="Q591" s="174">
        <f t="shared" si="125"/>
        <v>303</v>
      </c>
      <c r="R591" s="174">
        <f>VLOOKUP(D591,原始分!$D:$N,9,0)</f>
        <v>0</v>
      </c>
      <c r="S591" s="174">
        <f t="shared" si="126"/>
        <v>320</v>
      </c>
      <c r="T591" s="174">
        <f>VLOOKUP(D591,原始分!$D:$N,10,0)</f>
        <v>0</v>
      </c>
      <c r="U591" s="174">
        <f t="shared" si="127"/>
        <v>316</v>
      </c>
      <c r="V591" s="174">
        <f>VLOOKUP(D591,原始分!$D:$N,11,0)</f>
        <v>53</v>
      </c>
      <c r="W591" s="174">
        <f t="shared" si="128"/>
        <v>223</v>
      </c>
      <c r="X591" s="11">
        <f t="shared" si="129"/>
        <v>287.25</v>
      </c>
      <c r="Y591" s="9">
        <f t="shared" si="130"/>
        <v>520</v>
      </c>
      <c r="Z591" s="11">
        <f t="shared" si="131"/>
        <v>445.75</v>
      </c>
      <c r="AA591" s="9">
        <f t="shared" si="119"/>
        <v>302</v>
      </c>
    </row>
    <row r="592" ht="14.25" spans="1:27">
      <c r="A592" s="13">
        <v>590</v>
      </c>
      <c r="B592" s="15">
        <v>12</v>
      </c>
      <c r="C592" s="16">
        <v>40</v>
      </c>
      <c r="D592" s="17" t="s">
        <v>1188</v>
      </c>
      <c r="E592" s="17" t="s">
        <v>1189</v>
      </c>
      <c r="F592" s="174">
        <f>VLOOKUP(D592,原始分!$D:$N,3,0)</f>
        <v>105</v>
      </c>
      <c r="G592" s="174">
        <f t="shared" si="120"/>
        <v>171</v>
      </c>
      <c r="H592" s="174">
        <f>VLOOKUP(D592,原始分!$D:$N,4,0)</f>
        <v>89.5</v>
      </c>
      <c r="I592" s="174">
        <f t="shared" si="121"/>
        <v>622</v>
      </c>
      <c r="J592" s="174">
        <f>VLOOKUP(D592,原始分!$D:$N,5,0)</f>
        <v>105.5</v>
      </c>
      <c r="K592" s="174">
        <f t="shared" si="122"/>
        <v>259</v>
      </c>
      <c r="L592" s="174">
        <f>VLOOKUP(D592,原始分!$D:$N,6,0)</f>
        <v>48.5</v>
      </c>
      <c r="M592" s="174">
        <f t="shared" si="123"/>
        <v>364</v>
      </c>
      <c r="N592" s="174">
        <f>VLOOKUP(D592,原始分!$D:$N,7,0)</f>
        <v>0</v>
      </c>
      <c r="O592" s="174">
        <f t="shared" si="124"/>
        <v>207</v>
      </c>
      <c r="P592" s="174">
        <f>VLOOKUP(D592,原始分!$D:$N,8,0)</f>
        <v>41.5</v>
      </c>
      <c r="Q592" s="174">
        <f t="shared" si="125"/>
        <v>279</v>
      </c>
      <c r="R592" s="174">
        <f>VLOOKUP(D592,原始分!$D:$N,9,0)</f>
        <v>0</v>
      </c>
      <c r="S592" s="174">
        <f t="shared" si="126"/>
        <v>320</v>
      </c>
      <c r="T592" s="174">
        <f>VLOOKUP(D592,原始分!$D:$N,10,0)</f>
        <v>0</v>
      </c>
      <c r="U592" s="174">
        <f t="shared" si="127"/>
        <v>316</v>
      </c>
      <c r="V592" s="174">
        <f>VLOOKUP(D592,原始分!$D:$N,11,0)</f>
        <v>39.5</v>
      </c>
      <c r="W592" s="174">
        <f t="shared" si="128"/>
        <v>499</v>
      </c>
      <c r="X592" s="11">
        <f t="shared" si="129"/>
        <v>300</v>
      </c>
      <c r="Y592" s="9">
        <f t="shared" si="130"/>
        <v>373</v>
      </c>
      <c r="Z592" s="11">
        <f t="shared" si="131"/>
        <v>429.5</v>
      </c>
      <c r="AA592" s="9">
        <f t="shared" si="119"/>
        <v>383</v>
      </c>
    </row>
    <row r="593" ht="14.25" spans="1:27">
      <c r="A593" s="13">
        <v>591</v>
      </c>
      <c r="B593" s="15">
        <v>12</v>
      </c>
      <c r="C593" s="16">
        <v>41</v>
      </c>
      <c r="D593" s="17" t="s">
        <v>1190</v>
      </c>
      <c r="E593" s="17" t="s">
        <v>1191</v>
      </c>
      <c r="F593" s="174">
        <f>VLOOKUP(D593,原始分!$D:$N,3,0)</f>
        <v>91.75</v>
      </c>
      <c r="G593" s="174">
        <f t="shared" si="120"/>
        <v>729</v>
      </c>
      <c r="H593" s="174">
        <f>VLOOKUP(D593,原始分!$D:$N,4,0)</f>
        <v>91.5</v>
      </c>
      <c r="I593" s="174">
        <f t="shared" si="121"/>
        <v>586</v>
      </c>
      <c r="J593" s="174">
        <f>VLOOKUP(D593,原始分!$D:$N,5,0)</f>
        <v>94.75</v>
      </c>
      <c r="K593" s="174">
        <f t="shared" si="122"/>
        <v>493</v>
      </c>
      <c r="L593" s="174">
        <f>VLOOKUP(D593,原始分!$D:$N,6,0)</f>
        <v>35</v>
      </c>
      <c r="M593" s="174">
        <f t="shared" si="123"/>
        <v>572</v>
      </c>
      <c r="N593" s="174">
        <f>VLOOKUP(D593,原始分!$D:$N,7,0)</f>
        <v>0</v>
      </c>
      <c r="O593" s="174">
        <f t="shared" si="124"/>
        <v>207</v>
      </c>
      <c r="P593" s="174">
        <f>VLOOKUP(D593,原始分!$D:$N,8,0)</f>
        <v>37</v>
      </c>
      <c r="Q593" s="174">
        <f t="shared" si="125"/>
        <v>376</v>
      </c>
      <c r="R593" s="174">
        <f>VLOOKUP(D593,原始分!$D:$N,9,0)</f>
        <v>0</v>
      </c>
      <c r="S593" s="174">
        <f t="shared" si="126"/>
        <v>320</v>
      </c>
      <c r="T593" s="174">
        <f>VLOOKUP(D593,原始分!$D:$N,10,0)</f>
        <v>0</v>
      </c>
      <c r="U593" s="174">
        <f t="shared" si="127"/>
        <v>316</v>
      </c>
      <c r="V593" s="174">
        <f>VLOOKUP(D593,原始分!$D:$N,11,0)</f>
        <v>59</v>
      </c>
      <c r="W593" s="174">
        <f t="shared" si="128"/>
        <v>107</v>
      </c>
      <c r="X593" s="11">
        <f t="shared" si="129"/>
        <v>278</v>
      </c>
      <c r="Y593" s="9">
        <f t="shared" si="130"/>
        <v>621</v>
      </c>
      <c r="Z593" s="11">
        <f t="shared" si="131"/>
        <v>409</v>
      </c>
      <c r="AA593" s="9">
        <f t="shared" si="119"/>
        <v>477</v>
      </c>
    </row>
    <row r="594" ht="14.25" spans="1:27">
      <c r="A594" s="13">
        <v>592</v>
      </c>
      <c r="B594" s="15">
        <v>12</v>
      </c>
      <c r="C594" s="16">
        <v>42</v>
      </c>
      <c r="D594" s="17" t="s">
        <v>1192</v>
      </c>
      <c r="E594" s="17" t="s">
        <v>1193</v>
      </c>
      <c r="F594" s="174">
        <f>VLOOKUP(D594,原始分!$D:$N,3,0)</f>
        <v>103</v>
      </c>
      <c r="G594" s="174">
        <f t="shared" si="120"/>
        <v>260</v>
      </c>
      <c r="H594" s="174">
        <f>VLOOKUP(D594,原始分!$D:$N,4,0)</f>
        <v>98</v>
      </c>
      <c r="I594" s="174">
        <f t="shared" si="121"/>
        <v>454</v>
      </c>
      <c r="J594" s="174">
        <f>VLOOKUP(D594,原始分!$D:$N,5,0)</f>
        <v>97.5</v>
      </c>
      <c r="K594" s="174">
        <f t="shared" si="122"/>
        <v>436</v>
      </c>
      <c r="L594" s="174">
        <f>VLOOKUP(D594,原始分!$D:$N,6,0)</f>
        <v>57</v>
      </c>
      <c r="M594" s="174">
        <f t="shared" si="123"/>
        <v>237</v>
      </c>
      <c r="N594" s="174">
        <f>VLOOKUP(D594,原始分!$D:$N,7,0)</f>
        <v>0</v>
      </c>
      <c r="O594" s="174">
        <f t="shared" si="124"/>
        <v>207</v>
      </c>
      <c r="P594" s="174">
        <f>VLOOKUP(D594,原始分!$D:$N,8,0)</f>
        <v>44.5</v>
      </c>
      <c r="Q594" s="174">
        <f t="shared" si="125"/>
        <v>219</v>
      </c>
      <c r="R594" s="174">
        <f>VLOOKUP(D594,原始分!$D:$N,9,0)</f>
        <v>0</v>
      </c>
      <c r="S594" s="174">
        <f t="shared" si="126"/>
        <v>320</v>
      </c>
      <c r="T594" s="174">
        <f>VLOOKUP(D594,原始分!$D:$N,10,0)</f>
        <v>0</v>
      </c>
      <c r="U594" s="174">
        <f t="shared" si="127"/>
        <v>316</v>
      </c>
      <c r="V594" s="174">
        <f>VLOOKUP(D594,原始分!$D:$N,11,0)</f>
        <v>64.5</v>
      </c>
      <c r="W594" s="174">
        <f t="shared" si="128"/>
        <v>41</v>
      </c>
      <c r="X594" s="11">
        <f t="shared" si="129"/>
        <v>298.5</v>
      </c>
      <c r="Y594" s="9">
        <f t="shared" si="130"/>
        <v>390</v>
      </c>
      <c r="Z594" s="11">
        <f t="shared" si="131"/>
        <v>464.5</v>
      </c>
      <c r="AA594" s="9">
        <f t="shared" si="119"/>
        <v>198</v>
      </c>
    </row>
    <row r="595" ht="14.25" spans="1:27">
      <c r="A595" s="13">
        <v>593</v>
      </c>
      <c r="B595" s="15">
        <v>12</v>
      </c>
      <c r="C595" s="16">
        <v>43</v>
      </c>
      <c r="D595" s="17" t="s">
        <v>1194</v>
      </c>
      <c r="E595" s="17" t="s">
        <v>1195</v>
      </c>
      <c r="F595" s="174">
        <f>VLOOKUP(D595,原始分!$D:$N,3,0)</f>
        <v>82</v>
      </c>
      <c r="G595" s="174">
        <f t="shared" si="120"/>
        <v>855</v>
      </c>
      <c r="H595" s="174">
        <f>VLOOKUP(D595,原始分!$D:$N,4,0)</f>
        <v>109</v>
      </c>
      <c r="I595" s="174">
        <f t="shared" si="121"/>
        <v>241</v>
      </c>
      <c r="J595" s="174">
        <f>VLOOKUP(D595,原始分!$D:$N,5,0)</f>
        <v>73.5</v>
      </c>
      <c r="K595" s="174">
        <f t="shared" si="122"/>
        <v>802</v>
      </c>
      <c r="L595" s="174">
        <f>VLOOKUP(D595,原始分!$D:$N,6,0)</f>
        <v>43.5</v>
      </c>
      <c r="M595" s="174">
        <f t="shared" si="123"/>
        <v>452</v>
      </c>
      <c r="N595" s="174">
        <f>VLOOKUP(D595,原始分!$D:$N,7,0)</f>
        <v>0</v>
      </c>
      <c r="O595" s="174">
        <f t="shared" si="124"/>
        <v>207</v>
      </c>
      <c r="P595" s="174">
        <f>VLOOKUP(D595,原始分!$D:$N,8,0)</f>
        <v>39.5</v>
      </c>
      <c r="Q595" s="174">
        <f t="shared" si="125"/>
        <v>335</v>
      </c>
      <c r="R595" s="174">
        <f>VLOOKUP(D595,原始分!$D:$N,9,0)</f>
        <v>0</v>
      </c>
      <c r="S595" s="174">
        <f t="shared" si="126"/>
        <v>320</v>
      </c>
      <c r="T595" s="174">
        <f>VLOOKUP(D595,原始分!$D:$N,10,0)</f>
        <v>0</v>
      </c>
      <c r="U595" s="174">
        <f t="shared" si="127"/>
        <v>316</v>
      </c>
      <c r="V595" s="174">
        <f>VLOOKUP(D595,原始分!$D:$N,11,0)</f>
        <v>45</v>
      </c>
      <c r="W595" s="174">
        <f t="shared" si="128"/>
        <v>410</v>
      </c>
      <c r="X595" s="11">
        <f t="shared" si="129"/>
        <v>264.5</v>
      </c>
      <c r="Y595" s="9">
        <f t="shared" si="130"/>
        <v>746</v>
      </c>
      <c r="Z595" s="11">
        <f t="shared" si="131"/>
        <v>392.5</v>
      </c>
      <c r="AA595" s="9">
        <f t="shared" si="119"/>
        <v>545</v>
      </c>
    </row>
    <row r="596" ht="14.25" spans="1:27">
      <c r="A596" s="13">
        <v>594</v>
      </c>
      <c r="B596" s="15">
        <v>12</v>
      </c>
      <c r="C596" s="16">
        <v>44</v>
      </c>
      <c r="D596" s="17" t="s">
        <v>1196</v>
      </c>
      <c r="E596" s="17" t="s">
        <v>1197</v>
      </c>
      <c r="F596" s="174">
        <f>VLOOKUP(D596,原始分!$D:$N,3,0)</f>
        <v>103.5</v>
      </c>
      <c r="G596" s="174">
        <f t="shared" si="120"/>
        <v>230</v>
      </c>
      <c r="H596" s="174">
        <f>VLOOKUP(D596,原始分!$D:$N,4,0)</f>
        <v>115.5</v>
      </c>
      <c r="I596" s="174">
        <f t="shared" si="121"/>
        <v>121</v>
      </c>
      <c r="J596" s="174">
        <f>VLOOKUP(D596,原始分!$D:$N,5,0)</f>
        <v>75.25</v>
      </c>
      <c r="K596" s="174">
        <f t="shared" si="122"/>
        <v>790</v>
      </c>
      <c r="L596" s="174">
        <f>VLOOKUP(D596,原始分!$D:$N,6,0)</f>
        <v>69</v>
      </c>
      <c r="M596" s="174">
        <f t="shared" si="123"/>
        <v>70</v>
      </c>
      <c r="N596" s="174">
        <f>VLOOKUP(D596,原始分!$D:$N,7,0)</f>
        <v>0</v>
      </c>
      <c r="O596" s="174">
        <f t="shared" si="124"/>
        <v>207</v>
      </c>
      <c r="P596" s="174">
        <f>VLOOKUP(D596,原始分!$D:$N,8,0)</f>
        <v>40</v>
      </c>
      <c r="Q596" s="174">
        <f t="shared" si="125"/>
        <v>316</v>
      </c>
      <c r="R596" s="174">
        <f>VLOOKUP(D596,原始分!$D:$N,9,0)</f>
        <v>0</v>
      </c>
      <c r="S596" s="174">
        <f t="shared" si="126"/>
        <v>320</v>
      </c>
      <c r="T596" s="174">
        <f>VLOOKUP(D596,原始分!$D:$N,10,0)</f>
        <v>0</v>
      </c>
      <c r="U596" s="174">
        <f t="shared" si="127"/>
        <v>316</v>
      </c>
      <c r="V596" s="174">
        <f>VLOOKUP(D596,原始分!$D:$N,11,0)</f>
        <v>52.5</v>
      </c>
      <c r="W596" s="174">
        <f t="shared" si="128"/>
        <v>235</v>
      </c>
      <c r="X596" s="11">
        <f t="shared" si="129"/>
        <v>294.25</v>
      </c>
      <c r="Y596" s="9">
        <f t="shared" si="130"/>
        <v>441</v>
      </c>
      <c r="Z596" s="11">
        <f t="shared" si="131"/>
        <v>455.75</v>
      </c>
      <c r="AA596" s="9">
        <f t="shared" si="119"/>
        <v>245</v>
      </c>
    </row>
    <row r="597" ht="14.25" spans="1:27">
      <c r="A597" s="13">
        <v>595</v>
      </c>
      <c r="B597" s="15">
        <v>12</v>
      </c>
      <c r="C597" s="16">
        <v>45</v>
      </c>
      <c r="D597" s="17" t="s">
        <v>1198</v>
      </c>
      <c r="E597" s="17" t="s">
        <v>1199</v>
      </c>
      <c r="F597" s="174">
        <f>VLOOKUP(D597,原始分!$D:$N,3,0)</f>
        <v>98</v>
      </c>
      <c r="G597" s="174">
        <f t="shared" si="120"/>
        <v>500</v>
      </c>
      <c r="H597" s="174">
        <f>VLOOKUP(D597,原始分!$D:$N,4,0)</f>
        <v>110</v>
      </c>
      <c r="I597" s="174">
        <f t="shared" si="121"/>
        <v>223</v>
      </c>
      <c r="J597" s="174">
        <f>VLOOKUP(D597,原始分!$D:$N,5,0)</f>
        <v>99.25</v>
      </c>
      <c r="K597" s="174">
        <f t="shared" si="122"/>
        <v>391</v>
      </c>
      <c r="L597" s="174">
        <f>VLOOKUP(D597,原始分!$D:$N,6,0)</f>
        <v>39.5</v>
      </c>
      <c r="M597" s="174">
        <f t="shared" si="123"/>
        <v>514</v>
      </c>
      <c r="N597" s="174">
        <f>VLOOKUP(D597,原始分!$D:$N,7,0)</f>
        <v>0</v>
      </c>
      <c r="O597" s="174">
        <f t="shared" si="124"/>
        <v>207</v>
      </c>
      <c r="P597" s="174">
        <f>VLOOKUP(D597,原始分!$D:$N,8,0)</f>
        <v>35.5</v>
      </c>
      <c r="Q597" s="174">
        <f t="shared" si="125"/>
        <v>397</v>
      </c>
      <c r="R597" s="174">
        <f>VLOOKUP(D597,原始分!$D:$N,9,0)</f>
        <v>0</v>
      </c>
      <c r="S597" s="174">
        <f t="shared" si="126"/>
        <v>320</v>
      </c>
      <c r="T597" s="174">
        <f>VLOOKUP(D597,原始分!$D:$N,10,0)</f>
        <v>0</v>
      </c>
      <c r="U597" s="174">
        <f t="shared" si="127"/>
        <v>316</v>
      </c>
      <c r="V597" s="174">
        <f>VLOOKUP(D597,原始分!$D:$N,11,0)</f>
        <v>41</v>
      </c>
      <c r="W597" s="174">
        <f t="shared" si="128"/>
        <v>482</v>
      </c>
      <c r="X597" s="11">
        <f t="shared" si="129"/>
        <v>307.25</v>
      </c>
      <c r="Y597" s="9">
        <f t="shared" si="130"/>
        <v>298</v>
      </c>
      <c r="Z597" s="11">
        <f t="shared" si="131"/>
        <v>423.25</v>
      </c>
      <c r="AA597" s="9">
        <f t="shared" si="119"/>
        <v>412</v>
      </c>
    </row>
    <row r="598" ht="14.25" spans="1:27">
      <c r="A598" s="13">
        <v>596</v>
      </c>
      <c r="B598" s="15">
        <v>12</v>
      </c>
      <c r="C598" s="16">
        <v>46</v>
      </c>
      <c r="D598" s="17" t="s">
        <v>1200</v>
      </c>
      <c r="E598" s="17" t="s">
        <v>1201</v>
      </c>
      <c r="F598" s="174">
        <f>VLOOKUP(D598,原始分!$D:$N,3,0)</f>
        <v>97</v>
      </c>
      <c r="G598" s="174">
        <f t="shared" si="120"/>
        <v>551</v>
      </c>
      <c r="H598" s="174">
        <f>VLOOKUP(D598,原始分!$D:$N,4,0)</f>
        <v>90</v>
      </c>
      <c r="I598" s="174">
        <f t="shared" si="121"/>
        <v>614</v>
      </c>
      <c r="J598" s="174">
        <f>VLOOKUP(D598,原始分!$D:$N,5,0)</f>
        <v>105.75</v>
      </c>
      <c r="K598" s="174">
        <f t="shared" si="122"/>
        <v>251</v>
      </c>
      <c r="L598" s="174">
        <f>VLOOKUP(D598,原始分!$D:$N,6,0)</f>
        <v>34</v>
      </c>
      <c r="M598" s="174">
        <f t="shared" si="123"/>
        <v>588</v>
      </c>
      <c r="N598" s="174">
        <f>VLOOKUP(D598,原始分!$D:$N,7,0)</f>
        <v>0</v>
      </c>
      <c r="O598" s="174">
        <f t="shared" si="124"/>
        <v>207</v>
      </c>
      <c r="P598" s="174">
        <f>VLOOKUP(D598,原始分!$D:$N,8,0)</f>
        <v>42.5</v>
      </c>
      <c r="Q598" s="174">
        <f t="shared" si="125"/>
        <v>257</v>
      </c>
      <c r="R598" s="174">
        <f>VLOOKUP(D598,原始分!$D:$N,9,0)</f>
        <v>0</v>
      </c>
      <c r="S598" s="174">
        <f t="shared" si="126"/>
        <v>320</v>
      </c>
      <c r="T598" s="174">
        <f>VLOOKUP(D598,原始分!$D:$N,10,0)</f>
        <v>0</v>
      </c>
      <c r="U598" s="174">
        <f t="shared" si="127"/>
        <v>316</v>
      </c>
      <c r="V598" s="174">
        <f>VLOOKUP(D598,原始分!$D:$N,11,0)</f>
        <v>44</v>
      </c>
      <c r="W598" s="174">
        <f t="shared" si="128"/>
        <v>433</v>
      </c>
      <c r="X598" s="11">
        <f t="shared" si="129"/>
        <v>292.75</v>
      </c>
      <c r="Y598" s="9">
        <f t="shared" si="130"/>
        <v>464</v>
      </c>
      <c r="Z598" s="11">
        <f t="shared" si="131"/>
        <v>413.25</v>
      </c>
      <c r="AA598" s="9">
        <f t="shared" si="119"/>
        <v>457</v>
      </c>
    </row>
    <row r="599" ht="14.25" spans="1:27">
      <c r="A599" s="13">
        <v>597</v>
      </c>
      <c r="B599" s="15">
        <v>12</v>
      </c>
      <c r="C599" s="16">
        <v>47</v>
      </c>
      <c r="D599" s="17" t="s">
        <v>1202</v>
      </c>
      <c r="E599" s="17" t="s">
        <v>1203</v>
      </c>
      <c r="F599" s="174">
        <f>VLOOKUP(D599,原始分!$D:$N,3,0)</f>
        <v>100.5</v>
      </c>
      <c r="G599" s="174">
        <f t="shared" si="120"/>
        <v>370</v>
      </c>
      <c r="H599" s="174">
        <f>VLOOKUP(D599,原始分!$D:$N,4,0)</f>
        <v>91</v>
      </c>
      <c r="I599" s="174">
        <f t="shared" si="121"/>
        <v>592</v>
      </c>
      <c r="J599" s="174">
        <f>VLOOKUP(D599,原始分!$D:$N,5,0)</f>
        <v>94.5</v>
      </c>
      <c r="K599" s="174">
        <f t="shared" si="122"/>
        <v>497</v>
      </c>
      <c r="L599" s="174">
        <f>VLOOKUP(D599,原始分!$D:$N,6,0)</f>
        <v>39</v>
      </c>
      <c r="M599" s="174">
        <f t="shared" si="123"/>
        <v>520</v>
      </c>
      <c r="N599" s="174">
        <f>VLOOKUP(D599,原始分!$D:$N,7,0)</f>
        <v>0</v>
      </c>
      <c r="O599" s="174">
        <f t="shared" si="124"/>
        <v>207</v>
      </c>
      <c r="P599" s="174">
        <f>VLOOKUP(D599,原始分!$D:$N,8,0)</f>
        <v>40.5</v>
      </c>
      <c r="Q599" s="174">
        <f t="shared" si="125"/>
        <v>303</v>
      </c>
      <c r="R599" s="174">
        <f>VLOOKUP(D599,原始分!$D:$N,9,0)</f>
        <v>0</v>
      </c>
      <c r="S599" s="174">
        <f t="shared" si="126"/>
        <v>320</v>
      </c>
      <c r="T599" s="174">
        <f>VLOOKUP(D599,原始分!$D:$N,10,0)</f>
        <v>0</v>
      </c>
      <c r="U599" s="174">
        <f t="shared" si="127"/>
        <v>316</v>
      </c>
      <c r="V599" s="174">
        <f>VLOOKUP(D599,原始分!$D:$N,11,0)</f>
        <v>46</v>
      </c>
      <c r="W599" s="174">
        <f t="shared" si="128"/>
        <v>386</v>
      </c>
      <c r="X599" s="11">
        <f t="shared" si="129"/>
        <v>286</v>
      </c>
      <c r="Y599" s="9">
        <f t="shared" si="130"/>
        <v>533</v>
      </c>
      <c r="Z599" s="11">
        <f t="shared" si="131"/>
        <v>411.5</v>
      </c>
      <c r="AA599" s="9">
        <f t="shared" si="119"/>
        <v>465</v>
      </c>
    </row>
    <row r="600" ht="14.25" spans="1:27">
      <c r="A600" s="13">
        <v>598</v>
      </c>
      <c r="B600" s="15">
        <v>12</v>
      </c>
      <c r="C600" s="16">
        <v>48</v>
      </c>
      <c r="D600" s="17" t="s">
        <v>1204</v>
      </c>
      <c r="E600" s="17" t="s">
        <v>1205</v>
      </c>
      <c r="F600" s="174">
        <f>VLOOKUP(D600,原始分!$D:$N,3,0)</f>
        <v>97.5</v>
      </c>
      <c r="G600" s="174">
        <f t="shared" si="120"/>
        <v>531</v>
      </c>
      <c r="H600" s="174">
        <f>VLOOKUP(D600,原始分!$D:$N,4,0)</f>
        <v>104</v>
      </c>
      <c r="I600" s="174">
        <f t="shared" si="121"/>
        <v>341</v>
      </c>
      <c r="J600" s="174">
        <f>VLOOKUP(D600,原始分!$D:$N,5,0)</f>
        <v>76</v>
      </c>
      <c r="K600" s="174">
        <f t="shared" si="122"/>
        <v>781</v>
      </c>
      <c r="L600" s="174">
        <f>VLOOKUP(D600,原始分!$D:$N,6,0)</f>
        <v>58.5</v>
      </c>
      <c r="M600" s="174">
        <f t="shared" si="123"/>
        <v>209</v>
      </c>
      <c r="N600" s="174">
        <f>VLOOKUP(D600,原始分!$D:$N,7,0)</f>
        <v>0</v>
      </c>
      <c r="O600" s="174">
        <f t="shared" si="124"/>
        <v>207</v>
      </c>
      <c r="P600" s="174">
        <f>VLOOKUP(D600,原始分!$D:$N,8,0)</f>
        <v>42</v>
      </c>
      <c r="Q600" s="174">
        <f t="shared" si="125"/>
        <v>266</v>
      </c>
      <c r="R600" s="174">
        <f>VLOOKUP(D600,原始分!$D:$N,9,0)</f>
        <v>0</v>
      </c>
      <c r="S600" s="174">
        <f t="shared" si="126"/>
        <v>320</v>
      </c>
      <c r="T600" s="174">
        <f>VLOOKUP(D600,原始分!$D:$N,10,0)</f>
        <v>0</v>
      </c>
      <c r="U600" s="174">
        <f t="shared" si="127"/>
        <v>316</v>
      </c>
      <c r="V600" s="174">
        <f>VLOOKUP(D600,原始分!$D:$N,11,0)</f>
        <v>45</v>
      </c>
      <c r="W600" s="174">
        <f t="shared" si="128"/>
        <v>410</v>
      </c>
      <c r="X600" s="11">
        <f t="shared" si="129"/>
        <v>277.5</v>
      </c>
      <c r="Y600" s="9">
        <f t="shared" si="130"/>
        <v>632</v>
      </c>
      <c r="Z600" s="11">
        <f t="shared" si="131"/>
        <v>423</v>
      </c>
      <c r="AA600" s="9">
        <f t="shared" si="119"/>
        <v>415</v>
      </c>
    </row>
    <row r="601" ht="14.25" spans="1:27">
      <c r="A601" s="13">
        <v>599</v>
      </c>
      <c r="B601" s="15">
        <v>12</v>
      </c>
      <c r="C601" s="16">
        <v>49</v>
      </c>
      <c r="D601" s="17" t="s">
        <v>1206</v>
      </c>
      <c r="E601" s="17" t="s">
        <v>1207</v>
      </c>
      <c r="F601" s="174">
        <f>VLOOKUP(D601,原始分!$D:$N,3,0)</f>
        <v>100.5</v>
      </c>
      <c r="G601" s="174">
        <f t="shared" si="120"/>
        <v>370</v>
      </c>
      <c r="H601" s="174">
        <f>VLOOKUP(D601,原始分!$D:$N,4,0)</f>
        <v>93.5</v>
      </c>
      <c r="I601" s="174">
        <f t="shared" si="121"/>
        <v>549</v>
      </c>
      <c r="J601" s="174">
        <f>VLOOKUP(D601,原始分!$D:$N,5,0)</f>
        <v>85.25</v>
      </c>
      <c r="K601" s="174">
        <f t="shared" si="122"/>
        <v>667</v>
      </c>
      <c r="L601" s="174">
        <f>VLOOKUP(D601,原始分!$D:$N,6,0)</f>
        <v>43</v>
      </c>
      <c r="M601" s="174">
        <f t="shared" si="123"/>
        <v>461</v>
      </c>
      <c r="N601" s="174">
        <f>VLOOKUP(D601,原始分!$D:$N,7,0)</f>
        <v>0</v>
      </c>
      <c r="O601" s="174">
        <f t="shared" si="124"/>
        <v>207</v>
      </c>
      <c r="P601" s="174">
        <f>VLOOKUP(D601,原始分!$D:$N,8,0)</f>
        <v>33.5</v>
      </c>
      <c r="Q601" s="174">
        <f t="shared" si="125"/>
        <v>422</v>
      </c>
      <c r="R601" s="174">
        <f>VLOOKUP(D601,原始分!$D:$N,9,0)</f>
        <v>0</v>
      </c>
      <c r="S601" s="174">
        <f t="shared" si="126"/>
        <v>320</v>
      </c>
      <c r="T601" s="174">
        <f>VLOOKUP(D601,原始分!$D:$N,10,0)</f>
        <v>0</v>
      </c>
      <c r="U601" s="174">
        <f t="shared" si="127"/>
        <v>316</v>
      </c>
      <c r="V601" s="174">
        <f>VLOOKUP(D601,原始分!$D:$N,11,0)</f>
        <v>44</v>
      </c>
      <c r="W601" s="174">
        <f t="shared" si="128"/>
        <v>433</v>
      </c>
      <c r="X601" s="11">
        <f t="shared" si="129"/>
        <v>279.25</v>
      </c>
      <c r="Y601" s="9">
        <f t="shared" si="130"/>
        <v>604</v>
      </c>
      <c r="Z601" s="11">
        <f t="shared" si="131"/>
        <v>399.75</v>
      </c>
      <c r="AA601" s="9">
        <f t="shared" si="119"/>
        <v>524</v>
      </c>
    </row>
    <row r="602" ht="14.25" spans="1:27">
      <c r="A602" s="13">
        <v>600</v>
      </c>
      <c r="B602" s="15">
        <v>12</v>
      </c>
      <c r="C602" s="16">
        <v>50</v>
      </c>
      <c r="D602" s="17" t="s">
        <v>1208</v>
      </c>
      <c r="E602" s="17" t="s">
        <v>1209</v>
      </c>
      <c r="F602" s="174">
        <f>VLOOKUP(D602,原始分!$D:$N,3,0)</f>
        <v>103.5</v>
      </c>
      <c r="G602" s="174">
        <f t="shared" si="120"/>
        <v>230</v>
      </c>
      <c r="H602" s="174">
        <f>VLOOKUP(D602,原始分!$D:$N,4,0)</f>
        <v>115</v>
      </c>
      <c r="I602" s="174">
        <f t="shared" si="121"/>
        <v>130</v>
      </c>
      <c r="J602" s="174">
        <f>VLOOKUP(D602,原始分!$D:$N,5,0)</f>
        <v>87.75</v>
      </c>
      <c r="K602" s="174">
        <f t="shared" si="122"/>
        <v>621</v>
      </c>
      <c r="L602" s="174">
        <f>VLOOKUP(D602,原始分!$D:$N,6,0)</f>
        <v>77</v>
      </c>
      <c r="M602" s="174">
        <f t="shared" si="123"/>
        <v>20</v>
      </c>
      <c r="N602" s="174">
        <f>VLOOKUP(D602,原始分!$D:$N,7,0)</f>
        <v>0</v>
      </c>
      <c r="O602" s="174">
        <f t="shared" si="124"/>
        <v>207</v>
      </c>
      <c r="P602" s="174">
        <f>VLOOKUP(D602,原始分!$D:$N,8,0)</f>
        <v>39</v>
      </c>
      <c r="Q602" s="174">
        <f t="shared" si="125"/>
        <v>348</v>
      </c>
      <c r="R602" s="174">
        <f>VLOOKUP(D602,原始分!$D:$N,9,0)</f>
        <v>0</v>
      </c>
      <c r="S602" s="174">
        <f t="shared" si="126"/>
        <v>320</v>
      </c>
      <c r="T602" s="174">
        <f>VLOOKUP(D602,原始分!$D:$N,10,0)</f>
        <v>0</v>
      </c>
      <c r="U602" s="174">
        <f t="shared" si="127"/>
        <v>316</v>
      </c>
      <c r="V602" s="174">
        <f>VLOOKUP(D602,原始分!$D:$N,11,0)</f>
        <v>54.5</v>
      </c>
      <c r="W602" s="174">
        <f t="shared" si="128"/>
        <v>187</v>
      </c>
      <c r="X602" s="11">
        <f t="shared" si="129"/>
        <v>306.25</v>
      </c>
      <c r="Y602" s="9">
        <f t="shared" si="130"/>
        <v>305</v>
      </c>
      <c r="Z602" s="11">
        <f t="shared" si="131"/>
        <v>476.75</v>
      </c>
      <c r="AA602" s="9">
        <f t="shared" si="119"/>
        <v>148</v>
      </c>
    </row>
    <row r="603" ht="14.25" spans="1:27">
      <c r="A603" s="13">
        <v>601</v>
      </c>
      <c r="B603" s="15">
        <v>12</v>
      </c>
      <c r="C603" s="16">
        <v>51</v>
      </c>
      <c r="D603" s="17" t="s">
        <v>1210</v>
      </c>
      <c r="E603" s="17" t="s">
        <v>1211</v>
      </c>
      <c r="F603" s="174">
        <f>VLOOKUP(D603,原始分!$D:$N,3,0)</f>
        <v>92</v>
      </c>
      <c r="G603" s="174">
        <f t="shared" si="120"/>
        <v>723</v>
      </c>
      <c r="H603" s="174">
        <f>VLOOKUP(D603,原始分!$D:$N,4,0)</f>
        <v>65</v>
      </c>
      <c r="I603" s="174">
        <f t="shared" si="121"/>
        <v>832</v>
      </c>
      <c r="J603" s="174">
        <f>VLOOKUP(D603,原始分!$D:$N,5,0)</f>
        <v>75</v>
      </c>
      <c r="K603" s="174">
        <f t="shared" si="122"/>
        <v>791</v>
      </c>
      <c r="L603" s="174">
        <f>VLOOKUP(D603,原始分!$D:$N,6,0)</f>
        <v>26.5</v>
      </c>
      <c r="M603" s="174">
        <f t="shared" si="123"/>
        <v>634</v>
      </c>
      <c r="N603" s="174">
        <f>VLOOKUP(D603,原始分!$D:$N,7,0)</f>
        <v>0</v>
      </c>
      <c r="O603" s="174">
        <f t="shared" si="124"/>
        <v>207</v>
      </c>
      <c r="P603" s="174">
        <f>VLOOKUP(D603,原始分!$D:$N,8,0)</f>
        <v>28.5</v>
      </c>
      <c r="Q603" s="174">
        <f t="shared" si="125"/>
        <v>488</v>
      </c>
      <c r="R603" s="174">
        <f>VLOOKUP(D603,原始分!$D:$N,9,0)</f>
        <v>0</v>
      </c>
      <c r="S603" s="174">
        <f t="shared" si="126"/>
        <v>320</v>
      </c>
      <c r="T603" s="174">
        <f>VLOOKUP(D603,原始分!$D:$N,10,0)</f>
        <v>0</v>
      </c>
      <c r="U603" s="174">
        <f t="shared" si="127"/>
        <v>316</v>
      </c>
      <c r="V603" s="174">
        <f>VLOOKUP(D603,原始分!$D:$N,11,0)</f>
        <v>33.5</v>
      </c>
      <c r="W603" s="174">
        <f t="shared" si="128"/>
        <v>536</v>
      </c>
      <c r="X603" s="11">
        <f t="shared" si="129"/>
        <v>232</v>
      </c>
      <c r="Y603" s="9">
        <f t="shared" si="130"/>
        <v>845</v>
      </c>
      <c r="Z603" s="11">
        <f t="shared" si="131"/>
        <v>320.5</v>
      </c>
      <c r="AA603" s="9">
        <f t="shared" si="119"/>
        <v>653</v>
      </c>
    </row>
    <row r="604" ht="14.25" spans="1:27">
      <c r="A604" s="13">
        <v>602</v>
      </c>
      <c r="B604" s="15">
        <v>12</v>
      </c>
      <c r="C604" s="16">
        <v>52</v>
      </c>
      <c r="D604" s="17" t="s">
        <v>1212</v>
      </c>
      <c r="E604" s="17" t="s">
        <v>1213</v>
      </c>
      <c r="F604" s="174">
        <f>VLOOKUP(D604,原始分!$D:$N,3,0)</f>
        <v>99</v>
      </c>
      <c r="G604" s="174">
        <f t="shared" si="120"/>
        <v>442</v>
      </c>
      <c r="H604" s="174">
        <f>VLOOKUP(D604,原始分!$D:$N,4,0)</f>
        <v>105.5</v>
      </c>
      <c r="I604" s="174">
        <f t="shared" si="121"/>
        <v>311</v>
      </c>
      <c r="J604" s="174">
        <f>VLOOKUP(D604,原始分!$D:$N,5,0)</f>
        <v>59.5</v>
      </c>
      <c r="K604" s="174">
        <f t="shared" si="122"/>
        <v>854</v>
      </c>
      <c r="L604" s="174">
        <f>VLOOKUP(D604,原始分!$D:$N,6,0)</f>
        <v>45</v>
      </c>
      <c r="M604" s="174">
        <f t="shared" si="123"/>
        <v>424</v>
      </c>
      <c r="N604" s="174">
        <f>VLOOKUP(D604,原始分!$D:$N,7,0)</f>
        <v>0</v>
      </c>
      <c r="O604" s="174">
        <f t="shared" si="124"/>
        <v>207</v>
      </c>
      <c r="P604" s="174">
        <f>VLOOKUP(D604,原始分!$D:$N,8,0)</f>
        <v>26.5</v>
      </c>
      <c r="Q604" s="174">
        <f t="shared" si="125"/>
        <v>504</v>
      </c>
      <c r="R604" s="174">
        <f>VLOOKUP(D604,原始分!$D:$N,9,0)</f>
        <v>0</v>
      </c>
      <c r="S604" s="174">
        <f t="shared" si="126"/>
        <v>320</v>
      </c>
      <c r="T604" s="174">
        <f>VLOOKUP(D604,原始分!$D:$N,10,0)</f>
        <v>0</v>
      </c>
      <c r="U604" s="174">
        <f t="shared" si="127"/>
        <v>316</v>
      </c>
      <c r="V604" s="174">
        <f>VLOOKUP(D604,原始分!$D:$N,11,0)</f>
        <v>44</v>
      </c>
      <c r="W604" s="174">
        <f t="shared" si="128"/>
        <v>433</v>
      </c>
      <c r="X604" s="11">
        <f t="shared" si="129"/>
        <v>264</v>
      </c>
      <c r="Y604" s="9">
        <f t="shared" si="130"/>
        <v>749</v>
      </c>
      <c r="Z604" s="11">
        <f t="shared" si="131"/>
        <v>379.5</v>
      </c>
      <c r="AA604" s="9">
        <f t="shared" si="119"/>
        <v>580</v>
      </c>
    </row>
    <row r="605" ht="14.25" spans="1:27">
      <c r="A605" s="13">
        <v>603</v>
      </c>
      <c r="B605" s="15">
        <v>12</v>
      </c>
      <c r="C605" s="16">
        <v>53</v>
      </c>
      <c r="D605" s="17" t="s">
        <v>1214</v>
      </c>
      <c r="E605" s="17" t="s">
        <v>1215</v>
      </c>
      <c r="F605" s="174">
        <f>VLOOKUP(D605,原始分!$D:$N,3,0)</f>
        <v>94</v>
      </c>
      <c r="G605" s="174">
        <f t="shared" si="120"/>
        <v>661</v>
      </c>
      <c r="H605" s="174">
        <f>VLOOKUP(D605,原始分!$D:$N,4,0)</f>
        <v>104.5</v>
      </c>
      <c r="I605" s="174">
        <f t="shared" si="121"/>
        <v>327</v>
      </c>
      <c r="J605" s="174">
        <f>VLOOKUP(D605,原始分!$D:$N,5,0)</f>
        <v>82.25</v>
      </c>
      <c r="K605" s="174">
        <f t="shared" si="122"/>
        <v>717</v>
      </c>
      <c r="L605" s="174">
        <f>VLOOKUP(D605,原始分!$D:$N,6,0)</f>
        <v>59.5</v>
      </c>
      <c r="M605" s="174">
        <f t="shared" si="123"/>
        <v>195</v>
      </c>
      <c r="N605" s="174">
        <f>VLOOKUP(D605,原始分!$D:$N,7,0)</f>
        <v>0</v>
      </c>
      <c r="O605" s="174">
        <f t="shared" si="124"/>
        <v>207</v>
      </c>
      <c r="P605" s="174">
        <f>VLOOKUP(D605,原始分!$D:$N,8,0)</f>
        <v>40</v>
      </c>
      <c r="Q605" s="174">
        <f t="shared" si="125"/>
        <v>316</v>
      </c>
      <c r="R605" s="174">
        <f>VLOOKUP(D605,原始分!$D:$N,9,0)</f>
        <v>0</v>
      </c>
      <c r="S605" s="174">
        <f t="shared" si="126"/>
        <v>320</v>
      </c>
      <c r="T605" s="174">
        <f>VLOOKUP(D605,原始分!$D:$N,10,0)</f>
        <v>0</v>
      </c>
      <c r="U605" s="174">
        <f t="shared" si="127"/>
        <v>316</v>
      </c>
      <c r="V605" s="174">
        <f>VLOOKUP(D605,原始分!$D:$N,11,0)</f>
        <v>35.5</v>
      </c>
      <c r="W605" s="174">
        <f t="shared" si="128"/>
        <v>522</v>
      </c>
      <c r="X605" s="11">
        <f t="shared" si="129"/>
        <v>280.75</v>
      </c>
      <c r="Y605" s="9">
        <f t="shared" si="130"/>
        <v>591</v>
      </c>
      <c r="Z605" s="11">
        <f t="shared" si="131"/>
        <v>415.75</v>
      </c>
      <c r="AA605" s="9">
        <f t="shared" si="119"/>
        <v>443</v>
      </c>
    </row>
    <row r="606" ht="14.25" spans="1:27">
      <c r="A606" s="13">
        <v>604</v>
      </c>
      <c r="B606" s="15">
        <v>12</v>
      </c>
      <c r="C606" s="16">
        <v>54</v>
      </c>
      <c r="D606" s="17" t="s">
        <v>1216</v>
      </c>
      <c r="E606" s="17" t="s">
        <v>1217</v>
      </c>
      <c r="F606" s="174">
        <f>VLOOKUP(D606,原始分!$D:$N,3,0)</f>
        <v>85.5</v>
      </c>
      <c r="G606" s="174">
        <f t="shared" si="120"/>
        <v>833</v>
      </c>
      <c r="H606" s="174">
        <f>VLOOKUP(D606,原始分!$D:$N,4,0)</f>
        <v>94.5</v>
      </c>
      <c r="I606" s="174">
        <f t="shared" si="121"/>
        <v>525</v>
      </c>
      <c r="J606" s="174">
        <f>VLOOKUP(D606,原始分!$D:$N,5,0)</f>
        <v>67</v>
      </c>
      <c r="K606" s="174">
        <f t="shared" si="122"/>
        <v>836</v>
      </c>
      <c r="L606" s="174">
        <f>VLOOKUP(D606,原始分!$D:$N,6,0)</f>
        <v>44</v>
      </c>
      <c r="M606" s="174">
        <f t="shared" si="123"/>
        <v>441</v>
      </c>
      <c r="N606" s="174">
        <f>VLOOKUP(D606,原始分!$D:$N,7,0)</f>
        <v>0</v>
      </c>
      <c r="O606" s="174">
        <f t="shared" si="124"/>
        <v>207</v>
      </c>
      <c r="P606" s="174">
        <f>VLOOKUP(D606,原始分!$D:$N,8,0)</f>
        <v>33</v>
      </c>
      <c r="Q606" s="174">
        <f t="shared" si="125"/>
        <v>435</v>
      </c>
      <c r="R606" s="174">
        <f>VLOOKUP(D606,原始分!$D:$N,9,0)</f>
        <v>0</v>
      </c>
      <c r="S606" s="174">
        <f t="shared" si="126"/>
        <v>320</v>
      </c>
      <c r="T606" s="174">
        <f>VLOOKUP(D606,原始分!$D:$N,10,0)</f>
        <v>0</v>
      </c>
      <c r="U606" s="174">
        <f t="shared" si="127"/>
        <v>316</v>
      </c>
      <c r="V606" s="174">
        <f>VLOOKUP(D606,原始分!$D:$N,11,0)</f>
        <v>44.5</v>
      </c>
      <c r="W606" s="174">
        <f t="shared" si="128"/>
        <v>424</v>
      </c>
      <c r="X606" s="11">
        <f t="shared" si="129"/>
        <v>247</v>
      </c>
      <c r="Y606" s="9">
        <f t="shared" si="130"/>
        <v>812</v>
      </c>
      <c r="Z606" s="11">
        <f t="shared" si="131"/>
        <v>368.5</v>
      </c>
      <c r="AA606" s="9">
        <f t="shared" si="119"/>
        <v>615</v>
      </c>
    </row>
    <row r="607" ht="14.25" spans="1:27">
      <c r="A607" s="13">
        <v>605</v>
      </c>
      <c r="B607" s="15">
        <v>12</v>
      </c>
      <c r="C607" s="16">
        <v>55</v>
      </c>
      <c r="D607" s="17" t="s">
        <v>1218</v>
      </c>
      <c r="E607" s="17" t="s">
        <v>1219</v>
      </c>
      <c r="F607" s="174">
        <f>VLOOKUP(D607,原始分!$D:$N,3,0)</f>
        <v>103.5</v>
      </c>
      <c r="G607" s="174">
        <f t="shared" si="120"/>
        <v>230</v>
      </c>
      <c r="H607" s="174">
        <f>VLOOKUP(D607,原始分!$D:$N,4,0)</f>
        <v>82</v>
      </c>
      <c r="I607" s="174">
        <f t="shared" si="121"/>
        <v>737</v>
      </c>
      <c r="J607" s="174">
        <f>VLOOKUP(D607,原始分!$D:$N,5,0)</f>
        <v>120</v>
      </c>
      <c r="K607" s="174">
        <f t="shared" si="122"/>
        <v>44</v>
      </c>
      <c r="L607" s="174">
        <f>VLOOKUP(D607,原始分!$D:$N,6,0)</f>
        <v>17.5</v>
      </c>
      <c r="M607" s="174">
        <f t="shared" si="123"/>
        <v>657</v>
      </c>
      <c r="N607" s="174">
        <f>VLOOKUP(D607,原始分!$D:$N,7,0)</f>
        <v>0</v>
      </c>
      <c r="O607" s="174">
        <f t="shared" si="124"/>
        <v>207</v>
      </c>
      <c r="P607" s="174">
        <f>VLOOKUP(D607,原始分!$D:$N,8,0)</f>
        <v>25</v>
      </c>
      <c r="Q607" s="174">
        <f t="shared" si="125"/>
        <v>510</v>
      </c>
      <c r="R607" s="174">
        <f>VLOOKUP(D607,原始分!$D:$N,9,0)</f>
        <v>0</v>
      </c>
      <c r="S607" s="174">
        <f t="shared" si="126"/>
        <v>320</v>
      </c>
      <c r="T607" s="174">
        <f>VLOOKUP(D607,原始分!$D:$N,10,0)</f>
        <v>0</v>
      </c>
      <c r="U607" s="174">
        <f t="shared" si="127"/>
        <v>316</v>
      </c>
      <c r="V607" s="174">
        <f>VLOOKUP(D607,原始分!$D:$N,11,0)</f>
        <v>38</v>
      </c>
      <c r="W607" s="174">
        <f t="shared" si="128"/>
        <v>510</v>
      </c>
      <c r="X607" s="11">
        <f t="shared" si="129"/>
        <v>305.5</v>
      </c>
      <c r="Y607" s="9">
        <f t="shared" si="130"/>
        <v>314</v>
      </c>
      <c r="Z607" s="11">
        <f t="shared" si="131"/>
        <v>386</v>
      </c>
      <c r="AA607" s="9">
        <f t="shared" si="119"/>
        <v>563</v>
      </c>
    </row>
    <row r="608" ht="14.25" spans="1:27">
      <c r="A608" s="13">
        <v>606</v>
      </c>
      <c r="B608" s="15">
        <v>12</v>
      </c>
      <c r="C608" s="16">
        <v>56</v>
      </c>
      <c r="D608" s="17" t="s">
        <v>1220</v>
      </c>
      <c r="E608" s="17" t="s">
        <v>1221</v>
      </c>
      <c r="F608" s="174">
        <f>VLOOKUP(D608,原始分!$D:$N,3,0)</f>
        <v>95</v>
      </c>
      <c r="G608" s="174">
        <f t="shared" si="120"/>
        <v>619</v>
      </c>
      <c r="H608" s="174">
        <f>VLOOKUP(D608,原始分!$D:$N,4,0)</f>
        <v>88</v>
      </c>
      <c r="I608" s="174">
        <f t="shared" si="121"/>
        <v>654</v>
      </c>
      <c r="J608" s="174">
        <f>VLOOKUP(D608,原始分!$D:$N,5,0)</f>
        <v>93</v>
      </c>
      <c r="K608" s="174">
        <f t="shared" si="122"/>
        <v>525</v>
      </c>
      <c r="L608" s="174">
        <f>VLOOKUP(D608,原始分!$D:$N,6,0)</f>
        <v>46</v>
      </c>
      <c r="M608" s="174">
        <f t="shared" si="123"/>
        <v>411</v>
      </c>
      <c r="N608" s="174">
        <f>VLOOKUP(D608,原始分!$D:$N,7,0)</f>
        <v>0</v>
      </c>
      <c r="O608" s="174">
        <f t="shared" si="124"/>
        <v>207</v>
      </c>
      <c r="P608" s="174">
        <f>VLOOKUP(D608,原始分!$D:$N,8,0)</f>
        <v>28.5</v>
      </c>
      <c r="Q608" s="174">
        <f t="shared" si="125"/>
        <v>488</v>
      </c>
      <c r="R608" s="174">
        <f>VLOOKUP(D608,原始分!$D:$N,9,0)</f>
        <v>0</v>
      </c>
      <c r="S608" s="174">
        <f t="shared" si="126"/>
        <v>320</v>
      </c>
      <c r="T608" s="174">
        <f>VLOOKUP(D608,原始分!$D:$N,10,0)</f>
        <v>0</v>
      </c>
      <c r="U608" s="174">
        <f t="shared" si="127"/>
        <v>316</v>
      </c>
      <c r="V608" s="174">
        <f>VLOOKUP(D608,原始分!$D:$N,11,0)</f>
        <v>46</v>
      </c>
      <c r="W608" s="174">
        <f t="shared" si="128"/>
        <v>386</v>
      </c>
      <c r="X608" s="11">
        <f t="shared" si="129"/>
        <v>276</v>
      </c>
      <c r="Y608" s="9">
        <f t="shared" si="130"/>
        <v>647</v>
      </c>
      <c r="Z608" s="11">
        <f t="shared" si="131"/>
        <v>396.5</v>
      </c>
      <c r="AA608" s="9">
        <f t="shared" si="119"/>
        <v>535</v>
      </c>
    </row>
    <row r="609" ht="14.25" spans="1:27">
      <c r="A609" s="13">
        <v>607</v>
      </c>
      <c r="B609" s="15">
        <v>12</v>
      </c>
      <c r="C609" s="16">
        <v>57</v>
      </c>
      <c r="D609" s="17" t="s">
        <v>1222</v>
      </c>
      <c r="E609" s="17" t="s">
        <v>1223</v>
      </c>
      <c r="F609" s="174">
        <f>VLOOKUP(D609,原始分!$D:$N,3,0)</f>
        <v>83.5</v>
      </c>
      <c r="G609" s="174">
        <f t="shared" si="120"/>
        <v>849</v>
      </c>
      <c r="H609" s="174">
        <f>VLOOKUP(D609,原始分!$D:$N,4,0)</f>
        <v>89.5</v>
      </c>
      <c r="I609" s="174">
        <f t="shared" si="121"/>
        <v>622</v>
      </c>
      <c r="J609" s="174">
        <f>VLOOKUP(D609,原始分!$D:$N,5,0)</f>
        <v>80</v>
      </c>
      <c r="K609" s="174">
        <f t="shared" si="122"/>
        <v>745</v>
      </c>
      <c r="L609" s="174">
        <f>VLOOKUP(D609,原始分!$D:$N,6,0)</f>
        <v>35.5</v>
      </c>
      <c r="M609" s="174">
        <f t="shared" si="123"/>
        <v>566</v>
      </c>
      <c r="N609" s="174">
        <f>VLOOKUP(D609,原始分!$D:$N,7,0)</f>
        <v>0</v>
      </c>
      <c r="O609" s="174">
        <f t="shared" si="124"/>
        <v>207</v>
      </c>
      <c r="P609" s="174">
        <f>VLOOKUP(D609,原始分!$D:$N,8,0)</f>
        <v>49</v>
      </c>
      <c r="Q609" s="174">
        <f t="shared" si="125"/>
        <v>132</v>
      </c>
      <c r="R609" s="174">
        <f>VLOOKUP(D609,原始分!$D:$N,9,0)</f>
        <v>0</v>
      </c>
      <c r="S609" s="174">
        <f t="shared" si="126"/>
        <v>320</v>
      </c>
      <c r="T609" s="174">
        <f>VLOOKUP(D609,原始分!$D:$N,10,0)</f>
        <v>0</v>
      </c>
      <c r="U609" s="174">
        <f t="shared" si="127"/>
        <v>316</v>
      </c>
      <c r="V609" s="174">
        <f>VLOOKUP(D609,原始分!$D:$N,11,0)</f>
        <v>43</v>
      </c>
      <c r="W609" s="174">
        <f t="shared" si="128"/>
        <v>454</v>
      </c>
      <c r="X609" s="11">
        <f t="shared" si="129"/>
        <v>253</v>
      </c>
      <c r="Y609" s="9">
        <f t="shared" si="130"/>
        <v>794</v>
      </c>
      <c r="Z609" s="11">
        <f t="shared" si="131"/>
        <v>380.5</v>
      </c>
      <c r="AA609" s="9">
        <f t="shared" ref="AA609:AA665" si="132">RANK(Z609,$Z$3:$Z$665)</f>
        <v>575</v>
      </c>
    </row>
    <row r="610" ht="14.25" spans="1:27">
      <c r="A610" s="13">
        <v>608</v>
      </c>
      <c r="B610" s="15">
        <v>12</v>
      </c>
      <c r="C610" s="16">
        <v>58</v>
      </c>
      <c r="D610" s="17" t="s">
        <v>1224</v>
      </c>
      <c r="E610" s="17" t="s">
        <v>1225</v>
      </c>
      <c r="F610" s="174">
        <f>VLOOKUP(D610,原始分!$D:$N,3,0)</f>
        <v>97</v>
      </c>
      <c r="G610" s="174">
        <f t="shared" si="120"/>
        <v>551</v>
      </c>
      <c r="H610" s="174">
        <f>VLOOKUP(D610,原始分!$D:$N,4,0)</f>
        <v>93.5</v>
      </c>
      <c r="I610" s="174">
        <f t="shared" si="121"/>
        <v>549</v>
      </c>
      <c r="J610" s="174">
        <f>VLOOKUP(D610,原始分!$D:$N,5,0)</f>
        <v>106.75</v>
      </c>
      <c r="K610" s="174">
        <f t="shared" si="122"/>
        <v>234</v>
      </c>
      <c r="L610" s="174">
        <f>VLOOKUP(D610,原始分!$D:$N,6,0)</f>
        <v>61</v>
      </c>
      <c r="M610" s="174">
        <f t="shared" si="123"/>
        <v>168</v>
      </c>
      <c r="N610" s="174">
        <f>VLOOKUP(D610,原始分!$D:$N,7,0)</f>
        <v>0</v>
      </c>
      <c r="O610" s="174">
        <f t="shared" si="124"/>
        <v>207</v>
      </c>
      <c r="P610" s="174">
        <f>VLOOKUP(D610,原始分!$D:$N,8,0)</f>
        <v>46</v>
      </c>
      <c r="Q610" s="174">
        <f t="shared" si="125"/>
        <v>194</v>
      </c>
      <c r="R610" s="174">
        <f>VLOOKUP(D610,原始分!$D:$N,9,0)</f>
        <v>0</v>
      </c>
      <c r="S610" s="174">
        <f t="shared" si="126"/>
        <v>320</v>
      </c>
      <c r="T610" s="174">
        <f>VLOOKUP(D610,原始分!$D:$N,10,0)</f>
        <v>0</v>
      </c>
      <c r="U610" s="174">
        <f t="shared" si="127"/>
        <v>316</v>
      </c>
      <c r="V610" s="174">
        <f>VLOOKUP(D610,原始分!$D:$N,11,0)</f>
        <v>53.5</v>
      </c>
      <c r="W610" s="174">
        <f t="shared" si="128"/>
        <v>208</v>
      </c>
      <c r="X610" s="11">
        <f t="shared" si="129"/>
        <v>297.25</v>
      </c>
      <c r="Y610" s="9">
        <f t="shared" si="130"/>
        <v>406</v>
      </c>
      <c r="Z610" s="11">
        <f t="shared" si="131"/>
        <v>457.75</v>
      </c>
      <c r="AA610" s="9">
        <f t="shared" si="132"/>
        <v>236</v>
      </c>
    </row>
    <row r="611" ht="14.25" spans="1:27">
      <c r="A611" s="13">
        <v>609</v>
      </c>
      <c r="B611" s="20">
        <v>12</v>
      </c>
      <c r="C611" s="16">
        <v>59</v>
      </c>
      <c r="D611" s="19" t="s">
        <v>1226</v>
      </c>
      <c r="E611" s="17" t="s">
        <v>1227</v>
      </c>
      <c r="F611" s="174">
        <f>VLOOKUP(D611,原始分!$D:$N,3,0)</f>
        <v>96.25</v>
      </c>
      <c r="G611" s="174">
        <f t="shared" si="120"/>
        <v>576</v>
      </c>
      <c r="H611" s="174">
        <f>VLOOKUP(D611,原始分!$D:$N,4,0)</f>
        <v>110</v>
      </c>
      <c r="I611" s="174">
        <f t="shared" si="121"/>
        <v>223</v>
      </c>
      <c r="J611" s="174">
        <f>VLOOKUP(D611,原始分!$D:$N,5,0)</f>
        <v>93</v>
      </c>
      <c r="K611" s="174">
        <f t="shared" si="122"/>
        <v>525</v>
      </c>
      <c r="L611" s="174">
        <f>VLOOKUP(D611,原始分!$D:$N,6,0)</f>
        <v>36</v>
      </c>
      <c r="M611" s="174">
        <f t="shared" si="123"/>
        <v>561</v>
      </c>
      <c r="N611" s="174">
        <f>VLOOKUP(D611,原始分!$D:$N,7,0)</f>
        <v>0</v>
      </c>
      <c r="O611" s="174">
        <f t="shared" si="124"/>
        <v>207</v>
      </c>
      <c r="P611" s="174">
        <f>VLOOKUP(D611,原始分!$D:$N,8,0)</f>
        <v>52.5</v>
      </c>
      <c r="Q611" s="174">
        <f t="shared" si="125"/>
        <v>81</v>
      </c>
      <c r="R611" s="174">
        <f>VLOOKUP(D611,原始分!$D:$N,9,0)</f>
        <v>0</v>
      </c>
      <c r="S611" s="174">
        <f t="shared" si="126"/>
        <v>320</v>
      </c>
      <c r="T611" s="174">
        <f>VLOOKUP(D611,原始分!$D:$N,10,0)</f>
        <v>0</v>
      </c>
      <c r="U611" s="174">
        <f t="shared" si="127"/>
        <v>316</v>
      </c>
      <c r="V611" s="174">
        <f>VLOOKUP(D611,原始分!$D:$N,11,0)</f>
        <v>40.5</v>
      </c>
      <c r="W611" s="174">
        <f t="shared" si="128"/>
        <v>486</v>
      </c>
      <c r="X611" s="11">
        <f t="shared" si="129"/>
        <v>299.25</v>
      </c>
      <c r="Y611" s="9">
        <f t="shared" si="130"/>
        <v>379</v>
      </c>
      <c r="Z611" s="11">
        <f t="shared" si="131"/>
        <v>428.25</v>
      </c>
      <c r="AA611" s="9">
        <f t="shared" si="132"/>
        <v>391</v>
      </c>
    </row>
    <row r="612" ht="14.25" spans="1:27">
      <c r="A612" s="13">
        <v>610</v>
      </c>
      <c r="B612" s="15">
        <v>13</v>
      </c>
      <c r="C612" s="16">
        <v>1</v>
      </c>
      <c r="D612" s="17" t="s">
        <v>1228</v>
      </c>
      <c r="E612" s="17" t="s">
        <v>1229</v>
      </c>
      <c r="F612" s="174">
        <f>VLOOKUP(D612,原始分!$D:$N,3,0)</f>
        <v>104</v>
      </c>
      <c r="G612" s="174">
        <f t="shared" si="120"/>
        <v>209</v>
      </c>
      <c r="H612" s="174">
        <f>VLOOKUP(D612,原始分!$D:$N,4,0)</f>
        <v>94.5</v>
      </c>
      <c r="I612" s="174">
        <f t="shared" si="121"/>
        <v>525</v>
      </c>
      <c r="J612" s="174">
        <f>VLOOKUP(D612,原始分!$D:$N,5,0)</f>
        <v>87</v>
      </c>
      <c r="K612" s="174">
        <f t="shared" si="122"/>
        <v>632</v>
      </c>
      <c r="L612" s="174">
        <f>VLOOKUP(D612,原始分!$D:$N,6,0)</f>
        <v>44.5</v>
      </c>
      <c r="M612" s="174">
        <f t="shared" si="123"/>
        <v>432</v>
      </c>
      <c r="N612" s="174">
        <f>VLOOKUP(D612,原始分!$D:$N,7,0)</f>
        <v>0</v>
      </c>
      <c r="O612" s="174">
        <f t="shared" si="124"/>
        <v>207</v>
      </c>
      <c r="P612" s="174">
        <f>VLOOKUP(D612,原始分!$D:$N,8,0)</f>
        <v>33.5</v>
      </c>
      <c r="Q612" s="174">
        <f t="shared" si="125"/>
        <v>422</v>
      </c>
      <c r="R612" s="174">
        <f>VLOOKUP(D612,原始分!$D:$N,9,0)</f>
        <v>0</v>
      </c>
      <c r="S612" s="174">
        <f t="shared" si="126"/>
        <v>320</v>
      </c>
      <c r="T612" s="174">
        <f>VLOOKUP(D612,原始分!$D:$N,10,0)</f>
        <v>0</v>
      </c>
      <c r="U612" s="174">
        <f t="shared" si="127"/>
        <v>316</v>
      </c>
      <c r="V612" s="174">
        <f>VLOOKUP(D612,原始分!$D:$N,11,0)</f>
        <v>47</v>
      </c>
      <c r="W612" s="174">
        <f t="shared" si="128"/>
        <v>366</v>
      </c>
      <c r="X612" s="11">
        <f t="shared" si="129"/>
        <v>285.5</v>
      </c>
      <c r="Y612" s="9">
        <f t="shared" si="130"/>
        <v>538</v>
      </c>
      <c r="Z612" s="11">
        <f t="shared" si="131"/>
        <v>410.5</v>
      </c>
      <c r="AA612" s="9">
        <f t="shared" si="132"/>
        <v>471</v>
      </c>
    </row>
    <row r="613" ht="14.25" spans="1:27">
      <c r="A613" s="13">
        <v>611</v>
      </c>
      <c r="B613" s="15">
        <v>13</v>
      </c>
      <c r="C613" s="16">
        <v>2</v>
      </c>
      <c r="D613" s="17" t="s">
        <v>1230</v>
      </c>
      <c r="E613" s="17" t="s">
        <v>1231</v>
      </c>
      <c r="F613" s="174">
        <f>VLOOKUP(D613,原始分!$D:$N,3,0)</f>
        <v>99</v>
      </c>
      <c r="G613" s="174">
        <f t="shared" si="120"/>
        <v>442</v>
      </c>
      <c r="H613" s="174">
        <f>VLOOKUP(D613,原始分!$D:$N,4,0)</f>
        <v>113.5</v>
      </c>
      <c r="I613" s="174">
        <f t="shared" si="121"/>
        <v>152</v>
      </c>
      <c r="J613" s="174">
        <f>VLOOKUP(D613,原始分!$D:$N,5,0)</f>
        <v>85</v>
      </c>
      <c r="K613" s="174">
        <f t="shared" si="122"/>
        <v>669</v>
      </c>
      <c r="L613" s="174">
        <f>VLOOKUP(D613,原始分!$D:$N,6,0)</f>
        <v>54.5</v>
      </c>
      <c r="M613" s="174">
        <f t="shared" si="123"/>
        <v>281</v>
      </c>
      <c r="N613" s="174">
        <f>VLOOKUP(D613,原始分!$D:$N,7,0)</f>
        <v>0</v>
      </c>
      <c r="O613" s="174">
        <f t="shared" si="124"/>
        <v>207</v>
      </c>
      <c r="P613" s="174">
        <f>VLOOKUP(D613,原始分!$D:$N,8,0)</f>
        <v>49.5</v>
      </c>
      <c r="Q613" s="174">
        <f t="shared" si="125"/>
        <v>120</v>
      </c>
      <c r="R613" s="174">
        <f>VLOOKUP(D613,原始分!$D:$N,9,0)</f>
        <v>0</v>
      </c>
      <c r="S613" s="174">
        <f t="shared" si="126"/>
        <v>320</v>
      </c>
      <c r="T613" s="174">
        <f>VLOOKUP(D613,原始分!$D:$N,10,0)</f>
        <v>0</v>
      </c>
      <c r="U613" s="174">
        <f t="shared" si="127"/>
        <v>316</v>
      </c>
      <c r="V613" s="174">
        <f>VLOOKUP(D613,原始分!$D:$N,11,0)</f>
        <v>54</v>
      </c>
      <c r="W613" s="174">
        <f t="shared" si="128"/>
        <v>199</v>
      </c>
      <c r="X613" s="11">
        <f t="shared" si="129"/>
        <v>297.5</v>
      </c>
      <c r="Y613" s="9">
        <f t="shared" si="130"/>
        <v>404</v>
      </c>
      <c r="Z613" s="11">
        <f t="shared" si="131"/>
        <v>455.5</v>
      </c>
      <c r="AA613" s="9">
        <f t="shared" si="132"/>
        <v>247</v>
      </c>
    </row>
    <row r="614" ht="14.25" spans="1:27">
      <c r="A614" s="13">
        <v>612</v>
      </c>
      <c r="B614" s="15">
        <v>13</v>
      </c>
      <c r="C614" s="16">
        <v>3</v>
      </c>
      <c r="D614" s="17" t="s">
        <v>1232</v>
      </c>
      <c r="E614" s="17" t="s">
        <v>1233</v>
      </c>
      <c r="F614" s="174">
        <f>VLOOKUP(D614,原始分!$D:$N,3,0)</f>
        <v>95</v>
      </c>
      <c r="G614" s="174">
        <f t="shared" si="120"/>
        <v>619</v>
      </c>
      <c r="H614" s="174">
        <f>VLOOKUP(D614,原始分!$D:$N,4,0)</f>
        <v>117</v>
      </c>
      <c r="I614" s="174">
        <f t="shared" si="121"/>
        <v>98</v>
      </c>
      <c r="J614" s="174">
        <f>VLOOKUP(D614,原始分!$D:$N,5,0)</f>
        <v>87</v>
      </c>
      <c r="K614" s="174">
        <f t="shared" si="122"/>
        <v>632</v>
      </c>
      <c r="L614" s="174">
        <f>VLOOKUP(D614,原始分!$D:$N,6,0)</f>
        <v>66.5</v>
      </c>
      <c r="M614" s="174">
        <f t="shared" si="123"/>
        <v>88</v>
      </c>
      <c r="N614" s="174">
        <f>VLOOKUP(D614,原始分!$D:$N,7,0)</f>
        <v>0</v>
      </c>
      <c r="O614" s="174">
        <f t="shared" si="124"/>
        <v>207</v>
      </c>
      <c r="P614" s="174">
        <f>VLOOKUP(D614,原始分!$D:$N,8,0)</f>
        <v>40.5</v>
      </c>
      <c r="Q614" s="174">
        <f t="shared" si="125"/>
        <v>303</v>
      </c>
      <c r="R614" s="174">
        <f>VLOOKUP(D614,原始分!$D:$N,9,0)</f>
        <v>0</v>
      </c>
      <c r="S614" s="174">
        <f t="shared" si="126"/>
        <v>320</v>
      </c>
      <c r="T614" s="174">
        <f>VLOOKUP(D614,原始分!$D:$N,10,0)</f>
        <v>0</v>
      </c>
      <c r="U614" s="174">
        <f t="shared" si="127"/>
        <v>316</v>
      </c>
      <c r="V614" s="174">
        <f>VLOOKUP(D614,原始分!$D:$N,11,0)</f>
        <v>57.5</v>
      </c>
      <c r="W614" s="174">
        <f t="shared" si="128"/>
        <v>130</v>
      </c>
      <c r="X614" s="11">
        <f t="shared" si="129"/>
        <v>299</v>
      </c>
      <c r="Y614" s="9">
        <f t="shared" si="130"/>
        <v>383</v>
      </c>
      <c r="Z614" s="11">
        <f t="shared" si="131"/>
        <v>463.5</v>
      </c>
      <c r="AA614" s="9">
        <f t="shared" si="132"/>
        <v>208</v>
      </c>
    </row>
    <row r="615" ht="14.25" spans="1:27">
      <c r="A615" s="13">
        <v>613</v>
      </c>
      <c r="B615" s="15">
        <v>13</v>
      </c>
      <c r="C615" s="16">
        <v>4</v>
      </c>
      <c r="D615" s="17" t="s">
        <v>1234</v>
      </c>
      <c r="E615" s="17" t="s">
        <v>1235</v>
      </c>
      <c r="F615" s="174">
        <f>VLOOKUP(D615,原始分!$D:$N,3,0)</f>
        <v>97</v>
      </c>
      <c r="G615" s="174">
        <f t="shared" si="120"/>
        <v>551</v>
      </c>
      <c r="H615" s="174">
        <f>VLOOKUP(D615,原始分!$D:$N,4,0)</f>
        <v>88</v>
      </c>
      <c r="I615" s="174">
        <f t="shared" si="121"/>
        <v>654</v>
      </c>
      <c r="J615" s="174">
        <f>VLOOKUP(D615,原始分!$D:$N,5,0)</f>
        <v>85.5</v>
      </c>
      <c r="K615" s="174">
        <f t="shared" si="122"/>
        <v>656</v>
      </c>
      <c r="L615" s="174">
        <f>VLOOKUP(D615,原始分!$D:$N,6,0)</f>
        <v>50</v>
      </c>
      <c r="M615" s="174">
        <f t="shared" si="123"/>
        <v>337</v>
      </c>
      <c r="N615" s="174">
        <f>VLOOKUP(D615,原始分!$D:$N,7,0)</f>
        <v>0</v>
      </c>
      <c r="O615" s="174">
        <f t="shared" si="124"/>
        <v>207</v>
      </c>
      <c r="P615" s="174">
        <f>VLOOKUP(D615,原始分!$D:$N,8,0)</f>
        <v>30</v>
      </c>
      <c r="Q615" s="174">
        <f t="shared" si="125"/>
        <v>474</v>
      </c>
      <c r="R615" s="174">
        <f>VLOOKUP(D615,原始分!$D:$N,9,0)</f>
        <v>0</v>
      </c>
      <c r="S615" s="174">
        <f t="shared" si="126"/>
        <v>320</v>
      </c>
      <c r="T615" s="174">
        <f>VLOOKUP(D615,原始分!$D:$N,10,0)</f>
        <v>0</v>
      </c>
      <c r="U615" s="174">
        <f t="shared" si="127"/>
        <v>316</v>
      </c>
      <c r="V615" s="174">
        <f>VLOOKUP(D615,原始分!$D:$N,11,0)</f>
        <v>51.5</v>
      </c>
      <c r="W615" s="174">
        <f t="shared" si="128"/>
        <v>262</v>
      </c>
      <c r="X615" s="11">
        <f t="shared" si="129"/>
        <v>270.5</v>
      </c>
      <c r="Y615" s="9">
        <f t="shared" si="130"/>
        <v>694</v>
      </c>
      <c r="Z615" s="11">
        <f t="shared" si="131"/>
        <v>402</v>
      </c>
      <c r="AA615" s="9">
        <f t="shared" si="132"/>
        <v>512</v>
      </c>
    </row>
    <row r="616" ht="14.25" spans="1:27">
      <c r="A616" s="13">
        <v>614</v>
      </c>
      <c r="B616" s="15">
        <v>13</v>
      </c>
      <c r="C616" s="16">
        <v>5</v>
      </c>
      <c r="D616" s="17" t="s">
        <v>1236</v>
      </c>
      <c r="E616" s="17" t="s">
        <v>1237</v>
      </c>
      <c r="F616" s="174">
        <f>VLOOKUP(D616,原始分!$D:$N,3,0)</f>
        <v>103.5</v>
      </c>
      <c r="G616" s="174">
        <f t="shared" si="120"/>
        <v>230</v>
      </c>
      <c r="H616" s="174">
        <f>VLOOKUP(D616,原始分!$D:$N,4,0)</f>
        <v>62.5</v>
      </c>
      <c r="I616" s="174">
        <f t="shared" si="121"/>
        <v>841</v>
      </c>
      <c r="J616" s="174">
        <f>VLOOKUP(D616,原始分!$D:$N,5,0)</f>
        <v>106.5</v>
      </c>
      <c r="K616" s="174">
        <f t="shared" si="122"/>
        <v>235</v>
      </c>
      <c r="L616" s="174">
        <f>VLOOKUP(D616,原始分!$D:$N,6,0)</f>
        <v>29.5</v>
      </c>
      <c r="M616" s="174">
        <f t="shared" si="123"/>
        <v>615</v>
      </c>
      <c r="N616" s="174">
        <f>VLOOKUP(D616,原始分!$D:$N,7,0)</f>
        <v>0</v>
      </c>
      <c r="O616" s="174">
        <f t="shared" si="124"/>
        <v>207</v>
      </c>
      <c r="P616" s="174">
        <f>VLOOKUP(D616,原始分!$D:$N,8,0)</f>
        <v>34.5</v>
      </c>
      <c r="Q616" s="174">
        <f t="shared" si="125"/>
        <v>409</v>
      </c>
      <c r="R616" s="174">
        <f>VLOOKUP(D616,原始分!$D:$N,9,0)</f>
        <v>0</v>
      </c>
      <c r="S616" s="174">
        <f t="shared" si="126"/>
        <v>320</v>
      </c>
      <c r="T616" s="174">
        <f>VLOOKUP(D616,原始分!$D:$N,10,0)</f>
        <v>0</v>
      </c>
      <c r="U616" s="174">
        <f t="shared" si="127"/>
        <v>316</v>
      </c>
      <c r="V616" s="174">
        <f>VLOOKUP(D616,原始分!$D:$N,11,0)</f>
        <v>42</v>
      </c>
      <c r="W616" s="174">
        <f t="shared" si="128"/>
        <v>472</v>
      </c>
      <c r="X616" s="11">
        <f t="shared" si="129"/>
        <v>272.5</v>
      </c>
      <c r="Y616" s="9">
        <f t="shared" si="130"/>
        <v>671</v>
      </c>
      <c r="Z616" s="11">
        <f t="shared" si="131"/>
        <v>378.5</v>
      </c>
      <c r="AA616" s="9">
        <f t="shared" si="132"/>
        <v>582</v>
      </c>
    </row>
    <row r="617" ht="14.25" spans="1:27">
      <c r="A617" s="13">
        <v>615</v>
      </c>
      <c r="B617" s="15">
        <v>13</v>
      </c>
      <c r="C617" s="16">
        <v>6</v>
      </c>
      <c r="D617" s="17" t="s">
        <v>1238</v>
      </c>
      <c r="E617" s="17" t="s">
        <v>1239</v>
      </c>
      <c r="F617" s="174">
        <f>VLOOKUP(D617,原始分!$D:$N,3,0)</f>
        <v>91</v>
      </c>
      <c r="G617" s="174">
        <f t="shared" si="120"/>
        <v>749</v>
      </c>
      <c r="H617" s="174">
        <f>VLOOKUP(D617,原始分!$D:$N,4,0)</f>
        <v>114</v>
      </c>
      <c r="I617" s="174">
        <f t="shared" si="121"/>
        <v>145</v>
      </c>
      <c r="J617" s="174">
        <f>VLOOKUP(D617,原始分!$D:$N,5,0)</f>
        <v>81.25</v>
      </c>
      <c r="K617" s="174">
        <f t="shared" si="122"/>
        <v>732</v>
      </c>
      <c r="L617" s="174">
        <f>VLOOKUP(D617,原始分!$D:$N,6,0)</f>
        <v>51.5</v>
      </c>
      <c r="M617" s="174">
        <f t="shared" si="123"/>
        <v>313</v>
      </c>
      <c r="N617" s="174">
        <f>VLOOKUP(D617,原始分!$D:$N,7,0)</f>
        <v>0</v>
      </c>
      <c r="O617" s="174">
        <f t="shared" si="124"/>
        <v>207</v>
      </c>
      <c r="P617" s="174">
        <f>VLOOKUP(D617,原始分!$D:$N,8,0)</f>
        <v>30.5</v>
      </c>
      <c r="Q617" s="174">
        <f t="shared" si="125"/>
        <v>470</v>
      </c>
      <c r="R617" s="174">
        <f>VLOOKUP(D617,原始分!$D:$N,9,0)</f>
        <v>0</v>
      </c>
      <c r="S617" s="174">
        <f t="shared" si="126"/>
        <v>320</v>
      </c>
      <c r="T617" s="174">
        <f>VLOOKUP(D617,原始分!$D:$N,10,0)</f>
        <v>0</v>
      </c>
      <c r="U617" s="174">
        <f t="shared" si="127"/>
        <v>316</v>
      </c>
      <c r="V617" s="174">
        <f>VLOOKUP(D617,原始分!$D:$N,11,0)</f>
        <v>38.5</v>
      </c>
      <c r="W617" s="174">
        <f t="shared" si="128"/>
        <v>506</v>
      </c>
      <c r="X617" s="11">
        <f t="shared" si="129"/>
        <v>286.25</v>
      </c>
      <c r="Y617" s="9">
        <f t="shared" si="130"/>
        <v>530</v>
      </c>
      <c r="Z617" s="11">
        <f t="shared" si="131"/>
        <v>406.75</v>
      </c>
      <c r="AA617" s="9">
        <f t="shared" si="132"/>
        <v>489</v>
      </c>
    </row>
    <row r="618" ht="14.25" spans="1:27">
      <c r="A618" s="13">
        <v>616</v>
      </c>
      <c r="B618" s="15">
        <v>13</v>
      </c>
      <c r="C618" s="16">
        <v>7</v>
      </c>
      <c r="D618" s="17" t="s">
        <v>1240</v>
      </c>
      <c r="E618" s="17" t="s">
        <v>1241</v>
      </c>
      <c r="F618" s="174">
        <f>VLOOKUP(D618,原始分!$D:$N,3,0)</f>
        <v>71.5</v>
      </c>
      <c r="G618" s="174">
        <f t="shared" si="120"/>
        <v>868</v>
      </c>
      <c r="H618" s="174">
        <f>VLOOKUP(D618,原始分!$D:$N,4,0)</f>
        <v>91.5</v>
      </c>
      <c r="I618" s="174">
        <f t="shared" si="121"/>
        <v>586</v>
      </c>
      <c r="J618" s="174">
        <f>VLOOKUP(D618,原始分!$D:$N,5,0)</f>
        <v>103.75</v>
      </c>
      <c r="K618" s="174">
        <f t="shared" si="122"/>
        <v>299</v>
      </c>
      <c r="L618" s="174">
        <f>VLOOKUP(D618,原始分!$D:$N,6,0)</f>
        <v>56.5</v>
      </c>
      <c r="M618" s="174">
        <f t="shared" si="123"/>
        <v>244</v>
      </c>
      <c r="N618" s="174">
        <f>VLOOKUP(D618,原始分!$D:$N,7,0)</f>
        <v>0</v>
      </c>
      <c r="O618" s="174">
        <f t="shared" si="124"/>
        <v>207</v>
      </c>
      <c r="P618" s="174">
        <f>VLOOKUP(D618,原始分!$D:$N,8,0)</f>
        <v>47</v>
      </c>
      <c r="Q618" s="174">
        <f t="shared" si="125"/>
        <v>173</v>
      </c>
      <c r="R618" s="174">
        <f>VLOOKUP(D618,原始分!$D:$N,9,0)</f>
        <v>0</v>
      </c>
      <c r="S618" s="174">
        <f t="shared" si="126"/>
        <v>320</v>
      </c>
      <c r="T618" s="174">
        <f>VLOOKUP(D618,原始分!$D:$N,10,0)</f>
        <v>0</v>
      </c>
      <c r="U618" s="174">
        <f t="shared" si="127"/>
        <v>316</v>
      </c>
      <c r="V618" s="174">
        <f>VLOOKUP(D618,原始分!$D:$N,11,0)</f>
        <v>50</v>
      </c>
      <c r="W618" s="174">
        <f t="shared" si="128"/>
        <v>302</v>
      </c>
      <c r="X618" s="11">
        <f t="shared" si="129"/>
        <v>266.75</v>
      </c>
      <c r="Y618" s="9">
        <f t="shared" si="130"/>
        <v>729</v>
      </c>
      <c r="Z618" s="11">
        <f t="shared" si="131"/>
        <v>420.25</v>
      </c>
      <c r="AA618" s="9">
        <f t="shared" si="132"/>
        <v>427</v>
      </c>
    </row>
    <row r="619" ht="14.25" spans="1:27">
      <c r="A619" s="13">
        <v>617</v>
      </c>
      <c r="B619" s="15">
        <v>13</v>
      </c>
      <c r="C619" s="16">
        <v>8</v>
      </c>
      <c r="D619" s="17" t="s">
        <v>1242</v>
      </c>
      <c r="E619" s="17" t="s">
        <v>1243</v>
      </c>
      <c r="F619" s="174">
        <f>VLOOKUP(D619,原始分!$D:$N,3,0)</f>
        <v>86.5</v>
      </c>
      <c r="G619" s="174">
        <f t="shared" si="120"/>
        <v>826</v>
      </c>
      <c r="H619" s="174">
        <f>VLOOKUP(D619,原始分!$D:$N,4,0)</f>
        <v>93</v>
      </c>
      <c r="I619" s="174">
        <f t="shared" si="121"/>
        <v>561</v>
      </c>
      <c r="J619" s="174">
        <f>VLOOKUP(D619,原始分!$D:$N,5,0)</f>
        <v>45.5</v>
      </c>
      <c r="K619" s="174">
        <f t="shared" si="122"/>
        <v>865</v>
      </c>
      <c r="L619" s="174">
        <f>VLOOKUP(D619,原始分!$D:$N,6,0)</f>
        <v>30</v>
      </c>
      <c r="M619" s="174">
        <f t="shared" si="123"/>
        <v>611</v>
      </c>
      <c r="N619" s="174">
        <f>VLOOKUP(D619,原始分!$D:$N,7,0)</f>
        <v>0</v>
      </c>
      <c r="O619" s="174">
        <f t="shared" si="124"/>
        <v>207</v>
      </c>
      <c r="P619" s="174">
        <f>VLOOKUP(D619,原始分!$D:$N,8,0)</f>
        <v>22</v>
      </c>
      <c r="Q619" s="174">
        <f t="shared" si="125"/>
        <v>523</v>
      </c>
      <c r="R619" s="174">
        <f>VLOOKUP(D619,原始分!$D:$N,9,0)</f>
        <v>0</v>
      </c>
      <c r="S619" s="174">
        <f t="shared" si="126"/>
        <v>320</v>
      </c>
      <c r="T619" s="174">
        <f>VLOOKUP(D619,原始分!$D:$N,10,0)</f>
        <v>0</v>
      </c>
      <c r="U619" s="174">
        <f t="shared" si="127"/>
        <v>316</v>
      </c>
      <c r="V619" s="174">
        <f>VLOOKUP(D619,原始分!$D:$N,11,0)</f>
        <v>44.5</v>
      </c>
      <c r="W619" s="174">
        <f t="shared" si="128"/>
        <v>424</v>
      </c>
      <c r="X619" s="11">
        <f t="shared" si="129"/>
        <v>225</v>
      </c>
      <c r="Y619" s="9">
        <f t="shared" si="130"/>
        <v>855</v>
      </c>
      <c r="Z619" s="11">
        <f t="shared" si="131"/>
        <v>321.5</v>
      </c>
      <c r="AA619" s="9">
        <f t="shared" si="132"/>
        <v>652</v>
      </c>
    </row>
    <row r="620" ht="14.25" spans="1:27">
      <c r="A620" s="13">
        <v>618</v>
      </c>
      <c r="B620" s="15">
        <v>13</v>
      </c>
      <c r="C620" s="16">
        <v>9</v>
      </c>
      <c r="D620" s="17" t="s">
        <v>1244</v>
      </c>
      <c r="E620" s="17" t="s">
        <v>1245</v>
      </c>
      <c r="F620" s="174">
        <f>VLOOKUP(D620,原始分!$D:$N,3,0)</f>
        <v>112</v>
      </c>
      <c r="G620" s="174">
        <f t="shared" si="120"/>
        <v>31</v>
      </c>
      <c r="H620" s="174">
        <f>VLOOKUP(D620,原始分!$D:$N,4,0)</f>
        <v>105</v>
      </c>
      <c r="I620" s="174">
        <f t="shared" si="121"/>
        <v>317</v>
      </c>
      <c r="J620" s="174">
        <f>VLOOKUP(D620,原始分!$D:$N,5,0)</f>
        <v>107.75</v>
      </c>
      <c r="K620" s="174">
        <f t="shared" si="122"/>
        <v>213</v>
      </c>
      <c r="L620" s="174">
        <f>VLOOKUP(D620,原始分!$D:$N,6,0)</f>
        <v>60</v>
      </c>
      <c r="M620" s="174">
        <f t="shared" si="123"/>
        <v>187</v>
      </c>
      <c r="N620" s="174">
        <f>VLOOKUP(D620,原始分!$D:$N,7,0)</f>
        <v>0</v>
      </c>
      <c r="O620" s="174">
        <f t="shared" si="124"/>
        <v>207</v>
      </c>
      <c r="P620" s="174">
        <f>VLOOKUP(D620,原始分!$D:$N,8,0)</f>
        <v>40.5</v>
      </c>
      <c r="Q620" s="174">
        <f t="shared" si="125"/>
        <v>303</v>
      </c>
      <c r="R620" s="174">
        <f>VLOOKUP(D620,原始分!$D:$N,9,0)</f>
        <v>0</v>
      </c>
      <c r="S620" s="174">
        <f t="shared" si="126"/>
        <v>320</v>
      </c>
      <c r="T620" s="174">
        <f>VLOOKUP(D620,原始分!$D:$N,10,0)</f>
        <v>0</v>
      </c>
      <c r="U620" s="174">
        <f t="shared" si="127"/>
        <v>316</v>
      </c>
      <c r="V620" s="174">
        <f>VLOOKUP(D620,原始分!$D:$N,11,0)</f>
        <v>66.5</v>
      </c>
      <c r="W620" s="174">
        <f t="shared" si="128"/>
        <v>30</v>
      </c>
      <c r="X620" s="11">
        <f t="shared" si="129"/>
        <v>324.75</v>
      </c>
      <c r="Y620" s="9">
        <f t="shared" si="130"/>
        <v>125</v>
      </c>
      <c r="Z620" s="11">
        <f t="shared" si="131"/>
        <v>491.75</v>
      </c>
      <c r="AA620" s="9">
        <f t="shared" si="132"/>
        <v>101</v>
      </c>
    </row>
    <row r="621" ht="14.25" spans="1:27">
      <c r="A621" s="13">
        <v>619</v>
      </c>
      <c r="B621" s="15">
        <v>13</v>
      </c>
      <c r="C621" s="16">
        <v>10</v>
      </c>
      <c r="D621" s="17" t="s">
        <v>1246</v>
      </c>
      <c r="E621" s="17" t="s">
        <v>1247</v>
      </c>
      <c r="F621" s="174">
        <f>VLOOKUP(D621,原始分!$D:$N,3,0)</f>
        <v>98</v>
      </c>
      <c r="G621" s="174">
        <f t="shared" si="120"/>
        <v>500</v>
      </c>
      <c r="H621" s="174">
        <f>VLOOKUP(D621,原始分!$D:$N,4,0)</f>
        <v>103.5</v>
      </c>
      <c r="I621" s="174">
        <f t="shared" si="121"/>
        <v>354</v>
      </c>
      <c r="J621" s="174">
        <f>VLOOKUP(D621,原始分!$D:$N,5,0)</f>
        <v>69.5</v>
      </c>
      <c r="K621" s="174">
        <f t="shared" si="122"/>
        <v>830</v>
      </c>
      <c r="L621" s="174">
        <f>VLOOKUP(D621,原始分!$D:$N,6,0)</f>
        <v>45.5</v>
      </c>
      <c r="M621" s="174">
        <f t="shared" si="123"/>
        <v>417</v>
      </c>
      <c r="N621" s="174">
        <f>VLOOKUP(D621,原始分!$D:$N,7,0)</f>
        <v>0</v>
      </c>
      <c r="O621" s="174">
        <f t="shared" si="124"/>
        <v>207</v>
      </c>
      <c r="P621" s="174">
        <f>VLOOKUP(D621,原始分!$D:$N,8,0)</f>
        <v>41</v>
      </c>
      <c r="Q621" s="174">
        <f t="shared" si="125"/>
        <v>296</v>
      </c>
      <c r="R621" s="174">
        <f>VLOOKUP(D621,原始分!$D:$N,9,0)</f>
        <v>0</v>
      </c>
      <c r="S621" s="174">
        <f t="shared" si="126"/>
        <v>320</v>
      </c>
      <c r="T621" s="174">
        <f>VLOOKUP(D621,原始分!$D:$N,10,0)</f>
        <v>0</v>
      </c>
      <c r="U621" s="174">
        <f t="shared" si="127"/>
        <v>316</v>
      </c>
      <c r="V621" s="174">
        <f>VLOOKUP(D621,原始分!$D:$N,11,0)</f>
        <v>46.5</v>
      </c>
      <c r="W621" s="174">
        <f t="shared" si="128"/>
        <v>376</v>
      </c>
      <c r="X621" s="11">
        <f t="shared" si="129"/>
        <v>271</v>
      </c>
      <c r="Y621" s="9">
        <f t="shared" si="130"/>
        <v>688</v>
      </c>
      <c r="Z621" s="11">
        <f t="shared" si="131"/>
        <v>404</v>
      </c>
      <c r="AA621" s="9">
        <f t="shared" si="132"/>
        <v>504</v>
      </c>
    </row>
    <row r="622" ht="14.25" spans="1:27">
      <c r="A622" s="13">
        <v>620</v>
      </c>
      <c r="B622" s="15">
        <v>13</v>
      </c>
      <c r="C622" s="16">
        <v>12</v>
      </c>
      <c r="D622" s="17" t="s">
        <v>1248</v>
      </c>
      <c r="E622" s="17" t="s">
        <v>1249</v>
      </c>
      <c r="F622" s="174">
        <f>VLOOKUP(D622,原始分!$D:$N,3,0)</f>
        <v>98.25</v>
      </c>
      <c r="G622" s="174">
        <f t="shared" si="120"/>
        <v>493</v>
      </c>
      <c r="H622" s="174">
        <f>VLOOKUP(D622,原始分!$D:$N,4,0)</f>
        <v>113.5</v>
      </c>
      <c r="I622" s="174">
        <f t="shared" si="121"/>
        <v>152</v>
      </c>
      <c r="J622" s="174">
        <f>VLOOKUP(D622,原始分!$D:$N,5,0)</f>
        <v>82.5</v>
      </c>
      <c r="K622" s="174">
        <f t="shared" si="122"/>
        <v>713</v>
      </c>
      <c r="L622" s="174">
        <f>VLOOKUP(D622,原始分!$D:$N,6,0)</f>
        <v>39.5</v>
      </c>
      <c r="M622" s="174">
        <f t="shared" si="123"/>
        <v>514</v>
      </c>
      <c r="N622" s="174">
        <f>VLOOKUP(D622,原始分!$D:$N,7,0)</f>
        <v>0</v>
      </c>
      <c r="O622" s="174">
        <f t="shared" si="124"/>
        <v>207</v>
      </c>
      <c r="P622" s="174">
        <f>VLOOKUP(D622,原始分!$D:$N,8,0)</f>
        <v>50</v>
      </c>
      <c r="Q622" s="174">
        <f t="shared" si="125"/>
        <v>109</v>
      </c>
      <c r="R622" s="174">
        <f>VLOOKUP(D622,原始分!$D:$N,9,0)</f>
        <v>0</v>
      </c>
      <c r="S622" s="174">
        <f t="shared" si="126"/>
        <v>320</v>
      </c>
      <c r="T622" s="174">
        <f>VLOOKUP(D622,原始分!$D:$N,10,0)</f>
        <v>0</v>
      </c>
      <c r="U622" s="174">
        <f t="shared" si="127"/>
        <v>316</v>
      </c>
      <c r="V622" s="174">
        <f>VLOOKUP(D622,原始分!$D:$N,11,0)</f>
        <v>40.5</v>
      </c>
      <c r="W622" s="174">
        <f t="shared" si="128"/>
        <v>486</v>
      </c>
      <c r="X622" s="11">
        <f t="shared" si="129"/>
        <v>294.25</v>
      </c>
      <c r="Y622" s="9">
        <f t="shared" si="130"/>
        <v>441</v>
      </c>
      <c r="Z622" s="11">
        <f t="shared" si="131"/>
        <v>424.25</v>
      </c>
      <c r="AA622" s="9">
        <f t="shared" si="132"/>
        <v>407</v>
      </c>
    </row>
    <row r="623" ht="14.25" spans="1:27">
      <c r="A623" s="13">
        <v>621</v>
      </c>
      <c r="B623" s="15">
        <v>13</v>
      </c>
      <c r="C623" s="16">
        <v>13</v>
      </c>
      <c r="D623" s="17" t="s">
        <v>1250</v>
      </c>
      <c r="E623" s="17" t="s">
        <v>1251</v>
      </c>
      <c r="F623" s="174">
        <f>VLOOKUP(D623,原始分!$D:$N,3,0)</f>
        <v>88</v>
      </c>
      <c r="G623" s="174">
        <f t="shared" si="120"/>
        <v>809</v>
      </c>
      <c r="H623" s="174">
        <f>VLOOKUP(D623,原始分!$D:$N,4,0)</f>
        <v>80</v>
      </c>
      <c r="I623" s="174">
        <f t="shared" si="121"/>
        <v>750</v>
      </c>
      <c r="J623" s="174">
        <f>VLOOKUP(D623,原始分!$D:$N,5,0)</f>
        <v>84.75</v>
      </c>
      <c r="K623" s="174">
        <f t="shared" si="122"/>
        <v>673</v>
      </c>
      <c r="L623" s="174">
        <f>VLOOKUP(D623,原始分!$D:$N,6,0)</f>
        <v>35</v>
      </c>
      <c r="M623" s="174">
        <f t="shared" si="123"/>
        <v>572</v>
      </c>
      <c r="N623" s="174">
        <f>VLOOKUP(D623,原始分!$D:$N,7,0)</f>
        <v>0</v>
      </c>
      <c r="O623" s="174">
        <f t="shared" si="124"/>
        <v>207</v>
      </c>
      <c r="P623" s="174">
        <f>VLOOKUP(D623,原始分!$D:$N,8,0)</f>
        <v>31.5</v>
      </c>
      <c r="Q623" s="174">
        <f t="shared" si="125"/>
        <v>461</v>
      </c>
      <c r="R623" s="174">
        <f>VLOOKUP(D623,原始分!$D:$N,9,0)</f>
        <v>0</v>
      </c>
      <c r="S623" s="174">
        <f t="shared" si="126"/>
        <v>320</v>
      </c>
      <c r="T623" s="174">
        <f>VLOOKUP(D623,原始分!$D:$N,10,0)</f>
        <v>0</v>
      </c>
      <c r="U623" s="174">
        <f t="shared" si="127"/>
        <v>316</v>
      </c>
      <c r="V623" s="174">
        <f>VLOOKUP(D623,原始分!$D:$N,11,0)</f>
        <v>34.5</v>
      </c>
      <c r="W623" s="174">
        <f t="shared" si="128"/>
        <v>534</v>
      </c>
      <c r="X623" s="11">
        <f t="shared" si="129"/>
        <v>252.75</v>
      </c>
      <c r="Y623" s="9">
        <f t="shared" si="130"/>
        <v>795</v>
      </c>
      <c r="Z623" s="11">
        <f t="shared" si="131"/>
        <v>353.75</v>
      </c>
      <c r="AA623" s="9">
        <f t="shared" si="132"/>
        <v>631</v>
      </c>
    </row>
    <row r="624" ht="14.25" spans="1:27">
      <c r="A624" s="13">
        <v>622</v>
      </c>
      <c r="B624" s="15">
        <v>13</v>
      </c>
      <c r="C624" s="16">
        <v>15</v>
      </c>
      <c r="D624" s="17" t="s">
        <v>1252</v>
      </c>
      <c r="E624" s="17" t="s">
        <v>1253</v>
      </c>
      <c r="F624" s="174">
        <f>VLOOKUP(D624,原始分!$D:$N,3,0)</f>
        <v>90.5</v>
      </c>
      <c r="G624" s="174">
        <f t="shared" si="120"/>
        <v>765</v>
      </c>
      <c r="H624" s="174">
        <f>VLOOKUP(D624,原始分!$D:$N,4,0)</f>
        <v>104.5</v>
      </c>
      <c r="I624" s="174">
        <f t="shared" si="121"/>
        <v>327</v>
      </c>
      <c r="J624" s="174">
        <f>VLOOKUP(D624,原始分!$D:$N,5,0)</f>
        <v>96</v>
      </c>
      <c r="K624" s="174">
        <f t="shared" si="122"/>
        <v>465</v>
      </c>
      <c r="L624" s="174">
        <f>VLOOKUP(D624,原始分!$D:$N,6,0)</f>
        <v>48.5</v>
      </c>
      <c r="M624" s="174">
        <f t="shared" si="123"/>
        <v>364</v>
      </c>
      <c r="N624" s="174">
        <f>VLOOKUP(D624,原始分!$D:$N,7,0)</f>
        <v>0</v>
      </c>
      <c r="O624" s="174">
        <f t="shared" si="124"/>
        <v>207</v>
      </c>
      <c r="P624" s="174">
        <f>VLOOKUP(D624,原始分!$D:$N,8,0)</f>
        <v>60</v>
      </c>
      <c r="Q624" s="174">
        <f t="shared" si="125"/>
        <v>28</v>
      </c>
      <c r="R624" s="174">
        <f>VLOOKUP(D624,原始分!$D:$N,9,0)</f>
        <v>0</v>
      </c>
      <c r="S624" s="174">
        <f t="shared" si="126"/>
        <v>320</v>
      </c>
      <c r="T624" s="174">
        <f>VLOOKUP(D624,原始分!$D:$N,10,0)</f>
        <v>0</v>
      </c>
      <c r="U624" s="174">
        <f t="shared" si="127"/>
        <v>316</v>
      </c>
      <c r="V624" s="174">
        <f>VLOOKUP(D624,原始分!$D:$N,11,0)</f>
        <v>44.5</v>
      </c>
      <c r="W624" s="174">
        <f t="shared" si="128"/>
        <v>424</v>
      </c>
      <c r="X624" s="11">
        <f t="shared" si="129"/>
        <v>291</v>
      </c>
      <c r="Y624" s="9">
        <f t="shared" si="130"/>
        <v>484</v>
      </c>
      <c r="Z624" s="11">
        <f t="shared" si="131"/>
        <v>444</v>
      </c>
      <c r="AA624" s="9">
        <f t="shared" si="132"/>
        <v>317</v>
      </c>
    </row>
    <row r="625" ht="14.25" spans="1:27">
      <c r="A625" s="13">
        <v>623</v>
      </c>
      <c r="B625" s="15">
        <v>13</v>
      </c>
      <c r="C625" s="16">
        <v>16</v>
      </c>
      <c r="D625" s="17" t="s">
        <v>1254</v>
      </c>
      <c r="E625" s="17" t="s">
        <v>1255</v>
      </c>
      <c r="F625" s="174">
        <f>VLOOKUP(D625,原始分!$D:$N,3,0)</f>
        <v>95</v>
      </c>
      <c r="G625" s="174">
        <f t="shared" si="120"/>
        <v>619</v>
      </c>
      <c r="H625" s="174">
        <f>VLOOKUP(D625,原始分!$D:$N,4,0)</f>
        <v>93.5</v>
      </c>
      <c r="I625" s="174">
        <f t="shared" si="121"/>
        <v>549</v>
      </c>
      <c r="J625" s="174">
        <f>VLOOKUP(D625,原始分!$D:$N,5,0)</f>
        <v>100</v>
      </c>
      <c r="K625" s="174">
        <f t="shared" si="122"/>
        <v>368</v>
      </c>
      <c r="L625" s="174">
        <f>VLOOKUP(D625,原始分!$D:$N,6,0)</f>
        <v>45</v>
      </c>
      <c r="M625" s="174">
        <f t="shared" si="123"/>
        <v>424</v>
      </c>
      <c r="N625" s="174">
        <f>VLOOKUP(D625,原始分!$D:$N,7,0)</f>
        <v>0</v>
      </c>
      <c r="O625" s="174">
        <f t="shared" si="124"/>
        <v>207</v>
      </c>
      <c r="P625" s="174">
        <f>VLOOKUP(D625,原始分!$D:$N,8,0)</f>
        <v>40.5</v>
      </c>
      <c r="Q625" s="174">
        <f t="shared" si="125"/>
        <v>303</v>
      </c>
      <c r="R625" s="174">
        <f>VLOOKUP(D625,原始分!$D:$N,9,0)</f>
        <v>0</v>
      </c>
      <c r="S625" s="174">
        <f t="shared" si="126"/>
        <v>320</v>
      </c>
      <c r="T625" s="174">
        <f>VLOOKUP(D625,原始分!$D:$N,10,0)</f>
        <v>0</v>
      </c>
      <c r="U625" s="174">
        <f t="shared" si="127"/>
        <v>316</v>
      </c>
      <c r="V625" s="174">
        <f>VLOOKUP(D625,原始分!$D:$N,11,0)</f>
        <v>45</v>
      </c>
      <c r="W625" s="174">
        <f t="shared" si="128"/>
        <v>410</v>
      </c>
      <c r="X625" s="11">
        <f t="shared" si="129"/>
        <v>288.5</v>
      </c>
      <c r="Y625" s="9">
        <f t="shared" si="130"/>
        <v>510</v>
      </c>
      <c r="Z625" s="11">
        <f t="shared" si="131"/>
        <v>419</v>
      </c>
      <c r="AA625" s="9">
        <f t="shared" si="132"/>
        <v>433</v>
      </c>
    </row>
    <row r="626" ht="14.25" spans="1:27">
      <c r="A626" s="13">
        <v>624</v>
      </c>
      <c r="B626" s="15">
        <v>13</v>
      </c>
      <c r="C626" s="16">
        <v>17</v>
      </c>
      <c r="D626" s="17" t="s">
        <v>1256</v>
      </c>
      <c r="E626" s="17" t="s">
        <v>1257</v>
      </c>
      <c r="F626" s="174">
        <f>VLOOKUP(D626,原始分!$D:$N,3,0)</f>
        <v>97.5</v>
      </c>
      <c r="G626" s="174">
        <f t="shared" si="120"/>
        <v>531</v>
      </c>
      <c r="H626" s="174">
        <f>VLOOKUP(D626,原始分!$D:$N,4,0)</f>
        <v>106</v>
      </c>
      <c r="I626" s="174">
        <f t="shared" si="121"/>
        <v>297</v>
      </c>
      <c r="J626" s="174">
        <f>VLOOKUP(D626,原始分!$D:$N,5,0)</f>
        <v>82.75</v>
      </c>
      <c r="K626" s="174">
        <f t="shared" si="122"/>
        <v>706</v>
      </c>
      <c r="L626" s="174">
        <f>VLOOKUP(D626,原始分!$D:$N,6,0)</f>
        <v>40.5</v>
      </c>
      <c r="M626" s="174">
        <f t="shared" si="123"/>
        <v>497</v>
      </c>
      <c r="N626" s="174">
        <f>VLOOKUP(D626,原始分!$D:$N,7,0)</f>
        <v>0</v>
      </c>
      <c r="O626" s="174">
        <f t="shared" si="124"/>
        <v>207</v>
      </c>
      <c r="P626" s="174">
        <f>VLOOKUP(D626,原始分!$D:$N,8,0)</f>
        <v>30.5</v>
      </c>
      <c r="Q626" s="174">
        <f t="shared" si="125"/>
        <v>470</v>
      </c>
      <c r="R626" s="174">
        <f>VLOOKUP(D626,原始分!$D:$N,9,0)</f>
        <v>0</v>
      </c>
      <c r="S626" s="174">
        <f t="shared" si="126"/>
        <v>320</v>
      </c>
      <c r="T626" s="174">
        <f>VLOOKUP(D626,原始分!$D:$N,10,0)</f>
        <v>0</v>
      </c>
      <c r="U626" s="174">
        <f t="shared" si="127"/>
        <v>316</v>
      </c>
      <c r="V626" s="174">
        <f>VLOOKUP(D626,原始分!$D:$N,11,0)</f>
        <v>55</v>
      </c>
      <c r="W626" s="174">
        <f t="shared" si="128"/>
        <v>181</v>
      </c>
      <c r="X626" s="11">
        <f t="shared" si="129"/>
        <v>286.25</v>
      </c>
      <c r="Y626" s="9">
        <f t="shared" si="130"/>
        <v>530</v>
      </c>
      <c r="Z626" s="11">
        <f t="shared" si="131"/>
        <v>412.25</v>
      </c>
      <c r="AA626" s="9">
        <f t="shared" si="132"/>
        <v>459</v>
      </c>
    </row>
    <row r="627" ht="14.25" spans="1:27">
      <c r="A627" s="13">
        <v>625</v>
      </c>
      <c r="B627" s="15">
        <v>13</v>
      </c>
      <c r="C627" s="16">
        <v>18</v>
      </c>
      <c r="D627" s="17" t="s">
        <v>1258</v>
      </c>
      <c r="E627" s="17" t="s">
        <v>1259</v>
      </c>
      <c r="F627" s="174">
        <f>VLOOKUP(D627,原始分!$D:$N,3,0)</f>
        <v>104</v>
      </c>
      <c r="G627" s="174">
        <f t="shared" si="120"/>
        <v>209</v>
      </c>
      <c r="H627" s="174">
        <f>VLOOKUP(D627,原始分!$D:$N,4,0)</f>
        <v>92</v>
      </c>
      <c r="I627" s="174">
        <f t="shared" si="121"/>
        <v>578</v>
      </c>
      <c r="J627" s="174">
        <f>VLOOKUP(D627,原始分!$D:$N,5,0)</f>
        <v>114.5</v>
      </c>
      <c r="K627" s="174">
        <f t="shared" si="122"/>
        <v>110</v>
      </c>
      <c r="L627" s="174">
        <f>VLOOKUP(D627,原始分!$D:$N,6,0)</f>
        <v>60.5</v>
      </c>
      <c r="M627" s="174">
        <f t="shared" si="123"/>
        <v>180</v>
      </c>
      <c r="N627" s="174">
        <f>VLOOKUP(D627,原始分!$D:$N,7,0)</f>
        <v>0</v>
      </c>
      <c r="O627" s="174">
        <f t="shared" si="124"/>
        <v>207</v>
      </c>
      <c r="P627" s="174">
        <f>VLOOKUP(D627,原始分!$D:$N,8,0)</f>
        <v>38.5</v>
      </c>
      <c r="Q627" s="174">
        <f t="shared" si="125"/>
        <v>355</v>
      </c>
      <c r="R627" s="174">
        <f>VLOOKUP(D627,原始分!$D:$N,9,0)</f>
        <v>0</v>
      </c>
      <c r="S627" s="174">
        <f t="shared" si="126"/>
        <v>320</v>
      </c>
      <c r="T627" s="174">
        <f>VLOOKUP(D627,原始分!$D:$N,10,0)</f>
        <v>0</v>
      </c>
      <c r="U627" s="174">
        <f t="shared" si="127"/>
        <v>316</v>
      </c>
      <c r="V627" s="174">
        <f>VLOOKUP(D627,原始分!$D:$N,11,0)</f>
        <v>47</v>
      </c>
      <c r="W627" s="174">
        <f t="shared" si="128"/>
        <v>366</v>
      </c>
      <c r="X627" s="11">
        <f t="shared" si="129"/>
        <v>310.5</v>
      </c>
      <c r="Y627" s="9">
        <f t="shared" si="130"/>
        <v>258</v>
      </c>
      <c r="Z627" s="11">
        <f t="shared" si="131"/>
        <v>456.5</v>
      </c>
      <c r="AA627" s="9">
        <f t="shared" si="132"/>
        <v>244</v>
      </c>
    </row>
    <row r="628" ht="14.25" spans="1:27">
      <c r="A628" s="13">
        <v>626</v>
      </c>
      <c r="B628" s="15">
        <v>13</v>
      </c>
      <c r="C628" s="16">
        <v>19</v>
      </c>
      <c r="D628" s="17" t="s">
        <v>1260</v>
      </c>
      <c r="E628" s="17" t="s">
        <v>1261</v>
      </c>
      <c r="F628" s="174">
        <f>VLOOKUP(D628,原始分!$D:$N,3,0)</f>
        <v>104.25</v>
      </c>
      <c r="G628" s="174">
        <f t="shared" si="120"/>
        <v>205</v>
      </c>
      <c r="H628" s="174">
        <f>VLOOKUP(D628,原始分!$D:$N,4,0)</f>
        <v>104</v>
      </c>
      <c r="I628" s="174">
        <f t="shared" si="121"/>
        <v>341</v>
      </c>
      <c r="J628" s="174">
        <f>VLOOKUP(D628,原始分!$D:$N,5,0)</f>
        <v>99</v>
      </c>
      <c r="K628" s="174">
        <f t="shared" si="122"/>
        <v>400</v>
      </c>
      <c r="L628" s="174">
        <f>VLOOKUP(D628,原始分!$D:$N,6,0)</f>
        <v>53</v>
      </c>
      <c r="M628" s="174">
        <f t="shared" si="123"/>
        <v>300</v>
      </c>
      <c r="N628" s="174">
        <f>VLOOKUP(D628,原始分!$D:$N,7,0)</f>
        <v>0</v>
      </c>
      <c r="O628" s="174">
        <f t="shared" si="124"/>
        <v>207</v>
      </c>
      <c r="P628" s="174">
        <f>VLOOKUP(D628,原始分!$D:$N,8,0)</f>
        <v>46</v>
      </c>
      <c r="Q628" s="174">
        <f t="shared" si="125"/>
        <v>194</v>
      </c>
      <c r="R628" s="174">
        <f>VLOOKUP(D628,原始分!$D:$N,9,0)</f>
        <v>0</v>
      </c>
      <c r="S628" s="174">
        <f t="shared" si="126"/>
        <v>320</v>
      </c>
      <c r="T628" s="174">
        <f>VLOOKUP(D628,原始分!$D:$N,10,0)</f>
        <v>0</v>
      </c>
      <c r="U628" s="174">
        <f t="shared" si="127"/>
        <v>316</v>
      </c>
      <c r="V628" s="174">
        <f>VLOOKUP(D628,原始分!$D:$N,11,0)</f>
        <v>45.5</v>
      </c>
      <c r="W628" s="174">
        <f t="shared" si="128"/>
        <v>399</v>
      </c>
      <c r="X628" s="11">
        <f t="shared" si="129"/>
        <v>307.25</v>
      </c>
      <c r="Y628" s="9">
        <f t="shared" si="130"/>
        <v>298</v>
      </c>
      <c r="Z628" s="11">
        <f t="shared" si="131"/>
        <v>451.75</v>
      </c>
      <c r="AA628" s="9">
        <f t="shared" si="132"/>
        <v>268</v>
      </c>
    </row>
    <row r="629" ht="14.25" spans="1:27">
      <c r="A629" s="13">
        <v>627</v>
      </c>
      <c r="B629" s="15">
        <v>13</v>
      </c>
      <c r="C629" s="16">
        <v>20</v>
      </c>
      <c r="D629" s="17" t="s">
        <v>1262</v>
      </c>
      <c r="E629" s="17" t="s">
        <v>1263</v>
      </c>
      <c r="F629" s="174">
        <f>VLOOKUP(D629,原始分!$D:$N,3,0)</f>
        <v>96</v>
      </c>
      <c r="G629" s="174">
        <f t="shared" si="120"/>
        <v>579</v>
      </c>
      <c r="H629" s="174">
        <f>VLOOKUP(D629,原始分!$D:$N,4,0)</f>
        <v>109.5</v>
      </c>
      <c r="I629" s="174">
        <f t="shared" si="121"/>
        <v>232</v>
      </c>
      <c r="J629" s="174">
        <f>VLOOKUP(D629,原始分!$D:$N,5,0)</f>
        <v>104.25</v>
      </c>
      <c r="K629" s="174">
        <f t="shared" si="122"/>
        <v>289</v>
      </c>
      <c r="L629" s="174">
        <f>VLOOKUP(D629,原始分!$D:$N,6,0)</f>
        <v>42</v>
      </c>
      <c r="M629" s="174">
        <f t="shared" si="123"/>
        <v>476</v>
      </c>
      <c r="N629" s="174">
        <f>VLOOKUP(D629,原始分!$D:$N,7,0)</f>
        <v>0</v>
      </c>
      <c r="O629" s="174">
        <f t="shared" si="124"/>
        <v>207</v>
      </c>
      <c r="P629" s="174">
        <f>VLOOKUP(D629,原始分!$D:$N,8,0)</f>
        <v>50</v>
      </c>
      <c r="Q629" s="174">
        <f t="shared" si="125"/>
        <v>109</v>
      </c>
      <c r="R629" s="174">
        <f>VLOOKUP(D629,原始分!$D:$N,9,0)</f>
        <v>0</v>
      </c>
      <c r="S629" s="174">
        <f t="shared" si="126"/>
        <v>320</v>
      </c>
      <c r="T629" s="174">
        <f>VLOOKUP(D629,原始分!$D:$N,10,0)</f>
        <v>0</v>
      </c>
      <c r="U629" s="174">
        <f t="shared" si="127"/>
        <v>316</v>
      </c>
      <c r="V629" s="174">
        <f>VLOOKUP(D629,原始分!$D:$N,11,0)</f>
        <v>52.5</v>
      </c>
      <c r="W629" s="174">
        <f t="shared" si="128"/>
        <v>235</v>
      </c>
      <c r="X629" s="11">
        <f t="shared" si="129"/>
        <v>309.75</v>
      </c>
      <c r="Y629" s="9">
        <f t="shared" si="130"/>
        <v>268</v>
      </c>
      <c r="Z629" s="11">
        <f t="shared" si="131"/>
        <v>454.25</v>
      </c>
      <c r="AA629" s="9">
        <f t="shared" si="132"/>
        <v>252</v>
      </c>
    </row>
    <row r="630" ht="14.25" spans="1:27">
      <c r="A630" s="13">
        <v>628</v>
      </c>
      <c r="B630" s="15">
        <v>13</v>
      </c>
      <c r="C630" s="16">
        <v>21</v>
      </c>
      <c r="D630" s="17" t="s">
        <v>1264</v>
      </c>
      <c r="E630" s="17" t="s">
        <v>1265</v>
      </c>
      <c r="F630" s="174">
        <f>VLOOKUP(D630,原始分!$D:$N,3,0)</f>
        <v>100.5</v>
      </c>
      <c r="G630" s="174">
        <f t="shared" si="120"/>
        <v>370</v>
      </c>
      <c r="H630" s="174">
        <f>VLOOKUP(D630,原始分!$D:$N,4,0)</f>
        <v>104</v>
      </c>
      <c r="I630" s="174">
        <f t="shared" si="121"/>
        <v>341</v>
      </c>
      <c r="J630" s="174">
        <f>VLOOKUP(D630,原始分!$D:$N,5,0)</f>
        <v>105.75</v>
      </c>
      <c r="K630" s="174">
        <f t="shared" si="122"/>
        <v>251</v>
      </c>
      <c r="L630" s="174">
        <f>VLOOKUP(D630,原始分!$D:$N,6,0)</f>
        <v>46</v>
      </c>
      <c r="M630" s="174">
        <f t="shared" si="123"/>
        <v>411</v>
      </c>
      <c r="N630" s="174">
        <f>VLOOKUP(D630,原始分!$D:$N,7,0)</f>
        <v>0</v>
      </c>
      <c r="O630" s="174">
        <f t="shared" si="124"/>
        <v>207</v>
      </c>
      <c r="P630" s="174">
        <f>VLOOKUP(D630,原始分!$D:$N,8,0)</f>
        <v>46.5</v>
      </c>
      <c r="Q630" s="174">
        <f t="shared" si="125"/>
        <v>188</v>
      </c>
      <c r="R630" s="174">
        <f>VLOOKUP(D630,原始分!$D:$N,9,0)</f>
        <v>0</v>
      </c>
      <c r="S630" s="174">
        <f t="shared" si="126"/>
        <v>320</v>
      </c>
      <c r="T630" s="174">
        <f>VLOOKUP(D630,原始分!$D:$N,10,0)</f>
        <v>0</v>
      </c>
      <c r="U630" s="174">
        <f t="shared" si="127"/>
        <v>316</v>
      </c>
      <c r="V630" s="174">
        <f>VLOOKUP(D630,原始分!$D:$N,11,0)</f>
        <v>53</v>
      </c>
      <c r="W630" s="174">
        <f t="shared" si="128"/>
        <v>223</v>
      </c>
      <c r="X630" s="11">
        <f t="shared" si="129"/>
        <v>310.25</v>
      </c>
      <c r="Y630" s="9">
        <f t="shared" si="130"/>
        <v>260</v>
      </c>
      <c r="Z630" s="11">
        <f t="shared" si="131"/>
        <v>455.75</v>
      </c>
      <c r="AA630" s="9">
        <f t="shared" si="132"/>
        <v>245</v>
      </c>
    </row>
    <row r="631" ht="14.25" spans="1:27">
      <c r="A631" s="13">
        <v>629</v>
      </c>
      <c r="B631" s="15">
        <v>13</v>
      </c>
      <c r="C631" s="16">
        <v>22</v>
      </c>
      <c r="D631" s="17" t="s">
        <v>1266</v>
      </c>
      <c r="E631" s="17" t="s">
        <v>1267</v>
      </c>
      <c r="F631" s="174">
        <f>VLOOKUP(D631,原始分!$D:$N,3,0)</f>
        <v>101.5</v>
      </c>
      <c r="G631" s="174">
        <f t="shared" si="120"/>
        <v>319</v>
      </c>
      <c r="H631" s="174">
        <f>VLOOKUP(D631,原始分!$D:$N,4,0)</f>
        <v>84.5</v>
      </c>
      <c r="I631" s="174">
        <f t="shared" si="121"/>
        <v>708</v>
      </c>
      <c r="J631" s="174">
        <f>VLOOKUP(D631,原始分!$D:$N,5,0)</f>
        <v>92</v>
      </c>
      <c r="K631" s="174">
        <f t="shared" si="122"/>
        <v>550</v>
      </c>
      <c r="L631" s="174">
        <f>VLOOKUP(D631,原始分!$D:$N,6,0)</f>
        <v>42.5</v>
      </c>
      <c r="M631" s="174">
        <f t="shared" si="123"/>
        <v>470</v>
      </c>
      <c r="N631" s="174">
        <f>VLOOKUP(D631,原始分!$D:$N,7,0)</f>
        <v>0</v>
      </c>
      <c r="O631" s="174">
        <f t="shared" si="124"/>
        <v>207</v>
      </c>
      <c r="P631" s="174">
        <f>VLOOKUP(D631,原始分!$D:$N,8,0)</f>
        <v>41.5</v>
      </c>
      <c r="Q631" s="174">
        <f t="shared" si="125"/>
        <v>279</v>
      </c>
      <c r="R631" s="174">
        <f>VLOOKUP(D631,原始分!$D:$N,9,0)</f>
        <v>0</v>
      </c>
      <c r="S631" s="174">
        <f t="shared" si="126"/>
        <v>320</v>
      </c>
      <c r="T631" s="174">
        <f>VLOOKUP(D631,原始分!$D:$N,10,0)</f>
        <v>0</v>
      </c>
      <c r="U631" s="174">
        <f t="shared" si="127"/>
        <v>316</v>
      </c>
      <c r="V631" s="174">
        <f>VLOOKUP(D631,原始分!$D:$N,11,0)</f>
        <v>47.5</v>
      </c>
      <c r="W631" s="174">
        <f t="shared" si="128"/>
        <v>353</v>
      </c>
      <c r="X631" s="11">
        <f t="shared" si="129"/>
        <v>278</v>
      </c>
      <c r="Y631" s="9">
        <f t="shared" si="130"/>
        <v>621</v>
      </c>
      <c r="Z631" s="11">
        <f t="shared" si="131"/>
        <v>409.5</v>
      </c>
      <c r="AA631" s="9">
        <f t="shared" si="132"/>
        <v>476</v>
      </c>
    </row>
    <row r="632" ht="14.25" spans="1:27">
      <c r="A632" s="13">
        <v>630</v>
      </c>
      <c r="B632" s="15">
        <v>13</v>
      </c>
      <c r="C632" s="16">
        <v>23</v>
      </c>
      <c r="D632" s="17" t="s">
        <v>1268</v>
      </c>
      <c r="E632" s="17" t="s">
        <v>1269</v>
      </c>
      <c r="F632" s="174">
        <f>VLOOKUP(D632,原始分!$D:$N,3,0)</f>
        <v>102.25</v>
      </c>
      <c r="G632" s="174">
        <f t="shared" si="120"/>
        <v>300</v>
      </c>
      <c r="H632" s="174">
        <f>VLOOKUP(D632,原始分!$D:$N,4,0)</f>
        <v>88.5</v>
      </c>
      <c r="I632" s="174">
        <f t="shared" si="121"/>
        <v>641</v>
      </c>
      <c r="J632" s="174">
        <f>VLOOKUP(D632,原始分!$D:$N,5,0)</f>
        <v>87</v>
      </c>
      <c r="K632" s="174">
        <f t="shared" si="122"/>
        <v>632</v>
      </c>
      <c r="L632" s="174">
        <f>VLOOKUP(D632,原始分!$D:$N,6,0)</f>
        <v>35.5</v>
      </c>
      <c r="M632" s="174">
        <f t="shared" si="123"/>
        <v>566</v>
      </c>
      <c r="N632" s="174">
        <f>VLOOKUP(D632,原始分!$D:$N,7,0)</f>
        <v>0</v>
      </c>
      <c r="O632" s="174">
        <f t="shared" si="124"/>
        <v>207</v>
      </c>
      <c r="P632" s="174">
        <f>VLOOKUP(D632,原始分!$D:$N,8,0)</f>
        <v>36.5</v>
      </c>
      <c r="Q632" s="174">
        <f t="shared" si="125"/>
        <v>380</v>
      </c>
      <c r="R632" s="174">
        <f>VLOOKUP(D632,原始分!$D:$N,9,0)</f>
        <v>0</v>
      </c>
      <c r="S632" s="174">
        <f t="shared" si="126"/>
        <v>320</v>
      </c>
      <c r="T632" s="174">
        <f>VLOOKUP(D632,原始分!$D:$N,10,0)</f>
        <v>0</v>
      </c>
      <c r="U632" s="174">
        <f t="shared" si="127"/>
        <v>316</v>
      </c>
      <c r="V632" s="174">
        <f>VLOOKUP(D632,原始分!$D:$N,11,0)</f>
        <v>51.5</v>
      </c>
      <c r="W632" s="174">
        <f t="shared" si="128"/>
        <v>262</v>
      </c>
      <c r="X632" s="11">
        <f t="shared" si="129"/>
        <v>277.75</v>
      </c>
      <c r="Y632" s="9">
        <f t="shared" si="130"/>
        <v>629</v>
      </c>
      <c r="Z632" s="11">
        <f t="shared" si="131"/>
        <v>401.25</v>
      </c>
      <c r="AA632" s="9">
        <f t="shared" si="132"/>
        <v>517</v>
      </c>
    </row>
    <row r="633" ht="14.25" spans="1:27">
      <c r="A633" s="13">
        <v>631</v>
      </c>
      <c r="B633" s="15">
        <v>13</v>
      </c>
      <c r="C633" s="16">
        <v>24</v>
      </c>
      <c r="D633" s="17" t="s">
        <v>1270</v>
      </c>
      <c r="E633" s="17" t="s">
        <v>1271</v>
      </c>
      <c r="F633" s="174">
        <f>VLOOKUP(D633,原始分!$D:$N,3,0)</f>
        <v>108</v>
      </c>
      <c r="G633" s="174">
        <f t="shared" si="120"/>
        <v>77</v>
      </c>
      <c r="H633" s="174">
        <f>VLOOKUP(D633,原始分!$D:$N,4,0)</f>
        <v>82</v>
      </c>
      <c r="I633" s="174">
        <f t="shared" si="121"/>
        <v>737</v>
      </c>
      <c r="J633" s="174">
        <f>VLOOKUP(D633,原始分!$D:$N,5,0)</f>
        <v>95</v>
      </c>
      <c r="K633" s="174">
        <f t="shared" si="122"/>
        <v>484</v>
      </c>
      <c r="L633" s="174">
        <f>VLOOKUP(D633,原始分!$D:$N,6,0)</f>
        <v>34</v>
      </c>
      <c r="M633" s="174">
        <f t="shared" si="123"/>
        <v>588</v>
      </c>
      <c r="N633" s="174">
        <f>VLOOKUP(D633,原始分!$D:$N,7,0)</f>
        <v>0</v>
      </c>
      <c r="O633" s="174">
        <f t="shared" si="124"/>
        <v>207</v>
      </c>
      <c r="P633" s="174">
        <f>VLOOKUP(D633,原始分!$D:$N,8,0)</f>
        <v>33</v>
      </c>
      <c r="Q633" s="174">
        <f t="shared" si="125"/>
        <v>435</v>
      </c>
      <c r="R633" s="174">
        <f>VLOOKUP(D633,原始分!$D:$N,9,0)</f>
        <v>0</v>
      </c>
      <c r="S633" s="174">
        <f t="shared" si="126"/>
        <v>320</v>
      </c>
      <c r="T633" s="174">
        <f>VLOOKUP(D633,原始分!$D:$N,10,0)</f>
        <v>0</v>
      </c>
      <c r="U633" s="174">
        <f t="shared" si="127"/>
        <v>316</v>
      </c>
      <c r="V633" s="174">
        <f>VLOOKUP(D633,原始分!$D:$N,11,0)</f>
        <v>55.5</v>
      </c>
      <c r="W633" s="174">
        <f t="shared" si="128"/>
        <v>170</v>
      </c>
      <c r="X633" s="11">
        <f t="shared" si="129"/>
        <v>285</v>
      </c>
      <c r="Y633" s="9">
        <f t="shared" si="130"/>
        <v>543</v>
      </c>
      <c r="Z633" s="11">
        <f t="shared" si="131"/>
        <v>407.5</v>
      </c>
      <c r="AA633" s="9">
        <f t="shared" si="132"/>
        <v>486</v>
      </c>
    </row>
    <row r="634" ht="14.25" spans="1:27">
      <c r="A634" s="13">
        <v>632</v>
      </c>
      <c r="B634" s="15">
        <v>13</v>
      </c>
      <c r="C634" s="16">
        <v>25</v>
      </c>
      <c r="D634" s="17" t="s">
        <v>1272</v>
      </c>
      <c r="E634" s="17" t="s">
        <v>1273</v>
      </c>
      <c r="F634" s="174">
        <f>VLOOKUP(D634,原始分!$D:$N,3,0)</f>
        <v>95</v>
      </c>
      <c r="G634" s="174">
        <f t="shared" si="120"/>
        <v>619</v>
      </c>
      <c r="H634" s="174">
        <f>VLOOKUP(D634,原始分!$D:$N,4,0)</f>
        <v>91</v>
      </c>
      <c r="I634" s="174">
        <f t="shared" si="121"/>
        <v>592</v>
      </c>
      <c r="J634" s="174">
        <f>VLOOKUP(D634,原始分!$D:$N,5,0)</f>
        <v>79</v>
      </c>
      <c r="K634" s="174">
        <f t="shared" si="122"/>
        <v>757</v>
      </c>
      <c r="L634" s="174">
        <f>VLOOKUP(D634,原始分!$D:$N,6,0)</f>
        <v>61</v>
      </c>
      <c r="M634" s="174">
        <f t="shared" si="123"/>
        <v>168</v>
      </c>
      <c r="N634" s="174">
        <f>VLOOKUP(D634,原始分!$D:$N,7,0)</f>
        <v>0</v>
      </c>
      <c r="O634" s="174">
        <f t="shared" si="124"/>
        <v>207</v>
      </c>
      <c r="P634" s="174">
        <f>VLOOKUP(D634,原始分!$D:$N,8,0)</f>
        <v>57.5</v>
      </c>
      <c r="Q634" s="174">
        <f t="shared" si="125"/>
        <v>38</v>
      </c>
      <c r="R634" s="174">
        <f>VLOOKUP(D634,原始分!$D:$N,9,0)</f>
        <v>0</v>
      </c>
      <c r="S634" s="174">
        <f t="shared" si="126"/>
        <v>320</v>
      </c>
      <c r="T634" s="174">
        <f>VLOOKUP(D634,原始分!$D:$N,10,0)</f>
        <v>0</v>
      </c>
      <c r="U634" s="174">
        <f t="shared" si="127"/>
        <v>316</v>
      </c>
      <c r="V634" s="174">
        <f>VLOOKUP(D634,原始分!$D:$N,11,0)</f>
        <v>53</v>
      </c>
      <c r="W634" s="174">
        <f t="shared" si="128"/>
        <v>223</v>
      </c>
      <c r="X634" s="11">
        <f t="shared" si="129"/>
        <v>265</v>
      </c>
      <c r="Y634" s="9">
        <f t="shared" si="130"/>
        <v>742</v>
      </c>
      <c r="Z634" s="11">
        <f t="shared" si="131"/>
        <v>436.5</v>
      </c>
      <c r="AA634" s="9">
        <f t="shared" si="132"/>
        <v>350</v>
      </c>
    </row>
    <row r="635" ht="14.25" spans="1:27">
      <c r="A635" s="13">
        <v>633</v>
      </c>
      <c r="B635" s="15">
        <v>13</v>
      </c>
      <c r="C635" s="16">
        <v>26</v>
      </c>
      <c r="D635" s="17" t="s">
        <v>1274</v>
      </c>
      <c r="E635" s="17" t="s">
        <v>1275</v>
      </c>
      <c r="F635" s="174">
        <f>VLOOKUP(D635,原始分!$D:$N,3,0)</f>
        <v>84.5</v>
      </c>
      <c r="G635" s="174">
        <f t="shared" si="120"/>
        <v>840</v>
      </c>
      <c r="H635" s="174">
        <f>VLOOKUP(D635,原始分!$D:$N,4,0)</f>
        <v>83</v>
      </c>
      <c r="I635" s="174">
        <f t="shared" si="121"/>
        <v>728</v>
      </c>
      <c r="J635" s="174">
        <f>VLOOKUP(D635,原始分!$D:$N,5,0)</f>
        <v>88.25</v>
      </c>
      <c r="K635" s="174">
        <f t="shared" si="122"/>
        <v>613</v>
      </c>
      <c r="L635" s="174">
        <f>VLOOKUP(D635,原始分!$D:$N,6,0)</f>
        <v>42</v>
      </c>
      <c r="M635" s="174">
        <f t="shared" si="123"/>
        <v>476</v>
      </c>
      <c r="N635" s="174">
        <f>VLOOKUP(D635,原始分!$D:$N,7,0)</f>
        <v>0</v>
      </c>
      <c r="O635" s="174">
        <f t="shared" si="124"/>
        <v>207</v>
      </c>
      <c r="P635" s="174">
        <f>VLOOKUP(D635,原始分!$D:$N,8,0)</f>
        <v>32.5</v>
      </c>
      <c r="Q635" s="174">
        <f t="shared" si="125"/>
        <v>447</v>
      </c>
      <c r="R635" s="174">
        <f>VLOOKUP(D635,原始分!$D:$N,9,0)</f>
        <v>0</v>
      </c>
      <c r="S635" s="174">
        <f t="shared" si="126"/>
        <v>320</v>
      </c>
      <c r="T635" s="174">
        <f>VLOOKUP(D635,原始分!$D:$N,10,0)</f>
        <v>0</v>
      </c>
      <c r="U635" s="174">
        <f t="shared" si="127"/>
        <v>316</v>
      </c>
      <c r="V635" s="174">
        <f>VLOOKUP(D635,原始分!$D:$N,11,0)</f>
        <v>47</v>
      </c>
      <c r="W635" s="174">
        <f t="shared" si="128"/>
        <v>366</v>
      </c>
      <c r="X635" s="11">
        <f t="shared" si="129"/>
        <v>255.75</v>
      </c>
      <c r="Y635" s="9">
        <f t="shared" si="130"/>
        <v>785</v>
      </c>
      <c r="Z635" s="11">
        <f t="shared" si="131"/>
        <v>377.25</v>
      </c>
      <c r="AA635" s="9">
        <f t="shared" si="132"/>
        <v>589</v>
      </c>
    </row>
    <row r="636" ht="14.25" spans="1:27">
      <c r="A636" s="13">
        <v>634</v>
      </c>
      <c r="B636" s="15">
        <v>13</v>
      </c>
      <c r="C636" s="16">
        <v>27</v>
      </c>
      <c r="D636" s="17" t="s">
        <v>1276</v>
      </c>
      <c r="E636" s="17" t="s">
        <v>1277</v>
      </c>
      <c r="F636" s="174">
        <f>VLOOKUP(D636,原始分!$D:$N,3,0)</f>
        <v>94.75</v>
      </c>
      <c r="G636" s="174">
        <f t="shared" si="120"/>
        <v>639</v>
      </c>
      <c r="H636" s="174">
        <f>VLOOKUP(D636,原始分!$D:$N,4,0)</f>
        <v>118.5</v>
      </c>
      <c r="I636" s="174">
        <f t="shared" si="121"/>
        <v>84</v>
      </c>
      <c r="J636" s="174">
        <f>VLOOKUP(D636,原始分!$D:$N,5,0)</f>
        <v>93.75</v>
      </c>
      <c r="K636" s="174">
        <f t="shared" si="122"/>
        <v>512</v>
      </c>
      <c r="L636" s="174">
        <f>VLOOKUP(D636,原始分!$D:$N,6,0)</f>
        <v>53.5</v>
      </c>
      <c r="M636" s="174">
        <f t="shared" si="123"/>
        <v>292</v>
      </c>
      <c r="N636" s="174">
        <f>VLOOKUP(D636,原始分!$D:$N,7,0)</f>
        <v>0</v>
      </c>
      <c r="O636" s="174">
        <f t="shared" si="124"/>
        <v>207</v>
      </c>
      <c r="P636" s="174">
        <f>VLOOKUP(D636,原始分!$D:$N,8,0)</f>
        <v>44.5</v>
      </c>
      <c r="Q636" s="174">
        <f t="shared" si="125"/>
        <v>219</v>
      </c>
      <c r="R636" s="174">
        <f>VLOOKUP(D636,原始分!$D:$N,9,0)</f>
        <v>0</v>
      </c>
      <c r="S636" s="174">
        <f t="shared" si="126"/>
        <v>320</v>
      </c>
      <c r="T636" s="174">
        <f>VLOOKUP(D636,原始分!$D:$N,10,0)</f>
        <v>0</v>
      </c>
      <c r="U636" s="174">
        <f t="shared" si="127"/>
        <v>316</v>
      </c>
      <c r="V636" s="174">
        <f>VLOOKUP(D636,原始分!$D:$N,11,0)</f>
        <v>47.5</v>
      </c>
      <c r="W636" s="174">
        <f t="shared" si="128"/>
        <v>353</v>
      </c>
      <c r="X636" s="11">
        <f t="shared" si="129"/>
        <v>307</v>
      </c>
      <c r="Y636" s="9">
        <f t="shared" si="130"/>
        <v>300</v>
      </c>
      <c r="Z636" s="11">
        <f t="shared" si="131"/>
        <v>452.5</v>
      </c>
      <c r="AA636" s="9">
        <f t="shared" si="132"/>
        <v>261</v>
      </c>
    </row>
    <row r="637" ht="14.25" spans="1:27">
      <c r="A637" s="13">
        <v>635</v>
      </c>
      <c r="B637" s="15">
        <v>13</v>
      </c>
      <c r="C637" s="16">
        <v>28</v>
      </c>
      <c r="D637" s="17" t="s">
        <v>1278</v>
      </c>
      <c r="E637" s="17" t="s">
        <v>1279</v>
      </c>
      <c r="F637" s="174">
        <f>VLOOKUP(D637,原始分!$D:$N,3,0)</f>
        <v>101</v>
      </c>
      <c r="G637" s="174">
        <f t="shared" si="120"/>
        <v>338</v>
      </c>
      <c r="H637" s="174">
        <f>VLOOKUP(D637,原始分!$D:$N,4,0)</f>
        <v>112</v>
      </c>
      <c r="I637" s="174">
        <f t="shared" si="121"/>
        <v>180</v>
      </c>
      <c r="J637" s="174">
        <f>VLOOKUP(D637,原始分!$D:$N,5,0)</f>
        <v>103.75</v>
      </c>
      <c r="K637" s="174">
        <f t="shared" si="122"/>
        <v>299</v>
      </c>
      <c r="L637" s="174">
        <f>VLOOKUP(D637,原始分!$D:$N,6,0)</f>
        <v>56</v>
      </c>
      <c r="M637" s="174">
        <f t="shared" si="123"/>
        <v>252</v>
      </c>
      <c r="N637" s="174">
        <f>VLOOKUP(D637,原始分!$D:$N,7,0)</f>
        <v>0</v>
      </c>
      <c r="O637" s="174">
        <f t="shared" si="124"/>
        <v>207</v>
      </c>
      <c r="P637" s="174">
        <f>VLOOKUP(D637,原始分!$D:$N,8,0)</f>
        <v>60.5</v>
      </c>
      <c r="Q637" s="174">
        <f t="shared" si="125"/>
        <v>25</v>
      </c>
      <c r="R637" s="174">
        <f>VLOOKUP(D637,原始分!$D:$N,9,0)</f>
        <v>0</v>
      </c>
      <c r="S637" s="174">
        <f t="shared" si="126"/>
        <v>320</v>
      </c>
      <c r="T637" s="174">
        <f>VLOOKUP(D637,原始分!$D:$N,10,0)</f>
        <v>0</v>
      </c>
      <c r="U637" s="174">
        <f t="shared" si="127"/>
        <v>316</v>
      </c>
      <c r="V637" s="174">
        <f>VLOOKUP(D637,原始分!$D:$N,11,0)</f>
        <v>68</v>
      </c>
      <c r="W637" s="174">
        <f t="shared" si="128"/>
        <v>24</v>
      </c>
      <c r="X637" s="11">
        <f t="shared" si="129"/>
        <v>316.75</v>
      </c>
      <c r="Y637" s="9">
        <f t="shared" si="130"/>
        <v>191</v>
      </c>
      <c r="Z637" s="11">
        <f t="shared" si="131"/>
        <v>501.25</v>
      </c>
      <c r="AA637" s="9">
        <f t="shared" si="132"/>
        <v>75</v>
      </c>
    </row>
    <row r="638" ht="14.25" spans="1:27">
      <c r="A638" s="13">
        <v>636</v>
      </c>
      <c r="B638" s="15">
        <v>13</v>
      </c>
      <c r="C638" s="16">
        <v>29</v>
      </c>
      <c r="D638" s="17" t="s">
        <v>1280</v>
      </c>
      <c r="E638" s="17" t="s">
        <v>1281</v>
      </c>
      <c r="F638" s="174">
        <f>VLOOKUP(D638,原始分!$D:$N,3,0)</f>
        <v>91</v>
      </c>
      <c r="G638" s="174">
        <f t="shared" si="120"/>
        <v>749</v>
      </c>
      <c r="H638" s="174">
        <f>VLOOKUP(D638,原始分!$D:$N,4,0)</f>
        <v>87.5</v>
      </c>
      <c r="I638" s="174">
        <f t="shared" si="121"/>
        <v>665</v>
      </c>
      <c r="J638" s="174">
        <f>VLOOKUP(D638,原始分!$D:$N,5,0)</f>
        <v>82.75</v>
      </c>
      <c r="K638" s="174">
        <f t="shared" si="122"/>
        <v>706</v>
      </c>
      <c r="L638" s="174">
        <f>VLOOKUP(D638,原始分!$D:$N,6,0)</f>
        <v>45</v>
      </c>
      <c r="M638" s="174">
        <f t="shared" si="123"/>
        <v>424</v>
      </c>
      <c r="N638" s="174">
        <f>VLOOKUP(D638,原始分!$D:$N,7,0)</f>
        <v>0</v>
      </c>
      <c r="O638" s="174">
        <f t="shared" si="124"/>
        <v>207</v>
      </c>
      <c r="P638" s="174">
        <f>VLOOKUP(D638,原始分!$D:$N,8,0)</f>
        <v>38</v>
      </c>
      <c r="Q638" s="174">
        <f t="shared" si="125"/>
        <v>362</v>
      </c>
      <c r="R638" s="174">
        <f>VLOOKUP(D638,原始分!$D:$N,9,0)</f>
        <v>0</v>
      </c>
      <c r="S638" s="174">
        <f t="shared" si="126"/>
        <v>320</v>
      </c>
      <c r="T638" s="174">
        <f>VLOOKUP(D638,原始分!$D:$N,10,0)</f>
        <v>0</v>
      </c>
      <c r="U638" s="174">
        <f t="shared" si="127"/>
        <v>316</v>
      </c>
      <c r="V638" s="174">
        <f>VLOOKUP(D638,原始分!$D:$N,11,0)</f>
        <v>59</v>
      </c>
      <c r="W638" s="174">
        <f t="shared" si="128"/>
        <v>107</v>
      </c>
      <c r="X638" s="11">
        <f t="shared" si="129"/>
        <v>261.25</v>
      </c>
      <c r="Y638" s="9">
        <f t="shared" si="130"/>
        <v>765</v>
      </c>
      <c r="Z638" s="11">
        <f t="shared" si="131"/>
        <v>403.25</v>
      </c>
      <c r="AA638" s="9">
        <f t="shared" si="132"/>
        <v>506</v>
      </c>
    </row>
    <row r="639" ht="14.25" spans="1:27">
      <c r="A639" s="13">
        <v>637</v>
      </c>
      <c r="B639" s="15">
        <v>13</v>
      </c>
      <c r="C639" s="16">
        <v>30</v>
      </c>
      <c r="D639" s="17" t="s">
        <v>1282</v>
      </c>
      <c r="E639" s="17" t="s">
        <v>1283</v>
      </c>
      <c r="F639" s="174">
        <f>VLOOKUP(D639,原始分!$D:$N,3,0)</f>
        <v>104</v>
      </c>
      <c r="G639" s="174">
        <f t="shared" si="120"/>
        <v>209</v>
      </c>
      <c r="H639" s="174">
        <f>VLOOKUP(D639,原始分!$D:$N,4,0)</f>
        <v>92.5</v>
      </c>
      <c r="I639" s="174">
        <f t="shared" si="121"/>
        <v>569</v>
      </c>
      <c r="J639" s="174">
        <f>VLOOKUP(D639,原始分!$D:$N,5,0)</f>
        <v>79.5</v>
      </c>
      <c r="K639" s="174">
        <f t="shared" si="122"/>
        <v>753</v>
      </c>
      <c r="L639" s="174">
        <f>VLOOKUP(D639,原始分!$D:$N,6,0)</f>
        <v>47.5</v>
      </c>
      <c r="M639" s="174">
        <f t="shared" si="123"/>
        <v>382</v>
      </c>
      <c r="N639" s="174">
        <f>VLOOKUP(D639,原始分!$D:$N,7,0)</f>
        <v>0</v>
      </c>
      <c r="O639" s="174">
        <f t="shared" si="124"/>
        <v>207</v>
      </c>
      <c r="P639" s="174">
        <f>VLOOKUP(D639,原始分!$D:$N,8,0)</f>
        <v>32.5</v>
      </c>
      <c r="Q639" s="174">
        <f t="shared" si="125"/>
        <v>447</v>
      </c>
      <c r="R639" s="174">
        <f>VLOOKUP(D639,原始分!$D:$N,9,0)</f>
        <v>0</v>
      </c>
      <c r="S639" s="174">
        <f t="shared" si="126"/>
        <v>320</v>
      </c>
      <c r="T639" s="174">
        <f>VLOOKUP(D639,原始分!$D:$N,10,0)</f>
        <v>0</v>
      </c>
      <c r="U639" s="174">
        <f t="shared" si="127"/>
        <v>316</v>
      </c>
      <c r="V639" s="174">
        <f>VLOOKUP(D639,原始分!$D:$N,11,0)</f>
        <v>52</v>
      </c>
      <c r="W639" s="174">
        <f t="shared" si="128"/>
        <v>248</v>
      </c>
      <c r="X639" s="11">
        <f t="shared" si="129"/>
        <v>276</v>
      </c>
      <c r="Y639" s="9">
        <f t="shared" si="130"/>
        <v>647</v>
      </c>
      <c r="Z639" s="11">
        <f t="shared" si="131"/>
        <v>408</v>
      </c>
      <c r="AA639" s="9">
        <f t="shared" si="132"/>
        <v>479</v>
      </c>
    </row>
    <row r="640" ht="14.25" spans="1:27">
      <c r="A640" s="13">
        <v>638</v>
      </c>
      <c r="B640" s="15">
        <v>13</v>
      </c>
      <c r="C640" s="16">
        <v>31</v>
      </c>
      <c r="D640" s="19" t="s">
        <v>1284</v>
      </c>
      <c r="E640" s="17" t="s">
        <v>847</v>
      </c>
      <c r="F640" s="174">
        <f>VLOOKUP(D640,原始分!$D:$N,3,0)</f>
        <v>95.5</v>
      </c>
      <c r="G640" s="174">
        <f t="shared" si="120"/>
        <v>595</v>
      </c>
      <c r="H640" s="174">
        <f>VLOOKUP(D640,原始分!$D:$N,4,0)</f>
        <v>104.5</v>
      </c>
      <c r="I640" s="174">
        <f t="shared" si="121"/>
        <v>327</v>
      </c>
      <c r="J640" s="174">
        <f>VLOOKUP(D640,原始分!$D:$N,5,0)</f>
        <v>95.75</v>
      </c>
      <c r="K640" s="174">
        <f t="shared" si="122"/>
        <v>472</v>
      </c>
      <c r="L640" s="174">
        <f>VLOOKUP(D640,原始分!$D:$N,6,0)</f>
        <v>64.5</v>
      </c>
      <c r="M640" s="174">
        <f t="shared" si="123"/>
        <v>120</v>
      </c>
      <c r="N640" s="174">
        <f>VLOOKUP(D640,原始分!$D:$N,7,0)</f>
        <v>0</v>
      </c>
      <c r="O640" s="174">
        <f t="shared" si="124"/>
        <v>207</v>
      </c>
      <c r="P640" s="174">
        <f>VLOOKUP(D640,原始分!$D:$N,8,0)</f>
        <v>59</v>
      </c>
      <c r="Q640" s="174">
        <f t="shared" si="125"/>
        <v>32</v>
      </c>
      <c r="R640" s="174">
        <f>VLOOKUP(D640,原始分!$D:$N,9,0)</f>
        <v>0</v>
      </c>
      <c r="S640" s="174">
        <f t="shared" si="126"/>
        <v>320</v>
      </c>
      <c r="T640" s="174">
        <f>VLOOKUP(D640,原始分!$D:$N,10,0)</f>
        <v>0</v>
      </c>
      <c r="U640" s="174">
        <f t="shared" si="127"/>
        <v>316</v>
      </c>
      <c r="V640" s="174">
        <f>VLOOKUP(D640,原始分!$D:$N,11,0)</f>
        <v>48.5</v>
      </c>
      <c r="W640" s="174">
        <f t="shared" si="128"/>
        <v>330</v>
      </c>
      <c r="X640" s="11">
        <f t="shared" si="129"/>
        <v>295.75</v>
      </c>
      <c r="Y640" s="9">
        <f t="shared" si="130"/>
        <v>421</v>
      </c>
      <c r="Z640" s="11">
        <f t="shared" si="131"/>
        <v>467.75</v>
      </c>
      <c r="AA640" s="9">
        <f t="shared" si="132"/>
        <v>185</v>
      </c>
    </row>
    <row r="641" ht="14.25" spans="1:27">
      <c r="A641" s="13">
        <v>639</v>
      </c>
      <c r="B641" s="15">
        <v>13</v>
      </c>
      <c r="C641" s="16">
        <v>32</v>
      </c>
      <c r="D641" s="17" t="s">
        <v>1285</v>
      </c>
      <c r="E641" s="17" t="s">
        <v>1286</v>
      </c>
      <c r="F641" s="174">
        <f>VLOOKUP(D641,原始分!$D:$N,3,0)</f>
        <v>106.5</v>
      </c>
      <c r="G641" s="174">
        <f t="shared" si="120"/>
        <v>132</v>
      </c>
      <c r="H641" s="174">
        <f>VLOOKUP(D641,原始分!$D:$N,4,0)</f>
        <v>133.5</v>
      </c>
      <c r="I641" s="174">
        <f t="shared" si="121"/>
        <v>6</v>
      </c>
      <c r="J641" s="174">
        <f>VLOOKUP(D641,原始分!$D:$N,5,0)</f>
        <v>93</v>
      </c>
      <c r="K641" s="174">
        <f t="shared" si="122"/>
        <v>525</v>
      </c>
      <c r="L641" s="174">
        <f>VLOOKUP(D641,原始分!$D:$N,6,0)</f>
        <v>75.5</v>
      </c>
      <c r="M641" s="174">
        <f t="shared" si="123"/>
        <v>31</v>
      </c>
      <c r="N641" s="174">
        <f>VLOOKUP(D641,原始分!$D:$N,7,0)</f>
        <v>0</v>
      </c>
      <c r="O641" s="174">
        <f t="shared" si="124"/>
        <v>207</v>
      </c>
      <c r="P641" s="174">
        <f>VLOOKUP(D641,原始分!$D:$N,8,0)</f>
        <v>44.5</v>
      </c>
      <c r="Q641" s="174">
        <f t="shared" si="125"/>
        <v>219</v>
      </c>
      <c r="R641" s="174">
        <f>VLOOKUP(D641,原始分!$D:$N,9,0)</f>
        <v>0</v>
      </c>
      <c r="S641" s="174">
        <f t="shared" si="126"/>
        <v>320</v>
      </c>
      <c r="T641" s="174">
        <f>VLOOKUP(D641,原始分!$D:$N,10,0)</f>
        <v>0</v>
      </c>
      <c r="U641" s="174">
        <f t="shared" si="127"/>
        <v>316</v>
      </c>
      <c r="V641" s="174">
        <f>VLOOKUP(D641,原始分!$D:$N,11,0)</f>
        <v>54.5</v>
      </c>
      <c r="W641" s="174">
        <f t="shared" si="128"/>
        <v>187</v>
      </c>
      <c r="X641" s="11">
        <f t="shared" si="129"/>
        <v>333</v>
      </c>
      <c r="Y641" s="9">
        <f t="shared" si="130"/>
        <v>77</v>
      </c>
      <c r="Z641" s="11">
        <f t="shared" si="131"/>
        <v>507.5</v>
      </c>
      <c r="AA641" s="9">
        <f t="shared" si="132"/>
        <v>59</v>
      </c>
    </row>
    <row r="642" ht="14.25" spans="1:27">
      <c r="A642" s="13">
        <v>640</v>
      </c>
      <c r="B642" s="15">
        <v>13</v>
      </c>
      <c r="C642" s="16">
        <v>33</v>
      </c>
      <c r="D642" s="17" t="s">
        <v>1287</v>
      </c>
      <c r="E642" s="17" t="s">
        <v>1288</v>
      </c>
      <c r="F642" s="174">
        <f>VLOOKUP(D642,原始分!$D:$N,3,0)</f>
        <v>101</v>
      </c>
      <c r="G642" s="174">
        <f t="shared" si="120"/>
        <v>338</v>
      </c>
      <c r="H642" s="174">
        <f>VLOOKUP(D642,原始分!$D:$N,4,0)</f>
        <v>87.5</v>
      </c>
      <c r="I642" s="174">
        <f t="shared" si="121"/>
        <v>665</v>
      </c>
      <c r="J642" s="174">
        <f>VLOOKUP(D642,原始分!$D:$N,5,0)</f>
        <v>89</v>
      </c>
      <c r="K642" s="174">
        <f t="shared" si="122"/>
        <v>597</v>
      </c>
      <c r="L642" s="174">
        <f>VLOOKUP(D642,原始分!$D:$N,6,0)</f>
        <v>45</v>
      </c>
      <c r="M642" s="174">
        <f t="shared" si="123"/>
        <v>424</v>
      </c>
      <c r="N642" s="174">
        <f>VLOOKUP(D642,原始分!$D:$N,7,0)</f>
        <v>0</v>
      </c>
      <c r="O642" s="174">
        <f t="shared" si="124"/>
        <v>207</v>
      </c>
      <c r="P642" s="174">
        <f>VLOOKUP(D642,原始分!$D:$N,8,0)</f>
        <v>26</v>
      </c>
      <c r="Q642" s="174">
        <f t="shared" si="125"/>
        <v>507</v>
      </c>
      <c r="R642" s="174">
        <f>VLOOKUP(D642,原始分!$D:$N,9,0)</f>
        <v>0</v>
      </c>
      <c r="S642" s="174">
        <f t="shared" si="126"/>
        <v>320</v>
      </c>
      <c r="T642" s="174">
        <f>VLOOKUP(D642,原始分!$D:$N,10,0)</f>
        <v>0</v>
      </c>
      <c r="U642" s="174">
        <f t="shared" si="127"/>
        <v>316</v>
      </c>
      <c r="V642" s="174">
        <f>VLOOKUP(D642,原始分!$D:$N,11,0)</f>
        <v>46</v>
      </c>
      <c r="W642" s="174">
        <f t="shared" si="128"/>
        <v>386</v>
      </c>
      <c r="X642" s="11">
        <f t="shared" si="129"/>
        <v>277.5</v>
      </c>
      <c r="Y642" s="9">
        <f t="shared" si="130"/>
        <v>632</v>
      </c>
      <c r="Z642" s="11">
        <f t="shared" si="131"/>
        <v>394.5</v>
      </c>
      <c r="AA642" s="9">
        <f t="shared" si="132"/>
        <v>540</v>
      </c>
    </row>
    <row r="643" ht="14.25" spans="1:27">
      <c r="A643" s="13">
        <v>641</v>
      </c>
      <c r="B643" s="15">
        <v>13</v>
      </c>
      <c r="C643" s="16">
        <v>34</v>
      </c>
      <c r="D643" s="17" t="s">
        <v>1289</v>
      </c>
      <c r="E643" s="17" t="s">
        <v>1290</v>
      </c>
      <c r="F643" s="174">
        <f>VLOOKUP(D643,原始分!$D:$N,3,0)</f>
        <v>90.5</v>
      </c>
      <c r="G643" s="174">
        <f t="shared" ref="G643:G706" si="133">RANK(F643,$F$3:$F$900)</f>
        <v>765</v>
      </c>
      <c r="H643" s="174">
        <f>VLOOKUP(D643,原始分!$D:$N,4,0)</f>
        <v>110</v>
      </c>
      <c r="I643" s="174">
        <f t="shared" ref="I643:I706" si="134">RANK(H643,$H$3:$H$900)</f>
        <v>223</v>
      </c>
      <c r="J643" s="174">
        <f>VLOOKUP(D643,原始分!$D:$N,5,0)</f>
        <v>80</v>
      </c>
      <c r="K643" s="174">
        <f t="shared" ref="K643:K706" si="135">RANK(J643,$J$3:$J$900)</f>
        <v>745</v>
      </c>
      <c r="L643" s="174">
        <f>VLOOKUP(D643,原始分!$D:$N,6,0)</f>
        <v>42</v>
      </c>
      <c r="M643" s="174">
        <f t="shared" ref="M643:M706" si="136">RANK(L643,$L$3:$L$900)</f>
        <v>476</v>
      </c>
      <c r="N643" s="174">
        <f>VLOOKUP(D643,原始分!$D:$N,7,0)</f>
        <v>0</v>
      </c>
      <c r="O643" s="174">
        <f t="shared" ref="O643:O706" si="137">RANK(N643,$N$3:$N$900)</f>
        <v>207</v>
      </c>
      <c r="P643" s="174">
        <f>VLOOKUP(D643,原始分!$D:$N,8,0)</f>
        <v>35</v>
      </c>
      <c r="Q643" s="174">
        <f t="shared" ref="Q643:Q706" si="138">RANK(P643,$P$3:$P$900)</f>
        <v>403</v>
      </c>
      <c r="R643" s="174">
        <f>VLOOKUP(D643,原始分!$D:$N,9,0)</f>
        <v>0</v>
      </c>
      <c r="S643" s="174">
        <f t="shared" ref="S643:S706" si="139">RANK(R643,$R$3:$R$900)</f>
        <v>320</v>
      </c>
      <c r="T643" s="174">
        <f>VLOOKUP(D643,原始分!$D:$N,10,0)</f>
        <v>0</v>
      </c>
      <c r="U643" s="174">
        <f t="shared" ref="U643:U706" si="140">RANK(T643,$T$3:$T$900)</f>
        <v>316</v>
      </c>
      <c r="V643" s="174">
        <f>VLOOKUP(D643,原始分!$D:$N,11,0)</f>
        <v>57</v>
      </c>
      <c r="W643" s="174">
        <f t="shared" ref="W643:W706" si="141">RANK(V643,$V$3:$V$900)</f>
        <v>139</v>
      </c>
      <c r="X643" s="11">
        <f t="shared" ref="X643:X706" si="142">SUM(F643,H643,J643)</f>
        <v>280.5</v>
      </c>
      <c r="Y643" s="9">
        <f t="shared" ref="Y643:Y706" si="143">RANK(X643,$X$3:$X$900)</f>
        <v>593</v>
      </c>
      <c r="Z643" s="11">
        <f t="shared" ref="Z643:Z706" si="144">SUM(F643,H643,J643,L643,N643,P643,R643,T643,V643)</f>
        <v>414.5</v>
      </c>
      <c r="AA643" s="9">
        <f t="shared" si="132"/>
        <v>449</v>
      </c>
    </row>
    <row r="644" ht="14.25" spans="1:27">
      <c r="A644" s="13">
        <v>642</v>
      </c>
      <c r="B644" s="15">
        <v>13</v>
      </c>
      <c r="C644" s="16">
        <v>35</v>
      </c>
      <c r="D644" s="17" t="s">
        <v>1291</v>
      </c>
      <c r="E644" s="17" t="s">
        <v>1292</v>
      </c>
      <c r="F644" s="174">
        <f>VLOOKUP(D644,原始分!$D:$N,3,0)</f>
        <v>114.25</v>
      </c>
      <c r="G644" s="174">
        <f t="shared" si="133"/>
        <v>16</v>
      </c>
      <c r="H644" s="174">
        <f>VLOOKUP(D644,原始分!$D:$N,4,0)</f>
        <v>110</v>
      </c>
      <c r="I644" s="174">
        <f t="shared" si="134"/>
        <v>223</v>
      </c>
      <c r="J644" s="174">
        <f>VLOOKUP(D644,原始分!$D:$N,5,0)</f>
        <v>109.25</v>
      </c>
      <c r="K644" s="174">
        <f t="shared" si="135"/>
        <v>189</v>
      </c>
      <c r="L644" s="174">
        <f>VLOOKUP(D644,原始分!$D:$N,6,0)</f>
        <v>62.5</v>
      </c>
      <c r="M644" s="174">
        <f t="shared" si="136"/>
        <v>152</v>
      </c>
      <c r="N644" s="174">
        <f>VLOOKUP(D644,原始分!$D:$N,7,0)</f>
        <v>0</v>
      </c>
      <c r="O644" s="174">
        <f t="shared" si="137"/>
        <v>207</v>
      </c>
      <c r="P644" s="174">
        <f>VLOOKUP(D644,原始分!$D:$N,8,0)</f>
        <v>48</v>
      </c>
      <c r="Q644" s="174">
        <f t="shared" si="138"/>
        <v>146</v>
      </c>
      <c r="R644" s="174">
        <f>VLOOKUP(D644,原始分!$D:$N,9,0)</f>
        <v>0</v>
      </c>
      <c r="S644" s="174">
        <f t="shared" si="139"/>
        <v>320</v>
      </c>
      <c r="T644" s="174">
        <f>VLOOKUP(D644,原始分!$D:$N,10,0)</f>
        <v>0</v>
      </c>
      <c r="U644" s="174">
        <f t="shared" si="140"/>
        <v>316</v>
      </c>
      <c r="V644" s="174">
        <f>VLOOKUP(D644,原始分!$D:$N,11,0)</f>
        <v>74</v>
      </c>
      <c r="W644" s="174">
        <f t="shared" si="141"/>
        <v>5</v>
      </c>
      <c r="X644" s="11">
        <f t="shared" si="142"/>
        <v>333.5</v>
      </c>
      <c r="Y644" s="9">
        <f t="shared" si="143"/>
        <v>76</v>
      </c>
      <c r="Z644" s="11">
        <f t="shared" si="144"/>
        <v>518</v>
      </c>
      <c r="AA644" s="9">
        <f t="shared" si="132"/>
        <v>38</v>
      </c>
    </row>
    <row r="645" ht="14.25" spans="1:27">
      <c r="A645" s="13">
        <v>643</v>
      </c>
      <c r="B645" s="15">
        <v>13</v>
      </c>
      <c r="C645" s="16">
        <v>36</v>
      </c>
      <c r="D645" s="17" t="s">
        <v>1293</v>
      </c>
      <c r="E645" s="17" t="s">
        <v>1294</v>
      </c>
      <c r="F645" s="174">
        <f>VLOOKUP(D645,原始分!$D:$N,3,0)</f>
        <v>99.5</v>
      </c>
      <c r="G645" s="174">
        <f t="shared" si="133"/>
        <v>418</v>
      </c>
      <c r="H645" s="174">
        <f>VLOOKUP(D645,原始分!$D:$N,4,0)</f>
        <v>89</v>
      </c>
      <c r="I645" s="174">
        <f t="shared" si="134"/>
        <v>632</v>
      </c>
      <c r="J645" s="174">
        <f>VLOOKUP(D645,原始分!$D:$N,5,0)</f>
        <v>86.75</v>
      </c>
      <c r="K645" s="174">
        <f t="shared" si="135"/>
        <v>642</v>
      </c>
      <c r="L645" s="174">
        <f>VLOOKUP(D645,原始分!$D:$N,6,0)</f>
        <v>49</v>
      </c>
      <c r="M645" s="174">
        <f t="shared" si="136"/>
        <v>354</v>
      </c>
      <c r="N645" s="174">
        <f>VLOOKUP(D645,原始分!$D:$N,7,0)</f>
        <v>0</v>
      </c>
      <c r="O645" s="174">
        <f t="shared" si="137"/>
        <v>207</v>
      </c>
      <c r="P645" s="174">
        <f>VLOOKUP(D645,原始分!$D:$N,8,0)</f>
        <v>41.5</v>
      </c>
      <c r="Q645" s="174">
        <f t="shared" si="138"/>
        <v>279</v>
      </c>
      <c r="R645" s="174">
        <f>VLOOKUP(D645,原始分!$D:$N,9,0)</f>
        <v>0</v>
      </c>
      <c r="S645" s="174">
        <f t="shared" si="139"/>
        <v>320</v>
      </c>
      <c r="T645" s="174">
        <f>VLOOKUP(D645,原始分!$D:$N,10,0)</f>
        <v>0</v>
      </c>
      <c r="U645" s="174">
        <f t="shared" si="140"/>
        <v>316</v>
      </c>
      <c r="V645" s="174">
        <f>VLOOKUP(D645,原始分!$D:$N,11,0)</f>
        <v>45.5</v>
      </c>
      <c r="W645" s="174">
        <f t="shared" si="141"/>
        <v>399</v>
      </c>
      <c r="X645" s="11">
        <f t="shared" si="142"/>
        <v>275.25</v>
      </c>
      <c r="Y645" s="9">
        <f t="shared" si="143"/>
        <v>653</v>
      </c>
      <c r="Z645" s="11">
        <f t="shared" si="144"/>
        <v>411.25</v>
      </c>
      <c r="AA645" s="9">
        <f t="shared" si="132"/>
        <v>469</v>
      </c>
    </row>
    <row r="646" ht="14.25" spans="1:27">
      <c r="A646" s="13">
        <v>644</v>
      </c>
      <c r="B646" s="15">
        <v>13</v>
      </c>
      <c r="C646" s="16">
        <v>37</v>
      </c>
      <c r="D646" s="17" t="s">
        <v>1295</v>
      </c>
      <c r="E646" s="17" t="s">
        <v>1296</v>
      </c>
      <c r="F646" s="174">
        <f>VLOOKUP(D646,原始分!$D:$N,3,0)</f>
        <v>96.5</v>
      </c>
      <c r="G646" s="174">
        <f t="shared" si="133"/>
        <v>566</v>
      </c>
      <c r="H646" s="174">
        <f>VLOOKUP(D646,原始分!$D:$N,4,0)</f>
        <v>88</v>
      </c>
      <c r="I646" s="174">
        <f t="shared" si="134"/>
        <v>654</v>
      </c>
      <c r="J646" s="174">
        <f>VLOOKUP(D646,原始分!$D:$N,5,0)</f>
        <v>91.5</v>
      </c>
      <c r="K646" s="174">
        <f t="shared" si="135"/>
        <v>565</v>
      </c>
      <c r="L646" s="174">
        <f>VLOOKUP(D646,原始分!$D:$N,6,0)</f>
        <v>59.5</v>
      </c>
      <c r="M646" s="174">
        <f t="shared" si="136"/>
        <v>195</v>
      </c>
      <c r="N646" s="174">
        <f>VLOOKUP(D646,原始分!$D:$N,7,0)</f>
        <v>0</v>
      </c>
      <c r="O646" s="174">
        <f t="shared" si="137"/>
        <v>207</v>
      </c>
      <c r="P646" s="174">
        <f>VLOOKUP(D646,原始分!$D:$N,8,0)</f>
        <v>42.5</v>
      </c>
      <c r="Q646" s="174">
        <f t="shared" si="138"/>
        <v>257</v>
      </c>
      <c r="R646" s="174">
        <f>VLOOKUP(D646,原始分!$D:$N,9,0)</f>
        <v>0</v>
      </c>
      <c r="S646" s="174">
        <f t="shared" si="139"/>
        <v>320</v>
      </c>
      <c r="T646" s="174">
        <f>VLOOKUP(D646,原始分!$D:$N,10,0)</f>
        <v>0</v>
      </c>
      <c r="U646" s="174">
        <f t="shared" si="140"/>
        <v>316</v>
      </c>
      <c r="V646" s="174">
        <f>VLOOKUP(D646,原始分!$D:$N,11,0)</f>
        <v>51</v>
      </c>
      <c r="W646" s="174">
        <f t="shared" si="141"/>
        <v>278</v>
      </c>
      <c r="X646" s="11">
        <f t="shared" si="142"/>
        <v>276</v>
      </c>
      <c r="Y646" s="9">
        <f t="shared" si="143"/>
        <v>647</v>
      </c>
      <c r="Z646" s="11">
        <f t="shared" si="144"/>
        <v>429</v>
      </c>
      <c r="AA646" s="9">
        <f t="shared" si="132"/>
        <v>386</v>
      </c>
    </row>
    <row r="647" ht="14.25" spans="1:27">
      <c r="A647" s="13">
        <v>645</v>
      </c>
      <c r="B647" s="15">
        <v>13</v>
      </c>
      <c r="C647" s="16">
        <v>38</v>
      </c>
      <c r="D647" s="17" t="s">
        <v>1297</v>
      </c>
      <c r="E647" s="17" t="s">
        <v>1298</v>
      </c>
      <c r="F647" s="174">
        <f>VLOOKUP(D647,原始分!$D:$N,3,0)</f>
        <v>95.5</v>
      </c>
      <c r="G647" s="174">
        <f t="shared" si="133"/>
        <v>595</v>
      </c>
      <c r="H647" s="174">
        <f>VLOOKUP(D647,原始分!$D:$N,4,0)</f>
        <v>86.5</v>
      </c>
      <c r="I647" s="174">
        <f t="shared" si="134"/>
        <v>684</v>
      </c>
      <c r="J647" s="174">
        <f>VLOOKUP(D647,原始分!$D:$N,5,0)</f>
        <v>102</v>
      </c>
      <c r="K647" s="174">
        <f t="shared" si="135"/>
        <v>323</v>
      </c>
      <c r="L647" s="174">
        <f>VLOOKUP(D647,原始分!$D:$N,6,0)</f>
        <v>57.5</v>
      </c>
      <c r="M647" s="174">
        <f t="shared" si="136"/>
        <v>228</v>
      </c>
      <c r="N647" s="174">
        <f>VLOOKUP(D647,原始分!$D:$N,7,0)</f>
        <v>0</v>
      </c>
      <c r="O647" s="174">
        <f t="shared" si="137"/>
        <v>207</v>
      </c>
      <c r="P647" s="174">
        <f>VLOOKUP(D647,原始分!$D:$N,8,0)</f>
        <v>51.5</v>
      </c>
      <c r="Q647" s="174">
        <f t="shared" si="138"/>
        <v>90</v>
      </c>
      <c r="R647" s="174">
        <f>VLOOKUP(D647,原始分!$D:$N,9,0)</f>
        <v>0</v>
      </c>
      <c r="S647" s="174">
        <f t="shared" si="139"/>
        <v>320</v>
      </c>
      <c r="T647" s="174">
        <f>VLOOKUP(D647,原始分!$D:$N,10,0)</f>
        <v>0</v>
      </c>
      <c r="U647" s="174">
        <f t="shared" si="140"/>
        <v>316</v>
      </c>
      <c r="V647" s="174">
        <f>VLOOKUP(D647,原始分!$D:$N,11,0)</f>
        <v>50</v>
      </c>
      <c r="W647" s="174">
        <f t="shared" si="141"/>
        <v>302</v>
      </c>
      <c r="X647" s="11">
        <f t="shared" si="142"/>
        <v>284</v>
      </c>
      <c r="Y647" s="9">
        <f t="shared" si="143"/>
        <v>551</v>
      </c>
      <c r="Z647" s="11">
        <f t="shared" si="144"/>
        <v>443</v>
      </c>
      <c r="AA647" s="9">
        <f t="shared" si="132"/>
        <v>321</v>
      </c>
    </row>
    <row r="648" ht="14.25" spans="1:27">
      <c r="A648" s="13">
        <v>646</v>
      </c>
      <c r="B648" s="15">
        <v>13</v>
      </c>
      <c r="C648" s="16">
        <v>40</v>
      </c>
      <c r="D648" s="17" t="s">
        <v>1299</v>
      </c>
      <c r="E648" s="17" t="s">
        <v>1300</v>
      </c>
      <c r="F648" s="174">
        <f>VLOOKUP(D648,原始分!$D:$N,3,0)</f>
        <v>94</v>
      </c>
      <c r="G648" s="174">
        <f t="shared" si="133"/>
        <v>661</v>
      </c>
      <c r="H648" s="174">
        <f>VLOOKUP(D648,原始分!$D:$N,4,0)</f>
        <v>108.5</v>
      </c>
      <c r="I648" s="174">
        <f t="shared" si="134"/>
        <v>251</v>
      </c>
      <c r="J648" s="174">
        <f>VLOOKUP(D648,原始分!$D:$N,5,0)</f>
        <v>76</v>
      </c>
      <c r="K648" s="174">
        <f t="shared" si="135"/>
        <v>781</v>
      </c>
      <c r="L648" s="174">
        <f>VLOOKUP(D648,原始分!$D:$N,6,0)</f>
        <v>64.5</v>
      </c>
      <c r="M648" s="174">
        <f t="shared" si="136"/>
        <v>120</v>
      </c>
      <c r="N648" s="174">
        <f>VLOOKUP(D648,原始分!$D:$N,7,0)</f>
        <v>0</v>
      </c>
      <c r="O648" s="174">
        <f t="shared" si="137"/>
        <v>207</v>
      </c>
      <c r="P648" s="174">
        <f>VLOOKUP(D648,原始分!$D:$N,8,0)</f>
        <v>46.5</v>
      </c>
      <c r="Q648" s="174">
        <f t="shared" si="138"/>
        <v>188</v>
      </c>
      <c r="R648" s="174">
        <f>VLOOKUP(D648,原始分!$D:$N,9,0)</f>
        <v>0</v>
      </c>
      <c r="S648" s="174">
        <f t="shared" si="139"/>
        <v>320</v>
      </c>
      <c r="T648" s="174">
        <f>VLOOKUP(D648,原始分!$D:$N,10,0)</f>
        <v>0</v>
      </c>
      <c r="U648" s="174">
        <f t="shared" si="140"/>
        <v>316</v>
      </c>
      <c r="V648" s="174">
        <f>VLOOKUP(D648,原始分!$D:$N,11,0)</f>
        <v>66</v>
      </c>
      <c r="W648" s="174">
        <f t="shared" si="141"/>
        <v>32</v>
      </c>
      <c r="X648" s="11">
        <f t="shared" si="142"/>
        <v>278.5</v>
      </c>
      <c r="Y648" s="9">
        <f t="shared" si="143"/>
        <v>613</v>
      </c>
      <c r="Z648" s="11">
        <f t="shared" si="144"/>
        <v>455.5</v>
      </c>
      <c r="AA648" s="9">
        <f t="shared" si="132"/>
        <v>247</v>
      </c>
    </row>
    <row r="649" ht="14.25" spans="1:27">
      <c r="A649" s="13">
        <v>647</v>
      </c>
      <c r="B649" s="15">
        <v>13</v>
      </c>
      <c r="C649" s="16">
        <v>41</v>
      </c>
      <c r="D649" s="17" t="s">
        <v>1301</v>
      </c>
      <c r="E649" s="17" t="s">
        <v>1302</v>
      </c>
      <c r="F649" s="174">
        <f>VLOOKUP(D649,原始分!$D:$N,3,0)</f>
        <v>104</v>
      </c>
      <c r="G649" s="174">
        <f t="shared" si="133"/>
        <v>209</v>
      </c>
      <c r="H649" s="174">
        <f>VLOOKUP(D649,原始分!$D:$N,4,0)</f>
        <v>94.5</v>
      </c>
      <c r="I649" s="174">
        <f t="shared" si="134"/>
        <v>525</v>
      </c>
      <c r="J649" s="174">
        <f>VLOOKUP(D649,原始分!$D:$N,5,0)</f>
        <v>70.5</v>
      </c>
      <c r="K649" s="174">
        <f t="shared" si="135"/>
        <v>825</v>
      </c>
      <c r="L649" s="174">
        <f>VLOOKUP(D649,原始分!$D:$N,6,0)</f>
        <v>49</v>
      </c>
      <c r="M649" s="174">
        <f t="shared" si="136"/>
        <v>354</v>
      </c>
      <c r="N649" s="174">
        <f>VLOOKUP(D649,原始分!$D:$N,7,0)</f>
        <v>0</v>
      </c>
      <c r="O649" s="174">
        <f t="shared" si="137"/>
        <v>207</v>
      </c>
      <c r="P649" s="174">
        <f>VLOOKUP(D649,原始分!$D:$N,8,0)</f>
        <v>39</v>
      </c>
      <c r="Q649" s="174">
        <f t="shared" si="138"/>
        <v>348</v>
      </c>
      <c r="R649" s="174">
        <f>VLOOKUP(D649,原始分!$D:$N,9,0)</f>
        <v>0</v>
      </c>
      <c r="S649" s="174">
        <f t="shared" si="139"/>
        <v>320</v>
      </c>
      <c r="T649" s="174">
        <f>VLOOKUP(D649,原始分!$D:$N,10,0)</f>
        <v>0</v>
      </c>
      <c r="U649" s="174">
        <f t="shared" si="140"/>
        <v>316</v>
      </c>
      <c r="V649" s="174">
        <f>VLOOKUP(D649,原始分!$D:$N,11,0)</f>
        <v>49.5</v>
      </c>
      <c r="W649" s="174">
        <f t="shared" si="141"/>
        <v>313</v>
      </c>
      <c r="X649" s="11">
        <f t="shared" si="142"/>
        <v>269</v>
      </c>
      <c r="Y649" s="9">
        <f t="shared" si="143"/>
        <v>714</v>
      </c>
      <c r="Z649" s="11">
        <f t="shared" si="144"/>
        <v>406.5</v>
      </c>
      <c r="AA649" s="9">
        <f t="shared" si="132"/>
        <v>490</v>
      </c>
    </row>
    <row r="650" ht="14.25" spans="1:27">
      <c r="A650" s="13">
        <v>648</v>
      </c>
      <c r="B650" s="15">
        <v>13</v>
      </c>
      <c r="C650" s="16">
        <v>42</v>
      </c>
      <c r="D650" s="17" t="s">
        <v>1303</v>
      </c>
      <c r="E650" s="17" t="s">
        <v>1304</v>
      </c>
      <c r="F650" s="174">
        <f>VLOOKUP(D650,原始分!$D:$N,3,0)</f>
        <v>89</v>
      </c>
      <c r="G650" s="174">
        <f t="shared" si="133"/>
        <v>796</v>
      </c>
      <c r="H650" s="174">
        <f>VLOOKUP(D650,原始分!$D:$N,4,0)</f>
        <v>81</v>
      </c>
      <c r="I650" s="174">
        <f t="shared" si="134"/>
        <v>745</v>
      </c>
      <c r="J650" s="174">
        <f>VLOOKUP(D650,原始分!$D:$N,5,0)</f>
        <v>72.25</v>
      </c>
      <c r="K650" s="174">
        <f t="shared" si="135"/>
        <v>811</v>
      </c>
      <c r="L650" s="174">
        <f>VLOOKUP(D650,原始分!$D:$N,6,0)</f>
        <v>34.5</v>
      </c>
      <c r="M650" s="174">
        <f t="shared" si="136"/>
        <v>582</v>
      </c>
      <c r="N650" s="174">
        <f>VLOOKUP(D650,原始分!$D:$N,7,0)</f>
        <v>0</v>
      </c>
      <c r="O650" s="174">
        <f t="shared" si="137"/>
        <v>207</v>
      </c>
      <c r="P650" s="174">
        <f>VLOOKUP(D650,原始分!$D:$N,8,0)</f>
        <v>32.5</v>
      </c>
      <c r="Q650" s="174">
        <f t="shared" si="138"/>
        <v>447</v>
      </c>
      <c r="R650" s="174">
        <f>VLOOKUP(D650,原始分!$D:$N,9,0)</f>
        <v>0</v>
      </c>
      <c r="S650" s="174">
        <f t="shared" si="139"/>
        <v>320</v>
      </c>
      <c r="T650" s="174">
        <f>VLOOKUP(D650,原始分!$D:$N,10,0)</f>
        <v>0</v>
      </c>
      <c r="U650" s="174">
        <f t="shared" si="140"/>
        <v>316</v>
      </c>
      <c r="V650" s="174">
        <f>VLOOKUP(D650,原始分!$D:$N,11,0)</f>
        <v>43</v>
      </c>
      <c r="W650" s="174">
        <f t="shared" si="141"/>
        <v>454</v>
      </c>
      <c r="X650" s="11">
        <f t="shared" si="142"/>
        <v>242.25</v>
      </c>
      <c r="Y650" s="9">
        <f t="shared" si="143"/>
        <v>826</v>
      </c>
      <c r="Z650" s="11">
        <f t="shared" si="144"/>
        <v>352.25</v>
      </c>
      <c r="AA650" s="9">
        <f t="shared" si="132"/>
        <v>634</v>
      </c>
    </row>
    <row r="651" ht="14.25" spans="1:27">
      <c r="A651" s="13">
        <v>649</v>
      </c>
      <c r="B651" s="15">
        <v>13</v>
      </c>
      <c r="C651" s="16">
        <v>43</v>
      </c>
      <c r="D651" s="17" t="s">
        <v>1305</v>
      </c>
      <c r="E651" s="17" t="s">
        <v>1306</v>
      </c>
      <c r="F651" s="174">
        <f>VLOOKUP(D651,原始分!$D:$N,3,0)</f>
        <v>93.5</v>
      </c>
      <c r="G651" s="174">
        <f t="shared" si="133"/>
        <v>676</v>
      </c>
      <c r="H651" s="174">
        <f>VLOOKUP(D651,原始分!$D:$N,4,0)</f>
        <v>102</v>
      </c>
      <c r="I651" s="174">
        <f t="shared" si="134"/>
        <v>383</v>
      </c>
      <c r="J651" s="174">
        <f>VLOOKUP(D651,原始分!$D:$N,5,0)</f>
        <v>84</v>
      </c>
      <c r="K651" s="174">
        <f t="shared" si="135"/>
        <v>689</v>
      </c>
      <c r="L651" s="174">
        <f>VLOOKUP(D651,原始分!$D:$N,6,0)</f>
        <v>32.5</v>
      </c>
      <c r="M651" s="174">
        <f t="shared" si="136"/>
        <v>599</v>
      </c>
      <c r="N651" s="174">
        <f>VLOOKUP(D651,原始分!$D:$N,7,0)</f>
        <v>0</v>
      </c>
      <c r="O651" s="174">
        <f t="shared" si="137"/>
        <v>207</v>
      </c>
      <c r="P651" s="174">
        <f>VLOOKUP(D651,原始分!$D:$N,8,0)</f>
        <v>33</v>
      </c>
      <c r="Q651" s="174">
        <f t="shared" si="138"/>
        <v>435</v>
      </c>
      <c r="R651" s="174">
        <f>VLOOKUP(D651,原始分!$D:$N,9,0)</f>
        <v>0</v>
      </c>
      <c r="S651" s="174">
        <f t="shared" si="139"/>
        <v>320</v>
      </c>
      <c r="T651" s="174">
        <f>VLOOKUP(D651,原始分!$D:$N,10,0)</f>
        <v>0</v>
      </c>
      <c r="U651" s="174">
        <f t="shared" si="140"/>
        <v>316</v>
      </c>
      <c r="V651" s="174">
        <f>VLOOKUP(D651,原始分!$D:$N,11,0)</f>
        <v>43</v>
      </c>
      <c r="W651" s="174">
        <f t="shared" si="141"/>
        <v>454</v>
      </c>
      <c r="X651" s="11">
        <f t="shared" si="142"/>
        <v>279.5</v>
      </c>
      <c r="Y651" s="9">
        <f t="shared" si="143"/>
        <v>601</v>
      </c>
      <c r="Z651" s="11">
        <f t="shared" si="144"/>
        <v>388</v>
      </c>
      <c r="AA651" s="9">
        <f t="shared" si="132"/>
        <v>559</v>
      </c>
    </row>
    <row r="652" ht="14.25" spans="1:27">
      <c r="A652" s="13">
        <v>650</v>
      </c>
      <c r="B652" s="15">
        <v>13</v>
      </c>
      <c r="C652" s="16">
        <v>44</v>
      </c>
      <c r="D652" s="17" t="s">
        <v>1307</v>
      </c>
      <c r="E652" s="17" t="s">
        <v>1308</v>
      </c>
      <c r="F652" s="174">
        <f>VLOOKUP(D652,原始分!$D:$N,3,0)</f>
        <v>95.5</v>
      </c>
      <c r="G652" s="174">
        <f t="shared" si="133"/>
        <v>595</v>
      </c>
      <c r="H652" s="174">
        <f>VLOOKUP(D652,原始分!$D:$N,4,0)</f>
        <v>120.5</v>
      </c>
      <c r="I652" s="174">
        <f t="shared" si="134"/>
        <v>62</v>
      </c>
      <c r="J652" s="174">
        <f>VLOOKUP(D652,原始分!$D:$N,5,0)</f>
        <v>88</v>
      </c>
      <c r="K652" s="174">
        <f t="shared" si="135"/>
        <v>616</v>
      </c>
      <c r="L652" s="174">
        <f>VLOOKUP(D652,原始分!$D:$N,6,0)</f>
        <v>66.5</v>
      </c>
      <c r="M652" s="174">
        <f t="shared" si="136"/>
        <v>88</v>
      </c>
      <c r="N652" s="174">
        <f>VLOOKUP(D652,原始分!$D:$N,7,0)</f>
        <v>0</v>
      </c>
      <c r="O652" s="174">
        <f t="shared" si="137"/>
        <v>207</v>
      </c>
      <c r="P652" s="174">
        <f>VLOOKUP(D652,原始分!$D:$N,8,0)</f>
        <v>29.5</v>
      </c>
      <c r="Q652" s="174">
        <f t="shared" si="138"/>
        <v>480</v>
      </c>
      <c r="R652" s="174">
        <f>VLOOKUP(D652,原始分!$D:$N,9,0)</f>
        <v>0</v>
      </c>
      <c r="S652" s="174">
        <f t="shared" si="139"/>
        <v>320</v>
      </c>
      <c r="T652" s="174">
        <f>VLOOKUP(D652,原始分!$D:$N,10,0)</f>
        <v>0</v>
      </c>
      <c r="U652" s="174">
        <f t="shared" si="140"/>
        <v>316</v>
      </c>
      <c r="V652" s="174">
        <f>VLOOKUP(D652,原始分!$D:$N,11,0)</f>
        <v>45</v>
      </c>
      <c r="W652" s="174">
        <f t="shared" si="141"/>
        <v>410</v>
      </c>
      <c r="X652" s="11">
        <f t="shared" si="142"/>
        <v>304</v>
      </c>
      <c r="Y652" s="9">
        <f t="shared" si="143"/>
        <v>328</v>
      </c>
      <c r="Z652" s="11">
        <f t="shared" si="144"/>
        <v>445</v>
      </c>
      <c r="AA652" s="9">
        <f t="shared" si="132"/>
        <v>309</v>
      </c>
    </row>
    <row r="653" ht="14.25" spans="1:27">
      <c r="A653" s="13">
        <v>651</v>
      </c>
      <c r="B653" s="15">
        <v>13</v>
      </c>
      <c r="C653" s="16">
        <v>45</v>
      </c>
      <c r="D653" s="17" t="s">
        <v>1309</v>
      </c>
      <c r="E653" s="17" t="s">
        <v>1310</v>
      </c>
      <c r="F653" s="174">
        <f>VLOOKUP(D653,原始分!$D:$N,3,0)</f>
        <v>96.5</v>
      </c>
      <c r="G653" s="174">
        <f t="shared" si="133"/>
        <v>566</v>
      </c>
      <c r="H653" s="174">
        <f>VLOOKUP(D653,原始分!$D:$N,4,0)</f>
        <v>97.5</v>
      </c>
      <c r="I653" s="174">
        <f t="shared" si="134"/>
        <v>464</v>
      </c>
      <c r="J653" s="174">
        <f>VLOOKUP(D653,原始分!$D:$N,5,0)</f>
        <v>98</v>
      </c>
      <c r="K653" s="174">
        <f t="shared" si="135"/>
        <v>425</v>
      </c>
      <c r="L653" s="174">
        <f>VLOOKUP(D653,原始分!$D:$N,6,0)</f>
        <v>60.5</v>
      </c>
      <c r="M653" s="174">
        <f t="shared" si="136"/>
        <v>180</v>
      </c>
      <c r="N653" s="174">
        <f>VLOOKUP(D653,原始分!$D:$N,7,0)</f>
        <v>0</v>
      </c>
      <c r="O653" s="174">
        <f t="shared" si="137"/>
        <v>207</v>
      </c>
      <c r="P653" s="174">
        <f>VLOOKUP(D653,原始分!$D:$N,8,0)</f>
        <v>41.5</v>
      </c>
      <c r="Q653" s="174">
        <f t="shared" si="138"/>
        <v>279</v>
      </c>
      <c r="R653" s="174">
        <f>VLOOKUP(D653,原始分!$D:$N,9,0)</f>
        <v>0</v>
      </c>
      <c r="S653" s="174">
        <f t="shared" si="139"/>
        <v>320</v>
      </c>
      <c r="T653" s="174">
        <f>VLOOKUP(D653,原始分!$D:$N,10,0)</f>
        <v>0</v>
      </c>
      <c r="U653" s="174">
        <f t="shared" si="140"/>
        <v>316</v>
      </c>
      <c r="V653" s="174">
        <f>VLOOKUP(D653,原始分!$D:$N,11,0)</f>
        <v>51.5</v>
      </c>
      <c r="W653" s="174">
        <f t="shared" si="141"/>
        <v>262</v>
      </c>
      <c r="X653" s="11">
        <f t="shared" si="142"/>
        <v>292</v>
      </c>
      <c r="Y653" s="9">
        <f t="shared" si="143"/>
        <v>472</v>
      </c>
      <c r="Z653" s="11">
        <f t="shared" si="144"/>
        <v>445.5</v>
      </c>
      <c r="AA653" s="9">
        <f t="shared" si="132"/>
        <v>306</v>
      </c>
    </row>
    <row r="654" ht="14.25" spans="1:27">
      <c r="A654" s="13">
        <v>652</v>
      </c>
      <c r="B654" s="15">
        <v>13</v>
      </c>
      <c r="C654" s="16">
        <v>46</v>
      </c>
      <c r="D654" s="17" t="s">
        <v>1311</v>
      </c>
      <c r="E654" s="17" t="s">
        <v>1312</v>
      </c>
      <c r="F654" s="174">
        <f>VLOOKUP(D654,原始分!$D:$N,3,0)</f>
        <v>98.25</v>
      </c>
      <c r="G654" s="174">
        <f t="shared" si="133"/>
        <v>493</v>
      </c>
      <c r="H654" s="174">
        <f>VLOOKUP(D654,原始分!$D:$N,4,0)</f>
        <v>84</v>
      </c>
      <c r="I654" s="174">
        <f t="shared" si="134"/>
        <v>714</v>
      </c>
      <c r="J654" s="174">
        <f>VLOOKUP(D654,原始分!$D:$N,5,0)</f>
        <v>90</v>
      </c>
      <c r="K654" s="174">
        <f t="shared" si="135"/>
        <v>586</v>
      </c>
      <c r="L654" s="174">
        <f>VLOOKUP(D654,原始分!$D:$N,6,0)</f>
        <v>56</v>
      </c>
      <c r="M654" s="174">
        <f t="shared" si="136"/>
        <v>252</v>
      </c>
      <c r="N654" s="174">
        <f>VLOOKUP(D654,原始分!$D:$N,7,0)</f>
        <v>0</v>
      </c>
      <c r="O654" s="174">
        <f t="shared" si="137"/>
        <v>207</v>
      </c>
      <c r="P654" s="174">
        <f>VLOOKUP(D654,原始分!$D:$N,8,0)</f>
        <v>49.5</v>
      </c>
      <c r="Q654" s="174">
        <f t="shared" si="138"/>
        <v>120</v>
      </c>
      <c r="R654" s="174">
        <f>VLOOKUP(D654,原始分!$D:$N,9,0)</f>
        <v>0</v>
      </c>
      <c r="S654" s="174">
        <f t="shared" si="139"/>
        <v>320</v>
      </c>
      <c r="T654" s="174">
        <f>VLOOKUP(D654,原始分!$D:$N,10,0)</f>
        <v>0</v>
      </c>
      <c r="U654" s="174">
        <f t="shared" si="140"/>
        <v>316</v>
      </c>
      <c r="V654" s="174">
        <f>VLOOKUP(D654,原始分!$D:$N,11,0)</f>
        <v>50</v>
      </c>
      <c r="W654" s="174">
        <f t="shared" si="141"/>
        <v>302</v>
      </c>
      <c r="X654" s="11">
        <f t="shared" si="142"/>
        <v>272.25</v>
      </c>
      <c r="Y654" s="9">
        <f t="shared" si="143"/>
        <v>677</v>
      </c>
      <c r="Z654" s="11">
        <f t="shared" si="144"/>
        <v>427.75</v>
      </c>
      <c r="AA654" s="9">
        <f t="shared" si="132"/>
        <v>395</v>
      </c>
    </row>
    <row r="655" ht="14.25" spans="1:27">
      <c r="A655" s="13">
        <v>653</v>
      </c>
      <c r="B655" s="15">
        <v>13</v>
      </c>
      <c r="C655" s="16">
        <v>47</v>
      </c>
      <c r="D655" s="17" t="s">
        <v>1313</v>
      </c>
      <c r="E655" s="17" t="s">
        <v>1314</v>
      </c>
      <c r="F655" s="174">
        <f>VLOOKUP(D655,原始分!$D:$N,3,0)</f>
        <v>99.5</v>
      </c>
      <c r="G655" s="174">
        <f t="shared" si="133"/>
        <v>418</v>
      </c>
      <c r="H655" s="174">
        <f>VLOOKUP(D655,原始分!$D:$N,4,0)</f>
        <v>107.5</v>
      </c>
      <c r="I655" s="174">
        <f t="shared" si="134"/>
        <v>267</v>
      </c>
      <c r="J655" s="174">
        <f>VLOOKUP(D655,原始分!$D:$N,5,0)</f>
        <v>85.5</v>
      </c>
      <c r="K655" s="174">
        <f t="shared" si="135"/>
        <v>656</v>
      </c>
      <c r="L655" s="174">
        <f>VLOOKUP(D655,原始分!$D:$N,6,0)</f>
        <v>47</v>
      </c>
      <c r="M655" s="174">
        <f t="shared" si="136"/>
        <v>391</v>
      </c>
      <c r="N655" s="174">
        <f>VLOOKUP(D655,原始分!$D:$N,7,0)</f>
        <v>0</v>
      </c>
      <c r="O655" s="174">
        <f t="shared" si="137"/>
        <v>207</v>
      </c>
      <c r="P655" s="174">
        <f>VLOOKUP(D655,原始分!$D:$N,8,0)</f>
        <v>41.5</v>
      </c>
      <c r="Q655" s="174">
        <f t="shared" si="138"/>
        <v>279</v>
      </c>
      <c r="R655" s="174">
        <f>VLOOKUP(D655,原始分!$D:$N,9,0)</f>
        <v>0</v>
      </c>
      <c r="S655" s="174">
        <f t="shared" si="139"/>
        <v>320</v>
      </c>
      <c r="T655" s="174">
        <f>VLOOKUP(D655,原始分!$D:$N,10,0)</f>
        <v>0</v>
      </c>
      <c r="U655" s="174">
        <f t="shared" si="140"/>
        <v>316</v>
      </c>
      <c r="V655" s="174">
        <f>VLOOKUP(D655,原始分!$D:$N,11,0)</f>
        <v>47</v>
      </c>
      <c r="W655" s="174">
        <f t="shared" si="141"/>
        <v>366</v>
      </c>
      <c r="X655" s="11">
        <f t="shared" si="142"/>
        <v>292.5</v>
      </c>
      <c r="Y655" s="9">
        <f t="shared" si="143"/>
        <v>466</v>
      </c>
      <c r="Z655" s="11">
        <f t="shared" si="144"/>
        <v>428</v>
      </c>
      <c r="AA655" s="9">
        <f t="shared" si="132"/>
        <v>393</v>
      </c>
    </row>
    <row r="656" ht="14.25" spans="1:27">
      <c r="A656" s="13">
        <v>654</v>
      </c>
      <c r="B656" s="15">
        <v>13</v>
      </c>
      <c r="C656" s="16">
        <v>48</v>
      </c>
      <c r="D656" s="17" t="s">
        <v>1315</v>
      </c>
      <c r="E656" s="17" t="s">
        <v>1316</v>
      </c>
      <c r="F656" s="174">
        <f>VLOOKUP(D656,原始分!$D:$N,3,0)</f>
        <v>110</v>
      </c>
      <c r="G656" s="174">
        <f t="shared" si="133"/>
        <v>49</v>
      </c>
      <c r="H656" s="174">
        <f>VLOOKUP(D656,原始分!$D:$N,4,0)</f>
        <v>121</v>
      </c>
      <c r="I656" s="174">
        <f t="shared" si="134"/>
        <v>57</v>
      </c>
      <c r="J656" s="174">
        <f>VLOOKUP(D656,原始分!$D:$N,5,0)</f>
        <v>99.25</v>
      </c>
      <c r="K656" s="174">
        <f t="shared" si="135"/>
        <v>391</v>
      </c>
      <c r="L656" s="174">
        <f>VLOOKUP(D656,原始分!$D:$N,6,0)</f>
        <v>67</v>
      </c>
      <c r="M656" s="174">
        <f t="shared" si="136"/>
        <v>82</v>
      </c>
      <c r="N656" s="174">
        <f>VLOOKUP(D656,原始分!$D:$N,7,0)</f>
        <v>0</v>
      </c>
      <c r="O656" s="174">
        <f t="shared" si="137"/>
        <v>207</v>
      </c>
      <c r="P656" s="174">
        <f>VLOOKUP(D656,原始分!$D:$N,8,0)</f>
        <v>54</v>
      </c>
      <c r="Q656" s="174">
        <f t="shared" si="138"/>
        <v>59</v>
      </c>
      <c r="R656" s="174">
        <f>VLOOKUP(D656,原始分!$D:$N,9,0)</f>
        <v>0</v>
      </c>
      <c r="S656" s="174">
        <f t="shared" si="139"/>
        <v>320</v>
      </c>
      <c r="T656" s="174">
        <f>VLOOKUP(D656,原始分!$D:$N,10,0)</f>
        <v>0</v>
      </c>
      <c r="U656" s="174">
        <f t="shared" si="140"/>
        <v>316</v>
      </c>
      <c r="V656" s="174">
        <f>VLOOKUP(D656,原始分!$D:$N,11,0)</f>
        <v>61</v>
      </c>
      <c r="W656" s="174">
        <f t="shared" si="141"/>
        <v>77</v>
      </c>
      <c r="X656" s="11">
        <f t="shared" si="142"/>
        <v>330.25</v>
      </c>
      <c r="Y656" s="9">
        <f t="shared" si="143"/>
        <v>89</v>
      </c>
      <c r="Z656" s="11">
        <f t="shared" si="144"/>
        <v>512.25</v>
      </c>
      <c r="AA656" s="9">
        <f t="shared" si="132"/>
        <v>50</v>
      </c>
    </row>
    <row r="657" ht="14.25" spans="1:27">
      <c r="A657" s="13">
        <v>655</v>
      </c>
      <c r="B657" s="15">
        <v>13</v>
      </c>
      <c r="C657" s="16">
        <v>49</v>
      </c>
      <c r="D657" s="17" t="s">
        <v>1317</v>
      </c>
      <c r="E657" s="17" t="s">
        <v>1318</v>
      </c>
      <c r="F657" s="174">
        <f>VLOOKUP(D657,原始分!$D:$N,3,0)</f>
        <v>91.5</v>
      </c>
      <c r="G657" s="174">
        <f t="shared" si="133"/>
        <v>730</v>
      </c>
      <c r="H657" s="174">
        <f>VLOOKUP(D657,原始分!$D:$N,4,0)</f>
        <v>114.5</v>
      </c>
      <c r="I657" s="174">
        <f t="shared" si="134"/>
        <v>136</v>
      </c>
      <c r="J657" s="174">
        <f>VLOOKUP(D657,原始分!$D:$N,5,0)</f>
        <v>88.5</v>
      </c>
      <c r="K657" s="174">
        <f t="shared" si="135"/>
        <v>604</v>
      </c>
      <c r="L657" s="174">
        <f>VLOOKUP(D657,原始分!$D:$N,6,0)</f>
        <v>33</v>
      </c>
      <c r="M657" s="174">
        <f t="shared" si="136"/>
        <v>596</v>
      </c>
      <c r="N657" s="174">
        <f>VLOOKUP(D657,原始分!$D:$N,7,0)</f>
        <v>0</v>
      </c>
      <c r="O657" s="174">
        <f t="shared" si="137"/>
        <v>207</v>
      </c>
      <c r="P657" s="174">
        <f>VLOOKUP(D657,原始分!$D:$N,8,0)</f>
        <v>54</v>
      </c>
      <c r="Q657" s="174">
        <f t="shared" si="138"/>
        <v>59</v>
      </c>
      <c r="R657" s="174">
        <f>VLOOKUP(D657,原始分!$D:$N,9,0)</f>
        <v>0</v>
      </c>
      <c r="S657" s="174">
        <f t="shared" si="139"/>
        <v>320</v>
      </c>
      <c r="T657" s="174">
        <f>VLOOKUP(D657,原始分!$D:$N,10,0)</f>
        <v>0</v>
      </c>
      <c r="U657" s="174">
        <f t="shared" si="140"/>
        <v>316</v>
      </c>
      <c r="V657" s="174">
        <f>VLOOKUP(D657,原始分!$D:$N,11,0)</f>
        <v>43</v>
      </c>
      <c r="W657" s="174">
        <f t="shared" si="141"/>
        <v>454</v>
      </c>
      <c r="X657" s="11">
        <f t="shared" si="142"/>
        <v>294.5</v>
      </c>
      <c r="Y657" s="9">
        <f t="shared" si="143"/>
        <v>436</v>
      </c>
      <c r="Z657" s="11">
        <f t="shared" si="144"/>
        <v>424.5</v>
      </c>
      <c r="AA657" s="9">
        <f t="shared" si="132"/>
        <v>403</v>
      </c>
    </row>
    <row r="658" ht="14.25" spans="1:27">
      <c r="A658" s="13">
        <v>656</v>
      </c>
      <c r="B658" s="15">
        <v>13</v>
      </c>
      <c r="C658" s="16">
        <v>50</v>
      </c>
      <c r="D658" s="17" t="s">
        <v>1319</v>
      </c>
      <c r="E658" s="17" t="s">
        <v>1320</v>
      </c>
      <c r="F658" s="174">
        <f>VLOOKUP(D658,原始分!$D:$N,3,0)</f>
        <v>99.5</v>
      </c>
      <c r="G658" s="174">
        <f t="shared" si="133"/>
        <v>418</v>
      </c>
      <c r="H658" s="174">
        <f>VLOOKUP(D658,原始分!$D:$N,4,0)</f>
        <v>78</v>
      </c>
      <c r="I658" s="174">
        <f t="shared" si="134"/>
        <v>767</v>
      </c>
      <c r="J658" s="174">
        <f>VLOOKUP(D658,原始分!$D:$N,5,0)</f>
        <v>59.75</v>
      </c>
      <c r="K658" s="174">
        <f t="shared" si="135"/>
        <v>853</v>
      </c>
      <c r="L658" s="174">
        <f>VLOOKUP(D658,原始分!$D:$N,6,0)</f>
        <v>37.5</v>
      </c>
      <c r="M658" s="174">
        <f t="shared" si="136"/>
        <v>543</v>
      </c>
      <c r="N658" s="174">
        <f>VLOOKUP(D658,原始分!$D:$N,7,0)</f>
        <v>0</v>
      </c>
      <c r="O658" s="174">
        <f t="shared" si="137"/>
        <v>207</v>
      </c>
      <c r="P658" s="174">
        <f>VLOOKUP(D658,原始分!$D:$N,8,0)</f>
        <v>39.5</v>
      </c>
      <c r="Q658" s="174">
        <f t="shared" si="138"/>
        <v>335</v>
      </c>
      <c r="R658" s="174">
        <f>VLOOKUP(D658,原始分!$D:$N,9,0)</f>
        <v>0</v>
      </c>
      <c r="S658" s="174">
        <f t="shared" si="139"/>
        <v>320</v>
      </c>
      <c r="T658" s="174">
        <f>VLOOKUP(D658,原始分!$D:$N,10,0)</f>
        <v>0</v>
      </c>
      <c r="U658" s="174">
        <f t="shared" si="140"/>
        <v>316</v>
      </c>
      <c r="V658" s="174">
        <f>VLOOKUP(D658,原始分!$D:$N,11,0)</f>
        <v>58.5</v>
      </c>
      <c r="W658" s="174">
        <f t="shared" si="141"/>
        <v>120</v>
      </c>
      <c r="X658" s="11">
        <f t="shared" si="142"/>
        <v>237.25</v>
      </c>
      <c r="Y658" s="9">
        <f t="shared" si="143"/>
        <v>839</v>
      </c>
      <c r="Z658" s="11">
        <f t="shared" si="144"/>
        <v>372.75</v>
      </c>
      <c r="AA658" s="9">
        <f t="shared" si="132"/>
        <v>602</v>
      </c>
    </row>
    <row r="659" ht="14.25" spans="1:27">
      <c r="A659" s="13">
        <v>657</v>
      </c>
      <c r="B659" s="15">
        <v>13</v>
      </c>
      <c r="C659" s="16">
        <v>51</v>
      </c>
      <c r="D659" s="17" t="s">
        <v>1321</v>
      </c>
      <c r="E659" s="17" t="s">
        <v>1322</v>
      </c>
      <c r="F659" s="174">
        <f>VLOOKUP(D659,原始分!$D:$N,3,0)</f>
        <v>93</v>
      </c>
      <c r="G659" s="174">
        <f t="shared" si="133"/>
        <v>693</v>
      </c>
      <c r="H659" s="174">
        <f>VLOOKUP(D659,原始分!$D:$N,4,0)</f>
        <v>101.5</v>
      </c>
      <c r="I659" s="174">
        <f t="shared" si="134"/>
        <v>391</v>
      </c>
      <c r="J659" s="174">
        <f>VLOOKUP(D659,原始分!$D:$N,5,0)</f>
        <v>97.5</v>
      </c>
      <c r="K659" s="174">
        <f t="shared" si="135"/>
        <v>436</v>
      </c>
      <c r="L659" s="174">
        <f>VLOOKUP(D659,原始分!$D:$N,6,0)</f>
        <v>62</v>
      </c>
      <c r="M659" s="174">
        <f t="shared" si="136"/>
        <v>157</v>
      </c>
      <c r="N659" s="174">
        <f>VLOOKUP(D659,原始分!$D:$N,7,0)</f>
        <v>0</v>
      </c>
      <c r="O659" s="174">
        <f t="shared" si="137"/>
        <v>207</v>
      </c>
      <c r="P659" s="174">
        <f>VLOOKUP(D659,原始分!$D:$N,8,0)</f>
        <v>35.5</v>
      </c>
      <c r="Q659" s="174">
        <f t="shared" si="138"/>
        <v>397</v>
      </c>
      <c r="R659" s="174">
        <f>VLOOKUP(D659,原始分!$D:$N,9,0)</f>
        <v>0</v>
      </c>
      <c r="S659" s="174">
        <f t="shared" si="139"/>
        <v>320</v>
      </c>
      <c r="T659" s="174">
        <f>VLOOKUP(D659,原始分!$D:$N,10,0)</f>
        <v>0</v>
      </c>
      <c r="U659" s="174">
        <f t="shared" si="140"/>
        <v>316</v>
      </c>
      <c r="V659" s="174">
        <f>VLOOKUP(D659,原始分!$D:$N,11,0)</f>
        <v>53</v>
      </c>
      <c r="W659" s="174">
        <f t="shared" si="141"/>
        <v>223</v>
      </c>
      <c r="X659" s="11">
        <f t="shared" si="142"/>
        <v>292</v>
      </c>
      <c r="Y659" s="9">
        <f t="shared" si="143"/>
        <v>472</v>
      </c>
      <c r="Z659" s="11">
        <f t="shared" si="144"/>
        <v>442.5</v>
      </c>
      <c r="AA659" s="9">
        <f t="shared" si="132"/>
        <v>326</v>
      </c>
    </row>
    <row r="660" ht="14.25" spans="1:27">
      <c r="A660" s="13">
        <v>658</v>
      </c>
      <c r="B660" s="15">
        <v>13</v>
      </c>
      <c r="C660" s="16">
        <v>52</v>
      </c>
      <c r="D660" s="17" t="s">
        <v>1323</v>
      </c>
      <c r="E660" s="17" t="s">
        <v>1324</v>
      </c>
      <c r="F660" s="174">
        <f>VLOOKUP(D660,原始分!$D:$N,3,0)</f>
        <v>103</v>
      </c>
      <c r="G660" s="174">
        <f t="shared" si="133"/>
        <v>260</v>
      </c>
      <c r="H660" s="174">
        <f>VLOOKUP(D660,原始分!$D:$N,4,0)</f>
        <v>101.5</v>
      </c>
      <c r="I660" s="174">
        <f t="shared" si="134"/>
        <v>391</v>
      </c>
      <c r="J660" s="174">
        <f>VLOOKUP(D660,原始分!$D:$N,5,0)</f>
        <v>93.5</v>
      </c>
      <c r="K660" s="174">
        <f t="shared" si="135"/>
        <v>515</v>
      </c>
      <c r="L660" s="174">
        <f>VLOOKUP(D660,原始分!$D:$N,6,0)</f>
        <v>66</v>
      </c>
      <c r="M660" s="174">
        <f t="shared" si="136"/>
        <v>97</v>
      </c>
      <c r="N660" s="174">
        <f>VLOOKUP(D660,原始分!$D:$N,7,0)</f>
        <v>0</v>
      </c>
      <c r="O660" s="174">
        <f t="shared" si="137"/>
        <v>207</v>
      </c>
      <c r="P660" s="174">
        <f>VLOOKUP(D660,原始分!$D:$N,8,0)</f>
        <v>41</v>
      </c>
      <c r="Q660" s="174">
        <f t="shared" si="138"/>
        <v>296</v>
      </c>
      <c r="R660" s="174">
        <f>VLOOKUP(D660,原始分!$D:$N,9,0)</f>
        <v>0</v>
      </c>
      <c r="S660" s="174">
        <f t="shared" si="139"/>
        <v>320</v>
      </c>
      <c r="T660" s="174">
        <f>VLOOKUP(D660,原始分!$D:$N,10,0)</f>
        <v>0</v>
      </c>
      <c r="U660" s="174">
        <f t="shared" si="140"/>
        <v>316</v>
      </c>
      <c r="V660" s="174">
        <f>VLOOKUP(D660,原始分!$D:$N,11,0)</f>
        <v>59</v>
      </c>
      <c r="W660" s="174">
        <f t="shared" si="141"/>
        <v>107</v>
      </c>
      <c r="X660" s="11">
        <f t="shared" si="142"/>
        <v>298</v>
      </c>
      <c r="Y660" s="9">
        <f t="shared" si="143"/>
        <v>396</v>
      </c>
      <c r="Z660" s="11">
        <f t="shared" si="144"/>
        <v>464</v>
      </c>
      <c r="AA660" s="9">
        <f t="shared" si="132"/>
        <v>202</v>
      </c>
    </row>
    <row r="661" ht="14.25" spans="1:27">
      <c r="A661" s="13">
        <v>659</v>
      </c>
      <c r="B661" s="15">
        <v>13</v>
      </c>
      <c r="C661" s="16">
        <v>53</v>
      </c>
      <c r="D661" s="17" t="s">
        <v>1325</v>
      </c>
      <c r="E661" s="17" t="s">
        <v>49</v>
      </c>
      <c r="F661" s="174">
        <f>VLOOKUP(D661,原始分!$D:$N,3,0)</f>
        <v>83</v>
      </c>
      <c r="G661" s="174">
        <f t="shared" si="133"/>
        <v>851</v>
      </c>
      <c r="H661" s="174">
        <f>VLOOKUP(D661,原始分!$D:$N,4,0)</f>
        <v>104</v>
      </c>
      <c r="I661" s="174">
        <f t="shared" si="134"/>
        <v>341</v>
      </c>
      <c r="J661" s="174">
        <f>VLOOKUP(D661,原始分!$D:$N,5,0)</f>
        <v>70.5</v>
      </c>
      <c r="K661" s="174">
        <f t="shared" si="135"/>
        <v>825</v>
      </c>
      <c r="L661" s="174">
        <f>VLOOKUP(D661,原始分!$D:$N,6,0)</f>
        <v>60</v>
      </c>
      <c r="M661" s="174">
        <f t="shared" si="136"/>
        <v>187</v>
      </c>
      <c r="N661" s="174">
        <f>VLOOKUP(D661,原始分!$D:$N,7,0)</f>
        <v>0</v>
      </c>
      <c r="O661" s="174">
        <f t="shared" si="137"/>
        <v>207</v>
      </c>
      <c r="P661" s="174">
        <f>VLOOKUP(D661,原始分!$D:$N,8,0)</f>
        <v>41.5</v>
      </c>
      <c r="Q661" s="174">
        <f t="shared" si="138"/>
        <v>279</v>
      </c>
      <c r="R661" s="174">
        <f>VLOOKUP(D661,原始分!$D:$N,9,0)</f>
        <v>0</v>
      </c>
      <c r="S661" s="174">
        <f t="shared" si="139"/>
        <v>320</v>
      </c>
      <c r="T661" s="174">
        <f>VLOOKUP(D661,原始分!$D:$N,10,0)</f>
        <v>0</v>
      </c>
      <c r="U661" s="174">
        <f t="shared" si="140"/>
        <v>316</v>
      </c>
      <c r="V661" s="174">
        <f>VLOOKUP(D661,原始分!$D:$N,11,0)</f>
        <v>51.5</v>
      </c>
      <c r="W661" s="174">
        <f t="shared" si="141"/>
        <v>262</v>
      </c>
      <c r="X661" s="11">
        <f t="shared" si="142"/>
        <v>257.5</v>
      </c>
      <c r="Y661" s="9">
        <f t="shared" si="143"/>
        <v>781</v>
      </c>
      <c r="Z661" s="11">
        <f t="shared" si="144"/>
        <v>410.5</v>
      </c>
      <c r="AA661" s="9">
        <f t="shared" si="132"/>
        <v>471</v>
      </c>
    </row>
    <row r="662" ht="14.25" spans="1:27">
      <c r="A662" s="13">
        <v>660</v>
      </c>
      <c r="B662" s="15">
        <v>13</v>
      </c>
      <c r="C662" s="16">
        <v>54</v>
      </c>
      <c r="D662" s="17" t="s">
        <v>1326</v>
      </c>
      <c r="E662" s="17" t="s">
        <v>1327</v>
      </c>
      <c r="F662" s="174">
        <f>VLOOKUP(D662,原始分!$D:$N,3,0)</f>
        <v>97</v>
      </c>
      <c r="G662" s="174">
        <f t="shared" si="133"/>
        <v>551</v>
      </c>
      <c r="H662" s="174">
        <f>VLOOKUP(D662,原始分!$D:$N,4,0)</f>
        <v>113.5</v>
      </c>
      <c r="I662" s="174">
        <f t="shared" si="134"/>
        <v>152</v>
      </c>
      <c r="J662" s="174">
        <f>VLOOKUP(D662,原始分!$D:$N,5,0)</f>
        <v>94.25</v>
      </c>
      <c r="K662" s="174">
        <f t="shared" si="135"/>
        <v>504</v>
      </c>
      <c r="L662" s="174">
        <f>VLOOKUP(D662,原始分!$D:$N,6,0)</f>
        <v>55</v>
      </c>
      <c r="M662" s="174">
        <f t="shared" si="136"/>
        <v>269</v>
      </c>
      <c r="N662" s="174">
        <f>VLOOKUP(D662,原始分!$D:$N,7,0)</f>
        <v>0</v>
      </c>
      <c r="O662" s="174">
        <f t="shared" si="137"/>
        <v>207</v>
      </c>
      <c r="P662" s="174">
        <f>VLOOKUP(D662,原始分!$D:$N,8,0)</f>
        <v>47</v>
      </c>
      <c r="Q662" s="174">
        <f t="shared" si="138"/>
        <v>173</v>
      </c>
      <c r="R662" s="174">
        <f>VLOOKUP(D662,原始分!$D:$N,9,0)</f>
        <v>0</v>
      </c>
      <c r="S662" s="174">
        <f t="shared" si="139"/>
        <v>320</v>
      </c>
      <c r="T662" s="174">
        <f>VLOOKUP(D662,原始分!$D:$N,10,0)</f>
        <v>0</v>
      </c>
      <c r="U662" s="174">
        <f t="shared" si="140"/>
        <v>316</v>
      </c>
      <c r="V662" s="174">
        <f>VLOOKUP(D662,原始分!$D:$N,11,0)</f>
        <v>55</v>
      </c>
      <c r="W662" s="174">
        <f t="shared" si="141"/>
        <v>181</v>
      </c>
      <c r="X662" s="11">
        <f t="shared" si="142"/>
        <v>304.75</v>
      </c>
      <c r="Y662" s="9">
        <f t="shared" si="143"/>
        <v>319</v>
      </c>
      <c r="Z662" s="11">
        <f t="shared" si="144"/>
        <v>461.75</v>
      </c>
      <c r="AA662" s="9">
        <f t="shared" si="132"/>
        <v>213</v>
      </c>
    </row>
    <row r="663" ht="14.25" spans="1:27">
      <c r="A663" s="13">
        <v>661</v>
      </c>
      <c r="B663" s="15">
        <v>13</v>
      </c>
      <c r="C663" s="16">
        <v>55</v>
      </c>
      <c r="D663" s="17" t="s">
        <v>1328</v>
      </c>
      <c r="E663" s="17" t="s">
        <v>1329</v>
      </c>
      <c r="F663" s="174">
        <f>VLOOKUP(D663,原始分!$D:$N,3,0)</f>
        <v>97.5</v>
      </c>
      <c r="G663" s="174">
        <f t="shared" si="133"/>
        <v>531</v>
      </c>
      <c r="H663" s="174">
        <f>VLOOKUP(D663,原始分!$D:$N,4,0)</f>
        <v>103.5</v>
      </c>
      <c r="I663" s="174">
        <f t="shared" si="134"/>
        <v>354</v>
      </c>
      <c r="J663" s="174">
        <f>VLOOKUP(D663,原始分!$D:$N,5,0)</f>
        <v>72</v>
      </c>
      <c r="K663" s="174">
        <f t="shared" si="135"/>
        <v>812</v>
      </c>
      <c r="L663" s="174">
        <f>VLOOKUP(D663,原始分!$D:$N,6,0)</f>
        <v>49.5</v>
      </c>
      <c r="M663" s="174">
        <f t="shared" si="136"/>
        <v>341</v>
      </c>
      <c r="N663" s="174">
        <f>VLOOKUP(D663,原始分!$D:$N,7,0)</f>
        <v>0</v>
      </c>
      <c r="O663" s="174">
        <f t="shared" si="137"/>
        <v>207</v>
      </c>
      <c r="P663" s="174">
        <f>VLOOKUP(D663,原始分!$D:$N,8,0)</f>
        <v>36.5</v>
      </c>
      <c r="Q663" s="174">
        <f t="shared" si="138"/>
        <v>380</v>
      </c>
      <c r="R663" s="174">
        <f>VLOOKUP(D663,原始分!$D:$N,9,0)</f>
        <v>0</v>
      </c>
      <c r="S663" s="174">
        <f t="shared" si="139"/>
        <v>320</v>
      </c>
      <c r="T663" s="174">
        <f>VLOOKUP(D663,原始分!$D:$N,10,0)</f>
        <v>0</v>
      </c>
      <c r="U663" s="174">
        <f t="shared" si="140"/>
        <v>316</v>
      </c>
      <c r="V663" s="174">
        <f>VLOOKUP(D663,原始分!$D:$N,11,0)</f>
        <v>49</v>
      </c>
      <c r="W663" s="174">
        <f t="shared" si="141"/>
        <v>323</v>
      </c>
      <c r="X663" s="11">
        <f t="shared" si="142"/>
        <v>273</v>
      </c>
      <c r="Y663" s="9">
        <f t="shared" si="143"/>
        <v>668</v>
      </c>
      <c r="Z663" s="11">
        <f t="shared" si="144"/>
        <v>408</v>
      </c>
      <c r="AA663" s="9">
        <f t="shared" si="132"/>
        <v>479</v>
      </c>
    </row>
    <row r="664" ht="12.95" customHeight="1" spans="1:27">
      <c r="A664" s="13">
        <v>662</v>
      </c>
      <c r="B664" s="15">
        <v>13</v>
      </c>
      <c r="C664" s="16">
        <v>56</v>
      </c>
      <c r="D664" s="17" t="s">
        <v>1330</v>
      </c>
      <c r="E664" s="17" t="s">
        <v>1331</v>
      </c>
      <c r="F664" s="174">
        <f>VLOOKUP(D664,原始分!$D:$N,3,0)</f>
        <v>103.5</v>
      </c>
      <c r="G664" s="174">
        <f t="shared" si="133"/>
        <v>230</v>
      </c>
      <c r="H664" s="174">
        <f>VLOOKUP(D664,原始分!$D:$N,4,0)</f>
        <v>73</v>
      </c>
      <c r="I664" s="174">
        <f t="shared" si="134"/>
        <v>802</v>
      </c>
      <c r="J664" s="174">
        <f>VLOOKUP(D664,原始分!$D:$N,5,0)</f>
        <v>87</v>
      </c>
      <c r="K664" s="174">
        <f t="shared" si="135"/>
        <v>632</v>
      </c>
      <c r="L664" s="174">
        <f>VLOOKUP(D664,原始分!$D:$N,6,0)</f>
        <v>27.5</v>
      </c>
      <c r="M664" s="174">
        <f t="shared" si="136"/>
        <v>627</v>
      </c>
      <c r="N664" s="174">
        <f>VLOOKUP(D664,原始分!$D:$N,7,0)</f>
        <v>0</v>
      </c>
      <c r="O664" s="174">
        <f t="shared" si="137"/>
        <v>207</v>
      </c>
      <c r="P664" s="174">
        <f>VLOOKUP(D664,原始分!$D:$N,8,0)</f>
        <v>36</v>
      </c>
      <c r="Q664" s="174">
        <f t="shared" si="138"/>
        <v>386</v>
      </c>
      <c r="R664" s="174">
        <f>VLOOKUP(D664,原始分!$D:$N,9,0)</f>
        <v>0</v>
      </c>
      <c r="S664" s="174">
        <f t="shared" si="139"/>
        <v>320</v>
      </c>
      <c r="T664" s="174">
        <f>VLOOKUP(D664,原始分!$D:$N,10,0)</f>
        <v>0</v>
      </c>
      <c r="U664" s="174">
        <f t="shared" si="140"/>
        <v>316</v>
      </c>
      <c r="V664" s="174">
        <f>VLOOKUP(D664,原始分!$D:$N,11,0)</f>
        <v>44</v>
      </c>
      <c r="W664" s="174">
        <f t="shared" si="141"/>
        <v>433</v>
      </c>
      <c r="X664" s="11">
        <f t="shared" si="142"/>
        <v>263.5</v>
      </c>
      <c r="Y664" s="9">
        <f t="shared" si="143"/>
        <v>750</v>
      </c>
      <c r="Z664" s="11">
        <f t="shared" si="144"/>
        <v>371</v>
      </c>
      <c r="AA664" s="9">
        <f t="shared" si="132"/>
        <v>606</v>
      </c>
    </row>
    <row r="665" ht="14.25" spans="1:27">
      <c r="A665" s="13">
        <v>663</v>
      </c>
      <c r="B665" s="15">
        <v>13</v>
      </c>
      <c r="C665" s="16">
        <v>58</v>
      </c>
      <c r="D665" s="17" t="s">
        <v>1332</v>
      </c>
      <c r="E665" s="17" t="s">
        <v>1333</v>
      </c>
      <c r="F665" s="174">
        <f>VLOOKUP(D665,原始分!$D:$N,3,0)</f>
        <v>94.5</v>
      </c>
      <c r="G665" s="174">
        <f t="shared" si="133"/>
        <v>642</v>
      </c>
      <c r="H665" s="174">
        <f>VLOOKUP(D665,原始分!$D:$N,4,0)</f>
        <v>67.5</v>
      </c>
      <c r="I665" s="174">
        <f t="shared" si="134"/>
        <v>824</v>
      </c>
      <c r="J665" s="174">
        <f>VLOOKUP(D665,原始分!$D:$N,5,0)</f>
        <v>82.5</v>
      </c>
      <c r="K665" s="174">
        <f t="shared" si="135"/>
        <v>713</v>
      </c>
      <c r="L665" s="174">
        <f>VLOOKUP(D665,原始分!$D:$N,6,0)</f>
        <v>42.5</v>
      </c>
      <c r="M665" s="174">
        <f t="shared" si="136"/>
        <v>470</v>
      </c>
      <c r="N665" s="174">
        <f>VLOOKUP(D665,原始分!$D:$N,7,0)</f>
        <v>0</v>
      </c>
      <c r="O665" s="174">
        <f t="shared" si="137"/>
        <v>207</v>
      </c>
      <c r="P665" s="174">
        <f>VLOOKUP(D665,原始分!$D:$N,8,0)</f>
        <v>37.5</v>
      </c>
      <c r="Q665" s="174">
        <f t="shared" si="138"/>
        <v>369</v>
      </c>
      <c r="R665" s="174">
        <f>VLOOKUP(D665,原始分!$D:$N,9,0)</f>
        <v>0</v>
      </c>
      <c r="S665" s="174">
        <f t="shared" si="139"/>
        <v>320</v>
      </c>
      <c r="T665" s="174">
        <f>VLOOKUP(D665,原始分!$D:$N,10,0)</f>
        <v>0</v>
      </c>
      <c r="U665" s="174">
        <f t="shared" si="140"/>
        <v>316</v>
      </c>
      <c r="V665" s="174">
        <f>VLOOKUP(D665,原始分!$D:$N,11,0)</f>
        <v>46.5</v>
      </c>
      <c r="W665" s="174">
        <f t="shared" si="141"/>
        <v>376</v>
      </c>
      <c r="X665" s="11">
        <f t="shared" si="142"/>
        <v>244.5</v>
      </c>
      <c r="Y665" s="9">
        <f t="shared" si="143"/>
        <v>818</v>
      </c>
      <c r="Z665" s="11">
        <f t="shared" si="144"/>
        <v>371</v>
      </c>
      <c r="AA665" s="9">
        <f t="shared" si="132"/>
        <v>606</v>
      </c>
    </row>
    <row r="666" ht="14.25" spans="1:27">
      <c r="A666" s="13">
        <v>664</v>
      </c>
      <c r="B666" s="15">
        <v>14</v>
      </c>
      <c r="C666" s="16">
        <v>1</v>
      </c>
      <c r="D666" s="15" t="s">
        <v>1334</v>
      </c>
      <c r="E666" s="15" t="s">
        <v>1335</v>
      </c>
      <c r="F666" s="174">
        <f>VLOOKUP(D666,原始分!$D:$N,3,0)</f>
        <v>98</v>
      </c>
      <c r="G666" s="174">
        <f t="shared" si="133"/>
        <v>500</v>
      </c>
      <c r="H666" s="174">
        <f>VLOOKUP(D666,原始分!$D:$N,4,0)</f>
        <v>79.5</v>
      </c>
      <c r="I666" s="174">
        <f t="shared" si="134"/>
        <v>755</v>
      </c>
      <c r="J666" s="174">
        <f>VLOOKUP(D666,原始分!$D:$N,5,0)</f>
        <v>95.75</v>
      </c>
      <c r="K666" s="174">
        <f t="shared" si="135"/>
        <v>472</v>
      </c>
      <c r="L666" s="174">
        <f>VLOOKUP(D666,原始分!$D:$N,6,0)</f>
        <v>0</v>
      </c>
      <c r="M666" s="174">
        <f t="shared" si="136"/>
        <v>664</v>
      </c>
      <c r="N666" s="174">
        <f>VLOOKUP(D666,原始分!$D:$N,7,0)</f>
        <v>68.5</v>
      </c>
      <c r="O666" s="174">
        <f t="shared" si="137"/>
        <v>14</v>
      </c>
      <c r="P666" s="174">
        <f>VLOOKUP(D666,原始分!$D:$N,8,0)</f>
        <v>0</v>
      </c>
      <c r="Q666" s="174">
        <f t="shared" si="138"/>
        <v>541</v>
      </c>
      <c r="R666" s="174">
        <f>VLOOKUP(D666,原始分!$D:$N,9,0)</f>
        <v>0</v>
      </c>
      <c r="S666" s="174">
        <f t="shared" si="139"/>
        <v>320</v>
      </c>
      <c r="T666" s="174">
        <f>VLOOKUP(D666,原始分!$D:$N,10,0)</f>
        <v>60.5</v>
      </c>
      <c r="U666" s="174">
        <f t="shared" si="140"/>
        <v>103</v>
      </c>
      <c r="V666" s="174">
        <f>VLOOKUP(D666,原始分!$D:$N,11,0)</f>
        <v>35</v>
      </c>
      <c r="W666" s="174">
        <f t="shared" si="141"/>
        <v>528</v>
      </c>
      <c r="X666" s="11">
        <f t="shared" si="142"/>
        <v>273.25</v>
      </c>
      <c r="Y666" s="9">
        <f t="shared" si="143"/>
        <v>667</v>
      </c>
      <c r="Z666" s="11">
        <f t="shared" si="144"/>
        <v>437.25</v>
      </c>
      <c r="AA666" s="9">
        <f>RANK(Z666,$Z$666:$Z$900)</f>
        <v>153</v>
      </c>
    </row>
    <row r="667" ht="14.25" spans="1:27">
      <c r="A667" s="13">
        <v>665</v>
      </c>
      <c r="B667" s="15">
        <v>14</v>
      </c>
      <c r="C667" s="16">
        <v>2</v>
      </c>
      <c r="D667" s="15" t="s">
        <v>1336</v>
      </c>
      <c r="E667" s="15" t="s">
        <v>1337</v>
      </c>
      <c r="F667" s="174">
        <f>VLOOKUP(D667,原始分!$D:$N,3,0)</f>
        <v>98</v>
      </c>
      <c r="G667" s="174">
        <f t="shared" si="133"/>
        <v>500</v>
      </c>
      <c r="H667" s="174">
        <f>VLOOKUP(D667,原始分!$D:$N,4,0)</f>
        <v>94.5</v>
      </c>
      <c r="I667" s="174">
        <f t="shared" si="134"/>
        <v>525</v>
      </c>
      <c r="J667" s="174">
        <f>VLOOKUP(D667,原始分!$D:$N,5,0)</f>
        <v>106</v>
      </c>
      <c r="K667" s="174">
        <f t="shared" si="135"/>
        <v>245</v>
      </c>
      <c r="L667" s="174">
        <f>VLOOKUP(D667,原始分!$D:$N,6,0)</f>
        <v>0</v>
      </c>
      <c r="M667" s="174">
        <f t="shared" si="136"/>
        <v>664</v>
      </c>
      <c r="N667" s="174">
        <f>VLOOKUP(D667,原始分!$D:$N,7,0)</f>
        <v>70</v>
      </c>
      <c r="O667" s="174">
        <f t="shared" si="137"/>
        <v>9</v>
      </c>
      <c r="P667" s="174">
        <f>VLOOKUP(D667,原始分!$D:$N,8,0)</f>
        <v>0</v>
      </c>
      <c r="Q667" s="174">
        <f t="shared" si="138"/>
        <v>541</v>
      </c>
      <c r="R667" s="174">
        <f>VLOOKUP(D667,原始分!$D:$N,9,0)</f>
        <v>0</v>
      </c>
      <c r="S667" s="174">
        <f t="shared" si="139"/>
        <v>320</v>
      </c>
      <c r="T667" s="174">
        <f>VLOOKUP(D667,原始分!$D:$N,10,0)</f>
        <v>53</v>
      </c>
      <c r="U667" s="174">
        <f t="shared" si="140"/>
        <v>219</v>
      </c>
      <c r="V667" s="174">
        <f>VLOOKUP(D667,原始分!$D:$N,11,0)</f>
        <v>38</v>
      </c>
      <c r="W667" s="174">
        <f t="shared" si="141"/>
        <v>510</v>
      </c>
      <c r="X667" s="11">
        <f t="shared" si="142"/>
        <v>298.5</v>
      </c>
      <c r="Y667" s="9">
        <f t="shared" si="143"/>
        <v>390</v>
      </c>
      <c r="Z667" s="11">
        <f t="shared" si="144"/>
        <v>459.5</v>
      </c>
      <c r="AA667" s="9">
        <f t="shared" ref="AA667:AA730" si="145">RANK(Z667,$Z$666:$Z$900)</f>
        <v>111</v>
      </c>
    </row>
    <row r="668" ht="14.25" spans="1:27">
      <c r="A668" s="13">
        <v>666</v>
      </c>
      <c r="B668" s="15">
        <v>14</v>
      </c>
      <c r="C668" s="16">
        <v>3</v>
      </c>
      <c r="D668" s="15" t="s">
        <v>1338</v>
      </c>
      <c r="E668" s="15" t="s">
        <v>1339</v>
      </c>
      <c r="F668" s="174">
        <f>VLOOKUP(D668,原始分!$D:$N,3,0)</f>
        <v>102.5</v>
      </c>
      <c r="G668" s="174">
        <f t="shared" si="133"/>
        <v>279</v>
      </c>
      <c r="H668" s="174">
        <f>VLOOKUP(D668,原始分!$D:$N,4,0)</f>
        <v>117.5</v>
      </c>
      <c r="I668" s="174">
        <f t="shared" si="134"/>
        <v>95</v>
      </c>
      <c r="J668" s="174">
        <f>VLOOKUP(D668,原始分!$D:$N,5,0)</f>
        <v>108</v>
      </c>
      <c r="K668" s="174">
        <f t="shared" si="135"/>
        <v>206</v>
      </c>
      <c r="L668" s="174">
        <f>VLOOKUP(D668,原始分!$D:$N,6,0)</f>
        <v>0</v>
      </c>
      <c r="M668" s="174">
        <f t="shared" si="136"/>
        <v>664</v>
      </c>
      <c r="N668" s="174">
        <f>VLOOKUP(D668,原始分!$D:$N,7,0)</f>
        <v>46</v>
      </c>
      <c r="O668" s="174">
        <f t="shared" si="137"/>
        <v>190</v>
      </c>
      <c r="P668" s="174">
        <f>VLOOKUP(D668,原始分!$D:$N,8,0)</f>
        <v>0</v>
      </c>
      <c r="Q668" s="174">
        <f t="shared" si="138"/>
        <v>541</v>
      </c>
      <c r="R668" s="174">
        <f>VLOOKUP(D668,原始分!$D:$N,9,0)</f>
        <v>0</v>
      </c>
      <c r="S668" s="174">
        <f t="shared" si="139"/>
        <v>320</v>
      </c>
      <c r="T668" s="174">
        <f>VLOOKUP(D668,原始分!$D:$N,10,0)</f>
        <v>68</v>
      </c>
      <c r="U668" s="174">
        <f t="shared" si="140"/>
        <v>19</v>
      </c>
      <c r="V668" s="174">
        <f>VLOOKUP(D668,原始分!$D:$N,11,0)</f>
        <v>43</v>
      </c>
      <c r="W668" s="174">
        <f t="shared" si="141"/>
        <v>454</v>
      </c>
      <c r="X668" s="11">
        <f t="shared" si="142"/>
        <v>328</v>
      </c>
      <c r="Y668" s="9">
        <f t="shared" si="143"/>
        <v>101</v>
      </c>
      <c r="Z668" s="11">
        <f t="shared" si="144"/>
        <v>485</v>
      </c>
      <c r="AA668" s="9">
        <f t="shared" si="145"/>
        <v>62</v>
      </c>
    </row>
    <row r="669" ht="14.25" spans="1:27">
      <c r="A669" s="13">
        <v>667</v>
      </c>
      <c r="B669" s="15">
        <v>14</v>
      </c>
      <c r="C669" s="16">
        <v>4</v>
      </c>
      <c r="D669" s="15" t="s">
        <v>1340</v>
      </c>
      <c r="E669" s="15" t="s">
        <v>1341</v>
      </c>
      <c r="F669" s="174">
        <f>VLOOKUP(D669,原始分!$D:$N,3,0)</f>
        <v>100.75</v>
      </c>
      <c r="G669" s="174">
        <f t="shared" si="133"/>
        <v>364</v>
      </c>
      <c r="H669" s="174">
        <f>VLOOKUP(D669,原始分!$D:$N,4,0)</f>
        <v>110</v>
      </c>
      <c r="I669" s="174">
        <f t="shared" si="134"/>
        <v>223</v>
      </c>
      <c r="J669" s="174">
        <f>VLOOKUP(D669,原始分!$D:$N,5,0)</f>
        <v>115.75</v>
      </c>
      <c r="K669" s="174">
        <f t="shared" si="135"/>
        <v>93</v>
      </c>
      <c r="L669" s="174">
        <f>VLOOKUP(D669,原始分!$D:$N,6,0)</f>
        <v>0</v>
      </c>
      <c r="M669" s="174">
        <f t="shared" si="136"/>
        <v>664</v>
      </c>
      <c r="N669" s="174">
        <f>VLOOKUP(D669,原始分!$D:$N,7,0)</f>
        <v>56</v>
      </c>
      <c r="O669" s="174">
        <f t="shared" si="137"/>
        <v>107</v>
      </c>
      <c r="P669" s="174">
        <f>VLOOKUP(D669,原始分!$D:$N,8,0)</f>
        <v>0</v>
      </c>
      <c r="Q669" s="174">
        <f t="shared" si="138"/>
        <v>541</v>
      </c>
      <c r="R669" s="174">
        <f>VLOOKUP(D669,原始分!$D:$N,9,0)</f>
        <v>0</v>
      </c>
      <c r="S669" s="174">
        <f t="shared" si="139"/>
        <v>320</v>
      </c>
      <c r="T669" s="174">
        <f>VLOOKUP(D669,原始分!$D:$N,10,0)</f>
        <v>60.5</v>
      </c>
      <c r="U669" s="174">
        <f t="shared" si="140"/>
        <v>103</v>
      </c>
      <c r="V669" s="174">
        <f>VLOOKUP(D669,原始分!$D:$N,11,0)</f>
        <v>45</v>
      </c>
      <c r="W669" s="174">
        <f t="shared" si="141"/>
        <v>410</v>
      </c>
      <c r="X669" s="11">
        <f t="shared" si="142"/>
        <v>326.5</v>
      </c>
      <c r="Y669" s="9">
        <f t="shared" si="143"/>
        <v>110</v>
      </c>
      <c r="Z669" s="11">
        <f t="shared" si="144"/>
        <v>488</v>
      </c>
      <c r="AA669" s="9">
        <f t="shared" si="145"/>
        <v>57</v>
      </c>
    </row>
    <row r="670" ht="14.25" spans="1:27">
      <c r="A670" s="13">
        <v>668</v>
      </c>
      <c r="B670" s="15">
        <v>14</v>
      </c>
      <c r="C670" s="16">
        <v>6</v>
      </c>
      <c r="D670" s="15" t="s">
        <v>1342</v>
      </c>
      <c r="E670" s="15" t="s">
        <v>1343</v>
      </c>
      <c r="F670" s="174">
        <f>VLOOKUP(D670,原始分!$D:$N,3,0)</f>
        <v>109.5</v>
      </c>
      <c r="G670" s="174">
        <f t="shared" si="133"/>
        <v>53</v>
      </c>
      <c r="H670" s="174">
        <f>VLOOKUP(D670,原始分!$D:$N,4,0)</f>
        <v>95.5</v>
      </c>
      <c r="I670" s="174">
        <f t="shared" si="134"/>
        <v>502</v>
      </c>
      <c r="J670" s="174">
        <f>VLOOKUP(D670,原始分!$D:$N,5,0)</f>
        <v>108.25</v>
      </c>
      <c r="K670" s="174">
        <f t="shared" si="135"/>
        <v>203</v>
      </c>
      <c r="L670" s="174">
        <f>VLOOKUP(D670,原始分!$D:$N,6,0)</f>
        <v>0</v>
      </c>
      <c r="M670" s="174">
        <f t="shared" si="136"/>
        <v>664</v>
      </c>
      <c r="N670" s="174">
        <f>VLOOKUP(D670,原始分!$D:$N,7,0)</f>
        <v>53.5</v>
      </c>
      <c r="O670" s="174">
        <f t="shared" si="137"/>
        <v>136</v>
      </c>
      <c r="P670" s="174">
        <f>VLOOKUP(D670,原始分!$D:$N,8,0)</f>
        <v>0</v>
      </c>
      <c r="Q670" s="174">
        <f t="shared" si="138"/>
        <v>541</v>
      </c>
      <c r="R670" s="174">
        <f>VLOOKUP(D670,原始分!$D:$N,9,0)</f>
        <v>0</v>
      </c>
      <c r="S670" s="174">
        <f t="shared" si="139"/>
        <v>320</v>
      </c>
      <c r="T670" s="174">
        <f>VLOOKUP(D670,原始分!$D:$N,10,0)</f>
        <v>65</v>
      </c>
      <c r="U670" s="174">
        <f t="shared" si="140"/>
        <v>47</v>
      </c>
      <c r="V670" s="174">
        <f>VLOOKUP(D670,原始分!$D:$N,11,0)</f>
        <v>52</v>
      </c>
      <c r="W670" s="174">
        <f t="shared" si="141"/>
        <v>248</v>
      </c>
      <c r="X670" s="11">
        <f t="shared" si="142"/>
        <v>313.25</v>
      </c>
      <c r="Y670" s="9">
        <f t="shared" si="143"/>
        <v>226</v>
      </c>
      <c r="Z670" s="11">
        <f t="shared" si="144"/>
        <v>483.75</v>
      </c>
      <c r="AA670" s="9">
        <f t="shared" si="145"/>
        <v>64</v>
      </c>
    </row>
    <row r="671" ht="14.25" spans="1:27">
      <c r="A671" s="13">
        <v>669</v>
      </c>
      <c r="B671" s="15">
        <v>14</v>
      </c>
      <c r="C671" s="16">
        <v>8</v>
      </c>
      <c r="D671" s="15" t="s">
        <v>1344</v>
      </c>
      <c r="E671" s="15" t="s">
        <v>1345</v>
      </c>
      <c r="F671" s="174">
        <f>VLOOKUP(D671,原始分!$D:$N,3,0)</f>
        <v>88.5</v>
      </c>
      <c r="G671" s="174">
        <f t="shared" si="133"/>
        <v>804</v>
      </c>
      <c r="H671" s="174">
        <f>VLOOKUP(D671,原始分!$D:$N,4,0)</f>
        <v>69.5</v>
      </c>
      <c r="I671" s="174">
        <f t="shared" si="134"/>
        <v>816</v>
      </c>
      <c r="J671" s="174">
        <f>VLOOKUP(D671,原始分!$D:$N,5,0)</f>
        <v>88.5</v>
      </c>
      <c r="K671" s="174">
        <f t="shared" si="135"/>
        <v>604</v>
      </c>
      <c r="L671" s="174">
        <f>VLOOKUP(D671,原始分!$D:$N,6,0)</f>
        <v>0</v>
      </c>
      <c r="M671" s="174">
        <f t="shared" si="136"/>
        <v>664</v>
      </c>
      <c r="N671" s="174">
        <f>VLOOKUP(D671,原始分!$D:$N,7,0)</f>
        <v>61</v>
      </c>
      <c r="O671" s="174">
        <f t="shared" si="137"/>
        <v>60</v>
      </c>
      <c r="P671" s="174">
        <f>VLOOKUP(D671,原始分!$D:$N,8,0)</f>
        <v>0</v>
      </c>
      <c r="Q671" s="174">
        <f t="shared" si="138"/>
        <v>541</v>
      </c>
      <c r="R671" s="174">
        <f>VLOOKUP(D671,原始分!$D:$N,9,0)</f>
        <v>0</v>
      </c>
      <c r="S671" s="174">
        <f t="shared" si="139"/>
        <v>320</v>
      </c>
      <c r="T671" s="174">
        <f>VLOOKUP(D671,原始分!$D:$N,10,0)</f>
        <v>58.5</v>
      </c>
      <c r="U671" s="174">
        <f t="shared" si="140"/>
        <v>132</v>
      </c>
      <c r="V671" s="174">
        <f>VLOOKUP(D671,原始分!$D:$N,11,0)</f>
        <v>39</v>
      </c>
      <c r="W671" s="174">
        <f t="shared" si="141"/>
        <v>502</v>
      </c>
      <c r="X671" s="11">
        <f t="shared" si="142"/>
        <v>246.5</v>
      </c>
      <c r="Y671" s="9">
        <f t="shared" si="143"/>
        <v>813</v>
      </c>
      <c r="Z671" s="11">
        <f t="shared" si="144"/>
        <v>405</v>
      </c>
      <c r="AA671" s="9">
        <f t="shared" si="145"/>
        <v>189</v>
      </c>
    </row>
    <row r="672" ht="14.25" spans="1:27">
      <c r="A672" s="13">
        <v>670</v>
      </c>
      <c r="B672" s="15">
        <v>14</v>
      </c>
      <c r="C672" s="16">
        <v>9</v>
      </c>
      <c r="D672" s="15" t="s">
        <v>1346</v>
      </c>
      <c r="E672" s="15" t="s">
        <v>1347</v>
      </c>
      <c r="F672" s="174">
        <f>VLOOKUP(D672,原始分!$D:$N,3,0)</f>
        <v>108</v>
      </c>
      <c r="G672" s="174">
        <f t="shared" si="133"/>
        <v>77</v>
      </c>
      <c r="H672" s="174">
        <f>VLOOKUP(D672,原始分!$D:$N,4,0)</f>
        <v>82</v>
      </c>
      <c r="I672" s="174">
        <f t="shared" si="134"/>
        <v>737</v>
      </c>
      <c r="J672" s="174">
        <f>VLOOKUP(D672,原始分!$D:$N,5,0)</f>
        <v>104.5</v>
      </c>
      <c r="K672" s="174">
        <f t="shared" si="135"/>
        <v>284</v>
      </c>
      <c r="L672" s="174">
        <f>VLOOKUP(D672,原始分!$D:$N,6,0)</f>
        <v>0</v>
      </c>
      <c r="M672" s="174">
        <f t="shared" si="136"/>
        <v>664</v>
      </c>
      <c r="N672" s="174">
        <f>VLOOKUP(D672,原始分!$D:$N,7,0)</f>
        <v>56</v>
      </c>
      <c r="O672" s="174">
        <f t="shared" si="137"/>
        <v>107</v>
      </c>
      <c r="P672" s="174">
        <f>VLOOKUP(D672,原始分!$D:$N,8,0)</f>
        <v>0</v>
      </c>
      <c r="Q672" s="174">
        <f t="shared" si="138"/>
        <v>541</v>
      </c>
      <c r="R672" s="174">
        <f>VLOOKUP(D672,原始分!$D:$N,9,0)</f>
        <v>0</v>
      </c>
      <c r="S672" s="174">
        <f t="shared" si="139"/>
        <v>320</v>
      </c>
      <c r="T672" s="174">
        <f>VLOOKUP(D672,原始分!$D:$N,10,0)</f>
        <v>65</v>
      </c>
      <c r="U672" s="174">
        <f t="shared" si="140"/>
        <v>47</v>
      </c>
      <c r="V672" s="174">
        <f>VLOOKUP(D672,原始分!$D:$N,11,0)</f>
        <v>38.5</v>
      </c>
      <c r="W672" s="174">
        <f t="shared" si="141"/>
        <v>506</v>
      </c>
      <c r="X672" s="11">
        <f t="shared" si="142"/>
        <v>294.5</v>
      </c>
      <c r="Y672" s="9">
        <f t="shared" si="143"/>
        <v>436</v>
      </c>
      <c r="Z672" s="11">
        <f t="shared" si="144"/>
        <v>454</v>
      </c>
      <c r="AA672" s="9">
        <f t="shared" si="145"/>
        <v>125</v>
      </c>
    </row>
    <row r="673" ht="14.25" spans="1:27">
      <c r="A673" s="13">
        <v>671</v>
      </c>
      <c r="B673" s="15">
        <v>14</v>
      </c>
      <c r="C673" s="16">
        <v>11</v>
      </c>
      <c r="D673" s="15" t="s">
        <v>1348</v>
      </c>
      <c r="E673" s="15" t="s">
        <v>1349</v>
      </c>
      <c r="F673" s="174">
        <f>VLOOKUP(D673,原始分!$D:$N,3,0)</f>
        <v>93.25</v>
      </c>
      <c r="G673" s="174">
        <f t="shared" si="133"/>
        <v>691</v>
      </c>
      <c r="H673" s="174">
        <f>VLOOKUP(D673,原始分!$D:$N,4,0)</f>
        <v>89</v>
      </c>
      <c r="I673" s="174">
        <f t="shared" si="134"/>
        <v>632</v>
      </c>
      <c r="J673" s="174">
        <f>VLOOKUP(D673,原始分!$D:$N,5,0)</f>
        <v>113</v>
      </c>
      <c r="K673" s="174">
        <f t="shared" si="135"/>
        <v>130</v>
      </c>
      <c r="L673" s="174">
        <f>VLOOKUP(D673,原始分!$D:$N,6,0)</f>
        <v>0</v>
      </c>
      <c r="M673" s="174">
        <f t="shared" si="136"/>
        <v>664</v>
      </c>
      <c r="N673" s="174">
        <f>VLOOKUP(D673,原始分!$D:$N,7,0)</f>
        <v>55.5</v>
      </c>
      <c r="O673" s="174">
        <f t="shared" si="137"/>
        <v>118</v>
      </c>
      <c r="P673" s="174">
        <f>VLOOKUP(D673,原始分!$D:$N,8,0)</f>
        <v>0</v>
      </c>
      <c r="Q673" s="174">
        <f t="shared" si="138"/>
        <v>541</v>
      </c>
      <c r="R673" s="174">
        <f>VLOOKUP(D673,原始分!$D:$N,9,0)</f>
        <v>0</v>
      </c>
      <c r="S673" s="174">
        <f t="shared" si="139"/>
        <v>320</v>
      </c>
      <c r="T673" s="174">
        <f>VLOOKUP(D673,原始分!$D:$N,10,0)</f>
        <v>57.5</v>
      </c>
      <c r="U673" s="174">
        <f t="shared" si="140"/>
        <v>151</v>
      </c>
      <c r="V673" s="174">
        <f>VLOOKUP(D673,原始分!$D:$N,11,0)</f>
        <v>49</v>
      </c>
      <c r="W673" s="174">
        <f t="shared" si="141"/>
        <v>323</v>
      </c>
      <c r="X673" s="11">
        <f t="shared" si="142"/>
        <v>295.25</v>
      </c>
      <c r="Y673" s="9">
        <f t="shared" si="143"/>
        <v>425</v>
      </c>
      <c r="Z673" s="11">
        <f t="shared" si="144"/>
        <v>457.25</v>
      </c>
      <c r="AA673" s="9">
        <f t="shared" si="145"/>
        <v>117</v>
      </c>
    </row>
    <row r="674" ht="14.25" spans="1:27">
      <c r="A674" s="13">
        <v>672</v>
      </c>
      <c r="B674" s="15">
        <v>14</v>
      </c>
      <c r="C674" s="16">
        <v>12</v>
      </c>
      <c r="D674" s="15" t="s">
        <v>1350</v>
      </c>
      <c r="E674" s="15" t="s">
        <v>1351</v>
      </c>
      <c r="F674" s="174">
        <f>VLOOKUP(D674,原始分!$D:$N,3,0)</f>
        <v>97</v>
      </c>
      <c r="G674" s="174">
        <f t="shared" si="133"/>
        <v>551</v>
      </c>
      <c r="H674" s="174">
        <f>VLOOKUP(D674,原始分!$D:$N,4,0)</f>
        <v>74.5</v>
      </c>
      <c r="I674" s="174">
        <f t="shared" si="134"/>
        <v>789</v>
      </c>
      <c r="J674" s="174">
        <f>VLOOKUP(D674,原始分!$D:$N,5,0)</f>
        <v>94</v>
      </c>
      <c r="K674" s="174">
        <f t="shared" si="135"/>
        <v>507</v>
      </c>
      <c r="L674" s="174">
        <f>VLOOKUP(D674,原始分!$D:$N,6,0)</f>
        <v>0</v>
      </c>
      <c r="M674" s="174">
        <f t="shared" si="136"/>
        <v>664</v>
      </c>
      <c r="N674" s="174">
        <f>VLOOKUP(D674,原始分!$D:$N,7,0)</f>
        <v>58.5</v>
      </c>
      <c r="O674" s="174">
        <f t="shared" si="137"/>
        <v>80</v>
      </c>
      <c r="P674" s="174">
        <f>VLOOKUP(D674,原始分!$D:$N,8,0)</f>
        <v>0</v>
      </c>
      <c r="Q674" s="174">
        <f t="shared" si="138"/>
        <v>541</v>
      </c>
      <c r="R674" s="174">
        <f>VLOOKUP(D674,原始分!$D:$N,9,0)</f>
        <v>0</v>
      </c>
      <c r="S674" s="174">
        <f t="shared" si="139"/>
        <v>320</v>
      </c>
      <c r="T674" s="174">
        <f>VLOOKUP(D674,原始分!$D:$N,10,0)</f>
        <v>44.5</v>
      </c>
      <c r="U674" s="174">
        <f t="shared" si="140"/>
        <v>297</v>
      </c>
      <c r="V674" s="174">
        <f>VLOOKUP(D674,原始分!$D:$N,11,0)</f>
        <v>46</v>
      </c>
      <c r="W674" s="174">
        <f t="shared" si="141"/>
        <v>386</v>
      </c>
      <c r="X674" s="11">
        <f t="shared" si="142"/>
        <v>265.5</v>
      </c>
      <c r="Y674" s="9">
        <f t="shared" si="143"/>
        <v>737</v>
      </c>
      <c r="Z674" s="11">
        <f t="shared" si="144"/>
        <v>414.5</v>
      </c>
      <c r="AA674" s="9">
        <f t="shared" si="145"/>
        <v>185</v>
      </c>
    </row>
    <row r="675" ht="14.25" spans="1:27">
      <c r="A675" s="13">
        <v>673</v>
      </c>
      <c r="B675" s="15">
        <v>14</v>
      </c>
      <c r="C675" s="16">
        <v>13</v>
      </c>
      <c r="D675" s="15" t="s">
        <v>1352</v>
      </c>
      <c r="E675" s="15" t="s">
        <v>1353</v>
      </c>
      <c r="F675" s="174">
        <f>VLOOKUP(D675,原始分!$D:$N,3,0)</f>
        <v>103</v>
      </c>
      <c r="G675" s="174">
        <f t="shared" si="133"/>
        <v>260</v>
      </c>
      <c r="H675" s="174">
        <f>VLOOKUP(D675,原始分!$D:$N,4,0)</f>
        <v>105</v>
      </c>
      <c r="I675" s="174">
        <f t="shared" si="134"/>
        <v>317</v>
      </c>
      <c r="J675" s="174">
        <f>VLOOKUP(D675,原始分!$D:$N,5,0)</f>
        <v>88.5</v>
      </c>
      <c r="K675" s="174">
        <f t="shared" si="135"/>
        <v>604</v>
      </c>
      <c r="L675" s="174">
        <f>VLOOKUP(D675,原始分!$D:$N,6,0)</f>
        <v>0</v>
      </c>
      <c r="M675" s="174">
        <f t="shared" si="136"/>
        <v>664</v>
      </c>
      <c r="N675" s="174">
        <f>VLOOKUP(D675,原始分!$D:$N,7,0)</f>
        <v>64.5</v>
      </c>
      <c r="O675" s="174">
        <f t="shared" si="137"/>
        <v>32</v>
      </c>
      <c r="P675" s="174">
        <f>VLOOKUP(D675,原始分!$D:$N,8,0)</f>
        <v>0</v>
      </c>
      <c r="Q675" s="174">
        <f t="shared" si="138"/>
        <v>541</v>
      </c>
      <c r="R675" s="174">
        <f>VLOOKUP(D675,原始分!$D:$N,9,0)</f>
        <v>0</v>
      </c>
      <c r="S675" s="174">
        <f t="shared" si="139"/>
        <v>320</v>
      </c>
      <c r="T675" s="174">
        <f>VLOOKUP(D675,原始分!$D:$N,10,0)</f>
        <v>45</v>
      </c>
      <c r="U675" s="174">
        <f t="shared" si="140"/>
        <v>295</v>
      </c>
      <c r="V675" s="174">
        <f>VLOOKUP(D675,原始分!$D:$N,11,0)</f>
        <v>44.5</v>
      </c>
      <c r="W675" s="174">
        <f t="shared" si="141"/>
        <v>424</v>
      </c>
      <c r="X675" s="11">
        <f t="shared" si="142"/>
        <v>296.5</v>
      </c>
      <c r="Y675" s="9">
        <f t="shared" si="143"/>
        <v>411</v>
      </c>
      <c r="Z675" s="11">
        <f t="shared" si="144"/>
        <v>450.5</v>
      </c>
      <c r="AA675" s="9">
        <f t="shared" si="145"/>
        <v>132</v>
      </c>
    </row>
    <row r="676" ht="14.25" spans="1:27">
      <c r="A676" s="13">
        <v>674</v>
      </c>
      <c r="B676" s="15">
        <v>14</v>
      </c>
      <c r="C676" s="16">
        <v>14</v>
      </c>
      <c r="D676" s="15" t="s">
        <v>1354</v>
      </c>
      <c r="E676" s="15" t="s">
        <v>1355</v>
      </c>
      <c r="F676" s="174">
        <f>VLOOKUP(D676,原始分!$D:$N,3,0)</f>
        <v>116</v>
      </c>
      <c r="G676" s="174">
        <f t="shared" si="133"/>
        <v>5</v>
      </c>
      <c r="H676" s="174">
        <f>VLOOKUP(D676,原始分!$D:$N,4,0)</f>
        <v>98</v>
      </c>
      <c r="I676" s="174">
        <f t="shared" si="134"/>
        <v>454</v>
      </c>
      <c r="J676" s="174">
        <f>VLOOKUP(D676,原始分!$D:$N,5,0)</f>
        <v>103.75</v>
      </c>
      <c r="K676" s="174">
        <f t="shared" si="135"/>
        <v>299</v>
      </c>
      <c r="L676" s="174">
        <f>VLOOKUP(D676,原始分!$D:$N,6,0)</f>
        <v>0</v>
      </c>
      <c r="M676" s="174">
        <f t="shared" si="136"/>
        <v>664</v>
      </c>
      <c r="N676" s="174">
        <f>VLOOKUP(D676,原始分!$D:$N,7,0)</f>
        <v>69</v>
      </c>
      <c r="O676" s="174">
        <f t="shared" si="137"/>
        <v>12</v>
      </c>
      <c r="P676" s="174">
        <f>VLOOKUP(D676,原始分!$D:$N,8,0)</f>
        <v>0</v>
      </c>
      <c r="Q676" s="174">
        <f t="shared" si="138"/>
        <v>541</v>
      </c>
      <c r="R676" s="174">
        <f>VLOOKUP(D676,原始分!$D:$N,9,0)</f>
        <v>0</v>
      </c>
      <c r="S676" s="174">
        <f t="shared" si="139"/>
        <v>320</v>
      </c>
      <c r="T676" s="174">
        <f>VLOOKUP(D676,原始分!$D:$N,10,0)</f>
        <v>72.5</v>
      </c>
      <c r="U676" s="174">
        <f t="shared" si="140"/>
        <v>7</v>
      </c>
      <c r="V676" s="174">
        <f>VLOOKUP(D676,原始分!$D:$N,11,0)</f>
        <v>55.5</v>
      </c>
      <c r="W676" s="174">
        <f t="shared" si="141"/>
        <v>170</v>
      </c>
      <c r="X676" s="11">
        <f t="shared" si="142"/>
        <v>317.75</v>
      </c>
      <c r="Y676" s="9">
        <f t="shared" si="143"/>
        <v>180</v>
      </c>
      <c r="Z676" s="11">
        <f t="shared" si="144"/>
        <v>514.75</v>
      </c>
      <c r="AA676" s="9">
        <f t="shared" si="145"/>
        <v>25</v>
      </c>
    </row>
    <row r="677" ht="14.25" spans="1:27">
      <c r="A677" s="13">
        <v>675</v>
      </c>
      <c r="B677" s="15">
        <v>14</v>
      </c>
      <c r="C677" s="16">
        <v>15</v>
      </c>
      <c r="D677" s="15" t="s">
        <v>1356</v>
      </c>
      <c r="E677" s="15" t="s">
        <v>1357</v>
      </c>
      <c r="F677" s="174">
        <f>VLOOKUP(D677,原始分!$D:$N,3,0)</f>
        <v>99.5</v>
      </c>
      <c r="G677" s="174">
        <f t="shared" si="133"/>
        <v>418</v>
      </c>
      <c r="H677" s="174">
        <f>VLOOKUP(D677,原始分!$D:$N,4,0)</f>
        <v>78</v>
      </c>
      <c r="I677" s="174">
        <f t="shared" si="134"/>
        <v>767</v>
      </c>
      <c r="J677" s="174">
        <f>VLOOKUP(D677,原始分!$D:$N,5,0)</f>
        <v>95</v>
      </c>
      <c r="K677" s="174">
        <f t="shared" si="135"/>
        <v>484</v>
      </c>
      <c r="L677" s="174">
        <f>VLOOKUP(D677,原始分!$D:$N,6,0)</f>
        <v>0</v>
      </c>
      <c r="M677" s="174">
        <f t="shared" si="136"/>
        <v>664</v>
      </c>
      <c r="N677" s="174">
        <f>VLOOKUP(D677,原始分!$D:$N,7,0)</f>
        <v>44</v>
      </c>
      <c r="O677" s="174">
        <f t="shared" si="137"/>
        <v>196</v>
      </c>
      <c r="P677" s="174">
        <f>VLOOKUP(D677,原始分!$D:$N,8,0)</f>
        <v>0</v>
      </c>
      <c r="Q677" s="174">
        <f t="shared" si="138"/>
        <v>541</v>
      </c>
      <c r="R677" s="174">
        <f>VLOOKUP(D677,原始分!$D:$N,9,0)</f>
        <v>0</v>
      </c>
      <c r="S677" s="174">
        <f t="shared" si="139"/>
        <v>320</v>
      </c>
      <c r="T677" s="174">
        <f>VLOOKUP(D677,原始分!$D:$N,10,0)</f>
        <v>48.5</v>
      </c>
      <c r="U677" s="174">
        <f t="shared" si="140"/>
        <v>265</v>
      </c>
      <c r="V677" s="174">
        <f>VLOOKUP(D677,原始分!$D:$N,11,0)</f>
        <v>32</v>
      </c>
      <c r="W677" s="174">
        <f t="shared" si="141"/>
        <v>543</v>
      </c>
      <c r="X677" s="11">
        <f t="shared" si="142"/>
        <v>272.5</v>
      </c>
      <c r="Y677" s="9">
        <f t="shared" si="143"/>
        <v>671</v>
      </c>
      <c r="Z677" s="11">
        <f t="shared" si="144"/>
        <v>397</v>
      </c>
      <c r="AA677" s="9">
        <f t="shared" si="145"/>
        <v>194</v>
      </c>
    </row>
    <row r="678" ht="14.25" spans="1:27">
      <c r="A678" s="13">
        <v>676</v>
      </c>
      <c r="B678" s="15">
        <v>14</v>
      </c>
      <c r="C678" s="16">
        <v>16</v>
      </c>
      <c r="D678" s="15" t="s">
        <v>1358</v>
      </c>
      <c r="E678" s="15" t="s">
        <v>1359</v>
      </c>
      <c r="F678" s="174">
        <f>VLOOKUP(D678,原始分!$D:$N,3,0)</f>
        <v>93.5</v>
      </c>
      <c r="G678" s="174">
        <f t="shared" si="133"/>
        <v>676</v>
      </c>
      <c r="H678" s="174">
        <f>VLOOKUP(D678,原始分!$D:$N,4,0)</f>
        <v>60</v>
      </c>
      <c r="I678" s="174">
        <f t="shared" si="134"/>
        <v>844</v>
      </c>
      <c r="J678" s="174">
        <f>VLOOKUP(D678,原始分!$D:$N,5,0)</f>
        <v>56.5</v>
      </c>
      <c r="K678" s="174">
        <f t="shared" si="135"/>
        <v>855</v>
      </c>
      <c r="L678" s="174">
        <f>VLOOKUP(D678,原始分!$D:$N,6,0)</f>
        <v>0</v>
      </c>
      <c r="M678" s="174">
        <f t="shared" si="136"/>
        <v>664</v>
      </c>
      <c r="N678" s="174">
        <f>VLOOKUP(D678,原始分!$D:$N,7,0)</f>
        <v>39.5</v>
      </c>
      <c r="O678" s="174">
        <f t="shared" si="137"/>
        <v>205</v>
      </c>
      <c r="P678" s="174">
        <f>VLOOKUP(D678,原始分!$D:$N,8,0)</f>
        <v>0</v>
      </c>
      <c r="Q678" s="174">
        <f t="shared" si="138"/>
        <v>541</v>
      </c>
      <c r="R678" s="174">
        <f>VLOOKUP(D678,原始分!$D:$N,9,0)</f>
        <v>0</v>
      </c>
      <c r="S678" s="174">
        <f t="shared" si="139"/>
        <v>320</v>
      </c>
      <c r="T678" s="174">
        <f>VLOOKUP(D678,原始分!$D:$N,10,0)</f>
        <v>42</v>
      </c>
      <c r="U678" s="174">
        <f t="shared" si="140"/>
        <v>306</v>
      </c>
      <c r="V678" s="174">
        <f>VLOOKUP(D678,原始分!$D:$N,11,0)</f>
        <v>17</v>
      </c>
      <c r="W678" s="174">
        <f t="shared" si="141"/>
        <v>562</v>
      </c>
      <c r="X678" s="11">
        <f t="shared" si="142"/>
        <v>210</v>
      </c>
      <c r="Y678" s="9">
        <f t="shared" si="143"/>
        <v>865</v>
      </c>
      <c r="Z678" s="11">
        <f t="shared" si="144"/>
        <v>308.5</v>
      </c>
      <c r="AA678" s="9">
        <f t="shared" si="145"/>
        <v>206</v>
      </c>
    </row>
    <row r="679" ht="14.25" spans="1:27">
      <c r="A679" s="13">
        <v>677</v>
      </c>
      <c r="B679" s="15">
        <v>14</v>
      </c>
      <c r="C679" s="16">
        <v>18</v>
      </c>
      <c r="D679" s="15" t="s">
        <v>1360</v>
      </c>
      <c r="E679" s="15" t="s">
        <v>1361</v>
      </c>
      <c r="F679" s="174">
        <f>VLOOKUP(D679,原始分!$D:$N,3,0)</f>
        <v>91.5</v>
      </c>
      <c r="G679" s="174">
        <f t="shared" si="133"/>
        <v>730</v>
      </c>
      <c r="H679" s="174">
        <f>VLOOKUP(D679,原始分!$D:$N,4,0)</f>
        <v>114</v>
      </c>
      <c r="I679" s="174">
        <f t="shared" si="134"/>
        <v>145</v>
      </c>
      <c r="J679" s="174">
        <f>VLOOKUP(D679,原始分!$D:$N,5,0)</f>
        <v>105.25</v>
      </c>
      <c r="K679" s="174">
        <f t="shared" si="135"/>
        <v>270</v>
      </c>
      <c r="L679" s="174">
        <f>VLOOKUP(D679,原始分!$D:$N,6,0)</f>
        <v>0</v>
      </c>
      <c r="M679" s="174">
        <f t="shared" si="136"/>
        <v>664</v>
      </c>
      <c r="N679" s="174">
        <f>VLOOKUP(D679,原始分!$D:$N,7,0)</f>
        <v>55.25</v>
      </c>
      <c r="O679" s="174">
        <f t="shared" si="137"/>
        <v>123</v>
      </c>
      <c r="P679" s="174">
        <f>VLOOKUP(D679,原始分!$D:$N,8,0)</f>
        <v>0</v>
      </c>
      <c r="Q679" s="174">
        <f t="shared" si="138"/>
        <v>541</v>
      </c>
      <c r="R679" s="174">
        <f>VLOOKUP(D679,原始分!$D:$N,9,0)</f>
        <v>0</v>
      </c>
      <c r="S679" s="174">
        <f t="shared" si="139"/>
        <v>320</v>
      </c>
      <c r="T679" s="174">
        <f>VLOOKUP(D679,原始分!$D:$N,10,0)</f>
        <v>58.75</v>
      </c>
      <c r="U679" s="174">
        <f t="shared" si="140"/>
        <v>131</v>
      </c>
      <c r="V679" s="174">
        <f>VLOOKUP(D679,原始分!$D:$N,11,0)</f>
        <v>49.5</v>
      </c>
      <c r="W679" s="174">
        <f t="shared" si="141"/>
        <v>313</v>
      </c>
      <c r="X679" s="11">
        <f t="shared" si="142"/>
        <v>310.75</v>
      </c>
      <c r="Y679" s="9">
        <f t="shared" si="143"/>
        <v>252</v>
      </c>
      <c r="Z679" s="11">
        <f t="shared" si="144"/>
        <v>474.25</v>
      </c>
      <c r="AA679" s="9">
        <f t="shared" si="145"/>
        <v>84</v>
      </c>
    </row>
    <row r="680" ht="14.25" spans="1:27">
      <c r="A680" s="13">
        <v>678</v>
      </c>
      <c r="B680" s="15">
        <v>14</v>
      </c>
      <c r="C680" s="16">
        <v>19</v>
      </c>
      <c r="D680" s="15" t="s">
        <v>1362</v>
      </c>
      <c r="E680" s="15" t="s">
        <v>1363</v>
      </c>
      <c r="F680" s="174">
        <f>VLOOKUP(D680,原始分!$D:$N,3,0)</f>
        <v>107</v>
      </c>
      <c r="G680" s="174">
        <f t="shared" si="133"/>
        <v>113</v>
      </c>
      <c r="H680" s="174">
        <f>VLOOKUP(D680,原始分!$D:$N,4,0)</f>
        <v>98.5</v>
      </c>
      <c r="I680" s="174">
        <f t="shared" si="134"/>
        <v>442</v>
      </c>
      <c r="J680" s="174">
        <f>VLOOKUP(D680,原始分!$D:$N,5,0)</f>
        <v>105.5</v>
      </c>
      <c r="K680" s="174">
        <f t="shared" si="135"/>
        <v>259</v>
      </c>
      <c r="L680" s="174">
        <f>VLOOKUP(D680,原始分!$D:$N,6,0)</f>
        <v>0</v>
      </c>
      <c r="M680" s="174">
        <f t="shared" si="136"/>
        <v>664</v>
      </c>
      <c r="N680" s="174">
        <f>VLOOKUP(D680,原始分!$D:$N,7,0)</f>
        <v>70</v>
      </c>
      <c r="O680" s="174">
        <f t="shared" si="137"/>
        <v>9</v>
      </c>
      <c r="P680" s="174">
        <f>VLOOKUP(D680,原始分!$D:$N,8,0)</f>
        <v>0</v>
      </c>
      <c r="Q680" s="174">
        <f t="shared" si="138"/>
        <v>541</v>
      </c>
      <c r="R680" s="174">
        <f>VLOOKUP(D680,原始分!$D:$N,9,0)</f>
        <v>0</v>
      </c>
      <c r="S680" s="174">
        <f t="shared" si="139"/>
        <v>320</v>
      </c>
      <c r="T680" s="174">
        <f>VLOOKUP(D680,原始分!$D:$N,10,0)</f>
        <v>63.5</v>
      </c>
      <c r="U680" s="174">
        <f t="shared" si="140"/>
        <v>68</v>
      </c>
      <c r="V680" s="174">
        <f>VLOOKUP(D680,原始分!$D:$N,11,0)</f>
        <v>62</v>
      </c>
      <c r="W680" s="174">
        <f t="shared" si="141"/>
        <v>64</v>
      </c>
      <c r="X680" s="11">
        <f t="shared" si="142"/>
        <v>311</v>
      </c>
      <c r="Y680" s="9">
        <f t="shared" si="143"/>
        <v>249</v>
      </c>
      <c r="Z680" s="11">
        <f t="shared" si="144"/>
        <v>506.5</v>
      </c>
      <c r="AA680" s="9">
        <f t="shared" si="145"/>
        <v>32</v>
      </c>
    </row>
    <row r="681" ht="14.25" spans="1:27">
      <c r="A681" s="13">
        <v>679</v>
      </c>
      <c r="B681" s="15">
        <v>14</v>
      </c>
      <c r="C681" s="16">
        <v>20</v>
      </c>
      <c r="D681" s="15" t="s">
        <v>1364</v>
      </c>
      <c r="E681" s="15" t="s">
        <v>1365</v>
      </c>
      <c r="F681" s="174">
        <f>VLOOKUP(D681,原始分!$D:$N,3,0)</f>
        <v>107.5</v>
      </c>
      <c r="G681" s="174">
        <f t="shared" si="133"/>
        <v>93</v>
      </c>
      <c r="H681" s="174">
        <f>VLOOKUP(D681,原始分!$D:$N,4,0)</f>
        <v>101</v>
      </c>
      <c r="I681" s="174">
        <f t="shared" si="134"/>
        <v>403</v>
      </c>
      <c r="J681" s="174">
        <f>VLOOKUP(D681,原始分!$D:$N,5,0)</f>
        <v>118.25</v>
      </c>
      <c r="K681" s="174">
        <f t="shared" si="135"/>
        <v>62</v>
      </c>
      <c r="L681" s="174">
        <f>VLOOKUP(D681,原始分!$D:$N,6,0)</f>
        <v>0</v>
      </c>
      <c r="M681" s="174">
        <f t="shared" si="136"/>
        <v>664</v>
      </c>
      <c r="N681" s="174">
        <f>VLOOKUP(D681,原始分!$D:$N,7,0)</f>
        <v>43.5</v>
      </c>
      <c r="O681" s="174">
        <f t="shared" si="137"/>
        <v>197</v>
      </c>
      <c r="P681" s="174">
        <f>VLOOKUP(D681,原始分!$D:$N,8,0)</f>
        <v>0</v>
      </c>
      <c r="Q681" s="174">
        <f t="shared" si="138"/>
        <v>541</v>
      </c>
      <c r="R681" s="174">
        <f>VLOOKUP(D681,原始分!$D:$N,9,0)</f>
        <v>0</v>
      </c>
      <c r="S681" s="174">
        <f t="shared" si="139"/>
        <v>320</v>
      </c>
      <c r="T681" s="174">
        <f>VLOOKUP(D681,原始分!$D:$N,10,0)</f>
        <v>58.5</v>
      </c>
      <c r="U681" s="174">
        <f t="shared" si="140"/>
        <v>132</v>
      </c>
      <c r="V681" s="174">
        <f>VLOOKUP(D681,原始分!$D:$N,11,0)</f>
        <v>42.5</v>
      </c>
      <c r="W681" s="174">
        <f t="shared" si="141"/>
        <v>466</v>
      </c>
      <c r="X681" s="11">
        <f t="shared" si="142"/>
        <v>326.75</v>
      </c>
      <c r="Y681" s="9">
        <f t="shared" si="143"/>
        <v>106</v>
      </c>
      <c r="Z681" s="11">
        <f t="shared" si="144"/>
        <v>471.25</v>
      </c>
      <c r="AA681" s="9">
        <f t="shared" si="145"/>
        <v>88</v>
      </c>
    </row>
    <row r="682" ht="14.25" spans="1:27">
      <c r="A682" s="13">
        <v>680</v>
      </c>
      <c r="B682" s="15">
        <v>14</v>
      </c>
      <c r="C682" s="16">
        <v>21</v>
      </c>
      <c r="D682" s="15" t="s">
        <v>1366</v>
      </c>
      <c r="E682" s="15" t="s">
        <v>1367</v>
      </c>
      <c r="F682" s="174">
        <f>VLOOKUP(D682,原始分!$D:$N,3,0)</f>
        <v>84.5</v>
      </c>
      <c r="G682" s="174">
        <f t="shared" si="133"/>
        <v>840</v>
      </c>
      <c r="H682" s="174">
        <f>VLOOKUP(D682,原始分!$D:$N,4,0)</f>
        <v>99.5</v>
      </c>
      <c r="I682" s="174">
        <f t="shared" si="134"/>
        <v>425</v>
      </c>
      <c r="J682" s="174">
        <f>VLOOKUP(D682,原始分!$D:$N,5,0)</f>
        <v>115</v>
      </c>
      <c r="K682" s="174">
        <f t="shared" si="135"/>
        <v>102</v>
      </c>
      <c r="L682" s="174">
        <f>VLOOKUP(D682,原始分!$D:$N,6,0)</f>
        <v>0</v>
      </c>
      <c r="M682" s="174">
        <f t="shared" si="136"/>
        <v>664</v>
      </c>
      <c r="N682" s="174">
        <f>VLOOKUP(D682,原始分!$D:$N,7,0)</f>
        <v>57.5</v>
      </c>
      <c r="O682" s="174">
        <f t="shared" si="137"/>
        <v>92</v>
      </c>
      <c r="P682" s="174">
        <f>VLOOKUP(D682,原始分!$D:$N,8,0)</f>
        <v>0</v>
      </c>
      <c r="Q682" s="174">
        <f t="shared" si="138"/>
        <v>541</v>
      </c>
      <c r="R682" s="174">
        <f>VLOOKUP(D682,原始分!$D:$N,9,0)</f>
        <v>0</v>
      </c>
      <c r="S682" s="174">
        <f t="shared" si="139"/>
        <v>320</v>
      </c>
      <c r="T682" s="174">
        <f>VLOOKUP(D682,原始分!$D:$N,10,0)</f>
        <v>51.5</v>
      </c>
      <c r="U682" s="174">
        <f t="shared" si="140"/>
        <v>236</v>
      </c>
      <c r="V682" s="174">
        <f>VLOOKUP(D682,原始分!$D:$N,11,0)</f>
        <v>57</v>
      </c>
      <c r="W682" s="174">
        <f t="shared" si="141"/>
        <v>139</v>
      </c>
      <c r="X682" s="11">
        <f t="shared" si="142"/>
        <v>299</v>
      </c>
      <c r="Y682" s="9">
        <f t="shared" si="143"/>
        <v>383</v>
      </c>
      <c r="Z682" s="11">
        <f t="shared" si="144"/>
        <v>465</v>
      </c>
      <c r="AA682" s="9">
        <f t="shared" si="145"/>
        <v>102</v>
      </c>
    </row>
    <row r="683" ht="14.25" spans="1:27">
      <c r="A683" s="13">
        <v>681</v>
      </c>
      <c r="B683" s="15">
        <v>14</v>
      </c>
      <c r="C683" s="16">
        <v>22</v>
      </c>
      <c r="D683" s="15" t="s">
        <v>1368</v>
      </c>
      <c r="E683" s="15" t="s">
        <v>1369</v>
      </c>
      <c r="F683" s="174">
        <f>VLOOKUP(D683,原始分!$D:$N,3,0)</f>
        <v>102</v>
      </c>
      <c r="G683" s="174">
        <f t="shared" si="133"/>
        <v>304</v>
      </c>
      <c r="H683" s="174">
        <f>VLOOKUP(D683,原始分!$D:$N,4,0)</f>
        <v>93</v>
      </c>
      <c r="I683" s="174">
        <f t="shared" si="134"/>
        <v>561</v>
      </c>
      <c r="J683" s="174">
        <f>VLOOKUP(D683,原始分!$D:$N,5,0)</f>
        <v>108</v>
      </c>
      <c r="K683" s="174">
        <f t="shared" si="135"/>
        <v>206</v>
      </c>
      <c r="L683" s="174">
        <f>VLOOKUP(D683,原始分!$D:$N,6,0)</f>
        <v>0</v>
      </c>
      <c r="M683" s="174">
        <f t="shared" si="136"/>
        <v>664</v>
      </c>
      <c r="N683" s="174">
        <f>VLOOKUP(D683,原始分!$D:$N,7,0)</f>
        <v>48.5</v>
      </c>
      <c r="O683" s="174">
        <f t="shared" si="137"/>
        <v>180</v>
      </c>
      <c r="P683" s="174">
        <f>VLOOKUP(D683,原始分!$D:$N,8,0)</f>
        <v>0</v>
      </c>
      <c r="Q683" s="174">
        <f t="shared" si="138"/>
        <v>541</v>
      </c>
      <c r="R683" s="174">
        <f>VLOOKUP(D683,原始分!$D:$N,9,0)</f>
        <v>0</v>
      </c>
      <c r="S683" s="174">
        <f t="shared" si="139"/>
        <v>320</v>
      </c>
      <c r="T683" s="174">
        <f>VLOOKUP(D683,原始分!$D:$N,10,0)</f>
        <v>55.5</v>
      </c>
      <c r="U683" s="174">
        <f t="shared" si="140"/>
        <v>187</v>
      </c>
      <c r="V683" s="174">
        <f>VLOOKUP(D683,原始分!$D:$N,11,0)</f>
        <v>47.5</v>
      </c>
      <c r="W683" s="174">
        <f t="shared" si="141"/>
        <v>353</v>
      </c>
      <c r="X683" s="11">
        <f t="shared" si="142"/>
        <v>303</v>
      </c>
      <c r="Y683" s="9">
        <f t="shared" si="143"/>
        <v>335</v>
      </c>
      <c r="Z683" s="11">
        <f t="shared" si="144"/>
        <v>454.5</v>
      </c>
      <c r="AA683" s="9">
        <f t="shared" si="145"/>
        <v>123</v>
      </c>
    </row>
    <row r="684" ht="14.25" spans="1:27">
      <c r="A684" s="13">
        <v>682</v>
      </c>
      <c r="B684" s="15">
        <v>14</v>
      </c>
      <c r="C684" s="16">
        <v>23</v>
      </c>
      <c r="D684" s="15" t="s">
        <v>1370</v>
      </c>
      <c r="E684" s="15" t="s">
        <v>1371</v>
      </c>
      <c r="F684" s="174">
        <f>VLOOKUP(D684,原始分!$D:$N,3,0)</f>
        <v>107.5</v>
      </c>
      <c r="G684" s="174">
        <f t="shared" si="133"/>
        <v>93</v>
      </c>
      <c r="H684" s="174">
        <f>VLOOKUP(D684,原始分!$D:$N,4,0)</f>
        <v>91.5</v>
      </c>
      <c r="I684" s="174">
        <f t="shared" si="134"/>
        <v>586</v>
      </c>
      <c r="J684" s="174">
        <f>VLOOKUP(D684,原始分!$D:$N,5,0)</f>
        <v>102.5</v>
      </c>
      <c r="K684" s="174">
        <f t="shared" si="135"/>
        <v>317</v>
      </c>
      <c r="L684" s="174">
        <f>VLOOKUP(D684,原始分!$D:$N,6,0)</f>
        <v>0</v>
      </c>
      <c r="M684" s="174">
        <f t="shared" si="136"/>
        <v>664</v>
      </c>
      <c r="N684" s="174">
        <f>VLOOKUP(D684,原始分!$D:$N,7,0)</f>
        <v>60.5</v>
      </c>
      <c r="O684" s="174">
        <f t="shared" si="137"/>
        <v>63</v>
      </c>
      <c r="P684" s="174">
        <f>VLOOKUP(D684,原始分!$D:$N,8,0)</f>
        <v>0</v>
      </c>
      <c r="Q684" s="174">
        <f t="shared" si="138"/>
        <v>541</v>
      </c>
      <c r="R684" s="174">
        <f>VLOOKUP(D684,原始分!$D:$N,9,0)</f>
        <v>0</v>
      </c>
      <c r="S684" s="174">
        <f t="shared" si="139"/>
        <v>320</v>
      </c>
      <c r="T684" s="174">
        <f>VLOOKUP(D684,原始分!$D:$N,10,0)</f>
        <v>66</v>
      </c>
      <c r="U684" s="174">
        <f t="shared" si="140"/>
        <v>37</v>
      </c>
      <c r="V684" s="174">
        <f>VLOOKUP(D684,原始分!$D:$N,11,0)</f>
        <v>55</v>
      </c>
      <c r="W684" s="174">
        <f t="shared" si="141"/>
        <v>181</v>
      </c>
      <c r="X684" s="11">
        <f t="shared" si="142"/>
        <v>301.5</v>
      </c>
      <c r="Y684" s="9">
        <f t="shared" si="143"/>
        <v>357</v>
      </c>
      <c r="Z684" s="11">
        <f t="shared" si="144"/>
        <v>483</v>
      </c>
      <c r="AA684" s="9">
        <f t="shared" si="145"/>
        <v>69</v>
      </c>
    </row>
    <row r="685" ht="14.25" spans="1:27">
      <c r="A685" s="13">
        <v>683</v>
      </c>
      <c r="B685" s="15">
        <v>14</v>
      </c>
      <c r="C685" s="16">
        <v>24</v>
      </c>
      <c r="D685" s="15" t="s">
        <v>1372</v>
      </c>
      <c r="E685" s="15" t="s">
        <v>1373</v>
      </c>
      <c r="F685" s="174">
        <f>VLOOKUP(D685,原始分!$D:$N,3,0)</f>
        <v>98.5</v>
      </c>
      <c r="G685" s="174">
        <f t="shared" si="133"/>
        <v>469</v>
      </c>
      <c r="H685" s="174">
        <f>VLOOKUP(D685,原始分!$D:$N,4,0)</f>
        <v>102.5</v>
      </c>
      <c r="I685" s="174">
        <f t="shared" si="134"/>
        <v>372</v>
      </c>
      <c r="J685" s="174">
        <f>VLOOKUP(D685,原始分!$D:$N,5,0)</f>
        <v>101</v>
      </c>
      <c r="K685" s="174">
        <f t="shared" si="135"/>
        <v>349</v>
      </c>
      <c r="L685" s="174">
        <f>VLOOKUP(D685,原始分!$D:$N,6,0)</f>
        <v>0</v>
      </c>
      <c r="M685" s="174">
        <f t="shared" si="136"/>
        <v>664</v>
      </c>
      <c r="N685" s="174">
        <f>VLOOKUP(D685,原始分!$D:$N,7,0)</f>
        <v>62.5</v>
      </c>
      <c r="O685" s="174">
        <f t="shared" si="137"/>
        <v>45</v>
      </c>
      <c r="P685" s="174">
        <f>VLOOKUP(D685,原始分!$D:$N,8,0)</f>
        <v>0</v>
      </c>
      <c r="Q685" s="174">
        <f t="shared" si="138"/>
        <v>541</v>
      </c>
      <c r="R685" s="174">
        <f>VLOOKUP(D685,原始分!$D:$N,9,0)</f>
        <v>0</v>
      </c>
      <c r="S685" s="174">
        <f t="shared" si="139"/>
        <v>320</v>
      </c>
      <c r="T685" s="174">
        <f>VLOOKUP(D685,原始分!$D:$N,10,0)</f>
        <v>62.25</v>
      </c>
      <c r="U685" s="174">
        <f t="shared" si="140"/>
        <v>80</v>
      </c>
      <c r="V685" s="174">
        <f>VLOOKUP(D685,原始分!$D:$N,11,0)</f>
        <v>59.5</v>
      </c>
      <c r="W685" s="174">
        <f t="shared" si="141"/>
        <v>99</v>
      </c>
      <c r="X685" s="11">
        <f t="shared" si="142"/>
        <v>302</v>
      </c>
      <c r="Y685" s="9">
        <f t="shared" si="143"/>
        <v>348</v>
      </c>
      <c r="Z685" s="11">
        <f t="shared" si="144"/>
        <v>486.25</v>
      </c>
      <c r="AA685" s="9">
        <f t="shared" si="145"/>
        <v>59</v>
      </c>
    </row>
    <row r="686" ht="14.25" spans="1:27">
      <c r="A686" s="13">
        <v>684</v>
      </c>
      <c r="B686" s="15">
        <v>14</v>
      </c>
      <c r="C686" s="16">
        <v>25</v>
      </c>
      <c r="D686" s="15" t="s">
        <v>1374</v>
      </c>
      <c r="E686" s="15" t="s">
        <v>1375</v>
      </c>
      <c r="F686" s="174">
        <f>VLOOKUP(D686,原始分!$D:$N,3,0)</f>
        <v>107</v>
      </c>
      <c r="G686" s="174">
        <f t="shared" si="133"/>
        <v>113</v>
      </c>
      <c r="H686" s="174">
        <f>VLOOKUP(D686,原始分!$D:$N,4,0)</f>
        <v>95</v>
      </c>
      <c r="I686" s="174">
        <f t="shared" si="134"/>
        <v>510</v>
      </c>
      <c r="J686" s="174">
        <f>VLOOKUP(D686,原始分!$D:$N,5,0)</f>
        <v>113.25</v>
      </c>
      <c r="K686" s="174">
        <f t="shared" si="135"/>
        <v>127</v>
      </c>
      <c r="L686" s="174">
        <f>VLOOKUP(D686,原始分!$D:$N,6,0)</f>
        <v>0</v>
      </c>
      <c r="M686" s="174">
        <f t="shared" si="136"/>
        <v>664</v>
      </c>
      <c r="N686" s="174">
        <f>VLOOKUP(D686,原始分!$D:$N,7,0)</f>
        <v>66</v>
      </c>
      <c r="O686" s="174">
        <f t="shared" si="137"/>
        <v>24</v>
      </c>
      <c r="P686" s="174">
        <f>VLOOKUP(D686,原始分!$D:$N,8,0)</f>
        <v>0</v>
      </c>
      <c r="Q686" s="174">
        <f t="shared" si="138"/>
        <v>541</v>
      </c>
      <c r="R686" s="174">
        <f>VLOOKUP(D686,原始分!$D:$N,9,0)</f>
        <v>0</v>
      </c>
      <c r="S686" s="174">
        <f t="shared" si="139"/>
        <v>320</v>
      </c>
      <c r="T686" s="174">
        <f>VLOOKUP(D686,原始分!$D:$N,10,0)</f>
        <v>64</v>
      </c>
      <c r="U686" s="174">
        <f t="shared" si="140"/>
        <v>62</v>
      </c>
      <c r="V686" s="174">
        <f>VLOOKUP(D686,原始分!$D:$N,11,0)</f>
        <v>52</v>
      </c>
      <c r="W686" s="174">
        <f t="shared" si="141"/>
        <v>248</v>
      </c>
      <c r="X686" s="11">
        <f t="shared" si="142"/>
        <v>315.25</v>
      </c>
      <c r="Y686" s="9">
        <f t="shared" si="143"/>
        <v>202</v>
      </c>
      <c r="Z686" s="11">
        <f t="shared" si="144"/>
        <v>497.25</v>
      </c>
      <c r="AA686" s="9">
        <f t="shared" si="145"/>
        <v>44</v>
      </c>
    </row>
    <row r="687" ht="14.25" spans="1:27">
      <c r="A687" s="13">
        <v>685</v>
      </c>
      <c r="B687" s="15">
        <v>14</v>
      </c>
      <c r="C687" s="16">
        <v>26</v>
      </c>
      <c r="D687" s="15" t="s">
        <v>1376</v>
      </c>
      <c r="E687" s="15" t="s">
        <v>1377</v>
      </c>
      <c r="F687" s="174">
        <f>VLOOKUP(D687,原始分!$D:$N,3,0)</f>
        <v>90.5</v>
      </c>
      <c r="G687" s="174">
        <f t="shared" si="133"/>
        <v>765</v>
      </c>
      <c r="H687" s="174">
        <f>VLOOKUP(D687,原始分!$D:$N,4,0)</f>
        <v>86</v>
      </c>
      <c r="I687" s="174">
        <f t="shared" si="134"/>
        <v>692</v>
      </c>
      <c r="J687" s="174">
        <f>VLOOKUP(D687,原始分!$D:$N,5,0)</f>
        <v>106.5</v>
      </c>
      <c r="K687" s="174">
        <f t="shared" si="135"/>
        <v>235</v>
      </c>
      <c r="L687" s="174">
        <f>VLOOKUP(D687,原始分!$D:$N,6,0)</f>
        <v>0</v>
      </c>
      <c r="M687" s="174">
        <f t="shared" si="136"/>
        <v>664</v>
      </c>
      <c r="N687" s="174">
        <f>VLOOKUP(D687,原始分!$D:$N,7,0)</f>
        <v>70.5</v>
      </c>
      <c r="O687" s="174">
        <f t="shared" si="137"/>
        <v>7</v>
      </c>
      <c r="P687" s="174">
        <f>VLOOKUP(D687,原始分!$D:$N,8,0)</f>
        <v>0</v>
      </c>
      <c r="Q687" s="174">
        <f t="shared" si="138"/>
        <v>541</v>
      </c>
      <c r="R687" s="174">
        <f>VLOOKUP(D687,原始分!$D:$N,9,0)</f>
        <v>0</v>
      </c>
      <c r="S687" s="174">
        <f t="shared" si="139"/>
        <v>320</v>
      </c>
      <c r="T687" s="174">
        <f>VLOOKUP(D687,原始分!$D:$N,10,0)</f>
        <v>51</v>
      </c>
      <c r="U687" s="174">
        <f t="shared" si="140"/>
        <v>240</v>
      </c>
      <c r="V687" s="174">
        <f>VLOOKUP(D687,原始分!$D:$N,11,0)</f>
        <v>45</v>
      </c>
      <c r="W687" s="174">
        <f t="shared" si="141"/>
        <v>410</v>
      </c>
      <c r="X687" s="11">
        <f t="shared" si="142"/>
        <v>283</v>
      </c>
      <c r="Y687" s="9">
        <f t="shared" si="143"/>
        <v>564</v>
      </c>
      <c r="Z687" s="11">
        <f t="shared" si="144"/>
        <v>449.5</v>
      </c>
      <c r="AA687" s="9">
        <f t="shared" si="145"/>
        <v>133</v>
      </c>
    </row>
    <row r="688" ht="14.25" spans="1:27">
      <c r="A688" s="13">
        <v>686</v>
      </c>
      <c r="B688" s="15">
        <v>14</v>
      </c>
      <c r="C688" s="16">
        <v>27</v>
      </c>
      <c r="D688" s="15" t="s">
        <v>1378</v>
      </c>
      <c r="E688" s="15" t="s">
        <v>1379</v>
      </c>
      <c r="F688" s="174">
        <f>VLOOKUP(D688,原始分!$D:$N,3,0)</f>
        <v>98.5</v>
      </c>
      <c r="G688" s="174">
        <f t="shared" si="133"/>
        <v>469</v>
      </c>
      <c r="H688" s="174">
        <f>VLOOKUP(D688,原始分!$D:$N,4,0)</f>
        <v>106</v>
      </c>
      <c r="I688" s="174">
        <f t="shared" si="134"/>
        <v>297</v>
      </c>
      <c r="J688" s="174">
        <f>VLOOKUP(D688,原始分!$D:$N,5,0)</f>
        <v>78</v>
      </c>
      <c r="K688" s="174">
        <f t="shared" si="135"/>
        <v>764</v>
      </c>
      <c r="L688" s="174">
        <f>VLOOKUP(D688,原始分!$D:$N,6,0)</f>
        <v>0</v>
      </c>
      <c r="M688" s="174">
        <f t="shared" si="136"/>
        <v>664</v>
      </c>
      <c r="N688" s="174">
        <f>VLOOKUP(D688,原始分!$D:$N,7,0)</f>
        <v>51.5</v>
      </c>
      <c r="O688" s="174">
        <f t="shared" si="137"/>
        <v>150</v>
      </c>
      <c r="P688" s="174">
        <f>VLOOKUP(D688,原始分!$D:$N,8,0)</f>
        <v>0</v>
      </c>
      <c r="Q688" s="174">
        <f t="shared" si="138"/>
        <v>541</v>
      </c>
      <c r="R688" s="174">
        <f>VLOOKUP(D688,原始分!$D:$N,9,0)</f>
        <v>0</v>
      </c>
      <c r="S688" s="174">
        <f t="shared" si="139"/>
        <v>320</v>
      </c>
      <c r="T688" s="174">
        <f>VLOOKUP(D688,原始分!$D:$N,10,0)</f>
        <v>50.25</v>
      </c>
      <c r="U688" s="174">
        <f t="shared" si="140"/>
        <v>252</v>
      </c>
      <c r="V688" s="174">
        <f>VLOOKUP(D688,原始分!$D:$N,11,0)</f>
        <v>37</v>
      </c>
      <c r="W688" s="174">
        <f t="shared" si="141"/>
        <v>516</v>
      </c>
      <c r="X688" s="11">
        <f t="shared" si="142"/>
        <v>282.5</v>
      </c>
      <c r="Y688" s="9">
        <f t="shared" si="143"/>
        <v>571</v>
      </c>
      <c r="Z688" s="11">
        <f t="shared" si="144"/>
        <v>421.25</v>
      </c>
      <c r="AA688" s="9">
        <f t="shared" si="145"/>
        <v>177</v>
      </c>
    </row>
    <row r="689" ht="14.25" spans="1:27">
      <c r="A689" s="13">
        <v>687</v>
      </c>
      <c r="B689" s="15">
        <v>14</v>
      </c>
      <c r="C689" s="16">
        <v>28</v>
      </c>
      <c r="D689" s="15" t="s">
        <v>1380</v>
      </c>
      <c r="E689" s="15" t="s">
        <v>1381</v>
      </c>
      <c r="F689" s="174">
        <f>VLOOKUP(D689,原始分!$D:$N,3,0)</f>
        <v>102.5</v>
      </c>
      <c r="G689" s="174">
        <f t="shared" si="133"/>
        <v>279</v>
      </c>
      <c r="H689" s="174">
        <f>VLOOKUP(D689,原始分!$D:$N,4,0)</f>
        <v>92</v>
      </c>
      <c r="I689" s="174">
        <f t="shared" si="134"/>
        <v>578</v>
      </c>
      <c r="J689" s="174">
        <f>VLOOKUP(D689,原始分!$D:$N,5,0)</f>
        <v>101</v>
      </c>
      <c r="K689" s="174">
        <f t="shared" si="135"/>
        <v>349</v>
      </c>
      <c r="L689" s="174">
        <f>VLOOKUP(D689,原始分!$D:$N,6,0)</f>
        <v>0</v>
      </c>
      <c r="M689" s="174">
        <f t="shared" si="136"/>
        <v>664</v>
      </c>
      <c r="N689" s="174">
        <f>VLOOKUP(D689,原始分!$D:$N,7,0)</f>
        <v>59.5</v>
      </c>
      <c r="O689" s="174">
        <f t="shared" si="137"/>
        <v>69</v>
      </c>
      <c r="P689" s="174">
        <f>VLOOKUP(D689,原始分!$D:$N,8,0)</f>
        <v>0</v>
      </c>
      <c r="Q689" s="174">
        <f t="shared" si="138"/>
        <v>541</v>
      </c>
      <c r="R689" s="174">
        <f>VLOOKUP(D689,原始分!$D:$N,9,0)</f>
        <v>0</v>
      </c>
      <c r="S689" s="174">
        <f t="shared" si="139"/>
        <v>320</v>
      </c>
      <c r="T689" s="174">
        <f>VLOOKUP(D689,原始分!$D:$N,10,0)</f>
        <v>55</v>
      </c>
      <c r="U689" s="174">
        <f t="shared" si="140"/>
        <v>193</v>
      </c>
      <c r="V689" s="174">
        <f>VLOOKUP(D689,原始分!$D:$N,11,0)</f>
        <v>48.5</v>
      </c>
      <c r="W689" s="174">
        <f t="shared" si="141"/>
        <v>330</v>
      </c>
      <c r="X689" s="11">
        <f t="shared" si="142"/>
        <v>295.5</v>
      </c>
      <c r="Y689" s="9">
        <f t="shared" si="143"/>
        <v>423</v>
      </c>
      <c r="Z689" s="11">
        <f t="shared" si="144"/>
        <v>458.5</v>
      </c>
      <c r="AA689" s="9">
        <f t="shared" si="145"/>
        <v>115</v>
      </c>
    </row>
    <row r="690" ht="14.25" spans="1:27">
      <c r="A690" s="13">
        <v>688</v>
      </c>
      <c r="B690" s="15">
        <v>14</v>
      </c>
      <c r="C690" s="16">
        <v>29</v>
      </c>
      <c r="D690" s="15" t="s">
        <v>1382</v>
      </c>
      <c r="E690" s="15" t="s">
        <v>1383</v>
      </c>
      <c r="F690" s="174">
        <f>VLOOKUP(D690,原始分!$D:$N,3,0)</f>
        <v>89.5</v>
      </c>
      <c r="G690" s="174">
        <f t="shared" si="133"/>
        <v>789</v>
      </c>
      <c r="H690" s="174">
        <f>VLOOKUP(D690,原始分!$D:$N,4,0)</f>
        <v>97.5</v>
      </c>
      <c r="I690" s="174">
        <f t="shared" si="134"/>
        <v>464</v>
      </c>
      <c r="J690" s="174">
        <f>VLOOKUP(D690,原始分!$D:$N,5,0)</f>
        <v>74</v>
      </c>
      <c r="K690" s="174">
        <f t="shared" si="135"/>
        <v>799</v>
      </c>
      <c r="L690" s="174">
        <f>VLOOKUP(D690,原始分!$D:$N,6,0)</f>
        <v>0</v>
      </c>
      <c r="M690" s="174">
        <f t="shared" si="136"/>
        <v>664</v>
      </c>
      <c r="N690" s="174">
        <f>VLOOKUP(D690,原始分!$D:$N,7,0)</f>
        <v>45</v>
      </c>
      <c r="O690" s="174">
        <f t="shared" si="137"/>
        <v>193</v>
      </c>
      <c r="P690" s="174">
        <f>VLOOKUP(D690,原始分!$D:$N,8,0)</f>
        <v>0</v>
      </c>
      <c r="Q690" s="174">
        <f t="shared" si="138"/>
        <v>541</v>
      </c>
      <c r="R690" s="174">
        <f>VLOOKUP(D690,原始分!$D:$N,9,0)</f>
        <v>0</v>
      </c>
      <c r="S690" s="174">
        <f t="shared" si="139"/>
        <v>320</v>
      </c>
      <c r="T690" s="174">
        <f>VLOOKUP(D690,原始分!$D:$N,10,0)</f>
        <v>49</v>
      </c>
      <c r="U690" s="174">
        <f t="shared" si="140"/>
        <v>262</v>
      </c>
      <c r="V690" s="174">
        <f>VLOOKUP(D690,原始分!$D:$N,11,0)</f>
        <v>46</v>
      </c>
      <c r="W690" s="174">
        <f t="shared" si="141"/>
        <v>386</v>
      </c>
      <c r="X690" s="11">
        <f t="shared" si="142"/>
        <v>261</v>
      </c>
      <c r="Y690" s="9">
        <f t="shared" si="143"/>
        <v>769</v>
      </c>
      <c r="Z690" s="11">
        <f t="shared" si="144"/>
        <v>401</v>
      </c>
      <c r="AA690" s="9">
        <f t="shared" si="145"/>
        <v>193</v>
      </c>
    </row>
    <row r="691" ht="14.25" spans="1:27">
      <c r="A691" s="13">
        <v>689</v>
      </c>
      <c r="B691" s="15">
        <v>14</v>
      </c>
      <c r="C691" s="16">
        <v>30</v>
      </c>
      <c r="D691" s="15" t="s">
        <v>1384</v>
      </c>
      <c r="E691" s="15" t="s">
        <v>1385</v>
      </c>
      <c r="F691" s="174">
        <f>VLOOKUP(D691,原始分!$D:$N,3,0)</f>
        <v>92</v>
      </c>
      <c r="G691" s="174">
        <f t="shared" si="133"/>
        <v>723</v>
      </c>
      <c r="H691" s="174">
        <f>VLOOKUP(D691,原始分!$D:$N,4,0)</f>
        <v>79</v>
      </c>
      <c r="I691" s="174">
        <f t="shared" si="134"/>
        <v>761</v>
      </c>
      <c r="J691" s="174">
        <f>VLOOKUP(D691,原始分!$D:$N,5,0)</f>
        <v>72.5</v>
      </c>
      <c r="K691" s="174">
        <f t="shared" si="135"/>
        <v>809</v>
      </c>
      <c r="L691" s="174">
        <f>VLOOKUP(D691,原始分!$D:$N,6,0)</f>
        <v>0</v>
      </c>
      <c r="M691" s="174">
        <f t="shared" si="136"/>
        <v>664</v>
      </c>
      <c r="N691" s="174">
        <f>VLOOKUP(D691,原始分!$D:$N,7,0)</f>
        <v>45</v>
      </c>
      <c r="O691" s="174">
        <f t="shared" si="137"/>
        <v>193</v>
      </c>
      <c r="P691" s="174">
        <f>VLOOKUP(D691,原始分!$D:$N,8,0)</f>
        <v>0</v>
      </c>
      <c r="Q691" s="174">
        <f t="shared" si="138"/>
        <v>541</v>
      </c>
      <c r="R691" s="174">
        <f>VLOOKUP(D691,原始分!$D:$N,9,0)</f>
        <v>0</v>
      </c>
      <c r="S691" s="174">
        <f t="shared" si="139"/>
        <v>320</v>
      </c>
      <c r="T691" s="174">
        <f>VLOOKUP(D691,原始分!$D:$N,10,0)</f>
        <v>47.5</v>
      </c>
      <c r="U691" s="174">
        <f t="shared" si="140"/>
        <v>278</v>
      </c>
      <c r="V691" s="174">
        <f>VLOOKUP(D691,原始分!$D:$N,11,0)</f>
        <v>57.5</v>
      </c>
      <c r="W691" s="174">
        <f t="shared" si="141"/>
        <v>130</v>
      </c>
      <c r="X691" s="11">
        <f t="shared" si="142"/>
        <v>243.5</v>
      </c>
      <c r="Y691" s="9">
        <f t="shared" si="143"/>
        <v>821</v>
      </c>
      <c r="Z691" s="11">
        <f t="shared" si="144"/>
        <v>393.5</v>
      </c>
      <c r="AA691" s="9">
        <f t="shared" si="145"/>
        <v>196</v>
      </c>
    </row>
    <row r="692" ht="14.25" spans="1:27">
      <c r="A692" s="13">
        <v>690</v>
      </c>
      <c r="B692" s="15">
        <v>14</v>
      </c>
      <c r="C692" s="16">
        <v>31</v>
      </c>
      <c r="D692" s="15" t="s">
        <v>1386</v>
      </c>
      <c r="E692" s="15" t="s">
        <v>1387</v>
      </c>
      <c r="F692" s="174">
        <f>VLOOKUP(D692,原始分!$D:$N,3,0)</f>
        <v>91.5</v>
      </c>
      <c r="G692" s="174">
        <f t="shared" si="133"/>
        <v>730</v>
      </c>
      <c r="H692" s="174">
        <f>VLOOKUP(D692,原始分!$D:$N,4,0)</f>
        <v>106.5</v>
      </c>
      <c r="I692" s="174">
        <f t="shared" si="134"/>
        <v>286</v>
      </c>
      <c r="J692" s="174">
        <f>VLOOKUP(D692,原始分!$D:$N,5,0)</f>
        <v>110</v>
      </c>
      <c r="K692" s="174">
        <f t="shared" si="135"/>
        <v>173</v>
      </c>
      <c r="L692" s="174">
        <f>VLOOKUP(D692,原始分!$D:$N,6,0)</f>
        <v>0</v>
      </c>
      <c r="M692" s="174">
        <f t="shared" si="136"/>
        <v>664</v>
      </c>
      <c r="N692" s="174">
        <f>VLOOKUP(D692,原始分!$D:$N,7,0)</f>
        <v>55</v>
      </c>
      <c r="O692" s="174">
        <f t="shared" si="137"/>
        <v>124</v>
      </c>
      <c r="P692" s="174">
        <f>VLOOKUP(D692,原始分!$D:$N,8,0)</f>
        <v>0</v>
      </c>
      <c r="Q692" s="174">
        <f t="shared" si="138"/>
        <v>541</v>
      </c>
      <c r="R692" s="174">
        <f>VLOOKUP(D692,原始分!$D:$N,9,0)</f>
        <v>0</v>
      </c>
      <c r="S692" s="174">
        <f t="shared" si="139"/>
        <v>320</v>
      </c>
      <c r="T692" s="174">
        <f>VLOOKUP(D692,原始分!$D:$N,10,0)</f>
        <v>64.5</v>
      </c>
      <c r="U692" s="174">
        <f t="shared" si="140"/>
        <v>55</v>
      </c>
      <c r="V692" s="174">
        <f>VLOOKUP(D692,原始分!$D:$N,11,0)</f>
        <v>51</v>
      </c>
      <c r="W692" s="174">
        <f t="shared" si="141"/>
        <v>278</v>
      </c>
      <c r="X692" s="11">
        <f t="shared" si="142"/>
        <v>308</v>
      </c>
      <c r="Y692" s="9">
        <f t="shared" si="143"/>
        <v>289</v>
      </c>
      <c r="Z692" s="11">
        <f t="shared" si="144"/>
        <v>478.5</v>
      </c>
      <c r="AA692" s="9">
        <f t="shared" si="145"/>
        <v>76</v>
      </c>
    </row>
    <row r="693" ht="14.25" spans="1:27">
      <c r="A693" s="13">
        <v>691</v>
      </c>
      <c r="B693" s="15">
        <v>14</v>
      </c>
      <c r="C693" s="16">
        <v>33</v>
      </c>
      <c r="D693" s="15" t="s">
        <v>1388</v>
      </c>
      <c r="E693" s="15" t="s">
        <v>1389</v>
      </c>
      <c r="F693" s="174">
        <f>VLOOKUP(D693,原始分!$D:$N,3,0)</f>
        <v>100.5</v>
      </c>
      <c r="G693" s="174">
        <f t="shared" si="133"/>
        <v>370</v>
      </c>
      <c r="H693" s="174">
        <f>VLOOKUP(D693,原始分!$D:$N,4,0)</f>
        <v>112</v>
      </c>
      <c r="I693" s="174">
        <f t="shared" si="134"/>
        <v>180</v>
      </c>
      <c r="J693" s="174">
        <f>VLOOKUP(D693,原始分!$D:$N,5,0)</f>
        <v>90.5</v>
      </c>
      <c r="K693" s="174">
        <f t="shared" si="135"/>
        <v>579</v>
      </c>
      <c r="L693" s="174">
        <f>VLOOKUP(D693,原始分!$D:$N,6,0)</f>
        <v>0</v>
      </c>
      <c r="M693" s="174">
        <f t="shared" si="136"/>
        <v>664</v>
      </c>
      <c r="N693" s="174">
        <f>VLOOKUP(D693,原始分!$D:$N,7,0)</f>
        <v>56</v>
      </c>
      <c r="O693" s="174">
        <f t="shared" si="137"/>
        <v>107</v>
      </c>
      <c r="P693" s="174">
        <f>VLOOKUP(D693,原始分!$D:$N,8,0)</f>
        <v>0</v>
      </c>
      <c r="Q693" s="174">
        <f t="shared" si="138"/>
        <v>541</v>
      </c>
      <c r="R693" s="174">
        <f>VLOOKUP(D693,原始分!$D:$N,9,0)</f>
        <v>0</v>
      </c>
      <c r="S693" s="174">
        <f t="shared" si="139"/>
        <v>320</v>
      </c>
      <c r="T693" s="174">
        <f>VLOOKUP(D693,原始分!$D:$N,10,0)</f>
        <v>65</v>
      </c>
      <c r="U693" s="174">
        <f t="shared" si="140"/>
        <v>47</v>
      </c>
      <c r="V693" s="174">
        <f>VLOOKUP(D693,原始分!$D:$N,11,0)</f>
        <v>45.5</v>
      </c>
      <c r="W693" s="174">
        <f t="shared" si="141"/>
        <v>399</v>
      </c>
      <c r="X693" s="11">
        <f t="shared" si="142"/>
        <v>303</v>
      </c>
      <c r="Y693" s="9">
        <f t="shared" si="143"/>
        <v>335</v>
      </c>
      <c r="Z693" s="11">
        <f t="shared" si="144"/>
        <v>469.5</v>
      </c>
      <c r="AA693" s="9">
        <f t="shared" si="145"/>
        <v>92</v>
      </c>
    </row>
    <row r="694" ht="14.25" spans="1:27">
      <c r="A694" s="13">
        <v>692</v>
      </c>
      <c r="B694" s="15">
        <v>14</v>
      </c>
      <c r="C694" s="16">
        <v>34</v>
      </c>
      <c r="D694" s="15" t="s">
        <v>1390</v>
      </c>
      <c r="E694" s="15" t="s">
        <v>1115</v>
      </c>
      <c r="F694" s="174">
        <f>VLOOKUP(D694,原始分!$D:$N,3,0)</f>
        <v>104</v>
      </c>
      <c r="G694" s="174">
        <f t="shared" si="133"/>
        <v>209</v>
      </c>
      <c r="H694" s="174">
        <f>VLOOKUP(D694,原始分!$D:$N,4,0)</f>
        <v>94</v>
      </c>
      <c r="I694" s="174">
        <f t="shared" si="134"/>
        <v>538</v>
      </c>
      <c r="J694" s="174">
        <f>VLOOKUP(D694,原始分!$D:$N,5,0)</f>
        <v>114</v>
      </c>
      <c r="K694" s="174">
        <f t="shared" si="135"/>
        <v>116</v>
      </c>
      <c r="L694" s="174">
        <f>VLOOKUP(D694,原始分!$D:$N,6,0)</f>
        <v>0</v>
      </c>
      <c r="M694" s="174">
        <f t="shared" si="136"/>
        <v>664</v>
      </c>
      <c r="N694" s="174">
        <f>VLOOKUP(D694,原始分!$D:$N,7,0)</f>
        <v>60</v>
      </c>
      <c r="O694" s="174">
        <f t="shared" si="137"/>
        <v>67</v>
      </c>
      <c r="P694" s="174">
        <f>VLOOKUP(D694,原始分!$D:$N,8,0)</f>
        <v>0</v>
      </c>
      <c r="Q694" s="174">
        <f t="shared" si="138"/>
        <v>541</v>
      </c>
      <c r="R694" s="174">
        <f>VLOOKUP(D694,原始分!$D:$N,9,0)</f>
        <v>0</v>
      </c>
      <c r="S694" s="174">
        <f t="shared" si="139"/>
        <v>320</v>
      </c>
      <c r="T694" s="174">
        <f>VLOOKUP(D694,原始分!$D:$N,10,0)</f>
        <v>58</v>
      </c>
      <c r="U694" s="174">
        <f t="shared" si="140"/>
        <v>144</v>
      </c>
      <c r="V694" s="174">
        <f>VLOOKUP(D694,原始分!$D:$N,11,0)</f>
        <v>45</v>
      </c>
      <c r="W694" s="174">
        <f t="shared" si="141"/>
        <v>410</v>
      </c>
      <c r="X694" s="11">
        <f t="shared" si="142"/>
        <v>312</v>
      </c>
      <c r="Y694" s="9">
        <f t="shared" si="143"/>
        <v>235</v>
      </c>
      <c r="Z694" s="11">
        <f t="shared" si="144"/>
        <v>475</v>
      </c>
      <c r="AA694" s="9">
        <f t="shared" si="145"/>
        <v>82</v>
      </c>
    </row>
    <row r="695" ht="14.25" spans="1:27">
      <c r="A695" s="13">
        <v>693</v>
      </c>
      <c r="B695" s="15">
        <v>14</v>
      </c>
      <c r="C695" s="16">
        <v>35</v>
      </c>
      <c r="D695" s="15" t="s">
        <v>1391</v>
      </c>
      <c r="E695" s="15" t="s">
        <v>1392</v>
      </c>
      <c r="F695" s="174">
        <f>VLOOKUP(D695,原始分!$D:$N,3,0)</f>
        <v>100</v>
      </c>
      <c r="G695" s="174">
        <f t="shared" si="133"/>
        <v>400</v>
      </c>
      <c r="H695" s="174">
        <f>VLOOKUP(D695,原始分!$D:$N,4,0)</f>
        <v>100</v>
      </c>
      <c r="I695" s="174">
        <f t="shared" si="134"/>
        <v>416</v>
      </c>
      <c r="J695" s="174">
        <f>VLOOKUP(D695,原始分!$D:$N,5,0)</f>
        <v>92</v>
      </c>
      <c r="K695" s="174">
        <f t="shared" si="135"/>
        <v>550</v>
      </c>
      <c r="L695" s="174">
        <f>VLOOKUP(D695,原始分!$D:$N,6,0)</f>
        <v>0</v>
      </c>
      <c r="M695" s="174">
        <f t="shared" si="136"/>
        <v>664</v>
      </c>
      <c r="N695" s="174">
        <f>VLOOKUP(D695,原始分!$D:$N,7,0)</f>
        <v>62.5</v>
      </c>
      <c r="O695" s="174">
        <f t="shared" si="137"/>
        <v>45</v>
      </c>
      <c r="P695" s="174">
        <f>VLOOKUP(D695,原始分!$D:$N,8,0)</f>
        <v>0</v>
      </c>
      <c r="Q695" s="174">
        <f t="shared" si="138"/>
        <v>541</v>
      </c>
      <c r="R695" s="174">
        <f>VLOOKUP(D695,原始分!$D:$N,9,0)</f>
        <v>0</v>
      </c>
      <c r="S695" s="174">
        <f t="shared" si="139"/>
        <v>320</v>
      </c>
      <c r="T695" s="174">
        <f>VLOOKUP(D695,原始分!$D:$N,10,0)</f>
        <v>48.5</v>
      </c>
      <c r="U695" s="174">
        <f t="shared" si="140"/>
        <v>265</v>
      </c>
      <c r="V695" s="174">
        <f>VLOOKUP(D695,原始分!$D:$N,11,0)</f>
        <v>45.5</v>
      </c>
      <c r="W695" s="174">
        <f t="shared" si="141"/>
        <v>399</v>
      </c>
      <c r="X695" s="11">
        <f t="shared" si="142"/>
        <v>292</v>
      </c>
      <c r="Y695" s="9">
        <f t="shared" si="143"/>
        <v>472</v>
      </c>
      <c r="Z695" s="11">
        <f t="shared" si="144"/>
        <v>448.5</v>
      </c>
      <c r="AA695" s="9">
        <f t="shared" si="145"/>
        <v>136</v>
      </c>
    </row>
    <row r="696" ht="14.25" spans="1:27">
      <c r="A696" s="13">
        <v>694</v>
      </c>
      <c r="B696" s="15">
        <v>14</v>
      </c>
      <c r="C696" s="16">
        <v>36</v>
      </c>
      <c r="D696" s="15" t="s">
        <v>1393</v>
      </c>
      <c r="E696" s="15" t="s">
        <v>1394</v>
      </c>
      <c r="F696" s="174">
        <f>VLOOKUP(D696,原始分!$D:$N,3,0)</f>
        <v>103</v>
      </c>
      <c r="G696" s="174">
        <f t="shared" si="133"/>
        <v>260</v>
      </c>
      <c r="H696" s="174">
        <f>VLOOKUP(D696,原始分!$D:$N,4,0)</f>
        <v>88.5</v>
      </c>
      <c r="I696" s="174">
        <f t="shared" si="134"/>
        <v>641</v>
      </c>
      <c r="J696" s="174">
        <f>VLOOKUP(D696,原始分!$D:$N,5,0)</f>
        <v>98.5</v>
      </c>
      <c r="K696" s="174">
        <f t="shared" si="135"/>
        <v>412</v>
      </c>
      <c r="L696" s="174">
        <f>VLOOKUP(D696,原始分!$D:$N,6,0)</f>
        <v>0</v>
      </c>
      <c r="M696" s="174">
        <f t="shared" si="136"/>
        <v>664</v>
      </c>
      <c r="N696" s="174">
        <f>VLOOKUP(D696,原始分!$D:$N,7,0)</f>
        <v>53.5</v>
      </c>
      <c r="O696" s="174">
        <f t="shared" si="137"/>
        <v>136</v>
      </c>
      <c r="P696" s="174">
        <f>VLOOKUP(D696,原始分!$D:$N,8,0)</f>
        <v>0</v>
      </c>
      <c r="Q696" s="174">
        <f t="shared" si="138"/>
        <v>541</v>
      </c>
      <c r="R696" s="174">
        <f>VLOOKUP(D696,原始分!$D:$N,9,0)</f>
        <v>0</v>
      </c>
      <c r="S696" s="174">
        <f t="shared" si="139"/>
        <v>320</v>
      </c>
      <c r="T696" s="174">
        <f>VLOOKUP(D696,原始分!$D:$N,10,0)</f>
        <v>60.75</v>
      </c>
      <c r="U696" s="174">
        <f t="shared" si="140"/>
        <v>102</v>
      </c>
      <c r="V696" s="174">
        <f>VLOOKUP(D696,原始分!$D:$N,11,0)</f>
        <v>52.5</v>
      </c>
      <c r="W696" s="174">
        <f t="shared" si="141"/>
        <v>235</v>
      </c>
      <c r="X696" s="11">
        <f t="shared" si="142"/>
        <v>290</v>
      </c>
      <c r="Y696" s="9">
        <f t="shared" si="143"/>
        <v>498</v>
      </c>
      <c r="Z696" s="11">
        <f t="shared" si="144"/>
        <v>456.75</v>
      </c>
      <c r="AA696" s="9">
        <f t="shared" si="145"/>
        <v>120</v>
      </c>
    </row>
    <row r="697" ht="14.25" spans="1:27">
      <c r="A697" s="13">
        <v>695</v>
      </c>
      <c r="B697" s="15">
        <v>14</v>
      </c>
      <c r="C697" s="16">
        <v>37</v>
      </c>
      <c r="D697" s="15" t="s">
        <v>1395</v>
      </c>
      <c r="E697" s="15" t="s">
        <v>1396</v>
      </c>
      <c r="F697" s="174">
        <f>VLOOKUP(D697,原始分!$D:$N,3,0)</f>
        <v>102.5</v>
      </c>
      <c r="G697" s="174">
        <f t="shared" si="133"/>
        <v>279</v>
      </c>
      <c r="H697" s="174">
        <f>VLOOKUP(D697,原始分!$D:$N,4,0)</f>
        <v>91</v>
      </c>
      <c r="I697" s="174">
        <f t="shared" si="134"/>
        <v>592</v>
      </c>
      <c r="J697" s="174">
        <f>VLOOKUP(D697,原始分!$D:$N,5,0)</f>
        <v>97</v>
      </c>
      <c r="K697" s="174">
        <f t="shared" si="135"/>
        <v>444</v>
      </c>
      <c r="L697" s="174">
        <f>VLOOKUP(D697,原始分!$D:$N,6,0)</f>
        <v>0</v>
      </c>
      <c r="M697" s="174">
        <f t="shared" si="136"/>
        <v>664</v>
      </c>
      <c r="N697" s="174">
        <f>VLOOKUP(D697,原始分!$D:$N,7,0)</f>
        <v>59.5</v>
      </c>
      <c r="O697" s="174">
        <f t="shared" si="137"/>
        <v>69</v>
      </c>
      <c r="P697" s="174">
        <f>VLOOKUP(D697,原始分!$D:$N,8,0)</f>
        <v>0</v>
      </c>
      <c r="Q697" s="174">
        <f t="shared" si="138"/>
        <v>541</v>
      </c>
      <c r="R697" s="174">
        <f>VLOOKUP(D697,原始分!$D:$N,9,0)</f>
        <v>0</v>
      </c>
      <c r="S697" s="174">
        <f t="shared" si="139"/>
        <v>320</v>
      </c>
      <c r="T697" s="174">
        <f>VLOOKUP(D697,原始分!$D:$N,10,0)</f>
        <v>58.5</v>
      </c>
      <c r="U697" s="174">
        <f t="shared" si="140"/>
        <v>132</v>
      </c>
      <c r="V697" s="174">
        <f>VLOOKUP(D697,原始分!$D:$N,11,0)</f>
        <v>43</v>
      </c>
      <c r="W697" s="174">
        <f t="shared" si="141"/>
        <v>454</v>
      </c>
      <c r="X697" s="11">
        <f t="shared" si="142"/>
        <v>290.5</v>
      </c>
      <c r="Y697" s="9">
        <f t="shared" si="143"/>
        <v>490</v>
      </c>
      <c r="Z697" s="11">
        <f t="shared" si="144"/>
        <v>451.5</v>
      </c>
      <c r="AA697" s="9">
        <f t="shared" si="145"/>
        <v>131</v>
      </c>
    </row>
    <row r="698" ht="14.25" spans="1:27">
      <c r="A698" s="13">
        <v>696</v>
      </c>
      <c r="B698" s="15">
        <v>14</v>
      </c>
      <c r="C698" s="16">
        <v>38</v>
      </c>
      <c r="D698" s="15" t="s">
        <v>1397</v>
      </c>
      <c r="E698" s="15" t="s">
        <v>95</v>
      </c>
      <c r="F698" s="174">
        <f>VLOOKUP(D698,原始分!$D:$N,3,0)</f>
        <v>106</v>
      </c>
      <c r="G698" s="174">
        <f t="shared" si="133"/>
        <v>145</v>
      </c>
      <c r="H698" s="174">
        <f>VLOOKUP(D698,原始分!$D:$N,4,0)</f>
        <v>90.5</v>
      </c>
      <c r="I698" s="174">
        <f t="shared" si="134"/>
        <v>609</v>
      </c>
      <c r="J698" s="174">
        <f>VLOOKUP(D698,原始分!$D:$N,5,0)</f>
        <v>82</v>
      </c>
      <c r="K698" s="174">
        <f t="shared" si="135"/>
        <v>720</v>
      </c>
      <c r="L698" s="174">
        <f>VLOOKUP(D698,原始分!$D:$N,6,0)</f>
        <v>0</v>
      </c>
      <c r="M698" s="174">
        <f t="shared" si="136"/>
        <v>664</v>
      </c>
      <c r="N698" s="174">
        <f>VLOOKUP(D698,原始分!$D:$N,7,0)</f>
        <v>54.5</v>
      </c>
      <c r="O698" s="174">
        <f t="shared" si="137"/>
        <v>128</v>
      </c>
      <c r="P698" s="174">
        <f>VLOOKUP(D698,原始分!$D:$N,8,0)</f>
        <v>0</v>
      </c>
      <c r="Q698" s="174">
        <f t="shared" si="138"/>
        <v>541</v>
      </c>
      <c r="R698" s="174">
        <f>VLOOKUP(D698,原始分!$D:$N,9,0)</f>
        <v>0</v>
      </c>
      <c r="S698" s="174">
        <f t="shared" si="139"/>
        <v>320</v>
      </c>
      <c r="T698" s="174">
        <f>VLOOKUP(D698,原始分!$D:$N,10,0)</f>
        <v>41</v>
      </c>
      <c r="U698" s="174">
        <f t="shared" si="140"/>
        <v>309</v>
      </c>
      <c r="V698" s="174">
        <f>VLOOKUP(D698,原始分!$D:$N,11,0)</f>
        <v>35</v>
      </c>
      <c r="W698" s="174">
        <f t="shared" si="141"/>
        <v>528</v>
      </c>
      <c r="X698" s="11">
        <f t="shared" si="142"/>
        <v>278.5</v>
      </c>
      <c r="Y698" s="9">
        <f t="shared" si="143"/>
        <v>613</v>
      </c>
      <c r="Z698" s="11">
        <f t="shared" si="144"/>
        <v>409</v>
      </c>
      <c r="AA698" s="9">
        <f t="shared" si="145"/>
        <v>187</v>
      </c>
    </row>
    <row r="699" ht="14.25" spans="1:27">
      <c r="A699" s="13">
        <v>697</v>
      </c>
      <c r="B699" s="15">
        <v>14</v>
      </c>
      <c r="C699" s="16">
        <v>39</v>
      </c>
      <c r="D699" s="15" t="s">
        <v>1398</v>
      </c>
      <c r="E699" s="15" t="s">
        <v>1399</v>
      </c>
      <c r="F699" s="174">
        <f>VLOOKUP(D699,原始分!$D:$N,3,0)</f>
        <v>108.25</v>
      </c>
      <c r="G699" s="174">
        <f t="shared" si="133"/>
        <v>76</v>
      </c>
      <c r="H699" s="174">
        <f>VLOOKUP(D699,原始分!$D:$N,4,0)</f>
        <v>57</v>
      </c>
      <c r="I699" s="174">
        <f t="shared" si="134"/>
        <v>853</v>
      </c>
      <c r="J699" s="174">
        <f>VLOOKUP(D699,原始分!$D:$N,5,0)</f>
        <v>104.5</v>
      </c>
      <c r="K699" s="174">
        <f t="shared" si="135"/>
        <v>284</v>
      </c>
      <c r="L699" s="174">
        <f>VLOOKUP(D699,原始分!$D:$N,6,0)</f>
        <v>0</v>
      </c>
      <c r="M699" s="174">
        <f t="shared" si="136"/>
        <v>664</v>
      </c>
      <c r="N699" s="174">
        <f>VLOOKUP(D699,原始分!$D:$N,7,0)</f>
        <v>52</v>
      </c>
      <c r="O699" s="174">
        <f t="shared" si="137"/>
        <v>145</v>
      </c>
      <c r="P699" s="174">
        <f>VLOOKUP(D699,原始分!$D:$N,8,0)</f>
        <v>0</v>
      </c>
      <c r="Q699" s="174">
        <f t="shared" si="138"/>
        <v>541</v>
      </c>
      <c r="R699" s="174">
        <f>VLOOKUP(D699,原始分!$D:$N,9,0)</f>
        <v>0</v>
      </c>
      <c r="S699" s="174">
        <f t="shared" si="139"/>
        <v>320</v>
      </c>
      <c r="T699" s="174">
        <f>VLOOKUP(D699,原始分!$D:$N,10,0)</f>
        <v>57</v>
      </c>
      <c r="U699" s="174">
        <f t="shared" si="140"/>
        <v>157</v>
      </c>
      <c r="V699" s="174">
        <f>VLOOKUP(D699,原始分!$D:$N,11,0)</f>
        <v>42</v>
      </c>
      <c r="W699" s="174">
        <f t="shared" si="141"/>
        <v>472</v>
      </c>
      <c r="X699" s="11">
        <f t="shared" si="142"/>
        <v>269.75</v>
      </c>
      <c r="Y699" s="9">
        <f t="shared" si="143"/>
        <v>707</v>
      </c>
      <c r="Z699" s="11">
        <f t="shared" si="144"/>
        <v>420.75</v>
      </c>
      <c r="AA699" s="9">
        <f t="shared" si="145"/>
        <v>178</v>
      </c>
    </row>
    <row r="700" ht="14.25" spans="1:27">
      <c r="A700" s="13">
        <v>698</v>
      </c>
      <c r="B700" s="15">
        <v>14</v>
      </c>
      <c r="C700" s="16">
        <v>40</v>
      </c>
      <c r="D700" s="15" t="s">
        <v>1400</v>
      </c>
      <c r="E700" s="15" t="s">
        <v>1401</v>
      </c>
      <c r="F700" s="174">
        <f>VLOOKUP(D700,原始分!$D:$N,3,0)</f>
        <v>101</v>
      </c>
      <c r="G700" s="174">
        <f t="shared" si="133"/>
        <v>338</v>
      </c>
      <c r="H700" s="174">
        <f>VLOOKUP(D700,原始分!$D:$N,4,0)</f>
        <v>89.5</v>
      </c>
      <c r="I700" s="174">
        <f t="shared" si="134"/>
        <v>622</v>
      </c>
      <c r="J700" s="174">
        <f>VLOOKUP(D700,原始分!$D:$N,5,0)</f>
        <v>100.5</v>
      </c>
      <c r="K700" s="174">
        <f t="shared" si="135"/>
        <v>357</v>
      </c>
      <c r="L700" s="174">
        <f>VLOOKUP(D700,原始分!$D:$N,6,0)</f>
        <v>0</v>
      </c>
      <c r="M700" s="174">
        <f t="shared" si="136"/>
        <v>664</v>
      </c>
      <c r="N700" s="174">
        <f>VLOOKUP(D700,原始分!$D:$N,7,0)</f>
        <v>58</v>
      </c>
      <c r="O700" s="174">
        <f t="shared" si="137"/>
        <v>84</v>
      </c>
      <c r="P700" s="174">
        <f>VLOOKUP(D700,原始分!$D:$N,8,0)</f>
        <v>0</v>
      </c>
      <c r="Q700" s="174">
        <f t="shared" si="138"/>
        <v>541</v>
      </c>
      <c r="R700" s="174">
        <f>VLOOKUP(D700,原始分!$D:$N,9,0)</f>
        <v>0</v>
      </c>
      <c r="S700" s="174">
        <f t="shared" si="139"/>
        <v>320</v>
      </c>
      <c r="T700" s="174">
        <f>VLOOKUP(D700,原始分!$D:$N,10,0)</f>
        <v>62</v>
      </c>
      <c r="U700" s="174">
        <f t="shared" si="140"/>
        <v>81</v>
      </c>
      <c r="V700" s="174">
        <f>VLOOKUP(D700,原始分!$D:$N,11,0)</f>
        <v>48</v>
      </c>
      <c r="W700" s="174">
        <f t="shared" si="141"/>
        <v>341</v>
      </c>
      <c r="X700" s="11">
        <f t="shared" si="142"/>
        <v>291</v>
      </c>
      <c r="Y700" s="9">
        <f t="shared" si="143"/>
        <v>484</v>
      </c>
      <c r="Z700" s="11">
        <f t="shared" si="144"/>
        <v>459</v>
      </c>
      <c r="AA700" s="9">
        <f t="shared" si="145"/>
        <v>113</v>
      </c>
    </row>
    <row r="701" ht="14.25" spans="1:27">
      <c r="A701" s="13">
        <v>699</v>
      </c>
      <c r="B701" s="15">
        <v>14</v>
      </c>
      <c r="C701" s="16">
        <v>41</v>
      </c>
      <c r="D701" s="15" t="s">
        <v>1402</v>
      </c>
      <c r="E701" s="15" t="s">
        <v>1403</v>
      </c>
      <c r="F701" s="174">
        <f>VLOOKUP(D701,原始分!$D:$N,3,0)</f>
        <v>95.25</v>
      </c>
      <c r="G701" s="174">
        <f t="shared" si="133"/>
        <v>615</v>
      </c>
      <c r="H701" s="174">
        <f>VLOOKUP(D701,原始分!$D:$N,4,0)</f>
        <v>77</v>
      </c>
      <c r="I701" s="174">
        <f t="shared" si="134"/>
        <v>778</v>
      </c>
      <c r="J701" s="174">
        <f>VLOOKUP(D701,原始分!$D:$N,5,0)</f>
        <v>105.25</v>
      </c>
      <c r="K701" s="174">
        <f t="shared" si="135"/>
        <v>270</v>
      </c>
      <c r="L701" s="174">
        <f>VLOOKUP(D701,原始分!$D:$N,6,0)</f>
        <v>0</v>
      </c>
      <c r="M701" s="174">
        <f t="shared" si="136"/>
        <v>664</v>
      </c>
      <c r="N701" s="174">
        <f>VLOOKUP(D701,原始分!$D:$N,7,0)</f>
        <v>52</v>
      </c>
      <c r="O701" s="174">
        <f t="shared" si="137"/>
        <v>145</v>
      </c>
      <c r="P701" s="174">
        <f>VLOOKUP(D701,原始分!$D:$N,8,0)</f>
        <v>0</v>
      </c>
      <c r="Q701" s="174">
        <f t="shared" si="138"/>
        <v>541</v>
      </c>
      <c r="R701" s="174">
        <f>VLOOKUP(D701,原始分!$D:$N,9,0)</f>
        <v>0</v>
      </c>
      <c r="S701" s="174">
        <f t="shared" si="139"/>
        <v>320</v>
      </c>
      <c r="T701" s="174">
        <f>VLOOKUP(D701,原始分!$D:$N,10,0)</f>
        <v>58</v>
      </c>
      <c r="U701" s="174">
        <f t="shared" si="140"/>
        <v>144</v>
      </c>
      <c r="V701" s="174">
        <f>VLOOKUP(D701,原始分!$D:$N,11,0)</f>
        <v>40.5</v>
      </c>
      <c r="W701" s="174">
        <f t="shared" si="141"/>
        <v>486</v>
      </c>
      <c r="X701" s="11">
        <f t="shared" si="142"/>
        <v>277.5</v>
      </c>
      <c r="Y701" s="9">
        <f t="shared" si="143"/>
        <v>632</v>
      </c>
      <c r="Z701" s="11">
        <f t="shared" si="144"/>
        <v>428</v>
      </c>
      <c r="AA701" s="9">
        <f t="shared" si="145"/>
        <v>169</v>
      </c>
    </row>
    <row r="702" ht="14.25" spans="1:27">
      <c r="A702" s="13">
        <v>700</v>
      </c>
      <c r="B702" s="15">
        <v>14</v>
      </c>
      <c r="C702" s="16">
        <v>42</v>
      </c>
      <c r="D702" s="15" t="s">
        <v>1404</v>
      </c>
      <c r="E702" s="15" t="s">
        <v>1405</v>
      </c>
      <c r="F702" s="174">
        <f>VLOOKUP(D702,原始分!$D:$N,3,0)</f>
        <v>97.25</v>
      </c>
      <c r="G702" s="174">
        <f t="shared" si="133"/>
        <v>548</v>
      </c>
      <c r="H702" s="174">
        <f>VLOOKUP(D702,原始分!$D:$N,4,0)</f>
        <v>84.5</v>
      </c>
      <c r="I702" s="174">
        <f t="shared" si="134"/>
        <v>708</v>
      </c>
      <c r="J702" s="174">
        <f>VLOOKUP(D702,原始分!$D:$N,5,0)</f>
        <v>104.5</v>
      </c>
      <c r="K702" s="174">
        <f t="shared" si="135"/>
        <v>284</v>
      </c>
      <c r="L702" s="174">
        <f>VLOOKUP(D702,原始分!$D:$N,6,0)</f>
        <v>0</v>
      </c>
      <c r="M702" s="174">
        <f t="shared" si="136"/>
        <v>664</v>
      </c>
      <c r="N702" s="174">
        <f>VLOOKUP(D702,原始分!$D:$N,7,0)</f>
        <v>60.5</v>
      </c>
      <c r="O702" s="174">
        <f t="shared" si="137"/>
        <v>63</v>
      </c>
      <c r="P702" s="174">
        <f>VLOOKUP(D702,原始分!$D:$N,8,0)</f>
        <v>0</v>
      </c>
      <c r="Q702" s="174">
        <f t="shared" si="138"/>
        <v>541</v>
      </c>
      <c r="R702" s="174">
        <f>VLOOKUP(D702,原始分!$D:$N,9,0)</f>
        <v>0</v>
      </c>
      <c r="S702" s="174">
        <f t="shared" si="139"/>
        <v>320</v>
      </c>
      <c r="T702" s="174">
        <f>VLOOKUP(D702,原始分!$D:$N,10,0)</f>
        <v>64.5</v>
      </c>
      <c r="U702" s="174">
        <f t="shared" si="140"/>
        <v>55</v>
      </c>
      <c r="V702" s="174">
        <f>VLOOKUP(D702,原始分!$D:$N,11,0)</f>
        <v>53.5</v>
      </c>
      <c r="W702" s="174">
        <f t="shared" si="141"/>
        <v>208</v>
      </c>
      <c r="X702" s="11">
        <f t="shared" si="142"/>
        <v>286.25</v>
      </c>
      <c r="Y702" s="9">
        <f t="shared" si="143"/>
        <v>530</v>
      </c>
      <c r="Z702" s="11">
        <f t="shared" si="144"/>
        <v>464.75</v>
      </c>
      <c r="AA702" s="9">
        <f t="shared" si="145"/>
        <v>104</v>
      </c>
    </row>
    <row r="703" ht="14.25" spans="1:27">
      <c r="A703" s="13">
        <v>701</v>
      </c>
      <c r="B703" s="15">
        <v>14</v>
      </c>
      <c r="C703" s="16">
        <v>43</v>
      </c>
      <c r="D703" s="15" t="s">
        <v>1406</v>
      </c>
      <c r="E703" s="15" t="s">
        <v>1407</v>
      </c>
      <c r="F703" s="174">
        <f>VLOOKUP(D703,原始分!$D:$N,3,0)</f>
        <v>98</v>
      </c>
      <c r="G703" s="174">
        <f t="shared" si="133"/>
        <v>500</v>
      </c>
      <c r="H703" s="174">
        <f>VLOOKUP(D703,原始分!$D:$N,4,0)</f>
        <v>69</v>
      </c>
      <c r="I703" s="174">
        <f t="shared" si="134"/>
        <v>820</v>
      </c>
      <c r="J703" s="174">
        <f>VLOOKUP(D703,原始分!$D:$N,5,0)</f>
        <v>105.5</v>
      </c>
      <c r="K703" s="174">
        <f t="shared" si="135"/>
        <v>259</v>
      </c>
      <c r="L703" s="174">
        <f>VLOOKUP(D703,原始分!$D:$N,6,0)</f>
        <v>0</v>
      </c>
      <c r="M703" s="174">
        <f t="shared" si="136"/>
        <v>664</v>
      </c>
      <c r="N703" s="174">
        <f>VLOOKUP(D703,原始分!$D:$N,7,0)</f>
        <v>54.5</v>
      </c>
      <c r="O703" s="174">
        <f t="shared" si="137"/>
        <v>128</v>
      </c>
      <c r="P703" s="174">
        <f>VLOOKUP(D703,原始分!$D:$N,8,0)</f>
        <v>0</v>
      </c>
      <c r="Q703" s="174">
        <f t="shared" si="138"/>
        <v>541</v>
      </c>
      <c r="R703" s="174">
        <f>VLOOKUP(D703,原始分!$D:$N,9,0)</f>
        <v>0</v>
      </c>
      <c r="S703" s="174">
        <f t="shared" si="139"/>
        <v>320</v>
      </c>
      <c r="T703" s="174">
        <f>VLOOKUP(D703,原始分!$D:$N,10,0)</f>
        <v>55.5</v>
      </c>
      <c r="U703" s="174">
        <f t="shared" si="140"/>
        <v>187</v>
      </c>
      <c r="V703" s="174">
        <f>VLOOKUP(D703,原始分!$D:$N,11,0)</f>
        <v>50.5</v>
      </c>
      <c r="W703" s="174">
        <f t="shared" si="141"/>
        <v>293</v>
      </c>
      <c r="X703" s="11">
        <f t="shared" si="142"/>
        <v>272.5</v>
      </c>
      <c r="Y703" s="9">
        <f t="shared" si="143"/>
        <v>671</v>
      </c>
      <c r="Z703" s="11">
        <f t="shared" si="144"/>
        <v>433</v>
      </c>
      <c r="AA703" s="9">
        <f t="shared" si="145"/>
        <v>159</v>
      </c>
    </row>
    <row r="704" ht="14.25" spans="1:27">
      <c r="A704" s="13">
        <v>702</v>
      </c>
      <c r="B704" s="15">
        <v>14</v>
      </c>
      <c r="C704" s="16">
        <v>44</v>
      </c>
      <c r="D704" s="15" t="s">
        <v>1408</v>
      </c>
      <c r="E704" s="15" t="s">
        <v>1409</v>
      </c>
      <c r="F704" s="174">
        <f>VLOOKUP(D704,原始分!$D:$N,3,0)</f>
        <v>104.5</v>
      </c>
      <c r="G704" s="174">
        <f t="shared" si="133"/>
        <v>190</v>
      </c>
      <c r="H704" s="174">
        <f>VLOOKUP(D704,原始分!$D:$N,4,0)</f>
        <v>74.5</v>
      </c>
      <c r="I704" s="174">
        <f t="shared" si="134"/>
        <v>789</v>
      </c>
      <c r="J704" s="174">
        <f>VLOOKUP(D704,原始分!$D:$N,5,0)</f>
        <v>117.5</v>
      </c>
      <c r="K704" s="174">
        <f t="shared" si="135"/>
        <v>71</v>
      </c>
      <c r="L704" s="174">
        <f>VLOOKUP(D704,原始分!$D:$N,6,0)</f>
        <v>0</v>
      </c>
      <c r="M704" s="174">
        <f t="shared" si="136"/>
        <v>664</v>
      </c>
      <c r="N704" s="174">
        <f>VLOOKUP(D704,原始分!$D:$N,7,0)</f>
        <v>51.5</v>
      </c>
      <c r="O704" s="174">
        <f t="shared" si="137"/>
        <v>150</v>
      </c>
      <c r="P704" s="174">
        <f>VLOOKUP(D704,原始分!$D:$N,8,0)</f>
        <v>0</v>
      </c>
      <c r="Q704" s="174">
        <f t="shared" si="138"/>
        <v>541</v>
      </c>
      <c r="R704" s="174">
        <f>VLOOKUP(D704,原始分!$D:$N,9,0)</f>
        <v>0</v>
      </c>
      <c r="S704" s="174">
        <f t="shared" si="139"/>
        <v>320</v>
      </c>
      <c r="T704" s="174">
        <f>VLOOKUP(D704,原始分!$D:$N,10,0)</f>
        <v>69.5</v>
      </c>
      <c r="U704" s="174">
        <f t="shared" si="140"/>
        <v>13</v>
      </c>
      <c r="V704" s="174">
        <f>VLOOKUP(D704,原始分!$D:$N,11,0)</f>
        <v>52</v>
      </c>
      <c r="W704" s="174">
        <f t="shared" si="141"/>
        <v>248</v>
      </c>
      <c r="X704" s="11">
        <f t="shared" si="142"/>
        <v>296.5</v>
      </c>
      <c r="Y704" s="9">
        <f t="shared" si="143"/>
        <v>411</v>
      </c>
      <c r="Z704" s="11">
        <f t="shared" si="144"/>
        <v>469.5</v>
      </c>
      <c r="AA704" s="9">
        <f t="shared" si="145"/>
        <v>92</v>
      </c>
    </row>
    <row r="705" ht="14.25" spans="1:27">
      <c r="A705" s="13">
        <v>703</v>
      </c>
      <c r="B705" s="15">
        <v>14</v>
      </c>
      <c r="C705" s="16">
        <v>45</v>
      </c>
      <c r="D705" s="15" t="s">
        <v>1410</v>
      </c>
      <c r="E705" s="15" t="s">
        <v>1411</v>
      </c>
      <c r="F705" s="174">
        <f>VLOOKUP(D705,原始分!$D:$N,3,0)</f>
        <v>102.5</v>
      </c>
      <c r="G705" s="174">
        <f t="shared" si="133"/>
        <v>279</v>
      </c>
      <c r="H705" s="174">
        <f>VLOOKUP(D705,原始分!$D:$N,4,0)</f>
        <v>102.5</v>
      </c>
      <c r="I705" s="174">
        <f t="shared" si="134"/>
        <v>372</v>
      </c>
      <c r="J705" s="174">
        <f>VLOOKUP(D705,原始分!$D:$N,5,0)</f>
        <v>84.5</v>
      </c>
      <c r="K705" s="174">
        <f t="shared" si="135"/>
        <v>677</v>
      </c>
      <c r="L705" s="174">
        <f>VLOOKUP(D705,原始分!$D:$N,6,0)</f>
        <v>0</v>
      </c>
      <c r="M705" s="174">
        <f t="shared" si="136"/>
        <v>664</v>
      </c>
      <c r="N705" s="174">
        <f>VLOOKUP(D705,原始分!$D:$N,7,0)</f>
        <v>47</v>
      </c>
      <c r="O705" s="174">
        <f t="shared" si="137"/>
        <v>187</v>
      </c>
      <c r="P705" s="174">
        <f>VLOOKUP(D705,原始分!$D:$N,8,0)</f>
        <v>0</v>
      </c>
      <c r="Q705" s="174">
        <f t="shared" si="138"/>
        <v>541</v>
      </c>
      <c r="R705" s="174">
        <f>VLOOKUP(D705,原始分!$D:$N,9,0)</f>
        <v>0</v>
      </c>
      <c r="S705" s="174">
        <f t="shared" si="139"/>
        <v>320</v>
      </c>
      <c r="T705" s="174">
        <f>VLOOKUP(D705,原始分!$D:$N,10,0)</f>
        <v>61.5</v>
      </c>
      <c r="U705" s="174">
        <f t="shared" si="140"/>
        <v>89</v>
      </c>
      <c r="V705" s="174">
        <f>VLOOKUP(D705,原始分!$D:$N,11,0)</f>
        <v>56</v>
      </c>
      <c r="W705" s="174">
        <f t="shared" si="141"/>
        <v>160</v>
      </c>
      <c r="X705" s="11">
        <f t="shared" si="142"/>
        <v>289.5</v>
      </c>
      <c r="Y705" s="9">
        <f t="shared" si="143"/>
        <v>501</v>
      </c>
      <c r="Z705" s="11">
        <f t="shared" si="144"/>
        <v>454</v>
      </c>
      <c r="AA705" s="9">
        <f t="shared" si="145"/>
        <v>125</v>
      </c>
    </row>
    <row r="706" ht="14.25" spans="1:27">
      <c r="A706" s="13">
        <v>704</v>
      </c>
      <c r="B706" s="15">
        <v>15</v>
      </c>
      <c r="C706" s="16">
        <v>1</v>
      </c>
      <c r="D706" s="15" t="s">
        <v>1412</v>
      </c>
      <c r="E706" s="15" t="s">
        <v>1413</v>
      </c>
      <c r="F706" s="174">
        <f>VLOOKUP(D706,原始分!$D:$N,3,0)</f>
        <v>97.5</v>
      </c>
      <c r="G706" s="174">
        <f t="shared" si="133"/>
        <v>531</v>
      </c>
      <c r="H706" s="174">
        <f>VLOOKUP(D706,原始分!$D:$N,4,0)</f>
        <v>89</v>
      </c>
      <c r="I706" s="174">
        <f t="shared" si="134"/>
        <v>632</v>
      </c>
      <c r="J706" s="174">
        <f>VLOOKUP(D706,原始分!$D:$N,5,0)</f>
        <v>109.5</v>
      </c>
      <c r="K706" s="174">
        <f t="shared" si="135"/>
        <v>184</v>
      </c>
      <c r="L706" s="174">
        <f>VLOOKUP(D706,原始分!$D:$N,6,0)</f>
        <v>0</v>
      </c>
      <c r="M706" s="174">
        <f t="shared" si="136"/>
        <v>664</v>
      </c>
      <c r="N706" s="174">
        <f>VLOOKUP(D706,原始分!$D:$N,7,0)</f>
        <v>51.5</v>
      </c>
      <c r="O706" s="174">
        <f t="shared" si="137"/>
        <v>150</v>
      </c>
      <c r="P706" s="174">
        <f>VLOOKUP(D706,原始分!$D:$N,8,0)</f>
        <v>0</v>
      </c>
      <c r="Q706" s="174">
        <f t="shared" si="138"/>
        <v>541</v>
      </c>
      <c r="R706" s="174">
        <f>VLOOKUP(D706,原始分!$D:$N,9,0)</f>
        <v>0</v>
      </c>
      <c r="S706" s="174">
        <f t="shared" si="139"/>
        <v>320</v>
      </c>
      <c r="T706" s="174">
        <f>VLOOKUP(D706,原始分!$D:$N,10,0)</f>
        <v>61.5</v>
      </c>
      <c r="U706" s="174">
        <f t="shared" si="140"/>
        <v>89</v>
      </c>
      <c r="V706" s="174">
        <f>VLOOKUP(D706,原始分!$D:$N,11,0)</f>
        <v>47.5</v>
      </c>
      <c r="W706" s="174">
        <f t="shared" si="141"/>
        <v>353</v>
      </c>
      <c r="X706" s="11">
        <f t="shared" si="142"/>
        <v>296</v>
      </c>
      <c r="Y706" s="9">
        <f t="shared" si="143"/>
        <v>417</v>
      </c>
      <c r="Z706" s="11">
        <f t="shared" si="144"/>
        <v>456.5</v>
      </c>
      <c r="AA706" s="9">
        <f t="shared" si="145"/>
        <v>121</v>
      </c>
    </row>
    <row r="707" ht="14.25" spans="1:27">
      <c r="A707" s="13">
        <v>705</v>
      </c>
      <c r="B707" s="15">
        <v>15</v>
      </c>
      <c r="C707" s="16">
        <v>2</v>
      </c>
      <c r="D707" s="15" t="s">
        <v>1414</v>
      </c>
      <c r="E707" s="15" t="s">
        <v>1415</v>
      </c>
      <c r="F707" s="174">
        <f>VLOOKUP(D707,原始分!$D:$N,3,0)</f>
        <v>110.5</v>
      </c>
      <c r="G707" s="174">
        <f t="shared" ref="G707:G770" si="146">RANK(F707,$F$3:$F$900)</f>
        <v>43</v>
      </c>
      <c r="H707" s="174">
        <f>VLOOKUP(D707,原始分!$D:$N,4,0)</f>
        <v>114</v>
      </c>
      <c r="I707" s="174">
        <f t="shared" ref="I707:I770" si="147">RANK(H707,$H$3:$H$900)</f>
        <v>145</v>
      </c>
      <c r="J707" s="174">
        <f>VLOOKUP(D707,原始分!$D:$N,5,0)</f>
        <v>93</v>
      </c>
      <c r="K707" s="174">
        <f t="shared" ref="K707:K770" si="148">RANK(J707,$J$3:$J$900)</f>
        <v>525</v>
      </c>
      <c r="L707" s="174">
        <f>VLOOKUP(D707,原始分!$D:$N,6,0)</f>
        <v>0</v>
      </c>
      <c r="M707" s="174">
        <f t="shared" ref="M707:M770" si="149">RANK(L707,$L$3:$L$900)</f>
        <v>664</v>
      </c>
      <c r="N707" s="174">
        <f>VLOOKUP(D707,原始分!$D:$N,7,0)</f>
        <v>62.5</v>
      </c>
      <c r="O707" s="174">
        <f t="shared" ref="O707:O770" si="150">RANK(N707,$N$3:$N$900)</f>
        <v>45</v>
      </c>
      <c r="P707" s="174">
        <f>VLOOKUP(D707,原始分!$D:$N,8,0)</f>
        <v>0</v>
      </c>
      <c r="Q707" s="174">
        <f t="shared" ref="Q707:Q770" si="151">RANK(P707,$P$3:$P$900)</f>
        <v>541</v>
      </c>
      <c r="R707" s="174">
        <f>VLOOKUP(D707,原始分!$D:$N,9,0)</f>
        <v>0</v>
      </c>
      <c r="S707" s="174">
        <f t="shared" ref="S707:S770" si="152">RANK(R707,$R$3:$R$900)</f>
        <v>320</v>
      </c>
      <c r="T707" s="174">
        <f>VLOOKUP(D707,原始分!$D:$N,10,0)</f>
        <v>63.5</v>
      </c>
      <c r="U707" s="174">
        <f t="shared" ref="U707:U770" si="153">RANK(T707,$T$3:$T$900)</f>
        <v>68</v>
      </c>
      <c r="V707" s="174">
        <f>VLOOKUP(D707,原始分!$D:$N,11,0)</f>
        <v>59</v>
      </c>
      <c r="W707" s="174">
        <f t="shared" ref="W707:W770" si="154">RANK(V707,$V$3:$V$900)</f>
        <v>107</v>
      </c>
      <c r="X707" s="11">
        <f t="shared" ref="X707:X770" si="155">SUM(F707,H707,J707)</f>
        <v>317.5</v>
      </c>
      <c r="Y707" s="9">
        <f t="shared" ref="Y707:Y770" si="156">RANK(X707,$X$3:$X$900)</f>
        <v>184</v>
      </c>
      <c r="Z707" s="11">
        <f t="shared" ref="Z707:Z770" si="157">SUM(F707,H707,J707,L707,N707,P707,R707,T707,V707)</f>
        <v>502.5</v>
      </c>
      <c r="AA707" s="9">
        <f t="shared" si="145"/>
        <v>35</v>
      </c>
    </row>
    <row r="708" ht="14.25" spans="1:27">
      <c r="A708" s="13">
        <v>706</v>
      </c>
      <c r="B708" s="15">
        <v>15</v>
      </c>
      <c r="C708" s="16">
        <v>3</v>
      </c>
      <c r="D708" s="15" t="s">
        <v>1416</v>
      </c>
      <c r="E708" s="15" t="s">
        <v>1417</v>
      </c>
      <c r="F708" s="174">
        <f>VLOOKUP(D708,原始分!$D:$N,3,0)</f>
        <v>99.5</v>
      </c>
      <c r="G708" s="174">
        <f t="shared" si="146"/>
        <v>418</v>
      </c>
      <c r="H708" s="174">
        <f>VLOOKUP(D708,原始分!$D:$N,4,0)</f>
        <v>63</v>
      </c>
      <c r="I708" s="174">
        <f t="shared" si="147"/>
        <v>837</v>
      </c>
      <c r="J708" s="174">
        <f>VLOOKUP(D708,原始分!$D:$N,5,0)</f>
        <v>105</v>
      </c>
      <c r="K708" s="174">
        <f t="shared" si="148"/>
        <v>276</v>
      </c>
      <c r="L708" s="174">
        <f>VLOOKUP(D708,原始分!$D:$N,6,0)</f>
        <v>0</v>
      </c>
      <c r="M708" s="174">
        <f t="shared" si="149"/>
        <v>664</v>
      </c>
      <c r="N708" s="174">
        <f>VLOOKUP(D708,原始分!$D:$N,7,0)</f>
        <v>51.5</v>
      </c>
      <c r="O708" s="174">
        <f t="shared" si="150"/>
        <v>150</v>
      </c>
      <c r="P708" s="174">
        <f>VLOOKUP(D708,原始分!$D:$N,8,0)</f>
        <v>0</v>
      </c>
      <c r="Q708" s="174">
        <f t="shared" si="151"/>
        <v>541</v>
      </c>
      <c r="R708" s="174">
        <f>VLOOKUP(D708,原始分!$D:$N,9,0)</f>
        <v>0</v>
      </c>
      <c r="S708" s="174">
        <f t="shared" si="152"/>
        <v>320</v>
      </c>
      <c r="T708" s="174">
        <f>VLOOKUP(D708,原始分!$D:$N,10,0)</f>
        <v>52.5</v>
      </c>
      <c r="U708" s="174">
        <f t="shared" si="153"/>
        <v>225</v>
      </c>
      <c r="V708" s="174">
        <f>VLOOKUP(D708,原始分!$D:$N,11,0)</f>
        <v>30</v>
      </c>
      <c r="W708" s="174">
        <f t="shared" si="154"/>
        <v>552</v>
      </c>
      <c r="X708" s="11">
        <f t="shared" si="155"/>
        <v>267.5</v>
      </c>
      <c r="Y708" s="9">
        <f t="shared" si="156"/>
        <v>721</v>
      </c>
      <c r="Z708" s="11">
        <f t="shared" si="157"/>
        <v>401.5</v>
      </c>
      <c r="AA708" s="9">
        <f t="shared" si="145"/>
        <v>192</v>
      </c>
    </row>
    <row r="709" ht="14.25" spans="1:27">
      <c r="A709" s="13">
        <v>707</v>
      </c>
      <c r="B709" s="15">
        <v>15</v>
      </c>
      <c r="C709" s="16">
        <v>5</v>
      </c>
      <c r="D709" s="15" t="s">
        <v>1418</v>
      </c>
      <c r="E709" s="15" t="s">
        <v>1363</v>
      </c>
      <c r="F709" s="174">
        <f>VLOOKUP(D709,原始分!$D:$N,3,0)</f>
        <v>105</v>
      </c>
      <c r="G709" s="174">
        <f t="shared" si="146"/>
        <v>171</v>
      </c>
      <c r="H709" s="174">
        <f>VLOOKUP(D709,原始分!$D:$N,4,0)</f>
        <v>86</v>
      </c>
      <c r="I709" s="174">
        <f t="shared" si="147"/>
        <v>692</v>
      </c>
      <c r="J709" s="174">
        <f>VLOOKUP(D709,原始分!$D:$N,5,0)</f>
        <v>94.5</v>
      </c>
      <c r="K709" s="174">
        <f t="shared" si="148"/>
        <v>497</v>
      </c>
      <c r="L709" s="174">
        <f>VLOOKUP(D709,原始分!$D:$N,6,0)</f>
        <v>0</v>
      </c>
      <c r="M709" s="174">
        <f t="shared" si="149"/>
        <v>664</v>
      </c>
      <c r="N709" s="174">
        <f>VLOOKUP(D709,原始分!$D:$N,7,0)</f>
        <v>55</v>
      </c>
      <c r="O709" s="174">
        <f t="shared" si="150"/>
        <v>124</v>
      </c>
      <c r="P709" s="174">
        <f>VLOOKUP(D709,原始分!$D:$N,8,0)</f>
        <v>0</v>
      </c>
      <c r="Q709" s="174">
        <f t="shared" si="151"/>
        <v>541</v>
      </c>
      <c r="R709" s="174">
        <f>VLOOKUP(D709,原始分!$D:$N,9,0)</f>
        <v>0</v>
      </c>
      <c r="S709" s="174">
        <f t="shared" si="152"/>
        <v>320</v>
      </c>
      <c r="T709" s="174">
        <f>VLOOKUP(D709,原始分!$D:$N,10,0)</f>
        <v>72</v>
      </c>
      <c r="U709" s="174">
        <f t="shared" si="153"/>
        <v>8</v>
      </c>
      <c r="V709" s="174">
        <f>VLOOKUP(D709,原始分!$D:$N,11,0)</f>
        <v>49</v>
      </c>
      <c r="W709" s="174">
        <f t="shared" si="154"/>
        <v>323</v>
      </c>
      <c r="X709" s="11">
        <f t="shared" si="155"/>
        <v>285.5</v>
      </c>
      <c r="Y709" s="9">
        <f t="shared" si="156"/>
        <v>538</v>
      </c>
      <c r="Z709" s="11">
        <f t="shared" si="157"/>
        <v>461.5</v>
      </c>
      <c r="AA709" s="9">
        <f t="shared" si="145"/>
        <v>109</v>
      </c>
    </row>
    <row r="710" ht="14.25" spans="1:27">
      <c r="A710" s="13">
        <v>708</v>
      </c>
      <c r="B710" s="15">
        <v>15</v>
      </c>
      <c r="C710" s="16">
        <v>6</v>
      </c>
      <c r="D710" s="15" t="s">
        <v>1419</v>
      </c>
      <c r="E710" s="15" t="s">
        <v>1420</v>
      </c>
      <c r="F710" s="174">
        <f>VLOOKUP(D710,原始分!$D:$N,3,0)</f>
        <v>100.5</v>
      </c>
      <c r="G710" s="174">
        <f t="shared" si="146"/>
        <v>370</v>
      </c>
      <c r="H710" s="174">
        <f>VLOOKUP(D710,原始分!$D:$N,4,0)</f>
        <v>112.5</v>
      </c>
      <c r="I710" s="174">
        <f t="shared" si="147"/>
        <v>170</v>
      </c>
      <c r="J710" s="174">
        <f>VLOOKUP(D710,原始分!$D:$N,5,0)</f>
        <v>93.5</v>
      </c>
      <c r="K710" s="174">
        <f t="shared" si="148"/>
        <v>515</v>
      </c>
      <c r="L710" s="174">
        <f>VLOOKUP(D710,原始分!$D:$N,6,0)</f>
        <v>0</v>
      </c>
      <c r="M710" s="174">
        <f t="shared" si="149"/>
        <v>664</v>
      </c>
      <c r="N710" s="174">
        <f>VLOOKUP(D710,原始分!$D:$N,7,0)</f>
        <v>62.5</v>
      </c>
      <c r="O710" s="174">
        <f t="shared" si="150"/>
        <v>45</v>
      </c>
      <c r="P710" s="174">
        <f>VLOOKUP(D710,原始分!$D:$N,8,0)</f>
        <v>0</v>
      </c>
      <c r="Q710" s="174">
        <f t="shared" si="151"/>
        <v>541</v>
      </c>
      <c r="R710" s="174">
        <f>VLOOKUP(D710,原始分!$D:$N,9,0)</f>
        <v>0</v>
      </c>
      <c r="S710" s="174">
        <f t="shared" si="152"/>
        <v>320</v>
      </c>
      <c r="T710" s="174">
        <f>VLOOKUP(D710,原始分!$D:$N,10,0)</f>
        <v>68</v>
      </c>
      <c r="U710" s="174">
        <f t="shared" si="153"/>
        <v>19</v>
      </c>
      <c r="V710" s="174">
        <f>VLOOKUP(D710,原始分!$D:$N,11,0)</f>
        <v>44</v>
      </c>
      <c r="W710" s="174">
        <f t="shared" si="154"/>
        <v>433</v>
      </c>
      <c r="X710" s="11">
        <f t="shared" si="155"/>
        <v>306.5</v>
      </c>
      <c r="Y710" s="9">
        <f t="shared" si="156"/>
        <v>303</v>
      </c>
      <c r="Z710" s="11">
        <f t="shared" si="157"/>
        <v>481</v>
      </c>
      <c r="AA710" s="9">
        <f t="shared" si="145"/>
        <v>73</v>
      </c>
    </row>
    <row r="711" ht="14.25" spans="1:27">
      <c r="A711" s="13">
        <v>709</v>
      </c>
      <c r="B711" s="15">
        <v>15</v>
      </c>
      <c r="C711" s="16">
        <v>7</v>
      </c>
      <c r="D711" s="15" t="s">
        <v>1421</v>
      </c>
      <c r="E711" s="15" t="s">
        <v>1422</v>
      </c>
      <c r="F711" s="174">
        <f>VLOOKUP(D711,原始分!$D:$N,3,0)</f>
        <v>99</v>
      </c>
      <c r="G711" s="174">
        <f t="shared" si="146"/>
        <v>442</v>
      </c>
      <c r="H711" s="174">
        <f>VLOOKUP(D711,原始分!$D:$N,4,0)</f>
        <v>85.5</v>
      </c>
      <c r="I711" s="174">
        <f t="shared" si="147"/>
        <v>699</v>
      </c>
      <c r="J711" s="174">
        <f>VLOOKUP(D711,原始分!$D:$N,5,0)</f>
        <v>109.25</v>
      </c>
      <c r="K711" s="174">
        <f t="shared" si="148"/>
        <v>189</v>
      </c>
      <c r="L711" s="174">
        <f>VLOOKUP(D711,原始分!$D:$N,6,0)</f>
        <v>0</v>
      </c>
      <c r="M711" s="174">
        <f t="shared" si="149"/>
        <v>664</v>
      </c>
      <c r="N711" s="174">
        <f>VLOOKUP(D711,原始分!$D:$N,7,0)</f>
        <v>57.5</v>
      </c>
      <c r="O711" s="174">
        <f t="shared" si="150"/>
        <v>92</v>
      </c>
      <c r="P711" s="174">
        <f>VLOOKUP(D711,原始分!$D:$N,8,0)</f>
        <v>0</v>
      </c>
      <c r="Q711" s="174">
        <f t="shared" si="151"/>
        <v>541</v>
      </c>
      <c r="R711" s="174">
        <f>VLOOKUP(D711,原始分!$D:$N,9,0)</f>
        <v>0</v>
      </c>
      <c r="S711" s="174">
        <f t="shared" si="152"/>
        <v>320</v>
      </c>
      <c r="T711" s="174">
        <f>VLOOKUP(D711,原始分!$D:$N,10,0)</f>
        <v>57</v>
      </c>
      <c r="U711" s="174">
        <f t="shared" si="153"/>
        <v>157</v>
      </c>
      <c r="V711" s="174">
        <f>VLOOKUP(D711,原始分!$D:$N,11,0)</f>
        <v>59.5</v>
      </c>
      <c r="W711" s="174">
        <f t="shared" si="154"/>
        <v>99</v>
      </c>
      <c r="X711" s="11">
        <f t="shared" si="155"/>
        <v>293.75</v>
      </c>
      <c r="Y711" s="9">
        <f t="shared" si="156"/>
        <v>447</v>
      </c>
      <c r="Z711" s="11">
        <f t="shared" si="157"/>
        <v>467.75</v>
      </c>
      <c r="AA711" s="9">
        <f t="shared" si="145"/>
        <v>98</v>
      </c>
    </row>
    <row r="712" ht="14.25" spans="1:27">
      <c r="A712" s="13">
        <v>710</v>
      </c>
      <c r="B712" s="15">
        <v>15</v>
      </c>
      <c r="C712" s="16">
        <v>8</v>
      </c>
      <c r="D712" s="15" t="s">
        <v>1423</v>
      </c>
      <c r="E712" s="15" t="s">
        <v>1424</v>
      </c>
      <c r="F712" s="174">
        <f>VLOOKUP(D712,原始分!$D:$N,3,0)</f>
        <v>87.25</v>
      </c>
      <c r="G712" s="174">
        <f t="shared" si="146"/>
        <v>820</v>
      </c>
      <c r="H712" s="174">
        <f>VLOOKUP(D712,原始分!$D:$N,4,0)</f>
        <v>74.5</v>
      </c>
      <c r="I712" s="174">
        <f t="shared" si="147"/>
        <v>789</v>
      </c>
      <c r="J712" s="174">
        <f>VLOOKUP(D712,原始分!$D:$N,5,0)</f>
        <v>89</v>
      </c>
      <c r="K712" s="174">
        <f t="shared" si="148"/>
        <v>597</v>
      </c>
      <c r="L712" s="174">
        <f>VLOOKUP(D712,原始分!$D:$N,6,0)</f>
        <v>0</v>
      </c>
      <c r="M712" s="174">
        <f t="shared" si="149"/>
        <v>664</v>
      </c>
      <c r="N712" s="174">
        <f>VLOOKUP(D712,原始分!$D:$N,7,0)</f>
        <v>48.5</v>
      </c>
      <c r="O712" s="174">
        <f t="shared" si="150"/>
        <v>180</v>
      </c>
      <c r="P712" s="174">
        <f>VLOOKUP(D712,原始分!$D:$N,8,0)</f>
        <v>0</v>
      </c>
      <c r="Q712" s="174">
        <f t="shared" si="151"/>
        <v>541</v>
      </c>
      <c r="R712" s="174">
        <f>VLOOKUP(D712,原始分!$D:$N,9,0)</f>
        <v>0</v>
      </c>
      <c r="S712" s="174">
        <f t="shared" si="152"/>
        <v>320</v>
      </c>
      <c r="T712" s="174">
        <f>VLOOKUP(D712,原始分!$D:$N,10,0)</f>
        <v>58.25</v>
      </c>
      <c r="U712" s="174">
        <f t="shared" si="153"/>
        <v>143</v>
      </c>
      <c r="V712" s="174">
        <f>VLOOKUP(D712,原始分!$D:$N,11,0)</f>
        <v>33.5</v>
      </c>
      <c r="W712" s="174">
        <f t="shared" si="154"/>
        <v>536</v>
      </c>
      <c r="X712" s="11">
        <f t="shared" si="155"/>
        <v>250.75</v>
      </c>
      <c r="Y712" s="9">
        <f t="shared" si="156"/>
        <v>801</v>
      </c>
      <c r="Z712" s="11">
        <f t="shared" si="157"/>
        <v>391</v>
      </c>
      <c r="AA712" s="9">
        <f t="shared" si="145"/>
        <v>198</v>
      </c>
    </row>
    <row r="713" ht="14.25" spans="1:27">
      <c r="A713" s="13">
        <v>711</v>
      </c>
      <c r="B713" s="15">
        <v>15</v>
      </c>
      <c r="C713" s="16">
        <v>9</v>
      </c>
      <c r="D713" s="15" t="s">
        <v>1425</v>
      </c>
      <c r="E713" s="15" t="s">
        <v>1426</v>
      </c>
      <c r="F713" s="174">
        <f>VLOOKUP(D713,原始分!$D:$N,3,0)</f>
        <v>98</v>
      </c>
      <c r="G713" s="174">
        <f t="shared" si="146"/>
        <v>500</v>
      </c>
      <c r="H713" s="174">
        <f>VLOOKUP(D713,原始分!$D:$N,4,0)</f>
        <v>76.5</v>
      </c>
      <c r="I713" s="174">
        <f t="shared" si="147"/>
        <v>781</v>
      </c>
      <c r="J713" s="174">
        <f>VLOOKUP(D713,原始分!$D:$N,5,0)</f>
        <v>85.5</v>
      </c>
      <c r="K713" s="174">
        <f t="shared" si="148"/>
        <v>656</v>
      </c>
      <c r="L713" s="174">
        <f>VLOOKUP(D713,原始分!$D:$N,6,0)</f>
        <v>0</v>
      </c>
      <c r="M713" s="174">
        <f t="shared" si="149"/>
        <v>664</v>
      </c>
      <c r="N713" s="174">
        <f>VLOOKUP(D713,原始分!$D:$N,7,0)</f>
        <v>56.5</v>
      </c>
      <c r="O713" s="174">
        <f t="shared" si="150"/>
        <v>101</v>
      </c>
      <c r="P713" s="174">
        <f>VLOOKUP(D713,原始分!$D:$N,8,0)</f>
        <v>0</v>
      </c>
      <c r="Q713" s="174">
        <f t="shared" si="151"/>
        <v>541</v>
      </c>
      <c r="R713" s="174">
        <f>VLOOKUP(D713,原始分!$D:$N,9,0)</f>
        <v>0</v>
      </c>
      <c r="S713" s="174">
        <f t="shared" si="152"/>
        <v>320</v>
      </c>
      <c r="T713" s="174">
        <f>VLOOKUP(D713,原始分!$D:$N,10,0)</f>
        <v>59</v>
      </c>
      <c r="U713" s="174">
        <f t="shared" si="153"/>
        <v>124</v>
      </c>
      <c r="V713" s="174">
        <f>VLOOKUP(D713,原始分!$D:$N,11,0)</f>
        <v>52.5</v>
      </c>
      <c r="W713" s="174">
        <f t="shared" si="154"/>
        <v>235</v>
      </c>
      <c r="X713" s="11">
        <f t="shared" si="155"/>
        <v>260</v>
      </c>
      <c r="Y713" s="9">
        <f t="shared" si="156"/>
        <v>773</v>
      </c>
      <c r="Z713" s="11">
        <f t="shared" si="157"/>
        <v>428</v>
      </c>
      <c r="AA713" s="9">
        <f t="shared" si="145"/>
        <v>169</v>
      </c>
    </row>
    <row r="714" ht="14.25" spans="1:27">
      <c r="A714" s="13">
        <v>712</v>
      </c>
      <c r="B714" s="15">
        <v>15</v>
      </c>
      <c r="C714" s="16">
        <v>11</v>
      </c>
      <c r="D714" s="15" t="s">
        <v>1427</v>
      </c>
      <c r="E714" s="15" t="s">
        <v>1428</v>
      </c>
      <c r="F714" s="174">
        <f>VLOOKUP(D714,原始分!$D:$N,3,0)</f>
        <v>90</v>
      </c>
      <c r="G714" s="174">
        <f t="shared" si="146"/>
        <v>778</v>
      </c>
      <c r="H714" s="174">
        <f>VLOOKUP(D714,原始分!$D:$N,4,0)</f>
        <v>118</v>
      </c>
      <c r="I714" s="174">
        <f t="shared" si="147"/>
        <v>91</v>
      </c>
      <c r="J714" s="174">
        <f>VLOOKUP(D714,原始分!$D:$N,5,0)</f>
        <v>81.5</v>
      </c>
      <c r="K714" s="174">
        <f t="shared" si="148"/>
        <v>726</v>
      </c>
      <c r="L714" s="174">
        <f>VLOOKUP(D714,原始分!$D:$N,6,0)</f>
        <v>0</v>
      </c>
      <c r="M714" s="174">
        <f t="shared" si="149"/>
        <v>664</v>
      </c>
      <c r="N714" s="174">
        <f>VLOOKUP(D714,原始分!$D:$N,7,0)</f>
        <v>51.5</v>
      </c>
      <c r="O714" s="174">
        <f t="shared" si="150"/>
        <v>150</v>
      </c>
      <c r="P714" s="174">
        <f>VLOOKUP(D714,原始分!$D:$N,8,0)</f>
        <v>0</v>
      </c>
      <c r="Q714" s="174">
        <f t="shared" si="151"/>
        <v>541</v>
      </c>
      <c r="R714" s="174">
        <f>VLOOKUP(D714,原始分!$D:$N,9,0)</f>
        <v>0</v>
      </c>
      <c r="S714" s="174">
        <f t="shared" si="152"/>
        <v>320</v>
      </c>
      <c r="T714" s="174">
        <f>VLOOKUP(D714,原始分!$D:$N,10,0)</f>
        <v>64.5</v>
      </c>
      <c r="U714" s="174">
        <f t="shared" si="153"/>
        <v>55</v>
      </c>
      <c r="V714" s="174">
        <f>VLOOKUP(D714,原始分!$D:$N,11,0)</f>
        <v>59</v>
      </c>
      <c r="W714" s="174">
        <f t="shared" si="154"/>
        <v>107</v>
      </c>
      <c r="X714" s="11">
        <f t="shared" si="155"/>
        <v>289.5</v>
      </c>
      <c r="Y714" s="9">
        <f t="shared" si="156"/>
        <v>501</v>
      </c>
      <c r="Z714" s="11">
        <f t="shared" si="157"/>
        <v>464.5</v>
      </c>
      <c r="AA714" s="9">
        <f t="shared" si="145"/>
        <v>106</v>
      </c>
    </row>
    <row r="715" ht="14.25" spans="1:27">
      <c r="A715" s="13">
        <v>713</v>
      </c>
      <c r="B715" s="15">
        <v>15</v>
      </c>
      <c r="C715" s="16">
        <v>12</v>
      </c>
      <c r="D715" s="15" t="s">
        <v>1429</v>
      </c>
      <c r="E715" s="15" t="s">
        <v>1430</v>
      </c>
      <c r="F715" s="174">
        <f>VLOOKUP(D715,原始分!$D:$N,3,0)</f>
        <v>109</v>
      </c>
      <c r="G715" s="174">
        <f t="shared" si="146"/>
        <v>64</v>
      </c>
      <c r="H715" s="174">
        <f>VLOOKUP(D715,原始分!$D:$N,4,0)</f>
        <v>90.5</v>
      </c>
      <c r="I715" s="174">
        <f t="shared" si="147"/>
        <v>609</v>
      </c>
      <c r="J715" s="174">
        <f>VLOOKUP(D715,原始分!$D:$N,5,0)</f>
        <v>87.25</v>
      </c>
      <c r="K715" s="174">
        <f t="shared" si="148"/>
        <v>628</v>
      </c>
      <c r="L715" s="174">
        <f>VLOOKUP(D715,原始分!$D:$N,6,0)</f>
        <v>0</v>
      </c>
      <c r="M715" s="174">
        <f t="shared" si="149"/>
        <v>664</v>
      </c>
      <c r="N715" s="174">
        <f>VLOOKUP(D715,原始分!$D:$N,7,0)</f>
        <v>50.25</v>
      </c>
      <c r="O715" s="174">
        <f t="shared" si="150"/>
        <v>167</v>
      </c>
      <c r="P715" s="174">
        <f>VLOOKUP(D715,原始分!$D:$N,8,0)</f>
        <v>0</v>
      </c>
      <c r="Q715" s="174">
        <f t="shared" si="151"/>
        <v>541</v>
      </c>
      <c r="R715" s="174">
        <f>VLOOKUP(D715,原始分!$D:$N,9,0)</f>
        <v>0</v>
      </c>
      <c r="S715" s="174">
        <f t="shared" si="152"/>
        <v>320</v>
      </c>
      <c r="T715" s="174">
        <f>VLOOKUP(D715,原始分!$D:$N,10,0)</f>
        <v>56.5</v>
      </c>
      <c r="U715" s="174">
        <f t="shared" si="153"/>
        <v>172</v>
      </c>
      <c r="V715" s="174">
        <f>VLOOKUP(D715,原始分!$D:$N,11,0)</f>
        <v>51</v>
      </c>
      <c r="W715" s="174">
        <f t="shared" si="154"/>
        <v>278</v>
      </c>
      <c r="X715" s="11">
        <f t="shared" si="155"/>
        <v>286.75</v>
      </c>
      <c r="Y715" s="9">
        <f t="shared" si="156"/>
        <v>526</v>
      </c>
      <c r="Z715" s="11">
        <f t="shared" si="157"/>
        <v>444.5</v>
      </c>
      <c r="AA715" s="9">
        <f t="shared" si="145"/>
        <v>143</v>
      </c>
    </row>
    <row r="716" ht="14.25" spans="1:27">
      <c r="A716" s="13">
        <v>714</v>
      </c>
      <c r="B716" s="15">
        <v>15</v>
      </c>
      <c r="C716" s="16">
        <v>13</v>
      </c>
      <c r="D716" s="15" t="s">
        <v>1431</v>
      </c>
      <c r="E716" s="15" t="s">
        <v>1432</v>
      </c>
      <c r="F716" s="174">
        <f>VLOOKUP(D716,原始分!$D:$N,3,0)</f>
        <v>113</v>
      </c>
      <c r="G716" s="174">
        <f t="shared" si="146"/>
        <v>21</v>
      </c>
      <c r="H716" s="174">
        <f>VLOOKUP(D716,原始分!$D:$N,4,0)</f>
        <v>111</v>
      </c>
      <c r="I716" s="174">
        <f t="shared" si="147"/>
        <v>201</v>
      </c>
      <c r="J716" s="174">
        <f>VLOOKUP(D716,原始分!$D:$N,5,0)</f>
        <v>110.75</v>
      </c>
      <c r="K716" s="174">
        <f t="shared" si="148"/>
        <v>165</v>
      </c>
      <c r="L716" s="174">
        <f>VLOOKUP(D716,原始分!$D:$N,6,0)</f>
        <v>0</v>
      </c>
      <c r="M716" s="174">
        <f t="shared" si="149"/>
        <v>664</v>
      </c>
      <c r="N716" s="174">
        <f>VLOOKUP(D716,原始分!$D:$N,7,0)</f>
        <v>64.5</v>
      </c>
      <c r="O716" s="174">
        <f t="shared" si="150"/>
        <v>32</v>
      </c>
      <c r="P716" s="174">
        <f>VLOOKUP(D716,原始分!$D:$N,8,0)</f>
        <v>0</v>
      </c>
      <c r="Q716" s="174">
        <f t="shared" si="151"/>
        <v>541</v>
      </c>
      <c r="R716" s="174">
        <f>VLOOKUP(D716,原始分!$D:$N,9,0)</f>
        <v>0</v>
      </c>
      <c r="S716" s="174">
        <f t="shared" si="152"/>
        <v>320</v>
      </c>
      <c r="T716" s="174">
        <f>VLOOKUP(D716,原始分!$D:$N,10,0)</f>
        <v>58.5</v>
      </c>
      <c r="U716" s="174">
        <f t="shared" si="153"/>
        <v>132</v>
      </c>
      <c r="V716" s="174">
        <f>VLOOKUP(D716,原始分!$D:$N,11,0)</f>
        <v>59</v>
      </c>
      <c r="W716" s="174">
        <f t="shared" si="154"/>
        <v>107</v>
      </c>
      <c r="X716" s="11">
        <f t="shared" si="155"/>
        <v>334.75</v>
      </c>
      <c r="Y716" s="9">
        <f t="shared" si="156"/>
        <v>68</v>
      </c>
      <c r="Z716" s="11">
        <f t="shared" si="157"/>
        <v>516.75</v>
      </c>
      <c r="AA716" s="9">
        <f t="shared" si="145"/>
        <v>21</v>
      </c>
    </row>
    <row r="717" ht="14.25" spans="1:27">
      <c r="A717" s="13">
        <v>715</v>
      </c>
      <c r="B717" s="15">
        <v>15</v>
      </c>
      <c r="C717" s="16">
        <v>14</v>
      </c>
      <c r="D717" s="15" t="s">
        <v>1433</v>
      </c>
      <c r="E717" s="15" t="s">
        <v>1434</v>
      </c>
      <c r="F717" s="174">
        <f>VLOOKUP(D717,原始分!$D:$N,3,0)</f>
        <v>98.5</v>
      </c>
      <c r="G717" s="174">
        <f t="shared" si="146"/>
        <v>469</v>
      </c>
      <c r="H717" s="174">
        <f>VLOOKUP(D717,原始分!$D:$N,4,0)</f>
        <v>110.5</v>
      </c>
      <c r="I717" s="174">
        <f t="shared" si="147"/>
        <v>211</v>
      </c>
      <c r="J717" s="174">
        <f>VLOOKUP(D717,原始分!$D:$N,5,0)</f>
        <v>102.5</v>
      </c>
      <c r="K717" s="174">
        <f t="shared" si="148"/>
        <v>317</v>
      </c>
      <c r="L717" s="174">
        <f>VLOOKUP(D717,原始分!$D:$N,6,0)</f>
        <v>0</v>
      </c>
      <c r="M717" s="174">
        <f t="shared" si="149"/>
        <v>664</v>
      </c>
      <c r="N717" s="174">
        <f>VLOOKUP(D717,原始分!$D:$N,7,0)</f>
        <v>56.5</v>
      </c>
      <c r="O717" s="174">
        <f t="shared" si="150"/>
        <v>101</v>
      </c>
      <c r="P717" s="174">
        <f>VLOOKUP(D717,原始分!$D:$N,8,0)</f>
        <v>0</v>
      </c>
      <c r="Q717" s="174">
        <f t="shared" si="151"/>
        <v>541</v>
      </c>
      <c r="R717" s="174">
        <f>VLOOKUP(D717,原始分!$D:$N,9,0)</f>
        <v>0</v>
      </c>
      <c r="S717" s="174">
        <f t="shared" si="152"/>
        <v>320</v>
      </c>
      <c r="T717" s="174">
        <f>VLOOKUP(D717,原始分!$D:$N,10,0)</f>
        <v>49.5</v>
      </c>
      <c r="U717" s="174">
        <f t="shared" si="153"/>
        <v>253</v>
      </c>
      <c r="V717" s="174">
        <f>VLOOKUP(D717,原始分!$D:$N,11,0)</f>
        <v>60.5</v>
      </c>
      <c r="W717" s="174">
        <f t="shared" si="154"/>
        <v>84</v>
      </c>
      <c r="X717" s="11">
        <f t="shared" si="155"/>
        <v>311.5</v>
      </c>
      <c r="Y717" s="9">
        <f t="shared" si="156"/>
        <v>239</v>
      </c>
      <c r="Z717" s="11">
        <f t="shared" si="157"/>
        <v>478</v>
      </c>
      <c r="AA717" s="9">
        <f t="shared" si="145"/>
        <v>77</v>
      </c>
    </row>
    <row r="718" ht="14.25" spans="1:27">
      <c r="A718" s="13">
        <v>716</v>
      </c>
      <c r="B718" s="15">
        <v>15</v>
      </c>
      <c r="C718" s="16">
        <v>15</v>
      </c>
      <c r="D718" s="15" t="s">
        <v>1435</v>
      </c>
      <c r="E718" s="15" t="s">
        <v>1436</v>
      </c>
      <c r="F718" s="174">
        <f>VLOOKUP(D718,原始分!$D:$N,3,0)</f>
        <v>93</v>
      </c>
      <c r="G718" s="174">
        <f t="shared" si="146"/>
        <v>693</v>
      </c>
      <c r="H718" s="174">
        <f>VLOOKUP(D718,原始分!$D:$N,4,0)</f>
        <v>87.5</v>
      </c>
      <c r="I718" s="174">
        <f t="shared" si="147"/>
        <v>665</v>
      </c>
      <c r="J718" s="174">
        <f>VLOOKUP(D718,原始分!$D:$N,5,0)</f>
        <v>121.25</v>
      </c>
      <c r="K718" s="174">
        <f t="shared" si="148"/>
        <v>34</v>
      </c>
      <c r="L718" s="174">
        <f>VLOOKUP(D718,原始分!$D:$N,6,0)</f>
        <v>0</v>
      </c>
      <c r="M718" s="174">
        <f t="shared" si="149"/>
        <v>664</v>
      </c>
      <c r="N718" s="174">
        <f>VLOOKUP(D718,原始分!$D:$N,7,0)</f>
        <v>52</v>
      </c>
      <c r="O718" s="174">
        <f t="shared" si="150"/>
        <v>145</v>
      </c>
      <c r="P718" s="174">
        <f>VLOOKUP(D718,原始分!$D:$N,8,0)</f>
        <v>0</v>
      </c>
      <c r="Q718" s="174">
        <f t="shared" si="151"/>
        <v>541</v>
      </c>
      <c r="R718" s="174">
        <f>VLOOKUP(D718,原始分!$D:$N,9,0)</f>
        <v>0</v>
      </c>
      <c r="S718" s="174">
        <f t="shared" si="152"/>
        <v>320</v>
      </c>
      <c r="T718" s="174">
        <f>VLOOKUP(D718,原始分!$D:$N,10,0)</f>
        <v>48</v>
      </c>
      <c r="U718" s="174">
        <f t="shared" si="153"/>
        <v>273</v>
      </c>
      <c r="V718" s="174">
        <f>VLOOKUP(D718,原始分!$D:$N,11,0)</f>
        <v>57.5</v>
      </c>
      <c r="W718" s="174">
        <f t="shared" si="154"/>
        <v>130</v>
      </c>
      <c r="X718" s="11">
        <f t="shared" si="155"/>
        <v>301.75</v>
      </c>
      <c r="Y718" s="9">
        <f t="shared" si="156"/>
        <v>355</v>
      </c>
      <c r="Z718" s="11">
        <f t="shared" si="157"/>
        <v>459.25</v>
      </c>
      <c r="AA718" s="9">
        <f t="shared" si="145"/>
        <v>112</v>
      </c>
    </row>
    <row r="719" ht="14.25" spans="1:27">
      <c r="A719" s="13">
        <v>717</v>
      </c>
      <c r="B719" s="15">
        <v>15</v>
      </c>
      <c r="C719" s="16">
        <v>16</v>
      </c>
      <c r="D719" s="15" t="s">
        <v>1437</v>
      </c>
      <c r="E719" s="15" t="s">
        <v>1438</v>
      </c>
      <c r="F719" s="174">
        <f>VLOOKUP(D719,原始分!$D:$N,3,0)</f>
        <v>107.5</v>
      </c>
      <c r="G719" s="174">
        <f t="shared" si="146"/>
        <v>93</v>
      </c>
      <c r="H719" s="174">
        <f>VLOOKUP(D719,原始分!$D:$N,4,0)</f>
        <v>88.5</v>
      </c>
      <c r="I719" s="174">
        <f t="shared" si="147"/>
        <v>641</v>
      </c>
      <c r="J719" s="174">
        <f>VLOOKUP(D719,原始分!$D:$N,5,0)</f>
        <v>129</v>
      </c>
      <c r="K719" s="174">
        <f t="shared" si="148"/>
        <v>6</v>
      </c>
      <c r="L719" s="174">
        <f>VLOOKUP(D719,原始分!$D:$N,6,0)</f>
        <v>0</v>
      </c>
      <c r="M719" s="174">
        <f t="shared" si="149"/>
        <v>664</v>
      </c>
      <c r="N719" s="174">
        <f>VLOOKUP(D719,原始分!$D:$N,7,0)</f>
        <v>52</v>
      </c>
      <c r="O719" s="174">
        <f t="shared" si="150"/>
        <v>145</v>
      </c>
      <c r="P719" s="174">
        <f>VLOOKUP(D719,原始分!$D:$N,8,0)</f>
        <v>0</v>
      </c>
      <c r="Q719" s="174">
        <f t="shared" si="151"/>
        <v>541</v>
      </c>
      <c r="R719" s="174">
        <f>VLOOKUP(D719,原始分!$D:$N,9,0)</f>
        <v>0</v>
      </c>
      <c r="S719" s="174">
        <f t="shared" si="152"/>
        <v>320</v>
      </c>
      <c r="T719" s="174">
        <f>VLOOKUP(D719,原始分!$D:$N,10,0)</f>
        <v>57.5</v>
      </c>
      <c r="U719" s="174">
        <f t="shared" si="153"/>
        <v>151</v>
      </c>
      <c r="V719" s="174">
        <f>VLOOKUP(D719,原始分!$D:$N,11,0)</f>
        <v>63</v>
      </c>
      <c r="W719" s="174">
        <f t="shared" si="154"/>
        <v>56</v>
      </c>
      <c r="X719" s="11">
        <f t="shared" si="155"/>
        <v>325</v>
      </c>
      <c r="Y719" s="9">
        <f t="shared" si="156"/>
        <v>122</v>
      </c>
      <c r="Z719" s="11">
        <f t="shared" si="157"/>
        <v>497.5</v>
      </c>
      <c r="AA719" s="9">
        <f t="shared" si="145"/>
        <v>43</v>
      </c>
    </row>
    <row r="720" ht="14.25" spans="1:27">
      <c r="A720" s="13">
        <v>718</v>
      </c>
      <c r="B720" s="15">
        <v>15</v>
      </c>
      <c r="C720" s="16">
        <v>17</v>
      </c>
      <c r="D720" s="15" t="s">
        <v>1439</v>
      </c>
      <c r="E720" s="15" t="s">
        <v>1440</v>
      </c>
      <c r="F720" s="174">
        <f>VLOOKUP(D720,原始分!$D:$N,3,0)</f>
        <v>96</v>
      </c>
      <c r="G720" s="174">
        <f t="shared" si="146"/>
        <v>579</v>
      </c>
      <c r="H720" s="174">
        <f>VLOOKUP(D720,原始分!$D:$N,4,0)</f>
        <v>102</v>
      </c>
      <c r="I720" s="174">
        <f t="shared" si="147"/>
        <v>383</v>
      </c>
      <c r="J720" s="174">
        <f>VLOOKUP(D720,原始分!$D:$N,5,0)</f>
        <v>88.5</v>
      </c>
      <c r="K720" s="174">
        <f t="shared" si="148"/>
        <v>604</v>
      </c>
      <c r="L720" s="174">
        <f>VLOOKUP(D720,原始分!$D:$N,6,0)</f>
        <v>0</v>
      </c>
      <c r="M720" s="174">
        <f t="shared" si="149"/>
        <v>664</v>
      </c>
      <c r="N720" s="174">
        <f>VLOOKUP(D720,原始分!$D:$N,7,0)</f>
        <v>57.5</v>
      </c>
      <c r="O720" s="174">
        <f t="shared" si="150"/>
        <v>92</v>
      </c>
      <c r="P720" s="174">
        <f>VLOOKUP(D720,原始分!$D:$N,8,0)</f>
        <v>0</v>
      </c>
      <c r="Q720" s="174">
        <f t="shared" si="151"/>
        <v>541</v>
      </c>
      <c r="R720" s="174">
        <f>VLOOKUP(D720,原始分!$D:$N,9,0)</f>
        <v>0</v>
      </c>
      <c r="S720" s="174">
        <f t="shared" si="152"/>
        <v>320</v>
      </c>
      <c r="T720" s="174">
        <f>VLOOKUP(D720,原始分!$D:$N,10,0)</f>
        <v>67</v>
      </c>
      <c r="U720" s="174">
        <f t="shared" si="153"/>
        <v>28</v>
      </c>
      <c r="V720" s="174">
        <f>VLOOKUP(D720,原始分!$D:$N,11,0)</f>
        <v>59.5</v>
      </c>
      <c r="W720" s="174">
        <f t="shared" si="154"/>
        <v>99</v>
      </c>
      <c r="X720" s="11">
        <f t="shared" si="155"/>
        <v>286.5</v>
      </c>
      <c r="Y720" s="9">
        <f t="shared" si="156"/>
        <v>527</v>
      </c>
      <c r="Z720" s="11">
        <f t="shared" si="157"/>
        <v>470.5</v>
      </c>
      <c r="AA720" s="9">
        <f t="shared" si="145"/>
        <v>90</v>
      </c>
    </row>
    <row r="721" ht="14.25" spans="1:27">
      <c r="A721" s="13">
        <v>719</v>
      </c>
      <c r="B721" s="15">
        <v>15</v>
      </c>
      <c r="C721" s="16">
        <v>18</v>
      </c>
      <c r="D721" s="15" t="s">
        <v>1441</v>
      </c>
      <c r="E721" s="15" t="s">
        <v>1442</v>
      </c>
      <c r="F721" s="174">
        <f>VLOOKUP(D721,原始分!$D:$N,3,0)</f>
        <v>105.5</v>
      </c>
      <c r="G721" s="174">
        <f t="shared" si="146"/>
        <v>156</v>
      </c>
      <c r="H721" s="174">
        <f>VLOOKUP(D721,原始分!$D:$N,4,0)</f>
        <v>91</v>
      </c>
      <c r="I721" s="174">
        <f t="shared" si="147"/>
        <v>592</v>
      </c>
      <c r="J721" s="174">
        <f>VLOOKUP(D721,原始分!$D:$N,5,0)</f>
        <v>116.25</v>
      </c>
      <c r="K721" s="174">
        <f t="shared" si="148"/>
        <v>84</v>
      </c>
      <c r="L721" s="174">
        <f>VLOOKUP(D721,原始分!$D:$N,6,0)</f>
        <v>0</v>
      </c>
      <c r="M721" s="174">
        <f t="shared" si="149"/>
        <v>664</v>
      </c>
      <c r="N721" s="174">
        <f>VLOOKUP(D721,原始分!$D:$N,7,0)</f>
        <v>58</v>
      </c>
      <c r="O721" s="174">
        <f t="shared" si="150"/>
        <v>84</v>
      </c>
      <c r="P721" s="174">
        <f>VLOOKUP(D721,原始分!$D:$N,8,0)</f>
        <v>0</v>
      </c>
      <c r="Q721" s="174">
        <f t="shared" si="151"/>
        <v>541</v>
      </c>
      <c r="R721" s="174">
        <f>VLOOKUP(D721,原始分!$D:$N,9,0)</f>
        <v>0</v>
      </c>
      <c r="S721" s="174">
        <f t="shared" si="152"/>
        <v>320</v>
      </c>
      <c r="T721" s="174">
        <f>VLOOKUP(D721,原始分!$D:$N,10,0)</f>
        <v>53.5</v>
      </c>
      <c r="U721" s="174">
        <f t="shared" si="153"/>
        <v>214</v>
      </c>
      <c r="V721" s="174">
        <f>VLOOKUP(D721,原始分!$D:$N,11,0)</f>
        <v>57.5</v>
      </c>
      <c r="W721" s="174">
        <f t="shared" si="154"/>
        <v>130</v>
      </c>
      <c r="X721" s="11">
        <f t="shared" si="155"/>
        <v>312.75</v>
      </c>
      <c r="Y721" s="9">
        <f t="shared" si="156"/>
        <v>229</v>
      </c>
      <c r="Z721" s="11">
        <f t="shared" si="157"/>
        <v>481.75</v>
      </c>
      <c r="AA721" s="9">
        <f t="shared" si="145"/>
        <v>72</v>
      </c>
    </row>
    <row r="722" ht="14.25" spans="1:27">
      <c r="A722" s="13">
        <v>720</v>
      </c>
      <c r="B722" s="15">
        <v>15</v>
      </c>
      <c r="C722" s="16">
        <v>19</v>
      </c>
      <c r="D722" s="15" t="s">
        <v>1443</v>
      </c>
      <c r="E722" s="15" t="s">
        <v>1444</v>
      </c>
      <c r="F722" s="174">
        <f>VLOOKUP(D722,原始分!$D:$N,3,0)</f>
        <v>95.25</v>
      </c>
      <c r="G722" s="174">
        <f t="shared" si="146"/>
        <v>615</v>
      </c>
      <c r="H722" s="174">
        <f>VLOOKUP(D722,原始分!$D:$N,4,0)</f>
        <v>63</v>
      </c>
      <c r="I722" s="174">
        <f t="shared" si="147"/>
        <v>837</v>
      </c>
      <c r="J722" s="174">
        <f>VLOOKUP(D722,原始分!$D:$N,5,0)</f>
        <v>92.75</v>
      </c>
      <c r="K722" s="174">
        <f t="shared" si="148"/>
        <v>536</v>
      </c>
      <c r="L722" s="174">
        <f>VLOOKUP(D722,原始分!$D:$N,6,0)</f>
        <v>0</v>
      </c>
      <c r="M722" s="174">
        <f t="shared" si="149"/>
        <v>664</v>
      </c>
      <c r="N722" s="174">
        <f>VLOOKUP(D722,原始分!$D:$N,7,0)</f>
        <v>41</v>
      </c>
      <c r="O722" s="174">
        <f t="shared" si="150"/>
        <v>202</v>
      </c>
      <c r="P722" s="174">
        <f>VLOOKUP(D722,原始分!$D:$N,8,0)</f>
        <v>0</v>
      </c>
      <c r="Q722" s="174">
        <f t="shared" si="151"/>
        <v>541</v>
      </c>
      <c r="R722" s="174">
        <f>VLOOKUP(D722,原始分!$D:$N,9,0)</f>
        <v>0</v>
      </c>
      <c r="S722" s="174">
        <f t="shared" si="152"/>
        <v>320</v>
      </c>
      <c r="T722" s="174">
        <f>VLOOKUP(D722,原始分!$D:$N,10,0)</f>
        <v>66.5</v>
      </c>
      <c r="U722" s="174">
        <f t="shared" si="153"/>
        <v>33</v>
      </c>
      <c r="V722" s="174">
        <f>VLOOKUP(D722,原始分!$D:$N,11,0)</f>
        <v>68</v>
      </c>
      <c r="W722" s="174">
        <f t="shared" si="154"/>
        <v>24</v>
      </c>
      <c r="X722" s="11">
        <f t="shared" si="155"/>
        <v>251</v>
      </c>
      <c r="Y722" s="9">
        <f t="shared" si="156"/>
        <v>800</v>
      </c>
      <c r="Z722" s="11">
        <f t="shared" si="157"/>
        <v>426.5</v>
      </c>
      <c r="AA722" s="9">
        <f t="shared" si="145"/>
        <v>172</v>
      </c>
    </row>
    <row r="723" ht="14.25" spans="1:27">
      <c r="A723" s="13">
        <v>721</v>
      </c>
      <c r="B723" s="15">
        <v>15</v>
      </c>
      <c r="C723" s="16">
        <v>20</v>
      </c>
      <c r="D723" s="15" t="s">
        <v>1445</v>
      </c>
      <c r="E723" s="15" t="s">
        <v>1446</v>
      </c>
      <c r="F723" s="174">
        <f>VLOOKUP(D723,原始分!$D:$N,3,0)</f>
        <v>94.5</v>
      </c>
      <c r="G723" s="174">
        <f t="shared" si="146"/>
        <v>642</v>
      </c>
      <c r="H723" s="174">
        <f>VLOOKUP(D723,原始分!$D:$N,4,0)</f>
        <v>110.5</v>
      </c>
      <c r="I723" s="174">
        <f t="shared" si="147"/>
        <v>211</v>
      </c>
      <c r="J723" s="174">
        <f>VLOOKUP(D723,原始分!$D:$N,5,0)</f>
        <v>110</v>
      </c>
      <c r="K723" s="174">
        <f t="shared" si="148"/>
        <v>173</v>
      </c>
      <c r="L723" s="174">
        <f>VLOOKUP(D723,原始分!$D:$N,6,0)</f>
        <v>0</v>
      </c>
      <c r="M723" s="174">
        <f t="shared" si="149"/>
        <v>664</v>
      </c>
      <c r="N723" s="174">
        <f>VLOOKUP(D723,原始分!$D:$N,7,0)</f>
        <v>63</v>
      </c>
      <c r="O723" s="174">
        <f t="shared" si="150"/>
        <v>43</v>
      </c>
      <c r="P723" s="174">
        <f>VLOOKUP(D723,原始分!$D:$N,8,0)</f>
        <v>0</v>
      </c>
      <c r="Q723" s="174">
        <f t="shared" si="151"/>
        <v>541</v>
      </c>
      <c r="R723" s="174">
        <f>VLOOKUP(D723,原始分!$D:$N,9,0)</f>
        <v>0</v>
      </c>
      <c r="S723" s="174">
        <f t="shared" si="152"/>
        <v>320</v>
      </c>
      <c r="T723" s="174">
        <f>VLOOKUP(D723,原始分!$D:$N,10,0)</f>
        <v>62.5</v>
      </c>
      <c r="U723" s="174">
        <f t="shared" si="153"/>
        <v>78</v>
      </c>
      <c r="V723" s="174">
        <f>VLOOKUP(D723,原始分!$D:$N,11,0)</f>
        <v>49.5</v>
      </c>
      <c r="W723" s="174">
        <f t="shared" si="154"/>
        <v>313</v>
      </c>
      <c r="X723" s="11">
        <f t="shared" si="155"/>
        <v>315</v>
      </c>
      <c r="Y723" s="9">
        <f t="shared" si="156"/>
        <v>204</v>
      </c>
      <c r="Z723" s="11">
        <f t="shared" si="157"/>
        <v>490</v>
      </c>
      <c r="AA723" s="9">
        <f t="shared" si="145"/>
        <v>56</v>
      </c>
    </row>
    <row r="724" ht="14.25" spans="1:27">
      <c r="A724" s="13">
        <v>722</v>
      </c>
      <c r="B724" s="15">
        <v>15</v>
      </c>
      <c r="C724" s="16">
        <v>21</v>
      </c>
      <c r="D724" s="15" t="s">
        <v>1447</v>
      </c>
      <c r="E724" s="15" t="s">
        <v>1448</v>
      </c>
      <c r="F724" s="174">
        <f>VLOOKUP(D724,原始分!$D:$N,3,0)</f>
        <v>101.75</v>
      </c>
      <c r="G724" s="174">
        <f t="shared" si="146"/>
        <v>317</v>
      </c>
      <c r="H724" s="174">
        <f>VLOOKUP(D724,原始分!$D:$N,4,0)</f>
        <v>120.5</v>
      </c>
      <c r="I724" s="174">
        <f t="shared" si="147"/>
        <v>62</v>
      </c>
      <c r="J724" s="174">
        <f>VLOOKUP(D724,原始分!$D:$N,5,0)</f>
        <v>95.5</v>
      </c>
      <c r="K724" s="174">
        <f t="shared" si="148"/>
        <v>477</v>
      </c>
      <c r="L724" s="174">
        <f>VLOOKUP(D724,原始分!$D:$N,6,0)</f>
        <v>0</v>
      </c>
      <c r="M724" s="174">
        <f t="shared" si="149"/>
        <v>664</v>
      </c>
      <c r="N724" s="174">
        <f>VLOOKUP(D724,原始分!$D:$N,7,0)</f>
        <v>59.5</v>
      </c>
      <c r="O724" s="174">
        <f t="shared" si="150"/>
        <v>69</v>
      </c>
      <c r="P724" s="174">
        <f>VLOOKUP(D724,原始分!$D:$N,8,0)</f>
        <v>0</v>
      </c>
      <c r="Q724" s="174">
        <f t="shared" si="151"/>
        <v>541</v>
      </c>
      <c r="R724" s="174">
        <f>VLOOKUP(D724,原始分!$D:$N,9,0)</f>
        <v>0</v>
      </c>
      <c r="S724" s="174">
        <f t="shared" si="152"/>
        <v>320</v>
      </c>
      <c r="T724" s="174">
        <f>VLOOKUP(D724,原始分!$D:$N,10,0)</f>
        <v>59.5</v>
      </c>
      <c r="U724" s="174">
        <f t="shared" si="153"/>
        <v>116</v>
      </c>
      <c r="V724" s="174">
        <f>VLOOKUP(D724,原始分!$D:$N,11,0)</f>
        <v>49.5</v>
      </c>
      <c r="W724" s="174">
        <f t="shared" si="154"/>
        <v>313</v>
      </c>
      <c r="X724" s="11">
        <f t="shared" si="155"/>
        <v>317.75</v>
      </c>
      <c r="Y724" s="9">
        <f t="shared" si="156"/>
        <v>180</v>
      </c>
      <c r="Z724" s="11">
        <f t="shared" si="157"/>
        <v>486.25</v>
      </c>
      <c r="AA724" s="9">
        <f t="shared" si="145"/>
        <v>59</v>
      </c>
    </row>
    <row r="725" ht="14.25" spans="1:27">
      <c r="A725" s="13">
        <v>723</v>
      </c>
      <c r="B725" s="15">
        <v>15</v>
      </c>
      <c r="C725" s="16">
        <v>22</v>
      </c>
      <c r="D725" s="15" t="s">
        <v>1449</v>
      </c>
      <c r="E725" s="15" t="s">
        <v>1450</v>
      </c>
      <c r="F725" s="174">
        <f>VLOOKUP(D725,原始分!$D:$N,3,0)</f>
        <v>98</v>
      </c>
      <c r="G725" s="174">
        <f t="shared" si="146"/>
        <v>500</v>
      </c>
      <c r="H725" s="174">
        <f>VLOOKUP(D725,原始分!$D:$N,4,0)</f>
        <v>107.5</v>
      </c>
      <c r="I725" s="174">
        <f t="shared" si="147"/>
        <v>267</v>
      </c>
      <c r="J725" s="174">
        <f>VLOOKUP(D725,原始分!$D:$N,5,0)</f>
        <v>121.25</v>
      </c>
      <c r="K725" s="174">
        <f t="shared" si="148"/>
        <v>34</v>
      </c>
      <c r="L725" s="174">
        <f>VLOOKUP(D725,原始分!$D:$N,6,0)</f>
        <v>0</v>
      </c>
      <c r="M725" s="174">
        <f t="shared" si="149"/>
        <v>664</v>
      </c>
      <c r="N725" s="174">
        <f>VLOOKUP(D725,原始分!$D:$N,7,0)</f>
        <v>56</v>
      </c>
      <c r="O725" s="174">
        <f t="shared" si="150"/>
        <v>107</v>
      </c>
      <c r="P725" s="174">
        <f>VLOOKUP(D725,原始分!$D:$N,8,0)</f>
        <v>0</v>
      </c>
      <c r="Q725" s="174">
        <f t="shared" si="151"/>
        <v>541</v>
      </c>
      <c r="R725" s="174">
        <f>VLOOKUP(D725,原始分!$D:$N,9,0)</f>
        <v>0</v>
      </c>
      <c r="S725" s="174">
        <f t="shared" si="152"/>
        <v>320</v>
      </c>
      <c r="T725" s="174">
        <f>VLOOKUP(D725,原始分!$D:$N,10,0)</f>
        <v>55</v>
      </c>
      <c r="U725" s="174">
        <f t="shared" si="153"/>
        <v>193</v>
      </c>
      <c r="V725" s="174">
        <f>VLOOKUP(D725,原始分!$D:$N,11,0)</f>
        <v>35.5</v>
      </c>
      <c r="W725" s="174">
        <f t="shared" si="154"/>
        <v>522</v>
      </c>
      <c r="X725" s="11">
        <f t="shared" si="155"/>
        <v>326.75</v>
      </c>
      <c r="Y725" s="9">
        <f t="shared" si="156"/>
        <v>106</v>
      </c>
      <c r="Z725" s="11">
        <f t="shared" si="157"/>
        <v>473.25</v>
      </c>
      <c r="AA725" s="9">
        <f t="shared" si="145"/>
        <v>87</v>
      </c>
    </row>
    <row r="726" ht="14.25" spans="1:27">
      <c r="A726" s="13">
        <v>724</v>
      </c>
      <c r="B726" s="15">
        <v>15</v>
      </c>
      <c r="C726" s="16">
        <v>23</v>
      </c>
      <c r="D726" s="15" t="s">
        <v>1451</v>
      </c>
      <c r="E726" s="15" t="s">
        <v>1452</v>
      </c>
      <c r="F726" s="174">
        <f>VLOOKUP(D726,原始分!$D:$N,3,0)</f>
        <v>98</v>
      </c>
      <c r="G726" s="174">
        <f t="shared" si="146"/>
        <v>500</v>
      </c>
      <c r="H726" s="174">
        <f>VLOOKUP(D726,原始分!$D:$N,4,0)</f>
        <v>106</v>
      </c>
      <c r="I726" s="174">
        <f t="shared" si="147"/>
        <v>297</v>
      </c>
      <c r="J726" s="174">
        <f>VLOOKUP(D726,原始分!$D:$N,5,0)</f>
        <v>117.5</v>
      </c>
      <c r="K726" s="174">
        <f t="shared" si="148"/>
        <v>71</v>
      </c>
      <c r="L726" s="174">
        <f>VLOOKUP(D726,原始分!$D:$N,6,0)</f>
        <v>0</v>
      </c>
      <c r="M726" s="174">
        <f t="shared" si="149"/>
        <v>664</v>
      </c>
      <c r="N726" s="174">
        <f>VLOOKUP(D726,原始分!$D:$N,7,0)</f>
        <v>49</v>
      </c>
      <c r="O726" s="174">
        <f t="shared" si="150"/>
        <v>172</v>
      </c>
      <c r="P726" s="174">
        <f>VLOOKUP(D726,原始分!$D:$N,8,0)</f>
        <v>0</v>
      </c>
      <c r="Q726" s="174">
        <f t="shared" si="151"/>
        <v>541</v>
      </c>
      <c r="R726" s="174">
        <f>VLOOKUP(D726,原始分!$D:$N,9,0)</f>
        <v>0</v>
      </c>
      <c r="S726" s="174">
        <f t="shared" si="152"/>
        <v>320</v>
      </c>
      <c r="T726" s="174">
        <f>VLOOKUP(D726,原始分!$D:$N,10,0)</f>
        <v>45.5</v>
      </c>
      <c r="U726" s="174">
        <f t="shared" si="153"/>
        <v>293</v>
      </c>
      <c r="V726" s="174">
        <f>VLOOKUP(D726,原始分!$D:$N,11,0)</f>
        <v>52.5</v>
      </c>
      <c r="W726" s="174">
        <f t="shared" si="154"/>
        <v>235</v>
      </c>
      <c r="X726" s="11">
        <f t="shared" si="155"/>
        <v>321.5</v>
      </c>
      <c r="Y726" s="9">
        <f t="shared" si="156"/>
        <v>147</v>
      </c>
      <c r="Z726" s="11">
        <f t="shared" si="157"/>
        <v>468.5</v>
      </c>
      <c r="AA726" s="9">
        <f t="shared" si="145"/>
        <v>96</v>
      </c>
    </row>
    <row r="727" ht="14.25" spans="1:27">
      <c r="A727" s="13">
        <v>725</v>
      </c>
      <c r="B727" s="15">
        <v>15</v>
      </c>
      <c r="C727" s="16">
        <v>24</v>
      </c>
      <c r="D727" s="15" t="s">
        <v>1453</v>
      </c>
      <c r="E727" s="15" t="s">
        <v>1454</v>
      </c>
      <c r="F727" s="174">
        <f>VLOOKUP(D727,原始分!$D:$N,3,0)</f>
        <v>99.5</v>
      </c>
      <c r="G727" s="174">
        <f t="shared" si="146"/>
        <v>418</v>
      </c>
      <c r="H727" s="174">
        <f>VLOOKUP(D727,原始分!$D:$N,4,0)</f>
        <v>102</v>
      </c>
      <c r="I727" s="174">
        <f t="shared" si="147"/>
        <v>383</v>
      </c>
      <c r="J727" s="174">
        <f>VLOOKUP(D727,原始分!$D:$N,5,0)</f>
        <v>92.75</v>
      </c>
      <c r="K727" s="174">
        <f t="shared" si="148"/>
        <v>536</v>
      </c>
      <c r="L727" s="174">
        <f>VLOOKUP(D727,原始分!$D:$N,6,0)</f>
        <v>0</v>
      </c>
      <c r="M727" s="174">
        <f t="shared" si="149"/>
        <v>664</v>
      </c>
      <c r="N727" s="174">
        <f>VLOOKUP(D727,原始分!$D:$N,7,0)</f>
        <v>51</v>
      </c>
      <c r="O727" s="174">
        <f t="shared" si="150"/>
        <v>160</v>
      </c>
      <c r="P727" s="174">
        <f>VLOOKUP(D727,原始分!$D:$N,8,0)</f>
        <v>0</v>
      </c>
      <c r="Q727" s="174">
        <f t="shared" si="151"/>
        <v>541</v>
      </c>
      <c r="R727" s="174">
        <f>VLOOKUP(D727,原始分!$D:$N,9,0)</f>
        <v>0</v>
      </c>
      <c r="S727" s="174">
        <f t="shared" si="152"/>
        <v>320</v>
      </c>
      <c r="T727" s="174">
        <f>VLOOKUP(D727,原始分!$D:$N,10,0)</f>
        <v>52.5</v>
      </c>
      <c r="U727" s="174">
        <f t="shared" si="153"/>
        <v>225</v>
      </c>
      <c r="V727" s="174">
        <f>VLOOKUP(D727,原始分!$D:$N,11,0)</f>
        <v>47.5</v>
      </c>
      <c r="W727" s="174">
        <f t="shared" si="154"/>
        <v>353</v>
      </c>
      <c r="X727" s="11">
        <f t="shared" si="155"/>
        <v>294.25</v>
      </c>
      <c r="Y727" s="9">
        <f t="shared" si="156"/>
        <v>441</v>
      </c>
      <c r="Z727" s="11">
        <f t="shared" si="157"/>
        <v>445.25</v>
      </c>
      <c r="AA727" s="9">
        <f t="shared" si="145"/>
        <v>141</v>
      </c>
    </row>
    <row r="728" ht="14.25" spans="1:27">
      <c r="A728" s="13">
        <v>726</v>
      </c>
      <c r="B728" s="15">
        <v>15</v>
      </c>
      <c r="C728" s="16">
        <v>25</v>
      </c>
      <c r="D728" s="15" t="s">
        <v>1455</v>
      </c>
      <c r="E728" s="15" t="s">
        <v>712</v>
      </c>
      <c r="F728" s="174">
        <f>VLOOKUP(D728,原始分!$D:$N,3,0)</f>
        <v>99.5</v>
      </c>
      <c r="G728" s="174">
        <f t="shared" si="146"/>
        <v>418</v>
      </c>
      <c r="H728" s="174">
        <f>VLOOKUP(D728,原始分!$D:$N,4,0)</f>
        <v>104.5</v>
      </c>
      <c r="I728" s="174">
        <f t="shared" si="147"/>
        <v>327</v>
      </c>
      <c r="J728" s="174">
        <f>VLOOKUP(D728,原始分!$D:$N,5,0)</f>
        <v>97.75</v>
      </c>
      <c r="K728" s="174">
        <f t="shared" si="148"/>
        <v>435</v>
      </c>
      <c r="L728" s="174">
        <f>VLOOKUP(D728,原始分!$D:$N,6,0)</f>
        <v>0</v>
      </c>
      <c r="M728" s="174">
        <f t="shared" si="149"/>
        <v>664</v>
      </c>
      <c r="N728" s="174">
        <f>VLOOKUP(D728,原始分!$D:$N,7,0)</f>
        <v>46.5</v>
      </c>
      <c r="O728" s="174">
        <f t="shared" si="150"/>
        <v>189</v>
      </c>
      <c r="P728" s="174">
        <f>VLOOKUP(D728,原始分!$D:$N,8,0)</f>
        <v>0</v>
      </c>
      <c r="Q728" s="174">
        <f t="shared" si="151"/>
        <v>541</v>
      </c>
      <c r="R728" s="174">
        <f>VLOOKUP(D728,原始分!$D:$N,9,0)</f>
        <v>0</v>
      </c>
      <c r="S728" s="174">
        <f t="shared" si="152"/>
        <v>320</v>
      </c>
      <c r="T728" s="174">
        <f>VLOOKUP(D728,原始分!$D:$N,10,0)</f>
        <v>54.5</v>
      </c>
      <c r="U728" s="174">
        <f t="shared" si="153"/>
        <v>200</v>
      </c>
      <c r="V728" s="174">
        <f>VLOOKUP(D728,原始分!$D:$N,11,0)</f>
        <v>54.5</v>
      </c>
      <c r="W728" s="174">
        <f t="shared" si="154"/>
        <v>187</v>
      </c>
      <c r="X728" s="11">
        <f t="shared" si="155"/>
        <v>301.75</v>
      </c>
      <c r="Y728" s="9">
        <f t="shared" si="156"/>
        <v>355</v>
      </c>
      <c r="Z728" s="11">
        <f t="shared" si="157"/>
        <v>457.25</v>
      </c>
      <c r="AA728" s="9">
        <f t="shared" si="145"/>
        <v>117</v>
      </c>
    </row>
    <row r="729" ht="14.25" spans="1:27">
      <c r="A729" s="13">
        <v>727</v>
      </c>
      <c r="B729" s="15">
        <v>15</v>
      </c>
      <c r="C729" s="16">
        <v>26</v>
      </c>
      <c r="D729" s="15" t="s">
        <v>1456</v>
      </c>
      <c r="E729" s="15" t="s">
        <v>1457</v>
      </c>
      <c r="F729" s="174">
        <f>VLOOKUP(D729,原始分!$D:$N,3,0)</f>
        <v>80.5</v>
      </c>
      <c r="G729" s="174">
        <f t="shared" si="146"/>
        <v>858</v>
      </c>
      <c r="H729" s="174">
        <f>VLOOKUP(D729,原始分!$D:$N,4,0)</f>
        <v>87</v>
      </c>
      <c r="I729" s="174">
        <f t="shared" si="147"/>
        <v>677</v>
      </c>
      <c r="J729" s="174">
        <f>VLOOKUP(D729,原始分!$D:$N,5,0)</f>
        <v>99.25</v>
      </c>
      <c r="K729" s="174">
        <f t="shared" si="148"/>
        <v>391</v>
      </c>
      <c r="L729" s="174">
        <f>VLOOKUP(D729,原始分!$D:$N,6,0)</f>
        <v>0</v>
      </c>
      <c r="M729" s="174">
        <f t="shared" si="149"/>
        <v>664</v>
      </c>
      <c r="N729" s="174">
        <f>VLOOKUP(D729,原始分!$D:$N,7,0)</f>
        <v>59.5</v>
      </c>
      <c r="O729" s="174">
        <f t="shared" si="150"/>
        <v>69</v>
      </c>
      <c r="P729" s="174">
        <f>VLOOKUP(D729,原始分!$D:$N,8,0)</f>
        <v>0</v>
      </c>
      <c r="Q729" s="174">
        <f t="shared" si="151"/>
        <v>541</v>
      </c>
      <c r="R729" s="174">
        <f>VLOOKUP(D729,原始分!$D:$N,9,0)</f>
        <v>0</v>
      </c>
      <c r="S729" s="174">
        <f t="shared" si="152"/>
        <v>320</v>
      </c>
      <c r="T729" s="174">
        <f>VLOOKUP(D729,原始分!$D:$N,10,0)</f>
        <v>54</v>
      </c>
      <c r="U729" s="174">
        <f t="shared" si="153"/>
        <v>204</v>
      </c>
      <c r="V729" s="174">
        <f>VLOOKUP(D729,原始分!$D:$N,11,0)</f>
        <v>50</v>
      </c>
      <c r="W729" s="174">
        <f t="shared" si="154"/>
        <v>302</v>
      </c>
      <c r="X729" s="11">
        <f t="shared" si="155"/>
        <v>266.75</v>
      </c>
      <c r="Y729" s="9">
        <f t="shared" si="156"/>
        <v>729</v>
      </c>
      <c r="Z729" s="11">
        <f t="shared" si="157"/>
        <v>430.25</v>
      </c>
      <c r="AA729" s="9">
        <f t="shared" si="145"/>
        <v>165</v>
      </c>
    </row>
    <row r="730" ht="14.25" spans="1:27">
      <c r="A730" s="13">
        <v>728</v>
      </c>
      <c r="B730" s="15">
        <v>15</v>
      </c>
      <c r="C730" s="16">
        <v>28</v>
      </c>
      <c r="D730" s="15" t="s">
        <v>1458</v>
      </c>
      <c r="E730" s="15" t="s">
        <v>1459</v>
      </c>
      <c r="F730" s="174">
        <f>VLOOKUP(D730,原始分!$D:$N,3,0)</f>
        <v>98</v>
      </c>
      <c r="G730" s="174">
        <f t="shared" si="146"/>
        <v>500</v>
      </c>
      <c r="H730" s="174">
        <f>VLOOKUP(D730,原始分!$D:$N,4,0)</f>
        <v>97</v>
      </c>
      <c r="I730" s="174">
        <f t="shared" si="147"/>
        <v>478</v>
      </c>
      <c r="J730" s="174">
        <f>VLOOKUP(D730,原始分!$D:$N,5,0)</f>
        <v>93.5</v>
      </c>
      <c r="K730" s="174">
        <f t="shared" si="148"/>
        <v>515</v>
      </c>
      <c r="L730" s="174">
        <f>VLOOKUP(D730,原始分!$D:$N,6,0)</f>
        <v>0</v>
      </c>
      <c r="M730" s="174">
        <f t="shared" si="149"/>
        <v>664</v>
      </c>
      <c r="N730" s="174">
        <f>VLOOKUP(D730,原始分!$D:$N,7,0)</f>
        <v>63.5</v>
      </c>
      <c r="O730" s="174">
        <f t="shared" si="150"/>
        <v>40</v>
      </c>
      <c r="P730" s="174">
        <f>VLOOKUP(D730,原始分!$D:$N,8,0)</f>
        <v>0</v>
      </c>
      <c r="Q730" s="174">
        <f t="shared" si="151"/>
        <v>541</v>
      </c>
      <c r="R730" s="174">
        <f>VLOOKUP(D730,原始分!$D:$N,9,0)</f>
        <v>0</v>
      </c>
      <c r="S730" s="174">
        <f t="shared" si="152"/>
        <v>320</v>
      </c>
      <c r="T730" s="174">
        <f>VLOOKUP(D730,原始分!$D:$N,10,0)</f>
        <v>58.5</v>
      </c>
      <c r="U730" s="174">
        <f t="shared" si="153"/>
        <v>132</v>
      </c>
      <c r="V730" s="174">
        <f>VLOOKUP(D730,原始分!$D:$N,11,0)</f>
        <v>59</v>
      </c>
      <c r="W730" s="174">
        <f t="shared" si="154"/>
        <v>107</v>
      </c>
      <c r="X730" s="11">
        <f t="shared" si="155"/>
        <v>288.5</v>
      </c>
      <c r="Y730" s="9">
        <f t="shared" si="156"/>
        <v>510</v>
      </c>
      <c r="Z730" s="11">
        <f t="shared" si="157"/>
        <v>469.5</v>
      </c>
      <c r="AA730" s="9">
        <f t="shared" si="145"/>
        <v>92</v>
      </c>
    </row>
    <row r="731" ht="14.25" spans="1:27">
      <c r="A731" s="13">
        <v>729</v>
      </c>
      <c r="B731" s="15">
        <v>15</v>
      </c>
      <c r="C731" s="16">
        <v>29</v>
      </c>
      <c r="D731" s="15" t="s">
        <v>1460</v>
      </c>
      <c r="E731" s="15" t="s">
        <v>1461</v>
      </c>
      <c r="F731" s="174">
        <f>VLOOKUP(D731,原始分!$D:$N,3,0)</f>
        <v>107.5</v>
      </c>
      <c r="G731" s="174">
        <f t="shared" si="146"/>
        <v>93</v>
      </c>
      <c r="H731" s="174">
        <f>VLOOKUP(D731,原始分!$D:$N,4,0)</f>
        <v>91</v>
      </c>
      <c r="I731" s="174">
        <f t="shared" si="147"/>
        <v>592</v>
      </c>
      <c r="J731" s="174">
        <f>VLOOKUP(D731,原始分!$D:$N,5,0)</f>
        <v>84.5</v>
      </c>
      <c r="K731" s="174">
        <f t="shared" si="148"/>
        <v>677</v>
      </c>
      <c r="L731" s="174">
        <f>VLOOKUP(D731,原始分!$D:$N,6,0)</f>
        <v>0</v>
      </c>
      <c r="M731" s="174">
        <f t="shared" si="149"/>
        <v>664</v>
      </c>
      <c r="N731" s="174">
        <f>VLOOKUP(D731,原始分!$D:$N,7,0)</f>
        <v>42.5</v>
      </c>
      <c r="O731" s="174">
        <f t="shared" si="150"/>
        <v>199</v>
      </c>
      <c r="P731" s="174">
        <f>VLOOKUP(D731,原始分!$D:$N,8,0)</f>
        <v>0</v>
      </c>
      <c r="Q731" s="174">
        <f t="shared" si="151"/>
        <v>541</v>
      </c>
      <c r="R731" s="174">
        <f>VLOOKUP(D731,原始分!$D:$N,9,0)</f>
        <v>0</v>
      </c>
      <c r="S731" s="174">
        <f t="shared" si="152"/>
        <v>320</v>
      </c>
      <c r="T731" s="174">
        <f>VLOOKUP(D731,原始分!$D:$N,10,0)</f>
        <v>59.25</v>
      </c>
      <c r="U731" s="174">
        <f t="shared" si="153"/>
        <v>123</v>
      </c>
      <c r="V731" s="174">
        <f>VLOOKUP(D731,原始分!$D:$N,11,0)</f>
        <v>45.5</v>
      </c>
      <c r="W731" s="174">
        <f t="shared" si="154"/>
        <v>399</v>
      </c>
      <c r="X731" s="11">
        <f t="shared" si="155"/>
        <v>283</v>
      </c>
      <c r="Y731" s="9">
        <f t="shared" si="156"/>
        <v>564</v>
      </c>
      <c r="Z731" s="11">
        <f t="shared" si="157"/>
        <v>430.25</v>
      </c>
      <c r="AA731" s="9">
        <f t="shared" ref="AA731:AA794" si="158">RANK(Z731,$Z$666:$Z$900)</f>
        <v>165</v>
      </c>
    </row>
    <row r="732" ht="14.25" spans="1:27">
      <c r="A732" s="13">
        <v>730</v>
      </c>
      <c r="B732" s="15">
        <v>15</v>
      </c>
      <c r="C732" s="16">
        <v>30</v>
      </c>
      <c r="D732" s="15" t="s">
        <v>1462</v>
      </c>
      <c r="E732" s="15" t="s">
        <v>1463</v>
      </c>
      <c r="F732" s="174">
        <f>VLOOKUP(D732,原始分!$D:$N,3,0)</f>
        <v>104.5</v>
      </c>
      <c r="G732" s="174">
        <f t="shared" si="146"/>
        <v>190</v>
      </c>
      <c r="H732" s="174">
        <f>VLOOKUP(D732,原始分!$D:$N,4,0)</f>
        <v>101</v>
      </c>
      <c r="I732" s="174">
        <f t="shared" si="147"/>
        <v>403</v>
      </c>
      <c r="J732" s="174">
        <f>VLOOKUP(D732,原始分!$D:$N,5,0)</f>
        <v>109</v>
      </c>
      <c r="K732" s="174">
        <f t="shared" si="148"/>
        <v>193</v>
      </c>
      <c r="L732" s="174">
        <f>VLOOKUP(D732,原始分!$D:$N,6,0)</f>
        <v>0</v>
      </c>
      <c r="M732" s="174">
        <f t="shared" si="149"/>
        <v>664</v>
      </c>
      <c r="N732" s="174">
        <f>VLOOKUP(D732,原始分!$D:$N,7,0)</f>
        <v>67</v>
      </c>
      <c r="O732" s="174">
        <f t="shared" si="150"/>
        <v>18</v>
      </c>
      <c r="P732" s="174">
        <f>VLOOKUP(D732,原始分!$D:$N,8,0)</f>
        <v>0</v>
      </c>
      <c r="Q732" s="174">
        <f t="shared" si="151"/>
        <v>541</v>
      </c>
      <c r="R732" s="174">
        <f>VLOOKUP(D732,原始分!$D:$N,9,0)</f>
        <v>0</v>
      </c>
      <c r="S732" s="174">
        <f t="shared" si="152"/>
        <v>320</v>
      </c>
      <c r="T732" s="174">
        <f>VLOOKUP(D732,原始分!$D:$N,10,0)</f>
        <v>63</v>
      </c>
      <c r="U732" s="174">
        <f t="shared" si="153"/>
        <v>73</v>
      </c>
      <c r="V732" s="174">
        <f>VLOOKUP(D732,原始分!$D:$N,11,0)</f>
        <v>46</v>
      </c>
      <c r="W732" s="174">
        <f t="shared" si="154"/>
        <v>386</v>
      </c>
      <c r="X732" s="11">
        <f t="shared" si="155"/>
        <v>314.5</v>
      </c>
      <c r="Y732" s="9">
        <f t="shared" si="156"/>
        <v>209</v>
      </c>
      <c r="Z732" s="11">
        <f t="shared" si="157"/>
        <v>490.5</v>
      </c>
      <c r="AA732" s="9">
        <f t="shared" si="158"/>
        <v>53</v>
      </c>
    </row>
    <row r="733" ht="14.25" spans="1:27">
      <c r="A733" s="13">
        <v>731</v>
      </c>
      <c r="B733" s="15">
        <v>15</v>
      </c>
      <c r="C733" s="16">
        <v>31</v>
      </c>
      <c r="D733" s="15" t="s">
        <v>1464</v>
      </c>
      <c r="E733" s="15" t="s">
        <v>1465</v>
      </c>
      <c r="F733" s="174">
        <f>VLOOKUP(D733,原始分!$D:$N,3,0)</f>
        <v>101.5</v>
      </c>
      <c r="G733" s="174">
        <f t="shared" si="146"/>
        <v>319</v>
      </c>
      <c r="H733" s="174">
        <f>VLOOKUP(D733,原始分!$D:$N,4,0)</f>
        <v>65.5</v>
      </c>
      <c r="I733" s="174">
        <f t="shared" si="147"/>
        <v>830</v>
      </c>
      <c r="J733" s="174">
        <f>VLOOKUP(D733,原始分!$D:$N,5,0)</f>
        <v>109.25</v>
      </c>
      <c r="K733" s="174">
        <f t="shared" si="148"/>
        <v>189</v>
      </c>
      <c r="L733" s="174">
        <f>VLOOKUP(D733,原始分!$D:$N,6,0)</f>
        <v>0</v>
      </c>
      <c r="M733" s="174">
        <f t="shared" si="149"/>
        <v>664</v>
      </c>
      <c r="N733" s="174">
        <f>VLOOKUP(D733,原始分!$D:$N,7,0)</f>
        <v>57.5</v>
      </c>
      <c r="O733" s="174">
        <f t="shared" si="150"/>
        <v>92</v>
      </c>
      <c r="P733" s="174">
        <f>VLOOKUP(D733,原始分!$D:$N,8,0)</f>
        <v>0</v>
      </c>
      <c r="Q733" s="174">
        <f t="shared" si="151"/>
        <v>541</v>
      </c>
      <c r="R733" s="174">
        <f>VLOOKUP(D733,原始分!$D:$N,9,0)</f>
        <v>0</v>
      </c>
      <c r="S733" s="174">
        <f t="shared" si="152"/>
        <v>320</v>
      </c>
      <c r="T733" s="174">
        <f>VLOOKUP(D733,原始分!$D:$N,10,0)</f>
        <v>47.5</v>
      </c>
      <c r="U733" s="174">
        <f t="shared" si="153"/>
        <v>278</v>
      </c>
      <c r="V733" s="174">
        <f>VLOOKUP(D733,原始分!$D:$N,11,0)</f>
        <v>41.5</v>
      </c>
      <c r="W733" s="174">
        <f t="shared" si="154"/>
        <v>479</v>
      </c>
      <c r="X733" s="11">
        <f t="shared" si="155"/>
        <v>276.25</v>
      </c>
      <c r="Y733" s="9">
        <f t="shared" si="156"/>
        <v>645</v>
      </c>
      <c r="Z733" s="11">
        <f t="shared" si="157"/>
        <v>422.75</v>
      </c>
      <c r="AA733" s="9">
        <f t="shared" si="158"/>
        <v>176</v>
      </c>
    </row>
    <row r="734" ht="14.25" spans="1:27">
      <c r="A734" s="13">
        <v>732</v>
      </c>
      <c r="B734" s="15">
        <v>15</v>
      </c>
      <c r="C734" s="16">
        <v>32</v>
      </c>
      <c r="D734" s="15" t="s">
        <v>1466</v>
      </c>
      <c r="E734" s="15" t="s">
        <v>1467</v>
      </c>
      <c r="F734" s="174">
        <f>VLOOKUP(D734,原始分!$D:$N,3,0)</f>
        <v>92</v>
      </c>
      <c r="G734" s="174">
        <f t="shared" si="146"/>
        <v>723</v>
      </c>
      <c r="H734" s="174">
        <f>VLOOKUP(D734,原始分!$D:$N,4,0)</f>
        <v>93</v>
      </c>
      <c r="I734" s="174">
        <f t="shared" si="147"/>
        <v>561</v>
      </c>
      <c r="J734" s="174">
        <f>VLOOKUP(D734,原始分!$D:$N,5,0)</f>
        <v>64</v>
      </c>
      <c r="K734" s="174">
        <f t="shared" si="148"/>
        <v>846</v>
      </c>
      <c r="L734" s="174">
        <f>VLOOKUP(D734,原始分!$D:$N,6,0)</f>
        <v>0</v>
      </c>
      <c r="M734" s="174">
        <f t="shared" si="149"/>
        <v>664</v>
      </c>
      <c r="N734" s="174">
        <f>VLOOKUP(D734,原始分!$D:$N,7,0)</f>
        <v>56.5</v>
      </c>
      <c r="O734" s="174">
        <f t="shared" si="150"/>
        <v>101</v>
      </c>
      <c r="P734" s="174">
        <f>VLOOKUP(D734,原始分!$D:$N,8,0)</f>
        <v>0</v>
      </c>
      <c r="Q734" s="174">
        <f t="shared" si="151"/>
        <v>541</v>
      </c>
      <c r="R734" s="174">
        <f>VLOOKUP(D734,原始分!$D:$N,9,0)</f>
        <v>0</v>
      </c>
      <c r="S734" s="174">
        <f t="shared" si="152"/>
        <v>320</v>
      </c>
      <c r="T734" s="174">
        <f>VLOOKUP(D734,原始分!$D:$N,10,0)</f>
        <v>67.5</v>
      </c>
      <c r="U734" s="174">
        <f t="shared" si="153"/>
        <v>22</v>
      </c>
      <c r="V734" s="174">
        <f>VLOOKUP(D734,原始分!$D:$N,11,0)</f>
        <v>62</v>
      </c>
      <c r="W734" s="174">
        <f t="shared" si="154"/>
        <v>64</v>
      </c>
      <c r="X734" s="11">
        <f t="shared" si="155"/>
        <v>249</v>
      </c>
      <c r="Y734" s="9">
        <f t="shared" si="156"/>
        <v>806</v>
      </c>
      <c r="Z734" s="11">
        <f t="shared" si="157"/>
        <v>435</v>
      </c>
      <c r="AA734" s="9">
        <f t="shared" si="158"/>
        <v>156</v>
      </c>
    </row>
    <row r="735" ht="14.25" spans="1:27">
      <c r="A735" s="13">
        <v>733</v>
      </c>
      <c r="B735" s="15">
        <v>15</v>
      </c>
      <c r="C735" s="16">
        <v>33</v>
      </c>
      <c r="D735" s="15" t="s">
        <v>1468</v>
      </c>
      <c r="E735" s="15" t="s">
        <v>1469</v>
      </c>
      <c r="F735" s="174">
        <f>VLOOKUP(D735,原始分!$D:$N,3,0)</f>
        <v>109.5</v>
      </c>
      <c r="G735" s="174">
        <f t="shared" si="146"/>
        <v>53</v>
      </c>
      <c r="H735" s="174">
        <f>VLOOKUP(D735,原始分!$D:$N,4,0)</f>
        <v>74</v>
      </c>
      <c r="I735" s="174">
        <f t="shared" si="147"/>
        <v>796</v>
      </c>
      <c r="J735" s="174">
        <f>VLOOKUP(D735,原始分!$D:$N,5,0)</f>
        <v>83.75</v>
      </c>
      <c r="K735" s="174">
        <f t="shared" si="148"/>
        <v>693</v>
      </c>
      <c r="L735" s="174">
        <f>VLOOKUP(D735,原始分!$D:$N,6,0)</f>
        <v>0</v>
      </c>
      <c r="M735" s="174">
        <f t="shared" si="149"/>
        <v>664</v>
      </c>
      <c r="N735" s="174">
        <f>VLOOKUP(D735,原始分!$D:$N,7,0)</f>
        <v>56.5</v>
      </c>
      <c r="O735" s="174">
        <f t="shared" si="150"/>
        <v>101</v>
      </c>
      <c r="P735" s="174">
        <f>VLOOKUP(D735,原始分!$D:$N,8,0)</f>
        <v>0</v>
      </c>
      <c r="Q735" s="174">
        <f t="shared" si="151"/>
        <v>541</v>
      </c>
      <c r="R735" s="174">
        <f>VLOOKUP(D735,原始分!$D:$N,9,0)</f>
        <v>0</v>
      </c>
      <c r="S735" s="174">
        <f t="shared" si="152"/>
        <v>320</v>
      </c>
      <c r="T735" s="174">
        <f>VLOOKUP(D735,原始分!$D:$N,10,0)</f>
        <v>59</v>
      </c>
      <c r="U735" s="174">
        <f t="shared" si="153"/>
        <v>124</v>
      </c>
      <c r="V735" s="174">
        <f>VLOOKUP(D735,原始分!$D:$N,11,0)</f>
        <v>48</v>
      </c>
      <c r="W735" s="174">
        <f t="shared" si="154"/>
        <v>341</v>
      </c>
      <c r="X735" s="11">
        <f t="shared" si="155"/>
        <v>267.25</v>
      </c>
      <c r="Y735" s="9">
        <f t="shared" si="156"/>
        <v>725</v>
      </c>
      <c r="Z735" s="11">
        <f t="shared" si="157"/>
        <v>430.75</v>
      </c>
      <c r="AA735" s="9">
        <f t="shared" si="158"/>
        <v>164</v>
      </c>
    </row>
    <row r="736" ht="14.25" spans="1:27">
      <c r="A736" s="13">
        <v>734</v>
      </c>
      <c r="B736" s="15">
        <v>15</v>
      </c>
      <c r="C736" s="16">
        <v>34</v>
      </c>
      <c r="D736" s="15" t="s">
        <v>1470</v>
      </c>
      <c r="E736" s="15" t="s">
        <v>1471</v>
      </c>
      <c r="F736" s="174">
        <f>VLOOKUP(D736,原始分!$D:$N,3,0)</f>
        <v>99</v>
      </c>
      <c r="G736" s="174">
        <f t="shared" si="146"/>
        <v>442</v>
      </c>
      <c r="H736" s="174">
        <f>VLOOKUP(D736,原始分!$D:$N,4,0)</f>
        <v>75</v>
      </c>
      <c r="I736" s="174">
        <f t="shared" si="147"/>
        <v>785</v>
      </c>
      <c r="J736" s="174">
        <f>VLOOKUP(D736,原始分!$D:$N,5,0)</f>
        <v>96</v>
      </c>
      <c r="K736" s="174">
        <f t="shared" si="148"/>
        <v>465</v>
      </c>
      <c r="L736" s="174">
        <f>VLOOKUP(D736,原始分!$D:$N,6,0)</f>
        <v>0</v>
      </c>
      <c r="M736" s="174">
        <f t="shared" si="149"/>
        <v>664</v>
      </c>
      <c r="N736" s="174">
        <f>VLOOKUP(D736,原始分!$D:$N,7,0)</f>
        <v>62</v>
      </c>
      <c r="O736" s="174">
        <f t="shared" si="150"/>
        <v>50</v>
      </c>
      <c r="P736" s="174">
        <f>VLOOKUP(D736,原始分!$D:$N,8,0)</f>
        <v>0</v>
      </c>
      <c r="Q736" s="174">
        <f t="shared" si="151"/>
        <v>541</v>
      </c>
      <c r="R736" s="174">
        <f>VLOOKUP(D736,原始分!$D:$N,9,0)</f>
        <v>0</v>
      </c>
      <c r="S736" s="174">
        <f t="shared" si="152"/>
        <v>320</v>
      </c>
      <c r="T736" s="174">
        <f>VLOOKUP(D736,原始分!$D:$N,10,0)</f>
        <v>51.5</v>
      </c>
      <c r="U736" s="174">
        <f t="shared" si="153"/>
        <v>236</v>
      </c>
      <c r="V736" s="174">
        <f>VLOOKUP(D736,原始分!$D:$N,11,0)</f>
        <v>45.5</v>
      </c>
      <c r="W736" s="174">
        <f t="shared" si="154"/>
        <v>399</v>
      </c>
      <c r="X736" s="11">
        <f t="shared" si="155"/>
        <v>270</v>
      </c>
      <c r="Y736" s="9">
        <f t="shared" si="156"/>
        <v>700</v>
      </c>
      <c r="Z736" s="11">
        <f t="shared" si="157"/>
        <v>429</v>
      </c>
      <c r="AA736" s="9">
        <f t="shared" si="158"/>
        <v>168</v>
      </c>
    </row>
    <row r="737" ht="14.25" spans="1:27">
      <c r="A737" s="13">
        <v>735</v>
      </c>
      <c r="B737" s="15">
        <v>15</v>
      </c>
      <c r="C737" s="16">
        <v>35</v>
      </c>
      <c r="D737" s="15" t="s">
        <v>1472</v>
      </c>
      <c r="E737" s="15" t="s">
        <v>1473</v>
      </c>
      <c r="F737" s="174">
        <f>VLOOKUP(D737,原始分!$D:$N,3,0)</f>
        <v>108</v>
      </c>
      <c r="G737" s="174">
        <f t="shared" si="146"/>
        <v>77</v>
      </c>
      <c r="H737" s="174">
        <f>VLOOKUP(D737,原始分!$D:$N,4,0)</f>
        <v>87</v>
      </c>
      <c r="I737" s="174">
        <f t="shared" si="147"/>
        <v>677</v>
      </c>
      <c r="J737" s="174">
        <f>VLOOKUP(D737,原始分!$D:$N,5,0)</f>
        <v>92</v>
      </c>
      <c r="K737" s="174">
        <f t="shared" si="148"/>
        <v>550</v>
      </c>
      <c r="L737" s="174">
        <f>VLOOKUP(D737,原始分!$D:$N,6,0)</f>
        <v>0</v>
      </c>
      <c r="M737" s="174">
        <f t="shared" si="149"/>
        <v>664</v>
      </c>
      <c r="N737" s="174">
        <f>VLOOKUP(D737,原始分!$D:$N,7,0)</f>
        <v>58</v>
      </c>
      <c r="O737" s="174">
        <f t="shared" si="150"/>
        <v>84</v>
      </c>
      <c r="P737" s="174">
        <f>VLOOKUP(D737,原始分!$D:$N,8,0)</f>
        <v>0</v>
      </c>
      <c r="Q737" s="174">
        <f t="shared" si="151"/>
        <v>541</v>
      </c>
      <c r="R737" s="174">
        <f>VLOOKUP(D737,原始分!$D:$N,9,0)</f>
        <v>0</v>
      </c>
      <c r="S737" s="174">
        <f t="shared" si="152"/>
        <v>320</v>
      </c>
      <c r="T737" s="174">
        <f>VLOOKUP(D737,原始分!$D:$N,10,0)</f>
        <v>56</v>
      </c>
      <c r="U737" s="174">
        <f t="shared" si="153"/>
        <v>181</v>
      </c>
      <c r="V737" s="174">
        <f>VLOOKUP(D737,原始分!$D:$N,11,0)</f>
        <v>47.5</v>
      </c>
      <c r="W737" s="174">
        <f t="shared" si="154"/>
        <v>353</v>
      </c>
      <c r="X737" s="11">
        <f t="shared" si="155"/>
        <v>287</v>
      </c>
      <c r="Y737" s="9">
        <f t="shared" si="156"/>
        <v>522</v>
      </c>
      <c r="Z737" s="11">
        <f t="shared" si="157"/>
        <v>448.5</v>
      </c>
      <c r="AA737" s="9">
        <f t="shared" si="158"/>
        <v>136</v>
      </c>
    </row>
    <row r="738" ht="14.25" spans="1:27">
      <c r="A738" s="13">
        <v>736</v>
      </c>
      <c r="B738" s="15">
        <v>15</v>
      </c>
      <c r="C738" s="16">
        <v>36</v>
      </c>
      <c r="D738" s="15" t="s">
        <v>1474</v>
      </c>
      <c r="E738" s="15" t="s">
        <v>1475</v>
      </c>
      <c r="F738" s="174">
        <f>VLOOKUP(D738,原始分!$D:$N,3,0)</f>
        <v>95</v>
      </c>
      <c r="G738" s="174">
        <f t="shared" si="146"/>
        <v>619</v>
      </c>
      <c r="H738" s="174">
        <f>VLOOKUP(D738,原始分!$D:$N,4,0)</f>
        <v>69.5</v>
      </c>
      <c r="I738" s="174">
        <f t="shared" si="147"/>
        <v>816</v>
      </c>
      <c r="J738" s="174">
        <f>VLOOKUP(D738,原始分!$D:$N,5,0)</f>
        <v>102.75</v>
      </c>
      <c r="K738" s="174">
        <f t="shared" si="148"/>
        <v>313</v>
      </c>
      <c r="L738" s="174">
        <f>VLOOKUP(D738,原始分!$D:$N,6,0)</f>
        <v>0</v>
      </c>
      <c r="M738" s="174">
        <f t="shared" si="149"/>
        <v>664</v>
      </c>
      <c r="N738" s="174">
        <f>VLOOKUP(D738,原始分!$D:$N,7,0)</f>
        <v>64.5</v>
      </c>
      <c r="O738" s="174">
        <f t="shared" si="150"/>
        <v>32</v>
      </c>
      <c r="P738" s="174">
        <f>VLOOKUP(D738,原始分!$D:$N,8,0)</f>
        <v>0</v>
      </c>
      <c r="Q738" s="174">
        <f t="shared" si="151"/>
        <v>541</v>
      </c>
      <c r="R738" s="174">
        <f>VLOOKUP(D738,原始分!$D:$N,9,0)</f>
        <v>0</v>
      </c>
      <c r="S738" s="174">
        <f t="shared" si="152"/>
        <v>320</v>
      </c>
      <c r="T738" s="174">
        <f>VLOOKUP(D738,原始分!$D:$N,10,0)</f>
        <v>58.5</v>
      </c>
      <c r="U738" s="174">
        <f t="shared" si="153"/>
        <v>132</v>
      </c>
      <c r="V738" s="174">
        <f>VLOOKUP(D738,原始分!$D:$N,11,0)</f>
        <v>50</v>
      </c>
      <c r="W738" s="174">
        <f t="shared" si="154"/>
        <v>302</v>
      </c>
      <c r="X738" s="11">
        <f t="shared" si="155"/>
        <v>267.25</v>
      </c>
      <c r="Y738" s="9">
        <f t="shared" si="156"/>
        <v>725</v>
      </c>
      <c r="Z738" s="11">
        <f t="shared" si="157"/>
        <v>440.25</v>
      </c>
      <c r="AA738" s="9">
        <f t="shared" si="158"/>
        <v>148</v>
      </c>
    </row>
    <row r="739" ht="14.25" spans="1:27">
      <c r="A739" s="13">
        <v>737</v>
      </c>
      <c r="B739" s="15">
        <v>15</v>
      </c>
      <c r="C739" s="16">
        <v>37</v>
      </c>
      <c r="D739" s="15" t="s">
        <v>1476</v>
      </c>
      <c r="E739" s="15" t="s">
        <v>1477</v>
      </c>
      <c r="F739" s="174">
        <f>VLOOKUP(D739,原始分!$D:$N,3,0)</f>
        <v>94.75</v>
      </c>
      <c r="G739" s="174">
        <f t="shared" si="146"/>
        <v>639</v>
      </c>
      <c r="H739" s="174">
        <f>VLOOKUP(D739,原始分!$D:$N,4,0)</f>
        <v>111</v>
      </c>
      <c r="I739" s="174">
        <f t="shared" si="147"/>
        <v>201</v>
      </c>
      <c r="J739" s="174">
        <f>VLOOKUP(D739,原始分!$D:$N,5,0)</f>
        <v>108</v>
      </c>
      <c r="K739" s="174">
        <f t="shared" si="148"/>
        <v>206</v>
      </c>
      <c r="L739" s="174">
        <f>VLOOKUP(D739,原始分!$D:$N,6,0)</f>
        <v>0</v>
      </c>
      <c r="M739" s="174">
        <f t="shared" si="149"/>
        <v>664</v>
      </c>
      <c r="N739" s="174">
        <f>VLOOKUP(D739,原始分!$D:$N,7,0)</f>
        <v>57.5</v>
      </c>
      <c r="O739" s="174">
        <f t="shared" si="150"/>
        <v>92</v>
      </c>
      <c r="P739" s="174">
        <f>VLOOKUP(D739,原始分!$D:$N,8,0)</f>
        <v>0</v>
      </c>
      <c r="Q739" s="174">
        <f t="shared" si="151"/>
        <v>541</v>
      </c>
      <c r="R739" s="174">
        <f>VLOOKUP(D739,原始分!$D:$N,9,0)</f>
        <v>0</v>
      </c>
      <c r="S739" s="174">
        <f t="shared" si="152"/>
        <v>320</v>
      </c>
      <c r="T739" s="174">
        <f>VLOOKUP(D739,原始分!$D:$N,10,0)</f>
        <v>52.5</v>
      </c>
      <c r="U739" s="174">
        <f t="shared" si="153"/>
        <v>225</v>
      </c>
      <c r="V739" s="174">
        <f>VLOOKUP(D739,原始分!$D:$N,11,0)</f>
        <v>54</v>
      </c>
      <c r="W739" s="174">
        <f t="shared" si="154"/>
        <v>199</v>
      </c>
      <c r="X739" s="11">
        <f t="shared" si="155"/>
        <v>313.75</v>
      </c>
      <c r="Y739" s="9">
        <f t="shared" si="156"/>
        <v>220</v>
      </c>
      <c r="Z739" s="11">
        <f t="shared" si="157"/>
        <v>477.75</v>
      </c>
      <c r="AA739" s="9">
        <f t="shared" si="158"/>
        <v>79</v>
      </c>
    </row>
    <row r="740" ht="14.25" spans="1:27">
      <c r="A740" s="13">
        <v>738</v>
      </c>
      <c r="B740" s="15">
        <v>15</v>
      </c>
      <c r="C740" s="16">
        <v>38</v>
      </c>
      <c r="D740" s="15" t="s">
        <v>1478</v>
      </c>
      <c r="E740" s="15" t="s">
        <v>1479</v>
      </c>
      <c r="F740" s="174">
        <f>VLOOKUP(D740,原始分!$D:$N,3,0)</f>
        <v>96.5</v>
      </c>
      <c r="G740" s="174">
        <f t="shared" si="146"/>
        <v>566</v>
      </c>
      <c r="H740" s="174">
        <f>VLOOKUP(D740,原始分!$D:$N,4,0)</f>
        <v>100</v>
      </c>
      <c r="I740" s="174">
        <f t="shared" si="147"/>
        <v>416</v>
      </c>
      <c r="J740" s="174">
        <f>VLOOKUP(D740,原始分!$D:$N,5,0)</f>
        <v>92.75</v>
      </c>
      <c r="K740" s="174">
        <f t="shared" si="148"/>
        <v>536</v>
      </c>
      <c r="L740" s="174">
        <f>VLOOKUP(D740,原始分!$D:$N,6,0)</f>
        <v>0</v>
      </c>
      <c r="M740" s="174">
        <f t="shared" si="149"/>
        <v>664</v>
      </c>
      <c r="N740" s="174">
        <f>VLOOKUP(D740,原始分!$D:$N,7,0)</f>
        <v>58</v>
      </c>
      <c r="O740" s="174">
        <f t="shared" si="150"/>
        <v>84</v>
      </c>
      <c r="P740" s="174">
        <f>VLOOKUP(D740,原始分!$D:$N,8,0)</f>
        <v>0</v>
      </c>
      <c r="Q740" s="174">
        <f t="shared" si="151"/>
        <v>541</v>
      </c>
      <c r="R740" s="174">
        <f>VLOOKUP(D740,原始分!$D:$N,9,0)</f>
        <v>0</v>
      </c>
      <c r="S740" s="174">
        <f t="shared" si="152"/>
        <v>320</v>
      </c>
      <c r="T740" s="174">
        <f>VLOOKUP(D740,原始分!$D:$N,10,0)</f>
        <v>54.5</v>
      </c>
      <c r="U740" s="174">
        <f t="shared" si="153"/>
        <v>200</v>
      </c>
      <c r="V740" s="174">
        <f>VLOOKUP(D740,原始分!$D:$N,11,0)</f>
        <v>43</v>
      </c>
      <c r="W740" s="174">
        <f t="shared" si="154"/>
        <v>454</v>
      </c>
      <c r="X740" s="11">
        <f t="shared" si="155"/>
        <v>289.25</v>
      </c>
      <c r="Y740" s="9">
        <f t="shared" si="156"/>
        <v>506</v>
      </c>
      <c r="Z740" s="11">
        <f t="shared" si="157"/>
        <v>444.75</v>
      </c>
      <c r="AA740" s="9">
        <f t="shared" si="158"/>
        <v>142</v>
      </c>
    </row>
    <row r="741" ht="14.25" spans="1:27">
      <c r="A741" s="13">
        <v>739</v>
      </c>
      <c r="B741" s="15">
        <v>15</v>
      </c>
      <c r="C741" s="16">
        <v>39</v>
      </c>
      <c r="D741" s="15" t="s">
        <v>1480</v>
      </c>
      <c r="E741" s="15" t="s">
        <v>1481</v>
      </c>
      <c r="F741" s="174">
        <f>VLOOKUP(D741,原始分!$D:$N,3,0)</f>
        <v>102.25</v>
      </c>
      <c r="G741" s="174">
        <f t="shared" si="146"/>
        <v>300</v>
      </c>
      <c r="H741" s="174">
        <f>VLOOKUP(D741,原始分!$D:$N,4,0)</f>
        <v>82</v>
      </c>
      <c r="I741" s="174">
        <f t="shared" si="147"/>
        <v>737</v>
      </c>
      <c r="J741" s="174">
        <f>VLOOKUP(D741,原始分!$D:$N,5,0)</f>
        <v>113.75</v>
      </c>
      <c r="K741" s="174">
        <f t="shared" si="148"/>
        <v>122</v>
      </c>
      <c r="L741" s="174">
        <f>VLOOKUP(D741,原始分!$D:$N,6,0)</f>
        <v>0</v>
      </c>
      <c r="M741" s="174">
        <f t="shared" si="149"/>
        <v>664</v>
      </c>
      <c r="N741" s="174">
        <f>VLOOKUP(D741,原始分!$D:$N,7,0)</f>
        <v>52</v>
      </c>
      <c r="O741" s="174">
        <f t="shared" si="150"/>
        <v>145</v>
      </c>
      <c r="P741" s="174">
        <f>VLOOKUP(D741,原始分!$D:$N,8,0)</f>
        <v>0</v>
      </c>
      <c r="Q741" s="174">
        <f t="shared" si="151"/>
        <v>541</v>
      </c>
      <c r="R741" s="174">
        <f>VLOOKUP(D741,原始分!$D:$N,9,0)</f>
        <v>0</v>
      </c>
      <c r="S741" s="174">
        <f t="shared" si="152"/>
        <v>320</v>
      </c>
      <c r="T741" s="174">
        <f>VLOOKUP(D741,原始分!$D:$N,10,0)</f>
        <v>54</v>
      </c>
      <c r="U741" s="174">
        <f t="shared" si="153"/>
        <v>204</v>
      </c>
      <c r="V741" s="174">
        <f>VLOOKUP(D741,原始分!$D:$N,11,0)</f>
        <v>52</v>
      </c>
      <c r="W741" s="174">
        <f t="shared" si="154"/>
        <v>248</v>
      </c>
      <c r="X741" s="11">
        <f t="shared" si="155"/>
        <v>298</v>
      </c>
      <c r="Y741" s="9">
        <f t="shared" si="156"/>
        <v>396</v>
      </c>
      <c r="Z741" s="11">
        <f t="shared" si="157"/>
        <v>456</v>
      </c>
      <c r="AA741" s="9">
        <f t="shared" si="158"/>
        <v>122</v>
      </c>
    </row>
    <row r="742" ht="14.25" spans="1:27">
      <c r="A742" s="13">
        <v>740</v>
      </c>
      <c r="B742" s="15">
        <v>15</v>
      </c>
      <c r="C742" s="16">
        <v>40</v>
      </c>
      <c r="D742" s="15" t="s">
        <v>1482</v>
      </c>
      <c r="E742" s="15" t="s">
        <v>1483</v>
      </c>
      <c r="F742" s="174">
        <f>VLOOKUP(D742,原始分!$D:$N,3,0)</f>
        <v>93.5</v>
      </c>
      <c r="G742" s="174">
        <f t="shared" si="146"/>
        <v>676</v>
      </c>
      <c r="H742" s="174">
        <f>VLOOKUP(D742,原始分!$D:$N,4,0)</f>
        <v>83.5</v>
      </c>
      <c r="I742" s="174">
        <f t="shared" si="147"/>
        <v>721</v>
      </c>
      <c r="J742" s="174">
        <f>VLOOKUP(D742,原始分!$D:$N,5,0)</f>
        <v>99</v>
      </c>
      <c r="K742" s="174">
        <f t="shared" si="148"/>
        <v>400</v>
      </c>
      <c r="L742" s="174">
        <f>VLOOKUP(D742,原始分!$D:$N,6,0)</f>
        <v>0</v>
      </c>
      <c r="M742" s="174">
        <f t="shared" si="149"/>
        <v>664</v>
      </c>
      <c r="N742" s="174">
        <f>VLOOKUP(D742,原始分!$D:$N,7,0)</f>
        <v>62</v>
      </c>
      <c r="O742" s="174">
        <f t="shared" si="150"/>
        <v>50</v>
      </c>
      <c r="P742" s="174">
        <f>VLOOKUP(D742,原始分!$D:$N,8,0)</f>
        <v>0</v>
      </c>
      <c r="Q742" s="174">
        <f t="shared" si="151"/>
        <v>541</v>
      </c>
      <c r="R742" s="174">
        <f>VLOOKUP(D742,原始分!$D:$N,9,0)</f>
        <v>0</v>
      </c>
      <c r="S742" s="174">
        <f t="shared" si="152"/>
        <v>320</v>
      </c>
      <c r="T742" s="174">
        <f>VLOOKUP(D742,原始分!$D:$N,10,0)</f>
        <v>56</v>
      </c>
      <c r="U742" s="174">
        <f t="shared" si="153"/>
        <v>181</v>
      </c>
      <c r="V742" s="174">
        <f>VLOOKUP(D742,原始分!$D:$N,11,0)</f>
        <v>42.5</v>
      </c>
      <c r="W742" s="174">
        <f t="shared" si="154"/>
        <v>466</v>
      </c>
      <c r="X742" s="11">
        <f t="shared" si="155"/>
        <v>276</v>
      </c>
      <c r="Y742" s="9">
        <f t="shared" si="156"/>
        <v>647</v>
      </c>
      <c r="Z742" s="11">
        <f t="shared" si="157"/>
        <v>436.5</v>
      </c>
      <c r="AA742" s="9">
        <f t="shared" si="158"/>
        <v>155</v>
      </c>
    </row>
    <row r="743" ht="14.25" spans="1:27">
      <c r="A743" s="13">
        <v>741</v>
      </c>
      <c r="B743" s="15">
        <v>15</v>
      </c>
      <c r="C743" s="16">
        <v>41</v>
      </c>
      <c r="D743" s="15" t="s">
        <v>1484</v>
      </c>
      <c r="E743" s="15" t="s">
        <v>1485</v>
      </c>
      <c r="F743" s="174">
        <f>VLOOKUP(D743,原始分!$D:$N,3,0)</f>
        <v>115.25</v>
      </c>
      <c r="G743" s="174">
        <f t="shared" si="146"/>
        <v>11</v>
      </c>
      <c r="H743" s="174">
        <f>VLOOKUP(D743,原始分!$D:$N,4,0)</f>
        <v>70</v>
      </c>
      <c r="I743" s="174">
        <f t="shared" si="147"/>
        <v>812</v>
      </c>
      <c r="J743" s="174">
        <f>VLOOKUP(D743,原始分!$D:$N,5,0)</f>
        <v>98</v>
      </c>
      <c r="K743" s="174">
        <f t="shared" si="148"/>
        <v>425</v>
      </c>
      <c r="L743" s="174">
        <f>VLOOKUP(D743,原始分!$D:$N,6,0)</f>
        <v>0</v>
      </c>
      <c r="M743" s="174">
        <f t="shared" si="149"/>
        <v>664</v>
      </c>
      <c r="N743" s="174">
        <f>VLOOKUP(D743,原始分!$D:$N,7,0)</f>
        <v>54.5</v>
      </c>
      <c r="O743" s="174">
        <f t="shared" si="150"/>
        <v>128</v>
      </c>
      <c r="P743" s="174">
        <f>VLOOKUP(D743,原始分!$D:$N,8,0)</f>
        <v>0</v>
      </c>
      <c r="Q743" s="174">
        <f t="shared" si="151"/>
        <v>541</v>
      </c>
      <c r="R743" s="174">
        <f>VLOOKUP(D743,原始分!$D:$N,9,0)</f>
        <v>0</v>
      </c>
      <c r="S743" s="174">
        <f t="shared" si="152"/>
        <v>320</v>
      </c>
      <c r="T743" s="174">
        <f>VLOOKUP(D743,原始分!$D:$N,10,0)</f>
        <v>58.5</v>
      </c>
      <c r="U743" s="174">
        <f t="shared" si="153"/>
        <v>132</v>
      </c>
      <c r="V743" s="174">
        <f>VLOOKUP(D743,原始分!$D:$N,11,0)</f>
        <v>51.5</v>
      </c>
      <c r="W743" s="174">
        <f t="shared" si="154"/>
        <v>262</v>
      </c>
      <c r="X743" s="11">
        <f t="shared" si="155"/>
        <v>283.25</v>
      </c>
      <c r="Y743" s="9">
        <f t="shared" si="156"/>
        <v>559</v>
      </c>
      <c r="Z743" s="11">
        <f t="shared" si="157"/>
        <v>447.75</v>
      </c>
      <c r="AA743" s="9">
        <f t="shared" si="158"/>
        <v>138</v>
      </c>
    </row>
    <row r="744" ht="14.25" spans="1:27">
      <c r="A744" s="13">
        <v>742</v>
      </c>
      <c r="B744" s="15">
        <v>15</v>
      </c>
      <c r="C744" s="16">
        <v>42</v>
      </c>
      <c r="D744" s="15" t="s">
        <v>1486</v>
      </c>
      <c r="E744" s="15" t="s">
        <v>1487</v>
      </c>
      <c r="F744" s="174">
        <f>VLOOKUP(D744,原始分!$D:$N,3,0)</f>
        <v>103.5</v>
      </c>
      <c r="G744" s="174">
        <f t="shared" si="146"/>
        <v>230</v>
      </c>
      <c r="H744" s="174">
        <f>VLOOKUP(D744,原始分!$D:$N,4,0)</f>
        <v>79.5</v>
      </c>
      <c r="I744" s="174">
        <f t="shared" si="147"/>
        <v>755</v>
      </c>
      <c r="J744" s="174">
        <f>VLOOKUP(D744,原始分!$D:$N,5,0)</f>
        <v>84.5</v>
      </c>
      <c r="K744" s="174">
        <f t="shared" si="148"/>
        <v>677</v>
      </c>
      <c r="L744" s="174">
        <f>VLOOKUP(D744,原始分!$D:$N,6,0)</f>
        <v>0</v>
      </c>
      <c r="M744" s="174">
        <f t="shared" si="149"/>
        <v>664</v>
      </c>
      <c r="N744" s="174">
        <f>VLOOKUP(D744,原始分!$D:$N,7,0)</f>
        <v>59</v>
      </c>
      <c r="O744" s="174">
        <f t="shared" si="150"/>
        <v>77</v>
      </c>
      <c r="P744" s="174">
        <f>VLOOKUP(D744,原始分!$D:$N,8,0)</f>
        <v>0</v>
      </c>
      <c r="Q744" s="174">
        <f t="shared" si="151"/>
        <v>541</v>
      </c>
      <c r="R744" s="174">
        <f>VLOOKUP(D744,原始分!$D:$N,9,0)</f>
        <v>0</v>
      </c>
      <c r="S744" s="174">
        <f t="shared" si="152"/>
        <v>320</v>
      </c>
      <c r="T744" s="174">
        <f>VLOOKUP(D744,原始分!$D:$N,10,0)</f>
        <v>54</v>
      </c>
      <c r="U744" s="174">
        <f t="shared" si="153"/>
        <v>204</v>
      </c>
      <c r="V744" s="174">
        <f>VLOOKUP(D744,原始分!$D:$N,11,0)</f>
        <v>44.5</v>
      </c>
      <c r="W744" s="174">
        <f t="shared" si="154"/>
        <v>424</v>
      </c>
      <c r="X744" s="11">
        <f t="shared" si="155"/>
        <v>267.5</v>
      </c>
      <c r="Y744" s="9">
        <f t="shared" si="156"/>
        <v>721</v>
      </c>
      <c r="Z744" s="11">
        <f t="shared" si="157"/>
        <v>425</v>
      </c>
      <c r="AA744" s="9">
        <f t="shared" si="158"/>
        <v>174</v>
      </c>
    </row>
    <row r="745" ht="14.25" spans="1:27">
      <c r="A745" s="13">
        <v>743</v>
      </c>
      <c r="B745" s="15">
        <v>15</v>
      </c>
      <c r="C745" s="16">
        <v>43</v>
      </c>
      <c r="D745" s="15" t="s">
        <v>1488</v>
      </c>
      <c r="E745" s="15" t="s">
        <v>1489</v>
      </c>
      <c r="F745" s="174">
        <f>VLOOKUP(D745,原始分!$D:$N,3,0)</f>
        <v>103.5</v>
      </c>
      <c r="G745" s="174">
        <f t="shared" si="146"/>
        <v>230</v>
      </c>
      <c r="H745" s="174">
        <f>VLOOKUP(D745,原始分!$D:$N,4,0)</f>
        <v>86.5</v>
      </c>
      <c r="I745" s="174">
        <f t="shared" si="147"/>
        <v>684</v>
      </c>
      <c r="J745" s="174">
        <f>VLOOKUP(D745,原始分!$D:$N,5,0)</f>
        <v>111</v>
      </c>
      <c r="K745" s="174">
        <f t="shared" si="148"/>
        <v>159</v>
      </c>
      <c r="L745" s="174">
        <f>VLOOKUP(D745,原始分!$D:$N,6,0)</f>
        <v>0</v>
      </c>
      <c r="M745" s="174">
        <f t="shared" si="149"/>
        <v>664</v>
      </c>
      <c r="N745" s="174">
        <f>VLOOKUP(D745,原始分!$D:$N,7,0)</f>
        <v>48.5</v>
      </c>
      <c r="O745" s="174">
        <f t="shared" si="150"/>
        <v>180</v>
      </c>
      <c r="P745" s="174">
        <f>VLOOKUP(D745,原始分!$D:$N,8,0)</f>
        <v>0</v>
      </c>
      <c r="Q745" s="174">
        <f t="shared" si="151"/>
        <v>541</v>
      </c>
      <c r="R745" s="174">
        <f>VLOOKUP(D745,原始分!$D:$N,9,0)</f>
        <v>0</v>
      </c>
      <c r="S745" s="174">
        <f t="shared" si="152"/>
        <v>320</v>
      </c>
      <c r="T745" s="174">
        <f>VLOOKUP(D745,原始分!$D:$N,10,0)</f>
        <v>57</v>
      </c>
      <c r="U745" s="174">
        <f t="shared" si="153"/>
        <v>157</v>
      </c>
      <c r="V745" s="174">
        <f>VLOOKUP(D745,原始分!$D:$N,11,0)</f>
        <v>51.5</v>
      </c>
      <c r="W745" s="174">
        <f t="shared" si="154"/>
        <v>262</v>
      </c>
      <c r="X745" s="11">
        <f t="shared" si="155"/>
        <v>301</v>
      </c>
      <c r="Y745" s="9">
        <f t="shared" si="156"/>
        <v>366</v>
      </c>
      <c r="Z745" s="11">
        <f t="shared" si="157"/>
        <v>458</v>
      </c>
      <c r="AA745" s="9">
        <f t="shared" si="158"/>
        <v>116</v>
      </c>
    </row>
    <row r="746" ht="14.25" spans="1:27">
      <c r="A746" s="13">
        <v>744</v>
      </c>
      <c r="B746" s="15">
        <v>15</v>
      </c>
      <c r="C746" s="16">
        <v>44</v>
      </c>
      <c r="D746" s="15" t="s">
        <v>1490</v>
      </c>
      <c r="E746" s="15" t="s">
        <v>1491</v>
      </c>
      <c r="F746" s="174">
        <f>VLOOKUP(D746,原始分!$D:$N,3,0)</f>
        <v>90</v>
      </c>
      <c r="G746" s="174">
        <f t="shared" si="146"/>
        <v>778</v>
      </c>
      <c r="H746" s="174">
        <f>VLOOKUP(D746,原始分!$D:$N,4,0)</f>
        <v>90.5</v>
      </c>
      <c r="I746" s="174">
        <f t="shared" si="147"/>
        <v>609</v>
      </c>
      <c r="J746" s="174">
        <f>VLOOKUP(D746,原始分!$D:$N,5,0)</f>
        <v>101.5</v>
      </c>
      <c r="K746" s="174">
        <f t="shared" si="148"/>
        <v>334</v>
      </c>
      <c r="L746" s="174">
        <f>VLOOKUP(D746,原始分!$D:$N,6,0)</f>
        <v>0</v>
      </c>
      <c r="M746" s="174">
        <f t="shared" si="149"/>
        <v>664</v>
      </c>
      <c r="N746" s="174">
        <f>VLOOKUP(D746,原始分!$D:$N,7,0)</f>
        <v>54</v>
      </c>
      <c r="O746" s="174">
        <f t="shared" si="150"/>
        <v>134</v>
      </c>
      <c r="P746" s="174">
        <f>VLOOKUP(D746,原始分!$D:$N,8,0)</f>
        <v>0</v>
      </c>
      <c r="Q746" s="174">
        <f t="shared" si="151"/>
        <v>541</v>
      </c>
      <c r="R746" s="174">
        <f>VLOOKUP(D746,原始分!$D:$N,9,0)</f>
        <v>0</v>
      </c>
      <c r="S746" s="174">
        <f t="shared" si="152"/>
        <v>320</v>
      </c>
      <c r="T746" s="174">
        <f>VLOOKUP(D746,原始分!$D:$N,10,0)</f>
        <v>55.5</v>
      </c>
      <c r="U746" s="174">
        <f t="shared" si="153"/>
        <v>187</v>
      </c>
      <c r="V746" s="174">
        <f>VLOOKUP(D746,原始分!$D:$N,11,0)</f>
        <v>40.5</v>
      </c>
      <c r="W746" s="174">
        <f t="shared" si="154"/>
        <v>486</v>
      </c>
      <c r="X746" s="11">
        <f t="shared" si="155"/>
        <v>282</v>
      </c>
      <c r="Y746" s="9">
        <f t="shared" si="156"/>
        <v>579</v>
      </c>
      <c r="Z746" s="11">
        <f t="shared" si="157"/>
        <v>432</v>
      </c>
      <c r="AA746" s="9">
        <f t="shared" si="158"/>
        <v>161</v>
      </c>
    </row>
    <row r="747" ht="14.25" spans="1:27">
      <c r="A747" s="13">
        <v>745</v>
      </c>
      <c r="B747" s="15">
        <v>15</v>
      </c>
      <c r="C747" s="16">
        <v>45</v>
      </c>
      <c r="D747" s="15" t="s">
        <v>1492</v>
      </c>
      <c r="E747" s="15" t="s">
        <v>1493</v>
      </c>
      <c r="F747" s="174">
        <f>VLOOKUP(D747,原始分!$D:$N,3,0)</f>
        <v>97.5</v>
      </c>
      <c r="G747" s="174">
        <f t="shared" si="146"/>
        <v>531</v>
      </c>
      <c r="H747" s="174">
        <f>VLOOKUP(D747,原始分!$D:$N,4,0)</f>
        <v>81</v>
      </c>
      <c r="I747" s="174">
        <f t="shared" si="147"/>
        <v>745</v>
      </c>
      <c r="J747" s="174">
        <f>VLOOKUP(D747,原始分!$D:$N,5,0)</f>
        <v>85</v>
      </c>
      <c r="K747" s="174">
        <f t="shared" si="148"/>
        <v>669</v>
      </c>
      <c r="L747" s="174">
        <f>VLOOKUP(D747,原始分!$D:$N,6,0)</f>
        <v>0</v>
      </c>
      <c r="M747" s="174">
        <f t="shared" si="149"/>
        <v>664</v>
      </c>
      <c r="N747" s="174">
        <f>VLOOKUP(D747,原始分!$D:$N,7,0)</f>
        <v>52.5</v>
      </c>
      <c r="O747" s="174">
        <f t="shared" si="150"/>
        <v>142</v>
      </c>
      <c r="P747" s="174">
        <f>VLOOKUP(D747,原始分!$D:$N,8,0)</f>
        <v>0</v>
      </c>
      <c r="Q747" s="174">
        <f t="shared" si="151"/>
        <v>541</v>
      </c>
      <c r="R747" s="174">
        <f>VLOOKUP(D747,原始分!$D:$N,9,0)</f>
        <v>0</v>
      </c>
      <c r="S747" s="174">
        <f t="shared" si="152"/>
        <v>320</v>
      </c>
      <c r="T747" s="174">
        <f>VLOOKUP(D747,原始分!$D:$N,10,0)</f>
        <v>56.75</v>
      </c>
      <c r="U747" s="174">
        <f t="shared" si="153"/>
        <v>170</v>
      </c>
      <c r="V747" s="174">
        <f>VLOOKUP(D747,原始分!$D:$N,11,0)</f>
        <v>45.5</v>
      </c>
      <c r="W747" s="174">
        <f t="shared" si="154"/>
        <v>399</v>
      </c>
      <c r="X747" s="11">
        <f t="shared" si="155"/>
        <v>263.5</v>
      </c>
      <c r="Y747" s="9">
        <f t="shared" si="156"/>
        <v>750</v>
      </c>
      <c r="Z747" s="11">
        <f t="shared" si="157"/>
        <v>418.25</v>
      </c>
      <c r="AA747" s="9">
        <f t="shared" si="158"/>
        <v>181</v>
      </c>
    </row>
    <row r="748" ht="14.25" spans="1:27">
      <c r="A748" s="13">
        <v>746</v>
      </c>
      <c r="B748" s="15">
        <v>16</v>
      </c>
      <c r="C748" s="16">
        <v>1</v>
      </c>
      <c r="D748" s="15" t="s">
        <v>1494</v>
      </c>
      <c r="E748" s="15" t="s">
        <v>1495</v>
      </c>
      <c r="F748" s="174">
        <f>VLOOKUP(D748,原始分!$D:$N,3,0)</f>
        <v>107</v>
      </c>
      <c r="G748" s="174">
        <f t="shared" si="146"/>
        <v>113</v>
      </c>
      <c r="H748" s="174">
        <f>VLOOKUP(D748,原始分!$D:$N,4,0)</f>
        <v>119.5</v>
      </c>
      <c r="I748" s="174">
        <f t="shared" si="147"/>
        <v>70</v>
      </c>
      <c r="J748" s="174">
        <f>VLOOKUP(D748,原始分!$D:$N,5,0)</f>
        <v>117</v>
      </c>
      <c r="K748" s="174">
        <f t="shared" si="148"/>
        <v>77</v>
      </c>
      <c r="L748" s="174">
        <f>VLOOKUP(D748,原始分!$D:$N,6,0)</f>
        <v>0</v>
      </c>
      <c r="M748" s="174">
        <f t="shared" si="149"/>
        <v>664</v>
      </c>
      <c r="N748" s="174">
        <f>VLOOKUP(D748,原始分!$D:$N,7,0)</f>
        <v>55</v>
      </c>
      <c r="O748" s="174">
        <f t="shared" si="150"/>
        <v>124</v>
      </c>
      <c r="P748" s="174">
        <f>VLOOKUP(D748,原始分!$D:$N,8,0)</f>
        <v>41.5</v>
      </c>
      <c r="Q748" s="174">
        <f t="shared" si="151"/>
        <v>279</v>
      </c>
      <c r="R748" s="174">
        <f>VLOOKUP(D748,原始分!$D:$N,9,0)</f>
        <v>0</v>
      </c>
      <c r="S748" s="174">
        <f t="shared" si="152"/>
        <v>320</v>
      </c>
      <c r="T748" s="174">
        <f>VLOOKUP(D748,原始分!$D:$N,10,0)</f>
        <v>0</v>
      </c>
      <c r="U748" s="174">
        <f t="shared" si="153"/>
        <v>316</v>
      </c>
      <c r="V748" s="174">
        <f>VLOOKUP(D748,原始分!$D:$N,11,0)</f>
        <v>58</v>
      </c>
      <c r="W748" s="174">
        <f t="shared" si="154"/>
        <v>125</v>
      </c>
      <c r="X748" s="11">
        <f t="shared" si="155"/>
        <v>343.5</v>
      </c>
      <c r="Y748" s="9">
        <f t="shared" si="156"/>
        <v>29</v>
      </c>
      <c r="Z748" s="11">
        <f t="shared" si="157"/>
        <v>498</v>
      </c>
      <c r="AA748" s="9">
        <f t="shared" si="158"/>
        <v>41</v>
      </c>
    </row>
    <row r="749" ht="14.25" spans="1:27">
      <c r="A749" s="13">
        <v>747</v>
      </c>
      <c r="B749" s="15">
        <v>16</v>
      </c>
      <c r="C749" s="16">
        <v>2</v>
      </c>
      <c r="D749" s="15" t="s">
        <v>1496</v>
      </c>
      <c r="E749" s="15" t="s">
        <v>1497</v>
      </c>
      <c r="F749" s="174">
        <f>VLOOKUP(D749,原始分!$D:$N,3,0)</f>
        <v>107</v>
      </c>
      <c r="G749" s="174">
        <f t="shared" si="146"/>
        <v>113</v>
      </c>
      <c r="H749" s="174">
        <f>VLOOKUP(D749,原始分!$D:$N,4,0)</f>
        <v>124</v>
      </c>
      <c r="I749" s="174">
        <f t="shared" si="147"/>
        <v>39</v>
      </c>
      <c r="J749" s="174">
        <f>VLOOKUP(D749,原始分!$D:$N,5,0)</f>
        <v>135</v>
      </c>
      <c r="K749" s="174">
        <f t="shared" si="148"/>
        <v>3</v>
      </c>
      <c r="L749" s="174">
        <f>VLOOKUP(D749,原始分!$D:$N,6,0)</f>
        <v>0</v>
      </c>
      <c r="M749" s="174">
        <f t="shared" si="149"/>
        <v>664</v>
      </c>
      <c r="N749" s="174">
        <f>VLOOKUP(D749,原始分!$D:$N,7,0)</f>
        <v>58.5</v>
      </c>
      <c r="O749" s="174">
        <f t="shared" si="150"/>
        <v>80</v>
      </c>
      <c r="P749" s="174">
        <f>VLOOKUP(D749,原始分!$D:$N,8,0)</f>
        <v>51</v>
      </c>
      <c r="Q749" s="174">
        <f t="shared" si="151"/>
        <v>97</v>
      </c>
      <c r="R749" s="174">
        <f>VLOOKUP(D749,原始分!$D:$N,9,0)</f>
        <v>0</v>
      </c>
      <c r="S749" s="174">
        <f t="shared" si="152"/>
        <v>320</v>
      </c>
      <c r="T749" s="174">
        <f>VLOOKUP(D749,原始分!$D:$N,10,0)</f>
        <v>0</v>
      </c>
      <c r="U749" s="174">
        <f t="shared" si="153"/>
        <v>316</v>
      </c>
      <c r="V749" s="174">
        <f>VLOOKUP(D749,原始分!$D:$N,11,0)</f>
        <v>72</v>
      </c>
      <c r="W749" s="174">
        <f t="shared" si="154"/>
        <v>12</v>
      </c>
      <c r="X749" s="11">
        <f t="shared" si="155"/>
        <v>366</v>
      </c>
      <c r="Y749" s="9">
        <f t="shared" si="156"/>
        <v>3</v>
      </c>
      <c r="Z749" s="11">
        <f t="shared" si="157"/>
        <v>547.5</v>
      </c>
      <c r="AA749" s="9">
        <f t="shared" si="158"/>
        <v>2</v>
      </c>
    </row>
    <row r="750" ht="14.25" spans="1:27">
      <c r="A750" s="13">
        <v>748</v>
      </c>
      <c r="B750" s="15">
        <v>16</v>
      </c>
      <c r="C750" s="16">
        <v>3</v>
      </c>
      <c r="D750" s="15" t="s">
        <v>1498</v>
      </c>
      <c r="E750" s="15" t="s">
        <v>75</v>
      </c>
      <c r="F750" s="174">
        <f>VLOOKUP(D750,原始分!$D:$N,3,0)</f>
        <v>102.5</v>
      </c>
      <c r="G750" s="174">
        <f t="shared" si="146"/>
        <v>279</v>
      </c>
      <c r="H750" s="174">
        <f>VLOOKUP(D750,原始分!$D:$N,4,0)</f>
        <v>126</v>
      </c>
      <c r="I750" s="174">
        <f t="shared" si="147"/>
        <v>28</v>
      </c>
      <c r="J750" s="174">
        <f>VLOOKUP(D750,原始分!$D:$N,5,0)</f>
        <v>106.25</v>
      </c>
      <c r="K750" s="174">
        <f t="shared" si="148"/>
        <v>242</v>
      </c>
      <c r="L750" s="174">
        <f>VLOOKUP(D750,原始分!$D:$N,6,0)</f>
        <v>0</v>
      </c>
      <c r="M750" s="174">
        <f t="shared" si="149"/>
        <v>664</v>
      </c>
      <c r="N750" s="174">
        <f>VLOOKUP(D750,原始分!$D:$N,7,0)</f>
        <v>62.5</v>
      </c>
      <c r="O750" s="174">
        <f t="shared" si="150"/>
        <v>45</v>
      </c>
      <c r="P750" s="174">
        <f>VLOOKUP(D750,原始分!$D:$N,8,0)</f>
        <v>0</v>
      </c>
      <c r="Q750" s="174">
        <f t="shared" si="151"/>
        <v>541</v>
      </c>
      <c r="R750" s="174">
        <f>VLOOKUP(D750,原始分!$D:$N,9,0)</f>
        <v>64.5</v>
      </c>
      <c r="S750" s="174">
        <f t="shared" si="152"/>
        <v>8</v>
      </c>
      <c r="T750" s="174">
        <f>VLOOKUP(D750,原始分!$D:$N,10,0)</f>
        <v>66.5</v>
      </c>
      <c r="U750" s="174">
        <f t="shared" si="153"/>
        <v>33</v>
      </c>
      <c r="V750" s="174">
        <f>VLOOKUP(D750,原始分!$D:$N,11,0)</f>
        <v>0</v>
      </c>
      <c r="W750" s="174">
        <f t="shared" si="154"/>
        <v>565</v>
      </c>
      <c r="X750" s="11">
        <f t="shared" si="155"/>
        <v>334.75</v>
      </c>
      <c r="Y750" s="9">
        <f t="shared" si="156"/>
        <v>68</v>
      </c>
      <c r="Z750" s="11">
        <f t="shared" si="157"/>
        <v>528.25</v>
      </c>
      <c r="AA750" s="9">
        <f t="shared" si="158"/>
        <v>9</v>
      </c>
    </row>
    <row r="751" ht="14.25" spans="1:27">
      <c r="A751" s="13">
        <v>749</v>
      </c>
      <c r="B751" s="15">
        <v>16</v>
      </c>
      <c r="C751" s="16">
        <v>4</v>
      </c>
      <c r="D751" s="15" t="s">
        <v>1499</v>
      </c>
      <c r="E751" s="15" t="s">
        <v>1500</v>
      </c>
      <c r="F751" s="174">
        <f>VLOOKUP(D751,原始分!$D:$N,3,0)</f>
        <v>103.5</v>
      </c>
      <c r="G751" s="174">
        <f t="shared" si="146"/>
        <v>230</v>
      </c>
      <c r="H751" s="174">
        <f>VLOOKUP(D751,原始分!$D:$N,4,0)</f>
        <v>112</v>
      </c>
      <c r="I751" s="174">
        <f t="shared" si="147"/>
        <v>180</v>
      </c>
      <c r="J751" s="174">
        <f>VLOOKUP(D751,原始分!$D:$N,5,0)</f>
        <v>113.75</v>
      </c>
      <c r="K751" s="174">
        <f t="shared" si="148"/>
        <v>122</v>
      </c>
      <c r="L751" s="174">
        <f>VLOOKUP(D751,原始分!$D:$N,6,0)</f>
        <v>0</v>
      </c>
      <c r="M751" s="174">
        <f t="shared" si="149"/>
        <v>664</v>
      </c>
      <c r="N751" s="174">
        <f>VLOOKUP(D751,原始分!$D:$N,7,0)</f>
        <v>69.5</v>
      </c>
      <c r="O751" s="174">
        <f t="shared" si="150"/>
        <v>11</v>
      </c>
      <c r="P751" s="174">
        <f>VLOOKUP(D751,原始分!$D:$N,8,0)</f>
        <v>0</v>
      </c>
      <c r="Q751" s="174">
        <f t="shared" si="151"/>
        <v>541</v>
      </c>
      <c r="R751" s="174">
        <f>VLOOKUP(D751,原始分!$D:$N,9,0)</f>
        <v>0</v>
      </c>
      <c r="S751" s="174">
        <f t="shared" si="152"/>
        <v>320</v>
      </c>
      <c r="T751" s="174">
        <f>VLOOKUP(D751,原始分!$D:$N,10,0)</f>
        <v>74</v>
      </c>
      <c r="U751" s="174">
        <f t="shared" si="153"/>
        <v>3</v>
      </c>
      <c r="V751" s="174">
        <f>VLOOKUP(D751,原始分!$D:$N,11,0)</f>
        <v>52</v>
      </c>
      <c r="W751" s="174">
        <f t="shared" si="154"/>
        <v>248</v>
      </c>
      <c r="X751" s="11">
        <f t="shared" si="155"/>
        <v>329.25</v>
      </c>
      <c r="Y751" s="9">
        <f t="shared" si="156"/>
        <v>96</v>
      </c>
      <c r="Z751" s="11">
        <f t="shared" si="157"/>
        <v>524.75</v>
      </c>
      <c r="AA751" s="9">
        <f t="shared" si="158"/>
        <v>11</v>
      </c>
    </row>
    <row r="752" ht="14.25" spans="1:27">
      <c r="A752" s="13">
        <v>750</v>
      </c>
      <c r="B752" s="15">
        <v>16</v>
      </c>
      <c r="C752" s="16">
        <v>5</v>
      </c>
      <c r="D752" s="15" t="s">
        <v>1501</v>
      </c>
      <c r="E752" s="15" t="s">
        <v>1502</v>
      </c>
      <c r="F752" s="174">
        <f>VLOOKUP(D752,原始分!$D:$N,3,0)</f>
        <v>103.5</v>
      </c>
      <c r="G752" s="174">
        <f t="shared" si="146"/>
        <v>230</v>
      </c>
      <c r="H752" s="174">
        <f>VLOOKUP(D752,原始分!$D:$N,4,0)</f>
        <v>119</v>
      </c>
      <c r="I752" s="174">
        <f t="shared" si="147"/>
        <v>77</v>
      </c>
      <c r="J752" s="174">
        <f>VLOOKUP(D752,原始分!$D:$N,5,0)</f>
        <v>123</v>
      </c>
      <c r="K752" s="174">
        <f t="shared" si="148"/>
        <v>19</v>
      </c>
      <c r="L752" s="174">
        <f>VLOOKUP(D752,原始分!$D:$N,6,0)</f>
        <v>0</v>
      </c>
      <c r="M752" s="174">
        <f t="shared" si="149"/>
        <v>664</v>
      </c>
      <c r="N752" s="174">
        <f>VLOOKUP(D752,原始分!$D:$N,7,0)</f>
        <v>64.5</v>
      </c>
      <c r="O752" s="174">
        <f t="shared" si="150"/>
        <v>32</v>
      </c>
      <c r="P752" s="174">
        <f>VLOOKUP(D752,原始分!$D:$N,8,0)</f>
        <v>0</v>
      </c>
      <c r="Q752" s="174">
        <f t="shared" si="151"/>
        <v>541</v>
      </c>
      <c r="R752" s="174">
        <f>VLOOKUP(D752,原始分!$D:$N,9,0)</f>
        <v>0</v>
      </c>
      <c r="S752" s="174">
        <f t="shared" si="152"/>
        <v>320</v>
      </c>
      <c r="T752" s="174">
        <f>VLOOKUP(D752,原始分!$D:$N,10,0)</f>
        <v>60</v>
      </c>
      <c r="U752" s="174">
        <f t="shared" si="153"/>
        <v>108</v>
      </c>
      <c r="V752" s="174">
        <f>VLOOKUP(D752,原始分!$D:$N,11,0)</f>
        <v>57.5</v>
      </c>
      <c r="W752" s="174">
        <f t="shared" si="154"/>
        <v>130</v>
      </c>
      <c r="X752" s="11">
        <f t="shared" si="155"/>
        <v>345.5</v>
      </c>
      <c r="Y752" s="9">
        <f t="shared" si="156"/>
        <v>26</v>
      </c>
      <c r="Z752" s="11">
        <f t="shared" si="157"/>
        <v>527.5</v>
      </c>
      <c r="AA752" s="9">
        <f t="shared" si="158"/>
        <v>10</v>
      </c>
    </row>
    <row r="753" ht="14.25" spans="1:27">
      <c r="A753" s="13">
        <v>751</v>
      </c>
      <c r="B753" s="15">
        <v>16</v>
      </c>
      <c r="C753" s="16">
        <v>6</v>
      </c>
      <c r="D753" s="15" t="s">
        <v>1503</v>
      </c>
      <c r="E753" s="15" t="s">
        <v>1029</v>
      </c>
      <c r="F753" s="174">
        <f>VLOOKUP(D753,原始分!$D:$N,3,0)</f>
        <v>104</v>
      </c>
      <c r="G753" s="174">
        <f t="shared" si="146"/>
        <v>209</v>
      </c>
      <c r="H753" s="174">
        <f>VLOOKUP(D753,原始分!$D:$N,4,0)</f>
        <v>109.5</v>
      </c>
      <c r="I753" s="174">
        <f t="shared" si="147"/>
        <v>232</v>
      </c>
      <c r="J753" s="174">
        <f>VLOOKUP(D753,原始分!$D:$N,5,0)</f>
        <v>125</v>
      </c>
      <c r="K753" s="174">
        <f t="shared" si="148"/>
        <v>11</v>
      </c>
      <c r="L753" s="174">
        <f>VLOOKUP(D753,原始分!$D:$N,6,0)</f>
        <v>0</v>
      </c>
      <c r="M753" s="174">
        <f t="shared" si="149"/>
        <v>664</v>
      </c>
      <c r="N753" s="174">
        <f>VLOOKUP(D753,原始分!$D:$N,7,0)</f>
        <v>53</v>
      </c>
      <c r="O753" s="174">
        <f t="shared" si="150"/>
        <v>139</v>
      </c>
      <c r="P753" s="174">
        <f>VLOOKUP(D753,原始分!$D:$N,8,0)</f>
        <v>0</v>
      </c>
      <c r="Q753" s="174">
        <f t="shared" si="151"/>
        <v>541</v>
      </c>
      <c r="R753" s="174">
        <f>VLOOKUP(D753,原始分!$D:$N,9,0)</f>
        <v>0</v>
      </c>
      <c r="S753" s="174">
        <f t="shared" si="152"/>
        <v>320</v>
      </c>
      <c r="T753" s="174">
        <f>VLOOKUP(D753,原始分!$D:$N,10,0)</f>
        <v>74</v>
      </c>
      <c r="U753" s="174">
        <f t="shared" si="153"/>
        <v>3</v>
      </c>
      <c r="V753" s="174">
        <f>VLOOKUP(D753,原始分!$D:$N,11,0)</f>
        <v>56</v>
      </c>
      <c r="W753" s="174">
        <f t="shared" si="154"/>
        <v>160</v>
      </c>
      <c r="X753" s="11">
        <f t="shared" si="155"/>
        <v>338.5</v>
      </c>
      <c r="Y753" s="9">
        <f t="shared" si="156"/>
        <v>43</v>
      </c>
      <c r="Z753" s="11">
        <f t="shared" si="157"/>
        <v>521.5</v>
      </c>
      <c r="AA753" s="9">
        <f t="shared" si="158"/>
        <v>15</v>
      </c>
    </row>
    <row r="754" ht="14.25" spans="1:27">
      <c r="A754" s="13">
        <v>752</v>
      </c>
      <c r="B754" s="15">
        <v>16</v>
      </c>
      <c r="C754" s="16">
        <v>7</v>
      </c>
      <c r="D754" s="15" t="s">
        <v>1504</v>
      </c>
      <c r="E754" s="15" t="s">
        <v>1505</v>
      </c>
      <c r="F754" s="174">
        <f>VLOOKUP(D754,原始分!$D:$N,3,0)</f>
        <v>114.5</v>
      </c>
      <c r="G754" s="174">
        <f t="shared" si="146"/>
        <v>14</v>
      </c>
      <c r="H754" s="174">
        <f>VLOOKUP(D754,原始分!$D:$N,4,0)</f>
        <v>130</v>
      </c>
      <c r="I754" s="174">
        <f t="shared" si="147"/>
        <v>14</v>
      </c>
      <c r="J754" s="174">
        <f>VLOOKUP(D754,原始分!$D:$N,5,0)</f>
        <v>122.25</v>
      </c>
      <c r="K754" s="174">
        <f t="shared" si="148"/>
        <v>22</v>
      </c>
      <c r="L754" s="174">
        <f>VLOOKUP(D754,原始分!$D:$N,6,0)</f>
        <v>0</v>
      </c>
      <c r="M754" s="174">
        <f t="shared" si="149"/>
        <v>664</v>
      </c>
      <c r="N754" s="174">
        <f>VLOOKUP(D754,原始分!$D:$N,7,0)</f>
        <v>64</v>
      </c>
      <c r="O754" s="174">
        <f t="shared" si="150"/>
        <v>37</v>
      </c>
      <c r="P754" s="174">
        <f>VLOOKUP(D754,原始分!$D:$N,8,0)</f>
        <v>0</v>
      </c>
      <c r="Q754" s="174">
        <f t="shared" si="151"/>
        <v>541</v>
      </c>
      <c r="R754" s="174">
        <f>VLOOKUP(D754,原始分!$D:$N,9,0)</f>
        <v>0</v>
      </c>
      <c r="S754" s="174">
        <f t="shared" si="152"/>
        <v>320</v>
      </c>
      <c r="T754" s="174">
        <f>VLOOKUP(D754,原始分!$D:$N,10,0)</f>
        <v>77</v>
      </c>
      <c r="U754" s="174">
        <f t="shared" si="153"/>
        <v>2</v>
      </c>
      <c r="V754" s="174">
        <f>VLOOKUP(D754,原始分!$D:$N,11,0)</f>
        <v>69</v>
      </c>
      <c r="W754" s="174">
        <f t="shared" si="154"/>
        <v>17</v>
      </c>
      <c r="X754" s="11">
        <f t="shared" si="155"/>
        <v>366.75</v>
      </c>
      <c r="Y754" s="9">
        <f t="shared" si="156"/>
        <v>2</v>
      </c>
      <c r="Z754" s="11">
        <f t="shared" si="157"/>
        <v>576.75</v>
      </c>
      <c r="AA754" s="9">
        <f t="shared" si="158"/>
        <v>1</v>
      </c>
    </row>
    <row r="755" ht="14.25" spans="1:27">
      <c r="A755" s="13">
        <v>753</v>
      </c>
      <c r="B755" s="15">
        <v>16</v>
      </c>
      <c r="C755" s="16">
        <v>8</v>
      </c>
      <c r="D755" s="15" t="s">
        <v>1506</v>
      </c>
      <c r="E755" s="15" t="s">
        <v>1507</v>
      </c>
      <c r="F755" s="174">
        <f>VLOOKUP(D755,原始分!$D:$N,3,0)</f>
        <v>104.5</v>
      </c>
      <c r="G755" s="174">
        <f t="shared" si="146"/>
        <v>190</v>
      </c>
      <c r="H755" s="174">
        <f>VLOOKUP(D755,原始分!$D:$N,4,0)</f>
        <v>93.5</v>
      </c>
      <c r="I755" s="174">
        <f t="shared" si="147"/>
        <v>549</v>
      </c>
      <c r="J755" s="174">
        <f>VLOOKUP(D755,原始分!$D:$N,5,0)</f>
        <v>114.5</v>
      </c>
      <c r="K755" s="174">
        <f t="shared" si="148"/>
        <v>110</v>
      </c>
      <c r="L755" s="174">
        <f>VLOOKUP(D755,原始分!$D:$N,6,0)</f>
        <v>0</v>
      </c>
      <c r="M755" s="174">
        <f t="shared" si="149"/>
        <v>664</v>
      </c>
      <c r="N755" s="174">
        <f>VLOOKUP(D755,原始分!$D:$N,7,0)</f>
        <v>69</v>
      </c>
      <c r="O755" s="174">
        <f t="shared" si="150"/>
        <v>12</v>
      </c>
      <c r="P755" s="174">
        <f>VLOOKUP(D755,原始分!$D:$N,8,0)</f>
        <v>0</v>
      </c>
      <c r="Q755" s="174">
        <f t="shared" si="151"/>
        <v>541</v>
      </c>
      <c r="R755" s="174">
        <f>VLOOKUP(D755,原始分!$D:$N,9,0)</f>
        <v>0</v>
      </c>
      <c r="S755" s="174">
        <f t="shared" si="152"/>
        <v>320</v>
      </c>
      <c r="T755" s="174">
        <f>VLOOKUP(D755,原始分!$D:$N,10,0)</f>
        <v>72</v>
      </c>
      <c r="U755" s="174">
        <f t="shared" si="153"/>
        <v>8</v>
      </c>
      <c r="V755" s="174">
        <f>VLOOKUP(D755,原始分!$D:$N,11,0)</f>
        <v>61.5</v>
      </c>
      <c r="W755" s="174">
        <f t="shared" si="154"/>
        <v>74</v>
      </c>
      <c r="X755" s="11">
        <f t="shared" si="155"/>
        <v>312.5</v>
      </c>
      <c r="Y755" s="9">
        <f t="shared" si="156"/>
        <v>231</v>
      </c>
      <c r="Z755" s="11">
        <f t="shared" si="157"/>
        <v>515</v>
      </c>
      <c r="AA755" s="9">
        <f t="shared" si="158"/>
        <v>24</v>
      </c>
    </row>
    <row r="756" ht="14.25" spans="1:27">
      <c r="A756" s="13">
        <v>754</v>
      </c>
      <c r="B756" s="15">
        <v>16</v>
      </c>
      <c r="C756" s="16">
        <v>9</v>
      </c>
      <c r="D756" s="15" t="s">
        <v>1508</v>
      </c>
      <c r="E756" s="15" t="s">
        <v>1509</v>
      </c>
      <c r="F756" s="174">
        <f>VLOOKUP(D756,原始分!$D:$N,3,0)</f>
        <v>100.5</v>
      </c>
      <c r="G756" s="174">
        <f t="shared" si="146"/>
        <v>370</v>
      </c>
      <c r="H756" s="174">
        <f>VLOOKUP(D756,原始分!$D:$N,4,0)</f>
        <v>97.5</v>
      </c>
      <c r="I756" s="174">
        <f t="shared" si="147"/>
        <v>464</v>
      </c>
      <c r="J756" s="174">
        <f>VLOOKUP(D756,原始分!$D:$N,5,0)</f>
        <v>111.5</v>
      </c>
      <c r="K756" s="174">
        <f t="shared" si="148"/>
        <v>152</v>
      </c>
      <c r="L756" s="174">
        <f>VLOOKUP(D756,原始分!$D:$N,6,0)</f>
        <v>0</v>
      </c>
      <c r="M756" s="174">
        <f t="shared" si="149"/>
        <v>664</v>
      </c>
      <c r="N756" s="174">
        <f>VLOOKUP(D756,原始分!$D:$N,7,0)</f>
        <v>72</v>
      </c>
      <c r="O756" s="174">
        <f t="shared" si="150"/>
        <v>3</v>
      </c>
      <c r="P756" s="174">
        <f>VLOOKUP(D756,原始分!$D:$N,8,0)</f>
        <v>0</v>
      </c>
      <c r="Q756" s="174">
        <f t="shared" si="151"/>
        <v>541</v>
      </c>
      <c r="R756" s="174">
        <f>VLOOKUP(D756,原始分!$D:$N,9,0)</f>
        <v>0</v>
      </c>
      <c r="S756" s="174">
        <f t="shared" si="152"/>
        <v>320</v>
      </c>
      <c r="T756" s="174">
        <f>VLOOKUP(D756,原始分!$D:$N,10,0)</f>
        <v>65.5</v>
      </c>
      <c r="U756" s="174">
        <f t="shared" si="153"/>
        <v>40</v>
      </c>
      <c r="V756" s="174">
        <f>VLOOKUP(D756,原始分!$D:$N,11,0)</f>
        <v>51</v>
      </c>
      <c r="W756" s="174">
        <f t="shared" si="154"/>
        <v>278</v>
      </c>
      <c r="X756" s="11">
        <f t="shared" si="155"/>
        <v>309.5</v>
      </c>
      <c r="Y756" s="9">
        <f t="shared" si="156"/>
        <v>269</v>
      </c>
      <c r="Z756" s="11">
        <f t="shared" si="157"/>
        <v>498</v>
      </c>
      <c r="AA756" s="9">
        <f t="shared" si="158"/>
        <v>41</v>
      </c>
    </row>
    <row r="757" ht="14.25" spans="1:27">
      <c r="A757" s="13">
        <v>755</v>
      </c>
      <c r="B757" s="15">
        <v>16</v>
      </c>
      <c r="C757" s="16">
        <v>10</v>
      </c>
      <c r="D757" s="15" t="s">
        <v>1510</v>
      </c>
      <c r="E757" s="15" t="s">
        <v>1511</v>
      </c>
      <c r="F757" s="174">
        <f>VLOOKUP(D757,原始分!$D:$N,3,0)</f>
        <v>99.5</v>
      </c>
      <c r="G757" s="174">
        <f t="shared" si="146"/>
        <v>418</v>
      </c>
      <c r="H757" s="174">
        <f>VLOOKUP(D757,原始分!$D:$N,4,0)</f>
        <v>118.5</v>
      </c>
      <c r="I757" s="174">
        <f t="shared" si="147"/>
        <v>84</v>
      </c>
      <c r="J757" s="174">
        <f>VLOOKUP(D757,原始分!$D:$N,5,0)</f>
        <v>131</v>
      </c>
      <c r="K757" s="174">
        <f t="shared" si="148"/>
        <v>4</v>
      </c>
      <c r="L757" s="174">
        <f>VLOOKUP(D757,原始分!$D:$N,6,0)</f>
        <v>0</v>
      </c>
      <c r="M757" s="174">
        <f t="shared" si="149"/>
        <v>664</v>
      </c>
      <c r="N757" s="174">
        <f>VLOOKUP(D757,原始分!$D:$N,7,0)</f>
        <v>67.5</v>
      </c>
      <c r="O757" s="174">
        <f t="shared" si="150"/>
        <v>17</v>
      </c>
      <c r="P757" s="174">
        <f>VLOOKUP(D757,原始分!$D:$N,8,0)</f>
        <v>0</v>
      </c>
      <c r="Q757" s="174">
        <f t="shared" si="151"/>
        <v>541</v>
      </c>
      <c r="R757" s="174">
        <f>VLOOKUP(D757,原始分!$D:$N,9,0)</f>
        <v>0</v>
      </c>
      <c r="S757" s="174">
        <f t="shared" si="152"/>
        <v>320</v>
      </c>
      <c r="T757" s="174">
        <f>VLOOKUP(D757,原始分!$D:$N,10,0)</f>
        <v>60.5</v>
      </c>
      <c r="U757" s="174">
        <f t="shared" si="153"/>
        <v>103</v>
      </c>
      <c r="V757" s="174">
        <f>VLOOKUP(D757,原始分!$D:$N,11,0)</f>
        <v>62</v>
      </c>
      <c r="W757" s="174">
        <f t="shared" si="154"/>
        <v>64</v>
      </c>
      <c r="X757" s="11">
        <f t="shared" si="155"/>
        <v>349</v>
      </c>
      <c r="Y757" s="9">
        <f t="shared" si="156"/>
        <v>17</v>
      </c>
      <c r="Z757" s="11">
        <f t="shared" si="157"/>
        <v>539</v>
      </c>
      <c r="AA757" s="9">
        <f t="shared" si="158"/>
        <v>3</v>
      </c>
    </row>
    <row r="758" ht="14.25" spans="1:27">
      <c r="A758" s="13">
        <v>756</v>
      </c>
      <c r="B758" s="15">
        <v>16</v>
      </c>
      <c r="C758" s="16">
        <v>11</v>
      </c>
      <c r="D758" s="15" t="s">
        <v>1512</v>
      </c>
      <c r="E758" s="15" t="s">
        <v>65</v>
      </c>
      <c r="F758" s="174">
        <f>VLOOKUP(D758,原始分!$D:$N,3,0)</f>
        <v>100</v>
      </c>
      <c r="G758" s="174">
        <f t="shared" si="146"/>
        <v>400</v>
      </c>
      <c r="H758" s="174">
        <f>VLOOKUP(D758,原始分!$D:$N,4,0)</f>
        <v>125</v>
      </c>
      <c r="I758" s="174">
        <f t="shared" si="147"/>
        <v>33</v>
      </c>
      <c r="J758" s="174">
        <f>VLOOKUP(D758,原始分!$D:$N,5,0)</f>
        <v>118.25</v>
      </c>
      <c r="K758" s="174">
        <f t="shared" si="148"/>
        <v>62</v>
      </c>
      <c r="L758" s="174">
        <f>VLOOKUP(D758,原始分!$D:$N,6,0)</f>
        <v>0</v>
      </c>
      <c r="M758" s="174">
        <f t="shared" si="149"/>
        <v>664</v>
      </c>
      <c r="N758" s="174">
        <f>VLOOKUP(D758,原始分!$D:$N,7,0)</f>
        <v>56</v>
      </c>
      <c r="O758" s="174">
        <f t="shared" si="150"/>
        <v>107</v>
      </c>
      <c r="P758" s="174">
        <f>VLOOKUP(D758,原始分!$D:$N,8,0)</f>
        <v>0</v>
      </c>
      <c r="Q758" s="174">
        <f t="shared" si="151"/>
        <v>541</v>
      </c>
      <c r="R758" s="174">
        <f>VLOOKUP(D758,原始分!$D:$N,9,0)</f>
        <v>0</v>
      </c>
      <c r="S758" s="174">
        <f t="shared" si="152"/>
        <v>320</v>
      </c>
      <c r="T758" s="174">
        <f>VLOOKUP(D758,原始分!$D:$N,10,0)</f>
        <v>63</v>
      </c>
      <c r="U758" s="174">
        <f t="shared" si="153"/>
        <v>73</v>
      </c>
      <c r="V758" s="174">
        <f>VLOOKUP(D758,原始分!$D:$N,11,0)</f>
        <v>54</v>
      </c>
      <c r="W758" s="174">
        <f t="shared" si="154"/>
        <v>199</v>
      </c>
      <c r="X758" s="11">
        <f t="shared" si="155"/>
        <v>343.25</v>
      </c>
      <c r="Y758" s="9">
        <f t="shared" si="156"/>
        <v>31</v>
      </c>
      <c r="Z758" s="11">
        <f t="shared" si="157"/>
        <v>516.25</v>
      </c>
      <c r="AA758" s="9">
        <f t="shared" si="158"/>
        <v>23</v>
      </c>
    </row>
    <row r="759" ht="14.25" spans="1:27">
      <c r="A759" s="13">
        <v>757</v>
      </c>
      <c r="B759" s="15">
        <v>16</v>
      </c>
      <c r="C759" s="16">
        <v>12</v>
      </c>
      <c r="D759" s="15" t="s">
        <v>1513</v>
      </c>
      <c r="E759" s="15" t="s">
        <v>1514</v>
      </c>
      <c r="F759" s="174">
        <f>VLOOKUP(D759,原始分!$D:$N,3,0)</f>
        <v>101.5</v>
      </c>
      <c r="G759" s="174">
        <f t="shared" si="146"/>
        <v>319</v>
      </c>
      <c r="H759" s="174">
        <f>VLOOKUP(D759,原始分!$D:$N,4,0)</f>
        <v>102.5</v>
      </c>
      <c r="I759" s="174">
        <f t="shared" si="147"/>
        <v>372</v>
      </c>
      <c r="J759" s="174">
        <f>VLOOKUP(D759,原始分!$D:$N,5,0)</f>
        <v>114</v>
      </c>
      <c r="K759" s="174">
        <f t="shared" si="148"/>
        <v>116</v>
      </c>
      <c r="L759" s="174">
        <f>VLOOKUP(D759,原始分!$D:$N,6,0)</f>
        <v>0</v>
      </c>
      <c r="M759" s="174">
        <f t="shared" si="149"/>
        <v>664</v>
      </c>
      <c r="N759" s="174">
        <f>VLOOKUP(D759,原始分!$D:$N,7,0)</f>
        <v>57.25</v>
      </c>
      <c r="O759" s="174">
        <f t="shared" si="150"/>
        <v>99</v>
      </c>
      <c r="P759" s="174">
        <f>VLOOKUP(D759,原始分!$D:$N,8,0)</f>
        <v>0</v>
      </c>
      <c r="Q759" s="174">
        <f t="shared" si="151"/>
        <v>541</v>
      </c>
      <c r="R759" s="174">
        <f>VLOOKUP(D759,原始分!$D:$N,9,0)</f>
        <v>0</v>
      </c>
      <c r="S759" s="174">
        <f t="shared" si="152"/>
        <v>320</v>
      </c>
      <c r="T759" s="174">
        <f>VLOOKUP(D759,原始分!$D:$N,10,0)</f>
        <v>70.5</v>
      </c>
      <c r="U759" s="174">
        <f t="shared" si="153"/>
        <v>10</v>
      </c>
      <c r="V759" s="174">
        <f>VLOOKUP(D759,原始分!$D:$N,11,0)</f>
        <v>58.5</v>
      </c>
      <c r="W759" s="174">
        <f t="shared" si="154"/>
        <v>120</v>
      </c>
      <c r="X759" s="11">
        <f t="shared" si="155"/>
        <v>318</v>
      </c>
      <c r="Y759" s="9">
        <f t="shared" si="156"/>
        <v>175</v>
      </c>
      <c r="Z759" s="11">
        <f t="shared" si="157"/>
        <v>504.25</v>
      </c>
      <c r="AA759" s="9">
        <f t="shared" si="158"/>
        <v>33</v>
      </c>
    </row>
    <row r="760" ht="14.25" spans="1:27">
      <c r="A760" s="13">
        <v>758</v>
      </c>
      <c r="B760" s="15">
        <v>16</v>
      </c>
      <c r="C760" s="16">
        <v>13</v>
      </c>
      <c r="D760" s="15" t="s">
        <v>1515</v>
      </c>
      <c r="E760" s="15" t="s">
        <v>1516</v>
      </c>
      <c r="F760" s="174">
        <f>VLOOKUP(D760,原始分!$D:$N,3,0)</f>
        <v>103.5</v>
      </c>
      <c r="G760" s="174">
        <f t="shared" si="146"/>
        <v>230</v>
      </c>
      <c r="H760" s="174">
        <f>VLOOKUP(D760,原始分!$D:$N,4,0)</f>
        <v>94</v>
      </c>
      <c r="I760" s="174">
        <f t="shared" si="147"/>
        <v>538</v>
      </c>
      <c r="J760" s="174">
        <f>VLOOKUP(D760,原始分!$D:$N,5,0)</f>
        <v>110.75</v>
      </c>
      <c r="K760" s="174">
        <f t="shared" si="148"/>
        <v>165</v>
      </c>
      <c r="L760" s="174">
        <f>VLOOKUP(D760,原始分!$D:$N,6,0)</f>
        <v>0</v>
      </c>
      <c r="M760" s="174">
        <f t="shared" si="149"/>
        <v>664</v>
      </c>
      <c r="N760" s="174">
        <f>VLOOKUP(D760,原始分!$D:$N,7,0)</f>
        <v>49</v>
      </c>
      <c r="O760" s="174">
        <f t="shared" si="150"/>
        <v>172</v>
      </c>
      <c r="P760" s="174">
        <f>VLOOKUP(D760,原始分!$D:$N,8,0)</f>
        <v>0</v>
      </c>
      <c r="Q760" s="174">
        <f t="shared" si="151"/>
        <v>541</v>
      </c>
      <c r="R760" s="174">
        <f>VLOOKUP(D760,原始分!$D:$N,9,0)</f>
        <v>0</v>
      </c>
      <c r="S760" s="174">
        <f t="shared" si="152"/>
        <v>320</v>
      </c>
      <c r="T760" s="174">
        <f>VLOOKUP(D760,原始分!$D:$N,10,0)</f>
        <v>65.5</v>
      </c>
      <c r="U760" s="174">
        <f t="shared" si="153"/>
        <v>40</v>
      </c>
      <c r="V760" s="174">
        <f>VLOOKUP(D760,原始分!$D:$N,11,0)</f>
        <v>62</v>
      </c>
      <c r="W760" s="174">
        <f t="shared" si="154"/>
        <v>64</v>
      </c>
      <c r="X760" s="11">
        <f t="shared" si="155"/>
        <v>308.25</v>
      </c>
      <c r="Y760" s="9">
        <f t="shared" si="156"/>
        <v>286</v>
      </c>
      <c r="Z760" s="11">
        <f t="shared" si="157"/>
        <v>484.75</v>
      </c>
      <c r="AA760" s="9">
        <f t="shared" si="158"/>
        <v>63</v>
      </c>
    </row>
    <row r="761" ht="14.25" spans="1:27">
      <c r="A761" s="13">
        <v>759</v>
      </c>
      <c r="B761" s="15">
        <v>16</v>
      </c>
      <c r="C761" s="16">
        <v>14</v>
      </c>
      <c r="D761" s="15" t="s">
        <v>1517</v>
      </c>
      <c r="E761" s="15" t="s">
        <v>1518</v>
      </c>
      <c r="F761" s="174">
        <f>VLOOKUP(D761,原始分!$D:$N,3,0)</f>
        <v>113</v>
      </c>
      <c r="G761" s="174">
        <f t="shared" si="146"/>
        <v>21</v>
      </c>
      <c r="H761" s="174">
        <f>VLOOKUP(D761,原始分!$D:$N,4,0)</f>
        <v>93</v>
      </c>
      <c r="I761" s="174">
        <f t="shared" si="147"/>
        <v>561</v>
      </c>
      <c r="J761" s="174">
        <f>VLOOKUP(D761,原始分!$D:$N,5,0)</f>
        <v>118.5</v>
      </c>
      <c r="K761" s="174">
        <f t="shared" si="148"/>
        <v>58</v>
      </c>
      <c r="L761" s="174">
        <f>VLOOKUP(D761,原始分!$D:$N,6,0)</f>
        <v>0</v>
      </c>
      <c r="M761" s="174">
        <f t="shared" si="149"/>
        <v>664</v>
      </c>
      <c r="N761" s="174">
        <f>VLOOKUP(D761,原始分!$D:$N,7,0)</f>
        <v>63</v>
      </c>
      <c r="O761" s="174">
        <f t="shared" si="150"/>
        <v>43</v>
      </c>
      <c r="P761" s="174">
        <f>VLOOKUP(D761,原始分!$D:$N,8,0)</f>
        <v>0</v>
      </c>
      <c r="Q761" s="174">
        <f t="shared" si="151"/>
        <v>541</v>
      </c>
      <c r="R761" s="174">
        <f>VLOOKUP(D761,原始分!$D:$N,9,0)</f>
        <v>0</v>
      </c>
      <c r="S761" s="174">
        <f t="shared" si="152"/>
        <v>320</v>
      </c>
      <c r="T761" s="174">
        <f>VLOOKUP(D761,原始分!$D:$N,10,0)</f>
        <v>54</v>
      </c>
      <c r="U761" s="174">
        <f t="shared" si="153"/>
        <v>204</v>
      </c>
      <c r="V761" s="174">
        <f>VLOOKUP(D761,原始分!$D:$N,11,0)</f>
        <v>52.5</v>
      </c>
      <c r="W761" s="174">
        <f t="shared" si="154"/>
        <v>235</v>
      </c>
      <c r="X761" s="11">
        <f t="shared" si="155"/>
        <v>324.5</v>
      </c>
      <c r="Y761" s="9">
        <f t="shared" si="156"/>
        <v>127</v>
      </c>
      <c r="Z761" s="11">
        <f t="shared" si="157"/>
        <v>494</v>
      </c>
      <c r="AA761" s="9">
        <f t="shared" si="158"/>
        <v>47</v>
      </c>
    </row>
    <row r="762" ht="14.25" spans="1:27">
      <c r="A762" s="13">
        <v>760</v>
      </c>
      <c r="B762" s="15">
        <v>16</v>
      </c>
      <c r="C762" s="16">
        <v>15</v>
      </c>
      <c r="D762" s="15" t="s">
        <v>1519</v>
      </c>
      <c r="E762" s="15" t="s">
        <v>1520</v>
      </c>
      <c r="F762" s="174">
        <f>VLOOKUP(D762,原始分!$D:$N,3,0)</f>
        <v>105</v>
      </c>
      <c r="G762" s="174">
        <f t="shared" si="146"/>
        <v>171</v>
      </c>
      <c r="H762" s="174">
        <f>VLOOKUP(D762,原始分!$D:$N,4,0)</f>
        <v>105</v>
      </c>
      <c r="I762" s="174">
        <f t="shared" si="147"/>
        <v>317</v>
      </c>
      <c r="J762" s="174">
        <f>VLOOKUP(D762,原始分!$D:$N,5,0)</f>
        <v>124</v>
      </c>
      <c r="K762" s="174">
        <f t="shared" si="148"/>
        <v>15</v>
      </c>
      <c r="L762" s="174">
        <f>VLOOKUP(D762,原始分!$D:$N,6,0)</f>
        <v>0</v>
      </c>
      <c r="M762" s="174">
        <f t="shared" si="149"/>
        <v>664</v>
      </c>
      <c r="N762" s="174">
        <f>VLOOKUP(D762,原始分!$D:$N,7,0)</f>
        <v>67</v>
      </c>
      <c r="O762" s="174">
        <f t="shared" si="150"/>
        <v>18</v>
      </c>
      <c r="P762" s="174">
        <f>VLOOKUP(D762,原始分!$D:$N,8,0)</f>
        <v>0</v>
      </c>
      <c r="Q762" s="174">
        <f t="shared" si="151"/>
        <v>541</v>
      </c>
      <c r="R762" s="174">
        <f>VLOOKUP(D762,原始分!$D:$N,9,0)</f>
        <v>0</v>
      </c>
      <c r="S762" s="174">
        <f t="shared" si="152"/>
        <v>320</v>
      </c>
      <c r="T762" s="174">
        <f>VLOOKUP(D762,原始分!$D:$N,10,0)</f>
        <v>52.5</v>
      </c>
      <c r="U762" s="174">
        <f t="shared" si="153"/>
        <v>225</v>
      </c>
      <c r="V762" s="174">
        <f>VLOOKUP(D762,原始分!$D:$N,11,0)</f>
        <v>49.5</v>
      </c>
      <c r="W762" s="174">
        <f t="shared" si="154"/>
        <v>313</v>
      </c>
      <c r="X762" s="11">
        <f t="shared" si="155"/>
        <v>334</v>
      </c>
      <c r="Y762" s="9">
        <f t="shared" si="156"/>
        <v>72</v>
      </c>
      <c r="Z762" s="11">
        <f t="shared" si="157"/>
        <v>503</v>
      </c>
      <c r="AA762" s="9">
        <f t="shared" si="158"/>
        <v>34</v>
      </c>
    </row>
    <row r="763" ht="14.25" spans="1:27">
      <c r="A763" s="13">
        <v>761</v>
      </c>
      <c r="B763" s="15">
        <v>16</v>
      </c>
      <c r="C763" s="16">
        <v>16</v>
      </c>
      <c r="D763" s="15" t="s">
        <v>1521</v>
      </c>
      <c r="E763" s="15" t="s">
        <v>1522</v>
      </c>
      <c r="F763" s="174">
        <f>VLOOKUP(D763,原始分!$D:$N,3,0)</f>
        <v>111</v>
      </c>
      <c r="G763" s="174">
        <f t="shared" si="146"/>
        <v>35</v>
      </c>
      <c r="H763" s="174">
        <f>VLOOKUP(D763,原始分!$D:$N,4,0)</f>
        <v>110</v>
      </c>
      <c r="I763" s="174">
        <f t="shared" si="147"/>
        <v>223</v>
      </c>
      <c r="J763" s="174">
        <f>VLOOKUP(D763,原始分!$D:$N,5,0)</f>
        <v>123.5</v>
      </c>
      <c r="K763" s="174">
        <f t="shared" si="148"/>
        <v>17</v>
      </c>
      <c r="L763" s="174">
        <f>VLOOKUP(D763,原始分!$D:$N,6,0)</f>
        <v>0</v>
      </c>
      <c r="M763" s="174">
        <f t="shared" si="149"/>
        <v>664</v>
      </c>
      <c r="N763" s="174">
        <f>VLOOKUP(D763,原始分!$D:$N,7,0)</f>
        <v>50.5</v>
      </c>
      <c r="O763" s="174">
        <f t="shared" si="150"/>
        <v>164</v>
      </c>
      <c r="P763" s="174">
        <f>VLOOKUP(D763,原始分!$D:$N,8,0)</f>
        <v>0</v>
      </c>
      <c r="Q763" s="174">
        <f t="shared" si="151"/>
        <v>541</v>
      </c>
      <c r="R763" s="174">
        <f>VLOOKUP(D763,原始分!$D:$N,9,0)</f>
        <v>0</v>
      </c>
      <c r="S763" s="174">
        <f t="shared" si="152"/>
        <v>320</v>
      </c>
      <c r="T763" s="174">
        <f>VLOOKUP(D763,原始分!$D:$N,10,0)</f>
        <v>65.5</v>
      </c>
      <c r="U763" s="174">
        <f t="shared" si="153"/>
        <v>40</v>
      </c>
      <c r="V763" s="174">
        <f>VLOOKUP(D763,原始分!$D:$N,11,0)</f>
        <v>53</v>
      </c>
      <c r="W763" s="174">
        <f t="shared" si="154"/>
        <v>223</v>
      </c>
      <c r="X763" s="11">
        <f t="shared" si="155"/>
        <v>344.5</v>
      </c>
      <c r="Y763" s="9">
        <f t="shared" si="156"/>
        <v>27</v>
      </c>
      <c r="Z763" s="11">
        <f t="shared" si="157"/>
        <v>513.5</v>
      </c>
      <c r="AA763" s="9">
        <f t="shared" si="158"/>
        <v>26</v>
      </c>
    </row>
    <row r="764" ht="14.25" spans="1:27">
      <c r="A764" s="13">
        <v>762</v>
      </c>
      <c r="B764" s="15">
        <v>16</v>
      </c>
      <c r="C764" s="16">
        <v>17</v>
      </c>
      <c r="D764" s="15" t="s">
        <v>1523</v>
      </c>
      <c r="E764" s="15" t="s">
        <v>1524</v>
      </c>
      <c r="F764" s="174">
        <f>VLOOKUP(D764,原始分!$D:$N,3,0)</f>
        <v>111</v>
      </c>
      <c r="G764" s="174">
        <f t="shared" si="146"/>
        <v>35</v>
      </c>
      <c r="H764" s="174">
        <f>VLOOKUP(D764,原始分!$D:$N,4,0)</f>
        <v>102.5</v>
      </c>
      <c r="I764" s="174">
        <f t="shared" si="147"/>
        <v>372</v>
      </c>
      <c r="J764" s="174">
        <f>VLOOKUP(D764,原始分!$D:$N,5,0)</f>
        <v>122.5</v>
      </c>
      <c r="K764" s="174">
        <f t="shared" si="148"/>
        <v>20</v>
      </c>
      <c r="L764" s="174">
        <f>VLOOKUP(D764,原始分!$D:$N,6,0)</f>
        <v>0</v>
      </c>
      <c r="M764" s="174">
        <f t="shared" si="149"/>
        <v>664</v>
      </c>
      <c r="N764" s="174">
        <f>VLOOKUP(D764,原始分!$D:$N,7,0)</f>
        <v>61.5</v>
      </c>
      <c r="O764" s="174">
        <f t="shared" si="150"/>
        <v>56</v>
      </c>
      <c r="P764" s="174">
        <f>VLOOKUP(D764,原始分!$D:$N,8,0)</f>
        <v>0</v>
      </c>
      <c r="Q764" s="174">
        <f t="shared" si="151"/>
        <v>541</v>
      </c>
      <c r="R764" s="174">
        <f>VLOOKUP(D764,原始分!$D:$N,9,0)</f>
        <v>0</v>
      </c>
      <c r="S764" s="174">
        <f t="shared" si="152"/>
        <v>320</v>
      </c>
      <c r="T764" s="174">
        <f>VLOOKUP(D764,原始分!$D:$N,10,0)</f>
        <v>64</v>
      </c>
      <c r="U764" s="174">
        <f t="shared" si="153"/>
        <v>62</v>
      </c>
      <c r="V764" s="174">
        <f>VLOOKUP(D764,原始分!$D:$N,11,0)</f>
        <v>60</v>
      </c>
      <c r="W764" s="174">
        <f t="shared" si="154"/>
        <v>91</v>
      </c>
      <c r="X764" s="11">
        <f t="shared" si="155"/>
        <v>336</v>
      </c>
      <c r="Y764" s="9">
        <f t="shared" si="156"/>
        <v>59</v>
      </c>
      <c r="Z764" s="11">
        <f t="shared" si="157"/>
        <v>521.5</v>
      </c>
      <c r="AA764" s="9">
        <f t="shared" si="158"/>
        <v>15</v>
      </c>
    </row>
    <row r="765" ht="14.25" spans="1:27">
      <c r="A765" s="13">
        <v>763</v>
      </c>
      <c r="B765" s="15">
        <v>16</v>
      </c>
      <c r="C765" s="16">
        <v>18</v>
      </c>
      <c r="D765" s="15" t="s">
        <v>1525</v>
      </c>
      <c r="E765" s="15" t="s">
        <v>1526</v>
      </c>
      <c r="F765" s="174">
        <f>VLOOKUP(D765,原始分!$D:$N,3,0)</f>
        <v>107.5</v>
      </c>
      <c r="G765" s="174">
        <f t="shared" si="146"/>
        <v>93</v>
      </c>
      <c r="H765" s="174">
        <f>VLOOKUP(D765,原始分!$D:$N,4,0)</f>
        <v>97.5</v>
      </c>
      <c r="I765" s="174">
        <f t="shared" si="147"/>
        <v>464</v>
      </c>
      <c r="J765" s="174">
        <f>VLOOKUP(D765,原始分!$D:$N,5,0)</f>
        <v>113</v>
      </c>
      <c r="K765" s="174">
        <f t="shared" si="148"/>
        <v>130</v>
      </c>
      <c r="L765" s="174">
        <f>VLOOKUP(D765,原始分!$D:$N,6,0)</f>
        <v>0</v>
      </c>
      <c r="M765" s="174">
        <f t="shared" si="149"/>
        <v>664</v>
      </c>
      <c r="N765" s="174">
        <f>VLOOKUP(D765,原始分!$D:$N,7,0)</f>
        <v>60</v>
      </c>
      <c r="O765" s="174">
        <f t="shared" si="150"/>
        <v>67</v>
      </c>
      <c r="P765" s="174">
        <f>VLOOKUP(D765,原始分!$D:$N,8,0)</f>
        <v>0</v>
      </c>
      <c r="Q765" s="174">
        <f t="shared" si="151"/>
        <v>541</v>
      </c>
      <c r="R765" s="174">
        <f>VLOOKUP(D765,原始分!$D:$N,9,0)</f>
        <v>0</v>
      </c>
      <c r="S765" s="174">
        <f t="shared" si="152"/>
        <v>320</v>
      </c>
      <c r="T765" s="174">
        <f>VLOOKUP(D765,原始分!$D:$N,10,0)</f>
        <v>67.5</v>
      </c>
      <c r="U765" s="174">
        <f t="shared" si="153"/>
        <v>22</v>
      </c>
      <c r="V765" s="174">
        <f>VLOOKUP(D765,原始分!$D:$N,11,0)</f>
        <v>63</v>
      </c>
      <c r="W765" s="174">
        <f t="shared" si="154"/>
        <v>56</v>
      </c>
      <c r="X765" s="11">
        <f t="shared" si="155"/>
        <v>318</v>
      </c>
      <c r="Y765" s="9">
        <f t="shared" si="156"/>
        <v>175</v>
      </c>
      <c r="Z765" s="11">
        <f t="shared" si="157"/>
        <v>508.5</v>
      </c>
      <c r="AA765" s="9">
        <f t="shared" si="158"/>
        <v>30</v>
      </c>
    </row>
    <row r="766" ht="14.25" spans="1:27">
      <c r="A766" s="13">
        <v>764</v>
      </c>
      <c r="B766" s="15">
        <v>16</v>
      </c>
      <c r="C766" s="16">
        <v>19</v>
      </c>
      <c r="D766" s="15" t="s">
        <v>1527</v>
      </c>
      <c r="E766" s="15" t="s">
        <v>1528</v>
      </c>
      <c r="F766" s="174">
        <f>VLOOKUP(D766,原始分!$D:$N,3,0)</f>
        <v>103.5</v>
      </c>
      <c r="G766" s="174">
        <f t="shared" si="146"/>
        <v>230</v>
      </c>
      <c r="H766" s="174">
        <f>VLOOKUP(D766,原始分!$D:$N,4,0)</f>
        <v>107.5</v>
      </c>
      <c r="I766" s="174">
        <f t="shared" si="147"/>
        <v>267</v>
      </c>
      <c r="J766" s="174">
        <f>VLOOKUP(D766,原始分!$D:$N,5,0)</f>
        <v>121.5</v>
      </c>
      <c r="K766" s="174">
        <f t="shared" si="148"/>
        <v>31</v>
      </c>
      <c r="L766" s="174">
        <f>VLOOKUP(D766,原始分!$D:$N,6,0)</f>
        <v>0</v>
      </c>
      <c r="M766" s="174">
        <f t="shared" si="149"/>
        <v>664</v>
      </c>
      <c r="N766" s="174">
        <f>VLOOKUP(D766,原始分!$D:$N,7,0)</f>
        <v>67</v>
      </c>
      <c r="O766" s="174">
        <f t="shared" si="150"/>
        <v>18</v>
      </c>
      <c r="P766" s="174">
        <f>VLOOKUP(D766,原始分!$D:$N,8,0)</f>
        <v>0</v>
      </c>
      <c r="Q766" s="174">
        <f t="shared" si="151"/>
        <v>541</v>
      </c>
      <c r="R766" s="174">
        <f>VLOOKUP(D766,原始分!$D:$N,9,0)</f>
        <v>0</v>
      </c>
      <c r="S766" s="174">
        <f t="shared" si="152"/>
        <v>320</v>
      </c>
      <c r="T766" s="174">
        <f>VLOOKUP(D766,原始分!$D:$N,10,0)</f>
        <v>74</v>
      </c>
      <c r="U766" s="174">
        <f t="shared" si="153"/>
        <v>3</v>
      </c>
      <c r="V766" s="174">
        <f>VLOOKUP(D766,原始分!$D:$N,11,0)</f>
        <v>60</v>
      </c>
      <c r="W766" s="174">
        <f t="shared" si="154"/>
        <v>91</v>
      </c>
      <c r="X766" s="11">
        <f t="shared" si="155"/>
        <v>332.5</v>
      </c>
      <c r="Y766" s="9">
        <f t="shared" si="156"/>
        <v>79</v>
      </c>
      <c r="Z766" s="11">
        <f t="shared" si="157"/>
        <v>533.5</v>
      </c>
      <c r="AA766" s="9">
        <f t="shared" si="158"/>
        <v>7</v>
      </c>
    </row>
    <row r="767" ht="14.25" spans="1:27">
      <c r="A767" s="13">
        <v>765</v>
      </c>
      <c r="B767" s="15">
        <v>16</v>
      </c>
      <c r="C767" s="16">
        <v>20</v>
      </c>
      <c r="D767" s="15" t="s">
        <v>1529</v>
      </c>
      <c r="E767" s="15" t="s">
        <v>1530</v>
      </c>
      <c r="F767" s="174">
        <f>VLOOKUP(D767,原始分!$D:$N,3,0)</f>
        <v>117.5</v>
      </c>
      <c r="G767" s="174">
        <f t="shared" si="146"/>
        <v>4</v>
      </c>
      <c r="H767" s="174">
        <f>VLOOKUP(D767,原始分!$D:$N,4,0)</f>
        <v>113</v>
      </c>
      <c r="I767" s="174">
        <f t="shared" si="147"/>
        <v>160</v>
      </c>
      <c r="J767" s="174">
        <f>VLOOKUP(D767,原始分!$D:$N,5,0)</f>
        <v>120</v>
      </c>
      <c r="K767" s="174">
        <f t="shared" si="148"/>
        <v>44</v>
      </c>
      <c r="L767" s="174">
        <f>VLOOKUP(D767,原始分!$D:$N,6,0)</f>
        <v>0</v>
      </c>
      <c r="M767" s="174">
        <f t="shared" si="149"/>
        <v>664</v>
      </c>
      <c r="N767" s="174">
        <f>VLOOKUP(D767,原始分!$D:$N,7,0)</f>
        <v>51.5</v>
      </c>
      <c r="O767" s="174">
        <f t="shared" si="150"/>
        <v>150</v>
      </c>
      <c r="P767" s="174">
        <f>VLOOKUP(D767,原始分!$D:$N,8,0)</f>
        <v>0</v>
      </c>
      <c r="Q767" s="174">
        <f t="shared" si="151"/>
        <v>541</v>
      </c>
      <c r="R767" s="174">
        <f>VLOOKUP(D767,原始分!$D:$N,9,0)</f>
        <v>0</v>
      </c>
      <c r="S767" s="174">
        <f t="shared" si="152"/>
        <v>320</v>
      </c>
      <c r="T767" s="174">
        <f>VLOOKUP(D767,原始分!$D:$N,10,0)</f>
        <v>73</v>
      </c>
      <c r="U767" s="174">
        <f t="shared" si="153"/>
        <v>6</v>
      </c>
      <c r="V767" s="174">
        <f>VLOOKUP(D767,原始分!$D:$N,11,0)</f>
        <v>60.5</v>
      </c>
      <c r="W767" s="174">
        <f t="shared" si="154"/>
        <v>84</v>
      </c>
      <c r="X767" s="11">
        <f t="shared" si="155"/>
        <v>350.5</v>
      </c>
      <c r="Y767" s="9">
        <f t="shared" si="156"/>
        <v>14</v>
      </c>
      <c r="Z767" s="11">
        <f t="shared" si="157"/>
        <v>535.5</v>
      </c>
      <c r="AA767" s="9">
        <f t="shared" si="158"/>
        <v>6</v>
      </c>
    </row>
    <row r="768" ht="14.25" spans="1:27">
      <c r="A768" s="13">
        <v>766</v>
      </c>
      <c r="B768" s="15">
        <v>16</v>
      </c>
      <c r="C768" s="16">
        <v>21</v>
      </c>
      <c r="D768" s="15" t="s">
        <v>1531</v>
      </c>
      <c r="E768" s="15" t="s">
        <v>1532</v>
      </c>
      <c r="F768" s="174">
        <f>VLOOKUP(D768,原始分!$D:$N,3,0)</f>
        <v>102.75</v>
      </c>
      <c r="G768" s="174">
        <f t="shared" si="146"/>
        <v>275</v>
      </c>
      <c r="H768" s="174">
        <f>VLOOKUP(D768,原始分!$D:$N,4,0)</f>
        <v>124</v>
      </c>
      <c r="I768" s="174">
        <f t="shared" si="147"/>
        <v>39</v>
      </c>
      <c r="J768" s="174">
        <f>VLOOKUP(D768,原始分!$D:$N,5,0)</f>
        <v>126</v>
      </c>
      <c r="K768" s="174">
        <f t="shared" si="148"/>
        <v>9</v>
      </c>
      <c r="L768" s="174">
        <f>VLOOKUP(D768,原始分!$D:$N,6,0)</f>
        <v>0</v>
      </c>
      <c r="M768" s="174">
        <f t="shared" si="149"/>
        <v>664</v>
      </c>
      <c r="N768" s="174">
        <f>VLOOKUP(D768,原始分!$D:$N,7,0)</f>
        <v>59</v>
      </c>
      <c r="O768" s="174">
        <f t="shared" si="150"/>
        <v>77</v>
      </c>
      <c r="P768" s="174">
        <f>VLOOKUP(D768,原始分!$D:$N,8,0)</f>
        <v>0</v>
      </c>
      <c r="Q768" s="174">
        <f t="shared" si="151"/>
        <v>541</v>
      </c>
      <c r="R768" s="174">
        <f>VLOOKUP(D768,原始分!$D:$N,9,0)</f>
        <v>0</v>
      </c>
      <c r="S768" s="174">
        <f t="shared" si="152"/>
        <v>320</v>
      </c>
      <c r="T768" s="174">
        <f>VLOOKUP(D768,原始分!$D:$N,10,0)</f>
        <v>57</v>
      </c>
      <c r="U768" s="174">
        <f t="shared" si="153"/>
        <v>157</v>
      </c>
      <c r="V768" s="174">
        <f>VLOOKUP(D768,原始分!$D:$N,11,0)</f>
        <v>56</v>
      </c>
      <c r="W768" s="174">
        <f t="shared" si="154"/>
        <v>160</v>
      </c>
      <c r="X768" s="11">
        <f t="shared" si="155"/>
        <v>352.75</v>
      </c>
      <c r="Y768" s="9">
        <f t="shared" si="156"/>
        <v>12</v>
      </c>
      <c r="Z768" s="11">
        <f t="shared" si="157"/>
        <v>524.75</v>
      </c>
      <c r="AA768" s="9">
        <f t="shared" si="158"/>
        <v>11</v>
      </c>
    </row>
    <row r="769" ht="14.25" spans="1:27">
      <c r="A769" s="13">
        <v>767</v>
      </c>
      <c r="B769" s="15">
        <v>16</v>
      </c>
      <c r="C769" s="16">
        <v>22</v>
      </c>
      <c r="D769" s="15" t="s">
        <v>1533</v>
      </c>
      <c r="E769" s="15" t="s">
        <v>1534</v>
      </c>
      <c r="F769" s="174">
        <f>VLOOKUP(D769,原始分!$D:$N,3,0)</f>
        <v>107.5</v>
      </c>
      <c r="G769" s="174">
        <f t="shared" si="146"/>
        <v>93</v>
      </c>
      <c r="H769" s="174">
        <f>VLOOKUP(D769,原始分!$D:$N,4,0)</f>
        <v>108</v>
      </c>
      <c r="I769" s="174">
        <f t="shared" si="147"/>
        <v>257</v>
      </c>
      <c r="J769" s="174">
        <f>VLOOKUP(D769,原始分!$D:$N,5,0)</f>
        <v>130.5</v>
      </c>
      <c r="K769" s="174">
        <f t="shared" si="148"/>
        <v>5</v>
      </c>
      <c r="L769" s="174">
        <f>VLOOKUP(D769,原始分!$D:$N,6,0)</f>
        <v>0</v>
      </c>
      <c r="M769" s="174">
        <f t="shared" si="149"/>
        <v>664</v>
      </c>
      <c r="N769" s="174">
        <f>VLOOKUP(D769,原始分!$D:$N,7,0)</f>
        <v>58</v>
      </c>
      <c r="O769" s="174">
        <f t="shared" si="150"/>
        <v>84</v>
      </c>
      <c r="P769" s="174">
        <f>VLOOKUP(D769,原始分!$D:$N,8,0)</f>
        <v>0</v>
      </c>
      <c r="Q769" s="174">
        <f t="shared" si="151"/>
        <v>541</v>
      </c>
      <c r="R769" s="174">
        <f>VLOOKUP(D769,原始分!$D:$N,9,0)</f>
        <v>0</v>
      </c>
      <c r="S769" s="174">
        <f t="shared" si="152"/>
        <v>320</v>
      </c>
      <c r="T769" s="174">
        <f>VLOOKUP(D769,原始分!$D:$N,10,0)</f>
        <v>59.5</v>
      </c>
      <c r="U769" s="174">
        <f t="shared" si="153"/>
        <v>116</v>
      </c>
      <c r="V769" s="174">
        <f>VLOOKUP(D769,原始分!$D:$N,11,0)</f>
        <v>53</v>
      </c>
      <c r="W769" s="174">
        <f t="shared" si="154"/>
        <v>223</v>
      </c>
      <c r="X769" s="11">
        <f t="shared" si="155"/>
        <v>346</v>
      </c>
      <c r="Y769" s="9">
        <f t="shared" si="156"/>
        <v>22</v>
      </c>
      <c r="Z769" s="11">
        <f t="shared" si="157"/>
        <v>516.5</v>
      </c>
      <c r="AA769" s="9">
        <f t="shared" si="158"/>
        <v>22</v>
      </c>
    </row>
    <row r="770" ht="14.25" spans="1:27">
      <c r="A770" s="13">
        <v>768</v>
      </c>
      <c r="B770" s="15">
        <v>16</v>
      </c>
      <c r="C770" s="16">
        <v>23</v>
      </c>
      <c r="D770" s="15" t="s">
        <v>1535</v>
      </c>
      <c r="E770" s="15" t="s">
        <v>1536</v>
      </c>
      <c r="F770" s="174">
        <f>VLOOKUP(D770,原始分!$D:$N,3,0)</f>
        <v>113</v>
      </c>
      <c r="G770" s="174">
        <f t="shared" si="146"/>
        <v>21</v>
      </c>
      <c r="H770" s="174">
        <f>VLOOKUP(D770,原始分!$D:$N,4,0)</f>
        <v>111.5</v>
      </c>
      <c r="I770" s="174">
        <f t="shared" si="147"/>
        <v>191</v>
      </c>
      <c r="J770" s="174">
        <f>VLOOKUP(D770,原始分!$D:$N,5,0)</f>
        <v>111</v>
      </c>
      <c r="K770" s="174">
        <f t="shared" si="148"/>
        <v>159</v>
      </c>
      <c r="L770" s="174">
        <f>VLOOKUP(D770,原始分!$D:$N,6,0)</f>
        <v>0</v>
      </c>
      <c r="M770" s="174">
        <f t="shared" si="149"/>
        <v>664</v>
      </c>
      <c r="N770" s="174">
        <f>VLOOKUP(D770,原始分!$D:$N,7,0)</f>
        <v>62</v>
      </c>
      <c r="O770" s="174">
        <f t="shared" si="150"/>
        <v>50</v>
      </c>
      <c r="P770" s="174">
        <f>VLOOKUP(D770,原始分!$D:$N,8,0)</f>
        <v>0</v>
      </c>
      <c r="Q770" s="174">
        <f t="shared" si="151"/>
        <v>541</v>
      </c>
      <c r="R770" s="174">
        <f>VLOOKUP(D770,原始分!$D:$N,9,0)</f>
        <v>0</v>
      </c>
      <c r="S770" s="174">
        <f t="shared" si="152"/>
        <v>320</v>
      </c>
      <c r="T770" s="174">
        <f>VLOOKUP(D770,原始分!$D:$N,10,0)</f>
        <v>80</v>
      </c>
      <c r="U770" s="174">
        <f t="shared" si="153"/>
        <v>1</v>
      </c>
      <c r="V770" s="174">
        <f>VLOOKUP(D770,原始分!$D:$N,11,0)</f>
        <v>54.5</v>
      </c>
      <c r="W770" s="174">
        <f t="shared" si="154"/>
        <v>187</v>
      </c>
      <c r="X770" s="11">
        <f t="shared" si="155"/>
        <v>335.5</v>
      </c>
      <c r="Y770" s="9">
        <f t="shared" si="156"/>
        <v>63</v>
      </c>
      <c r="Z770" s="11">
        <f t="shared" si="157"/>
        <v>532</v>
      </c>
      <c r="AA770" s="9">
        <f t="shared" si="158"/>
        <v>8</v>
      </c>
    </row>
    <row r="771" ht="14.25" spans="1:27">
      <c r="A771" s="13">
        <v>769</v>
      </c>
      <c r="B771" s="15">
        <v>16</v>
      </c>
      <c r="C771" s="16">
        <v>25</v>
      </c>
      <c r="D771" s="15" t="s">
        <v>1537</v>
      </c>
      <c r="E771" s="15" t="s">
        <v>847</v>
      </c>
      <c r="F771" s="174">
        <f>VLOOKUP(D771,原始分!$D:$N,3,0)</f>
        <v>111</v>
      </c>
      <c r="G771" s="174">
        <f t="shared" ref="G771:G834" si="159">RANK(F771,$F$3:$F$900)</f>
        <v>35</v>
      </c>
      <c r="H771" s="174">
        <f>VLOOKUP(D771,原始分!$D:$N,4,0)</f>
        <v>88.5</v>
      </c>
      <c r="I771" s="174">
        <f t="shared" ref="I771:I834" si="160">RANK(H771,$H$3:$H$900)</f>
        <v>641</v>
      </c>
      <c r="J771" s="174">
        <f>VLOOKUP(D771,原始分!$D:$N,5,0)</f>
        <v>102.5</v>
      </c>
      <c r="K771" s="174">
        <f t="shared" ref="K771:K834" si="161">RANK(J771,$J$3:$J$900)</f>
        <v>317</v>
      </c>
      <c r="L771" s="174">
        <f>VLOOKUP(D771,原始分!$D:$N,6,0)</f>
        <v>0</v>
      </c>
      <c r="M771" s="174">
        <f t="shared" ref="M771:M834" si="162">RANK(L771,$L$3:$L$900)</f>
        <v>664</v>
      </c>
      <c r="N771" s="174">
        <f>VLOOKUP(D771,原始分!$D:$N,7,0)</f>
        <v>58.5</v>
      </c>
      <c r="O771" s="174">
        <f t="shared" ref="O771:O834" si="163">RANK(N771,$N$3:$N$900)</f>
        <v>80</v>
      </c>
      <c r="P771" s="174">
        <f>VLOOKUP(D771,原始分!$D:$N,8,0)</f>
        <v>0</v>
      </c>
      <c r="Q771" s="174">
        <f t="shared" ref="Q771:Q834" si="164">RANK(P771,$P$3:$P$900)</f>
        <v>541</v>
      </c>
      <c r="R771" s="174">
        <f>VLOOKUP(D771,原始分!$D:$N,9,0)</f>
        <v>50.5</v>
      </c>
      <c r="S771" s="174">
        <f t="shared" ref="S771:S834" si="165">RANK(R771,$R$3:$R$900)</f>
        <v>144</v>
      </c>
      <c r="T771" s="174">
        <f>VLOOKUP(D771,原始分!$D:$N,10,0)</f>
        <v>59</v>
      </c>
      <c r="U771" s="174">
        <f t="shared" ref="U771:U834" si="166">RANK(T771,$T$3:$T$900)</f>
        <v>124</v>
      </c>
      <c r="V771" s="174">
        <f>VLOOKUP(D771,原始分!$D:$N,11,0)</f>
        <v>0</v>
      </c>
      <c r="W771" s="174">
        <f t="shared" ref="W771:W834" si="167">RANK(V771,$V$3:$V$900)</f>
        <v>565</v>
      </c>
      <c r="X771" s="11">
        <f t="shared" ref="X771:X834" si="168">SUM(F771,H771,J771)</f>
        <v>302</v>
      </c>
      <c r="Y771" s="9">
        <f t="shared" ref="Y771:Y834" si="169">RANK(X771,$X$3:$X$900)</f>
        <v>348</v>
      </c>
      <c r="Z771" s="11">
        <f t="shared" ref="Z771:Z834" si="170">SUM(F771,H771,J771,L771,N771,P771,R771,T771,V771)</f>
        <v>470</v>
      </c>
      <c r="AA771" s="9">
        <f t="shared" si="158"/>
        <v>91</v>
      </c>
    </row>
    <row r="772" ht="14.25" spans="1:27">
      <c r="A772" s="13">
        <v>770</v>
      </c>
      <c r="B772" s="15">
        <v>16</v>
      </c>
      <c r="C772" s="16">
        <v>26</v>
      </c>
      <c r="D772" s="15" t="s">
        <v>1538</v>
      </c>
      <c r="E772" s="15" t="s">
        <v>1539</v>
      </c>
      <c r="F772" s="174">
        <f>VLOOKUP(D772,原始分!$D:$N,3,0)</f>
        <v>108.5</v>
      </c>
      <c r="G772" s="174">
        <f t="shared" si="159"/>
        <v>70</v>
      </c>
      <c r="H772" s="174">
        <f>VLOOKUP(D772,原始分!$D:$N,4,0)</f>
        <v>98.5</v>
      </c>
      <c r="I772" s="174">
        <f t="shared" si="160"/>
        <v>442</v>
      </c>
      <c r="J772" s="174">
        <f>VLOOKUP(D772,原始分!$D:$N,5,0)</f>
        <v>118.5</v>
      </c>
      <c r="K772" s="174">
        <f t="shared" si="161"/>
        <v>58</v>
      </c>
      <c r="L772" s="174">
        <f>VLOOKUP(D772,原始分!$D:$N,6,0)</f>
        <v>0</v>
      </c>
      <c r="M772" s="174">
        <f t="shared" si="162"/>
        <v>664</v>
      </c>
      <c r="N772" s="174">
        <f>VLOOKUP(D772,原始分!$D:$N,7,0)</f>
        <v>64</v>
      </c>
      <c r="O772" s="174">
        <f t="shared" si="163"/>
        <v>37</v>
      </c>
      <c r="P772" s="174">
        <f>VLOOKUP(D772,原始分!$D:$N,8,0)</f>
        <v>0</v>
      </c>
      <c r="Q772" s="174">
        <f t="shared" si="164"/>
        <v>541</v>
      </c>
      <c r="R772" s="174">
        <f>VLOOKUP(D772,原始分!$D:$N,9,0)</f>
        <v>68.5</v>
      </c>
      <c r="S772" s="174">
        <f t="shared" si="165"/>
        <v>1</v>
      </c>
      <c r="T772" s="174">
        <f>VLOOKUP(D772,原始分!$D:$N,10,0)</f>
        <v>64.5</v>
      </c>
      <c r="U772" s="174">
        <f t="shared" si="166"/>
        <v>55</v>
      </c>
      <c r="V772" s="174">
        <f>VLOOKUP(D772,原始分!$D:$N,11,0)</f>
        <v>0</v>
      </c>
      <c r="W772" s="174">
        <f t="shared" si="167"/>
        <v>565</v>
      </c>
      <c r="X772" s="11">
        <f t="shared" si="168"/>
        <v>325.5</v>
      </c>
      <c r="Y772" s="9">
        <f t="shared" si="169"/>
        <v>116</v>
      </c>
      <c r="Z772" s="11">
        <f t="shared" si="170"/>
        <v>522.5</v>
      </c>
      <c r="AA772" s="9">
        <f t="shared" si="158"/>
        <v>14</v>
      </c>
    </row>
    <row r="773" ht="14.25" spans="1:27">
      <c r="A773" s="13">
        <v>771</v>
      </c>
      <c r="B773" s="15">
        <v>16</v>
      </c>
      <c r="C773" s="16">
        <v>27</v>
      </c>
      <c r="D773" s="15" t="s">
        <v>1540</v>
      </c>
      <c r="E773" s="15" t="s">
        <v>1541</v>
      </c>
      <c r="F773" s="174">
        <f>VLOOKUP(D773,原始分!$D:$N,3,0)</f>
        <v>105</v>
      </c>
      <c r="G773" s="174">
        <f t="shared" si="159"/>
        <v>171</v>
      </c>
      <c r="H773" s="174">
        <f>VLOOKUP(D773,原始分!$D:$N,4,0)</f>
        <v>113</v>
      </c>
      <c r="I773" s="174">
        <f t="shared" si="160"/>
        <v>160</v>
      </c>
      <c r="J773" s="174">
        <f>VLOOKUP(D773,原始分!$D:$N,5,0)</f>
        <v>120.5</v>
      </c>
      <c r="K773" s="174">
        <f t="shared" si="161"/>
        <v>38</v>
      </c>
      <c r="L773" s="174">
        <f>VLOOKUP(D773,原始分!$D:$N,6,0)</f>
        <v>0</v>
      </c>
      <c r="M773" s="174">
        <f t="shared" si="162"/>
        <v>664</v>
      </c>
      <c r="N773" s="174">
        <f>VLOOKUP(D773,原始分!$D:$N,7,0)</f>
        <v>66.5</v>
      </c>
      <c r="O773" s="174">
        <f t="shared" si="163"/>
        <v>23</v>
      </c>
      <c r="P773" s="174">
        <f>VLOOKUP(D773,原始分!$D:$N,8,0)</f>
        <v>0</v>
      </c>
      <c r="Q773" s="174">
        <f t="shared" si="164"/>
        <v>541</v>
      </c>
      <c r="R773" s="174">
        <f>VLOOKUP(D773,原始分!$D:$N,9,0)</f>
        <v>67.5</v>
      </c>
      <c r="S773" s="174">
        <f t="shared" si="165"/>
        <v>3</v>
      </c>
      <c r="T773" s="174">
        <f>VLOOKUP(D773,原始分!$D:$N,10,0)</f>
        <v>66.5</v>
      </c>
      <c r="U773" s="174">
        <f t="shared" si="166"/>
        <v>33</v>
      </c>
      <c r="V773" s="174">
        <f>VLOOKUP(D773,原始分!$D:$N,11,0)</f>
        <v>0</v>
      </c>
      <c r="W773" s="174">
        <f t="shared" si="167"/>
        <v>565</v>
      </c>
      <c r="X773" s="11">
        <f t="shared" si="168"/>
        <v>338.5</v>
      </c>
      <c r="Y773" s="9">
        <f t="shared" si="169"/>
        <v>43</v>
      </c>
      <c r="Z773" s="11">
        <f t="shared" si="170"/>
        <v>539</v>
      </c>
      <c r="AA773" s="9">
        <f t="shared" si="158"/>
        <v>3</v>
      </c>
    </row>
    <row r="774" ht="14.25" spans="1:27">
      <c r="A774" s="13">
        <v>772</v>
      </c>
      <c r="B774" s="15">
        <v>16</v>
      </c>
      <c r="C774" s="16">
        <v>28</v>
      </c>
      <c r="D774" s="15" t="s">
        <v>1542</v>
      </c>
      <c r="E774" s="15" t="s">
        <v>1543</v>
      </c>
      <c r="F774" s="174">
        <f>VLOOKUP(D774,原始分!$D:$N,3,0)</f>
        <v>112.5</v>
      </c>
      <c r="G774" s="174">
        <f t="shared" si="159"/>
        <v>25</v>
      </c>
      <c r="H774" s="174">
        <f>VLOOKUP(D774,原始分!$D:$N,4,0)</f>
        <v>89</v>
      </c>
      <c r="I774" s="174">
        <f t="shared" si="160"/>
        <v>632</v>
      </c>
      <c r="J774" s="174">
        <f>VLOOKUP(D774,原始分!$D:$N,5,0)</f>
        <v>122</v>
      </c>
      <c r="K774" s="174">
        <f t="shared" si="161"/>
        <v>23</v>
      </c>
      <c r="L774" s="174">
        <f>VLOOKUP(D774,原始分!$D:$N,6,0)</f>
        <v>0</v>
      </c>
      <c r="M774" s="174">
        <f t="shared" si="162"/>
        <v>664</v>
      </c>
      <c r="N774" s="174">
        <f>VLOOKUP(D774,原始分!$D:$N,7,0)</f>
        <v>63.5</v>
      </c>
      <c r="O774" s="174">
        <f t="shared" si="163"/>
        <v>40</v>
      </c>
      <c r="P774" s="174">
        <f>VLOOKUP(D774,原始分!$D:$N,8,0)</f>
        <v>0</v>
      </c>
      <c r="Q774" s="174">
        <f t="shared" si="164"/>
        <v>541</v>
      </c>
      <c r="R774" s="174">
        <f>VLOOKUP(D774,原始分!$D:$N,9,0)</f>
        <v>65.5</v>
      </c>
      <c r="S774" s="174">
        <f t="shared" si="165"/>
        <v>5</v>
      </c>
      <c r="T774" s="174">
        <f>VLOOKUP(D774,原始分!$D:$N,10,0)</f>
        <v>65</v>
      </c>
      <c r="U774" s="174">
        <f t="shared" si="166"/>
        <v>47</v>
      </c>
      <c r="V774" s="174">
        <f>VLOOKUP(D774,原始分!$D:$N,11,0)</f>
        <v>0</v>
      </c>
      <c r="W774" s="174">
        <f t="shared" si="167"/>
        <v>565</v>
      </c>
      <c r="X774" s="11">
        <f t="shared" si="168"/>
        <v>323.5</v>
      </c>
      <c r="Y774" s="9">
        <f t="shared" si="169"/>
        <v>132</v>
      </c>
      <c r="Z774" s="11">
        <f t="shared" si="170"/>
        <v>517.5</v>
      </c>
      <c r="AA774" s="9">
        <f t="shared" si="158"/>
        <v>20</v>
      </c>
    </row>
    <row r="775" ht="14.25" spans="1:27">
      <c r="A775" s="13">
        <v>773</v>
      </c>
      <c r="B775" s="15">
        <v>16</v>
      </c>
      <c r="C775" s="16">
        <v>29</v>
      </c>
      <c r="D775" s="15" t="s">
        <v>1544</v>
      </c>
      <c r="E775" s="15" t="s">
        <v>1545</v>
      </c>
      <c r="F775" s="174">
        <f>VLOOKUP(D775,原始分!$D:$N,3,0)</f>
        <v>101</v>
      </c>
      <c r="G775" s="174">
        <f t="shared" si="159"/>
        <v>338</v>
      </c>
      <c r="H775" s="174">
        <f>VLOOKUP(D775,原始分!$D:$N,4,0)</f>
        <v>119</v>
      </c>
      <c r="I775" s="174">
        <f t="shared" si="160"/>
        <v>77</v>
      </c>
      <c r="J775" s="174">
        <f>VLOOKUP(D775,原始分!$D:$N,5,0)</f>
        <v>105.5</v>
      </c>
      <c r="K775" s="174">
        <f t="shared" si="161"/>
        <v>259</v>
      </c>
      <c r="L775" s="174">
        <f>VLOOKUP(D775,原始分!$D:$N,6,0)</f>
        <v>0</v>
      </c>
      <c r="M775" s="174">
        <f t="shared" si="162"/>
        <v>664</v>
      </c>
      <c r="N775" s="174">
        <f>VLOOKUP(D775,原始分!$D:$N,7,0)</f>
        <v>56.5</v>
      </c>
      <c r="O775" s="174">
        <f t="shared" si="163"/>
        <v>101</v>
      </c>
      <c r="P775" s="174">
        <f>VLOOKUP(D775,原始分!$D:$N,8,0)</f>
        <v>0</v>
      </c>
      <c r="Q775" s="174">
        <f t="shared" si="164"/>
        <v>541</v>
      </c>
      <c r="R775" s="174">
        <f>VLOOKUP(D775,原始分!$D:$N,9,0)</f>
        <v>56</v>
      </c>
      <c r="S775" s="174">
        <f t="shared" si="165"/>
        <v>58</v>
      </c>
      <c r="T775" s="174">
        <f>VLOOKUP(D775,原始分!$D:$N,10,0)</f>
        <v>64.5</v>
      </c>
      <c r="U775" s="174">
        <f t="shared" si="166"/>
        <v>55</v>
      </c>
      <c r="V775" s="174">
        <f>VLOOKUP(D775,原始分!$D:$N,11,0)</f>
        <v>0</v>
      </c>
      <c r="W775" s="174">
        <f t="shared" si="167"/>
        <v>565</v>
      </c>
      <c r="X775" s="11">
        <f t="shared" si="168"/>
        <v>325.5</v>
      </c>
      <c r="Y775" s="9">
        <f t="shared" si="169"/>
        <v>116</v>
      </c>
      <c r="Z775" s="11">
        <f t="shared" si="170"/>
        <v>502.5</v>
      </c>
      <c r="AA775" s="9">
        <f t="shared" si="158"/>
        <v>35</v>
      </c>
    </row>
    <row r="776" ht="14.25" spans="1:27">
      <c r="A776" s="13">
        <v>774</v>
      </c>
      <c r="B776" s="15">
        <v>16</v>
      </c>
      <c r="C776" s="16">
        <v>31</v>
      </c>
      <c r="D776" s="15" t="s">
        <v>1546</v>
      </c>
      <c r="E776" s="15" t="s">
        <v>1547</v>
      </c>
      <c r="F776" s="174">
        <f>VLOOKUP(D776,原始分!$D:$N,3,0)</f>
        <v>114.5</v>
      </c>
      <c r="G776" s="174">
        <f t="shared" si="159"/>
        <v>14</v>
      </c>
      <c r="H776" s="174">
        <f>VLOOKUP(D776,原始分!$D:$N,4,0)</f>
        <v>80</v>
      </c>
      <c r="I776" s="174">
        <f t="shared" si="160"/>
        <v>750</v>
      </c>
      <c r="J776" s="174">
        <f>VLOOKUP(D776,原始分!$D:$N,5,0)</f>
        <v>124.75</v>
      </c>
      <c r="K776" s="174">
        <f t="shared" si="161"/>
        <v>14</v>
      </c>
      <c r="L776" s="174">
        <f>VLOOKUP(D776,原始分!$D:$N,6,0)</f>
        <v>0</v>
      </c>
      <c r="M776" s="174">
        <f t="shared" si="162"/>
        <v>664</v>
      </c>
      <c r="N776" s="174">
        <f>VLOOKUP(D776,原始分!$D:$N,7,0)</f>
        <v>82.5</v>
      </c>
      <c r="O776" s="174">
        <f t="shared" si="163"/>
        <v>1</v>
      </c>
      <c r="P776" s="174">
        <f>VLOOKUP(D776,原始分!$D:$N,8,0)</f>
        <v>0</v>
      </c>
      <c r="Q776" s="174">
        <f t="shared" si="164"/>
        <v>541</v>
      </c>
      <c r="R776" s="174">
        <f>VLOOKUP(D776,原始分!$D:$N,9,0)</f>
        <v>57.5</v>
      </c>
      <c r="S776" s="174">
        <f t="shared" si="165"/>
        <v>45</v>
      </c>
      <c r="T776" s="174">
        <f>VLOOKUP(D776,原始分!$D:$N,10,0)</f>
        <v>62</v>
      </c>
      <c r="U776" s="174">
        <f t="shared" si="166"/>
        <v>81</v>
      </c>
      <c r="V776" s="174">
        <f>VLOOKUP(D776,原始分!$D:$N,11,0)</f>
        <v>0</v>
      </c>
      <c r="W776" s="174">
        <f t="shared" si="167"/>
        <v>565</v>
      </c>
      <c r="X776" s="11">
        <f t="shared" si="168"/>
        <v>319.25</v>
      </c>
      <c r="Y776" s="9">
        <f t="shared" si="169"/>
        <v>165</v>
      </c>
      <c r="Z776" s="11">
        <f t="shared" si="170"/>
        <v>521.25</v>
      </c>
      <c r="AA776" s="9">
        <f t="shared" si="158"/>
        <v>18</v>
      </c>
    </row>
    <row r="777" ht="14.25" spans="1:27">
      <c r="A777" s="13">
        <v>775</v>
      </c>
      <c r="B777" s="15">
        <v>16</v>
      </c>
      <c r="C777" s="16">
        <v>32</v>
      </c>
      <c r="D777" s="15" t="s">
        <v>1548</v>
      </c>
      <c r="E777" s="15" t="s">
        <v>1549</v>
      </c>
      <c r="F777" s="174">
        <f>VLOOKUP(D777,原始分!$D:$N,3,0)</f>
        <v>110</v>
      </c>
      <c r="G777" s="174">
        <f t="shared" si="159"/>
        <v>49</v>
      </c>
      <c r="H777" s="174">
        <f>VLOOKUP(D777,原始分!$D:$N,4,0)</f>
        <v>106</v>
      </c>
      <c r="I777" s="174">
        <f t="shared" si="160"/>
        <v>297</v>
      </c>
      <c r="J777" s="174">
        <f>VLOOKUP(D777,原始分!$D:$N,5,0)</f>
        <v>119</v>
      </c>
      <c r="K777" s="174">
        <f t="shared" si="161"/>
        <v>49</v>
      </c>
      <c r="L777" s="174">
        <f>VLOOKUP(D777,原始分!$D:$N,6,0)</f>
        <v>0</v>
      </c>
      <c r="M777" s="174">
        <f t="shared" si="162"/>
        <v>664</v>
      </c>
      <c r="N777" s="174">
        <f>VLOOKUP(D777,原始分!$D:$N,7,0)</f>
        <v>66</v>
      </c>
      <c r="O777" s="174">
        <f t="shared" si="163"/>
        <v>24</v>
      </c>
      <c r="P777" s="174">
        <f>VLOOKUP(D777,原始分!$D:$N,8,0)</f>
        <v>0</v>
      </c>
      <c r="Q777" s="174">
        <f t="shared" si="164"/>
        <v>541</v>
      </c>
      <c r="R777" s="174">
        <f>VLOOKUP(D777,原始分!$D:$N,9,0)</f>
        <v>64</v>
      </c>
      <c r="S777" s="174">
        <f t="shared" si="165"/>
        <v>11</v>
      </c>
      <c r="T777" s="174">
        <f>VLOOKUP(D777,原始分!$D:$N,10,0)</f>
        <v>56.5</v>
      </c>
      <c r="U777" s="174">
        <f t="shared" si="166"/>
        <v>172</v>
      </c>
      <c r="V777" s="174">
        <f>VLOOKUP(D777,原始分!$D:$N,11,0)</f>
        <v>0</v>
      </c>
      <c r="W777" s="174">
        <f t="shared" si="167"/>
        <v>565</v>
      </c>
      <c r="X777" s="11">
        <f t="shared" si="168"/>
        <v>335</v>
      </c>
      <c r="Y777" s="9">
        <f t="shared" si="169"/>
        <v>67</v>
      </c>
      <c r="Z777" s="11">
        <f t="shared" si="170"/>
        <v>521.5</v>
      </c>
      <c r="AA777" s="9">
        <f t="shared" si="158"/>
        <v>15</v>
      </c>
    </row>
    <row r="778" ht="14.25" spans="1:27">
      <c r="A778" s="13">
        <v>776</v>
      </c>
      <c r="B778" s="15">
        <v>16</v>
      </c>
      <c r="C778" s="16">
        <v>33</v>
      </c>
      <c r="D778" s="15" t="s">
        <v>1550</v>
      </c>
      <c r="E778" s="15" t="s">
        <v>1551</v>
      </c>
      <c r="F778" s="174">
        <f>VLOOKUP(D778,原始分!$D:$N,3,0)</f>
        <v>108.5</v>
      </c>
      <c r="G778" s="174">
        <f t="shared" si="159"/>
        <v>70</v>
      </c>
      <c r="H778" s="174">
        <f>VLOOKUP(D778,原始分!$D:$N,4,0)</f>
        <v>95</v>
      </c>
      <c r="I778" s="174">
        <f t="shared" si="160"/>
        <v>510</v>
      </c>
      <c r="J778" s="174">
        <f>VLOOKUP(D778,原始分!$D:$N,5,0)</f>
        <v>123.25</v>
      </c>
      <c r="K778" s="174">
        <f t="shared" si="161"/>
        <v>18</v>
      </c>
      <c r="L778" s="174">
        <f>VLOOKUP(D778,原始分!$D:$N,6,0)</f>
        <v>0</v>
      </c>
      <c r="M778" s="174">
        <f t="shared" si="162"/>
        <v>664</v>
      </c>
      <c r="N778" s="174">
        <f>VLOOKUP(D778,原始分!$D:$N,7,0)</f>
        <v>61.5</v>
      </c>
      <c r="O778" s="174">
        <f t="shared" si="163"/>
        <v>56</v>
      </c>
      <c r="P778" s="174">
        <f>VLOOKUP(D778,原始分!$D:$N,8,0)</f>
        <v>0</v>
      </c>
      <c r="Q778" s="174">
        <f t="shared" si="164"/>
        <v>541</v>
      </c>
      <c r="R778" s="174">
        <f>VLOOKUP(D778,原始分!$D:$N,9,0)</f>
        <v>54.5</v>
      </c>
      <c r="S778" s="174">
        <f t="shared" si="165"/>
        <v>84</v>
      </c>
      <c r="T778" s="174">
        <f>VLOOKUP(D778,原始分!$D:$N,10,0)</f>
        <v>59.5</v>
      </c>
      <c r="U778" s="174">
        <f t="shared" si="166"/>
        <v>116</v>
      </c>
      <c r="V778" s="174">
        <f>VLOOKUP(D778,原始分!$D:$N,11,0)</f>
        <v>0</v>
      </c>
      <c r="W778" s="174">
        <f t="shared" si="167"/>
        <v>565</v>
      </c>
      <c r="X778" s="11">
        <f t="shared" si="168"/>
        <v>326.75</v>
      </c>
      <c r="Y778" s="9">
        <f t="shared" si="169"/>
        <v>106</v>
      </c>
      <c r="Z778" s="11">
        <f t="shared" si="170"/>
        <v>502.25</v>
      </c>
      <c r="AA778" s="9">
        <f t="shared" si="158"/>
        <v>37</v>
      </c>
    </row>
    <row r="779" ht="14.25" spans="1:27">
      <c r="A779" s="13">
        <v>777</v>
      </c>
      <c r="B779" s="15">
        <v>16</v>
      </c>
      <c r="C779" s="16">
        <v>34</v>
      </c>
      <c r="D779" s="15" t="s">
        <v>1552</v>
      </c>
      <c r="E779" s="15" t="s">
        <v>1553</v>
      </c>
      <c r="F779" s="174">
        <f>VLOOKUP(D779,原始分!$D:$N,3,0)</f>
        <v>107.5</v>
      </c>
      <c r="G779" s="174">
        <f t="shared" si="159"/>
        <v>93</v>
      </c>
      <c r="H779" s="174">
        <f>VLOOKUP(D779,原始分!$D:$N,4,0)</f>
        <v>119</v>
      </c>
      <c r="I779" s="174">
        <f t="shared" si="160"/>
        <v>77</v>
      </c>
      <c r="J779" s="174">
        <f>VLOOKUP(D779,原始分!$D:$N,5,0)</f>
        <v>114</v>
      </c>
      <c r="K779" s="174">
        <f t="shared" si="161"/>
        <v>116</v>
      </c>
      <c r="L779" s="174">
        <f>VLOOKUP(D779,原始分!$D:$N,6,0)</f>
        <v>0</v>
      </c>
      <c r="M779" s="174">
        <f t="shared" si="162"/>
        <v>664</v>
      </c>
      <c r="N779" s="174">
        <f>VLOOKUP(D779,原始分!$D:$N,7,0)</f>
        <v>70.5</v>
      </c>
      <c r="O779" s="174">
        <f t="shared" si="163"/>
        <v>7</v>
      </c>
      <c r="P779" s="174">
        <f>VLOOKUP(D779,原始分!$D:$N,8,0)</f>
        <v>0</v>
      </c>
      <c r="Q779" s="174">
        <f t="shared" si="164"/>
        <v>541</v>
      </c>
      <c r="R779" s="174">
        <f>VLOOKUP(D779,原始分!$D:$N,9,0)</f>
        <v>65.5</v>
      </c>
      <c r="S779" s="174">
        <f t="shared" si="165"/>
        <v>5</v>
      </c>
      <c r="T779" s="174">
        <f>VLOOKUP(D779,原始分!$D:$N,10,0)</f>
        <v>60</v>
      </c>
      <c r="U779" s="174">
        <f t="shared" si="166"/>
        <v>108</v>
      </c>
      <c r="V779" s="174">
        <f>VLOOKUP(D779,原始分!$D:$N,11,0)</f>
        <v>0</v>
      </c>
      <c r="W779" s="174">
        <f t="shared" si="167"/>
        <v>565</v>
      </c>
      <c r="X779" s="11">
        <f t="shared" si="168"/>
        <v>340.5</v>
      </c>
      <c r="Y779" s="9">
        <f t="shared" si="169"/>
        <v>39</v>
      </c>
      <c r="Z779" s="11">
        <f t="shared" si="170"/>
        <v>536.5</v>
      </c>
      <c r="AA779" s="9">
        <f t="shared" si="158"/>
        <v>5</v>
      </c>
    </row>
    <row r="780" ht="14.25" spans="1:27">
      <c r="A780" s="13">
        <v>778</v>
      </c>
      <c r="B780" s="15">
        <v>16</v>
      </c>
      <c r="C780" s="16">
        <v>35</v>
      </c>
      <c r="D780" s="15" t="s">
        <v>1554</v>
      </c>
      <c r="E780" s="15" t="s">
        <v>1555</v>
      </c>
      <c r="F780" s="174">
        <f>VLOOKUP(D780,原始分!$D:$N,3,0)</f>
        <v>101.25</v>
      </c>
      <c r="G780" s="174">
        <f t="shared" si="159"/>
        <v>334</v>
      </c>
      <c r="H780" s="174">
        <f>VLOOKUP(D780,原始分!$D:$N,4,0)</f>
        <v>107.5</v>
      </c>
      <c r="I780" s="174">
        <f t="shared" si="160"/>
        <v>267</v>
      </c>
      <c r="J780" s="174">
        <f>VLOOKUP(D780,原始分!$D:$N,5,0)</f>
        <v>120.5</v>
      </c>
      <c r="K780" s="174">
        <f t="shared" si="161"/>
        <v>38</v>
      </c>
      <c r="L780" s="174">
        <f>VLOOKUP(D780,原始分!$D:$N,6,0)</f>
        <v>0</v>
      </c>
      <c r="M780" s="174">
        <f t="shared" si="162"/>
        <v>664</v>
      </c>
      <c r="N780" s="174">
        <f>VLOOKUP(D780,原始分!$D:$N,7,0)</f>
        <v>58.5</v>
      </c>
      <c r="O780" s="174">
        <f t="shared" si="163"/>
        <v>80</v>
      </c>
      <c r="P780" s="174">
        <f>VLOOKUP(D780,原始分!$D:$N,8,0)</f>
        <v>0</v>
      </c>
      <c r="Q780" s="174">
        <f t="shared" si="164"/>
        <v>541</v>
      </c>
      <c r="R780" s="174">
        <f>VLOOKUP(D780,原始分!$D:$N,9,0)</f>
        <v>53</v>
      </c>
      <c r="S780" s="174">
        <f t="shared" si="165"/>
        <v>108</v>
      </c>
      <c r="T780" s="174">
        <f>VLOOKUP(D780,原始分!$D:$N,10,0)</f>
        <v>53.25</v>
      </c>
      <c r="U780" s="174">
        <f t="shared" si="166"/>
        <v>217</v>
      </c>
      <c r="V780" s="174">
        <f>VLOOKUP(D780,原始分!$D:$N,11,0)</f>
        <v>0</v>
      </c>
      <c r="W780" s="174">
        <f t="shared" si="167"/>
        <v>565</v>
      </c>
      <c r="X780" s="11">
        <f t="shared" si="168"/>
        <v>329.25</v>
      </c>
      <c r="Y780" s="9">
        <f t="shared" si="169"/>
        <v>96</v>
      </c>
      <c r="Z780" s="11">
        <f t="shared" si="170"/>
        <v>494</v>
      </c>
      <c r="AA780" s="9">
        <f t="shared" si="158"/>
        <v>47</v>
      </c>
    </row>
    <row r="781" ht="14.25" spans="1:27">
      <c r="A781" s="13">
        <v>779</v>
      </c>
      <c r="B781" s="15">
        <v>16</v>
      </c>
      <c r="C781" s="16">
        <v>36</v>
      </c>
      <c r="D781" s="15" t="s">
        <v>1556</v>
      </c>
      <c r="E781" s="15" t="s">
        <v>1557</v>
      </c>
      <c r="F781" s="174">
        <f>VLOOKUP(D781,原始分!$D:$N,3,0)</f>
        <v>112.5</v>
      </c>
      <c r="G781" s="174">
        <f t="shared" si="159"/>
        <v>25</v>
      </c>
      <c r="H781" s="174">
        <f>VLOOKUP(D781,原始分!$D:$N,4,0)</f>
        <v>94</v>
      </c>
      <c r="I781" s="174">
        <f t="shared" si="160"/>
        <v>538</v>
      </c>
      <c r="J781" s="174">
        <f>VLOOKUP(D781,原始分!$D:$N,5,0)</f>
        <v>118.5</v>
      </c>
      <c r="K781" s="174">
        <f t="shared" si="161"/>
        <v>58</v>
      </c>
      <c r="L781" s="174">
        <f>VLOOKUP(D781,原始分!$D:$N,6,0)</f>
        <v>0</v>
      </c>
      <c r="M781" s="174">
        <f t="shared" si="162"/>
        <v>664</v>
      </c>
      <c r="N781" s="174">
        <f>VLOOKUP(D781,原始分!$D:$N,7,0)</f>
        <v>67</v>
      </c>
      <c r="O781" s="174">
        <f t="shared" si="163"/>
        <v>18</v>
      </c>
      <c r="P781" s="174">
        <f>VLOOKUP(D781,原始分!$D:$N,8,0)</f>
        <v>0</v>
      </c>
      <c r="Q781" s="174">
        <f t="shared" si="164"/>
        <v>541</v>
      </c>
      <c r="R781" s="174">
        <f>VLOOKUP(D781,原始分!$D:$N,9,0)</f>
        <v>44.5</v>
      </c>
      <c r="S781" s="174">
        <f t="shared" si="165"/>
        <v>244</v>
      </c>
      <c r="T781" s="174">
        <f>VLOOKUP(D781,原始分!$D:$N,10,0)</f>
        <v>62</v>
      </c>
      <c r="U781" s="174">
        <f t="shared" si="166"/>
        <v>81</v>
      </c>
      <c r="V781" s="174">
        <f>VLOOKUP(D781,原始分!$D:$N,11,0)</f>
        <v>0</v>
      </c>
      <c r="W781" s="174">
        <f t="shared" si="167"/>
        <v>565</v>
      </c>
      <c r="X781" s="11">
        <f t="shared" si="168"/>
        <v>325</v>
      </c>
      <c r="Y781" s="9">
        <f t="shared" si="169"/>
        <v>122</v>
      </c>
      <c r="Z781" s="11">
        <f t="shared" si="170"/>
        <v>498.5</v>
      </c>
      <c r="AA781" s="9">
        <f t="shared" si="158"/>
        <v>40</v>
      </c>
    </row>
    <row r="782" ht="14.25" spans="1:27">
      <c r="A782" s="13">
        <v>780</v>
      </c>
      <c r="B782" s="15">
        <v>16</v>
      </c>
      <c r="C782" s="16">
        <v>37</v>
      </c>
      <c r="D782" s="15" t="s">
        <v>1558</v>
      </c>
      <c r="E782" s="15" t="s">
        <v>1559</v>
      </c>
      <c r="F782" s="174">
        <f>VLOOKUP(D782,原始分!$D:$N,3,0)</f>
        <v>118</v>
      </c>
      <c r="G782" s="174">
        <f t="shared" si="159"/>
        <v>3</v>
      </c>
      <c r="H782" s="174">
        <f>VLOOKUP(D782,原始分!$D:$N,4,0)</f>
        <v>109</v>
      </c>
      <c r="I782" s="174">
        <f t="shared" si="160"/>
        <v>241</v>
      </c>
      <c r="J782" s="174">
        <f>VLOOKUP(D782,原始分!$D:$N,5,0)</f>
        <v>116.25</v>
      </c>
      <c r="K782" s="174">
        <f t="shared" si="161"/>
        <v>84</v>
      </c>
      <c r="L782" s="174">
        <f>VLOOKUP(D782,原始分!$D:$N,6,0)</f>
        <v>0</v>
      </c>
      <c r="M782" s="174">
        <f t="shared" si="162"/>
        <v>664</v>
      </c>
      <c r="N782" s="174">
        <f>VLOOKUP(D782,原始分!$D:$N,7,0)</f>
        <v>71.5</v>
      </c>
      <c r="O782" s="174">
        <f t="shared" si="163"/>
        <v>4</v>
      </c>
      <c r="P782" s="174">
        <f>VLOOKUP(D782,原始分!$D:$N,8,0)</f>
        <v>0</v>
      </c>
      <c r="Q782" s="174">
        <f t="shared" si="164"/>
        <v>541</v>
      </c>
      <c r="R782" s="174">
        <f>VLOOKUP(D782,原始分!$D:$N,9,0)</f>
        <v>47</v>
      </c>
      <c r="S782" s="174">
        <f t="shared" si="165"/>
        <v>208</v>
      </c>
      <c r="T782" s="174">
        <f>VLOOKUP(D782,原始分!$D:$N,10,0)</f>
        <v>61.5</v>
      </c>
      <c r="U782" s="174">
        <f t="shared" si="166"/>
        <v>89</v>
      </c>
      <c r="V782" s="174">
        <f>VLOOKUP(D782,原始分!$D:$N,11,0)</f>
        <v>0</v>
      </c>
      <c r="W782" s="174">
        <f t="shared" si="167"/>
        <v>565</v>
      </c>
      <c r="X782" s="11">
        <f t="shared" si="168"/>
        <v>343.25</v>
      </c>
      <c r="Y782" s="9">
        <f t="shared" si="169"/>
        <v>31</v>
      </c>
      <c r="Z782" s="11">
        <f t="shared" si="170"/>
        <v>523.25</v>
      </c>
      <c r="AA782" s="9">
        <f t="shared" si="158"/>
        <v>13</v>
      </c>
    </row>
    <row r="783" ht="14.25" spans="1:27">
      <c r="A783" s="13">
        <v>781</v>
      </c>
      <c r="B783" s="15">
        <v>16</v>
      </c>
      <c r="C783" s="16">
        <v>38</v>
      </c>
      <c r="D783" s="15" t="s">
        <v>1560</v>
      </c>
      <c r="E783" s="15" t="s">
        <v>1561</v>
      </c>
      <c r="F783" s="174">
        <f>VLOOKUP(D783,原始分!$D:$N,3,0)</f>
        <v>90</v>
      </c>
      <c r="G783" s="174">
        <f t="shared" si="159"/>
        <v>778</v>
      </c>
      <c r="H783" s="174">
        <f>VLOOKUP(D783,原始分!$D:$N,4,0)</f>
        <v>116.5</v>
      </c>
      <c r="I783" s="174">
        <f t="shared" si="160"/>
        <v>106</v>
      </c>
      <c r="J783" s="174">
        <f>VLOOKUP(D783,原始分!$D:$N,5,0)</f>
        <v>125</v>
      </c>
      <c r="K783" s="174">
        <f t="shared" si="161"/>
        <v>11</v>
      </c>
      <c r="L783" s="174">
        <f>VLOOKUP(D783,原始分!$D:$N,6,0)</f>
        <v>0</v>
      </c>
      <c r="M783" s="174">
        <f t="shared" si="162"/>
        <v>664</v>
      </c>
      <c r="N783" s="174">
        <f>VLOOKUP(D783,原始分!$D:$N,7,0)</f>
        <v>67</v>
      </c>
      <c r="O783" s="174">
        <f t="shared" si="163"/>
        <v>18</v>
      </c>
      <c r="P783" s="174">
        <f>VLOOKUP(D783,原始分!$D:$N,8,0)</f>
        <v>0</v>
      </c>
      <c r="Q783" s="174">
        <f t="shared" si="164"/>
        <v>541</v>
      </c>
      <c r="R783" s="174">
        <f>VLOOKUP(D783,原始分!$D:$N,9,0)</f>
        <v>50</v>
      </c>
      <c r="S783" s="174">
        <f t="shared" si="165"/>
        <v>154</v>
      </c>
      <c r="T783" s="174">
        <f>VLOOKUP(D783,原始分!$D:$N,10,0)</f>
        <v>60</v>
      </c>
      <c r="U783" s="174">
        <f t="shared" si="166"/>
        <v>108</v>
      </c>
      <c r="V783" s="174">
        <f>VLOOKUP(D783,原始分!$D:$N,11,0)</f>
        <v>0</v>
      </c>
      <c r="W783" s="174">
        <f t="shared" si="167"/>
        <v>565</v>
      </c>
      <c r="X783" s="11">
        <f t="shared" si="168"/>
        <v>331.5</v>
      </c>
      <c r="Y783" s="9">
        <f t="shared" si="169"/>
        <v>81</v>
      </c>
      <c r="Z783" s="11">
        <f t="shared" si="170"/>
        <v>508.5</v>
      </c>
      <c r="AA783" s="9">
        <f t="shared" si="158"/>
        <v>30</v>
      </c>
    </row>
    <row r="784" ht="14.25" spans="1:27">
      <c r="A784" s="13">
        <v>782</v>
      </c>
      <c r="B784" s="15">
        <v>16</v>
      </c>
      <c r="C784" s="16">
        <v>39</v>
      </c>
      <c r="D784" s="15" t="s">
        <v>1562</v>
      </c>
      <c r="E784" s="15" t="s">
        <v>1563</v>
      </c>
      <c r="F784" s="174">
        <f>VLOOKUP(D784,原始分!$D:$N,3,0)</f>
        <v>106</v>
      </c>
      <c r="G784" s="174">
        <f t="shared" si="159"/>
        <v>145</v>
      </c>
      <c r="H784" s="174">
        <f>VLOOKUP(D784,原始分!$D:$N,4,0)</f>
        <v>95.5</v>
      </c>
      <c r="I784" s="174">
        <f t="shared" si="160"/>
        <v>502</v>
      </c>
      <c r="J784" s="174">
        <f>VLOOKUP(D784,原始分!$D:$N,5,0)</f>
        <v>117</v>
      </c>
      <c r="K784" s="174">
        <f t="shared" si="161"/>
        <v>77</v>
      </c>
      <c r="L784" s="174">
        <f>VLOOKUP(D784,原始分!$D:$N,6,0)</f>
        <v>0</v>
      </c>
      <c r="M784" s="174">
        <f t="shared" si="162"/>
        <v>664</v>
      </c>
      <c r="N784" s="174">
        <f>VLOOKUP(D784,原始分!$D:$N,7,0)</f>
        <v>56</v>
      </c>
      <c r="O784" s="174">
        <f t="shared" si="163"/>
        <v>107</v>
      </c>
      <c r="P784" s="174">
        <f>VLOOKUP(D784,原始分!$D:$N,8,0)</f>
        <v>0</v>
      </c>
      <c r="Q784" s="174">
        <f t="shared" si="164"/>
        <v>541</v>
      </c>
      <c r="R784" s="174">
        <f>VLOOKUP(D784,原始分!$D:$N,9,0)</f>
        <v>56.5</v>
      </c>
      <c r="S784" s="174">
        <f t="shared" si="165"/>
        <v>56</v>
      </c>
      <c r="T784" s="174">
        <f>VLOOKUP(D784,原始分!$D:$N,10,0)</f>
        <v>52.5</v>
      </c>
      <c r="U784" s="174">
        <f t="shared" si="166"/>
        <v>225</v>
      </c>
      <c r="V784" s="174">
        <f>VLOOKUP(D784,原始分!$D:$N,11,0)</f>
        <v>0</v>
      </c>
      <c r="W784" s="174">
        <f t="shared" si="167"/>
        <v>565</v>
      </c>
      <c r="X784" s="11">
        <f t="shared" si="168"/>
        <v>318.5</v>
      </c>
      <c r="Y784" s="9">
        <f t="shared" si="169"/>
        <v>171</v>
      </c>
      <c r="Z784" s="11">
        <f t="shared" si="170"/>
        <v>483.5</v>
      </c>
      <c r="AA784" s="9">
        <f t="shared" si="158"/>
        <v>67</v>
      </c>
    </row>
    <row r="785" ht="14.25" spans="1:27">
      <c r="A785" s="13">
        <v>783</v>
      </c>
      <c r="B785" s="15">
        <v>16</v>
      </c>
      <c r="C785" s="16">
        <v>40</v>
      </c>
      <c r="D785" s="15" t="s">
        <v>1564</v>
      </c>
      <c r="E785" s="15" t="s">
        <v>1565</v>
      </c>
      <c r="F785" s="174">
        <f>VLOOKUP(D785,原始分!$D:$N,3,0)</f>
        <v>99.25</v>
      </c>
      <c r="G785" s="174">
        <f t="shared" si="159"/>
        <v>440</v>
      </c>
      <c r="H785" s="174">
        <f>VLOOKUP(D785,原始分!$D:$N,4,0)</f>
        <v>95.5</v>
      </c>
      <c r="I785" s="174">
        <f t="shared" si="160"/>
        <v>502</v>
      </c>
      <c r="J785" s="174">
        <f>VLOOKUP(D785,原始分!$D:$N,5,0)</f>
        <v>120.5</v>
      </c>
      <c r="K785" s="174">
        <f t="shared" si="161"/>
        <v>38</v>
      </c>
      <c r="L785" s="174">
        <f>VLOOKUP(D785,原始分!$D:$N,6,0)</f>
        <v>0</v>
      </c>
      <c r="M785" s="174">
        <f t="shared" si="162"/>
        <v>664</v>
      </c>
      <c r="N785" s="174">
        <f>VLOOKUP(D785,原始分!$D:$N,7,0)</f>
        <v>68</v>
      </c>
      <c r="O785" s="174">
        <f t="shared" si="163"/>
        <v>16</v>
      </c>
      <c r="P785" s="174">
        <f>VLOOKUP(D785,原始分!$D:$N,8,0)</f>
        <v>0</v>
      </c>
      <c r="Q785" s="174">
        <f t="shared" si="164"/>
        <v>541</v>
      </c>
      <c r="R785" s="174">
        <f>VLOOKUP(D785,原始分!$D:$N,9,0)</f>
        <v>48</v>
      </c>
      <c r="S785" s="174">
        <f t="shared" si="165"/>
        <v>193</v>
      </c>
      <c r="T785" s="174">
        <f>VLOOKUP(D785,原始分!$D:$N,10,0)</f>
        <v>64.5</v>
      </c>
      <c r="U785" s="174">
        <f t="shared" si="166"/>
        <v>55</v>
      </c>
      <c r="V785" s="174">
        <f>VLOOKUP(D785,原始分!$D:$N,11,0)</f>
        <v>0</v>
      </c>
      <c r="W785" s="174">
        <f t="shared" si="167"/>
        <v>565</v>
      </c>
      <c r="X785" s="11">
        <f t="shared" si="168"/>
        <v>315.25</v>
      </c>
      <c r="Y785" s="9">
        <f t="shared" si="169"/>
        <v>202</v>
      </c>
      <c r="Z785" s="11">
        <f t="shared" si="170"/>
        <v>495.75</v>
      </c>
      <c r="AA785" s="9">
        <f t="shared" si="158"/>
        <v>45</v>
      </c>
    </row>
    <row r="786" ht="14.25" spans="1:27">
      <c r="A786" s="13">
        <v>784</v>
      </c>
      <c r="B786" s="15">
        <v>17</v>
      </c>
      <c r="C786" s="16">
        <v>1</v>
      </c>
      <c r="D786" s="15" t="s">
        <v>1566</v>
      </c>
      <c r="E786" s="15" t="s">
        <v>1567</v>
      </c>
      <c r="F786" s="174">
        <f>VLOOKUP(D786,原始分!$D:$N,3,0)</f>
        <v>104.5</v>
      </c>
      <c r="G786" s="174">
        <f t="shared" si="159"/>
        <v>190</v>
      </c>
      <c r="H786" s="174">
        <f>VLOOKUP(D786,原始分!$D:$N,4,0)</f>
        <v>84</v>
      </c>
      <c r="I786" s="174">
        <f t="shared" si="160"/>
        <v>714</v>
      </c>
      <c r="J786" s="174">
        <f>VLOOKUP(D786,原始分!$D:$N,5,0)</f>
        <v>106</v>
      </c>
      <c r="K786" s="174">
        <f t="shared" si="161"/>
        <v>245</v>
      </c>
      <c r="L786" s="174">
        <f>VLOOKUP(D786,原始分!$D:$N,6,0)</f>
        <v>0</v>
      </c>
      <c r="M786" s="174">
        <f t="shared" si="162"/>
        <v>664</v>
      </c>
      <c r="N786" s="174">
        <f>VLOOKUP(D786,原始分!$D:$N,7,0)</f>
        <v>51.5</v>
      </c>
      <c r="O786" s="174">
        <f t="shared" si="163"/>
        <v>150</v>
      </c>
      <c r="P786" s="174">
        <f>VLOOKUP(D786,原始分!$D:$N,8,0)</f>
        <v>0</v>
      </c>
      <c r="Q786" s="174">
        <f t="shared" si="164"/>
        <v>541</v>
      </c>
      <c r="R786" s="174">
        <f>VLOOKUP(D786,原始分!$D:$N,9,0)</f>
        <v>51.5</v>
      </c>
      <c r="S786" s="174">
        <f t="shared" si="165"/>
        <v>132</v>
      </c>
      <c r="T786" s="174">
        <f>VLOOKUP(D786,原始分!$D:$N,10,0)</f>
        <v>56.5</v>
      </c>
      <c r="U786" s="174">
        <f t="shared" si="166"/>
        <v>172</v>
      </c>
      <c r="V786" s="174">
        <f>VLOOKUP(D786,原始分!$D:$N,11,0)</f>
        <v>0</v>
      </c>
      <c r="W786" s="174">
        <f t="shared" si="167"/>
        <v>565</v>
      </c>
      <c r="X786" s="11">
        <f t="shared" si="168"/>
        <v>294.5</v>
      </c>
      <c r="Y786" s="9">
        <f t="shared" si="169"/>
        <v>436</v>
      </c>
      <c r="Z786" s="11">
        <f t="shared" si="170"/>
        <v>454</v>
      </c>
      <c r="AA786" s="9">
        <f t="shared" si="158"/>
        <v>125</v>
      </c>
    </row>
    <row r="787" ht="14.25" spans="1:27">
      <c r="A787" s="13">
        <v>785</v>
      </c>
      <c r="B787" s="15">
        <v>17</v>
      </c>
      <c r="C787" s="16">
        <v>2</v>
      </c>
      <c r="D787" s="15" t="s">
        <v>1568</v>
      </c>
      <c r="E787" s="15" t="s">
        <v>1569</v>
      </c>
      <c r="F787" s="174">
        <f>VLOOKUP(D787,原始分!$D:$N,3,0)</f>
        <v>94</v>
      </c>
      <c r="G787" s="174">
        <f t="shared" si="159"/>
        <v>661</v>
      </c>
      <c r="H787" s="174">
        <f>VLOOKUP(D787,原始分!$D:$N,4,0)</f>
        <v>106.5</v>
      </c>
      <c r="I787" s="174">
        <f t="shared" si="160"/>
        <v>286</v>
      </c>
      <c r="J787" s="174">
        <f>VLOOKUP(D787,原始分!$D:$N,5,0)</f>
        <v>70.25</v>
      </c>
      <c r="K787" s="174">
        <f t="shared" si="161"/>
        <v>827</v>
      </c>
      <c r="L787" s="174">
        <f>VLOOKUP(D787,原始分!$D:$N,6,0)</f>
        <v>0</v>
      </c>
      <c r="M787" s="174">
        <f t="shared" si="162"/>
        <v>664</v>
      </c>
      <c r="N787" s="174">
        <f>VLOOKUP(D787,原始分!$D:$N,7,0)</f>
        <v>55.5</v>
      </c>
      <c r="O787" s="174">
        <f t="shared" si="163"/>
        <v>118</v>
      </c>
      <c r="P787" s="174">
        <f>VLOOKUP(D787,原始分!$D:$N,8,0)</f>
        <v>0</v>
      </c>
      <c r="Q787" s="174">
        <f t="shared" si="164"/>
        <v>541</v>
      </c>
      <c r="R787" s="174">
        <f>VLOOKUP(D787,原始分!$D:$N,9,0)</f>
        <v>49.5</v>
      </c>
      <c r="S787" s="174">
        <f t="shared" si="165"/>
        <v>164</v>
      </c>
      <c r="T787" s="174">
        <f>VLOOKUP(D787,原始分!$D:$N,10,0)</f>
        <v>56.5</v>
      </c>
      <c r="U787" s="174">
        <f t="shared" si="166"/>
        <v>172</v>
      </c>
      <c r="V787" s="174">
        <f>VLOOKUP(D787,原始分!$D:$N,11,0)</f>
        <v>0</v>
      </c>
      <c r="W787" s="174">
        <f t="shared" si="167"/>
        <v>565</v>
      </c>
      <c r="X787" s="11">
        <f t="shared" si="168"/>
        <v>270.75</v>
      </c>
      <c r="Y787" s="9">
        <f t="shared" si="169"/>
        <v>691</v>
      </c>
      <c r="Z787" s="11">
        <f t="shared" si="170"/>
        <v>432.25</v>
      </c>
      <c r="AA787" s="9">
        <f t="shared" si="158"/>
        <v>160</v>
      </c>
    </row>
    <row r="788" ht="14.25" spans="1:27">
      <c r="A788" s="13">
        <v>786</v>
      </c>
      <c r="B788" s="15">
        <v>17</v>
      </c>
      <c r="C788" s="16">
        <v>3</v>
      </c>
      <c r="D788" s="15" t="s">
        <v>1570</v>
      </c>
      <c r="E788" s="15" t="s">
        <v>1571</v>
      </c>
      <c r="F788" s="174">
        <f>VLOOKUP(D788,原始分!$D:$N,3,0)</f>
        <v>104</v>
      </c>
      <c r="G788" s="174">
        <f t="shared" si="159"/>
        <v>209</v>
      </c>
      <c r="H788" s="174">
        <f>VLOOKUP(D788,原始分!$D:$N,4,0)</f>
        <v>90</v>
      </c>
      <c r="I788" s="174">
        <f t="shared" si="160"/>
        <v>614</v>
      </c>
      <c r="J788" s="174">
        <f>VLOOKUP(D788,原始分!$D:$N,5,0)</f>
        <v>96.5</v>
      </c>
      <c r="K788" s="174">
        <f t="shared" si="161"/>
        <v>455</v>
      </c>
      <c r="L788" s="174">
        <f>VLOOKUP(D788,原始分!$D:$N,6,0)</f>
        <v>0</v>
      </c>
      <c r="M788" s="174">
        <f t="shared" si="162"/>
        <v>664</v>
      </c>
      <c r="N788" s="174">
        <f>VLOOKUP(D788,原始分!$D:$N,7,0)</f>
        <v>50.5</v>
      </c>
      <c r="O788" s="174">
        <f t="shared" si="163"/>
        <v>164</v>
      </c>
      <c r="P788" s="174">
        <f>VLOOKUP(D788,原始分!$D:$N,8,0)</f>
        <v>0</v>
      </c>
      <c r="Q788" s="174">
        <f t="shared" si="164"/>
        <v>541</v>
      </c>
      <c r="R788" s="174">
        <f>VLOOKUP(D788,原始分!$D:$N,9,0)</f>
        <v>51.5</v>
      </c>
      <c r="S788" s="174">
        <f t="shared" si="165"/>
        <v>132</v>
      </c>
      <c r="T788" s="174">
        <f>VLOOKUP(D788,原始分!$D:$N,10,0)</f>
        <v>60</v>
      </c>
      <c r="U788" s="174">
        <f t="shared" si="166"/>
        <v>108</v>
      </c>
      <c r="V788" s="174">
        <f>VLOOKUP(D788,原始分!$D:$N,11,0)</f>
        <v>0</v>
      </c>
      <c r="W788" s="174">
        <f t="shared" si="167"/>
        <v>565</v>
      </c>
      <c r="X788" s="11">
        <f t="shared" si="168"/>
        <v>290.5</v>
      </c>
      <c r="Y788" s="9">
        <f t="shared" si="169"/>
        <v>490</v>
      </c>
      <c r="Z788" s="11">
        <f t="shared" si="170"/>
        <v>452.5</v>
      </c>
      <c r="AA788" s="9">
        <f t="shared" si="158"/>
        <v>129</v>
      </c>
    </row>
    <row r="789" ht="14.25" spans="1:27">
      <c r="A789" s="13">
        <v>787</v>
      </c>
      <c r="B789" s="15">
        <v>17</v>
      </c>
      <c r="C789" s="16">
        <v>6</v>
      </c>
      <c r="D789" s="15" t="s">
        <v>1572</v>
      </c>
      <c r="E789" s="15" t="s">
        <v>1573</v>
      </c>
      <c r="F789" s="174">
        <f>VLOOKUP(D789,原始分!$D:$N,3,0)</f>
        <v>92</v>
      </c>
      <c r="G789" s="174">
        <f t="shared" si="159"/>
        <v>723</v>
      </c>
      <c r="H789" s="174">
        <f>VLOOKUP(D789,原始分!$D:$N,4,0)</f>
        <v>72</v>
      </c>
      <c r="I789" s="174">
        <f t="shared" si="160"/>
        <v>807</v>
      </c>
      <c r="J789" s="174">
        <f>VLOOKUP(D789,原始分!$D:$N,5,0)</f>
        <v>115.5</v>
      </c>
      <c r="K789" s="174">
        <f t="shared" si="161"/>
        <v>94</v>
      </c>
      <c r="L789" s="174">
        <f>VLOOKUP(D789,原始分!$D:$N,6,0)</f>
        <v>0</v>
      </c>
      <c r="M789" s="174">
        <f t="shared" si="162"/>
        <v>664</v>
      </c>
      <c r="N789" s="174">
        <f>VLOOKUP(D789,原始分!$D:$N,7,0)</f>
        <v>60.5</v>
      </c>
      <c r="O789" s="174">
        <f t="shared" si="163"/>
        <v>63</v>
      </c>
      <c r="P789" s="174">
        <f>VLOOKUP(D789,原始分!$D:$N,8,0)</f>
        <v>0</v>
      </c>
      <c r="Q789" s="174">
        <f t="shared" si="164"/>
        <v>541</v>
      </c>
      <c r="R789" s="174">
        <f>VLOOKUP(D789,原始分!$D:$N,9,0)</f>
        <v>37.5</v>
      </c>
      <c r="S789" s="174">
        <f t="shared" si="165"/>
        <v>307</v>
      </c>
      <c r="T789" s="174">
        <f>VLOOKUP(D789,原始分!$D:$N,10,0)</f>
        <v>66</v>
      </c>
      <c r="U789" s="174">
        <f t="shared" si="166"/>
        <v>37</v>
      </c>
      <c r="V789" s="174">
        <f>VLOOKUP(D789,原始分!$D:$N,11,0)</f>
        <v>0</v>
      </c>
      <c r="W789" s="174">
        <f t="shared" si="167"/>
        <v>565</v>
      </c>
      <c r="X789" s="11">
        <f t="shared" si="168"/>
        <v>279.5</v>
      </c>
      <c r="Y789" s="9">
        <f t="shared" si="169"/>
        <v>601</v>
      </c>
      <c r="Z789" s="11">
        <f t="shared" si="170"/>
        <v>443.5</v>
      </c>
      <c r="AA789" s="9">
        <f t="shared" si="158"/>
        <v>144</v>
      </c>
    </row>
    <row r="790" ht="14.25" spans="1:27">
      <c r="A790" s="13">
        <v>788</v>
      </c>
      <c r="B790" s="15">
        <v>17</v>
      </c>
      <c r="C790" s="16">
        <v>7</v>
      </c>
      <c r="D790" s="15" t="s">
        <v>1574</v>
      </c>
      <c r="E790" s="15" t="s">
        <v>1575</v>
      </c>
      <c r="F790" s="174">
        <f>VLOOKUP(D790,原始分!$D:$N,3,0)</f>
        <v>102.25</v>
      </c>
      <c r="G790" s="174">
        <f t="shared" si="159"/>
        <v>300</v>
      </c>
      <c r="H790" s="174">
        <f>VLOOKUP(D790,原始分!$D:$N,4,0)</f>
        <v>99</v>
      </c>
      <c r="I790" s="174">
        <f t="shared" si="160"/>
        <v>433</v>
      </c>
      <c r="J790" s="174">
        <f>VLOOKUP(D790,原始分!$D:$N,5,0)</f>
        <v>89.25</v>
      </c>
      <c r="K790" s="174">
        <f t="shared" si="161"/>
        <v>596</v>
      </c>
      <c r="L790" s="174">
        <f>VLOOKUP(D790,原始分!$D:$N,6,0)</f>
        <v>0</v>
      </c>
      <c r="M790" s="174">
        <f t="shared" si="162"/>
        <v>664</v>
      </c>
      <c r="N790" s="174">
        <f>VLOOKUP(D790,原始分!$D:$N,7,0)</f>
        <v>56</v>
      </c>
      <c r="O790" s="174">
        <f t="shared" si="163"/>
        <v>107</v>
      </c>
      <c r="P790" s="174">
        <f>VLOOKUP(D790,原始分!$D:$N,8,0)</f>
        <v>0</v>
      </c>
      <c r="Q790" s="174">
        <f t="shared" si="164"/>
        <v>541</v>
      </c>
      <c r="R790" s="174">
        <f>VLOOKUP(D790,原始分!$D:$N,9,0)</f>
        <v>52.5</v>
      </c>
      <c r="S790" s="174">
        <f t="shared" si="165"/>
        <v>118</v>
      </c>
      <c r="T790" s="174">
        <f>VLOOKUP(D790,原始分!$D:$N,10,0)</f>
        <v>47.5</v>
      </c>
      <c r="U790" s="174">
        <f t="shared" si="166"/>
        <v>278</v>
      </c>
      <c r="V790" s="174">
        <f>VLOOKUP(D790,原始分!$D:$N,11,0)</f>
        <v>0</v>
      </c>
      <c r="W790" s="174">
        <f t="shared" si="167"/>
        <v>565</v>
      </c>
      <c r="X790" s="11">
        <f t="shared" si="168"/>
        <v>290.5</v>
      </c>
      <c r="Y790" s="9">
        <f t="shared" si="169"/>
        <v>490</v>
      </c>
      <c r="Z790" s="11">
        <f t="shared" si="170"/>
        <v>446.5</v>
      </c>
      <c r="AA790" s="9">
        <f t="shared" si="158"/>
        <v>139</v>
      </c>
    </row>
    <row r="791" ht="14.25" spans="1:27">
      <c r="A791" s="13">
        <v>789</v>
      </c>
      <c r="B791" s="15">
        <v>17</v>
      </c>
      <c r="C791" s="16">
        <v>10</v>
      </c>
      <c r="D791" s="15" t="s">
        <v>1576</v>
      </c>
      <c r="E791" s="15" t="s">
        <v>1577</v>
      </c>
      <c r="F791" s="174">
        <f>VLOOKUP(D791,原始分!$D:$N,3,0)</f>
        <v>104.5</v>
      </c>
      <c r="G791" s="174">
        <f t="shared" si="159"/>
        <v>190</v>
      </c>
      <c r="H791" s="174">
        <f>VLOOKUP(D791,原始分!$D:$N,4,0)</f>
        <v>88.5</v>
      </c>
      <c r="I791" s="174">
        <f t="shared" si="160"/>
        <v>641</v>
      </c>
      <c r="J791" s="174">
        <f>VLOOKUP(D791,原始分!$D:$N,5,0)</f>
        <v>76.5</v>
      </c>
      <c r="K791" s="174">
        <f t="shared" si="161"/>
        <v>779</v>
      </c>
      <c r="L791" s="174">
        <f>VLOOKUP(D791,原始分!$D:$N,6,0)</f>
        <v>0</v>
      </c>
      <c r="M791" s="174">
        <f t="shared" si="162"/>
        <v>664</v>
      </c>
      <c r="N791" s="174">
        <f>VLOOKUP(D791,原始分!$D:$N,7,0)</f>
        <v>64.5</v>
      </c>
      <c r="O791" s="174">
        <f t="shared" si="163"/>
        <v>32</v>
      </c>
      <c r="P791" s="174">
        <f>VLOOKUP(D791,原始分!$D:$N,8,0)</f>
        <v>0</v>
      </c>
      <c r="Q791" s="174">
        <f t="shared" si="164"/>
        <v>541</v>
      </c>
      <c r="R791" s="174">
        <f>VLOOKUP(D791,原始分!$D:$N,9,0)</f>
        <v>55.5</v>
      </c>
      <c r="S791" s="174">
        <f t="shared" si="165"/>
        <v>64</v>
      </c>
      <c r="T791" s="174">
        <f>VLOOKUP(D791,原始分!$D:$N,10,0)</f>
        <v>63</v>
      </c>
      <c r="U791" s="174">
        <f t="shared" si="166"/>
        <v>73</v>
      </c>
      <c r="V791" s="174">
        <f>VLOOKUP(D791,原始分!$D:$N,11,0)</f>
        <v>0</v>
      </c>
      <c r="W791" s="174">
        <f t="shared" si="167"/>
        <v>565</v>
      </c>
      <c r="X791" s="11">
        <f t="shared" si="168"/>
        <v>269.5</v>
      </c>
      <c r="Y791" s="9">
        <f t="shared" si="169"/>
        <v>710</v>
      </c>
      <c r="Z791" s="11">
        <f t="shared" si="170"/>
        <v>452.5</v>
      </c>
      <c r="AA791" s="9">
        <f t="shared" si="158"/>
        <v>129</v>
      </c>
    </row>
    <row r="792" ht="14.25" spans="1:27">
      <c r="A792" s="13">
        <v>790</v>
      </c>
      <c r="B792" s="15">
        <v>17</v>
      </c>
      <c r="C792" s="16">
        <v>11</v>
      </c>
      <c r="D792" s="15" t="s">
        <v>1578</v>
      </c>
      <c r="E792" s="15" t="s">
        <v>1579</v>
      </c>
      <c r="F792" s="174">
        <f>VLOOKUP(D792,原始分!$D:$N,3,0)</f>
        <v>105</v>
      </c>
      <c r="G792" s="174">
        <f t="shared" si="159"/>
        <v>171</v>
      </c>
      <c r="H792" s="174">
        <f>VLOOKUP(D792,原始分!$D:$N,4,0)</f>
        <v>53.5</v>
      </c>
      <c r="I792" s="174">
        <f t="shared" si="160"/>
        <v>859</v>
      </c>
      <c r="J792" s="174">
        <f>VLOOKUP(D792,原始分!$D:$N,5,0)</f>
        <v>80.5</v>
      </c>
      <c r="K792" s="174">
        <f t="shared" si="161"/>
        <v>741</v>
      </c>
      <c r="L792" s="174">
        <f>VLOOKUP(D792,原始分!$D:$N,6,0)</f>
        <v>0</v>
      </c>
      <c r="M792" s="174">
        <f t="shared" si="162"/>
        <v>664</v>
      </c>
      <c r="N792" s="174">
        <f>VLOOKUP(D792,原始分!$D:$N,7,0)</f>
        <v>50</v>
      </c>
      <c r="O792" s="174">
        <f t="shared" si="163"/>
        <v>168</v>
      </c>
      <c r="P792" s="174">
        <f>VLOOKUP(D792,原始分!$D:$N,8,0)</f>
        <v>0</v>
      </c>
      <c r="Q792" s="174">
        <f t="shared" si="164"/>
        <v>541</v>
      </c>
      <c r="R792" s="174">
        <f>VLOOKUP(D792,原始分!$D:$N,9,0)</f>
        <v>46</v>
      </c>
      <c r="S792" s="174">
        <f t="shared" si="165"/>
        <v>222</v>
      </c>
      <c r="T792" s="174">
        <f>VLOOKUP(D792,原始分!$D:$N,10,0)</f>
        <v>53.5</v>
      </c>
      <c r="U792" s="174">
        <f t="shared" si="166"/>
        <v>214</v>
      </c>
      <c r="V792" s="174">
        <f>VLOOKUP(D792,原始分!$D:$N,11,0)</f>
        <v>0</v>
      </c>
      <c r="W792" s="174">
        <f t="shared" si="167"/>
        <v>565</v>
      </c>
      <c r="X792" s="11">
        <f t="shared" si="168"/>
        <v>239</v>
      </c>
      <c r="Y792" s="9">
        <f t="shared" si="169"/>
        <v>835</v>
      </c>
      <c r="Z792" s="11">
        <f t="shared" si="170"/>
        <v>388.5</v>
      </c>
      <c r="AA792" s="9">
        <f t="shared" si="158"/>
        <v>200</v>
      </c>
    </row>
    <row r="793" ht="14.25" spans="1:27">
      <c r="A793" s="13">
        <v>791</v>
      </c>
      <c r="B793" s="15">
        <v>17</v>
      </c>
      <c r="C793" s="16">
        <v>12</v>
      </c>
      <c r="D793" s="15" t="s">
        <v>1580</v>
      </c>
      <c r="E793" s="15" t="s">
        <v>1581</v>
      </c>
      <c r="F793" s="174">
        <f>VLOOKUP(D793,原始分!$D:$N,3,0)</f>
        <v>113</v>
      </c>
      <c r="G793" s="174">
        <f t="shared" si="159"/>
        <v>21</v>
      </c>
      <c r="H793" s="174">
        <f>VLOOKUP(D793,原始分!$D:$N,4,0)</f>
        <v>103.5</v>
      </c>
      <c r="I793" s="174">
        <f t="shared" si="160"/>
        <v>354</v>
      </c>
      <c r="J793" s="174">
        <f>VLOOKUP(D793,原始分!$D:$N,5,0)</f>
        <v>117.25</v>
      </c>
      <c r="K793" s="174">
        <f t="shared" si="161"/>
        <v>75</v>
      </c>
      <c r="L793" s="174">
        <f>VLOOKUP(D793,原始分!$D:$N,6,0)</f>
        <v>0</v>
      </c>
      <c r="M793" s="174">
        <f t="shared" si="162"/>
        <v>664</v>
      </c>
      <c r="N793" s="174">
        <f>VLOOKUP(D793,原始分!$D:$N,7,0)</f>
        <v>58</v>
      </c>
      <c r="O793" s="174">
        <f t="shared" si="163"/>
        <v>84</v>
      </c>
      <c r="P793" s="174">
        <f>VLOOKUP(D793,原始分!$D:$N,8,0)</f>
        <v>0</v>
      </c>
      <c r="Q793" s="174">
        <f t="shared" si="164"/>
        <v>541</v>
      </c>
      <c r="R793" s="174">
        <f>VLOOKUP(D793,原始分!$D:$N,9,0)</f>
        <v>55</v>
      </c>
      <c r="S793" s="174">
        <f t="shared" si="165"/>
        <v>73</v>
      </c>
      <c r="T793" s="174">
        <f>VLOOKUP(D793,原始分!$D:$N,10,0)</f>
        <v>65</v>
      </c>
      <c r="U793" s="174">
        <f t="shared" si="166"/>
        <v>47</v>
      </c>
      <c r="V793" s="174">
        <f>VLOOKUP(D793,原始分!$D:$N,11,0)</f>
        <v>0</v>
      </c>
      <c r="W793" s="174">
        <f t="shared" si="167"/>
        <v>565</v>
      </c>
      <c r="X793" s="11">
        <f t="shared" si="168"/>
        <v>333.75</v>
      </c>
      <c r="Y793" s="9">
        <f t="shared" si="169"/>
        <v>74</v>
      </c>
      <c r="Z793" s="11">
        <f t="shared" si="170"/>
        <v>511.75</v>
      </c>
      <c r="AA793" s="9">
        <f t="shared" si="158"/>
        <v>28</v>
      </c>
    </row>
    <row r="794" ht="14.25" spans="1:27">
      <c r="A794" s="13">
        <v>792</v>
      </c>
      <c r="B794" s="15">
        <v>17</v>
      </c>
      <c r="C794" s="16">
        <v>13</v>
      </c>
      <c r="D794" s="15" t="s">
        <v>1582</v>
      </c>
      <c r="E794" s="15" t="s">
        <v>1583</v>
      </c>
      <c r="F794" s="174">
        <f>VLOOKUP(D794,原始分!$D:$N,3,0)</f>
        <v>109.5</v>
      </c>
      <c r="G794" s="174">
        <f t="shared" si="159"/>
        <v>53</v>
      </c>
      <c r="H794" s="174">
        <f>VLOOKUP(D794,原始分!$D:$N,4,0)</f>
        <v>98.5</v>
      </c>
      <c r="I794" s="174">
        <f t="shared" si="160"/>
        <v>442</v>
      </c>
      <c r="J794" s="174">
        <f>VLOOKUP(D794,原始分!$D:$N,5,0)</f>
        <v>112</v>
      </c>
      <c r="K794" s="174">
        <f t="shared" si="161"/>
        <v>143</v>
      </c>
      <c r="L794" s="174">
        <f>VLOOKUP(D794,原始分!$D:$N,6,0)</f>
        <v>0</v>
      </c>
      <c r="M794" s="174">
        <f t="shared" si="162"/>
        <v>664</v>
      </c>
      <c r="N794" s="174">
        <f>VLOOKUP(D794,原始分!$D:$N,7,0)</f>
        <v>62</v>
      </c>
      <c r="O794" s="174">
        <f t="shared" si="163"/>
        <v>50</v>
      </c>
      <c r="P794" s="174">
        <f>VLOOKUP(D794,原始分!$D:$N,8,0)</f>
        <v>0</v>
      </c>
      <c r="Q794" s="174">
        <f t="shared" si="164"/>
        <v>541</v>
      </c>
      <c r="R794" s="174">
        <f>VLOOKUP(D794,原始分!$D:$N,9,0)</f>
        <v>53.5</v>
      </c>
      <c r="S794" s="174">
        <f t="shared" si="165"/>
        <v>98</v>
      </c>
      <c r="T794" s="174">
        <f>VLOOKUP(D794,原始分!$D:$N,10,0)</f>
        <v>63.5</v>
      </c>
      <c r="U794" s="174">
        <f t="shared" si="166"/>
        <v>68</v>
      </c>
      <c r="V794" s="174">
        <f>VLOOKUP(D794,原始分!$D:$N,11,0)</f>
        <v>0</v>
      </c>
      <c r="W794" s="174">
        <f t="shared" si="167"/>
        <v>565</v>
      </c>
      <c r="X794" s="11">
        <f t="shared" si="168"/>
        <v>320</v>
      </c>
      <c r="Y794" s="9">
        <f t="shared" si="169"/>
        <v>159</v>
      </c>
      <c r="Z794" s="11">
        <f t="shared" si="170"/>
        <v>499</v>
      </c>
      <c r="AA794" s="9">
        <f t="shared" si="158"/>
        <v>39</v>
      </c>
    </row>
    <row r="795" ht="14.25" spans="1:27">
      <c r="A795" s="13">
        <v>793</v>
      </c>
      <c r="B795" s="15">
        <v>17</v>
      </c>
      <c r="C795" s="16">
        <v>14</v>
      </c>
      <c r="D795" s="15" t="s">
        <v>1584</v>
      </c>
      <c r="E795" s="15" t="s">
        <v>1585</v>
      </c>
      <c r="F795" s="174">
        <f>VLOOKUP(D795,原始分!$D:$N,3,0)</f>
        <v>95.5</v>
      </c>
      <c r="G795" s="174">
        <f t="shared" si="159"/>
        <v>595</v>
      </c>
      <c r="H795" s="174">
        <f>VLOOKUP(D795,原始分!$D:$N,4,0)</f>
        <v>84</v>
      </c>
      <c r="I795" s="174">
        <f t="shared" si="160"/>
        <v>714</v>
      </c>
      <c r="J795" s="174">
        <f>VLOOKUP(D795,原始分!$D:$N,5,0)</f>
        <v>98</v>
      </c>
      <c r="K795" s="174">
        <f t="shared" si="161"/>
        <v>425</v>
      </c>
      <c r="L795" s="174">
        <f>VLOOKUP(D795,原始分!$D:$N,6,0)</f>
        <v>0</v>
      </c>
      <c r="M795" s="174">
        <f t="shared" si="162"/>
        <v>664</v>
      </c>
      <c r="N795" s="174">
        <f>VLOOKUP(D795,原始分!$D:$N,7,0)</f>
        <v>56</v>
      </c>
      <c r="O795" s="174">
        <f t="shared" si="163"/>
        <v>107</v>
      </c>
      <c r="P795" s="174">
        <f>VLOOKUP(D795,原始分!$D:$N,8,0)</f>
        <v>0</v>
      </c>
      <c r="Q795" s="174">
        <f t="shared" si="164"/>
        <v>541</v>
      </c>
      <c r="R795" s="174">
        <f>VLOOKUP(D795,原始分!$D:$N,9,0)</f>
        <v>43.5</v>
      </c>
      <c r="S795" s="174">
        <f t="shared" si="165"/>
        <v>264</v>
      </c>
      <c r="T795" s="174">
        <f>VLOOKUP(D795,原始分!$D:$N,10,0)</f>
        <v>64</v>
      </c>
      <c r="U795" s="174">
        <f t="shared" si="166"/>
        <v>62</v>
      </c>
      <c r="V795" s="174">
        <f>VLOOKUP(D795,原始分!$D:$N,11,0)</f>
        <v>0</v>
      </c>
      <c r="W795" s="174">
        <f t="shared" si="167"/>
        <v>565</v>
      </c>
      <c r="X795" s="11">
        <f t="shared" si="168"/>
        <v>277.5</v>
      </c>
      <c r="Y795" s="9">
        <f t="shared" si="169"/>
        <v>632</v>
      </c>
      <c r="Z795" s="11">
        <f t="shared" si="170"/>
        <v>441</v>
      </c>
      <c r="AA795" s="9">
        <f t="shared" ref="AA795:AA858" si="171">RANK(Z795,$Z$666:$Z$900)</f>
        <v>147</v>
      </c>
    </row>
    <row r="796" ht="14.25" spans="1:27">
      <c r="A796" s="13">
        <v>794</v>
      </c>
      <c r="B796" s="15">
        <v>17</v>
      </c>
      <c r="C796" s="16">
        <v>15</v>
      </c>
      <c r="D796" s="15" t="s">
        <v>1586</v>
      </c>
      <c r="E796" s="15" t="s">
        <v>1587</v>
      </c>
      <c r="F796" s="174">
        <f>VLOOKUP(D796,原始分!$D:$N,3,0)</f>
        <v>90.5</v>
      </c>
      <c r="G796" s="174">
        <f t="shared" si="159"/>
        <v>765</v>
      </c>
      <c r="H796" s="174">
        <f>VLOOKUP(D796,原始分!$D:$N,4,0)</f>
        <v>80.5</v>
      </c>
      <c r="I796" s="174">
        <f t="shared" si="160"/>
        <v>747</v>
      </c>
      <c r="J796" s="174">
        <f>VLOOKUP(D796,原始分!$D:$N,5,0)</f>
        <v>104</v>
      </c>
      <c r="K796" s="174">
        <f t="shared" si="161"/>
        <v>292</v>
      </c>
      <c r="L796" s="174">
        <f>VLOOKUP(D796,原始分!$D:$N,6,0)</f>
        <v>0</v>
      </c>
      <c r="M796" s="174">
        <f t="shared" si="162"/>
        <v>664</v>
      </c>
      <c r="N796" s="174">
        <f>VLOOKUP(D796,原始分!$D:$N,7,0)</f>
        <v>56</v>
      </c>
      <c r="O796" s="174">
        <f t="shared" si="163"/>
        <v>107</v>
      </c>
      <c r="P796" s="174">
        <f>VLOOKUP(D796,原始分!$D:$N,8,0)</f>
        <v>0</v>
      </c>
      <c r="Q796" s="174">
        <f t="shared" si="164"/>
        <v>541</v>
      </c>
      <c r="R796" s="174">
        <f>VLOOKUP(D796,原始分!$D:$N,9,0)</f>
        <v>38</v>
      </c>
      <c r="S796" s="174">
        <f t="shared" si="165"/>
        <v>306</v>
      </c>
      <c r="T796" s="174">
        <f>VLOOKUP(D796,原始分!$D:$N,10,0)</f>
        <v>35.5</v>
      </c>
      <c r="U796" s="174">
        <f t="shared" si="166"/>
        <v>315</v>
      </c>
      <c r="V796" s="174">
        <f>VLOOKUP(D796,原始分!$D:$N,11,0)</f>
        <v>0</v>
      </c>
      <c r="W796" s="174">
        <f t="shared" si="167"/>
        <v>565</v>
      </c>
      <c r="X796" s="11">
        <f t="shared" si="168"/>
        <v>275</v>
      </c>
      <c r="Y796" s="9">
        <f t="shared" si="169"/>
        <v>655</v>
      </c>
      <c r="Z796" s="11">
        <f t="shared" si="170"/>
        <v>404.5</v>
      </c>
      <c r="AA796" s="9">
        <f t="shared" si="171"/>
        <v>190</v>
      </c>
    </row>
    <row r="797" ht="14.25" spans="1:27">
      <c r="A797" s="13">
        <v>795</v>
      </c>
      <c r="B797" s="15">
        <v>17</v>
      </c>
      <c r="C797" s="16">
        <v>17</v>
      </c>
      <c r="D797" s="15" t="s">
        <v>1588</v>
      </c>
      <c r="E797" s="15" t="s">
        <v>1589</v>
      </c>
      <c r="F797" s="174">
        <f>VLOOKUP(D797,原始分!$D:$N,3,0)</f>
        <v>105</v>
      </c>
      <c r="G797" s="174">
        <f t="shared" si="159"/>
        <v>171</v>
      </c>
      <c r="H797" s="174">
        <f>VLOOKUP(D797,原始分!$D:$N,4,0)</f>
        <v>95.5</v>
      </c>
      <c r="I797" s="174">
        <f t="shared" si="160"/>
        <v>502</v>
      </c>
      <c r="J797" s="174">
        <f>VLOOKUP(D797,原始分!$D:$N,5,0)</f>
        <v>105.75</v>
      </c>
      <c r="K797" s="174">
        <f t="shared" si="161"/>
        <v>251</v>
      </c>
      <c r="L797" s="174">
        <f>VLOOKUP(D797,原始分!$D:$N,6,0)</f>
        <v>0</v>
      </c>
      <c r="M797" s="174">
        <f t="shared" si="162"/>
        <v>664</v>
      </c>
      <c r="N797" s="174">
        <f>VLOOKUP(D797,原始分!$D:$N,7,0)</f>
        <v>58</v>
      </c>
      <c r="O797" s="174">
        <f t="shared" si="163"/>
        <v>84</v>
      </c>
      <c r="P797" s="174">
        <f>VLOOKUP(D797,原始分!$D:$N,8,0)</f>
        <v>0</v>
      </c>
      <c r="Q797" s="174">
        <f t="shared" si="164"/>
        <v>541</v>
      </c>
      <c r="R797" s="174">
        <f>VLOOKUP(D797,原始分!$D:$N,9,0)</f>
        <v>54</v>
      </c>
      <c r="S797" s="174">
        <f t="shared" si="165"/>
        <v>89</v>
      </c>
      <c r="T797" s="174">
        <f>VLOOKUP(D797,原始分!$D:$N,10,0)</f>
        <v>58.5</v>
      </c>
      <c r="U797" s="174">
        <f t="shared" si="166"/>
        <v>132</v>
      </c>
      <c r="V797" s="174">
        <f>VLOOKUP(D797,原始分!$D:$N,11,0)</f>
        <v>0</v>
      </c>
      <c r="W797" s="174">
        <f t="shared" si="167"/>
        <v>565</v>
      </c>
      <c r="X797" s="11">
        <f t="shared" si="168"/>
        <v>306.25</v>
      </c>
      <c r="Y797" s="9">
        <f t="shared" si="169"/>
        <v>305</v>
      </c>
      <c r="Z797" s="11">
        <f t="shared" si="170"/>
        <v>476.75</v>
      </c>
      <c r="AA797" s="9">
        <f t="shared" si="171"/>
        <v>81</v>
      </c>
    </row>
    <row r="798" ht="14.25" spans="1:27">
      <c r="A798" s="13">
        <v>796</v>
      </c>
      <c r="B798" s="15">
        <v>17</v>
      </c>
      <c r="C798" s="16">
        <v>19</v>
      </c>
      <c r="D798" s="15" t="s">
        <v>1590</v>
      </c>
      <c r="E798" s="15" t="s">
        <v>1591</v>
      </c>
      <c r="F798" s="174">
        <f>VLOOKUP(D798,原始分!$D:$N,3,0)</f>
        <v>102.75</v>
      </c>
      <c r="G798" s="174">
        <f t="shared" si="159"/>
        <v>275</v>
      </c>
      <c r="H798" s="174">
        <f>VLOOKUP(D798,原始分!$D:$N,4,0)</f>
        <v>90</v>
      </c>
      <c r="I798" s="174">
        <f t="shared" si="160"/>
        <v>614</v>
      </c>
      <c r="J798" s="174">
        <f>VLOOKUP(D798,原始分!$D:$N,5,0)</f>
        <v>105.75</v>
      </c>
      <c r="K798" s="174">
        <f t="shared" si="161"/>
        <v>251</v>
      </c>
      <c r="L798" s="174">
        <f>VLOOKUP(D798,原始分!$D:$N,6,0)</f>
        <v>0</v>
      </c>
      <c r="M798" s="174">
        <f t="shared" si="162"/>
        <v>664</v>
      </c>
      <c r="N798" s="174">
        <f>VLOOKUP(D798,原始分!$D:$N,7,0)</f>
        <v>55.5</v>
      </c>
      <c r="O798" s="174">
        <f t="shared" si="163"/>
        <v>118</v>
      </c>
      <c r="P798" s="174">
        <f>VLOOKUP(D798,原始分!$D:$N,8,0)</f>
        <v>0</v>
      </c>
      <c r="Q798" s="174">
        <f t="shared" si="164"/>
        <v>541</v>
      </c>
      <c r="R798" s="174">
        <f>VLOOKUP(D798,原始分!$D:$N,9,0)</f>
        <v>58</v>
      </c>
      <c r="S798" s="174">
        <f t="shared" si="165"/>
        <v>40</v>
      </c>
      <c r="T798" s="174">
        <f>VLOOKUP(D798,原始分!$D:$N,10,0)</f>
        <v>67.5</v>
      </c>
      <c r="U798" s="174">
        <f t="shared" si="166"/>
        <v>22</v>
      </c>
      <c r="V798" s="174">
        <f>VLOOKUP(D798,原始分!$D:$N,11,0)</f>
        <v>0</v>
      </c>
      <c r="W798" s="174">
        <f t="shared" si="167"/>
        <v>565</v>
      </c>
      <c r="X798" s="11">
        <f t="shared" si="168"/>
        <v>298.5</v>
      </c>
      <c r="Y798" s="9">
        <f t="shared" si="169"/>
        <v>390</v>
      </c>
      <c r="Z798" s="11">
        <f t="shared" si="170"/>
        <v>479.5</v>
      </c>
      <c r="AA798" s="9">
        <f t="shared" si="171"/>
        <v>75</v>
      </c>
    </row>
    <row r="799" ht="14.25" spans="1:27">
      <c r="A799" s="13">
        <v>797</v>
      </c>
      <c r="B799" s="15">
        <v>17</v>
      </c>
      <c r="C799" s="16">
        <v>20</v>
      </c>
      <c r="D799" s="15" t="s">
        <v>1592</v>
      </c>
      <c r="E799" s="15" t="s">
        <v>1593</v>
      </c>
      <c r="F799" s="174">
        <f>VLOOKUP(D799,原始分!$D:$N,3,0)</f>
        <v>112.5</v>
      </c>
      <c r="G799" s="174">
        <f t="shared" si="159"/>
        <v>25</v>
      </c>
      <c r="H799" s="174">
        <f>VLOOKUP(D799,原始分!$D:$N,4,0)</f>
        <v>94.5</v>
      </c>
      <c r="I799" s="174">
        <f t="shared" si="160"/>
        <v>525</v>
      </c>
      <c r="J799" s="174">
        <f>VLOOKUP(D799,原始分!$D:$N,5,0)</f>
        <v>116.5</v>
      </c>
      <c r="K799" s="174">
        <f t="shared" si="161"/>
        <v>82</v>
      </c>
      <c r="L799" s="174">
        <f>VLOOKUP(D799,原始分!$D:$N,6,0)</f>
        <v>0</v>
      </c>
      <c r="M799" s="174">
        <f t="shared" si="162"/>
        <v>664</v>
      </c>
      <c r="N799" s="174">
        <f>VLOOKUP(D799,原始分!$D:$N,7,0)</f>
        <v>65.5</v>
      </c>
      <c r="O799" s="174">
        <f t="shared" si="163"/>
        <v>27</v>
      </c>
      <c r="P799" s="174">
        <f>VLOOKUP(D799,原始分!$D:$N,8,0)</f>
        <v>0</v>
      </c>
      <c r="Q799" s="174">
        <f t="shared" si="164"/>
        <v>541</v>
      </c>
      <c r="R799" s="174">
        <f>VLOOKUP(D799,原始分!$D:$N,9,0)</f>
        <v>56</v>
      </c>
      <c r="S799" s="174">
        <f t="shared" si="165"/>
        <v>58</v>
      </c>
      <c r="T799" s="174">
        <f>VLOOKUP(D799,原始分!$D:$N,10,0)</f>
        <v>67.5</v>
      </c>
      <c r="U799" s="174">
        <f t="shared" si="166"/>
        <v>22</v>
      </c>
      <c r="V799" s="174">
        <f>VLOOKUP(D799,原始分!$D:$N,11,0)</f>
        <v>0</v>
      </c>
      <c r="W799" s="174">
        <f t="shared" si="167"/>
        <v>565</v>
      </c>
      <c r="X799" s="11">
        <f t="shared" si="168"/>
        <v>323.5</v>
      </c>
      <c r="Y799" s="9">
        <f t="shared" si="169"/>
        <v>132</v>
      </c>
      <c r="Z799" s="11">
        <f t="shared" si="170"/>
        <v>512.5</v>
      </c>
      <c r="AA799" s="9">
        <f t="shared" si="171"/>
        <v>27</v>
      </c>
    </row>
    <row r="800" ht="14.25" spans="1:27">
      <c r="A800" s="13">
        <v>798</v>
      </c>
      <c r="B800" s="15">
        <v>17</v>
      </c>
      <c r="C800" s="16">
        <v>21</v>
      </c>
      <c r="D800" s="15" t="s">
        <v>1594</v>
      </c>
      <c r="E800" s="15" t="s">
        <v>1595</v>
      </c>
      <c r="F800" s="174">
        <f>VLOOKUP(D800,原始分!$D:$N,3,0)</f>
        <v>100</v>
      </c>
      <c r="G800" s="174">
        <f t="shared" si="159"/>
        <v>400</v>
      </c>
      <c r="H800" s="174">
        <f>VLOOKUP(D800,原始分!$D:$N,4,0)</f>
        <v>114</v>
      </c>
      <c r="I800" s="174">
        <f t="shared" si="160"/>
        <v>145</v>
      </c>
      <c r="J800" s="174">
        <f>VLOOKUP(D800,原始分!$D:$N,5,0)</f>
        <v>117</v>
      </c>
      <c r="K800" s="174">
        <f t="shared" si="161"/>
        <v>77</v>
      </c>
      <c r="L800" s="174">
        <f>VLOOKUP(D800,原始分!$D:$N,6,0)</f>
        <v>0</v>
      </c>
      <c r="M800" s="174">
        <f t="shared" si="162"/>
        <v>664</v>
      </c>
      <c r="N800" s="174">
        <f>VLOOKUP(D800,原始分!$D:$N,7,0)</f>
        <v>66</v>
      </c>
      <c r="O800" s="174">
        <f t="shared" si="163"/>
        <v>24</v>
      </c>
      <c r="P800" s="174">
        <f>VLOOKUP(D800,原始分!$D:$N,8,0)</f>
        <v>0</v>
      </c>
      <c r="Q800" s="174">
        <f t="shared" si="164"/>
        <v>541</v>
      </c>
      <c r="R800" s="174">
        <f>VLOOKUP(D800,原始分!$D:$N,9,0)</f>
        <v>50</v>
      </c>
      <c r="S800" s="174">
        <f t="shared" si="165"/>
        <v>154</v>
      </c>
      <c r="T800" s="174">
        <f>VLOOKUP(D800,原始分!$D:$N,10,0)</f>
        <v>62</v>
      </c>
      <c r="U800" s="174">
        <f t="shared" si="166"/>
        <v>81</v>
      </c>
      <c r="V800" s="174">
        <f>VLOOKUP(D800,原始分!$D:$N,11,0)</f>
        <v>0</v>
      </c>
      <c r="W800" s="174">
        <f t="shared" si="167"/>
        <v>565</v>
      </c>
      <c r="X800" s="11">
        <f t="shared" si="168"/>
        <v>331</v>
      </c>
      <c r="Y800" s="9">
        <f t="shared" si="169"/>
        <v>84</v>
      </c>
      <c r="Z800" s="11">
        <f t="shared" si="170"/>
        <v>509</v>
      </c>
      <c r="AA800" s="9">
        <f t="shared" si="171"/>
        <v>29</v>
      </c>
    </row>
    <row r="801" ht="14.25" spans="1:27">
      <c r="A801" s="13">
        <v>799</v>
      </c>
      <c r="B801" s="15">
        <v>17</v>
      </c>
      <c r="C801" s="16">
        <v>22</v>
      </c>
      <c r="D801" s="15" t="s">
        <v>1596</v>
      </c>
      <c r="E801" s="15" t="s">
        <v>1597</v>
      </c>
      <c r="F801" s="174">
        <f>VLOOKUP(D801,原始分!$D:$N,3,0)</f>
        <v>107</v>
      </c>
      <c r="G801" s="174">
        <f t="shared" si="159"/>
        <v>113</v>
      </c>
      <c r="H801" s="174">
        <f>VLOOKUP(D801,原始分!$D:$N,4,0)</f>
        <v>50</v>
      </c>
      <c r="I801" s="174">
        <f t="shared" si="160"/>
        <v>863</v>
      </c>
      <c r="J801" s="174">
        <f>VLOOKUP(D801,原始分!$D:$N,5,0)</f>
        <v>89</v>
      </c>
      <c r="K801" s="174">
        <f t="shared" si="161"/>
        <v>597</v>
      </c>
      <c r="L801" s="174">
        <f>VLOOKUP(D801,原始分!$D:$N,6,0)</f>
        <v>0</v>
      </c>
      <c r="M801" s="174">
        <f t="shared" si="162"/>
        <v>664</v>
      </c>
      <c r="N801" s="174">
        <f>VLOOKUP(D801,原始分!$D:$N,7,0)</f>
        <v>46</v>
      </c>
      <c r="O801" s="174">
        <f t="shared" si="163"/>
        <v>190</v>
      </c>
      <c r="P801" s="174">
        <f>VLOOKUP(D801,原始分!$D:$N,8,0)</f>
        <v>0</v>
      </c>
      <c r="Q801" s="174">
        <f t="shared" si="164"/>
        <v>541</v>
      </c>
      <c r="R801" s="174">
        <f>VLOOKUP(D801,原始分!$D:$N,9,0)</f>
        <v>45</v>
      </c>
      <c r="S801" s="174">
        <f t="shared" si="165"/>
        <v>236</v>
      </c>
      <c r="T801" s="174">
        <f>VLOOKUP(D801,原始分!$D:$N,10,0)</f>
        <v>54</v>
      </c>
      <c r="U801" s="174">
        <f t="shared" si="166"/>
        <v>204</v>
      </c>
      <c r="V801" s="174">
        <f>VLOOKUP(D801,原始分!$D:$N,11,0)</f>
        <v>0</v>
      </c>
      <c r="W801" s="174">
        <f t="shared" si="167"/>
        <v>565</v>
      </c>
      <c r="X801" s="11">
        <f t="shared" si="168"/>
        <v>246</v>
      </c>
      <c r="Y801" s="9">
        <f t="shared" si="169"/>
        <v>814</v>
      </c>
      <c r="Z801" s="11">
        <f t="shared" si="170"/>
        <v>391</v>
      </c>
      <c r="AA801" s="9">
        <f t="shared" si="171"/>
        <v>198</v>
      </c>
    </row>
    <row r="802" ht="14.25" spans="1:27">
      <c r="A802" s="13">
        <v>800</v>
      </c>
      <c r="B802" s="15">
        <v>17</v>
      </c>
      <c r="C802" s="16">
        <v>23</v>
      </c>
      <c r="D802" s="15" t="s">
        <v>1598</v>
      </c>
      <c r="E802" s="15" t="s">
        <v>1599</v>
      </c>
      <c r="F802" s="174">
        <f>VLOOKUP(D802,原始分!$D:$N,3,0)</f>
        <v>105</v>
      </c>
      <c r="G802" s="174">
        <f t="shared" si="159"/>
        <v>171</v>
      </c>
      <c r="H802" s="174">
        <f>VLOOKUP(D802,原始分!$D:$N,4,0)</f>
        <v>104</v>
      </c>
      <c r="I802" s="174">
        <f t="shared" si="160"/>
        <v>341</v>
      </c>
      <c r="J802" s="174">
        <f>VLOOKUP(D802,原始分!$D:$N,5,0)</f>
        <v>99.25</v>
      </c>
      <c r="K802" s="174">
        <f t="shared" si="161"/>
        <v>391</v>
      </c>
      <c r="L802" s="174">
        <f>VLOOKUP(D802,原始分!$D:$N,6,0)</f>
        <v>0</v>
      </c>
      <c r="M802" s="174">
        <f t="shared" si="162"/>
        <v>664</v>
      </c>
      <c r="N802" s="174">
        <f>VLOOKUP(D802,原始分!$D:$N,7,0)</f>
        <v>65.5</v>
      </c>
      <c r="O802" s="174">
        <f t="shared" si="163"/>
        <v>27</v>
      </c>
      <c r="P802" s="174">
        <f>VLOOKUP(D802,原始分!$D:$N,8,0)</f>
        <v>0</v>
      </c>
      <c r="Q802" s="174">
        <f t="shared" si="164"/>
        <v>541</v>
      </c>
      <c r="R802" s="174">
        <f>VLOOKUP(D802,原始分!$D:$N,9,0)</f>
        <v>53.5</v>
      </c>
      <c r="S802" s="174">
        <f t="shared" si="165"/>
        <v>98</v>
      </c>
      <c r="T802" s="174">
        <f>VLOOKUP(D802,原始分!$D:$N,10,0)</f>
        <v>63.5</v>
      </c>
      <c r="U802" s="174">
        <f t="shared" si="166"/>
        <v>68</v>
      </c>
      <c r="V802" s="174">
        <f>VLOOKUP(D802,原始分!$D:$N,11,0)</f>
        <v>0</v>
      </c>
      <c r="W802" s="174">
        <f t="shared" si="167"/>
        <v>565</v>
      </c>
      <c r="X802" s="11">
        <f t="shared" si="168"/>
        <v>308.25</v>
      </c>
      <c r="Y802" s="9">
        <f t="shared" si="169"/>
        <v>286</v>
      </c>
      <c r="Z802" s="11">
        <f t="shared" si="170"/>
        <v>490.75</v>
      </c>
      <c r="AA802" s="9">
        <f t="shared" si="171"/>
        <v>52</v>
      </c>
    </row>
    <row r="803" ht="14.25" spans="1:27">
      <c r="A803" s="13">
        <v>801</v>
      </c>
      <c r="B803" s="15">
        <v>17</v>
      </c>
      <c r="C803" s="16">
        <v>24</v>
      </c>
      <c r="D803" s="15" t="s">
        <v>1600</v>
      </c>
      <c r="E803" s="15" t="s">
        <v>1601</v>
      </c>
      <c r="F803" s="174">
        <f>VLOOKUP(D803,原始分!$D:$N,3,0)</f>
        <v>99</v>
      </c>
      <c r="G803" s="174">
        <f t="shared" si="159"/>
        <v>442</v>
      </c>
      <c r="H803" s="174">
        <f>VLOOKUP(D803,原始分!$D:$N,4,0)</f>
        <v>70</v>
      </c>
      <c r="I803" s="174">
        <f t="shared" si="160"/>
        <v>812</v>
      </c>
      <c r="J803" s="174">
        <f>VLOOKUP(D803,原始分!$D:$N,5,0)</f>
        <v>96.75</v>
      </c>
      <c r="K803" s="174">
        <f t="shared" si="161"/>
        <v>449</v>
      </c>
      <c r="L803" s="174">
        <f>VLOOKUP(D803,原始分!$D:$N,6,0)</f>
        <v>0</v>
      </c>
      <c r="M803" s="174">
        <f t="shared" si="162"/>
        <v>664</v>
      </c>
      <c r="N803" s="174">
        <f>VLOOKUP(D803,原始分!$D:$N,7,0)</f>
        <v>44.5</v>
      </c>
      <c r="O803" s="174">
        <f t="shared" si="163"/>
        <v>195</v>
      </c>
      <c r="P803" s="174">
        <f>VLOOKUP(D803,原始分!$D:$N,8,0)</f>
        <v>0</v>
      </c>
      <c r="Q803" s="174">
        <f t="shared" si="164"/>
        <v>541</v>
      </c>
      <c r="R803" s="174">
        <f>VLOOKUP(D803,原始分!$D:$N,9,0)</f>
        <v>58.5</v>
      </c>
      <c r="S803" s="174">
        <f t="shared" si="165"/>
        <v>36</v>
      </c>
      <c r="T803" s="174">
        <f>VLOOKUP(D803,原始分!$D:$N,10,0)</f>
        <v>63</v>
      </c>
      <c r="U803" s="174">
        <f t="shared" si="166"/>
        <v>73</v>
      </c>
      <c r="V803" s="174">
        <f>VLOOKUP(D803,原始分!$D:$N,11,0)</f>
        <v>0</v>
      </c>
      <c r="W803" s="174">
        <f t="shared" si="167"/>
        <v>565</v>
      </c>
      <c r="X803" s="11">
        <f t="shared" si="168"/>
        <v>265.75</v>
      </c>
      <c r="Y803" s="9">
        <f t="shared" si="169"/>
        <v>735</v>
      </c>
      <c r="Z803" s="11">
        <f t="shared" si="170"/>
        <v>431.75</v>
      </c>
      <c r="AA803" s="9">
        <f t="shared" si="171"/>
        <v>163</v>
      </c>
    </row>
    <row r="804" ht="14.25" spans="1:27">
      <c r="A804" s="13">
        <v>802</v>
      </c>
      <c r="B804" s="15">
        <v>17</v>
      </c>
      <c r="C804" s="16">
        <v>25</v>
      </c>
      <c r="D804" s="15" t="s">
        <v>1602</v>
      </c>
      <c r="E804" s="15" t="s">
        <v>1603</v>
      </c>
      <c r="F804" s="174">
        <f>VLOOKUP(D804,原始分!$D:$N,3,0)</f>
        <v>99</v>
      </c>
      <c r="G804" s="174">
        <f t="shared" si="159"/>
        <v>442</v>
      </c>
      <c r="H804" s="174">
        <f>VLOOKUP(D804,原始分!$D:$N,4,0)</f>
        <v>100</v>
      </c>
      <c r="I804" s="174">
        <f t="shared" si="160"/>
        <v>416</v>
      </c>
      <c r="J804" s="174">
        <f>VLOOKUP(D804,原始分!$D:$N,5,0)</f>
        <v>93</v>
      </c>
      <c r="K804" s="174">
        <f t="shared" si="161"/>
        <v>525</v>
      </c>
      <c r="L804" s="174">
        <f>VLOOKUP(D804,原始分!$D:$N,6,0)</f>
        <v>0</v>
      </c>
      <c r="M804" s="174">
        <f t="shared" si="162"/>
        <v>664</v>
      </c>
      <c r="N804" s="174">
        <f>VLOOKUP(D804,原始分!$D:$N,7,0)</f>
        <v>49</v>
      </c>
      <c r="O804" s="174">
        <f t="shared" si="163"/>
        <v>172</v>
      </c>
      <c r="P804" s="174">
        <f>VLOOKUP(D804,原始分!$D:$N,8,0)</f>
        <v>0</v>
      </c>
      <c r="Q804" s="174">
        <f t="shared" si="164"/>
        <v>541</v>
      </c>
      <c r="R804" s="174">
        <f>VLOOKUP(D804,原始分!$D:$N,9,0)</f>
        <v>45</v>
      </c>
      <c r="S804" s="174">
        <f t="shared" si="165"/>
        <v>236</v>
      </c>
      <c r="T804" s="174">
        <f>VLOOKUP(D804,原始分!$D:$N,10,0)</f>
        <v>56</v>
      </c>
      <c r="U804" s="174">
        <f t="shared" si="166"/>
        <v>181</v>
      </c>
      <c r="V804" s="174">
        <f>VLOOKUP(D804,原始分!$D:$N,11,0)</f>
        <v>0</v>
      </c>
      <c r="W804" s="174">
        <f t="shared" si="167"/>
        <v>565</v>
      </c>
      <c r="X804" s="11">
        <f t="shared" si="168"/>
        <v>292</v>
      </c>
      <c r="Y804" s="9">
        <f t="shared" si="169"/>
        <v>472</v>
      </c>
      <c r="Z804" s="11">
        <f t="shared" si="170"/>
        <v>442</v>
      </c>
      <c r="AA804" s="9">
        <f t="shared" si="171"/>
        <v>145</v>
      </c>
    </row>
    <row r="805" ht="14.25" spans="1:27">
      <c r="A805" s="13">
        <v>803</v>
      </c>
      <c r="B805" s="15">
        <v>17</v>
      </c>
      <c r="C805" s="16">
        <v>26</v>
      </c>
      <c r="D805" s="15" t="s">
        <v>1604</v>
      </c>
      <c r="E805" s="15" t="s">
        <v>1605</v>
      </c>
      <c r="F805" s="174">
        <f>VLOOKUP(D805,原始分!$D:$N,3,0)</f>
        <v>104.5</v>
      </c>
      <c r="G805" s="174">
        <f t="shared" si="159"/>
        <v>190</v>
      </c>
      <c r="H805" s="174">
        <f>VLOOKUP(D805,原始分!$D:$N,4,0)</f>
        <v>100.5</v>
      </c>
      <c r="I805" s="174">
        <f t="shared" si="160"/>
        <v>410</v>
      </c>
      <c r="J805" s="174">
        <f>VLOOKUP(D805,原始分!$D:$N,5,0)</f>
        <v>113.75</v>
      </c>
      <c r="K805" s="174">
        <f t="shared" si="161"/>
        <v>122</v>
      </c>
      <c r="L805" s="174">
        <f>VLOOKUP(D805,原始分!$D:$N,6,0)</f>
        <v>0</v>
      </c>
      <c r="M805" s="174">
        <f t="shared" si="162"/>
        <v>664</v>
      </c>
      <c r="N805" s="174">
        <f>VLOOKUP(D805,原始分!$D:$N,7,0)</f>
        <v>59.5</v>
      </c>
      <c r="O805" s="174">
        <f t="shared" si="163"/>
        <v>69</v>
      </c>
      <c r="P805" s="174">
        <f>VLOOKUP(D805,原始分!$D:$N,8,0)</f>
        <v>0</v>
      </c>
      <c r="Q805" s="174">
        <f t="shared" si="164"/>
        <v>541</v>
      </c>
      <c r="R805" s="174">
        <f>VLOOKUP(D805,原始分!$D:$N,9,0)</f>
        <v>50.5</v>
      </c>
      <c r="S805" s="174">
        <f t="shared" si="165"/>
        <v>144</v>
      </c>
      <c r="T805" s="174">
        <f>VLOOKUP(D805,原始分!$D:$N,10,0)</f>
        <v>61.5</v>
      </c>
      <c r="U805" s="174">
        <f t="shared" si="166"/>
        <v>89</v>
      </c>
      <c r="V805" s="174">
        <f>VLOOKUP(D805,原始分!$D:$N,11,0)</f>
        <v>0</v>
      </c>
      <c r="W805" s="174">
        <f t="shared" si="167"/>
        <v>565</v>
      </c>
      <c r="X805" s="11">
        <f t="shared" si="168"/>
        <v>318.75</v>
      </c>
      <c r="Y805" s="9">
        <f t="shared" si="169"/>
        <v>169</v>
      </c>
      <c r="Z805" s="11">
        <f t="shared" si="170"/>
        <v>490.25</v>
      </c>
      <c r="AA805" s="9">
        <f t="shared" si="171"/>
        <v>55</v>
      </c>
    </row>
    <row r="806" ht="14.25" spans="1:27">
      <c r="A806" s="13">
        <v>804</v>
      </c>
      <c r="B806" s="15">
        <v>17</v>
      </c>
      <c r="C806" s="16">
        <v>27</v>
      </c>
      <c r="D806" s="15" t="s">
        <v>1606</v>
      </c>
      <c r="E806" s="15" t="s">
        <v>1607</v>
      </c>
      <c r="F806" s="174">
        <f>VLOOKUP(D806,原始分!$D:$N,3,0)</f>
        <v>97.25</v>
      </c>
      <c r="G806" s="174">
        <f t="shared" si="159"/>
        <v>548</v>
      </c>
      <c r="H806" s="174">
        <f>VLOOKUP(D806,原始分!$D:$N,4,0)</f>
        <v>105</v>
      </c>
      <c r="I806" s="174">
        <f t="shared" si="160"/>
        <v>317</v>
      </c>
      <c r="J806" s="174">
        <f>VLOOKUP(D806,原始分!$D:$N,5,0)</f>
        <v>113.5</v>
      </c>
      <c r="K806" s="174">
        <f t="shared" si="161"/>
        <v>125</v>
      </c>
      <c r="L806" s="174">
        <f>VLOOKUP(D806,原始分!$D:$N,6,0)</f>
        <v>0</v>
      </c>
      <c r="M806" s="174">
        <f t="shared" si="162"/>
        <v>664</v>
      </c>
      <c r="N806" s="174">
        <f>VLOOKUP(D806,原始分!$D:$N,7,0)</f>
        <v>55</v>
      </c>
      <c r="O806" s="174">
        <f t="shared" si="163"/>
        <v>124</v>
      </c>
      <c r="P806" s="174">
        <f>VLOOKUP(D806,原始分!$D:$N,8,0)</f>
        <v>0</v>
      </c>
      <c r="Q806" s="174">
        <f t="shared" si="164"/>
        <v>541</v>
      </c>
      <c r="R806" s="174">
        <f>VLOOKUP(D806,原始分!$D:$N,9,0)</f>
        <v>49</v>
      </c>
      <c r="S806" s="174">
        <f t="shared" si="165"/>
        <v>174</v>
      </c>
      <c r="T806" s="174">
        <f>VLOOKUP(D806,原始分!$D:$N,10,0)</f>
        <v>61</v>
      </c>
      <c r="U806" s="174">
        <f t="shared" si="166"/>
        <v>95</v>
      </c>
      <c r="V806" s="174">
        <f>VLOOKUP(D806,原始分!$D:$N,11,0)</f>
        <v>0</v>
      </c>
      <c r="W806" s="174">
        <f t="shared" si="167"/>
        <v>565</v>
      </c>
      <c r="X806" s="11">
        <f t="shared" si="168"/>
        <v>315.75</v>
      </c>
      <c r="Y806" s="9">
        <f t="shared" si="169"/>
        <v>199</v>
      </c>
      <c r="Z806" s="11">
        <f t="shared" si="170"/>
        <v>480.75</v>
      </c>
      <c r="AA806" s="9">
        <f t="shared" si="171"/>
        <v>74</v>
      </c>
    </row>
    <row r="807" ht="14.25" spans="1:27">
      <c r="A807" s="13">
        <v>805</v>
      </c>
      <c r="B807" s="15">
        <v>17</v>
      </c>
      <c r="C807" s="16">
        <v>28</v>
      </c>
      <c r="D807" s="15" t="s">
        <v>1608</v>
      </c>
      <c r="E807" s="15" t="s">
        <v>1609</v>
      </c>
      <c r="F807" s="174">
        <f>VLOOKUP(D807,原始分!$D:$N,3,0)</f>
        <v>98</v>
      </c>
      <c r="G807" s="174">
        <f t="shared" si="159"/>
        <v>500</v>
      </c>
      <c r="H807" s="174">
        <f>VLOOKUP(D807,原始分!$D:$N,4,0)</f>
        <v>110.5</v>
      </c>
      <c r="I807" s="174">
        <f t="shared" si="160"/>
        <v>211</v>
      </c>
      <c r="J807" s="174">
        <f>VLOOKUP(D807,原始分!$D:$N,5,0)</f>
        <v>103.5</v>
      </c>
      <c r="K807" s="174">
        <f t="shared" si="161"/>
        <v>305</v>
      </c>
      <c r="L807" s="174">
        <f>VLOOKUP(D807,原始分!$D:$N,6,0)</f>
        <v>0</v>
      </c>
      <c r="M807" s="174">
        <f t="shared" si="162"/>
        <v>664</v>
      </c>
      <c r="N807" s="174">
        <f>VLOOKUP(D807,原始分!$D:$N,7,0)</f>
        <v>65.5</v>
      </c>
      <c r="O807" s="174">
        <f t="shared" si="163"/>
        <v>27</v>
      </c>
      <c r="P807" s="174">
        <f>VLOOKUP(D807,原始分!$D:$N,8,0)</f>
        <v>0</v>
      </c>
      <c r="Q807" s="174">
        <f t="shared" si="164"/>
        <v>541</v>
      </c>
      <c r="R807" s="174">
        <f>VLOOKUP(D807,原始分!$D:$N,9,0)</f>
        <v>44</v>
      </c>
      <c r="S807" s="174">
        <f t="shared" si="165"/>
        <v>257</v>
      </c>
      <c r="T807" s="174">
        <f>VLOOKUP(D807,原始分!$D:$N,10,0)</f>
        <v>49.5</v>
      </c>
      <c r="U807" s="174">
        <f t="shared" si="166"/>
        <v>253</v>
      </c>
      <c r="V807" s="174">
        <f>VLOOKUP(D807,原始分!$D:$N,11,0)</f>
        <v>0</v>
      </c>
      <c r="W807" s="174">
        <f t="shared" si="167"/>
        <v>565</v>
      </c>
      <c r="X807" s="11">
        <f t="shared" si="168"/>
        <v>312</v>
      </c>
      <c r="Y807" s="9">
        <f t="shared" si="169"/>
        <v>235</v>
      </c>
      <c r="Z807" s="11">
        <f t="shared" si="170"/>
        <v>471</v>
      </c>
      <c r="AA807" s="9">
        <f t="shared" si="171"/>
        <v>89</v>
      </c>
    </row>
    <row r="808" ht="14.25" spans="1:27">
      <c r="A808" s="13">
        <v>806</v>
      </c>
      <c r="B808" s="15">
        <v>17</v>
      </c>
      <c r="C808" s="16">
        <v>29</v>
      </c>
      <c r="D808" s="15" t="s">
        <v>1610</v>
      </c>
      <c r="E808" s="15" t="s">
        <v>1611</v>
      </c>
      <c r="F808" s="174">
        <f>VLOOKUP(D808,原始分!$D:$N,3,0)</f>
        <v>102.5</v>
      </c>
      <c r="G808" s="174">
        <f t="shared" si="159"/>
        <v>279</v>
      </c>
      <c r="H808" s="174">
        <f>VLOOKUP(D808,原始分!$D:$N,4,0)</f>
        <v>106</v>
      </c>
      <c r="I808" s="174">
        <f t="shared" si="160"/>
        <v>297</v>
      </c>
      <c r="J808" s="174">
        <f>VLOOKUP(D808,原始分!$D:$N,5,0)</f>
        <v>109</v>
      </c>
      <c r="K808" s="174">
        <f t="shared" si="161"/>
        <v>193</v>
      </c>
      <c r="L808" s="174">
        <f>VLOOKUP(D808,原始分!$D:$N,6,0)</f>
        <v>0</v>
      </c>
      <c r="M808" s="174">
        <f t="shared" si="162"/>
        <v>664</v>
      </c>
      <c r="N808" s="174">
        <f>VLOOKUP(D808,原始分!$D:$N,7,0)</f>
        <v>57</v>
      </c>
      <c r="O808" s="174">
        <f t="shared" si="163"/>
        <v>100</v>
      </c>
      <c r="P808" s="174">
        <f>VLOOKUP(D808,原始分!$D:$N,8,0)</f>
        <v>0</v>
      </c>
      <c r="Q808" s="174">
        <f t="shared" si="164"/>
        <v>541</v>
      </c>
      <c r="R808" s="174">
        <f>VLOOKUP(D808,原始分!$D:$N,9,0)</f>
        <v>49</v>
      </c>
      <c r="S808" s="174">
        <f t="shared" si="165"/>
        <v>174</v>
      </c>
      <c r="T808" s="174">
        <f>VLOOKUP(D808,原始分!$D:$N,10,0)</f>
        <v>59.5</v>
      </c>
      <c r="U808" s="174">
        <f t="shared" si="166"/>
        <v>116</v>
      </c>
      <c r="V808" s="174">
        <f>VLOOKUP(D808,原始分!$D:$N,11,0)</f>
        <v>0</v>
      </c>
      <c r="W808" s="174">
        <f t="shared" si="167"/>
        <v>565</v>
      </c>
      <c r="X808" s="11">
        <f t="shared" si="168"/>
        <v>317.5</v>
      </c>
      <c r="Y808" s="9">
        <f t="shared" si="169"/>
        <v>184</v>
      </c>
      <c r="Z808" s="11">
        <f t="shared" si="170"/>
        <v>483</v>
      </c>
      <c r="AA808" s="9">
        <f t="shared" si="171"/>
        <v>69</v>
      </c>
    </row>
    <row r="809" ht="14.25" spans="1:27">
      <c r="A809" s="13">
        <v>807</v>
      </c>
      <c r="B809" s="15">
        <v>17</v>
      </c>
      <c r="C809" s="16">
        <v>30</v>
      </c>
      <c r="D809" s="15" t="s">
        <v>1612</v>
      </c>
      <c r="E809" s="15" t="s">
        <v>1613</v>
      </c>
      <c r="F809" s="174">
        <f>VLOOKUP(D809,原始分!$D:$N,3,0)</f>
        <v>90.25</v>
      </c>
      <c r="G809" s="174">
        <f t="shared" si="159"/>
        <v>777</v>
      </c>
      <c r="H809" s="174">
        <f>VLOOKUP(D809,原始分!$D:$N,4,0)</f>
        <v>103</v>
      </c>
      <c r="I809" s="174">
        <f t="shared" si="160"/>
        <v>366</v>
      </c>
      <c r="J809" s="174">
        <f>VLOOKUP(D809,原始分!$D:$N,5,0)</f>
        <v>107.25</v>
      </c>
      <c r="K809" s="174">
        <f t="shared" si="161"/>
        <v>225</v>
      </c>
      <c r="L809" s="174">
        <f>VLOOKUP(D809,原始分!$D:$N,6,0)</f>
        <v>0</v>
      </c>
      <c r="M809" s="174">
        <f t="shared" si="162"/>
        <v>664</v>
      </c>
      <c r="N809" s="174">
        <f>VLOOKUP(D809,原始分!$D:$N,7,0)</f>
        <v>54.5</v>
      </c>
      <c r="O809" s="174">
        <f t="shared" si="163"/>
        <v>128</v>
      </c>
      <c r="P809" s="174">
        <f>VLOOKUP(D809,原始分!$D:$N,8,0)</f>
        <v>0</v>
      </c>
      <c r="Q809" s="174">
        <f t="shared" si="164"/>
        <v>541</v>
      </c>
      <c r="R809" s="174">
        <f>VLOOKUP(D809,原始分!$D:$N,9,0)</f>
        <v>68.5</v>
      </c>
      <c r="S809" s="174">
        <f t="shared" si="165"/>
        <v>1</v>
      </c>
      <c r="T809" s="174">
        <f>VLOOKUP(D809,原始分!$D:$N,10,0)</f>
        <v>70.5</v>
      </c>
      <c r="U809" s="174">
        <f t="shared" si="166"/>
        <v>10</v>
      </c>
      <c r="V809" s="174">
        <f>VLOOKUP(D809,原始分!$D:$N,11,0)</f>
        <v>0</v>
      </c>
      <c r="W809" s="174">
        <f t="shared" si="167"/>
        <v>565</v>
      </c>
      <c r="X809" s="11">
        <f t="shared" si="168"/>
        <v>300.5</v>
      </c>
      <c r="Y809" s="9">
        <f t="shared" si="169"/>
        <v>369</v>
      </c>
      <c r="Z809" s="11">
        <f t="shared" si="170"/>
        <v>494</v>
      </c>
      <c r="AA809" s="9">
        <f t="shared" si="171"/>
        <v>47</v>
      </c>
    </row>
    <row r="810" ht="14.25" spans="1:27">
      <c r="A810" s="13">
        <v>808</v>
      </c>
      <c r="B810" s="15">
        <v>17</v>
      </c>
      <c r="C810" s="16">
        <v>31</v>
      </c>
      <c r="D810" s="15" t="s">
        <v>1614</v>
      </c>
      <c r="E810" s="15" t="s">
        <v>1615</v>
      </c>
      <c r="F810" s="174">
        <f>VLOOKUP(D810,原始分!$D:$N,3,0)</f>
        <v>115.5</v>
      </c>
      <c r="G810" s="174">
        <f t="shared" si="159"/>
        <v>10</v>
      </c>
      <c r="H810" s="174">
        <f>VLOOKUP(D810,原始分!$D:$N,4,0)</f>
        <v>102.5</v>
      </c>
      <c r="I810" s="174">
        <f t="shared" si="160"/>
        <v>372</v>
      </c>
      <c r="J810" s="174">
        <f>VLOOKUP(D810,原始分!$D:$N,5,0)</f>
        <v>90</v>
      </c>
      <c r="K810" s="174">
        <f t="shared" si="161"/>
        <v>586</v>
      </c>
      <c r="L810" s="174">
        <f>VLOOKUP(D810,原始分!$D:$N,6,0)</f>
        <v>0</v>
      </c>
      <c r="M810" s="174">
        <f t="shared" si="162"/>
        <v>664</v>
      </c>
      <c r="N810" s="174">
        <f>VLOOKUP(D810,原始分!$D:$N,7,0)</f>
        <v>54.5</v>
      </c>
      <c r="O810" s="174">
        <f t="shared" si="163"/>
        <v>128</v>
      </c>
      <c r="P810" s="174">
        <f>VLOOKUP(D810,原始分!$D:$N,8,0)</f>
        <v>0</v>
      </c>
      <c r="Q810" s="174">
        <f t="shared" si="164"/>
        <v>541</v>
      </c>
      <c r="R810" s="174">
        <f>VLOOKUP(D810,原始分!$D:$N,9,0)</f>
        <v>64</v>
      </c>
      <c r="S810" s="174">
        <f t="shared" si="165"/>
        <v>11</v>
      </c>
      <c r="T810" s="174">
        <f>VLOOKUP(D810,原始分!$D:$N,10,0)</f>
        <v>67</v>
      </c>
      <c r="U810" s="174">
        <f t="shared" si="166"/>
        <v>28</v>
      </c>
      <c r="V810" s="174">
        <f>VLOOKUP(D810,原始分!$D:$N,11,0)</f>
        <v>0</v>
      </c>
      <c r="W810" s="174">
        <f t="shared" si="167"/>
        <v>565</v>
      </c>
      <c r="X810" s="11">
        <f t="shared" si="168"/>
        <v>308</v>
      </c>
      <c r="Y810" s="9">
        <f t="shared" si="169"/>
        <v>289</v>
      </c>
      <c r="Z810" s="11">
        <f t="shared" si="170"/>
        <v>493.5</v>
      </c>
      <c r="AA810" s="9">
        <f t="shared" si="171"/>
        <v>50</v>
      </c>
    </row>
    <row r="811" ht="14.25" spans="1:27">
      <c r="A811" s="13">
        <v>809</v>
      </c>
      <c r="B811" s="15">
        <v>17</v>
      </c>
      <c r="C811" s="16">
        <v>33</v>
      </c>
      <c r="D811" s="15" t="s">
        <v>1616</v>
      </c>
      <c r="E811" s="15" t="s">
        <v>1617</v>
      </c>
      <c r="F811" s="174">
        <f>VLOOKUP(D811,原始分!$D:$N,3,0)</f>
        <v>97</v>
      </c>
      <c r="G811" s="174">
        <f t="shared" si="159"/>
        <v>551</v>
      </c>
      <c r="H811" s="174">
        <f>VLOOKUP(D811,原始分!$D:$N,4,0)</f>
        <v>94</v>
      </c>
      <c r="I811" s="174">
        <f t="shared" si="160"/>
        <v>538</v>
      </c>
      <c r="J811" s="174">
        <f>VLOOKUP(D811,原始分!$D:$N,5,0)</f>
        <v>85.25</v>
      </c>
      <c r="K811" s="174">
        <f t="shared" si="161"/>
        <v>667</v>
      </c>
      <c r="L811" s="174">
        <f>VLOOKUP(D811,原始分!$D:$N,6,0)</f>
        <v>0</v>
      </c>
      <c r="M811" s="174">
        <f t="shared" si="162"/>
        <v>664</v>
      </c>
      <c r="N811" s="174">
        <f>VLOOKUP(D811,原始分!$D:$N,7,0)</f>
        <v>49</v>
      </c>
      <c r="O811" s="174">
        <f t="shared" si="163"/>
        <v>172</v>
      </c>
      <c r="P811" s="174">
        <f>VLOOKUP(D811,原始分!$D:$N,8,0)</f>
        <v>0</v>
      </c>
      <c r="Q811" s="174">
        <f t="shared" si="164"/>
        <v>541</v>
      </c>
      <c r="R811" s="174">
        <f>VLOOKUP(D811,原始分!$D:$N,9,0)</f>
        <v>43</v>
      </c>
      <c r="S811" s="174">
        <f t="shared" si="165"/>
        <v>270</v>
      </c>
      <c r="T811" s="174">
        <f>VLOOKUP(D811,原始分!$D:$N,10,0)</f>
        <v>48.5</v>
      </c>
      <c r="U811" s="174">
        <f t="shared" si="166"/>
        <v>265</v>
      </c>
      <c r="V811" s="174">
        <f>VLOOKUP(D811,原始分!$D:$N,11,0)</f>
        <v>0</v>
      </c>
      <c r="W811" s="174">
        <f t="shared" si="167"/>
        <v>565</v>
      </c>
      <c r="X811" s="11">
        <f t="shared" si="168"/>
        <v>276.25</v>
      </c>
      <c r="Y811" s="9">
        <f t="shared" si="169"/>
        <v>645</v>
      </c>
      <c r="Z811" s="11">
        <f t="shared" si="170"/>
        <v>416.75</v>
      </c>
      <c r="AA811" s="9">
        <f t="shared" si="171"/>
        <v>183</v>
      </c>
    </row>
    <row r="812" ht="14.25" spans="1:27">
      <c r="A812" s="13">
        <v>810</v>
      </c>
      <c r="B812" s="15">
        <v>17</v>
      </c>
      <c r="C812" s="16">
        <v>35</v>
      </c>
      <c r="D812" s="15" t="s">
        <v>1618</v>
      </c>
      <c r="E812" s="15" t="s">
        <v>1619</v>
      </c>
      <c r="F812" s="174">
        <f>VLOOKUP(D812,原始分!$D:$N,3,0)</f>
        <v>103.25</v>
      </c>
      <c r="G812" s="174">
        <f t="shared" si="159"/>
        <v>258</v>
      </c>
      <c r="H812" s="174">
        <f>VLOOKUP(D812,原始分!$D:$N,4,0)</f>
        <v>78</v>
      </c>
      <c r="I812" s="174">
        <f t="shared" si="160"/>
        <v>767</v>
      </c>
      <c r="J812" s="174">
        <f>VLOOKUP(D812,原始分!$D:$N,5,0)</f>
        <v>81</v>
      </c>
      <c r="K812" s="174">
        <f t="shared" si="161"/>
        <v>733</v>
      </c>
      <c r="L812" s="174">
        <f>VLOOKUP(D812,原始分!$D:$N,6,0)</f>
        <v>0</v>
      </c>
      <c r="M812" s="174">
        <f t="shared" si="162"/>
        <v>664</v>
      </c>
      <c r="N812" s="174">
        <f>VLOOKUP(D812,原始分!$D:$N,7,0)</f>
        <v>62</v>
      </c>
      <c r="O812" s="174">
        <f t="shared" si="163"/>
        <v>50</v>
      </c>
      <c r="P812" s="174">
        <f>VLOOKUP(D812,原始分!$D:$N,8,0)</f>
        <v>0</v>
      </c>
      <c r="Q812" s="174">
        <f t="shared" si="164"/>
        <v>541</v>
      </c>
      <c r="R812" s="174">
        <f>VLOOKUP(D812,原始分!$D:$N,9,0)</f>
        <v>50</v>
      </c>
      <c r="S812" s="174">
        <f t="shared" si="165"/>
        <v>154</v>
      </c>
      <c r="T812" s="174">
        <f>VLOOKUP(D812,原始分!$D:$N,10,0)</f>
        <v>49</v>
      </c>
      <c r="U812" s="174">
        <f t="shared" si="166"/>
        <v>262</v>
      </c>
      <c r="V812" s="174">
        <f>VLOOKUP(D812,原始分!$D:$N,11,0)</f>
        <v>0</v>
      </c>
      <c r="W812" s="174">
        <f t="shared" si="167"/>
        <v>565</v>
      </c>
      <c r="X812" s="11">
        <f t="shared" si="168"/>
        <v>262.25</v>
      </c>
      <c r="Y812" s="9">
        <f t="shared" si="169"/>
        <v>762</v>
      </c>
      <c r="Z812" s="11">
        <f t="shared" si="170"/>
        <v>423.25</v>
      </c>
      <c r="AA812" s="9">
        <f t="shared" si="171"/>
        <v>175</v>
      </c>
    </row>
    <row r="813" ht="14.25" spans="1:27">
      <c r="A813" s="13">
        <v>811</v>
      </c>
      <c r="B813" s="15">
        <v>17</v>
      </c>
      <c r="C813" s="16">
        <v>36</v>
      </c>
      <c r="D813" s="15" t="s">
        <v>1620</v>
      </c>
      <c r="E813" s="15" t="s">
        <v>1621</v>
      </c>
      <c r="F813" s="174">
        <f>VLOOKUP(D813,原始分!$D:$N,3,0)</f>
        <v>110.5</v>
      </c>
      <c r="G813" s="174">
        <f t="shared" si="159"/>
        <v>43</v>
      </c>
      <c r="H813" s="174">
        <f>VLOOKUP(D813,原始分!$D:$N,4,0)</f>
        <v>74.5</v>
      </c>
      <c r="I813" s="174">
        <f t="shared" si="160"/>
        <v>789</v>
      </c>
      <c r="J813" s="174">
        <f>VLOOKUP(D813,原始分!$D:$N,5,0)</f>
        <v>84.5</v>
      </c>
      <c r="K813" s="174">
        <f t="shared" si="161"/>
        <v>677</v>
      </c>
      <c r="L813" s="174">
        <f>VLOOKUP(D813,原始分!$D:$N,6,0)</f>
        <v>0</v>
      </c>
      <c r="M813" s="174">
        <f t="shared" si="162"/>
        <v>664</v>
      </c>
      <c r="N813" s="174">
        <f>VLOOKUP(D813,原始分!$D:$N,7,0)</f>
        <v>61.5</v>
      </c>
      <c r="O813" s="174">
        <f t="shared" si="163"/>
        <v>56</v>
      </c>
      <c r="P813" s="174">
        <f>VLOOKUP(D813,原始分!$D:$N,8,0)</f>
        <v>0</v>
      </c>
      <c r="Q813" s="174">
        <f t="shared" si="164"/>
        <v>541</v>
      </c>
      <c r="R813" s="174">
        <f>VLOOKUP(D813,原始分!$D:$N,9,0)</f>
        <v>40.5</v>
      </c>
      <c r="S813" s="174">
        <f t="shared" si="165"/>
        <v>289</v>
      </c>
      <c r="T813" s="174">
        <f>VLOOKUP(D813,原始分!$D:$N,10,0)</f>
        <v>56.5</v>
      </c>
      <c r="U813" s="174">
        <f t="shared" si="166"/>
        <v>172</v>
      </c>
      <c r="V813" s="174">
        <f>VLOOKUP(D813,原始分!$D:$N,11,0)</f>
        <v>0</v>
      </c>
      <c r="W813" s="174">
        <f t="shared" si="167"/>
        <v>565</v>
      </c>
      <c r="X813" s="11">
        <f t="shared" si="168"/>
        <v>269.5</v>
      </c>
      <c r="Y813" s="9">
        <f t="shared" si="169"/>
        <v>710</v>
      </c>
      <c r="Z813" s="11">
        <f t="shared" si="170"/>
        <v>428</v>
      </c>
      <c r="AA813" s="9">
        <f t="shared" si="171"/>
        <v>169</v>
      </c>
    </row>
    <row r="814" ht="14.25" spans="1:27">
      <c r="A814" s="13">
        <v>812</v>
      </c>
      <c r="B814" s="15">
        <v>17</v>
      </c>
      <c r="C814" s="16">
        <v>37</v>
      </c>
      <c r="D814" s="15" t="s">
        <v>1622</v>
      </c>
      <c r="E814" s="15" t="s">
        <v>1623</v>
      </c>
      <c r="F814" s="174">
        <f>VLOOKUP(D814,原始分!$D:$N,3,0)</f>
        <v>101.5</v>
      </c>
      <c r="G814" s="174">
        <f t="shared" si="159"/>
        <v>319</v>
      </c>
      <c r="H814" s="174">
        <f>VLOOKUP(D814,原始分!$D:$N,4,0)</f>
        <v>102</v>
      </c>
      <c r="I814" s="174">
        <f t="shared" si="160"/>
        <v>383</v>
      </c>
      <c r="J814" s="174">
        <f>VLOOKUP(D814,原始分!$D:$N,5,0)</f>
        <v>111.25</v>
      </c>
      <c r="K814" s="174">
        <f t="shared" si="161"/>
        <v>158</v>
      </c>
      <c r="L814" s="174">
        <f>VLOOKUP(D814,原始分!$D:$N,6,0)</f>
        <v>0</v>
      </c>
      <c r="M814" s="174">
        <f t="shared" si="162"/>
        <v>664</v>
      </c>
      <c r="N814" s="174">
        <f>VLOOKUP(D814,原始分!$D:$N,7,0)</f>
        <v>61.5</v>
      </c>
      <c r="O814" s="174">
        <f t="shared" si="163"/>
        <v>56</v>
      </c>
      <c r="P814" s="174">
        <f>VLOOKUP(D814,原始分!$D:$N,8,0)</f>
        <v>0</v>
      </c>
      <c r="Q814" s="174">
        <f t="shared" si="164"/>
        <v>541</v>
      </c>
      <c r="R814" s="174">
        <f>VLOOKUP(D814,原始分!$D:$N,9,0)</f>
        <v>54</v>
      </c>
      <c r="S814" s="174">
        <f t="shared" si="165"/>
        <v>89</v>
      </c>
      <c r="T814" s="174">
        <f>VLOOKUP(D814,原始分!$D:$N,10,0)</f>
        <v>52</v>
      </c>
      <c r="U814" s="174">
        <f t="shared" si="166"/>
        <v>233</v>
      </c>
      <c r="V814" s="174">
        <f>VLOOKUP(D814,原始分!$D:$N,11,0)</f>
        <v>0</v>
      </c>
      <c r="W814" s="174">
        <f t="shared" si="167"/>
        <v>565</v>
      </c>
      <c r="X814" s="11">
        <f t="shared" si="168"/>
        <v>314.75</v>
      </c>
      <c r="Y814" s="9">
        <f t="shared" si="169"/>
        <v>207</v>
      </c>
      <c r="Z814" s="11">
        <f t="shared" si="170"/>
        <v>482.25</v>
      </c>
      <c r="AA814" s="9">
        <f t="shared" si="171"/>
        <v>71</v>
      </c>
    </row>
    <row r="815" ht="14.25" spans="1:27">
      <c r="A815" s="13">
        <v>813</v>
      </c>
      <c r="B815" s="15">
        <v>17</v>
      </c>
      <c r="C815" s="16">
        <v>38</v>
      </c>
      <c r="D815" s="15" t="s">
        <v>1624</v>
      </c>
      <c r="E815" s="15" t="s">
        <v>1625</v>
      </c>
      <c r="F815" s="174">
        <f>VLOOKUP(D815,原始分!$D:$N,3,0)</f>
        <v>115</v>
      </c>
      <c r="G815" s="174">
        <f t="shared" si="159"/>
        <v>12</v>
      </c>
      <c r="H815" s="174">
        <f>VLOOKUP(D815,原始分!$D:$N,4,0)</f>
        <v>64.5</v>
      </c>
      <c r="I815" s="174">
        <f t="shared" si="160"/>
        <v>833</v>
      </c>
      <c r="J815" s="174">
        <f>VLOOKUP(D815,原始分!$D:$N,5,0)</f>
        <v>118.5</v>
      </c>
      <c r="K815" s="174">
        <f t="shared" si="161"/>
        <v>58</v>
      </c>
      <c r="L815" s="174">
        <f>VLOOKUP(D815,原始分!$D:$N,6,0)</f>
        <v>0</v>
      </c>
      <c r="M815" s="174">
        <f t="shared" si="162"/>
        <v>664</v>
      </c>
      <c r="N815" s="174">
        <f>VLOOKUP(D815,原始分!$D:$N,7,0)</f>
        <v>47.5</v>
      </c>
      <c r="O815" s="174">
        <f t="shared" si="163"/>
        <v>185</v>
      </c>
      <c r="P815" s="174">
        <f>VLOOKUP(D815,原始分!$D:$N,8,0)</f>
        <v>0</v>
      </c>
      <c r="Q815" s="174">
        <f t="shared" si="164"/>
        <v>541</v>
      </c>
      <c r="R815" s="174">
        <f>VLOOKUP(D815,原始分!$D:$N,9,0)</f>
        <v>55</v>
      </c>
      <c r="S815" s="174">
        <f t="shared" si="165"/>
        <v>73</v>
      </c>
      <c r="T815" s="174">
        <f>VLOOKUP(D815,原始分!$D:$N,10,0)</f>
        <v>68.5</v>
      </c>
      <c r="U815" s="174">
        <f t="shared" si="166"/>
        <v>16</v>
      </c>
      <c r="V815" s="174">
        <f>VLOOKUP(D815,原始分!$D:$N,11,0)</f>
        <v>0</v>
      </c>
      <c r="W815" s="174">
        <f t="shared" si="167"/>
        <v>565</v>
      </c>
      <c r="X815" s="11">
        <f t="shared" si="168"/>
        <v>298</v>
      </c>
      <c r="Y815" s="9">
        <f t="shared" si="169"/>
        <v>396</v>
      </c>
      <c r="Z815" s="11">
        <f t="shared" si="170"/>
        <v>469</v>
      </c>
      <c r="AA815" s="9">
        <f t="shared" si="171"/>
        <v>95</v>
      </c>
    </row>
    <row r="816" ht="14.25" spans="1:27">
      <c r="A816" s="13">
        <v>814</v>
      </c>
      <c r="B816" s="15">
        <v>17</v>
      </c>
      <c r="C816" s="16">
        <v>39</v>
      </c>
      <c r="D816" s="15" t="s">
        <v>1626</v>
      </c>
      <c r="E816" s="15" t="s">
        <v>1627</v>
      </c>
      <c r="F816" s="174">
        <f>VLOOKUP(D816,原始分!$D:$N,3,0)</f>
        <v>97</v>
      </c>
      <c r="G816" s="174">
        <f t="shared" si="159"/>
        <v>551</v>
      </c>
      <c r="H816" s="174">
        <f>VLOOKUP(D816,原始分!$D:$N,4,0)</f>
        <v>99</v>
      </c>
      <c r="I816" s="174">
        <f t="shared" si="160"/>
        <v>433</v>
      </c>
      <c r="J816" s="174">
        <f>VLOOKUP(D816,原始分!$D:$N,5,0)</f>
        <v>91.75</v>
      </c>
      <c r="K816" s="174">
        <f t="shared" si="161"/>
        <v>562</v>
      </c>
      <c r="L816" s="174">
        <f>VLOOKUP(D816,原始分!$D:$N,6,0)</f>
        <v>0</v>
      </c>
      <c r="M816" s="174">
        <f t="shared" si="162"/>
        <v>664</v>
      </c>
      <c r="N816" s="174">
        <f>VLOOKUP(D816,原始分!$D:$N,7,0)</f>
        <v>47</v>
      </c>
      <c r="O816" s="174">
        <f t="shared" si="163"/>
        <v>187</v>
      </c>
      <c r="P816" s="174">
        <f>VLOOKUP(D816,原始分!$D:$N,8,0)</f>
        <v>0</v>
      </c>
      <c r="Q816" s="174">
        <f t="shared" si="164"/>
        <v>541</v>
      </c>
      <c r="R816" s="174">
        <f>VLOOKUP(D816,原始分!$D:$N,9,0)</f>
        <v>55.5</v>
      </c>
      <c r="S816" s="174">
        <f t="shared" si="165"/>
        <v>64</v>
      </c>
      <c r="T816" s="174">
        <f>VLOOKUP(D816,原始分!$D:$N,10,0)</f>
        <v>48.5</v>
      </c>
      <c r="U816" s="174">
        <f t="shared" si="166"/>
        <v>265</v>
      </c>
      <c r="V816" s="174">
        <f>VLOOKUP(D816,原始分!$D:$N,11,0)</f>
        <v>0</v>
      </c>
      <c r="W816" s="174">
        <f t="shared" si="167"/>
        <v>565</v>
      </c>
      <c r="X816" s="11">
        <f t="shared" si="168"/>
        <v>287.75</v>
      </c>
      <c r="Y816" s="9">
        <f t="shared" si="169"/>
        <v>515</v>
      </c>
      <c r="Z816" s="11">
        <f t="shared" si="170"/>
        <v>438.75</v>
      </c>
      <c r="AA816" s="9">
        <f t="shared" si="171"/>
        <v>149</v>
      </c>
    </row>
    <row r="817" ht="14.25" spans="1:27">
      <c r="A817" s="13">
        <v>815</v>
      </c>
      <c r="B817" s="15">
        <v>17</v>
      </c>
      <c r="C817" s="16">
        <v>40</v>
      </c>
      <c r="D817" s="15" t="s">
        <v>1628</v>
      </c>
      <c r="E817" s="15" t="s">
        <v>1629</v>
      </c>
      <c r="F817" s="174">
        <f>VLOOKUP(D817,原始分!$D:$N,3,0)</f>
        <v>95.25</v>
      </c>
      <c r="G817" s="174">
        <f t="shared" si="159"/>
        <v>615</v>
      </c>
      <c r="H817" s="174">
        <f>VLOOKUP(D817,原始分!$D:$N,4,0)</f>
        <v>76</v>
      </c>
      <c r="I817" s="174">
        <f t="shared" si="160"/>
        <v>782</v>
      </c>
      <c r="J817" s="174">
        <f>VLOOKUP(D817,原始分!$D:$N,5,0)</f>
        <v>101.5</v>
      </c>
      <c r="K817" s="174">
        <f t="shared" si="161"/>
        <v>334</v>
      </c>
      <c r="L817" s="174">
        <f>VLOOKUP(D817,原始分!$D:$N,6,0)</f>
        <v>0</v>
      </c>
      <c r="M817" s="174">
        <f t="shared" si="162"/>
        <v>664</v>
      </c>
      <c r="N817" s="174">
        <f>VLOOKUP(D817,原始分!$D:$N,7,0)</f>
        <v>59.5</v>
      </c>
      <c r="O817" s="174">
        <f t="shared" si="163"/>
        <v>69</v>
      </c>
      <c r="P817" s="174">
        <f>VLOOKUP(D817,原始分!$D:$N,8,0)</f>
        <v>0</v>
      </c>
      <c r="Q817" s="174">
        <f t="shared" si="164"/>
        <v>541</v>
      </c>
      <c r="R817" s="174">
        <f>VLOOKUP(D817,原始分!$D:$N,9,0)</f>
        <v>51.5</v>
      </c>
      <c r="S817" s="174">
        <f t="shared" si="165"/>
        <v>132</v>
      </c>
      <c r="T817" s="174">
        <f>VLOOKUP(D817,原始分!$D:$N,10,0)</f>
        <v>55</v>
      </c>
      <c r="U817" s="174">
        <f t="shared" si="166"/>
        <v>193</v>
      </c>
      <c r="V817" s="174">
        <f>VLOOKUP(D817,原始分!$D:$N,11,0)</f>
        <v>0</v>
      </c>
      <c r="W817" s="174">
        <f t="shared" si="167"/>
        <v>565</v>
      </c>
      <c r="X817" s="11">
        <f t="shared" si="168"/>
        <v>272.75</v>
      </c>
      <c r="Y817" s="9">
        <f t="shared" si="169"/>
        <v>670</v>
      </c>
      <c r="Z817" s="11">
        <f t="shared" si="170"/>
        <v>438.75</v>
      </c>
      <c r="AA817" s="9">
        <f t="shared" si="171"/>
        <v>149</v>
      </c>
    </row>
    <row r="818" ht="14.25" spans="1:27">
      <c r="A818" s="13">
        <v>816</v>
      </c>
      <c r="B818" s="15">
        <v>17</v>
      </c>
      <c r="C818" s="16">
        <v>41</v>
      </c>
      <c r="D818" s="15" t="s">
        <v>1630</v>
      </c>
      <c r="E818" s="15" t="s">
        <v>1631</v>
      </c>
      <c r="F818" s="174">
        <f>VLOOKUP(D818,原始分!$D:$N,3,0)</f>
        <v>107</v>
      </c>
      <c r="G818" s="174">
        <f t="shared" si="159"/>
        <v>113</v>
      </c>
      <c r="H818" s="174">
        <f>VLOOKUP(D818,原始分!$D:$N,4,0)</f>
        <v>87</v>
      </c>
      <c r="I818" s="174">
        <f t="shared" si="160"/>
        <v>677</v>
      </c>
      <c r="J818" s="174">
        <f>VLOOKUP(D818,原始分!$D:$N,5,0)</f>
        <v>108.25</v>
      </c>
      <c r="K818" s="174">
        <f t="shared" si="161"/>
        <v>203</v>
      </c>
      <c r="L818" s="174">
        <f>VLOOKUP(D818,原始分!$D:$N,6,0)</f>
        <v>0</v>
      </c>
      <c r="M818" s="174">
        <f t="shared" si="162"/>
        <v>664</v>
      </c>
      <c r="N818" s="174">
        <f>VLOOKUP(D818,原始分!$D:$N,7,0)</f>
        <v>51</v>
      </c>
      <c r="O818" s="174">
        <f t="shared" si="163"/>
        <v>160</v>
      </c>
      <c r="P818" s="174">
        <f>VLOOKUP(D818,原始分!$D:$N,8,0)</f>
        <v>0</v>
      </c>
      <c r="Q818" s="174">
        <f t="shared" si="164"/>
        <v>541</v>
      </c>
      <c r="R818" s="174">
        <f>VLOOKUP(D818,原始分!$D:$N,9,0)</f>
        <v>44</v>
      </c>
      <c r="S818" s="174">
        <f t="shared" si="165"/>
        <v>257</v>
      </c>
      <c r="T818" s="174">
        <f>VLOOKUP(D818,原始分!$D:$N,10,0)</f>
        <v>67.5</v>
      </c>
      <c r="U818" s="174">
        <f t="shared" si="166"/>
        <v>22</v>
      </c>
      <c r="V818" s="174">
        <f>VLOOKUP(D818,原始分!$D:$N,11,0)</f>
        <v>0</v>
      </c>
      <c r="W818" s="174">
        <f t="shared" si="167"/>
        <v>565</v>
      </c>
      <c r="X818" s="11">
        <f t="shared" si="168"/>
        <v>302.25</v>
      </c>
      <c r="Y818" s="9">
        <f t="shared" si="169"/>
        <v>346</v>
      </c>
      <c r="Z818" s="11">
        <f t="shared" si="170"/>
        <v>464.75</v>
      </c>
      <c r="AA818" s="9">
        <f t="shared" si="171"/>
        <v>104</v>
      </c>
    </row>
    <row r="819" ht="14.25" spans="1:27">
      <c r="A819" s="13">
        <v>817</v>
      </c>
      <c r="B819" s="15">
        <v>17</v>
      </c>
      <c r="C819" s="16">
        <v>44</v>
      </c>
      <c r="D819" s="15" t="s">
        <v>1632</v>
      </c>
      <c r="E819" s="15" t="s">
        <v>1633</v>
      </c>
      <c r="F819" s="174">
        <f>VLOOKUP(D819,原始分!$D:$N,3,0)</f>
        <v>96.5</v>
      </c>
      <c r="G819" s="174">
        <f t="shared" si="159"/>
        <v>566</v>
      </c>
      <c r="H819" s="174">
        <f>VLOOKUP(D819,原始分!$D:$N,4,0)</f>
        <v>98</v>
      </c>
      <c r="I819" s="174">
        <f t="shared" si="160"/>
        <v>454</v>
      </c>
      <c r="J819" s="174">
        <f>VLOOKUP(D819,原始分!$D:$N,5,0)</f>
        <v>100.5</v>
      </c>
      <c r="K819" s="174">
        <f t="shared" si="161"/>
        <v>357</v>
      </c>
      <c r="L819" s="174">
        <f>VLOOKUP(D819,原始分!$D:$N,6,0)</f>
        <v>0</v>
      </c>
      <c r="M819" s="174">
        <f t="shared" si="162"/>
        <v>664</v>
      </c>
      <c r="N819" s="174">
        <f>VLOOKUP(D819,原始分!$D:$N,7,0)</f>
        <v>59.5</v>
      </c>
      <c r="O819" s="174">
        <f t="shared" si="163"/>
        <v>69</v>
      </c>
      <c r="P819" s="174">
        <f>VLOOKUP(D819,原始分!$D:$N,8,0)</f>
        <v>0</v>
      </c>
      <c r="Q819" s="174">
        <f t="shared" si="164"/>
        <v>541</v>
      </c>
      <c r="R819" s="174">
        <f>VLOOKUP(D819,原始分!$D:$N,9,0)</f>
        <v>44</v>
      </c>
      <c r="S819" s="174">
        <f t="shared" si="165"/>
        <v>257</v>
      </c>
      <c r="T819" s="174">
        <f>VLOOKUP(D819,原始分!$D:$N,10,0)</f>
        <v>67</v>
      </c>
      <c r="U819" s="174">
        <f t="shared" si="166"/>
        <v>28</v>
      </c>
      <c r="V819" s="174">
        <f>VLOOKUP(D819,原始分!$D:$N,11,0)</f>
        <v>0</v>
      </c>
      <c r="W819" s="174">
        <f t="shared" si="167"/>
        <v>565</v>
      </c>
      <c r="X819" s="11">
        <f t="shared" si="168"/>
        <v>295</v>
      </c>
      <c r="Y819" s="9">
        <f t="shared" si="169"/>
        <v>427</v>
      </c>
      <c r="Z819" s="11">
        <f t="shared" si="170"/>
        <v>465.5</v>
      </c>
      <c r="AA819" s="9">
        <f t="shared" si="171"/>
        <v>101</v>
      </c>
    </row>
    <row r="820" ht="14.25" spans="1:27">
      <c r="A820" s="13">
        <v>818</v>
      </c>
      <c r="B820" s="15">
        <v>17</v>
      </c>
      <c r="C820" s="16">
        <v>45</v>
      </c>
      <c r="D820" s="15" t="s">
        <v>1634</v>
      </c>
      <c r="E820" s="15" t="s">
        <v>1635</v>
      </c>
      <c r="F820" s="174">
        <f>VLOOKUP(D820,原始分!$D:$N,3,0)</f>
        <v>99</v>
      </c>
      <c r="G820" s="174">
        <f t="shared" si="159"/>
        <v>442</v>
      </c>
      <c r="H820" s="174">
        <f>VLOOKUP(D820,原始分!$D:$N,4,0)</f>
        <v>110.5</v>
      </c>
      <c r="I820" s="174">
        <f t="shared" si="160"/>
        <v>211</v>
      </c>
      <c r="J820" s="174">
        <f>VLOOKUP(D820,原始分!$D:$N,5,0)</f>
        <v>85.5</v>
      </c>
      <c r="K820" s="174">
        <f t="shared" si="161"/>
        <v>656</v>
      </c>
      <c r="L820" s="174">
        <f>VLOOKUP(D820,原始分!$D:$N,6,0)</f>
        <v>0</v>
      </c>
      <c r="M820" s="174">
        <f t="shared" si="162"/>
        <v>664</v>
      </c>
      <c r="N820" s="174">
        <f>VLOOKUP(D820,原始分!$D:$N,7,0)</f>
        <v>55.5</v>
      </c>
      <c r="O820" s="174">
        <f t="shared" si="163"/>
        <v>118</v>
      </c>
      <c r="P820" s="174">
        <f>VLOOKUP(D820,原始分!$D:$N,8,0)</f>
        <v>0</v>
      </c>
      <c r="Q820" s="174">
        <f t="shared" si="164"/>
        <v>541</v>
      </c>
      <c r="R820" s="174">
        <f>VLOOKUP(D820,原始分!$D:$N,9,0)</f>
        <v>44</v>
      </c>
      <c r="S820" s="174">
        <f t="shared" si="165"/>
        <v>257</v>
      </c>
      <c r="T820" s="174">
        <f>VLOOKUP(D820,原始分!$D:$N,10,0)</f>
        <v>67</v>
      </c>
      <c r="U820" s="174">
        <f t="shared" si="166"/>
        <v>28</v>
      </c>
      <c r="V820" s="174">
        <f>VLOOKUP(D820,原始分!$D:$N,11,0)</f>
        <v>0</v>
      </c>
      <c r="W820" s="174">
        <f t="shared" si="167"/>
        <v>565</v>
      </c>
      <c r="X820" s="11">
        <f t="shared" si="168"/>
        <v>295</v>
      </c>
      <c r="Y820" s="9">
        <f t="shared" si="169"/>
        <v>427</v>
      </c>
      <c r="Z820" s="11">
        <f t="shared" si="170"/>
        <v>461.5</v>
      </c>
      <c r="AA820" s="9">
        <f t="shared" si="171"/>
        <v>109</v>
      </c>
    </row>
    <row r="821" ht="14.25" spans="1:27">
      <c r="A821" s="13">
        <v>819</v>
      </c>
      <c r="B821" s="15">
        <v>17</v>
      </c>
      <c r="C821" s="16">
        <v>46</v>
      </c>
      <c r="D821" s="15" t="s">
        <v>1636</v>
      </c>
      <c r="E821" s="15" t="s">
        <v>1637</v>
      </c>
      <c r="F821" s="174">
        <f>VLOOKUP(D821,原始分!$D:$N,3,0)</f>
        <v>95</v>
      </c>
      <c r="G821" s="174">
        <f t="shared" si="159"/>
        <v>619</v>
      </c>
      <c r="H821" s="174">
        <f>VLOOKUP(D821,原始分!$D:$N,4,0)</f>
        <v>72</v>
      </c>
      <c r="I821" s="174">
        <f t="shared" si="160"/>
        <v>807</v>
      </c>
      <c r="J821" s="174">
        <f>VLOOKUP(D821,原始分!$D:$N,5,0)</f>
        <v>78.75</v>
      </c>
      <c r="K821" s="174">
        <f t="shared" si="161"/>
        <v>761</v>
      </c>
      <c r="L821" s="174">
        <f>VLOOKUP(D821,原始分!$D:$N,6,0)</f>
        <v>0</v>
      </c>
      <c r="M821" s="174">
        <f t="shared" si="162"/>
        <v>664</v>
      </c>
      <c r="N821" s="174">
        <f>VLOOKUP(D821,原始分!$D:$N,7,0)</f>
        <v>50.5</v>
      </c>
      <c r="O821" s="174">
        <f t="shared" si="163"/>
        <v>164</v>
      </c>
      <c r="P821" s="174">
        <f>VLOOKUP(D821,原始分!$D:$N,8,0)</f>
        <v>0</v>
      </c>
      <c r="Q821" s="174">
        <f t="shared" si="164"/>
        <v>541</v>
      </c>
      <c r="R821" s="174">
        <f>VLOOKUP(D821,原始分!$D:$N,9,0)</f>
        <v>44.5</v>
      </c>
      <c r="S821" s="174">
        <f t="shared" si="165"/>
        <v>244</v>
      </c>
      <c r="T821" s="174">
        <f>VLOOKUP(D821,原始分!$D:$N,10,0)</f>
        <v>36.5</v>
      </c>
      <c r="U821" s="174">
        <f t="shared" si="166"/>
        <v>314</v>
      </c>
      <c r="V821" s="174">
        <f>VLOOKUP(D821,原始分!$D:$N,11,0)</f>
        <v>0</v>
      </c>
      <c r="W821" s="174">
        <f t="shared" si="167"/>
        <v>565</v>
      </c>
      <c r="X821" s="11">
        <f t="shared" si="168"/>
        <v>245.75</v>
      </c>
      <c r="Y821" s="9">
        <f t="shared" si="169"/>
        <v>816</v>
      </c>
      <c r="Z821" s="11">
        <f t="shared" si="170"/>
        <v>377.25</v>
      </c>
      <c r="AA821" s="9">
        <f t="shared" si="171"/>
        <v>202</v>
      </c>
    </row>
    <row r="822" ht="14.25" spans="1:27">
      <c r="A822" s="13">
        <v>820</v>
      </c>
      <c r="B822" s="15">
        <v>17</v>
      </c>
      <c r="C822" s="16">
        <v>47</v>
      </c>
      <c r="D822" s="15" t="s">
        <v>1638</v>
      </c>
      <c r="E822" s="15" t="s">
        <v>1639</v>
      </c>
      <c r="F822" s="174">
        <f>VLOOKUP(D822,原始分!$D:$N,3,0)</f>
        <v>96.25</v>
      </c>
      <c r="G822" s="174">
        <f t="shared" si="159"/>
        <v>576</v>
      </c>
      <c r="H822" s="174">
        <f>VLOOKUP(D822,原始分!$D:$N,4,0)</f>
        <v>68.5</v>
      </c>
      <c r="I822" s="174">
        <f t="shared" si="160"/>
        <v>823</v>
      </c>
      <c r="J822" s="174">
        <f>VLOOKUP(D822,原始分!$D:$N,5,0)</f>
        <v>107.5</v>
      </c>
      <c r="K822" s="174">
        <f t="shared" si="161"/>
        <v>216</v>
      </c>
      <c r="L822" s="174">
        <f>VLOOKUP(D822,原始分!$D:$N,6,0)</f>
        <v>0</v>
      </c>
      <c r="M822" s="174">
        <f t="shared" si="162"/>
        <v>664</v>
      </c>
      <c r="N822" s="174">
        <f>VLOOKUP(D822,原始分!$D:$N,7,0)</f>
        <v>48.5</v>
      </c>
      <c r="O822" s="174">
        <f t="shared" si="163"/>
        <v>180</v>
      </c>
      <c r="P822" s="174">
        <f>VLOOKUP(D822,原始分!$D:$N,8,0)</f>
        <v>0</v>
      </c>
      <c r="Q822" s="174">
        <f t="shared" si="164"/>
        <v>541</v>
      </c>
      <c r="R822" s="174">
        <f>VLOOKUP(D822,原始分!$D:$N,9,0)</f>
        <v>44.5</v>
      </c>
      <c r="S822" s="174">
        <f t="shared" si="165"/>
        <v>244</v>
      </c>
      <c r="T822" s="174">
        <f>VLOOKUP(D822,原始分!$D:$N,10,0)</f>
        <v>48.5</v>
      </c>
      <c r="U822" s="174">
        <f t="shared" si="166"/>
        <v>265</v>
      </c>
      <c r="V822" s="174">
        <f>VLOOKUP(D822,原始分!$D:$N,11,0)</f>
        <v>0</v>
      </c>
      <c r="W822" s="174">
        <f t="shared" si="167"/>
        <v>565</v>
      </c>
      <c r="X822" s="11">
        <f t="shared" si="168"/>
        <v>272.25</v>
      </c>
      <c r="Y822" s="9">
        <f t="shared" si="169"/>
        <v>677</v>
      </c>
      <c r="Z822" s="11">
        <f t="shared" si="170"/>
        <v>413.75</v>
      </c>
      <c r="AA822" s="9">
        <f t="shared" si="171"/>
        <v>186</v>
      </c>
    </row>
    <row r="823" ht="14.25" spans="1:27">
      <c r="A823" s="13">
        <v>821</v>
      </c>
      <c r="B823" s="15">
        <v>17</v>
      </c>
      <c r="C823" s="16">
        <v>48</v>
      </c>
      <c r="D823" s="15" t="s">
        <v>1640</v>
      </c>
      <c r="E823" s="15" t="s">
        <v>1641</v>
      </c>
      <c r="F823" s="174">
        <f>VLOOKUP(D823,原始分!$D:$N,3,0)</f>
        <v>103.75</v>
      </c>
      <c r="G823" s="174">
        <f t="shared" si="159"/>
        <v>229</v>
      </c>
      <c r="H823" s="174">
        <f>VLOOKUP(D823,原始分!$D:$N,4,0)</f>
        <v>93.5</v>
      </c>
      <c r="I823" s="174">
        <f t="shared" si="160"/>
        <v>549</v>
      </c>
      <c r="J823" s="174">
        <f>VLOOKUP(D823,原始分!$D:$N,5,0)</f>
        <v>102</v>
      </c>
      <c r="K823" s="174">
        <f t="shared" si="161"/>
        <v>323</v>
      </c>
      <c r="L823" s="174">
        <f>VLOOKUP(D823,原始分!$D:$N,6,0)</f>
        <v>0</v>
      </c>
      <c r="M823" s="174">
        <f t="shared" si="162"/>
        <v>664</v>
      </c>
      <c r="N823" s="174">
        <f>VLOOKUP(D823,原始分!$D:$N,7,0)</f>
        <v>65.5</v>
      </c>
      <c r="O823" s="174">
        <f t="shared" si="163"/>
        <v>27</v>
      </c>
      <c r="P823" s="174">
        <f>VLOOKUP(D823,原始分!$D:$N,8,0)</f>
        <v>0</v>
      </c>
      <c r="Q823" s="174">
        <f t="shared" si="164"/>
        <v>541</v>
      </c>
      <c r="R823" s="174">
        <f>VLOOKUP(D823,原始分!$D:$N,9,0)</f>
        <v>60</v>
      </c>
      <c r="S823" s="174">
        <f t="shared" si="165"/>
        <v>26</v>
      </c>
      <c r="T823" s="174">
        <f>VLOOKUP(D823,原始分!$D:$N,10,0)</f>
        <v>53.25</v>
      </c>
      <c r="U823" s="174">
        <f t="shared" si="166"/>
        <v>217</v>
      </c>
      <c r="V823" s="174">
        <f>VLOOKUP(D823,原始分!$D:$N,11,0)</f>
        <v>0</v>
      </c>
      <c r="W823" s="174">
        <f t="shared" si="167"/>
        <v>565</v>
      </c>
      <c r="X823" s="11">
        <f t="shared" si="168"/>
        <v>299.25</v>
      </c>
      <c r="Y823" s="9">
        <f t="shared" si="169"/>
        <v>379</v>
      </c>
      <c r="Z823" s="11">
        <f t="shared" si="170"/>
        <v>478</v>
      </c>
      <c r="AA823" s="9">
        <f t="shared" si="171"/>
        <v>77</v>
      </c>
    </row>
    <row r="824" ht="14.25" spans="1:27">
      <c r="A824" s="13">
        <v>822</v>
      </c>
      <c r="B824" s="15">
        <v>17</v>
      </c>
      <c r="C824" s="16">
        <v>49</v>
      </c>
      <c r="D824" s="15" t="s">
        <v>1642</v>
      </c>
      <c r="E824" s="15" t="s">
        <v>1643</v>
      </c>
      <c r="F824" s="174">
        <f>VLOOKUP(D824,原始分!$D:$N,3,0)</f>
        <v>97.5</v>
      </c>
      <c r="G824" s="174">
        <f t="shared" si="159"/>
        <v>531</v>
      </c>
      <c r="H824" s="174">
        <f>VLOOKUP(D824,原始分!$D:$N,4,0)</f>
        <v>67</v>
      </c>
      <c r="I824" s="174">
        <f t="shared" si="160"/>
        <v>826</v>
      </c>
      <c r="J824" s="174">
        <f>VLOOKUP(D824,原始分!$D:$N,5,0)</f>
        <v>107</v>
      </c>
      <c r="K824" s="174">
        <f t="shared" si="161"/>
        <v>228</v>
      </c>
      <c r="L824" s="174">
        <f>VLOOKUP(D824,原始分!$D:$N,6,0)</f>
        <v>0</v>
      </c>
      <c r="M824" s="174">
        <f t="shared" si="162"/>
        <v>664</v>
      </c>
      <c r="N824" s="174">
        <f>VLOOKUP(D824,原始分!$D:$N,7,0)</f>
        <v>49.5</v>
      </c>
      <c r="O824" s="174">
        <f t="shared" si="163"/>
        <v>171</v>
      </c>
      <c r="P824" s="174">
        <f>VLOOKUP(D824,原始分!$D:$N,8,0)</f>
        <v>0</v>
      </c>
      <c r="Q824" s="174">
        <f t="shared" si="164"/>
        <v>541</v>
      </c>
      <c r="R824" s="174">
        <f>VLOOKUP(D824,原始分!$D:$N,9,0)</f>
        <v>54</v>
      </c>
      <c r="S824" s="174">
        <f t="shared" si="165"/>
        <v>89</v>
      </c>
      <c r="T824" s="174">
        <f>VLOOKUP(D824,原始分!$D:$N,10,0)</f>
        <v>57</v>
      </c>
      <c r="U824" s="174">
        <f t="shared" si="166"/>
        <v>157</v>
      </c>
      <c r="V824" s="174">
        <f>VLOOKUP(D824,原始分!$D:$N,11,0)</f>
        <v>0</v>
      </c>
      <c r="W824" s="174">
        <f t="shared" si="167"/>
        <v>565</v>
      </c>
      <c r="X824" s="11">
        <f t="shared" si="168"/>
        <v>271.5</v>
      </c>
      <c r="Y824" s="9">
        <f t="shared" si="169"/>
        <v>683</v>
      </c>
      <c r="Z824" s="11">
        <f t="shared" si="170"/>
        <v>432</v>
      </c>
      <c r="AA824" s="9">
        <f t="shared" si="171"/>
        <v>161</v>
      </c>
    </row>
    <row r="825" ht="14.25" spans="1:27">
      <c r="A825" s="13">
        <v>823</v>
      </c>
      <c r="B825" s="15">
        <v>17</v>
      </c>
      <c r="C825" s="16">
        <v>52</v>
      </c>
      <c r="D825" s="15" t="s">
        <v>1644</v>
      </c>
      <c r="E825" s="15" t="s">
        <v>1645</v>
      </c>
      <c r="F825" s="174">
        <f>VLOOKUP(D825,原始分!$D:$N,3,0)</f>
        <v>105.5</v>
      </c>
      <c r="G825" s="174">
        <f t="shared" si="159"/>
        <v>156</v>
      </c>
      <c r="H825" s="174">
        <f>VLOOKUP(D825,原始分!$D:$N,4,0)</f>
        <v>72.5</v>
      </c>
      <c r="I825" s="174">
        <f t="shared" si="160"/>
        <v>805</v>
      </c>
      <c r="J825" s="174">
        <f>VLOOKUP(D825,原始分!$D:$N,5,0)</f>
        <v>119</v>
      </c>
      <c r="K825" s="174">
        <f t="shared" si="161"/>
        <v>49</v>
      </c>
      <c r="L825" s="174">
        <f>VLOOKUP(D825,原始分!$D:$N,6,0)</f>
        <v>0</v>
      </c>
      <c r="M825" s="174">
        <f t="shared" si="162"/>
        <v>664</v>
      </c>
      <c r="N825" s="174">
        <f>VLOOKUP(D825,原始分!$D:$N,7,0)</f>
        <v>55.5</v>
      </c>
      <c r="O825" s="174">
        <f t="shared" si="163"/>
        <v>118</v>
      </c>
      <c r="P825" s="174">
        <f>VLOOKUP(D825,原始分!$D:$N,8,0)</f>
        <v>0</v>
      </c>
      <c r="Q825" s="174">
        <f t="shared" si="164"/>
        <v>541</v>
      </c>
      <c r="R825" s="174">
        <f>VLOOKUP(D825,原始分!$D:$N,9,0)</f>
        <v>53</v>
      </c>
      <c r="S825" s="174">
        <f t="shared" si="165"/>
        <v>108</v>
      </c>
      <c r="T825" s="174">
        <f>VLOOKUP(D825,原始分!$D:$N,10,0)</f>
        <v>60.5</v>
      </c>
      <c r="U825" s="174">
        <f t="shared" si="166"/>
        <v>103</v>
      </c>
      <c r="V825" s="174">
        <f>VLOOKUP(D825,原始分!$D:$N,11,0)</f>
        <v>0</v>
      </c>
      <c r="W825" s="174">
        <f t="shared" si="167"/>
        <v>565</v>
      </c>
      <c r="X825" s="11">
        <f t="shared" si="168"/>
        <v>297</v>
      </c>
      <c r="Y825" s="9">
        <f t="shared" si="169"/>
        <v>408</v>
      </c>
      <c r="Z825" s="11">
        <f t="shared" si="170"/>
        <v>466</v>
      </c>
      <c r="AA825" s="9">
        <f t="shared" si="171"/>
        <v>100</v>
      </c>
    </row>
    <row r="826" ht="14.25" spans="1:27">
      <c r="A826" s="13">
        <v>824</v>
      </c>
      <c r="B826" s="15">
        <v>17</v>
      </c>
      <c r="C826" s="16">
        <v>53</v>
      </c>
      <c r="D826" s="15" t="s">
        <v>1646</v>
      </c>
      <c r="E826" s="15" t="s">
        <v>1647</v>
      </c>
      <c r="F826" s="174">
        <f>VLOOKUP(D826,原始分!$D:$N,3,0)</f>
        <v>87.5</v>
      </c>
      <c r="G826" s="174">
        <f t="shared" si="159"/>
        <v>815</v>
      </c>
      <c r="H826" s="174">
        <f>VLOOKUP(D826,原始分!$D:$N,4,0)</f>
        <v>73</v>
      </c>
      <c r="I826" s="174">
        <f t="shared" si="160"/>
        <v>802</v>
      </c>
      <c r="J826" s="174">
        <f>VLOOKUP(D826,原始分!$D:$N,5,0)</f>
        <v>91.75</v>
      </c>
      <c r="K826" s="174">
        <f t="shared" si="161"/>
        <v>562</v>
      </c>
      <c r="L826" s="174">
        <f>VLOOKUP(D826,原始分!$D:$N,6,0)</f>
        <v>0</v>
      </c>
      <c r="M826" s="174">
        <f t="shared" si="162"/>
        <v>664</v>
      </c>
      <c r="N826" s="174">
        <f>VLOOKUP(D826,原始分!$D:$N,7,0)</f>
        <v>49</v>
      </c>
      <c r="O826" s="174">
        <f t="shared" si="163"/>
        <v>172</v>
      </c>
      <c r="P826" s="174">
        <f>VLOOKUP(D826,原始分!$D:$N,8,0)</f>
        <v>0</v>
      </c>
      <c r="Q826" s="174">
        <f t="shared" si="164"/>
        <v>541</v>
      </c>
      <c r="R826" s="174">
        <f>VLOOKUP(D826,原始分!$D:$N,9,0)</f>
        <v>42</v>
      </c>
      <c r="S826" s="174">
        <f t="shared" si="165"/>
        <v>279</v>
      </c>
      <c r="T826" s="174">
        <f>VLOOKUP(D826,原始分!$D:$N,10,0)</f>
        <v>60</v>
      </c>
      <c r="U826" s="174">
        <f t="shared" si="166"/>
        <v>108</v>
      </c>
      <c r="V826" s="174">
        <f>VLOOKUP(D826,原始分!$D:$N,11,0)</f>
        <v>0</v>
      </c>
      <c r="W826" s="174">
        <f t="shared" si="167"/>
        <v>565</v>
      </c>
      <c r="X826" s="11">
        <f t="shared" si="168"/>
        <v>252.25</v>
      </c>
      <c r="Y826" s="9">
        <f t="shared" si="169"/>
        <v>798</v>
      </c>
      <c r="Z826" s="11">
        <f t="shared" si="170"/>
        <v>403.25</v>
      </c>
      <c r="AA826" s="9">
        <f t="shared" si="171"/>
        <v>191</v>
      </c>
    </row>
    <row r="827" ht="14.25" spans="1:27">
      <c r="A827" s="13">
        <v>825</v>
      </c>
      <c r="B827" s="15">
        <v>17</v>
      </c>
      <c r="C827" s="16">
        <v>54</v>
      </c>
      <c r="D827" s="15" t="s">
        <v>1648</v>
      </c>
      <c r="E827" s="15" t="s">
        <v>1649</v>
      </c>
      <c r="F827" s="174">
        <f>VLOOKUP(D827,原始分!$D:$N,3,0)</f>
        <v>108</v>
      </c>
      <c r="G827" s="174">
        <f t="shared" si="159"/>
        <v>77</v>
      </c>
      <c r="H827" s="174">
        <f>VLOOKUP(D827,原始分!$D:$N,4,0)</f>
        <v>88</v>
      </c>
      <c r="I827" s="174">
        <f t="shared" si="160"/>
        <v>654</v>
      </c>
      <c r="J827" s="174">
        <f>VLOOKUP(D827,原始分!$D:$N,5,0)</f>
        <v>97.5</v>
      </c>
      <c r="K827" s="174">
        <f t="shared" si="161"/>
        <v>436</v>
      </c>
      <c r="L827" s="174">
        <f>VLOOKUP(D827,原始分!$D:$N,6,0)</f>
        <v>0</v>
      </c>
      <c r="M827" s="174">
        <f t="shared" si="162"/>
        <v>664</v>
      </c>
      <c r="N827" s="174">
        <f>VLOOKUP(D827,原始分!$D:$N,7,0)</f>
        <v>42.5</v>
      </c>
      <c r="O827" s="174">
        <f t="shared" si="163"/>
        <v>199</v>
      </c>
      <c r="P827" s="174">
        <f>VLOOKUP(D827,原始分!$D:$N,8,0)</f>
        <v>0</v>
      </c>
      <c r="Q827" s="174">
        <f t="shared" si="164"/>
        <v>541</v>
      </c>
      <c r="R827" s="174">
        <f>VLOOKUP(D827,原始分!$D:$N,9,0)</f>
        <v>58.5</v>
      </c>
      <c r="S827" s="174">
        <f t="shared" si="165"/>
        <v>36</v>
      </c>
      <c r="T827" s="174">
        <f>VLOOKUP(D827,原始分!$D:$N,10,0)</f>
        <v>68</v>
      </c>
      <c r="U827" s="174">
        <f t="shared" si="166"/>
        <v>19</v>
      </c>
      <c r="V827" s="174">
        <f>VLOOKUP(D827,原始分!$D:$N,11,0)</f>
        <v>0</v>
      </c>
      <c r="W827" s="174">
        <f t="shared" si="167"/>
        <v>565</v>
      </c>
      <c r="X827" s="11">
        <f t="shared" si="168"/>
        <v>293.5</v>
      </c>
      <c r="Y827" s="9">
        <f t="shared" si="169"/>
        <v>450</v>
      </c>
      <c r="Z827" s="11">
        <f t="shared" si="170"/>
        <v>462.5</v>
      </c>
      <c r="AA827" s="9">
        <f t="shared" si="171"/>
        <v>108</v>
      </c>
    </row>
    <row r="828" ht="14.25" spans="1:27">
      <c r="A828" s="13">
        <v>826</v>
      </c>
      <c r="B828" s="15">
        <v>17</v>
      </c>
      <c r="C828" s="16">
        <v>55</v>
      </c>
      <c r="D828" s="15" t="s">
        <v>1650</v>
      </c>
      <c r="E828" s="15" t="s">
        <v>1651</v>
      </c>
      <c r="F828" s="174">
        <f>VLOOKUP(D828,原始分!$D:$N,3,0)</f>
        <v>119.5</v>
      </c>
      <c r="G828" s="174">
        <f t="shared" si="159"/>
        <v>1</v>
      </c>
      <c r="H828" s="174">
        <f>VLOOKUP(D828,原始分!$D:$N,4,0)</f>
        <v>50.5</v>
      </c>
      <c r="I828" s="174">
        <f t="shared" si="160"/>
        <v>862</v>
      </c>
      <c r="J828" s="174">
        <f>VLOOKUP(D828,原始分!$D:$N,5,0)</f>
        <v>117</v>
      </c>
      <c r="K828" s="174">
        <f t="shared" si="161"/>
        <v>77</v>
      </c>
      <c r="L828" s="174">
        <f>VLOOKUP(D828,原始分!$D:$N,6,0)</f>
        <v>0</v>
      </c>
      <c r="M828" s="174">
        <f t="shared" si="162"/>
        <v>664</v>
      </c>
      <c r="N828" s="174">
        <f>VLOOKUP(D828,原始分!$D:$N,7,0)</f>
        <v>63.5</v>
      </c>
      <c r="O828" s="174">
        <f t="shared" si="163"/>
        <v>40</v>
      </c>
      <c r="P828" s="174">
        <f>VLOOKUP(D828,原始分!$D:$N,8,0)</f>
        <v>0</v>
      </c>
      <c r="Q828" s="174">
        <f t="shared" si="164"/>
        <v>541</v>
      </c>
      <c r="R828" s="174">
        <f>VLOOKUP(D828,原始分!$D:$N,9,0)</f>
        <v>49</v>
      </c>
      <c r="S828" s="174">
        <f t="shared" si="165"/>
        <v>174</v>
      </c>
      <c r="T828" s="174">
        <f>VLOOKUP(D828,原始分!$D:$N,10,0)</f>
        <v>65.5</v>
      </c>
      <c r="U828" s="174">
        <f t="shared" si="166"/>
        <v>40</v>
      </c>
      <c r="V828" s="174">
        <f>VLOOKUP(D828,原始分!$D:$N,11,0)</f>
        <v>0</v>
      </c>
      <c r="W828" s="174">
        <f t="shared" si="167"/>
        <v>565</v>
      </c>
      <c r="X828" s="11">
        <f t="shared" si="168"/>
        <v>287</v>
      </c>
      <c r="Y828" s="9">
        <f t="shared" si="169"/>
        <v>522</v>
      </c>
      <c r="Z828" s="11">
        <f t="shared" si="170"/>
        <v>465</v>
      </c>
      <c r="AA828" s="9">
        <f t="shared" si="171"/>
        <v>102</v>
      </c>
    </row>
    <row r="829" ht="14.25" spans="1:27">
      <c r="A829" s="13">
        <v>827</v>
      </c>
      <c r="B829" s="15">
        <v>18</v>
      </c>
      <c r="C829" s="16">
        <v>2</v>
      </c>
      <c r="D829" s="15" t="s">
        <v>1652</v>
      </c>
      <c r="E829" s="15" t="s">
        <v>1653</v>
      </c>
      <c r="F829" s="174">
        <f>VLOOKUP(D829,原始分!$D:$N,3,0)</f>
        <v>100</v>
      </c>
      <c r="G829" s="174">
        <f t="shared" si="159"/>
        <v>400</v>
      </c>
      <c r="H829" s="174">
        <f>VLOOKUP(D829,原始分!$D:$N,4,0)</f>
        <v>105</v>
      </c>
      <c r="I829" s="174">
        <f t="shared" si="160"/>
        <v>317</v>
      </c>
      <c r="J829" s="174">
        <f>VLOOKUP(D829,原始分!$D:$N,5,0)</f>
        <v>79.5</v>
      </c>
      <c r="K829" s="174">
        <f t="shared" si="161"/>
        <v>753</v>
      </c>
      <c r="L829" s="174">
        <f>VLOOKUP(D829,原始分!$D:$N,6,0)</f>
        <v>0</v>
      </c>
      <c r="M829" s="174">
        <f t="shared" si="162"/>
        <v>664</v>
      </c>
      <c r="N829" s="174">
        <f>VLOOKUP(D829,原始分!$D:$N,7,0)</f>
        <v>45.5</v>
      </c>
      <c r="O829" s="174">
        <f t="shared" si="163"/>
        <v>192</v>
      </c>
      <c r="P829" s="174">
        <f>VLOOKUP(D829,原始分!$D:$N,8,0)</f>
        <v>0</v>
      </c>
      <c r="Q829" s="174">
        <f t="shared" si="164"/>
        <v>541</v>
      </c>
      <c r="R829" s="174">
        <f>VLOOKUP(D829,原始分!$D:$N,9,0)</f>
        <v>46.5</v>
      </c>
      <c r="S829" s="174">
        <f t="shared" si="165"/>
        <v>213</v>
      </c>
      <c r="T829" s="174">
        <f>VLOOKUP(D829,原始分!$D:$N,10,0)</f>
        <v>57</v>
      </c>
      <c r="U829" s="174">
        <f t="shared" si="166"/>
        <v>157</v>
      </c>
      <c r="V829" s="174">
        <f>VLOOKUP(D829,原始分!$D:$N,11,0)</f>
        <v>0</v>
      </c>
      <c r="W829" s="174">
        <f t="shared" si="167"/>
        <v>565</v>
      </c>
      <c r="X829" s="11">
        <f t="shared" si="168"/>
        <v>284.5</v>
      </c>
      <c r="Y829" s="9">
        <f t="shared" si="169"/>
        <v>547</v>
      </c>
      <c r="Z829" s="11">
        <f t="shared" si="170"/>
        <v>433.5</v>
      </c>
      <c r="AA829" s="9">
        <f t="shared" si="171"/>
        <v>157</v>
      </c>
    </row>
    <row r="830" ht="14.25" spans="1:27">
      <c r="A830" s="13">
        <v>828</v>
      </c>
      <c r="B830" s="15">
        <v>18</v>
      </c>
      <c r="C830" s="16">
        <v>4</v>
      </c>
      <c r="D830" s="15" t="s">
        <v>1654</v>
      </c>
      <c r="E830" s="15" t="s">
        <v>1655</v>
      </c>
      <c r="F830" s="174">
        <f>VLOOKUP(D830,原始分!$D:$N,3,0)</f>
        <v>103.5</v>
      </c>
      <c r="G830" s="174">
        <f t="shared" si="159"/>
        <v>230</v>
      </c>
      <c r="H830" s="174">
        <f>VLOOKUP(D830,原始分!$D:$N,4,0)</f>
        <v>111.5</v>
      </c>
      <c r="I830" s="174">
        <f t="shared" si="160"/>
        <v>191</v>
      </c>
      <c r="J830" s="174">
        <f>VLOOKUP(D830,原始分!$D:$N,5,0)</f>
        <v>110</v>
      </c>
      <c r="K830" s="174">
        <f t="shared" si="161"/>
        <v>173</v>
      </c>
      <c r="L830" s="174">
        <f>VLOOKUP(D830,原始分!$D:$N,6,0)</f>
        <v>0</v>
      </c>
      <c r="M830" s="174">
        <f t="shared" si="162"/>
        <v>664</v>
      </c>
      <c r="N830" s="174">
        <f>VLOOKUP(D830,原始分!$D:$N,7,0)</f>
        <v>68.5</v>
      </c>
      <c r="O830" s="174">
        <f t="shared" si="163"/>
        <v>14</v>
      </c>
      <c r="P830" s="174">
        <f>VLOOKUP(D830,原始分!$D:$N,8,0)</f>
        <v>0</v>
      </c>
      <c r="Q830" s="174">
        <f t="shared" si="164"/>
        <v>541</v>
      </c>
      <c r="R830" s="174">
        <f>VLOOKUP(D830,原始分!$D:$N,9,0)</f>
        <v>64</v>
      </c>
      <c r="S830" s="174">
        <f t="shared" si="165"/>
        <v>11</v>
      </c>
      <c r="T830" s="174">
        <f>VLOOKUP(D830,原始分!$D:$N,10,0)</f>
        <v>61</v>
      </c>
      <c r="U830" s="174">
        <f t="shared" si="166"/>
        <v>95</v>
      </c>
      <c r="V830" s="174">
        <f>VLOOKUP(D830,原始分!$D:$N,11,0)</f>
        <v>0</v>
      </c>
      <c r="W830" s="174">
        <f t="shared" si="167"/>
        <v>565</v>
      </c>
      <c r="X830" s="11">
        <f t="shared" si="168"/>
        <v>325</v>
      </c>
      <c r="Y830" s="9">
        <f t="shared" si="169"/>
        <v>122</v>
      </c>
      <c r="Z830" s="11">
        <f t="shared" si="170"/>
        <v>518.5</v>
      </c>
      <c r="AA830" s="9">
        <f t="shared" si="171"/>
        <v>19</v>
      </c>
    </row>
    <row r="831" ht="14.25" spans="1:27">
      <c r="A831" s="13">
        <v>829</v>
      </c>
      <c r="B831" s="15">
        <v>18</v>
      </c>
      <c r="C831" s="16">
        <v>5</v>
      </c>
      <c r="D831" s="15" t="s">
        <v>1656</v>
      </c>
      <c r="E831" s="15" t="s">
        <v>1657</v>
      </c>
      <c r="F831" s="174">
        <f>VLOOKUP(D831,原始分!$D:$N,3,0)</f>
        <v>100.5</v>
      </c>
      <c r="G831" s="174">
        <f t="shared" si="159"/>
        <v>370</v>
      </c>
      <c r="H831" s="174">
        <f>VLOOKUP(D831,原始分!$D:$N,4,0)</f>
        <v>53</v>
      </c>
      <c r="I831" s="174">
        <f t="shared" si="160"/>
        <v>860</v>
      </c>
      <c r="J831" s="174">
        <f>VLOOKUP(D831,原始分!$D:$N,5,0)</f>
        <v>73</v>
      </c>
      <c r="K831" s="174">
        <f t="shared" si="161"/>
        <v>807</v>
      </c>
      <c r="L831" s="174">
        <f>VLOOKUP(D831,原始分!$D:$N,6,0)</f>
        <v>0</v>
      </c>
      <c r="M831" s="174">
        <f t="shared" si="162"/>
        <v>664</v>
      </c>
      <c r="N831" s="174">
        <f>VLOOKUP(D831,原始分!$D:$N,7,0)</f>
        <v>49</v>
      </c>
      <c r="O831" s="174">
        <f t="shared" si="163"/>
        <v>172</v>
      </c>
      <c r="P831" s="174">
        <f>VLOOKUP(D831,原始分!$D:$N,8,0)</f>
        <v>0</v>
      </c>
      <c r="Q831" s="174">
        <f t="shared" si="164"/>
        <v>541</v>
      </c>
      <c r="R831" s="174">
        <f>VLOOKUP(D831,原始分!$D:$N,9,0)</f>
        <v>44</v>
      </c>
      <c r="S831" s="174">
        <f t="shared" si="165"/>
        <v>257</v>
      </c>
      <c r="T831" s="174">
        <f>VLOOKUP(D831,原始分!$D:$N,10,0)</f>
        <v>49.5</v>
      </c>
      <c r="U831" s="174">
        <f t="shared" si="166"/>
        <v>253</v>
      </c>
      <c r="V831" s="174">
        <f>VLOOKUP(D831,原始分!$D:$N,11,0)</f>
        <v>0</v>
      </c>
      <c r="W831" s="174">
        <f t="shared" si="167"/>
        <v>565</v>
      </c>
      <c r="X831" s="11">
        <f t="shared" si="168"/>
        <v>226.5</v>
      </c>
      <c r="Y831" s="9">
        <f t="shared" si="169"/>
        <v>854</v>
      </c>
      <c r="Z831" s="11">
        <f t="shared" si="170"/>
        <v>369</v>
      </c>
      <c r="AA831" s="9">
        <f t="shared" si="171"/>
        <v>205</v>
      </c>
    </row>
    <row r="832" ht="14.25" spans="1:27">
      <c r="A832" s="13">
        <v>830</v>
      </c>
      <c r="B832" s="15">
        <v>18</v>
      </c>
      <c r="C832" s="16">
        <v>7</v>
      </c>
      <c r="D832" s="15" t="s">
        <v>1658</v>
      </c>
      <c r="E832" s="15" t="s">
        <v>1659</v>
      </c>
      <c r="F832" s="174">
        <f>VLOOKUP(D832,原始分!$D:$N,3,0)</f>
        <v>94.5</v>
      </c>
      <c r="G832" s="174">
        <f t="shared" si="159"/>
        <v>642</v>
      </c>
      <c r="H832" s="174">
        <f>VLOOKUP(D832,原始分!$D:$N,4,0)</f>
        <v>99.5</v>
      </c>
      <c r="I832" s="174">
        <f t="shared" si="160"/>
        <v>425</v>
      </c>
      <c r="J832" s="174">
        <f>VLOOKUP(D832,原始分!$D:$N,5,0)</f>
        <v>120.5</v>
      </c>
      <c r="K832" s="174">
        <f t="shared" si="161"/>
        <v>38</v>
      </c>
      <c r="L832" s="174">
        <f>VLOOKUP(D832,原始分!$D:$N,6,0)</f>
        <v>0</v>
      </c>
      <c r="M832" s="174">
        <f t="shared" si="162"/>
        <v>664</v>
      </c>
      <c r="N832" s="174">
        <f>VLOOKUP(D832,原始分!$D:$N,7,0)</f>
        <v>40.5</v>
      </c>
      <c r="O832" s="174">
        <f t="shared" si="163"/>
        <v>204</v>
      </c>
      <c r="P832" s="174">
        <f>VLOOKUP(D832,原始分!$D:$N,8,0)</f>
        <v>0</v>
      </c>
      <c r="Q832" s="174">
        <f t="shared" si="164"/>
        <v>541</v>
      </c>
      <c r="R832" s="174">
        <f>VLOOKUP(D832,原始分!$D:$N,9,0)</f>
        <v>43</v>
      </c>
      <c r="S832" s="174">
        <f t="shared" si="165"/>
        <v>270</v>
      </c>
      <c r="T832" s="174">
        <f>VLOOKUP(D832,原始分!$D:$N,10,0)</f>
        <v>61</v>
      </c>
      <c r="U832" s="174">
        <f t="shared" si="166"/>
        <v>95</v>
      </c>
      <c r="V832" s="174">
        <f>VLOOKUP(D832,原始分!$D:$N,11,0)</f>
        <v>0</v>
      </c>
      <c r="W832" s="174">
        <f t="shared" si="167"/>
        <v>565</v>
      </c>
      <c r="X832" s="11">
        <f t="shared" si="168"/>
        <v>314.5</v>
      </c>
      <c r="Y832" s="9">
        <f t="shared" si="169"/>
        <v>209</v>
      </c>
      <c r="Z832" s="11">
        <f t="shared" si="170"/>
        <v>459</v>
      </c>
      <c r="AA832" s="9">
        <f t="shared" si="171"/>
        <v>113</v>
      </c>
    </row>
    <row r="833" ht="14.25" spans="1:27">
      <c r="A833" s="13">
        <v>831</v>
      </c>
      <c r="B833" s="15">
        <v>18</v>
      </c>
      <c r="C833" s="16">
        <v>8</v>
      </c>
      <c r="D833" s="15" t="s">
        <v>1660</v>
      </c>
      <c r="E833" s="15" t="s">
        <v>1661</v>
      </c>
      <c r="F833" s="174">
        <f>VLOOKUP(D833,原始分!$D:$N,3,0)</f>
        <v>112.5</v>
      </c>
      <c r="G833" s="174">
        <f t="shared" si="159"/>
        <v>25</v>
      </c>
      <c r="H833" s="174">
        <f>VLOOKUP(D833,原始分!$D:$N,4,0)</f>
        <v>96</v>
      </c>
      <c r="I833" s="174">
        <f t="shared" si="160"/>
        <v>492</v>
      </c>
      <c r="J833" s="174">
        <f>VLOOKUP(D833,原始分!$D:$N,5,0)</f>
        <v>107.75</v>
      </c>
      <c r="K833" s="174">
        <f t="shared" si="161"/>
        <v>213</v>
      </c>
      <c r="L833" s="174">
        <f>VLOOKUP(D833,原始分!$D:$N,6,0)</f>
        <v>0</v>
      </c>
      <c r="M833" s="174">
        <f t="shared" si="162"/>
        <v>664</v>
      </c>
      <c r="N833" s="174">
        <f>VLOOKUP(D833,原始分!$D:$N,7,0)</f>
        <v>56</v>
      </c>
      <c r="O833" s="174">
        <f t="shared" si="163"/>
        <v>107</v>
      </c>
      <c r="P833" s="174">
        <f>VLOOKUP(D833,原始分!$D:$N,8,0)</f>
        <v>0</v>
      </c>
      <c r="Q833" s="174">
        <f t="shared" si="164"/>
        <v>541</v>
      </c>
      <c r="R833" s="174">
        <f>VLOOKUP(D833,原始分!$D:$N,9,0)</f>
        <v>57.5</v>
      </c>
      <c r="S833" s="174">
        <f t="shared" si="165"/>
        <v>45</v>
      </c>
      <c r="T833" s="174">
        <f>VLOOKUP(D833,原始分!$D:$N,10,0)</f>
        <v>54</v>
      </c>
      <c r="U833" s="174">
        <f t="shared" si="166"/>
        <v>204</v>
      </c>
      <c r="V833" s="174">
        <f>VLOOKUP(D833,原始分!$D:$N,11,0)</f>
        <v>0</v>
      </c>
      <c r="W833" s="174">
        <f t="shared" si="167"/>
        <v>565</v>
      </c>
      <c r="X833" s="11">
        <f t="shared" si="168"/>
        <v>316.25</v>
      </c>
      <c r="Y833" s="9">
        <f t="shared" si="169"/>
        <v>194</v>
      </c>
      <c r="Z833" s="11">
        <f t="shared" si="170"/>
        <v>483.75</v>
      </c>
      <c r="AA833" s="9">
        <f t="shared" si="171"/>
        <v>64</v>
      </c>
    </row>
    <row r="834" ht="14.25" spans="1:27">
      <c r="A834" s="13">
        <v>832</v>
      </c>
      <c r="B834" s="15">
        <v>18</v>
      </c>
      <c r="C834" s="16">
        <v>10</v>
      </c>
      <c r="D834" s="15" t="s">
        <v>1662</v>
      </c>
      <c r="E834" s="15" t="s">
        <v>1663</v>
      </c>
      <c r="F834" s="174">
        <f>VLOOKUP(D834,原始分!$D:$N,3,0)</f>
        <v>96.5</v>
      </c>
      <c r="G834" s="174">
        <f t="shared" si="159"/>
        <v>566</v>
      </c>
      <c r="H834" s="174">
        <f>VLOOKUP(D834,原始分!$D:$N,4,0)</f>
        <v>57</v>
      </c>
      <c r="I834" s="174">
        <f t="shared" si="160"/>
        <v>853</v>
      </c>
      <c r="J834" s="174">
        <f>VLOOKUP(D834,原始分!$D:$N,5,0)</f>
        <v>85.5</v>
      </c>
      <c r="K834" s="174">
        <f t="shared" si="161"/>
        <v>656</v>
      </c>
      <c r="L834" s="174">
        <f>VLOOKUP(D834,原始分!$D:$N,6,0)</f>
        <v>0</v>
      </c>
      <c r="M834" s="174">
        <f t="shared" si="162"/>
        <v>664</v>
      </c>
      <c r="N834" s="174">
        <f>VLOOKUP(D834,原始分!$D:$N,7,0)</f>
        <v>42</v>
      </c>
      <c r="O834" s="174">
        <f t="shared" si="163"/>
        <v>201</v>
      </c>
      <c r="P834" s="174">
        <f>VLOOKUP(D834,原始分!$D:$N,8,0)</f>
        <v>0</v>
      </c>
      <c r="Q834" s="174">
        <f t="shared" si="164"/>
        <v>541</v>
      </c>
      <c r="R834" s="174">
        <f>VLOOKUP(D834,原始分!$D:$N,9,0)</f>
        <v>50</v>
      </c>
      <c r="S834" s="174">
        <f t="shared" si="165"/>
        <v>154</v>
      </c>
      <c r="T834" s="174">
        <f>VLOOKUP(D834,原始分!$D:$N,10,0)</f>
        <v>39</v>
      </c>
      <c r="U834" s="174">
        <f t="shared" si="166"/>
        <v>312</v>
      </c>
      <c r="V834" s="174">
        <f>VLOOKUP(D834,原始分!$D:$N,11,0)</f>
        <v>0</v>
      </c>
      <c r="W834" s="174">
        <f t="shared" si="167"/>
        <v>565</v>
      </c>
      <c r="X834" s="11">
        <f t="shared" si="168"/>
        <v>239</v>
      </c>
      <c r="Y834" s="9">
        <f t="shared" si="169"/>
        <v>835</v>
      </c>
      <c r="Z834" s="11">
        <f t="shared" si="170"/>
        <v>370</v>
      </c>
      <c r="AA834" s="9">
        <f t="shared" si="171"/>
        <v>204</v>
      </c>
    </row>
    <row r="835" ht="14.25" spans="1:27">
      <c r="A835" s="13">
        <v>833</v>
      </c>
      <c r="B835" s="15">
        <v>18</v>
      </c>
      <c r="C835" s="16">
        <v>11</v>
      </c>
      <c r="D835" s="15" t="s">
        <v>1664</v>
      </c>
      <c r="E835" s="15" t="s">
        <v>1665</v>
      </c>
      <c r="F835" s="174">
        <f>VLOOKUP(D835,原始分!$D:$N,3,0)</f>
        <v>108</v>
      </c>
      <c r="G835" s="174">
        <f t="shared" ref="G835:G898" si="172">RANK(F835,$F$3:$F$900)</f>
        <v>77</v>
      </c>
      <c r="H835" s="174">
        <f>VLOOKUP(D835,原始分!$D:$N,4,0)</f>
        <v>91.5</v>
      </c>
      <c r="I835" s="174">
        <f t="shared" ref="I835:I898" si="173">RANK(H835,$H$3:$H$900)</f>
        <v>586</v>
      </c>
      <c r="J835" s="174">
        <f>VLOOKUP(D835,原始分!$D:$N,5,0)</f>
        <v>102</v>
      </c>
      <c r="K835" s="174">
        <f t="shared" ref="K835:K898" si="174">RANK(J835,$J$3:$J$900)</f>
        <v>323</v>
      </c>
      <c r="L835" s="174">
        <f>VLOOKUP(D835,原始分!$D:$N,6,0)</f>
        <v>0</v>
      </c>
      <c r="M835" s="174">
        <f t="shared" ref="M835:M898" si="175">RANK(L835,$L$3:$L$900)</f>
        <v>664</v>
      </c>
      <c r="N835" s="174">
        <f>VLOOKUP(D835,原始分!$D:$N,7,0)</f>
        <v>71</v>
      </c>
      <c r="O835" s="174">
        <f t="shared" ref="O835:O898" si="176">RANK(N835,$N$3:$N$900)</f>
        <v>6</v>
      </c>
      <c r="P835" s="174">
        <f>VLOOKUP(D835,原始分!$D:$N,8,0)</f>
        <v>0</v>
      </c>
      <c r="Q835" s="174">
        <f t="shared" ref="Q835:Q898" si="177">RANK(P835,$P$3:$P$900)</f>
        <v>541</v>
      </c>
      <c r="R835" s="174">
        <f>VLOOKUP(D835,原始分!$D:$N,9,0)</f>
        <v>63</v>
      </c>
      <c r="S835" s="174">
        <f t="shared" ref="S835:S898" si="178">RANK(R835,$R$3:$R$900)</f>
        <v>17</v>
      </c>
      <c r="T835" s="174">
        <f>VLOOKUP(D835,原始分!$D:$N,10,0)</f>
        <v>60</v>
      </c>
      <c r="U835" s="174">
        <f t="shared" ref="U835:U898" si="179">RANK(T835,$T$3:$T$900)</f>
        <v>108</v>
      </c>
      <c r="V835" s="174">
        <f>VLOOKUP(D835,原始分!$D:$N,11,0)</f>
        <v>0</v>
      </c>
      <c r="W835" s="174">
        <f t="shared" ref="W835:W898" si="180">RANK(V835,$V$3:$V$900)</f>
        <v>565</v>
      </c>
      <c r="X835" s="11">
        <f t="shared" ref="X835:X865" si="181">SUM(F835,H835,J835)</f>
        <v>301.5</v>
      </c>
      <c r="Y835" s="9">
        <f t="shared" ref="Y835:Y898" si="182">RANK(X835,$X$3:$X$900)</f>
        <v>357</v>
      </c>
      <c r="Z835" s="11">
        <f t="shared" ref="Z835:Z865" si="183">SUM(F835,H835,J835,L835,N835,P835,R835,T835,V835)</f>
        <v>495.5</v>
      </c>
      <c r="AA835" s="9">
        <f t="shared" si="171"/>
        <v>46</v>
      </c>
    </row>
    <row r="836" ht="14.25" spans="1:27">
      <c r="A836" s="13">
        <v>834</v>
      </c>
      <c r="B836" s="15">
        <v>18</v>
      </c>
      <c r="C836" s="16">
        <v>12</v>
      </c>
      <c r="D836" s="15" t="s">
        <v>1666</v>
      </c>
      <c r="E836" s="15" t="s">
        <v>1667</v>
      </c>
      <c r="F836" s="174">
        <f>VLOOKUP(D836,原始分!$D:$N,3,0)</f>
        <v>111</v>
      </c>
      <c r="G836" s="174">
        <f t="shared" si="172"/>
        <v>35</v>
      </c>
      <c r="H836" s="174">
        <f>VLOOKUP(D836,原始分!$D:$N,4,0)</f>
        <v>111.5</v>
      </c>
      <c r="I836" s="174">
        <f t="shared" si="173"/>
        <v>191</v>
      </c>
      <c r="J836" s="174">
        <f>VLOOKUP(D836,原始分!$D:$N,5,0)</f>
        <v>88.25</v>
      </c>
      <c r="K836" s="174">
        <f t="shared" si="174"/>
        <v>613</v>
      </c>
      <c r="L836" s="174">
        <f>VLOOKUP(D836,原始分!$D:$N,6,0)</f>
        <v>0</v>
      </c>
      <c r="M836" s="174">
        <f t="shared" si="175"/>
        <v>664</v>
      </c>
      <c r="N836" s="174">
        <f>VLOOKUP(D836,原始分!$D:$N,7,0)</f>
        <v>57.5</v>
      </c>
      <c r="O836" s="174">
        <f t="shared" si="176"/>
        <v>92</v>
      </c>
      <c r="P836" s="174">
        <f>VLOOKUP(D836,原始分!$D:$N,8,0)</f>
        <v>0</v>
      </c>
      <c r="Q836" s="174">
        <f t="shared" si="177"/>
        <v>541</v>
      </c>
      <c r="R836" s="174">
        <f>VLOOKUP(D836,原始分!$D:$N,9,0)</f>
        <v>55.5</v>
      </c>
      <c r="S836" s="174">
        <f t="shared" si="178"/>
        <v>64</v>
      </c>
      <c r="T836" s="174">
        <f>VLOOKUP(D836,原始分!$D:$N,10,0)</f>
        <v>50.5</v>
      </c>
      <c r="U836" s="174">
        <f t="shared" si="179"/>
        <v>246</v>
      </c>
      <c r="V836" s="174">
        <f>VLOOKUP(D836,原始分!$D:$N,11,0)</f>
        <v>0</v>
      </c>
      <c r="W836" s="174">
        <f t="shared" si="180"/>
        <v>565</v>
      </c>
      <c r="X836" s="11">
        <f t="shared" si="181"/>
        <v>310.75</v>
      </c>
      <c r="Y836" s="9">
        <f t="shared" si="182"/>
        <v>252</v>
      </c>
      <c r="Z836" s="11">
        <f t="shared" si="183"/>
        <v>474.25</v>
      </c>
      <c r="AA836" s="9">
        <f t="shared" si="171"/>
        <v>84</v>
      </c>
    </row>
    <row r="837" ht="14.25" spans="1:27">
      <c r="A837" s="13">
        <v>835</v>
      </c>
      <c r="B837" s="15">
        <v>18</v>
      </c>
      <c r="C837" s="16">
        <v>13</v>
      </c>
      <c r="D837" s="15" t="s">
        <v>1668</v>
      </c>
      <c r="E837" s="15" t="s">
        <v>1669</v>
      </c>
      <c r="F837" s="174">
        <f>VLOOKUP(D837,原始分!$D:$N,3,0)</f>
        <v>100</v>
      </c>
      <c r="G837" s="174">
        <f t="shared" si="172"/>
        <v>400</v>
      </c>
      <c r="H837" s="174">
        <f>VLOOKUP(D837,原始分!$D:$N,4,0)</f>
        <v>95.5</v>
      </c>
      <c r="I837" s="174">
        <f t="shared" si="173"/>
        <v>502</v>
      </c>
      <c r="J837" s="174">
        <f>VLOOKUP(D837,原始分!$D:$N,5,0)</f>
        <v>98.75</v>
      </c>
      <c r="K837" s="174">
        <f t="shared" si="174"/>
        <v>407</v>
      </c>
      <c r="L837" s="174">
        <f>VLOOKUP(D837,原始分!$D:$N,6,0)</f>
        <v>0</v>
      </c>
      <c r="M837" s="174">
        <f t="shared" si="175"/>
        <v>664</v>
      </c>
      <c r="N837" s="174">
        <f>VLOOKUP(D837,原始分!$D:$N,7,0)</f>
        <v>36.5</v>
      </c>
      <c r="O837" s="174">
        <f t="shared" si="176"/>
        <v>206</v>
      </c>
      <c r="P837" s="174">
        <f>VLOOKUP(D837,原始分!$D:$N,8,0)</f>
        <v>0</v>
      </c>
      <c r="Q837" s="174">
        <f t="shared" si="177"/>
        <v>541</v>
      </c>
      <c r="R837" s="174">
        <f>VLOOKUP(D837,原始分!$D:$N,9,0)</f>
        <v>47</v>
      </c>
      <c r="S837" s="174">
        <f t="shared" si="178"/>
        <v>208</v>
      </c>
      <c r="T837" s="174">
        <f>VLOOKUP(D837,原始分!$D:$N,10,0)</f>
        <v>48.25</v>
      </c>
      <c r="U837" s="174">
        <f t="shared" si="179"/>
        <v>272</v>
      </c>
      <c r="V837" s="174">
        <f>VLOOKUP(D837,原始分!$D:$N,11,0)</f>
        <v>0</v>
      </c>
      <c r="W837" s="174">
        <f t="shared" si="180"/>
        <v>565</v>
      </c>
      <c r="X837" s="11">
        <f t="shared" si="181"/>
        <v>294.25</v>
      </c>
      <c r="Y837" s="9">
        <f t="shared" si="182"/>
        <v>441</v>
      </c>
      <c r="Z837" s="11">
        <f t="shared" si="183"/>
        <v>426</v>
      </c>
      <c r="AA837" s="9">
        <f t="shared" si="171"/>
        <v>173</v>
      </c>
    </row>
    <row r="838" ht="14.25" spans="1:27">
      <c r="A838" s="13">
        <v>836</v>
      </c>
      <c r="B838" s="15">
        <v>18</v>
      </c>
      <c r="C838" s="16">
        <v>14</v>
      </c>
      <c r="D838" s="15" t="s">
        <v>1670</v>
      </c>
      <c r="E838" s="15" t="s">
        <v>1671</v>
      </c>
      <c r="F838" s="174">
        <f>VLOOKUP(D838,原始分!$D:$N,3,0)</f>
        <v>105</v>
      </c>
      <c r="G838" s="174">
        <f t="shared" si="172"/>
        <v>171</v>
      </c>
      <c r="H838" s="174">
        <f>VLOOKUP(D838,原始分!$D:$N,4,0)</f>
        <v>64</v>
      </c>
      <c r="I838" s="174">
        <f t="shared" si="173"/>
        <v>834</v>
      </c>
      <c r="J838" s="174">
        <f>VLOOKUP(D838,原始分!$D:$N,5,0)</f>
        <v>107.5</v>
      </c>
      <c r="K838" s="174">
        <f t="shared" si="174"/>
        <v>216</v>
      </c>
      <c r="L838" s="174">
        <f>VLOOKUP(D838,原始分!$D:$N,6,0)</f>
        <v>0</v>
      </c>
      <c r="M838" s="174">
        <f t="shared" si="175"/>
        <v>664</v>
      </c>
      <c r="N838" s="174">
        <f>VLOOKUP(D838,原始分!$D:$N,7,0)</f>
        <v>53</v>
      </c>
      <c r="O838" s="174">
        <f t="shared" si="176"/>
        <v>139</v>
      </c>
      <c r="P838" s="174">
        <f>VLOOKUP(D838,原始分!$D:$N,8,0)</f>
        <v>0</v>
      </c>
      <c r="Q838" s="174">
        <f t="shared" si="177"/>
        <v>541</v>
      </c>
      <c r="R838" s="174">
        <f>VLOOKUP(D838,原始分!$D:$N,9,0)</f>
        <v>46</v>
      </c>
      <c r="S838" s="174">
        <f t="shared" si="178"/>
        <v>222</v>
      </c>
      <c r="T838" s="174">
        <f>VLOOKUP(D838,原始分!$D:$N,10,0)</f>
        <v>58</v>
      </c>
      <c r="U838" s="174">
        <f t="shared" si="179"/>
        <v>144</v>
      </c>
      <c r="V838" s="174">
        <f>VLOOKUP(D838,原始分!$D:$N,11,0)</f>
        <v>0</v>
      </c>
      <c r="W838" s="174">
        <f t="shared" si="180"/>
        <v>565</v>
      </c>
      <c r="X838" s="11">
        <f t="shared" si="181"/>
        <v>276.5</v>
      </c>
      <c r="Y838" s="9">
        <f t="shared" si="182"/>
        <v>642</v>
      </c>
      <c r="Z838" s="11">
        <f t="shared" si="183"/>
        <v>433.5</v>
      </c>
      <c r="AA838" s="9">
        <f t="shared" si="171"/>
        <v>157</v>
      </c>
    </row>
    <row r="839" ht="14.25" spans="1:27">
      <c r="A839" s="13">
        <v>837</v>
      </c>
      <c r="B839" s="15">
        <v>18</v>
      </c>
      <c r="C839" s="16">
        <v>17</v>
      </c>
      <c r="D839" s="15" t="s">
        <v>1672</v>
      </c>
      <c r="E839" s="15" t="s">
        <v>1673</v>
      </c>
      <c r="F839" s="174">
        <f>VLOOKUP(D839,原始分!$D:$N,3,0)</f>
        <v>99</v>
      </c>
      <c r="G839" s="174">
        <f t="shared" si="172"/>
        <v>442</v>
      </c>
      <c r="H839" s="174">
        <f>VLOOKUP(D839,原始分!$D:$N,4,0)</f>
        <v>101.5</v>
      </c>
      <c r="I839" s="174">
        <f t="shared" si="173"/>
        <v>391</v>
      </c>
      <c r="J839" s="174">
        <f>VLOOKUP(D839,原始分!$D:$N,5,0)</f>
        <v>99</v>
      </c>
      <c r="K839" s="174">
        <f t="shared" si="174"/>
        <v>400</v>
      </c>
      <c r="L839" s="174">
        <f>VLOOKUP(D839,原始分!$D:$N,6,0)</f>
        <v>0</v>
      </c>
      <c r="M839" s="174">
        <f t="shared" si="175"/>
        <v>664</v>
      </c>
      <c r="N839" s="174">
        <f>VLOOKUP(D839,原始分!$D:$N,7,0)</f>
        <v>43.5</v>
      </c>
      <c r="O839" s="174">
        <f t="shared" si="176"/>
        <v>197</v>
      </c>
      <c r="P839" s="174">
        <f>VLOOKUP(D839,原始分!$D:$N,8,0)</f>
        <v>0</v>
      </c>
      <c r="Q839" s="174">
        <f t="shared" si="177"/>
        <v>541</v>
      </c>
      <c r="R839" s="174">
        <f>VLOOKUP(D839,原始分!$D:$N,9,0)</f>
        <v>52</v>
      </c>
      <c r="S839" s="174">
        <f t="shared" si="178"/>
        <v>121</v>
      </c>
      <c r="T839" s="174">
        <f>VLOOKUP(D839,原始分!$D:$N,10,0)</f>
        <v>54</v>
      </c>
      <c r="U839" s="174">
        <f t="shared" si="179"/>
        <v>204</v>
      </c>
      <c r="V839" s="174">
        <f>VLOOKUP(D839,原始分!$D:$N,11,0)</f>
        <v>0</v>
      </c>
      <c r="W839" s="174">
        <f t="shared" si="180"/>
        <v>565</v>
      </c>
      <c r="X839" s="11">
        <f t="shared" si="181"/>
        <v>299.5</v>
      </c>
      <c r="Y839" s="9">
        <f t="shared" si="182"/>
        <v>377</v>
      </c>
      <c r="Z839" s="11">
        <f t="shared" si="183"/>
        <v>449</v>
      </c>
      <c r="AA839" s="9">
        <f t="shared" si="171"/>
        <v>135</v>
      </c>
    </row>
    <row r="840" ht="14.25" spans="1:27">
      <c r="A840" s="13">
        <v>838</v>
      </c>
      <c r="B840" s="15">
        <v>18</v>
      </c>
      <c r="C840" s="16">
        <v>18</v>
      </c>
      <c r="D840" s="15" t="s">
        <v>1674</v>
      </c>
      <c r="E840" s="15" t="s">
        <v>1675</v>
      </c>
      <c r="F840" s="174">
        <f>VLOOKUP(D840,原始分!$D:$N,3,0)</f>
        <v>107.5</v>
      </c>
      <c r="G840" s="174">
        <f t="shared" si="172"/>
        <v>93</v>
      </c>
      <c r="H840" s="174">
        <f>VLOOKUP(D840,原始分!$D:$N,4,0)</f>
        <v>69</v>
      </c>
      <c r="I840" s="174">
        <f t="shared" si="173"/>
        <v>820</v>
      </c>
      <c r="J840" s="174">
        <f>VLOOKUP(D840,原始分!$D:$N,5,0)</f>
        <v>125</v>
      </c>
      <c r="K840" s="174">
        <f t="shared" si="174"/>
        <v>11</v>
      </c>
      <c r="L840" s="174">
        <f>VLOOKUP(D840,原始分!$D:$N,6,0)</f>
        <v>0</v>
      </c>
      <c r="M840" s="174">
        <f t="shared" si="175"/>
        <v>664</v>
      </c>
      <c r="N840" s="174">
        <f>VLOOKUP(D840,原始分!$D:$N,7,0)</f>
        <v>64</v>
      </c>
      <c r="O840" s="174">
        <f t="shared" si="176"/>
        <v>37</v>
      </c>
      <c r="P840" s="174">
        <f>VLOOKUP(D840,原始分!$D:$N,8,0)</f>
        <v>0</v>
      </c>
      <c r="Q840" s="174">
        <f t="shared" si="177"/>
        <v>541</v>
      </c>
      <c r="R840" s="174">
        <f>VLOOKUP(D840,原始分!$D:$N,9,0)</f>
        <v>50</v>
      </c>
      <c r="S840" s="174">
        <f t="shared" si="178"/>
        <v>154</v>
      </c>
      <c r="T840" s="174">
        <f>VLOOKUP(D840,原始分!$D:$N,10,0)</f>
        <v>59</v>
      </c>
      <c r="U840" s="174">
        <f t="shared" si="179"/>
        <v>124</v>
      </c>
      <c r="V840" s="174">
        <f>VLOOKUP(D840,原始分!$D:$N,11,0)</f>
        <v>0</v>
      </c>
      <c r="W840" s="174">
        <f t="shared" si="180"/>
        <v>565</v>
      </c>
      <c r="X840" s="11">
        <f t="shared" si="181"/>
        <v>301.5</v>
      </c>
      <c r="Y840" s="9">
        <f t="shared" si="182"/>
        <v>357</v>
      </c>
      <c r="Z840" s="11">
        <f t="shared" si="183"/>
        <v>474.5</v>
      </c>
      <c r="AA840" s="9">
        <f t="shared" si="171"/>
        <v>83</v>
      </c>
    </row>
    <row r="841" ht="14.25" spans="1:27">
      <c r="A841" s="13">
        <v>839</v>
      </c>
      <c r="B841" s="15">
        <v>18</v>
      </c>
      <c r="C841" s="16">
        <v>19</v>
      </c>
      <c r="D841" s="15" t="s">
        <v>1676</v>
      </c>
      <c r="E841" s="15" t="s">
        <v>1677</v>
      </c>
      <c r="F841" s="174">
        <f>VLOOKUP(D841,原始分!$D:$N,3,0)</f>
        <v>105</v>
      </c>
      <c r="G841" s="174">
        <f t="shared" si="172"/>
        <v>171</v>
      </c>
      <c r="H841" s="174">
        <f>VLOOKUP(D841,原始分!$D:$N,4,0)</f>
        <v>57.5</v>
      </c>
      <c r="I841" s="174">
        <f t="shared" si="173"/>
        <v>850</v>
      </c>
      <c r="J841" s="174">
        <f>VLOOKUP(D841,原始分!$D:$N,5,0)</f>
        <v>105.25</v>
      </c>
      <c r="K841" s="174">
        <f t="shared" si="174"/>
        <v>270</v>
      </c>
      <c r="L841" s="174">
        <f>VLOOKUP(D841,原始分!$D:$N,6,0)</f>
        <v>0</v>
      </c>
      <c r="M841" s="174">
        <f t="shared" si="175"/>
        <v>664</v>
      </c>
      <c r="N841" s="174">
        <f>VLOOKUP(D841,原始分!$D:$N,7,0)</f>
        <v>47.5</v>
      </c>
      <c r="O841" s="174">
        <f t="shared" si="176"/>
        <v>185</v>
      </c>
      <c r="P841" s="174">
        <f>VLOOKUP(D841,原始分!$D:$N,8,0)</f>
        <v>0</v>
      </c>
      <c r="Q841" s="174">
        <f t="shared" si="177"/>
        <v>541</v>
      </c>
      <c r="R841" s="174">
        <f>VLOOKUP(D841,原始分!$D:$N,9,0)</f>
        <v>48</v>
      </c>
      <c r="S841" s="174">
        <f t="shared" si="178"/>
        <v>193</v>
      </c>
      <c r="T841" s="174">
        <f>VLOOKUP(D841,原始分!$D:$N,10,0)</f>
        <v>44.5</v>
      </c>
      <c r="U841" s="174">
        <f t="shared" si="179"/>
        <v>297</v>
      </c>
      <c r="V841" s="174">
        <f>VLOOKUP(D841,原始分!$D:$N,11,0)</f>
        <v>0</v>
      </c>
      <c r="W841" s="174">
        <f t="shared" si="180"/>
        <v>565</v>
      </c>
      <c r="X841" s="11">
        <f t="shared" si="181"/>
        <v>267.75</v>
      </c>
      <c r="Y841" s="9">
        <f t="shared" si="182"/>
        <v>720</v>
      </c>
      <c r="Z841" s="11">
        <f t="shared" si="183"/>
        <v>407.75</v>
      </c>
      <c r="AA841" s="9">
        <f t="shared" si="171"/>
        <v>188</v>
      </c>
    </row>
    <row r="842" ht="14.25" spans="1:27">
      <c r="A842" s="13">
        <v>840</v>
      </c>
      <c r="B842" s="15">
        <v>18</v>
      </c>
      <c r="C842" s="16">
        <v>20</v>
      </c>
      <c r="D842" s="15" t="s">
        <v>1678</v>
      </c>
      <c r="E842" s="15" t="s">
        <v>1679</v>
      </c>
      <c r="F842" s="174">
        <f>VLOOKUP(D842,原始分!$D:$N,3,0)</f>
        <v>100.75</v>
      </c>
      <c r="G842" s="174">
        <f t="shared" si="172"/>
        <v>364</v>
      </c>
      <c r="H842" s="174">
        <f>VLOOKUP(D842,原始分!$D:$N,4,0)</f>
        <v>85</v>
      </c>
      <c r="I842" s="174">
        <f t="shared" si="173"/>
        <v>701</v>
      </c>
      <c r="J842" s="174">
        <f>VLOOKUP(D842,原始分!$D:$N,5,0)</f>
        <v>85</v>
      </c>
      <c r="K842" s="174">
        <f t="shared" si="174"/>
        <v>669</v>
      </c>
      <c r="L842" s="174">
        <f>VLOOKUP(D842,原始分!$D:$N,6,0)</f>
        <v>0</v>
      </c>
      <c r="M842" s="174">
        <f t="shared" si="175"/>
        <v>664</v>
      </c>
      <c r="N842" s="174">
        <f>VLOOKUP(D842,原始分!$D:$N,7,0)</f>
        <v>51.5</v>
      </c>
      <c r="O842" s="174">
        <f t="shared" si="176"/>
        <v>150</v>
      </c>
      <c r="P842" s="174">
        <f>VLOOKUP(D842,原始分!$D:$N,8,0)</f>
        <v>0</v>
      </c>
      <c r="Q842" s="174">
        <f t="shared" si="177"/>
        <v>541</v>
      </c>
      <c r="R842" s="174">
        <f>VLOOKUP(D842,原始分!$D:$N,9,0)</f>
        <v>54.5</v>
      </c>
      <c r="S842" s="174">
        <f t="shared" si="178"/>
        <v>84</v>
      </c>
      <c r="T842" s="174">
        <f>VLOOKUP(D842,原始分!$D:$N,10,0)</f>
        <v>61</v>
      </c>
      <c r="U842" s="174">
        <f t="shared" si="179"/>
        <v>95</v>
      </c>
      <c r="V842" s="174">
        <f>VLOOKUP(D842,原始分!$D:$N,11,0)</f>
        <v>0</v>
      </c>
      <c r="W842" s="174">
        <f t="shared" si="180"/>
        <v>565</v>
      </c>
      <c r="X842" s="11">
        <f t="shared" si="181"/>
        <v>270.75</v>
      </c>
      <c r="Y842" s="9">
        <f t="shared" si="182"/>
        <v>691</v>
      </c>
      <c r="Z842" s="11">
        <f t="shared" si="183"/>
        <v>437.75</v>
      </c>
      <c r="AA842" s="9">
        <f t="shared" si="171"/>
        <v>151</v>
      </c>
    </row>
    <row r="843" ht="14.25" spans="1:27">
      <c r="A843" s="13">
        <v>841</v>
      </c>
      <c r="B843" s="15">
        <v>18</v>
      </c>
      <c r="C843" s="16">
        <v>21</v>
      </c>
      <c r="D843" s="15" t="s">
        <v>1680</v>
      </c>
      <c r="E843" s="15" t="s">
        <v>1681</v>
      </c>
      <c r="F843" s="174">
        <f>VLOOKUP(D843,原始分!$D:$N,3,0)</f>
        <v>102.5</v>
      </c>
      <c r="G843" s="174">
        <f t="shared" si="172"/>
        <v>279</v>
      </c>
      <c r="H843" s="174">
        <f>VLOOKUP(D843,原始分!$D:$N,4,0)</f>
        <v>78</v>
      </c>
      <c r="I843" s="174">
        <f t="shared" si="173"/>
        <v>767</v>
      </c>
      <c r="J843" s="174">
        <f>VLOOKUP(D843,原始分!$D:$N,5,0)</f>
        <v>111.5</v>
      </c>
      <c r="K843" s="174">
        <f t="shared" si="174"/>
        <v>152</v>
      </c>
      <c r="L843" s="174">
        <f>VLOOKUP(D843,原始分!$D:$N,6,0)</f>
        <v>0</v>
      </c>
      <c r="M843" s="174">
        <f t="shared" si="175"/>
        <v>664</v>
      </c>
      <c r="N843" s="174">
        <f>VLOOKUP(D843,原始分!$D:$N,7,0)</f>
        <v>50</v>
      </c>
      <c r="O843" s="174">
        <f t="shared" si="176"/>
        <v>168</v>
      </c>
      <c r="P843" s="174">
        <f>VLOOKUP(D843,原始分!$D:$N,8,0)</f>
        <v>0</v>
      </c>
      <c r="Q843" s="174">
        <f t="shared" si="177"/>
        <v>541</v>
      </c>
      <c r="R843" s="174">
        <f>VLOOKUP(D843,原始分!$D:$N,9,0)</f>
        <v>50.5</v>
      </c>
      <c r="S843" s="174">
        <f t="shared" si="178"/>
        <v>144</v>
      </c>
      <c r="T843" s="174">
        <f>VLOOKUP(D843,原始分!$D:$N,10,0)</f>
        <v>53</v>
      </c>
      <c r="U843" s="174">
        <f t="shared" si="179"/>
        <v>219</v>
      </c>
      <c r="V843" s="174">
        <f>VLOOKUP(D843,原始分!$D:$N,11,0)</f>
        <v>0</v>
      </c>
      <c r="W843" s="174">
        <f t="shared" si="180"/>
        <v>565</v>
      </c>
      <c r="X843" s="11">
        <f t="shared" si="181"/>
        <v>292</v>
      </c>
      <c r="Y843" s="9">
        <f t="shared" si="182"/>
        <v>472</v>
      </c>
      <c r="Z843" s="11">
        <f t="shared" si="183"/>
        <v>445.5</v>
      </c>
      <c r="AA843" s="9">
        <f t="shared" si="171"/>
        <v>140</v>
      </c>
    </row>
    <row r="844" ht="14.25" spans="1:27">
      <c r="A844" s="13">
        <v>842</v>
      </c>
      <c r="B844" s="15">
        <v>18</v>
      </c>
      <c r="C844" s="16">
        <v>22</v>
      </c>
      <c r="D844" s="15" t="s">
        <v>1682</v>
      </c>
      <c r="E844" s="15" t="s">
        <v>1683</v>
      </c>
      <c r="F844" s="174">
        <f>VLOOKUP(D844,原始分!$D:$N,3,0)</f>
        <v>98.5</v>
      </c>
      <c r="G844" s="174">
        <f t="shared" si="172"/>
        <v>469</v>
      </c>
      <c r="H844" s="174">
        <f>VLOOKUP(D844,原始分!$D:$N,4,0)</f>
        <v>110.5</v>
      </c>
      <c r="I844" s="174">
        <f t="shared" si="173"/>
        <v>211</v>
      </c>
      <c r="J844" s="174">
        <f>VLOOKUP(D844,原始分!$D:$N,5,0)</f>
        <v>83.5</v>
      </c>
      <c r="K844" s="174">
        <f t="shared" si="174"/>
        <v>694</v>
      </c>
      <c r="L844" s="174">
        <f>VLOOKUP(D844,原始分!$D:$N,6,0)</f>
        <v>0</v>
      </c>
      <c r="M844" s="174">
        <f t="shared" si="175"/>
        <v>664</v>
      </c>
      <c r="N844" s="174">
        <f>VLOOKUP(D844,原始分!$D:$N,7,0)</f>
        <v>76</v>
      </c>
      <c r="O844" s="174">
        <f t="shared" si="176"/>
        <v>2</v>
      </c>
      <c r="P844" s="174">
        <f>VLOOKUP(D844,原始分!$D:$N,8,0)</f>
        <v>0</v>
      </c>
      <c r="Q844" s="174">
        <f t="shared" si="177"/>
        <v>541</v>
      </c>
      <c r="R844" s="174">
        <f>VLOOKUP(D844,原始分!$D:$N,9,0)</f>
        <v>65</v>
      </c>
      <c r="S844" s="174">
        <f t="shared" si="178"/>
        <v>7</v>
      </c>
      <c r="T844" s="174">
        <f>VLOOKUP(D844,原始分!$D:$N,10,0)</f>
        <v>67</v>
      </c>
      <c r="U844" s="174">
        <f t="shared" si="179"/>
        <v>28</v>
      </c>
      <c r="V844" s="174">
        <f>VLOOKUP(D844,原始分!$D:$N,11,0)</f>
        <v>0</v>
      </c>
      <c r="W844" s="174">
        <f t="shared" si="180"/>
        <v>565</v>
      </c>
      <c r="X844" s="11">
        <f t="shared" si="181"/>
        <v>292.5</v>
      </c>
      <c r="Y844" s="9">
        <f t="shared" si="182"/>
        <v>466</v>
      </c>
      <c r="Z844" s="11">
        <f t="shared" si="183"/>
        <v>500.5</v>
      </c>
      <c r="AA844" s="9">
        <f t="shared" si="171"/>
        <v>38</v>
      </c>
    </row>
    <row r="845" ht="14.25" spans="1:27">
      <c r="A845" s="13">
        <v>843</v>
      </c>
      <c r="B845" s="15">
        <v>18</v>
      </c>
      <c r="C845" s="16">
        <v>23</v>
      </c>
      <c r="D845" s="15" t="s">
        <v>1684</v>
      </c>
      <c r="E845" s="15" t="s">
        <v>1685</v>
      </c>
      <c r="F845" s="174">
        <f>VLOOKUP(D845,原始分!$D:$N,3,0)</f>
        <v>111</v>
      </c>
      <c r="G845" s="174">
        <f t="shared" si="172"/>
        <v>35</v>
      </c>
      <c r="H845" s="174">
        <f>VLOOKUP(D845,原始分!$D:$N,4,0)</f>
        <v>99.5</v>
      </c>
      <c r="I845" s="174">
        <f t="shared" si="173"/>
        <v>425</v>
      </c>
      <c r="J845" s="174">
        <f>VLOOKUP(D845,原始分!$D:$N,5,0)</f>
        <v>110.5</v>
      </c>
      <c r="K845" s="174">
        <f t="shared" si="174"/>
        <v>168</v>
      </c>
      <c r="L845" s="174">
        <f>VLOOKUP(D845,原始分!$D:$N,6,0)</f>
        <v>0</v>
      </c>
      <c r="M845" s="174">
        <f t="shared" si="175"/>
        <v>664</v>
      </c>
      <c r="N845" s="174">
        <f>VLOOKUP(D845,原始分!$D:$N,7,0)</f>
        <v>57.5</v>
      </c>
      <c r="O845" s="174">
        <f t="shared" si="176"/>
        <v>92</v>
      </c>
      <c r="P845" s="174">
        <f>VLOOKUP(D845,原始分!$D:$N,8,0)</f>
        <v>0</v>
      </c>
      <c r="Q845" s="174">
        <f t="shared" si="177"/>
        <v>541</v>
      </c>
      <c r="R845" s="174">
        <f>VLOOKUP(D845,原始分!$D:$N,9,0)</f>
        <v>54</v>
      </c>
      <c r="S845" s="174">
        <f t="shared" si="178"/>
        <v>89</v>
      </c>
      <c r="T845" s="174">
        <f>VLOOKUP(D845,原始分!$D:$N,10,0)</f>
        <v>60.5</v>
      </c>
      <c r="U845" s="174">
        <f t="shared" si="179"/>
        <v>103</v>
      </c>
      <c r="V845" s="174">
        <f>VLOOKUP(D845,原始分!$D:$N,11,0)</f>
        <v>0</v>
      </c>
      <c r="W845" s="174">
        <f t="shared" si="180"/>
        <v>565</v>
      </c>
      <c r="X845" s="11">
        <f t="shared" si="181"/>
        <v>321</v>
      </c>
      <c r="Y845" s="9">
        <f t="shared" si="182"/>
        <v>148</v>
      </c>
      <c r="Z845" s="11">
        <f t="shared" si="183"/>
        <v>493</v>
      </c>
      <c r="AA845" s="9">
        <f t="shared" si="171"/>
        <v>51</v>
      </c>
    </row>
    <row r="846" ht="14.25" spans="1:27">
      <c r="A846" s="13">
        <v>844</v>
      </c>
      <c r="B846" s="15">
        <v>18</v>
      </c>
      <c r="C846" s="16">
        <v>24</v>
      </c>
      <c r="D846" s="15" t="s">
        <v>1686</v>
      </c>
      <c r="E846" s="15" t="s">
        <v>1687</v>
      </c>
      <c r="F846" s="174">
        <f>VLOOKUP(D846,原始分!$D:$N,3,0)</f>
        <v>99</v>
      </c>
      <c r="G846" s="174">
        <f t="shared" si="172"/>
        <v>442</v>
      </c>
      <c r="H846" s="174">
        <f>VLOOKUP(D846,原始分!$D:$N,4,0)</f>
        <v>97.5</v>
      </c>
      <c r="I846" s="174">
        <f t="shared" si="173"/>
        <v>464</v>
      </c>
      <c r="J846" s="174">
        <f>VLOOKUP(D846,原始分!$D:$N,5,0)</f>
        <v>100.5</v>
      </c>
      <c r="K846" s="174">
        <f t="shared" si="174"/>
        <v>357</v>
      </c>
      <c r="L846" s="174">
        <f>VLOOKUP(D846,原始分!$D:$N,6,0)</f>
        <v>0</v>
      </c>
      <c r="M846" s="174">
        <f t="shared" si="175"/>
        <v>664</v>
      </c>
      <c r="N846" s="174">
        <f>VLOOKUP(D846,原始分!$D:$N,7,0)</f>
        <v>58</v>
      </c>
      <c r="O846" s="174">
        <f t="shared" si="176"/>
        <v>84</v>
      </c>
      <c r="P846" s="174">
        <f>VLOOKUP(D846,原始分!$D:$N,8,0)</f>
        <v>0</v>
      </c>
      <c r="Q846" s="174">
        <f t="shared" si="177"/>
        <v>541</v>
      </c>
      <c r="R846" s="174">
        <f>VLOOKUP(D846,原始分!$D:$N,9,0)</f>
        <v>54</v>
      </c>
      <c r="S846" s="174">
        <f t="shared" si="178"/>
        <v>89</v>
      </c>
      <c r="T846" s="174">
        <f>VLOOKUP(D846,原始分!$D:$N,10,0)</f>
        <v>58</v>
      </c>
      <c r="U846" s="174">
        <f t="shared" si="179"/>
        <v>144</v>
      </c>
      <c r="V846" s="174">
        <f>VLOOKUP(D846,原始分!$D:$N,11,0)</f>
        <v>0</v>
      </c>
      <c r="W846" s="174">
        <f t="shared" si="180"/>
        <v>565</v>
      </c>
      <c r="X846" s="11">
        <f t="shared" si="181"/>
        <v>297</v>
      </c>
      <c r="Y846" s="9">
        <f t="shared" si="182"/>
        <v>408</v>
      </c>
      <c r="Z846" s="11">
        <f t="shared" si="183"/>
        <v>467</v>
      </c>
      <c r="AA846" s="9">
        <f t="shared" si="171"/>
        <v>99</v>
      </c>
    </row>
    <row r="847" ht="14.25" spans="1:27">
      <c r="A847" s="13">
        <v>845</v>
      </c>
      <c r="B847" s="15">
        <v>18</v>
      </c>
      <c r="C847" s="16">
        <v>25</v>
      </c>
      <c r="D847" s="15" t="s">
        <v>1688</v>
      </c>
      <c r="E847" s="15" t="s">
        <v>1689</v>
      </c>
      <c r="F847" s="174">
        <f>VLOOKUP(D847,原始分!$D:$N,3,0)</f>
        <v>111.75</v>
      </c>
      <c r="G847" s="174">
        <f t="shared" si="172"/>
        <v>33</v>
      </c>
      <c r="H847" s="174">
        <f>VLOOKUP(D847,原始分!$D:$N,4,0)</f>
        <v>56.5</v>
      </c>
      <c r="I847" s="174">
        <f t="shared" si="173"/>
        <v>855</v>
      </c>
      <c r="J847" s="174">
        <f>VLOOKUP(D847,原始分!$D:$N,5,0)</f>
        <v>101.75</v>
      </c>
      <c r="K847" s="174">
        <f t="shared" si="174"/>
        <v>331</v>
      </c>
      <c r="L847" s="174">
        <f>VLOOKUP(D847,原始分!$D:$N,6,0)</f>
        <v>0</v>
      </c>
      <c r="M847" s="174">
        <f t="shared" si="175"/>
        <v>664</v>
      </c>
      <c r="N847" s="174">
        <f>VLOOKUP(D847,原始分!$D:$N,7,0)</f>
        <v>71.5</v>
      </c>
      <c r="O847" s="174">
        <f t="shared" si="176"/>
        <v>4</v>
      </c>
      <c r="P847" s="174">
        <f>VLOOKUP(D847,原始分!$D:$N,8,0)</f>
        <v>0</v>
      </c>
      <c r="Q847" s="174">
        <f t="shared" si="177"/>
        <v>541</v>
      </c>
      <c r="R847" s="174">
        <f>VLOOKUP(D847,原始分!$D:$N,9,0)</f>
        <v>56</v>
      </c>
      <c r="S847" s="174">
        <f t="shared" si="178"/>
        <v>58</v>
      </c>
      <c r="T847" s="174">
        <f>VLOOKUP(D847,原始分!$D:$N,10,0)</f>
        <v>59.5</v>
      </c>
      <c r="U847" s="174">
        <f t="shared" si="179"/>
        <v>116</v>
      </c>
      <c r="V847" s="174">
        <f>VLOOKUP(D847,原始分!$D:$N,11,0)</f>
        <v>0</v>
      </c>
      <c r="W847" s="174">
        <f t="shared" si="180"/>
        <v>565</v>
      </c>
      <c r="X847" s="11">
        <f t="shared" si="181"/>
        <v>270</v>
      </c>
      <c r="Y847" s="9">
        <f t="shared" si="182"/>
        <v>700</v>
      </c>
      <c r="Z847" s="11">
        <f t="shared" si="183"/>
        <v>457</v>
      </c>
      <c r="AA847" s="9">
        <f t="shared" si="171"/>
        <v>119</v>
      </c>
    </row>
    <row r="848" ht="14.25" spans="1:27">
      <c r="A848" s="13">
        <v>846</v>
      </c>
      <c r="B848" s="15">
        <v>18</v>
      </c>
      <c r="C848" s="16">
        <v>26</v>
      </c>
      <c r="D848" s="15" t="s">
        <v>1690</v>
      </c>
      <c r="E848" s="15" t="s">
        <v>1691</v>
      </c>
      <c r="F848" s="174">
        <f>VLOOKUP(D848,原始分!$D:$N,3,0)</f>
        <v>102</v>
      </c>
      <c r="G848" s="174">
        <f t="shared" si="172"/>
        <v>304</v>
      </c>
      <c r="H848" s="174">
        <f>VLOOKUP(D848,原始分!$D:$N,4,0)</f>
        <v>94</v>
      </c>
      <c r="I848" s="174">
        <f t="shared" si="173"/>
        <v>538</v>
      </c>
      <c r="J848" s="174">
        <f>VLOOKUP(D848,原始分!$D:$N,5,0)</f>
        <v>106</v>
      </c>
      <c r="K848" s="174">
        <f t="shared" si="174"/>
        <v>245</v>
      </c>
      <c r="L848" s="174">
        <f>VLOOKUP(D848,原始分!$D:$N,6,0)</f>
        <v>0</v>
      </c>
      <c r="M848" s="174">
        <f t="shared" si="175"/>
        <v>664</v>
      </c>
      <c r="N848" s="174">
        <f>VLOOKUP(D848,原始分!$D:$N,7,0)</f>
        <v>51</v>
      </c>
      <c r="O848" s="174">
        <f t="shared" si="176"/>
        <v>160</v>
      </c>
      <c r="P848" s="174">
        <f>VLOOKUP(D848,原始分!$D:$N,8,0)</f>
        <v>0</v>
      </c>
      <c r="Q848" s="174">
        <f t="shared" si="177"/>
        <v>541</v>
      </c>
      <c r="R848" s="174">
        <f>VLOOKUP(D848,原始分!$D:$N,9,0)</f>
        <v>58</v>
      </c>
      <c r="S848" s="174">
        <f t="shared" si="178"/>
        <v>40</v>
      </c>
      <c r="T848" s="174">
        <f>VLOOKUP(D848,原始分!$D:$N,10,0)</f>
        <v>57</v>
      </c>
      <c r="U848" s="174">
        <f t="shared" si="179"/>
        <v>157</v>
      </c>
      <c r="V848" s="174">
        <f>VLOOKUP(D848,原始分!$D:$N,11,0)</f>
        <v>0</v>
      </c>
      <c r="W848" s="174">
        <f t="shared" si="180"/>
        <v>565</v>
      </c>
      <c r="X848" s="11">
        <f t="shared" si="181"/>
        <v>302</v>
      </c>
      <c r="Y848" s="9">
        <f t="shared" si="182"/>
        <v>348</v>
      </c>
      <c r="Z848" s="11">
        <f t="shared" si="183"/>
        <v>468</v>
      </c>
      <c r="AA848" s="9">
        <f t="shared" si="171"/>
        <v>97</v>
      </c>
    </row>
    <row r="849" ht="14.25" spans="1:27">
      <c r="A849" s="13">
        <v>847</v>
      </c>
      <c r="B849" s="15">
        <v>18</v>
      </c>
      <c r="C849" s="16">
        <v>27</v>
      </c>
      <c r="D849" s="15" t="s">
        <v>1692</v>
      </c>
      <c r="E849" s="15" t="s">
        <v>1693</v>
      </c>
      <c r="F849" s="174">
        <f>VLOOKUP(D849,原始分!$D:$N,3,0)</f>
        <v>95.5</v>
      </c>
      <c r="G849" s="174">
        <f t="shared" si="172"/>
        <v>595</v>
      </c>
      <c r="H849" s="174">
        <f>VLOOKUP(D849,原始分!$D:$N,4,0)</f>
        <v>101</v>
      </c>
      <c r="I849" s="174">
        <f t="shared" si="173"/>
        <v>403</v>
      </c>
      <c r="J849" s="174">
        <f>VLOOKUP(D849,原始分!$D:$N,5,0)</f>
        <v>108</v>
      </c>
      <c r="K849" s="174">
        <f t="shared" si="174"/>
        <v>206</v>
      </c>
      <c r="L849" s="174">
        <f>VLOOKUP(D849,原始分!$D:$N,6,0)</f>
        <v>0</v>
      </c>
      <c r="M849" s="174">
        <f t="shared" si="175"/>
        <v>664</v>
      </c>
      <c r="N849" s="174">
        <f>VLOOKUP(D849,原始分!$D:$N,7,0)</f>
        <v>65.5</v>
      </c>
      <c r="O849" s="174">
        <f t="shared" si="176"/>
        <v>27</v>
      </c>
      <c r="P849" s="174">
        <f>VLOOKUP(D849,原始分!$D:$N,8,0)</f>
        <v>0</v>
      </c>
      <c r="Q849" s="174">
        <f t="shared" si="177"/>
        <v>541</v>
      </c>
      <c r="R849" s="174">
        <f>VLOOKUP(D849,原始分!$D:$N,9,0)</f>
        <v>59.5</v>
      </c>
      <c r="S849" s="174">
        <f t="shared" si="178"/>
        <v>30</v>
      </c>
      <c r="T849" s="174">
        <f>VLOOKUP(D849,原始分!$D:$N,10,0)</f>
        <v>56</v>
      </c>
      <c r="U849" s="174">
        <f t="shared" si="179"/>
        <v>181</v>
      </c>
      <c r="V849" s="174">
        <f>VLOOKUP(D849,原始分!$D:$N,11,0)</f>
        <v>0</v>
      </c>
      <c r="W849" s="174">
        <f t="shared" si="180"/>
        <v>565</v>
      </c>
      <c r="X849" s="11">
        <f t="shared" si="181"/>
        <v>304.5</v>
      </c>
      <c r="Y849" s="9">
        <f t="shared" si="182"/>
        <v>320</v>
      </c>
      <c r="Z849" s="11">
        <f t="shared" si="183"/>
        <v>485.5</v>
      </c>
      <c r="AA849" s="9">
        <f t="shared" si="171"/>
        <v>61</v>
      </c>
    </row>
    <row r="850" ht="14.25" spans="1:27">
      <c r="A850" s="13">
        <v>848</v>
      </c>
      <c r="B850" s="15">
        <v>18</v>
      </c>
      <c r="C850" s="16">
        <v>28</v>
      </c>
      <c r="D850" s="15" t="s">
        <v>1694</v>
      </c>
      <c r="E850" s="15" t="s">
        <v>1695</v>
      </c>
      <c r="F850" s="174">
        <f>VLOOKUP(D850,原始分!$D:$N,3,0)</f>
        <v>100.5</v>
      </c>
      <c r="G850" s="174">
        <f t="shared" si="172"/>
        <v>370</v>
      </c>
      <c r="H850" s="174">
        <f>VLOOKUP(D850,原始分!$D:$N,4,0)</f>
        <v>93.5</v>
      </c>
      <c r="I850" s="174">
        <f t="shared" si="173"/>
        <v>549</v>
      </c>
      <c r="J850" s="174">
        <f>VLOOKUP(D850,原始分!$D:$N,5,0)</f>
        <v>116</v>
      </c>
      <c r="K850" s="174">
        <f t="shared" si="174"/>
        <v>89</v>
      </c>
      <c r="L850" s="174">
        <f>VLOOKUP(D850,原始分!$D:$N,6,0)</f>
        <v>0</v>
      </c>
      <c r="M850" s="174">
        <f t="shared" si="175"/>
        <v>664</v>
      </c>
      <c r="N850" s="174">
        <f>VLOOKUP(D850,原始分!$D:$N,7,0)</f>
        <v>56.5</v>
      </c>
      <c r="O850" s="174">
        <f t="shared" si="176"/>
        <v>101</v>
      </c>
      <c r="P850" s="174">
        <f>VLOOKUP(D850,原始分!$D:$N,8,0)</f>
        <v>0</v>
      </c>
      <c r="Q850" s="174">
        <f t="shared" si="177"/>
        <v>541</v>
      </c>
      <c r="R850" s="174">
        <f>VLOOKUP(D850,原始分!$D:$N,9,0)</f>
        <v>60</v>
      </c>
      <c r="S850" s="174">
        <f t="shared" si="178"/>
        <v>26</v>
      </c>
      <c r="T850" s="174">
        <f>VLOOKUP(D850,原始分!$D:$N,10,0)</f>
        <v>64</v>
      </c>
      <c r="U850" s="174">
        <f t="shared" si="179"/>
        <v>62</v>
      </c>
      <c r="V850" s="174">
        <f>VLOOKUP(D850,原始分!$D:$N,11,0)</f>
        <v>0</v>
      </c>
      <c r="W850" s="174">
        <f t="shared" si="180"/>
        <v>565</v>
      </c>
      <c r="X850" s="11">
        <f t="shared" si="181"/>
        <v>310</v>
      </c>
      <c r="Y850" s="9">
        <f t="shared" si="182"/>
        <v>264</v>
      </c>
      <c r="Z850" s="11">
        <f t="shared" si="183"/>
        <v>490.5</v>
      </c>
      <c r="AA850" s="9">
        <f t="shared" si="171"/>
        <v>53</v>
      </c>
    </row>
    <row r="851" ht="14.25" spans="1:27">
      <c r="A851" s="13">
        <v>849</v>
      </c>
      <c r="B851" s="15">
        <v>18</v>
      </c>
      <c r="C851" s="16">
        <v>29</v>
      </c>
      <c r="D851" s="15" t="s">
        <v>1696</v>
      </c>
      <c r="E851" s="15" t="s">
        <v>1697</v>
      </c>
      <c r="F851" s="174">
        <f>VLOOKUP(D851,原始分!$D:$N,3,0)</f>
        <v>107</v>
      </c>
      <c r="G851" s="174">
        <f t="shared" si="172"/>
        <v>113</v>
      </c>
      <c r="H851" s="174">
        <f>VLOOKUP(D851,原始分!$D:$N,4,0)</f>
        <v>88.5</v>
      </c>
      <c r="I851" s="174">
        <f t="shared" si="173"/>
        <v>641</v>
      </c>
      <c r="J851" s="174">
        <f>VLOOKUP(D851,原始分!$D:$N,5,0)</f>
        <v>116</v>
      </c>
      <c r="K851" s="174">
        <f t="shared" si="174"/>
        <v>89</v>
      </c>
      <c r="L851" s="174">
        <f>VLOOKUP(D851,原始分!$D:$N,6,0)</f>
        <v>0</v>
      </c>
      <c r="M851" s="174">
        <f t="shared" si="175"/>
        <v>664</v>
      </c>
      <c r="N851" s="174">
        <f>VLOOKUP(D851,原始分!$D:$N,7,0)</f>
        <v>56</v>
      </c>
      <c r="O851" s="174">
        <f t="shared" si="176"/>
        <v>107</v>
      </c>
      <c r="P851" s="174">
        <f>VLOOKUP(D851,原始分!$D:$N,8,0)</f>
        <v>0</v>
      </c>
      <c r="Q851" s="174">
        <f t="shared" si="177"/>
        <v>541</v>
      </c>
      <c r="R851" s="174">
        <f>VLOOKUP(D851,原始分!$D:$N,9,0)</f>
        <v>59</v>
      </c>
      <c r="S851" s="174">
        <f t="shared" si="178"/>
        <v>33</v>
      </c>
      <c r="T851" s="174">
        <f>VLOOKUP(D851,原始分!$D:$N,10,0)</f>
        <v>57</v>
      </c>
      <c r="U851" s="174">
        <f t="shared" si="179"/>
        <v>157</v>
      </c>
      <c r="V851" s="174">
        <f>VLOOKUP(D851,原始分!$D:$N,11,0)</f>
        <v>0</v>
      </c>
      <c r="W851" s="174">
        <f t="shared" si="180"/>
        <v>565</v>
      </c>
      <c r="X851" s="11">
        <f t="shared" si="181"/>
        <v>311.5</v>
      </c>
      <c r="Y851" s="9">
        <f t="shared" si="182"/>
        <v>239</v>
      </c>
      <c r="Z851" s="11">
        <f t="shared" si="183"/>
        <v>483.5</v>
      </c>
      <c r="AA851" s="9">
        <f t="shared" si="171"/>
        <v>67</v>
      </c>
    </row>
    <row r="852" ht="14.25" spans="1:27">
      <c r="A852" s="13">
        <v>850</v>
      </c>
      <c r="B852" s="15">
        <v>18</v>
      </c>
      <c r="C852" s="16">
        <v>30</v>
      </c>
      <c r="D852" s="15" t="s">
        <v>1698</v>
      </c>
      <c r="E852" s="15" t="s">
        <v>1699</v>
      </c>
      <c r="F852" s="174">
        <f>VLOOKUP(D852,原始分!$D:$N,3,0)</f>
        <v>108</v>
      </c>
      <c r="G852" s="174">
        <f t="shared" si="172"/>
        <v>77</v>
      </c>
      <c r="H852" s="174">
        <f>VLOOKUP(D852,原始分!$D:$N,4,0)</f>
        <v>88</v>
      </c>
      <c r="I852" s="174">
        <f t="shared" si="173"/>
        <v>654</v>
      </c>
      <c r="J852" s="174">
        <f>VLOOKUP(D852,原始分!$D:$N,5,0)</f>
        <v>112.5</v>
      </c>
      <c r="K852" s="174">
        <f t="shared" si="174"/>
        <v>140</v>
      </c>
      <c r="L852" s="174">
        <f>VLOOKUP(D852,原始分!$D:$N,6,0)</f>
        <v>0</v>
      </c>
      <c r="M852" s="174">
        <f t="shared" si="175"/>
        <v>664</v>
      </c>
      <c r="N852" s="174">
        <f>VLOOKUP(D852,原始分!$D:$N,7,0)</f>
        <v>50</v>
      </c>
      <c r="O852" s="174">
        <f t="shared" si="176"/>
        <v>168</v>
      </c>
      <c r="P852" s="174">
        <f>VLOOKUP(D852,原始分!$D:$N,8,0)</f>
        <v>0</v>
      </c>
      <c r="Q852" s="174">
        <f t="shared" si="177"/>
        <v>541</v>
      </c>
      <c r="R852" s="174">
        <f>VLOOKUP(D852,原始分!$D:$N,9,0)</f>
        <v>52</v>
      </c>
      <c r="S852" s="174">
        <f t="shared" si="178"/>
        <v>121</v>
      </c>
      <c r="T852" s="174">
        <f>VLOOKUP(D852,原始分!$D:$N,10,0)</f>
        <v>44</v>
      </c>
      <c r="U852" s="174">
        <f t="shared" si="179"/>
        <v>302</v>
      </c>
      <c r="V852" s="174">
        <f>VLOOKUP(D852,原始分!$D:$N,11,0)</f>
        <v>0</v>
      </c>
      <c r="W852" s="174">
        <f t="shared" si="180"/>
        <v>565</v>
      </c>
      <c r="X852" s="11">
        <f t="shared" si="181"/>
        <v>308.5</v>
      </c>
      <c r="Y852" s="9">
        <f t="shared" si="182"/>
        <v>283</v>
      </c>
      <c r="Z852" s="11">
        <f t="shared" si="183"/>
        <v>454.5</v>
      </c>
      <c r="AA852" s="9">
        <f t="shared" si="171"/>
        <v>123</v>
      </c>
    </row>
    <row r="853" ht="14.25" spans="1:27">
      <c r="A853" s="13">
        <v>851</v>
      </c>
      <c r="B853" s="15">
        <v>18</v>
      </c>
      <c r="C853" s="16">
        <v>31</v>
      </c>
      <c r="D853" s="15" t="s">
        <v>1700</v>
      </c>
      <c r="E853" s="15" t="s">
        <v>1701</v>
      </c>
      <c r="F853" s="174">
        <f>VLOOKUP(D853,原始分!$D:$N,3,0)</f>
        <v>107.5</v>
      </c>
      <c r="G853" s="174">
        <f t="shared" si="172"/>
        <v>93</v>
      </c>
      <c r="H853" s="174">
        <f>VLOOKUP(D853,原始分!$D:$N,4,0)</f>
        <v>92.5</v>
      </c>
      <c r="I853" s="174">
        <f t="shared" si="173"/>
        <v>569</v>
      </c>
      <c r="J853" s="174">
        <f>VLOOKUP(D853,原始分!$D:$N,5,0)</f>
        <v>96.5</v>
      </c>
      <c r="K853" s="174">
        <f t="shared" si="174"/>
        <v>455</v>
      </c>
      <c r="L853" s="174">
        <f>VLOOKUP(D853,原始分!$D:$N,6,0)</f>
        <v>0</v>
      </c>
      <c r="M853" s="174">
        <f t="shared" si="175"/>
        <v>664</v>
      </c>
      <c r="N853" s="174">
        <f>VLOOKUP(D853,原始分!$D:$N,7,0)</f>
        <v>59</v>
      </c>
      <c r="O853" s="174">
        <f t="shared" si="176"/>
        <v>77</v>
      </c>
      <c r="P853" s="174">
        <f>VLOOKUP(D853,原始分!$D:$N,8,0)</f>
        <v>0</v>
      </c>
      <c r="Q853" s="174">
        <f t="shared" si="177"/>
        <v>541</v>
      </c>
      <c r="R853" s="174">
        <f>VLOOKUP(D853,原始分!$D:$N,9,0)</f>
        <v>44.5</v>
      </c>
      <c r="S853" s="174">
        <f t="shared" si="178"/>
        <v>244</v>
      </c>
      <c r="T853" s="174">
        <f>VLOOKUP(D853,原始分!$D:$N,10,0)</f>
        <v>49.5</v>
      </c>
      <c r="U853" s="174">
        <f t="shared" si="179"/>
        <v>253</v>
      </c>
      <c r="V853" s="174">
        <f>VLOOKUP(D853,原始分!$D:$N,11,0)</f>
        <v>0</v>
      </c>
      <c r="W853" s="174">
        <f t="shared" si="180"/>
        <v>565</v>
      </c>
      <c r="X853" s="11">
        <f t="shared" si="181"/>
        <v>296.5</v>
      </c>
      <c r="Y853" s="9">
        <f t="shared" si="182"/>
        <v>411</v>
      </c>
      <c r="Z853" s="11">
        <f t="shared" si="183"/>
        <v>449.5</v>
      </c>
      <c r="AA853" s="9">
        <f t="shared" si="171"/>
        <v>133</v>
      </c>
    </row>
    <row r="854" ht="14.25" spans="1:27">
      <c r="A854" s="13">
        <v>852</v>
      </c>
      <c r="B854" s="15">
        <v>18</v>
      </c>
      <c r="C854" s="16">
        <v>32</v>
      </c>
      <c r="D854" s="15" t="s">
        <v>1702</v>
      </c>
      <c r="E854" s="15" t="s">
        <v>1703</v>
      </c>
      <c r="F854" s="174">
        <f>VLOOKUP(D854,原始分!$D:$N,3,0)</f>
        <v>105.5</v>
      </c>
      <c r="G854" s="174">
        <f t="shared" si="172"/>
        <v>156</v>
      </c>
      <c r="H854" s="174">
        <f>VLOOKUP(D854,原始分!$D:$N,4,0)</f>
        <v>91</v>
      </c>
      <c r="I854" s="174">
        <f t="shared" si="173"/>
        <v>592</v>
      </c>
      <c r="J854" s="174">
        <f>VLOOKUP(D854,原始分!$D:$N,5,0)</f>
        <v>116.25</v>
      </c>
      <c r="K854" s="174">
        <f t="shared" si="174"/>
        <v>84</v>
      </c>
      <c r="L854" s="174">
        <f>VLOOKUP(D854,原始分!$D:$N,6,0)</f>
        <v>0</v>
      </c>
      <c r="M854" s="174">
        <f t="shared" si="175"/>
        <v>664</v>
      </c>
      <c r="N854" s="174">
        <f>VLOOKUP(D854,原始分!$D:$N,7,0)</f>
        <v>62</v>
      </c>
      <c r="O854" s="174">
        <f t="shared" si="176"/>
        <v>50</v>
      </c>
      <c r="P854" s="174">
        <f>VLOOKUP(D854,原始分!$D:$N,8,0)</f>
        <v>0</v>
      </c>
      <c r="Q854" s="174">
        <f t="shared" si="177"/>
        <v>541</v>
      </c>
      <c r="R854" s="174">
        <f>VLOOKUP(D854,原始分!$D:$N,9,0)</f>
        <v>50.5</v>
      </c>
      <c r="S854" s="174">
        <f t="shared" si="178"/>
        <v>144</v>
      </c>
      <c r="T854" s="174">
        <f>VLOOKUP(D854,原始分!$D:$N,10,0)</f>
        <v>62</v>
      </c>
      <c r="U854" s="174">
        <f t="shared" si="179"/>
        <v>81</v>
      </c>
      <c r="V854" s="174">
        <f>VLOOKUP(D854,原始分!$D:$N,11,0)</f>
        <v>0</v>
      </c>
      <c r="W854" s="174">
        <f t="shared" si="180"/>
        <v>565</v>
      </c>
      <c r="X854" s="11">
        <f t="shared" si="181"/>
        <v>312.75</v>
      </c>
      <c r="Y854" s="9">
        <f t="shared" si="182"/>
        <v>229</v>
      </c>
      <c r="Z854" s="11">
        <f t="shared" si="183"/>
        <v>487.25</v>
      </c>
      <c r="AA854" s="9">
        <f t="shared" si="171"/>
        <v>58</v>
      </c>
    </row>
    <row r="855" ht="14.25" spans="1:27">
      <c r="A855" s="13">
        <v>853</v>
      </c>
      <c r="B855" s="15">
        <v>18</v>
      </c>
      <c r="C855" s="16">
        <v>34</v>
      </c>
      <c r="D855" s="15" t="s">
        <v>1704</v>
      </c>
      <c r="E855" s="15" t="s">
        <v>1705</v>
      </c>
      <c r="F855" s="174">
        <f>VLOOKUP(D855,原始分!$D:$N,3,0)</f>
        <v>100.5</v>
      </c>
      <c r="G855" s="174">
        <f t="shared" si="172"/>
        <v>370</v>
      </c>
      <c r="H855" s="174">
        <f>VLOOKUP(D855,原始分!$D:$N,4,0)</f>
        <v>57.5</v>
      </c>
      <c r="I855" s="174">
        <f t="shared" si="173"/>
        <v>850</v>
      </c>
      <c r="J855" s="174">
        <f>VLOOKUP(D855,原始分!$D:$N,5,0)</f>
        <v>88</v>
      </c>
      <c r="K855" s="174">
        <f t="shared" si="174"/>
        <v>616</v>
      </c>
      <c r="L855" s="174">
        <f>VLOOKUP(D855,原始分!$D:$N,6,0)</f>
        <v>0</v>
      </c>
      <c r="M855" s="174">
        <f t="shared" si="175"/>
        <v>664</v>
      </c>
      <c r="N855" s="174">
        <f>VLOOKUP(D855,原始分!$D:$N,7,0)</f>
        <v>48.5</v>
      </c>
      <c r="O855" s="174">
        <f t="shared" si="176"/>
        <v>180</v>
      </c>
      <c r="P855" s="174">
        <f>VLOOKUP(D855,原始分!$D:$N,8,0)</f>
        <v>0</v>
      </c>
      <c r="Q855" s="174">
        <f t="shared" si="177"/>
        <v>541</v>
      </c>
      <c r="R855" s="174">
        <f>VLOOKUP(D855,原始分!$D:$N,9,0)</f>
        <v>44.5</v>
      </c>
      <c r="S855" s="174">
        <f t="shared" si="178"/>
        <v>244</v>
      </c>
      <c r="T855" s="174">
        <f>VLOOKUP(D855,原始分!$D:$N,10,0)</f>
        <v>40.5</v>
      </c>
      <c r="U855" s="174">
        <f t="shared" si="179"/>
        <v>310</v>
      </c>
      <c r="V855" s="174">
        <f>VLOOKUP(D855,原始分!$D:$N,11,0)</f>
        <v>0</v>
      </c>
      <c r="W855" s="174">
        <f t="shared" si="180"/>
        <v>565</v>
      </c>
      <c r="X855" s="11">
        <f t="shared" si="181"/>
        <v>246</v>
      </c>
      <c r="Y855" s="9">
        <f t="shared" si="182"/>
        <v>814</v>
      </c>
      <c r="Z855" s="11">
        <f t="shared" si="183"/>
        <v>379.5</v>
      </c>
      <c r="AA855" s="9">
        <f t="shared" si="171"/>
        <v>201</v>
      </c>
    </row>
    <row r="856" ht="14.25" spans="1:27">
      <c r="A856" s="13">
        <v>854</v>
      </c>
      <c r="B856" s="15">
        <v>18</v>
      </c>
      <c r="C856" s="16">
        <v>37</v>
      </c>
      <c r="D856" s="15" t="s">
        <v>1706</v>
      </c>
      <c r="E856" s="15" t="s">
        <v>1707</v>
      </c>
      <c r="F856" s="174">
        <f>VLOOKUP(D856,原始分!$D:$N,3,0)</f>
        <v>106.5</v>
      </c>
      <c r="G856" s="174">
        <f t="shared" si="172"/>
        <v>132</v>
      </c>
      <c r="H856" s="174">
        <f>VLOOKUP(D856,原始分!$D:$N,4,0)</f>
        <v>88</v>
      </c>
      <c r="I856" s="174">
        <f t="shared" si="173"/>
        <v>654</v>
      </c>
      <c r="J856" s="174">
        <f>VLOOKUP(D856,原始分!$D:$N,5,0)</f>
        <v>95</v>
      </c>
      <c r="K856" s="174">
        <f t="shared" si="174"/>
        <v>484</v>
      </c>
      <c r="L856" s="174">
        <f>VLOOKUP(D856,原始分!$D:$N,6,0)</f>
        <v>0</v>
      </c>
      <c r="M856" s="174">
        <f t="shared" si="175"/>
        <v>664</v>
      </c>
      <c r="N856" s="174">
        <f>VLOOKUP(D856,原始分!$D:$N,7,0)</f>
        <v>59.5</v>
      </c>
      <c r="O856" s="174">
        <f t="shared" si="176"/>
        <v>69</v>
      </c>
      <c r="P856" s="174">
        <f>VLOOKUP(D856,原始分!$D:$N,8,0)</f>
        <v>0</v>
      </c>
      <c r="Q856" s="174">
        <f t="shared" si="177"/>
        <v>541</v>
      </c>
      <c r="R856" s="174">
        <f>VLOOKUP(D856,原始分!$D:$N,9,0)</f>
        <v>49.5</v>
      </c>
      <c r="S856" s="174">
        <f t="shared" si="178"/>
        <v>164</v>
      </c>
      <c r="T856" s="174">
        <f>VLOOKUP(D856,原始分!$D:$N,10,0)</f>
        <v>43</v>
      </c>
      <c r="U856" s="174">
        <f t="shared" si="179"/>
        <v>305</v>
      </c>
      <c r="V856" s="174">
        <f>VLOOKUP(D856,原始分!$D:$N,11,0)</f>
        <v>0</v>
      </c>
      <c r="W856" s="174">
        <f t="shared" si="180"/>
        <v>565</v>
      </c>
      <c r="X856" s="11">
        <f t="shared" si="181"/>
        <v>289.5</v>
      </c>
      <c r="Y856" s="9">
        <f t="shared" si="182"/>
        <v>501</v>
      </c>
      <c r="Z856" s="11">
        <f t="shared" si="183"/>
        <v>441.5</v>
      </c>
      <c r="AA856" s="9">
        <f t="shared" si="171"/>
        <v>146</v>
      </c>
    </row>
    <row r="857" ht="14.25" spans="1:27">
      <c r="A857" s="13">
        <v>855</v>
      </c>
      <c r="B857" s="15">
        <v>18</v>
      </c>
      <c r="C857" s="16">
        <v>38</v>
      </c>
      <c r="D857" s="15" t="s">
        <v>1708</v>
      </c>
      <c r="E857" s="15" t="s">
        <v>1709</v>
      </c>
      <c r="F857" s="174">
        <f>VLOOKUP(D857,原始分!$D:$N,3,0)</f>
        <v>94</v>
      </c>
      <c r="G857" s="174">
        <f t="shared" si="172"/>
        <v>661</v>
      </c>
      <c r="H857" s="174">
        <f>VLOOKUP(D857,原始分!$D:$N,4,0)</f>
        <v>72</v>
      </c>
      <c r="I857" s="174">
        <f t="shared" si="173"/>
        <v>807</v>
      </c>
      <c r="J857" s="174">
        <f>VLOOKUP(D857,原始分!$D:$N,5,0)</f>
        <v>98.5</v>
      </c>
      <c r="K857" s="174">
        <f t="shared" si="174"/>
        <v>412</v>
      </c>
      <c r="L857" s="174">
        <f>VLOOKUP(D857,原始分!$D:$N,6,0)</f>
        <v>0</v>
      </c>
      <c r="M857" s="174">
        <f t="shared" si="175"/>
        <v>664</v>
      </c>
      <c r="N857" s="174">
        <f>VLOOKUP(D857,原始分!$D:$N,7,0)</f>
        <v>54.5</v>
      </c>
      <c r="O857" s="174">
        <f t="shared" si="176"/>
        <v>128</v>
      </c>
      <c r="P857" s="174">
        <f>VLOOKUP(D857,原始分!$D:$N,8,0)</f>
        <v>0</v>
      </c>
      <c r="Q857" s="174">
        <f t="shared" si="177"/>
        <v>541</v>
      </c>
      <c r="R857" s="174">
        <f>VLOOKUP(D857,原始分!$D:$N,9,0)</f>
        <v>47.5</v>
      </c>
      <c r="S857" s="174">
        <f t="shared" si="178"/>
        <v>203</v>
      </c>
      <c r="T857" s="174">
        <f>VLOOKUP(D857,原始分!$D:$N,10,0)</f>
        <v>51</v>
      </c>
      <c r="U857" s="174">
        <f t="shared" si="179"/>
        <v>240</v>
      </c>
      <c r="V857" s="174">
        <f>VLOOKUP(D857,原始分!$D:$N,11,0)</f>
        <v>0</v>
      </c>
      <c r="W857" s="174">
        <f t="shared" si="180"/>
        <v>565</v>
      </c>
      <c r="X857" s="11">
        <f t="shared" si="181"/>
        <v>264.5</v>
      </c>
      <c r="Y857" s="9">
        <f t="shared" si="182"/>
        <v>746</v>
      </c>
      <c r="Z857" s="11">
        <f t="shared" si="183"/>
        <v>417.5</v>
      </c>
      <c r="AA857" s="9">
        <f t="shared" si="171"/>
        <v>182</v>
      </c>
    </row>
    <row r="858" ht="14.25" spans="1:27">
      <c r="A858" s="13">
        <v>856</v>
      </c>
      <c r="B858" s="15">
        <v>18</v>
      </c>
      <c r="C858" s="16">
        <v>39</v>
      </c>
      <c r="D858" s="15" t="s">
        <v>1710</v>
      </c>
      <c r="E858" s="15" t="s">
        <v>1711</v>
      </c>
      <c r="F858" s="174">
        <f>VLOOKUP(D858,原始分!$D:$N,3,0)</f>
        <v>98.5</v>
      </c>
      <c r="G858" s="174">
        <f t="shared" si="172"/>
        <v>469</v>
      </c>
      <c r="H858" s="174">
        <f>VLOOKUP(D858,原始分!$D:$N,4,0)</f>
        <v>77.5</v>
      </c>
      <c r="I858" s="174">
        <f t="shared" si="173"/>
        <v>773</v>
      </c>
      <c r="J858" s="174">
        <f>VLOOKUP(D858,原始分!$D:$N,5,0)</f>
        <v>93.75</v>
      </c>
      <c r="K858" s="174">
        <f t="shared" si="174"/>
        <v>512</v>
      </c>
      <c r="L858" s="174">
        <f>VLOOKUP(D858,原始分!$D:$N,6,0)</f>
        <v>0</v>
      </c>
      <c r="M858" s="174">
        <f t="shared" si="175"/>
        <v>664</v>
      </c>
      <c r="N858" s="174">
        <f>VLOOKUP(D858,原始分!$D:$N,7,0)</f>
        <v>53</v>
      </c>
      <c r="O858" s="174">
        <f t="shared" si="176"/>
        <v>139</v>
      </c>
      <c r="P858" s="174">
        <f>VLOOKUP(D858,原始分!$D:$N,8,0)</f>
        <v>0</v>
      </c>
      <c r="Q858" s="174">
        <f t="shared" si="177"/>
        <v>541</v>
      </c>
      <c r="R858" s="174">
        <f>VLOOKUP(D858,原始分!$D:$N,9,0)</f>
        <v>40.5</v>
      </c>
      <c r="S858" s="174">
        <f t="shared" si="178"/>
        <v>289</v>
      </c>
      <c r="T858" s="174">
        <f>VLOOKUP(D858,原始分!$D:$N,10,0)</f>
        <v>57.5</v>
      </c>
      <c r="U858" s="174">
        <f t="shared" si="179"/>
        <v>151</v>
      </c>
      <c r="V858" s="174">
        <f>VLOOKUP(D858,原始分!$D:$N,11,0)</f>
        <v>0</v>
      </c>
      <c r="W858" s="174">
        <f t="shared" si="180"/>
        <v>565</v>
      </c>
      <c r="X858" s="11">
        <f t="shared" si="181"/>
        <v>269.75</v>
      </c>
      <c r="Y858" s="9">
        <f t="shared" si="182"/>
        <v>707</v>
      </c>
      <c r="Z858" s="11">
        <f t="shared" si="183"/>
        <v>420.75</v>
      </c>
      <c r="AA858" s="9">
        <f t="shared" si="171"/>
        <v>178</v>
      </c>
    </row>
    <row r="859" ht="14.25" spans="1:27">
      <c r="A859" s="13">
        <v>857</v>
      </c>
      <c r="B859" s="15">
        <v>18</v>
      </c>
      <c r="C859" s="16">
        <v>40</v>
      </c>
      <c r="D859" s="15" t="s">
        <v>1712</v>
      </c>
      <c r="E859" s="15" t="s">
        <v>1713</v>
      </c>
      <c r="F859" s="174">
        <f>VLOOKUP(D859,原始分!$D:$N,3,0)</f>
        <v>104.5</v>
      </c>
      <c r="G859" s="174">
        <f t="shared" si="172"/>
        <v>190</v>
      </c>
      <c r="H859" s="174">
        <f>VLOOKUP(D859,原始分!$D:$N,4,0)</f>
        <v>83.5</v>
      </c>
      <c r="I859" s="174">
        <f t="shared" si="173"/>
        <v>721</v>
      </c>
      <c r="J859" s="174">
        <f>VLOOKUP(D859,原始分!$D:$N,5,0)</f>
        <v>82.5</v>
      </c>
      <c r="K859" s="174">
        <f t="shared" si="174"/>
        <v>713</v>
      </c>
      <c r="L859" s="174">
        <f>VLOOKUP(D859,原始分!$D:$N,6,0)</f>
        <v>0</v>
      </c>
      <c r="M859" s="174">
        <f t="shared" si="175"/>
        <v>664</v>
      </c>
      <c r="N859" s="174">
        <f>VLOOKUP(D859,原始分!$D:$N,7,0)</f>
        <v>51.5</v>
      </c>
      <c r="O859" s="174">
        <f t="shared" si="176"/>
        <v>150</v>
      </c>
      <c r="P859" s="174">
        <f>VLOOKUP(D859,原始分!$D:$N,8,0)</f>
        <v>0</v>
      </c>
      <c r="Q859" s="174">
        <f t="shared" si="177"/>
        <v>541</v>
      </c>
      <c r="R859" s="174">
        <f>VLOOKUP(D859,原始分!$D:$N,9,0)</f>
        <v>40.5</v>
      </c>
      <c r="S859" s="174">
        <f t="shared" si="178"/>
        <v>289</v>
      </c>
      <c r="T859" s="174">
        <f>VLOOKUP(D859,原始分!$D:$N,10,0)</f>
        <v>53</v>
      </c>
      <c r="U859" s="174">
        <f t="shared" si="179"/>
        <v>219</v>
      </c>
      <c r="V859" s="174">
        <f>VLOOKUP(D859,原始分!$D:$N,11,0)</f>
        <v>0</v>
      </c>
      <c r="W859" s="174">
        <f t="shared" si="180"/>
        <v>565</v>
      </c>
      <c r="X859" s="11">
        <f t="shared" si="181"/>
        <v>270.5</v>
      </c>
      <c r="Y859" s="9">
        <f t="shared" si="182"/>
        <v>694</v>
      </c>
      <c r="Z859" s="11">
        <f t="shared" si="183"/>
        <v>415.5</v>
      </c>
      <c r="AA859" s="9">
        <f t="shared" ref="AA859:AA871" si="184">RANK(Z859,$Z$666:$Z$900)</f>
        <v>184</v>
      </c>
    </row>
    <row r="860" ht="14.25" spans="1:27">
      <c r="A860" s="13">
        <v>858</v>
      </c>
      <c r="B860" s="15">
        <v>18</v>
      </c>
      <c r="C860" s="16">
        <v>41</v>
      </c>
      <c r="D860" s="15" t="s">
        <v>1714</v>
      </c>
      <c r="E860" s="15" t="s">
        <v>1715</v>
      </c>
      <c r="F860" s="174">
        <f>VLOOKUP(D860,原始分!$D:$N,3,0)</f>
        <v>100</v>
      </c>
      <c r="G860" s="174">
        <f t="shared" si="172"/>
        <v>400</v>
      </c>
      <c r="H860" s="174">
        <f>VLOOKUP(D860,原始分!$D:$N,4,0)</f>
        <v>83</v>
      </c>
      <c r="I860" s="174">
        <f t="shared" si="173"/>
        <v>728</v>
      </c>
      <c r="J860" s="174">
        <f>VLOOKUP(D860,原始分!$D:$N,5,0)</f>
        <v>89.5</v>
      </c>
      <c r="K860" s="174">
        <f t="shared" si="174"/>
        <v>591</v>
      </c>
      <c r="L860" s="174">
        <f>VLOOKUP(D860,原始分!$D:$N,6,0)</f>
        <v>0</v>
      </c>
      <c r="M860" s="174">
        <f t="shared" si="175"/>
        <v>664</v>
      </c>
      <c r="N860" s="174">
        <f>VLOOKUP(D860,原始分!$D:$N,7,0)</f>
        <v>54</v>
      </c>
      <c r="O860" s="174">
        <f t="shared" si="176"/>
        <v>134</v>
      </c>
      <c r="P860" s="174">
        <f>VLOOKUP(D860,原始分!$D:$N,8,0)</f>
        <v>0</v>
      </c>
      <c r="Q860" s="174">
        <f t="shared" si="177"/>
        <v>541</v>
      </c>
      <c r="R860" s="174">
        <f>VLOOKUP(D860,原始分!$D:$N,9,0)</f>
        <v>46</v>
      </c>
      <c r="S860" s="174">
        <f t="shared" si="178"/>
        <v>222</v>
      </c>
      <c r="T860" s="174">
        <f>VLOOKUP(D860,原始分!$D:$N,10,0)</f>
        <v>65</v>
      </c>
      <c r="U860" s="174">
        <f t="shared" si="179"/>
        <v>47</v>
      </c>
      <c r="V860" s="174">
        <f>VLOOKUP(D860,原始分!$D:$N,11,0)</f>
        <v>0</v>
      </c>
      <c r="W860" s="174">
        <f t="shared" si="180"/>
        <v>565</v>
      </c>
      <c r="X860" s="11">
        <f t="shared" si="181"/>
        <v>272.5</v>
      </c>
      <c r="Y860" s="9">
        <f t="shared" si="182"/>
        <v>671</v>
      </c>
      <c r="Z860" s="11">
        <f t="shared" si="183"/>
        <v>437.5</v>
      </c>
      <c r="AA860" s="9">
        <f t="shared" si="184"/>
        <v>152</v>
      </c>
    </row>
    <row r="861" ht="14.25" spans="1:27">
      <c r="A861" s="13">
        <v>859</v>
      </c>
      <c r="B861" s="15">
        <v>18</v>
      </c>
      <c r="C861" s="16">
        <v>42</v>
      </c>
      <c r="D861" s="15" t="s">
        <v>1716</v>
      </c>
      <c r="E861" s="15" t="s">
        <v>1717</v>
      </c>
      <c r="F861" s="174">
        <f>VLOOKUP(D861,原始分!$D:$N,3,0)</f>
        <v>101.5</v>
      </c>
      <c r="G861" s="174">
        <f t="shared" si="172"/>
        <v>319</v>
      </c>
      <c r="H861" s="174">
        <f>VLOOKUP(D861,原始分!$D:$N,4,0)</f>
        <v>103.5</v>
      </c>
      <c r="I861" s="174">
        <f t="shared" si="173"/>
        <v>354</v>
      </c>
      <c r="J861" s="174">
        <f>VLOOKUP(D861,原始分!$D:$N,5,0)</f>
        <v>99.25</v>
      </c>
      <c r="K861" s="174">
        <f t="shared" si="174"/>
        <v>391</v>
      </c>
      <c r="L861" s="174">
        <f>VLOOKUP(D861,原始分!$D:$N,6,0)</f>
        <v>0</v>
      </c>
      <c r="M861" s="174">
        <f t="shared" si="175"/>
        <v>664</v>
      </c>
      <c r="N861" s="174">
        <f>VLOOKUP(D861,原始分!$D:$N,7,0)</f>
        <v>60.5</v>
      </c>
      <c r="O861" s="174">
        <f t="shared" si="176"/>
        <v>63</v>
      </c>
      <c r="P861" s="174">
        <f>VLOOKUP(D861,原始分!$D:$N,8,0)</f>
        <v>0</v>
      </c>
      <c r="Q861" s="174">
        <f t="shared" si="177"/>
        <v>541</v>
      </c>
      <c r="R861" s="174">
        <f>VLOOKUP(D861,原始分!$D:$N,9,0)</f>
        <v>48.5</v>
      </c>
      <c r="S861" s="174">
        <f t="shared" si="178"/>
        <v>182</v>
      </c>
      <c r="T861" s="174">
        <f>VLOOKUP(D861,原始分!$D:$N,10,0)</f>
        <v>70.5</v>
      </c>
      <c r="U861" s="174">
        <f t="shared" si="179"/>
        <v>10</v>
      </c>
      <c r="V861" s="174">
        <f>VLOOKUP(D861,原始分!$D:$N,11,0)</f>
        <v>0</v>
      </c>
      <c r="W861" s="174">
        <f t="shared" si="180"/>
        <v>565</v>
      </c>
      <c r="X861" s="11">
        <f t="shared" si="181"/>
        <v>304.25</v>
      </c>
      <c r="Y861" s="9">
        <f t="shared" si="182"/>
        <v>325</v>
      </c>
      <c r="Z861" s="11">
        <f t="shared" si="183"/>
        <v>483.75</v>
      </c>
      <c r="AA861" s="9">
        <f t="shared" si="184"/>
        <v>64</v>
      </c>
    </row>
    <row r="862" ht="14.25" spans="1:27">
      <c r="A862" s="13">
        <v>860</v>
      </c>
      <c r="B862" s="15">
        <v>18</v>
      </c>
      <c r="C862" s="16">
        <v>43</v>
      </c>
      <c r="D862" s="15" t="s">
        <v>1718</v>
      </c>
      <c r="E862" s="15" t="s">
        <v>1719</v>
      </c>
      <c r="F862" s="174">
        <f>VLOOKUP(D862,原始分!$D:$N,3,0)</f>
        <v>106.5</v>
      </c>
      <c r="G862" s="174">
        <f t="shared" si="172"/>
        <v>132</v>
      </c>
      <c r="H862" s="174">
        <f>VLOOKUP(D862,原始分!$D:$N,4,0)</f>
        <v>92.5</v>
      </c>
      <c r="I862" s="174">
        <f t="shared" si="173"/>
        <v>569</v>
      </c>
      <c r="J862" s="174">
        <f>VLOOKUP(D862,原始分!$D:$N,5,0)</f>
        <v>100</v>
      </c>
      <c r="K862" s="174">
        <f t="shared" si="174"/>
        <v>368</v>
      </c>
      <c r="L862" s="174">
        <f>VLOOKUP(D862,原始分!$D:$N,6,0)</f>
        <v>0</v>
      </c>
      <c r="M862" s="174">
        <f t="shared" si="175"/>
        <v>664</v>
      </c>
      <c r="N862" s="174">
        <f>VLOOKUP(D862,原始分!$D:$N,7,0)</f>
        <v>61</v>
      </c>
      <c r="O862" s="174">
        <f t="shared" si="176"/>
        <v>60</v>
      </c>
      <c r="P862" s="174">
        <f>VLOOKUP(D862,原始分!$D:$N,8,0)</f>
        <v>0</v>
      </c>
      <c r="Q862" s="174">
        <f t="shared" si="177"/>
        <v>541</v>
      </c>
      <c r="R862" s="174">
        <f>VLOOKUP(D862,原始分!$D:$N,9,0)</f>
        <v>55</v>
      </c>
      <c r="S862" s="174">
        <f t="shared" si="178"/>
        <v>73</v>
      </c>
      <c r="T862" s="174">
        <f>VLOOKUP(D862,原始分!$D:$N,10,0)</f>
        <v>58.5</v>
      </c>
      <c r="U862" s="174">
        <f t="shared" si="179"/>
        <v>132</v>
      </c>
      <c r="V862" s="174">
        <f>VLOOKUP(D862,原始分!$D:$N,11,0)</f>
        <v>0</v>
      </c>
      <c r="W862" s="174">
        <f t="shared" si="180"/>
        <v>565</v>
      </c>
      <c r="X862" s="11">
        <f t="shared" si="181"/>
        <v>299</v>
      </c>
      <c r="Y862" s="9">
        <f t="shared" si="182"/>
        <v>383</v>
      </c>
      <c r="Z862" s="11">
        <f t="shared" si="183"/>
        <v>473.5</v>
      </c>
      <c r="AA862" s="9">
        <f t="shared" si="184"/>
        <v>86</v>
      </c>
    </row>
    <row r="863" ht="14.25" spans="1:27">
      <c r="A863" s="13">
        <v>861</v>
      </c>
      <c r="B863" s="15">
        <v>18</v>
      </c>
      <c r="C863" s="16">
        <v>44</v>
      </c>
      <c r="D863" s="15" t="s">
        <v>1720</v>
      </c>
      <c r="E863" s="15" t="s">
        <v>1721</v>
      </c>
      <c r="F863" s="174">
        <f>VLOOKUP(D863,原始分!$D:$N,3,0)</f>
        <v>100.5</v>
      </c>
      <c r="G863" s="174">
        <f t="shared" si="172"/>
        <v>370</v>
      </c>
      <c r="H863" s="174">
        <f>VLOOKUP(D863,原始分!$D:$N,4,0)</f>
        <v>90</v>
      </c>
      <c r="I863" s="174">
        <f t="shared" si="173"/>
        <v>614</v>
      </c>
      <c r="J863" s="174">
        <f>VLOOKUP(D863,原始分!$D:$N,5,0)</f>
        <v>91</v>
      </c>
      <c r="K863" s="174">
        <f t="shared" si="174"/>
        <v>572</v>
      </c>
      <c r="L863" s="174">
        <f>VLOOKUP(D863,原始分!$D:$N,6,0)</f>
        <v>0</v>
      </c>
      <c r="M863" s="174">
        <f t="shared" si="175"/>
        <v>664</v>
      </c>
      <c r="N863" s="174">
        <f>VLOOKUP(D863,原始分!$D:$N,7,0)</f>
        <v>51</v>
      </c>
      <c r="O863" s="174">
        <f t="shared" si="176"/>
        <v>160</v>
      </c>
      <c r="P863" s="174">
        <f>VLOOKUP(D863,原始分!$D:$N,8,0)</f>
        <v>0</v>
      </c>
      <c r="Q863" s="174">
        <f t="shared" si="177"/>
        <v>541</v>
      </c>
      <c r="R863" s="174">
        <f>VLOOKUP(D863,原始分!$D:$N,9,0)</f>
        <v>51.75</v>
      </c>
      <c r="S863" s="174">
        <f t="shared" si="178"/>
        <v>130</v>
      </c>
      <c r="T863" s="174">
        <f>VLOOKUP(D863,原始分!$D:$N,10,0)</f>
        <v>52.5</v>
      </c>
      <c r="U863" s="174">
        <f t="shared" si="179"/>
        <v>225</v>
      </c>
      <c r="V863" s="174">
        <f>VLOOKUP(D863,原始分!$D:$N,11,0)</f>
        <v>0</v>
      </c>
      <c r="W863" s="174">
        <f t="shared" si="180"/>
        <v>565</v>
      </c>
      <c r="X863" s="11">
        <f t="shared" si="181"/>
        <v>281.5</v>
      </c>
      <c r="Y863" s="9">
        <f t="shared" si="182"/>
        <v>586</v>
      </c>
      <c r="Z863" s="11">
        <f t="shared" si="183"/>
        <v>436.75</v>
      </c>
      <c r="AA863" s="9">
        <f t="shared" si="184"/>
        <v>154</v>
      </c>
    </row>
    <row r="864" ht="14.25" spans="1:27">
      <c r="A864" s="13">
        <v>862</v>
      </c>
      <c r="B864" s="15">
        <v>18</v>
      </c>
      <c r="C864" s="16">
        <v>45</v>
      </c>
      <c r="D864" s="15" t="s">
        <v>1722</v>
      </c>
      <c r="E864" s="15" t="s">
        <v>1723</v>
      </c>
      <c r="F864" s="174">
        <f>VLOOKUP(D864,原始分!$D:$N,3,0)</f>
        <v>100.5</v>
      </c>
      <c r="G864" s="174">
        <f t="shared" si="172"/>
        <v>370</v>
      </c>
      <c r="H864" s="174">
        <f>VLOOKUP(D864,原始分!$D:$N,4,0)</f>
        <v>66.5</v>
      </c>
      <c r="I864" s="174">
        <f t="shared" si="173"/>
        <v>827</v>
      </c>
      <c r="J864" s="174">
        <f>VLOOKUP(D864,原始分!$D:$N,5,0)</f>
        <v>80.25</v>
      </c>
      <c r="K864" s="174">
        <f t="shared" si="174"/>
        <v>744</v>
      </c>
      <c r="L864" s="174">
        <f>VLOOKUP(D864,原始分!$D:$N,6,0)</f>
        <v>0</v>
      </c>
      <c r="M864" s="174">
        <f t="shared" si="175"/>
        <v>664</v>
      </c>
      <c r="N864" s="174">
        <f>VLOOKUP(D864,原始分!$D:$N,7,0)</f>
        <v>49</v>
      </c>
      <c r="O864" s="174">
        <f t="shared" si="176"/>
        <v>172</v>
      </c>
      <c r="P864" s="174">
        <f>VLOOKUP(D864,原始分!$D:$N,8,0)</f>
        <v>0</v>
      </c>
      <c r="Q864" s="174">
        <f t="shared" si="177"/>
        <v>541</v>
      </c>
      <c r="R864" s="174">
        <f>VLOOKUP(D864,原始分!$D:$N,9,0)</f>
        <v>51.5</v>
      </c>
      <c r="S864" s="174">
        <f t="shared" si="178"/>
        <v>132</v>
      </c>
      <c r="T864" s="174">
        <f>VLOOKUP(D864,原始分!$D:$N,10,0)</f>
        <v>44.5</v>
      </c>
      <c r="U864" s="174">
        <f t="shared" si="179"/>
        <v>297</v>
      </c>
      <c r="V864" s="174">
        <f>VLOOKUP(D864,原始分!$D:$N,11,0)</f>
        <v>0</v>
      </c>
      <c r="W864" s="174">
        <f t="shared" si="180"/>
        <v>565</v>
      </c>
      <c r="X864" s="11">
        <f t="shared" si="181"/>
        <v>247.25</v>
      </c>
      <c r="Y864" s="9">
        <f t="shared" si="182"/>
        <v>811</v>
      </c>
      <c r="Z864" s="11">
        <f t="shared" si="183"/>
        <v>392.25</v>
      </c>
      <c r="AA864" s="9">
        <f t="shared" si="184"/>
        <v>197</v>
      </c>
    </row>
    <row r="865" ht="14.25" spans="1:27">
      <c r="A865" s="13">
        <v>863</v>
      </c>
      <c r="B865" s="15">
        <v>18</v>
      </c>
      <c r="C865" s="16">
        <v>47</v>
      </c>
      <c r="D865" s="15" t="s">
        <v>1724</v>
      </c>
      <c r="E865" s="15" t="s">
        <v>1725</v>
      </c>
      <c r="F865" s="174">
        <f>VLOOKUP(D865,原始分!$D:$N,3,0)</f>
        <v>104</v>
      </c>
      <c r="G865" s="174">
        <f t="shared" si="172"/>
        <v>209</v>
      </c>
      <c r="H865" s="174">
        <f>VLOOKUP(D865,原始分!$D:$N,4,0)</f>
        <v>77</v>
      </c>
      <c r="I865" s="174">
        <f t="shared" si="173"/>
        <v>778</v>
      </c>
      <c r="J865" s="174">
        <f>VLOOKUP(D865,原始分!$D:$N,5,0)</f>
        <v>100</v>
      </c>
      <c r="K865" s="174">
        <f t="shared" si="174"/>
        <v>368</v>
      </c>
      <c r="L865" s="174">
        <f>VLOOKUP(D865,原始分!$D:$N,6,0)</f>
        <v>0</v>
      </c>
      <c r="M865" s="174">
        <f t="shared" si="175"/>
        <v>664</v>
      </c>
      <c r="N865" s="174">
        <f>VLOOKUP(D865,原始分!$D:$N,7,0)</f>
        <v>53.5</v>
      </c>
      <c r="O865" s="174">
        <f t="shared" si="176"/>
        <v>136</v>
      </c>
      <c r="P865" s="174">
        <f>VLOOKUP(D865,原始分!$D:$N,8,0)</f>
        <v>0</v>
      </c>
      <c r="Q865" s="174">
        <f t="shared" si="177"/>
        <v>541</v>
      </c>
      <c r="R865" s="174">
        <f>VLOOKUP(D865,原始分!$D:$N,9,0)</f>
        <v>60</v>
      </c>
      <c r="S865" s="174">
        <f t="shared" si="178"/>
        <v>26</v>
      </c>
      <c r="T865" s="174">
        <f>VLOOKUP(D865,原始分!$D:$N,10,0)</f>
        <v>58.5</v>
      </c>
      <c r="U865" s="174">
        <f t="shared" si="179"/>
        <v>132</v>
      </c>
      <c r="V865" s="174">
        <f>VLOOKUP(D865,原始分!$D:$N,11,0)</f>
        <v>0</v>
      </c>
      <c r="W865" s="174">
        <f t="shared" si="180"/>
        <v>565</v>
      </c>
      <c r="X865" s="11">
        <f t="shared" si="181"/>
        <v>281</v>
      </c>
      <c r="Y865" s="9">
        <f t="shared" si="182"/>
        <v>588</v>
      </c>
      <c r="Z865" s="11">
        <f t="shared" si="183"/>
        <v>453</v>
      </c>
      <c r="AA865" s="9">
        <f t="shared" si="184"/>
        <v>128</v>
      </c>
    </row>
    <row r="866" ht="14.25" spans="1:27">
      <c r="A866" s="13">
        <v>864</v>
      </c>
      <c r="B866" s="15">
        <v>18</v>
      </c>
      <c r="C866" s="16">
        <v>48</v>
      </c>
      <c r="D866" s="15" t="s">
        <v>1726</v>
      </c>
      <c r="E866" s="15" t="s">
        <v>1727</v>
      </c>
      <c r="F866" s="174">
        <f>VLOOKUP(D866,原始分!$D:$N,3,0)</f>
        <v>98.25</v>
      </c>
      <c r="G866" s="174">
        <f t="shared" si="172"/>
        <v>493</v>
      </c>
      <c r="H866" s="174">
        <f>VLOOKUP(D866,原始分!$D:$N,4,0)</f>
        <v>87.5</v>
      </c>
      <c r="I866" s="174">
        <f t="shared" si="173"/>
        <v>665</v>
      </c>
      <c r="J866" s="174">
        <f>VLOOKUP(D866,原始分!$D:$N,5,0)</f>
        <v>82.75</v>
      </c>
      <c r="K866" s="174">
        <f t="shared" si="174"/>
        <v>706</v>
      </c>
      <c r="L866" s="174">
        <f>VLOOKUP(D866,原始分!$D:$N,6,0)</f>
        <v>0</v>
      </c>
      <c r="M866" s="174">
        <f t="shared" si="175"/>
        <v>664</v>
      </c>
      <c r="N866" s="174">
        <f>VLOOKUP(D866,原始分!$D:$N,7,0)</f>
        <v>52.5</v>
      </c>
      <c r="O866" s="174">
        <f t="shared" si="176"/>
        <v>142</v>
      </c>
      <c r="P866" s="174">
        <f>VLOOKUP(D866,原始分!$D:$N,8,0)</f>
        <v>0</v>
      </c>
      <c r="Q866" s="174">
        <f t="shared" si="177"/>
        <v>541</v>
      </c>
      <c r="R866" s="174">
        <f>VLOOKUP(D866,原始分!$D:$N,9,0)</f>
        <v>50.5</v>
      </c>
      <c r="S866" s="174">
        <f t="shared" si="178"/>
        <v>144</v>
      </c>
      <c r="T866" s="174">
        <f>VLOOKUP(D866,原始分!$D:$N,10,0)</f>
        <v>47.5</v>
      </c>
      <c r="U866" s="174">
        <f t="shared" si="179"/>
        <v>278</v>
      </c>
      <c r="V866" s="174">
        <f>VLOOKUP(D866,原始分!$D:$N,11,0)</f>
        <v>0</v>
      </c>
      <c r="W866" s="174">
        <f t="shared" si="180"/>
        <v>565</v>
      </c>
      <c r="X866" s="11">
        <f t="shared" ref="X866:X871" si="185">SUM(F866,H866,J866)</f>
        <v>268.5</v>
      </c>
      <c r="Y866" s="9">
        <f t="shared" si="182"/>
        <v>716</v>
      </c>
      <c r="Z866" s="11">
        <f t="shared" ref="Z866:Z871" si="186">SUM(F866,H866,J866,L866,N866,P866,R866,T866,V866)</f>
        <v>419</v>
      </c>
      <c r="AA866" s="9">
        <f t="shared" si="184"/>
        <v>180</v>
      </c>
    </row>
    <row r="867" ht="14.25" spans="1:27">
      <c r="A867" s="13">
        <v>865</v>
      </c>
      <c r="B867" s="15">
        <v>18</v>
      </c>
      <c r="C867" s="16">
        <v>51</v>
      </c>
      <c r="D867" s="15" t="s">
        <v>1728</v>
      </c>
      <c r="E867" s="15" t="s">
        <v>1729</v>
      </c>
      <c r="F867" s="174">
        <f>VLOOKUP(D867,原始分!$D:$N,3,0)</f>
        <v>108</v>
      </c>
      <c r="G867" s="174">
        <f t="shared" si="172"/>
        <v>77</v>
      </c>
      <c r="H867" s="174">
        <f>VLOOKUP(D867,原始分!$D:$N,4,0)</f>
        <v>78.5</v>
      </c>
      <c r="I867" s="174">
        <f t="shared" si="173"/>
        <v>765</v>
      </c>
      <c r="J867" s="174">
        <f>VLOOKUP(D867,原始分!$D:$N,5,0)</f>
        <v>83.5</v>
      </c>
      <c r="K867" s="174">
        <f t="shared" si="174"/>
        <v>694</v>
      </c>
      <c r="L867" s="174">
        <f>VLOOKUP(D867,原始分!$D:$N,6,0)</f>
        <v>0</v>
      </c>
      <c r="M867" s="174">
        <f t="shared" si="175"/>
        <v>664</v>
      </c>
      <c r="N867" s="174">
        <f>VLOOKUP(D867,原始分!$D:$N,7,0)</f>
        <v>52.5</v>
      </c>
      <c r="O867" s="174">
        <f t="shared" si="176"/>
        <v>142</v>
      </c>
      <c r="P867" s="174">
        <f>VLOOKUP(D867,原始分!$D:$N,8,0)</f>
        <v>0</v>
      </c>
      <c r="Q867" s="174">
        <f t="shared" si="177"/>
        <v>541</v>
      </c>
      <c r="R867" s="174">
        <f>VLOOKUP(D867,原始分!$D:$N,9,0)</f>
        <v>51.5</v>
      </c>
      <c r="S867" s="174">
        <f t="shared" si="178"/>
        <v>132</v>
      </c>
      <c r="T867" s="174">
        <f>VLOOKUP(D867,原始分!$D:$N,10,0)</f>
        <v>55.25</v>
      </c>
      <c r="U867" s="174">
        <f t="shared" si="179"/>
        <v>192</v>
      </c>
      <c r="V867" s="174">
        <f>VLOOKUP(D867,原始分!$D:$N,11,0)</f>
        <v>0</v>
      </c>
      <c r="W867" s="174">
        <f t="shared" si="180"/>
        <v>565</v>
      </c>
      <c r="X867" s="11">
        <f t="shared" si="185"/>
        <v>270</v>
      </c>
      <c r="Y867" s="9">
        <f t="shared" si="182"/>
        <v>700</v>
      </c>
      <c r="Z867" s="11">
        <f t="shared" si="186"/>
        <v>429.25</v>
      </c>
      <c r="AA867" s="9">
        <f t="shared" si="184"/>
        <v>167</v>
      </c>
    </row>
    <row r="868" ht="14.25" spans="1:27">
      <c r="A868" s="13">
        <v>866</v>
      </c>
      <c r="B868" s="15">
        <v>18</v>
      </c>
      <c r="C868" s="16">
        <v>52</v>
      </c>
      <c r="D868" s="15" t="s">
        <v>1730</v>
      </c>
      <c r="E868" s="15" t="s">
        <v>1731</v>
      </c>
      <c r="F868" s="174">
        <f>VLOOKUP(D868,原始分!$D:$N,3,0)</f>
        <v>105.5</v>
      </c>
      <c r="G868" s="174">
        <f t="shared" si="172"/>
        <v>156</v>
      </c>
      <c r="H868" s="174">
        <f>VLOOKUP(D868,原始分!$D:$N,4,0)</f>
        <v>87</v>
      </c>
      <c r="I868" s="174">
        <f t="shared" si="173"/>
        <v>677</v>
      </c>
      <c r="J868" s="174">
        <f>VLOOKUP(D868,原始分!$D:$N,5,0)</f>
        <v>115</v>
      </c>
      <c r="K868" s="174">
        <f t="shared" si="174"/>
        <v>102</v>
      </c>
      <c r="L868" s="174">
        <f>VLOOKUP(D868,原始分!$D:$N,6,0)</f>
        <v>0</v>
      </c>
      <c r="M868" s="174">
        <f t="shared" si="175"/>
        <v>664</v>
      </c>
      <c r="N868" s="174">
        <f>VLOOKUP(D868,原始分!$D:$N,7,0)</f>
        <v>49</v>
      </c>
      <c r="O868" s="174">
        <f t="shared" si="176"/>
        <v>172</v>
      </c>
      <c r="P868" s="174">
        <f>VLOOKUP(D868,原始分!$D:$N,8,0)</f>
        <v>0</v>
      </c>
      <c r="Q868" s="174">
        <f t="shared" si="177"/>
        <v>541</v>
      </c>
      <c r="R868" s="174">
        <f>VLOOKUP(D868,原始分!$D:$N,9,0)</f>
        <v>55</v>
      </c>
      <c r="S868" s="174">
        <f t="shared" si="178"/>
        <v>73</v>
      </c>
      <c r="T868" s="174">
        <f>VLOOKUP(D868,原始分!$D:$N,10,0)</f>
        <v>53</v>
      </c>
      <c r="U868" s="174">
        <f t="shared" si="179"/>
        <v>219</v>
      </c>
      <c r="V868" s="174">
        <f>VLOOKUP(D868,原始分!$D:$N,11,0)</f>
        <v>0</v>
      </c>
      <c r="W868" s="174">
        <f t="shared" si="180"/>
        <v>565</v>
      </c>
      <c r="X868" s="11">
        <f t="shared" si="185"/>
        <v>307.5</v>
      </c>
      <c r="Y868" s="9">
        <f t="shared" si="182"/>
        <v>292</v>
      </c>
      <c r="Z868" s="11">
        <f t="shared" si="186"/>
        <v>464.5</v>
      </c>
      <c r="AA868" s="9">
        <f t="shared" si="184"/>
        <v>106</v>
      </c>
    </row>
    <row r="869" ht="14.25" spans="1:27">
      <c r="A869" s="13">
        <v>867</v>
      </c>
      <c r="B869" s="15">
        <v>18</v>
      </c>
      <c r="C869" s="16">
        <v>53</v>
      </c>
      <c r="D869" s="15" t="s">
        <v>1732</v>
      </c>
      <c r="E869" s="15" t="s">
        <v>1733</v>
      </c>
      <c r="F869" s="174">
        <f>VLOOKUP(D869,原始分!$D:$N,3,0)</f>
        <v>102</v>
      </c>
      <c r="G869" s="174">
        <f t="shared" si="172"/>
        <v>304</v>
      </c>
      <c r="H869" s="174">
        <f>VLOOKUP(D869,原始分!$D:$N,4,0)</f>
        <v>92</v>
      </c>
      <c r="I869" s="174">
        <f t="shared" si="173"/>
        <v>578</v>
      </c>
      <c r="J869" s="174">
        <f>VLOOKUP(D869,原始分!$D:$N,5,0)</f>
        <v>109.5</v>
      </c>
      <c r="K869" s="174">
        <f t="shared" si="174"/>
        <v>184</v>
      </c>
      <c r="L869" s="174">
        <f>VLOOKUP(D869,原始分!$D:$N,6,0)</f>
        <v>0</v>
      </c>
      <c r="M869" s="174">
        <f t="shared" si="175"/>
        <v>664</v>
      </c>
      <c r="N869" s="174">
        <f>VLOOKUP(D869,原始分!$D:$N,7,0)</f>
        <v>61</v>
      </c>
      <c r="O869" s="174">
        <f t="shared" si="176"/>
        <v>60</v>
      </c>
      <c r="P869" s="174">
        <f>VLOOKUP(D869,原始分!$D:$N,8,0)</f>
        <v>0</v>
      </c>
      <c r="Q869" s="174">
        <f t="shared" si="177"/>
        <v>541</v>
      </c>
      <c r="R869" s="174">
        <f>VLOOKUP(D869,原始分!$D:$N,9,0)</f>
        <v>53</v>
      </c>
      <c r="S869" s="174">
        <f t="shared" si="178"/>
        <v>108</v>
      </c>
      <c r="T869" s="174">
        <f>VLOOKUP(D869,原始分!$D:$N,10,0)</f>
        <v>60</v>
      </c>
      <c r="U869" s="174">
        <f t="shared" si="179"/>
        <v>108</v>
      </c>
      <c r="V869" s="174">
        <f>VLOOKUP(D869,原始分!$D:$N,11,0)</f>
        <v>0</v>
      </c>
      <c r="W869" s="174">
        <f t="shared" si="180"/>
        <v>565</v>
      </c>
      <c r="X869" s="11">
        <f t="shared" si="185"/>
        <v>303.5</v>
      </c>
      <c r="Y869" s="9">
        <f t="shared" si="182"/>
        <v>332</v>
      </c>
      <c r="Z869" s="11">
        <f t="shared" si="186"/>
        <v>477.5</v>
      </c>
      <c r="AA869" s="9">
        <f t="shared" si="184"/>
        <v>80</v>
      </c>
    </row>
    <row r="870" ht="14.25" spans="1:27">
      <c r="A870" s="13">
        <v>868</v>
      </c>
      <c r="B870" s="15">
        <v>18</v>
      </c>
      <c r="C870" s="16">
        <v>54</v>
      </c>
      <c r="D870" s="15" t="s">
        <v>1734</v>
      </c>
      <c r="E870" s="15" t="s">
        <v>1735</v>
      </c>
      <c r="F870" s="174">
        <f>VLOOKUP(D870,原始分!$D:$N,3,0)</f>
        <v>97.5</v>
      </c>
      <c r="G870" s="174">
        <f t="shared" si="172"/>
        <v>531</v>
      </c>
      <c r="H870" s="174">
        <f>VLOOKUP(D870,原始分!$D:$N,4,0)</f>
        <v>61.5</v>
      </c>
      <c r="I870" s="174">
        <f t="shared" si="173"/>
        <v>843</v>
      </c>
      <c r="J870" s="174">
        <f>VLOOKUP(D870,原始分!$D:$N,5,0)</f>
        <v>72</v>
      </c>
      <c r="K870" s="174">
        <f t="shared" si="174"/>
        <v>812</v>
      </c>
      <c r="L870" s="174">
        <f>VLOOKUP(D870,原始分!$D:$N,6,0)</f>
        <v>0</v>
      </c>
      <c r="M870" s="174">
        <f t="shared" si="175"/>
        <v>664</v>
      </c>
      <c r="N870" s="174">
        <f>VLOOKUP(D870,原始分!$D:$N,7,0)</f>
        <v>51.5</v>
      </c>
      <c r="O870" s="174">
        <f t="shared" si="176"/>
        <v>150</v>
      </c>
      <c r="P870" s="174">
        <f>VLOOKUP(D870,原始分!$D:$N,8,0)</f>
        <v>0</v>
      </c>
      <c r="Q870" s="174">
        <f t="shared" si="177"/>
        <v>541</v>
      </c>
      <c r="R870" s="174">
        <f>VLOOKUP(D870,原始分!$D:$N,9,0)</f>
        <v>50</v>
      </c>
      <c r="S870" s="174">
        <f t="shared" si="178"/>
        <v>154</v>
      </c>
      <c r="T870" s="174">
        <f>VLOOKUP(D870,原始分!$D:$N,10,0)</f>
        <v>43.5</v>
      </c>
      <c r="U870" s="174">
        <f t="shared" si="179"/>
        <v>304</v>
      </c>
      <c r="V870" s="174">
        <f>VLOOKUP(D870,原始分!$D:$N,11,0)</f>
        <v>0</v>
      </c>
      <c r="W870" s="174">
        <f t="shared" si="180"/>
        <v>565</v>
      </c>
      <c r="X870" s="11">
        <f t="shared" si="185"/>
        <v>231</v>
      </c>
      <c r="Y870" s="9">
        <f t="shared" si="182"/>
        <v>849</v>
      </c>
      <c r="Z870" s="11">
        <f t="shared" si="186"/>
        <v>376</v>
      </c>
      <c r="AA870" s="9">
        <f t="shared" si="184"/>
        <v>203</v>
      </c>
    </row>
    <row r="871" ht="14.25" spans="1:27">
      <c r="A871" s="13">
        <v>869</v>
      </c>
      <c r="B871" s="15">
        <v>18</v>
      </c>
      <c r="C871" s="16">
        <v>55</v>
      </c>
      <c r="D871" s="15" t="s">
        <v>1736</v>
      </c>
      <c r="E871" s="15" t="s">
        <v>1737</v>
      </c>
      <c r="F871" s="174">
        <f>VLOOKUP(D871,原始分!$D:$N,3,0)</f>
        <v>107.5</v>
      </c>
      <c r="G871" s="174">
        <f t="shared" si="172"/>
        <v>93</v>
      </c>
      <c r="H871" s="174">
        <f>VLOOKUP(D871,原始分!$D:$N,4,0)</f>
        <v>57.5</v>
      </c>
      <c r="I871" s="174">
        <f t="shared" si="173"/>
        <v>850</v>
      </c>
      <c r="J871" s="174">
        <f>VLOOKUP(D871,原始分!$D:$N,5,0)</f>
        <v>101.5</v>
      </c>
      <c r="K871" s="174">
        <f t="shared" si="174"/>
        <v>334</v>
      </c>
      <c r="L871" s="174">
        <f>VLOOKUP(D871,原始分!$D:$N,6,0)</f>
        <v>0</v>
      </c>
      <c r="M871" s="174">
        <f t="shared" si="175"/>
        <v>664</v>
      </c>
      <c r="N871" s="174">
        <f>VLOOKUP(D871,原始分!$D:$N,7,0)</f>
        <v>41</v>
      </c>
      <c r="O871" s="174">
        <f t="shared" si="176"/>
        <v>202</v>
      </c>
      <c r="P871" s="174">
        <f>VLOOKUP(D871,原始分!$D:$N,8,0)</f>
        <v>0</v>
      </c>
      <c r="Q871" s="174">
        <f t="shared" si="177"/>
        <v>541</v>
      </c>
      <c r="R871" s="174">
        <f>VLOOKUP(D871,原始分!$D:$N,9,0)</f>
        <v>46.5</v>
      </c>
      <c r="S871" s="174">
        <f t="shared" si="178"/>
        <v>213</v>
      </c>
      <c r="T871" s="174">
        <f>VLOOKUP(D871,原始分!$D:$N,10,0)</f>
        <v>41.5</v>
      </c>
      <c r="U871" s="174">
        <f t="shared" si="179"/>
        <v>307</v>
      </c>
      <c r="V871" s="174">
        <f>VLOOKUP(D871,原始分!$D:$N,11,0)</f>
        <v>0</v>
      </c>
      <c r="W871" s="174">
        <f t="shared" si="180"/>
        <v>565</v>
      </c>
      <c r="X871" s="11">
        <f t="shared" si="185"/>
        <v>266.5</v>
      </c>
      <c r="Y871" s="9">
        <f t="shared" si="182"/>
        <v>731</v>
      </c>
      <c r="Z871" s="11">
        <f t="shared" si="186"/>
        <v>395.5</v>
      </c>
      <c r="AA871" s="9">
        <f t="shared" si="184"/>
        <v>195</v>
      </c>
    </row>
    <row r="872" spans="14:15">
      <c r="N872" s="11"/>
      <c r="O872" s="11"/>
    </row>
    <row r="873" spans="14:15">
      <c r="N873" s="11"/>
      <c r="O873" s="11"/>
    </row>
    <row r="874" spans="14:15">
      <c r="N874" s="11"/>
      <c r="O874" s="11"/>
    </row>
    <row r="875" spans="14:15">
      <c r="N875" s="11"/>
      <c r="O875" s="11"/>
    </row>
    <row r="876" spans="14:15">
      <c r="N876" s="11"/>
      <c r="O876" s="11"/>
    </row>
    <row r="877" spans="14:15">
      <c r="N877" s="11"/>
      <c r="O877" s="11"/>
    </row>
    <row r="878" spans="14:15">
      <c r="N878" s="11"/>
      <c r="O878" s="11"/>
    </row>
    <row r="879" spans="14:15">
      <c r="N879" s="11"/>
      <c r="O879" s="11"/>
    </row>
    <row r="880" spans="14:15">
      <c r="N880" s="11"/>
      <c r="O880" s="11"/>
    </row>
    <row r="881" spans="14:15">
      <c r="N881" s="11"/>
      <c r="O881" s="11"/>
    </row>
    <row r="882" spans="14:15">
      <c r="N882" s="11"/>
      <c r="O882" s="11"/>
    </row>
    <row r="883" spans="14:15">
      <c r="N883" s="11"/>
      <c r="O883" s="11"/>
    </row>
    <row r="884" spans="14:15">
      <c r="N884" s="11"/>
      <c r="O884" s="11"/>
    </row>
    <row r="885" spans="14:15">
      <c r="N885" s="11"/>
      <c r="O885" s="11"/>
    </row>
    <row r="886" spans="14:15">
      <c r="N886" s="11"/>
      <c r="O886" s="11"/>
    </row>
    <row r="887" spans="14:15">
      <c r="N887" s="11"/>
      <c r="O887" s="11"/>
    </row>
    <row r="888" spans="14:15">
      <c r="N888" s="11"/>
      <c r="O888" s="11"/>
    </row>
    <row r="889" spans="14:15">
      <c r="N889" s="11"/>
      <c r="O889" s="11"/>
    </row>
    <row r="890" spans="14:15">
      <c r="N890" s="11"/>
      <c r="O890" s="11"/>
    </row>
    <row r="891" spans="14:15">
      <c r="N891" s="11"/>
      <c r="O891" s="11"/>
    </row>
    <row r="892" spans="14:15">
      <c r="N892" s="11"/>
      <c r="O892" s="11"/>
    </row>
    <row r="893" spans="14:15">
      <c r="N893" s="11"/>
      <c r="O893" s="11"/>
    </row>
    <row r="894" spans="14:15">
      <c r="N894" s="11"/>
      <c r="O894" s="11"/>
    </row>
    <row r="895" spans="14:15">
      <c r="N895" s="11"/>
      <c r="O895" s="11"/>
    </row>
    <row r="896" spans="14:15">
      <c r="N896" s="11"/>
      <c r="O896" s="11"/>
    </row>
    <row r="897" spans="14:15">
      <c r="N897" s="11"/>
      <c r="O897" s="11"/>
    </row>
    <row r="898" spans="14:15">
      <c r="N898" s="11"/>
      <c r="O898" s="11"/>
    </row>
    <row r="899" spans="14:15">
      <c r="N899" s="11"/>
      <c r="O899" s="11"/>
    </row>
    <row r="900" spans="14:15">
      <c r="N900" s="11"/>
      <c r="O900" s="11"/>
    </row>
    <row r="901" spans="14:15">
      <c r="N901" s="11"/>
      <c r="O901" s="11"/>
    </row>
    <row r="902" spans="14:15">
      <c r="N902" s="11"/>
      <c r="O902" s="11"/>
    </row>
    <row r="903" spans="14:15">
      <c r="N903" s="11"/>
      <c r="O903" s="11"/>
    </row>
    <row r="904" spans="14:15">
      <c r="N904" s="11"/>
      <c r="O904" s="11"/>
    </row>
    <row r="905" spans="14:15">
      <c r="N905" s="11"/>
      <c r="O905" s="11"/>
    </row>
    <row r="906" spans="14:15">
      <c r="N906" s="11"/>
      <c r="O906" s="11"/>
    </row>
    <row r="907" spans="14:15">
      <c r="N907" s="11"/>
      <c r="O907" s="11"/>
    </row>
    <row r="908" spans="14:15">
      <c r="N908" s="11"/>
      <c r="O908" s="11"/>
    </row>
    <row r="909" spans="14:15">
      <c r="N909" s="11"/>
      <c r="O909" s="11"/>
    </row>
    <row r="910" spans="14:15">
      <c r="N910" s="11"/>
      <c r="O910" s="11"/>
    </row>
    <row r="911" spans="14:15">
      <c r="N911" s="11"/>
      <c r="O911" s="11"/>
    </row>
    <row r="912" spans="14:15">
      <c r="N912" s="11"/>
      <c r="O912" s="11"/>
    </row>
    <row r="913" spans="14:15">
      <c r="N913" s="11"/>
      <c r="O913" s="11"/>
    </row>
    <row r="914" spans="14:15">
      <c r="N914" s="11"/>
      <c r="O914" s="11"/>
    </row>
    <row r="915" spans="14:15">
      <c r="N915" s="11"/>
      <c r="O915" s="11"/>
    </row>
    <row r="916" spans="14:15">
      <c r="N916" s="11"/>
      <c r="O916" s="11"/>
    </row>
    <row r="917" spans="14:15">
      <c r="N917" s="11"/>
      <c r="O917" s="11"/>
    </row>
    <row r="918" spans="14:15">
      <c r="N918" s="11"/>
      <c r="O918" s="11"/>
    </row>
    <row r="919" spans="14:15">
      <c r="N919" s="11"/>
      <c r="O919" s="11"/>
    </row>
    <row r="920" spans="14:15">
      <c r="N920" s="11"/>
      <c r="O920" s="11"/>
    </row>
    <row r="921" spans="14:15">
      <c r="N921" s="11"/>
      <c r="O921" s="11"/>
    </row>
    <row r="922" spans="14:15">
      <c r="N922" s="11"/>
      <c r="O922" s="11"/>
    </row>
    <row r="923" spans="14:15">
      <c r="N923" s="11"/>
      <c r="O923" s="11"/>
    </row>
    <row r="924" spans="14:15">
      <c r="N924" s="11"/>
      <c r="O924" s="11"/>
    </row>
    <row r="925" spans="14:15">
      <c r="N925" s="11"/>
      <c r="O925" s="11"/>
    </row>
    <row r="926" spans="14:15">
      <c r="N926" s="11"/>
      <c r="O926" s="11"/>
    </row>
    <row r="927" spans="14:15">
      <c r="N927" s="11"/>
      <c r="O927" s="11"/>
    </row>
    <row r="928" spans="14:15">
      <c r="N928" s="11"/>
      <c r="O928" s="11"/>
    </row>
    <row r="929" spans="14:15">
      <c r="N929" s="11"/>
      <c r="O929" s="11"/>
    </row>
    <row r="930" spans="14:15">
      <c r="N930" s="11"/>
      <c r="O930" s="11"/>
    </row>
    <row r="931" spans="14:15">
      <c r="N931" s="11"/>
      <c r="O931" s="11"/>
    </row>
    <row r="932" spans="14:15">
      <c r="N932" s="11"/>
      <c r="O932" s="11"/>
    </row>
    <row r="933" spans="14:15">
      <c r="N933" s="11"/>
      <c r="O933" s="11"/>
    </row>
    <row r="934" spans="14:15">
      <c r="N934" s="11"/>
      <c r="O934" s="11"/>
    </row>
    <row r="935" spans="14:15">
      <c r="N935" s="11"/>
      <c r="O935" s="11"/>
    </row>
    <row r="936" spans="14:15">
      <c r="N936" s="11"/>
      <c r="O936" s="11"/>
    </row>
    <row r="937" spans="14:15">
      <c r="N937" s="11"/>
      <c r="O937" s="11"/>
    </row>
    <row r="938" spans="14:15">
      <c r="N938" s="11"/>
      <c r="O938" s="11"/>
    </row>
    <row r="939" spans="14:15">
      <c r="N939" s="11"/>
      <c r="O939" s="11"/>
    </row>
    <row r="940" spans="14:15">
      <c r="N940" s="11"/>
      <c r="O940" s="11"/>
    </row>
    <row r="941" spans="14:15">
      <c r="N941" s="11"/>
      <c r="O941" s="11"/>
    </row>
    <row r="942" spans="14:15">
      <c r="N942" s="11"/>
      <c r="O942" s="11"/>
    </row>
    <row r="943" spans="14:15">
      <c r="N943" s="11"/>
      <c r="O943" s="11"/>
    </row>
    <row r="944" spans="14:15">
      <c r="N944" s="11"/>
      <c r="O944" s="11"/>
    </row>
    <row r="945" spans="14:15">
      <c r="N945" s="11"/>
      <c r="O945" s="11"/>
    </row>
    <row r="946" spans="14:15">
      <c r="N946" s="11"/>
      <c r="O946" s="11"/>
    </row>
    <row r="947" spans="14:15">
      <c r="N947" s="11"/>
      <c r="O947" s="11"/>
    </row>
    <row r="948" spans="14:15">
      <c r="N948" s="11"/>
      <c r="O948" s="11"/>
    </row>
    <row r="949" spans="14:15">
      <c r="N949" s="11"/>
      <c r="O949" s="11"/>
    </row>
    <row r="950" spans="14:15">
      <c r="N950" s="11"/>
      <c r="O950" s="11"/>
    </row>
    <row r="951" spans="14:15">
      <c r="N951" s="11"/>
      <c r="O951" s="11"/>
    </row>
    <row r="952" spans="14:15">
      <c r="N952" s="11"/>
      <c r="O952" s="11"/>
    </row>
    <row r="953" spans="14:15">
      <c r="N953" s="11"/>
      <c r="O953" s="11"/>
    </row>
    <row r="954" spans="14:15">
      <c r="N954" s="11"/>
      <c r="O954" s="11"/>
    </row>
    <row r="955" spans="14:15">
      <c r="N955" s="11"/>
      <c r="O955" s="11"/>
    </row>
    <row r="956" spans="14:15">
      <c r="N956" s="11"/>
      <c r="O956" s="11"/>
    </row>
    <row r="957" spans="14:15">
      <c r="N957" s="11"/>
      <c r="O957" s="11"/>
    </row>
    <row r="958" spans="14:15">
      <c r="N958" s="11"/>
      <c r="O958" s="11"/>
    </row>
    <row r="959" spans="14:15">
      <c r="N959" s="11"/>
      <c r="O959" s="11"/>
    </row>
    <row r="960" spans="14:15">
      <c r="N960" s="11"/>
      <c r="O960" s="11"/>
    </row>
    <row r="961" spans="14:15">
      <c r="N961" s="11"/>
      <c r="O961" s="11"/>
    </row>
    <row r="962" spans="14:15">
      <c r="N962" s="11"/>
      <c r="O962" s="11"/>
    </row>
    <row r="963" spans="14:15">
      <c r="N963" s="11"/>
      <c r="O963" s="11"/>
    </row>
    <row r="964" spans="14:15">
      <c r="N964" s="11"/>
      <c r="O964" s="11"/>
    </row>
    <row r="965" spans="14:15">
      <c r="N965" s="11"/>
      <c r="O965" s="11"/>
    </row>
    <row r="966" spans="14:15">
      <c r="N966" s="11"/>
      <c r="O966" s="11"/>
    </row>
    <row r="967" spans="14:15">
      <c r="N967" s="11"/>
      <c r="O967" s="11"/>
    </row>
    <row r="968" spans="14:15">
      <c r="N968" s="11"/>
      <c r="O968" s="11"/>
    </row>
    <row r="969" spans="14:15">
      <c r="N969" s="11"/>
      <c r="O969" s="11"/>
    </row>
    <row r="970" spans="14:15">
      <c r="N970" s="11"/>
      <c r="O970" s="11"/>
    </row>
    <row r="971" spans="14:15">
      <c r="N971" s="11"/>
      <c r="O971" s="11"/>
    </row>
    <row r="972" spans="14:15">
      <c r="N972" s="11"/>
      <c r="O972" s="11"/>
    </row>
    <row r="973" spans="14:15">
      <c r="N973" s="11"/>
      <c r="O973" s="11"/>
    </row>
    <row r="974" spans="14:15">
      <c r="N974" s="11"/>
      <c r="O974" s="11"/>
    </row>
    <row r="975" spans="14:15">
      <c r="N975" s="11"/>
      <c r="O975" s="11"/>
    </row>
    <row r="976" spans="14:15">
      <c r="N976" s="11"/>
      <c r="O976" s="11"/>
    </row>
    <row r="977" spans="14:15">
      <c r="N977" s="11"/>
      <c r="O977" s="11"/>
    </row>
    <row r="978" spans="14:15">
      <c r="N978" s="11"/>
      <c r="O978" s="11"/>
    </row>
    <row r="979" spans="14:15">
      <c r="N979" s="11"/>
      <c r="O979" s="11"/>
    </row>
    <row r="980" spans="14:15">
      <c r="N980" s="11"/>
      <c r="O980" s="11"/>
    </row>
    <row r="981" spans="14:15">
      <c r="N981" s="11"/>
      <c r="O981" s="11"/>
    </row>
    <row r="982" spans="14:15">
      <c r="N982" s="11"/>
      <c r="O982" s="11"/>
    </row>
    <row r="983" spans="14:15">
      <c r="N983" s="11"/>
      <c r="O983" s="11"/>
    </row>
    <row r="984" spans="14:15">
      <c r="N984" s="11"/>
      <c r="O984" s="11"/>
    </row>
    <row r="985" spans="14:15">
      <c r="N985" s="11"/>
      <c r="O985" s="11"/>
    </row>
    <row r="986" spans="14:15">
      <c r="N986" s="11"/>
      <c r="O986" s="11"/>
    </row>
    <row r="987" spans="14:15">
      <c r="N987" s="11"/>
      <c r="O987" s="11"/>
    </row>
    <row r="988" spans="14:15">
      <c r="N988" s="11"/>
      <c r="O988" s="11"/>
    </row>
    <row r="989" spans="14:15">
      <c r="N989" s="11"/>
      <c r="O989" s="11"/>
    </row>
    <row r="990" spans="14:15">
      <c r="N990" s="11"/>
      <c r="O990" s="11"/>
    </row>
    <row r="991" spans="14:15">
      <c r="N991" s="11"/>
      <c r="O991" s="11"/>
    </row>
    <row r="992" spans="14:15">
      <c r="N992" s="11"/>
      <c r="O992" s="11"/>
    </row>
    <row r="993" spans="14:15">
      <c r="N993" s="11"/>
      <c r="O993" s="11"/>
    </row>
    <row r="994" spans="14:15">
      <c r="N994" s="11"/>
      <c r="O994" s="11"/>
    </row>
    <row r="995" spans="14:15">
      <c r="N995" s="11"/>
      <c r="O995" s="11"/>
    </row>
    <row r="996" spans="14:15">
      <c r="N996" s="11"/>
      <c r="O996" s="11"/>
    </row>
    <row r="997" spans="14:15">
      <c r="N997" s="11"/>
      <c r="O997" s="11"/>
    </row>
    <row r="998" spans="14:15">
      <c r="N998" s="11"/>
      <c r="O998" s="11"/>
    </row>
    <row r="999" spans="14:15">
      <c r="N999" s="11"/>
      <c r="O999" s="11"/>
    </row>
    <row r="1000" spans="14:15">
      <c r="N1000" s="11"/>
      <c r="O1000" s="11"/>
    </row>
    <row r="1001" spans="14:15">
      <c r="N1001" s="11"/>
      <c r="O1001" s="11"/>
    </row>
    <row r="1002" spans="14:15">
      <c r="N1002" s="11"/>
      <c r="O1002" s="11"/>
    </row>
    <row r="1003" spans="14:15">
      <c r="N1003" s="11"/>
      <c r="O1003" s="11"/>
    </row>
    <row r="1004" spans="14:15">
      <c r="N1004" s="11"/>
      <c r="O1004" s="11"/>
    </row>
    <row r="1005" spans="14:15">
      <c r="N1005" s="11"/>
      <c r="O1005" s="11"/>
    </row>
    <row r="1006" spans="14:15">
      <c r="N1006" s="11"/>
      <c r="O1006" s="11"/>
    </row>
    <row r="1007" spans="14:15">
      <c r="N1007" s="11"/>
      <c r="O1007" s="11"/>
    </row>
    <row r="1008" spans="14:15">
      <c r="N1008" s="11"/>
      <c r="O1008" s="11"/>
    </row>
    <row r="1009" spans="14:15">
      <c r="N1009" s="11"/>
      <c r="O1009" s="11"/>
    </row>
    <row r="1010" spans="14:15">
      <c r="N1010" s="11"/>
      <c r="O1010" s="11"/>
    </row>
    <row r="1011" spans="14:15">
      <c r="N1011" s="11"/>
      <c r="O1011" s="11"/>
    </row>
    <row r="1012" spans="14:15">
      <c r="N1012" s="11"/>
      <c r="O1012" s="11"/>
    </row>
    <row r="1013" spans="14:15">
      <c r="N1013" s="11"/>
      <c r="O1013" s="11"/>
    </row>
    <row r="1014" spans="14:15">
      <c r="N1014" s="11"/>
      <c r="O1014" s="11"/>
    </row>
    <row r="1015" spans="14:15">
      <c r="N1015" s="11"/>
      <c r="O1015" s="11"/>
    </row>
    <row r="1016" spans="14:15">
      <c r="N1016" s="11"/>
      <c r="O1016" s="11"/>
    </row>
    <row r="1017" spans="14:15">
      <c r="N1017" s="11"/>
      <c r="O1017" s="11"/>
    </row>
    <row r="1018" spans="14:15">
      <c r="N1018" s="11"/>
      <c r="O1018" s="11"/>
    </row>
    <row r="1019" spans="14:15">
      <c r="N1019" s="11"/>
      <c r="O1019" s="11"/>
    </row>
    <row r="1020" spans="14:15">
      <c r="N1020" s="11"/>
      <c r="O1020" s="11"/>
    </row>
    <row r="1021" spans="14:15">
      <c r="N1021" s="11"/>
      <c r="O1021" s="11"/>
    </row>
    <row r="1022" spans="14:15">
      <c r="N1022" s="11"/>
      <c r="O1022" s="11"/>
    </row>
    <row r="1023" spans="14:15">
      <c r="N1023" s="11"/>
      <c r="O1023" s="11"/>
    </row>
    <row r="1024" spans="14:15">
      <c r="N1024" s="11"/>
      <c r="O1024" s="11"/>
    </row>
    <row r="1025" spans="14:15">
      <c r="N1025" s="11"/>
      <c r="O1025" s="11"/>
    </row>
    <row r="1026" spans="14:15">
      <c r="N1026" s="11"/>
      <c r="O1026" s="11"/>
    </row>
    <row r="1027" spans="14:15">
      <c r="N1027" s="11"/>
      <c r="O1027" s="11"/>
    </row>
    <row r="1028" spans="14:15">
      <c r="N1028" s="11"/>
      <c r="O1028" s="11"/>
    </row>
    <row r="1029" spans="14:15">
      <c r="N1029" s="11"/>
      <c r="O1029" s="11"/>
    </row>
    <row r="1030" spans="14:15">
      <c r="N1030" s="11"/>
      <c r="O1030" s="11"/>
    </row>
    <row r="1031" spans="14:15">
      <c r="N1031" s="11"/>
      <c r="O1031" s="11"/>
    </row>
    <row r="1032" spans="14:15">
      <c r="N1032" s="11"/>
      <c r="O1032" s="11"/>
    </row>
    <row r="1033" spans="14:15">
      <c r="N1033" s="11"/>
      <c r="O1033" s="11"/>
    </row>
    <row r="1034" spans="14:15">
      <c r="N1034" s="11"/>
      <c r="O1034" s="11"/>
    </row>
    <row r="1035" spans="14:15">
      <c r="N1035" s="11"/>
      <c r="O1035" s="11"/>
    </row>
    <row r="1036" spans="14:15">
      <c r="N1036" s="11"/>
      <c r="O1036" s="11"/>
    </row>
    <row r="1037" spans="14:15">
      <c r="N1037" s="11"/>
      <c r="O1037" s="11"/>
    </row>
    <row r="1038" spans="14:15">
      <c r="N1038" s="11"/>
      <c r="O1038" s="11"/>
    </row>
    <row r="1039" spans="14:15">
      <c r="N1039" s="11"/>
      <c r="O1039" s="11"/>
    </row>
    <row r="1040" spans="14:15">
      <c r="N1040" s="11"/>
      <c r="O1040" s="11"/>
    </row>
    <row r="1041" spans="14:15">
      <c r="N1041" s="11"/>
      <c r="O1041" s="11"/>
    </row>
    <row r="1042" spans="14:15">
      <c r="N1042" s="11"/>
      <c r="O1042" s="11"/>
    </row>
    <row r="1043" spans="14:15">
      <c r="N1043" s="11"/>
      <c r="O1043" s="11"/>
    </row>
    <row r="1044" spans="14:15">
      <c r="N1044" s="11"/>
      <c r="O1044" s="11"/>
    </row>
    <row r="1045" spans="14:15">
      <c r="N1045" s="11"/>
      <c r="O1045" s="11"/>
    </row>
    <row r="1046" spans="14:15">
      <c r="N1046" s="11"/>
      <c r="O1046" s="11"/>
    </row>
    <row r="1047" spans="14:15">
      <c r="N1047" s="11"/>
      <c r="O1047" s="11"/>
    </row>
    <row r="1048" spans="14:15">
      <c r="N1048" s="11"/>
      <c r="O1048" s="11"/>
    </row>
    <row r="1049" spans="14:15">
      <c r="N1049" s="11"/>
      <c r="O1049" s="11"/>
    </row>
    <row r="1050" spans="14:15">
      <c r="N1050" s="11"/>
      <c r="O1050" s="11"/>
    </row>
    <row r="1051" spans="14:15">
      <c r="N1051" s="11"/>
      <c r="O1051" s="11"/>
    </row>
    <row r="1052" spans="14:15">
      <c r="N1052" s="11"/>
      <c r="O1052" s="11"/>
    </row>
    <row r="1053" spans="14:15">
      <c r="N1053" s="11"/>
      <c r="O1053" s="11"/>
    </row>
    <row r="1054" spans="14:15">
      <c r="N1054" s="11"/>
      <c r="O1054" s="11"/>
    </row>
    <row r="1055" spans="14:15">
      <c r="N1055" s="11"/>
      <c r="O1055" s="11"/>
    </row>
    <row r="1056" spans="14:15">
      <c r="N1056" s="11"/>
      <c r="O1056" s="11"/>
    </row>
    <row r="1057" spans="14:15">
      <c r="N1057" s="11"/>
      <c r="O1057" s="11"/>
    </row>
    <row r="1058" spans="14:15">
      <c r="N1058" s="11"/>
      <c r="O1058" s="11"/>
    </row>
    <row r="1059" spans="14:15">
      <c r="N1059" s="11"/>
      <c r="O1059" s="11"/>
    </row>
    <row r="1060" spans="14:15">
      <c r="N1060" s="11"/>
      <c r="O1060" s="11"/>
    </row>
    <row r="1061" spans="14:15">
      <c r="N1061" s="11"/>
      <c r="O1061" s="11"/>
    </row>
    <row r="1062" spans="14:15">
      <c r="N1062" s="11"/>
      <c r="O1062" s="11"/>
    </row>
    <row r="1063" spans="14:15">
      <c r="N1063" s="11"/>
      <c r="O1063" s="11"/>
    </row>
    <row r="1064" spans="14:15">
      <c r="N1064" s="11"/>
      <c r="O1064" s="11"/>
    </row>
    <row r="1065" spans="14:15">
      <c r="N1065" s="11"/>
      <c r="O1065" s="11"/>
    </row>
    <row r="1066" spans="14:15">
      <c r="N1066" s="11"/>
      <c r="O1066" s="11"/>
    </row>
    <row r="1067" spans="14:15">
      <c r="N1067" s="11"/>
      <c r="O1067" s="11"/>
    </row>
    <row r="1068" spans="14:15">
      <c r="N1068" s="11"/>
      <c r="O1068" s="11"/>
    </row>
    <row r="1069" spans="14:15">
      <c r="N1069" s="11"/>
      <c r="O1069" s="11"/>
    </row>
    <row r="1070" spans="14:15">
      <c r="N1070" s="11"/>
      <c r="O1070" s="11"/>
    </row>
    <row r="1071" spans="14:15">
      <c r="N1071" s="11"/>
      <c r="O1071" s="11"/>
    </row>
    <row r="1072" spans="14:15">
      <c r="N1072" s="11"/>
      <c r="O1072" s="11"/>
    </row>
    <row r="1073" spans="14:15">
      <c r="N1073" s="11"/>
      <c r="O1073" s="11"/>
    </row>
    <row r="1074" spans="14:15">
      <c r="N1074" s="11"/>
      <c r="O1074" s="11"/>
    </row>
    <row r="1075" spans="14:15">
      <c r="N1075" s="11"/>
      <c r="O1075" s="11"/>
    </row>
    <row r="1076" spans="14:15">
      <c r="N1076" s="11"/>
      <c r="O1076" s="11"/>
    </row>
    <row r="1077" spans="14:15">
      <c r="N1077" s="11"/>
      <c r="O1077" s="11"/>
    </row>
    <row r="1078" spans="14:15">
      <c r="N1078" s="11"/>
      <c r="O1078" s="11"/>
    </row>
    <row r="1079" spans="14:15">
      <c r="N1079" s="11"/>
      <c r="O1079" s="11"/>
    </row>
    <row r="1080" spans="14:15">
      <c r="N1080" s="11"/>
      <c r="O1080" s="11"/>
    </row>
    <row r="1081" spans="14:15">
      <c r="N1081" s="11"/>
      <c r="O1081" s="11"/>
    </row>
    <row r="1082" spans="14:15">
      <c r="N1082" s="11"/>
      <c r="O1082" s="11"/>
    </row>
    <row r="1083" spans="14:15">
      <c r="N1083" s="11"/>
      <c r="O1083" s="11"/>
    </row>
    <row r="1084" spans="14:15">
      <c r="N1084" s="11"/>
      <c r="O1084" s="11"/>
    </row>
    <row r="1085" spans="14:15">
      <c r="N1085" s="11"/>
      <c r="O1085" s="11"/>
    </row>
    <row r="1086" spans="14:15">
      <c r="N1086" s="11"/>
      <c r="O1086" s="11"/>
    </row>
    <row r="1087" spans="14:15">
      <c r="N1087" s="11"/>
      <c r="O1087" s="11"/>
    </row>
    <row r="1088" spans="14:15">
      <c r="N1088" s="11"/>
      <c r="O1088" s="11"/>
    </row>
    <row r="1089" spans="14:15">
      <c r="N1089" s="11"/>
      <c r="O1089" s="11"/>
    </row>
    <row r="1090" spans="14:15">
      <c r="N1090" s="11"/>
      <c r="O1090" s="11"/>
    </row>
    <row r="1091" spans="14:15">
      <c r="N1091" s="11"/>
      <c r="O1091" s="11"/>
    </row>
    <row r="1092" spans="14:15">
      <c r="N1092" s="11"/>
      <c r="O1092" s="11"/>
    </row>
    <row r="1093" spans="14:15">
      <c r="N1093" s="11"/>
      <c r="O1093" s="11"/>
    </row>
    <row r="1094" spans="14:15">
      <c r="N1094" s="11"/>
      <c r="O1094" s="11"/>
    </row>
    <row r="1095" spans="14:15">
      <c r="N1095" s="11"/>
      <c r="O1095" s="11"/>
    </row>
    <row r="1096" spans="14:15">
      <c r="N1096" s="11"/>
      <c r="O1096" s="11"/>
    </row>
    <row r="1097" spans="14:15">
      <c r="N1097" s="11"/>
      <c r="O1097" s="11"/>
    </row>
    <row r="1098" spans="14:15">
      <c r="N1098" s="11"/>
      <c r="O1098" s="11"/>
    </row>
    <row r="1099" spans="14:15">
      <c r="N1099" s="11"/>
      <c r="O1099" s="11"/>
    </row>
    <row r="1100" spans="14:15">
      <c r="N1100" s="11"/>
      <c r="O1100" s="11"/>
    </row>
    <row r="1101" spans="14:15">
      <c r="N1101" s="11"/>
      <c r="O1101" s="11"/>
    </row>
    <row r="1102" spans="14:15">
      <c r="N1102" s="11"/>
      <c r="O1102" s="11"/>
    </row>
    <row r="1103" spans="14:15">
      <c r="N1103" s="11"/>
      <c r="O1103" s="11"/>
    </row>
    <row r="1104" spans="14:15">
      <c r="N1104" s="11"/>
      <c r="O1104" s="11"/>
    </row>
    <row r="1105" spans="14:15">
      <c r="N1105" s="11"/>
      <c r="O1105" s="11"/>
    </row>
    <row r="1106" spans="14:15">
      <c r="N1106" s="11"/>
      <c r="O1106" s="11"/>
    </row>
    <row r="1107" spans="14:15">
      <c r="N1107" s="11"/>
      <c r="O1107" s="11"/>
    </row>
    <row r="1108" spans="14:15">
      <c r="N1108" s="11"/>
      <c r="O1108" s="11"/>
    </row>
    <row r="1109" spans="14:15">
      <c r="N1109" s="11"/>
      <c r="O1109" s="11"/>
    </row>
    <row r="1110" spans="14:15">
      <c r="N1110" s="11"/>
      <c r="O1110" s="11"/>
    </row>
    <row r="1111" spans="14:15">
      <c r="N1111" s="11"/>
      <c r="O1111" s="11"/>
    </row>
    <row r="1112" spans="14:15">
      <c r="N1112" s="11"/>
      <c r="O1112" s="11"/>
    </row>
    <row r="1113" spans="14:15">
      <c r="N1113" s="11"/>
      <c r="O1113" s="11"/>
    </row>
    <row r="1114" spans="14:15">
      <c r="N1114" s="11"/>
      <c r="O1114" s="11"/>
    </row>
    <row r="1115" spans="14:15">
      <c r="N1115" s="11"/>
      <c r="O1115" s="11"/>
    </row>
    <row r="1116" spans="14:15">
      <c r="N1116" s="11"/>
      <c r="O1116" s="11"/>
    </row>
    <row r="1117" spans="14:15">
      <c r="N1117" s="11"/>
      <c r="O1117" s="11"/>
    </row>
    <row r="1118" spans="14:15">
      <c r="N1118" s="11"/>
      <c r="O1118" s="11"/>
    </row>
    <row r="1119" spans="14:15">
      <c r="N1119" s="11"/>
      <c r="O1119" s="11"/>
    </row>
    <row r="1120" spans="14:15">
      <c r="N1120" s="11"/>
      <c r="O1120" s="11"/>
    </row>
    <row r="1121" spans="14:15">
      <c r="N1121" s="11"/>
      <c r="O1121" s="11"/>
    </row>
    <row r="1122" spans="14:15">
      <c r="N1122" s="11"/>
      <c r="O1122" s="11"/>
    </row>
    <row r="1123" spans="14:15">
      <c r="N1123" s="11"/>
      <c r="O1123" s="11"/>
    </row>
    <row r="1124" spans="14:15">
      <c r="N1124" s="11"/>
      <c r="O1124" s="11"/>
    </row>
    <row r="1125" spans="14:15">
      <c r="N1125" s="11"/>
      <c r="O1125" s="11"/>
    </row>
    <row r="1126" spans="14:15">
      <c r="N1126" s="11"/>
      <c r="O1126" s="11"/>
    </row>
    <row r="1127" spans="14:15">
      <c r="N1127" s="11"/>
      <c r="O1127" s="11"/>
    </row>
    <row r="1128" spans="14:15">
      <c r="N1128" s="11"/>
      <c r="O1128" s="11"/>
    </row>
    <row r="1129" spans="14:15">
      <c r="N1129" s="11"/>
      <c r="O1129" s="11"/>
    </row>
    <row r="1130" spans="14:15">
      <c r="N1130" s="11"/>
      <c r="O1130" s="11"/>
    </row>
    <row r="1131" spans="14:15">
      <c r="N1131" s="11"/>
      <c r="O1131" s="11"/>
    </row>
    <row r="1132" spans="14:15">
      <c r="N1132" s="11"/>
      <c r="O1132" s="11"/>
    </row>
    <row r="1133" spans="14:15">
      <c r="N1133" s="11"/>
      <c r="O1133" s="11"/>
    </row>
    <row r="1134" spans="14:15">
      <c r="N1134" s="11"/>
      <c r="O1134" s="11"/>
    </row>
    <row r="1135" spans="14:15">
      <c r="N1135" s="11"/>
      <c r="O1135" s="11"/>
    </row>
    <row r="1136" spans="14:15">
      <c r="N1136" s="11"/>
      <c r="O1136" s="11"/>
    </row>
    <row r="1137" spans="14:15">
      <c r="N1137" s="11"/>
      <c r="O1137" s="11"/>
    </row>
    <row r="1138" spans="14:15">
      <c r="N1138" s="11"/>
      <c r="O1138" s="11"/>
    </row>
    <row r="1139" spans="14:15">
      <c r="N1139" s="11"/>
      <c r="O1139" s="11"/>
    </row>
    <row r="1140" spans="14:15">
      <c r="N1140" s="11"/>
      <c r="O1140" s="11"/>
    </row>
    <row r="1141" spans="14:15">
      <c r="N1141" s="11"/>
      <c r="O1141" s="11"/>
    </row>
    <row r="1142" spans="14:15">
      <c r="N1142" s="11"/>
      <c r="O1142" s="11"/>
    </row>
    <row r="1143" spans="14:15">
      <c r="N1143" s="11"/>
      <c r="O1143" s="11"/>
    </row>
    <row r="1144" spans="14:15">
      <c r="N1144" s="11"/>
      <c r="O1144" s="11"/>
    </row>
    <row r="1145" spans="14:15">
      <c r="N1145" s="11"/>
      <c r="O1145" s="11"/>
    </row>
    <row r="1146" spans="14:15">
      <c r="N1146" s="11"/>
      <c r="O1146" s="11"/>
    </row>
    <row r="1147" spans="14:15">
      <c r="N1147" s="11"/>
      <c r="O1147" s="11"/>
    </row>
    <row r="1148" spans="14:15">
      <c r="N1148" s="11"/>
      <c r="O1148" s="11"/>
    </row>
    <row r="1149" spans="14:15">
      <c r="N1149" s="11"/>
      <c r="O1149" s="11"/>
    </row>
    <row r="1150" spans="14:15">
      <c r="N1150" s="11"/>
      <c r="O1150" s="11"/>
    </row>
    <row r="1151" spans="14:15">
      <c r="N1151" s="11"/>
      <c r="O1151" s="11"/>
    </row>
    <row r="1152" spans="14:15">
      <c r="N1152" s="11"/>
      <c r="O1152" s="11"/>
    </row>
    <row r="1153" spans="14:15">
      <c r="N1153" s="11"/>
      <c r="O1153" s="11"/>
    </row>
    <row r="1154" spans="14:15">
      <c r="N1154" s="11"/>
      <c r="O1154" s="11"/>
    </row>
    <row r="1155" spans="14:15">
      <c r="N1155" s="11"/>
      <c r="O1155" s="11"/>
    </row>
    <row r="1156" spans="14:15">
      <c r="N1156" s="11"/>
      <c r="O1156" s="11"/>
    </row>
    <row r="1157" spans="14:15">
      <c r="N1157" s="11"/>
      <c r="O1157" s="11"/>
    </row>
    <row r="1158" spans="14:15">
      <c r="N1158" s="11"/>
      <c r="O1158" s="11"/>
    </row>
    <row r="1159" spans="14:15">
      <c r="N1159" s="11"/>
      <c r="O1159" s="11"/>
    </row>
    <row r="1160" spans="14:15">
      <c r="N1160" s="11"/>
      <c r="O1160" s="11"/>
    </row>
    <row r="1161" spans="14:15">
      <c r="N1161" s="11"/>
      <c r="O1161" s="11"/>
    </row>
    <row r="1162" spans="14:15">
      <c r="N1162" s="11"/>
      <c r="O1162" s="11"/>
    </row>
    <row r="1163" spans="14:15">
      <c r="N1163" s="11"/>
      <c r="O1163" s="11"/>
    </row>
    <row r="1164" spans="14:15">
      <c r="N1164" s="11"/>
      <c r="O1164" s="11"/>
    </row>
    <row r="1165" spans="14:15">
      <c r="N1165" s="11"/>
      <c r="O1165" s="11"/>
    </row>
    <row r="1166" spans="14:15">
      <c r="N1166" s="11"/>
      <c r="O1166" s="11"/>
    </row>
    <row r="1167" spans="14:15">
      <c r="N1167" s="11"/>
      <c r="O1167" s="11"/>
    </row>
    <row r="1168" spans="14:15">
      <c r="N1168" s="11"/>
      <c r="O1168" s="11"/>
    </row>
    <row r="1169" spans="14:15">
      <c r="N1169" s="11"/>
      <c r="O1169" s="11"/>
    </row>
    <row r="1170" spans="14:15">
      <c r="N1170" s="11"/>
      <c r="O1170" s="11"/>
    </row>
    <row r="1171" spans="14:15">
      <c r="N1171" s="11"/>
      <c r="O1171" s="11"/>
    </row>
    <row r="1172" spans="14:15">
      <c r="N1172" s="11"/>
      <c r="O1172" s="11"/>
    </row>
    <row r="1173" spans="14:15">
      <c r="N1173" s="11"/>
      <c r="O1173" s="11"/>
    </row>
    <row r="1174" spans="14:15">
      <c r="N1174" s="11"/>
      <c r="O1174" s="11"/>
    </row>
    <row r="1175" spans="14:15">
      <c r="N1175" s="11"/>
      <c r="O1175" s="11"/>
    </row>
    <row r="1176" spans="14:15">
      <c r="N1176" s="11"/>
      <c r="O1176" s="11"/>
    </row>
    <row r="1177" spans="14:15">
      <c r="N1177" s="11"/>
      <c r="O1177" s="11"/>
    </row>
    <row r="1178" spans="14:15">
      <c r="N1178" s="11"/>
      <c r="O1178" s="11"/>
    </row>
    <row r="1179" spans="14:15">
      <c r="N1179" s="11"/>
      <c r="O1179" s="11"/>
    </row>
    <row r="1180" spans="14:15">
      <c r="N1180" s="11"/>
      <c r="O1180" s="11"/>
    </row>
    <row r="1181" spans="14:15">
      <c r="N1181" s="11"/>
      <c r="O1181" s="11"/>
    </row>
    <row r="1182" spans="14:15">
      <c r="N1182" s="11"/>
      <c r="O1182" s="11"/>
    </row>
    <row r="1183" spans="14:15">
      <c r="N1183" s="11"/>
      <c r="O1183" s="11"/>
    </row>
    <row r="1184" spans="14:15">
      <c r="N1184" s="11"/>
      <c r="O1184" s="11"/>
    </row>
    <row r="1185" spans="14:15">
      <c r="N1185" s="11"/>
      <c r="O1185" s="11"/>
    </row>
    <row r="1186" spans="14:15">
      <c r="N1186" s="11"/>
      <c r="O1186" s="11"/>
    </row>
    <row r="1187" spans="14:15">
      <c r="N1187" s="11"/>
      <c r="O1187" s="11"/>
    </row>
    <row r="1188" spans="14:15">
      <c r="N1188" s="11"/>
      <c r="O1188" s="11"/>
    </row>
    <row r="1189" spans="14:15">
      <c r="N1189" s="11"/>
      <c r="O1189" s="11"/>
    </row>
    <row r="1190" spans="14:15">
      <c r="N1190" s="11"/>
      <c r="O1190" s="11"/>
    </row>
    <row r="1191" spans="14:15">
      <c r="N1191" s="11"/>
      <c r="O1191" s="11"/>
    </row>
    <row r="1192" spans="14:15">
      <c r="N1192" s="11"/>
      <c r="O1192" s="11"/>
    </row>
    <row r="1193" spans="14:15">
      <c r="N1193" s="11"/>
      <c r="O1193" s="11"/>
    </row>
    <row r="1194" spans="14:15">
      <c r="N1194" s="11"/>
      <c r="O1194" s="11"/>
    </row>
    <row r="1195" spans="14:15">
      <c r="N1195" s="11"/>
      <c r="O1195" s="11"/>
    </row>
    <row r="1196" spans="14:15">
      <c r="N1196" s="11"/>
      <c r="O1196" s="11"/>
    </row>
    <row r="1197" spans="14:15">
      <c r="N1197" s="11"/>
      <c r="O1197" s="11"/>
    </row>
    <row r="1198" spans="14:15">
      <c r="N1198" s="11"/>
      <c r="O1198" s="11"/>
    </row>
    <row r="1199" spans="14:15">
      <c r="N1199" s="11"/>
      <c r="O1199" s="11"/>
    </row>
    <row r="1200" spans="14:15">
      <c r="N1200" s="11"/>
      <c r="O1200" s="11"/>
    </row>
    <row r="1201" spans="14:15">
      <c r="N1201" s="11"/>
      <c r="O1201" s="11"/>
    </row>
    <row r="1202" spans="14:15">
      <c r="N1202" s="11"/>
      <c r="O1202" s="11"/>
    </row>
    <row r="1203" spans="14:15">
      <c r="N1203" s="11"/>
      <c r="O1203" s="11"/>
    </row>
    <row r="1204" spans="14:15">
      <c r="N1204" s="11"/>
      <c r="O1204" s="11"/>
    </row>
    <row r="1205" spans="14:15">
      <c r="N1205" s="11"/>
      <c r="O1205" s="11"/>
    </row>
    <row r="1206" spans="14:15">
      <c r="N1206" s="11"/>
      <c r="O1206" s="11"/>
    </row>
    <row r="1207" spans="14:15">
      <c r="N1207" s="11"/>
      <c r="O1207" s="11"/>
    </row>
    <row r="1208" spans="14:15">
      <c r="N1208" s="11"/>
      <c r="O1208" s="11"/>
    </row>
    <row r="1209" spans="14:15">
      <c r="N1209" s="11"/>
      <c r="O1209" s="11"/>
    </row>
    <row r="1210" spans="14:15">
      <c r="N1210" s="11"/>
      <c r="O1210" s="11"/>
    </row>
    <row r="1211" spans="14:15">
      <c r="N1211" s="11"/>
      <c r="O1211" s="11"/>
    </row>
    <row r="1212" spans="14:15">
      <c r="N1212" s="11"/>
      <c r="O1212" s="11"/>
    </row>
    <row r="1213" spans="14:15">
      <c r="N1213" s="11"/>
      <c r="O1213" s="11"/>
    </row>
    <row r="1214" spans="14:15">
      <c r="N1214" s="11"/>
      <c r="O1214" s="11"/>
    </row>
    <row r="1215" spans="14:15">
      <c r="N1215" s="11"/>
      <c r="O1215" s="11"/>
    </row>
    <row r="1216" spans="14:15">
      <c r="N1216" s="11"/>
      <c r="O1216" s="11"/>
    </row>
    <row r="1217" spans="2:27"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11"/>
      <c r="O1217" s="11"/>
      <c r="P1217" s="23"/>
      <c r="Q1217" s="23"/>
      <c r="R1217" s="23"/>
      <c r="S1217" s="23"/>
      <c r="T1217" s="23"/>
      <c r="U1217" s="23"/>
      <c r="V1217" s="23"/>
      <c r="W1217" s="23"/>
      <c r="X1217" s="24"/>
      <c r="Z1217" s="24"/>
      <c r="AA1217" s="23"/>
    </row>
    <row r="1218" spans="14:15">
      <c r="N1218" s="11"/>
      <c r="O1218" s="11"/>
    </row>
    <row r="1219" spans="14:15">
      <c r="N1219" s="11"/>
      <c r="O1219" s="11"/>
    </row>
    <row r="1220" spans="14:15">
      <c r="N1220" s="11"/>
      <c r="O1220" s="11"/>
    </row>
    <row r="1221" spans="14:15">
      <c r="N1221" s="11"/>
      <c r="O1221" s="11"/>
    </row>
    <row r="1222" spans="14:15">
      <c r="N1222" s="11"/>
      <c r="O1222" s="11"/>
    </row>
    <row r="1223" spans="14:15">
      <c r="N1223" s="11"/>
      <c r="O1223" s="11"/>
    </row>
    <row r="1224" spans="14:15">
      <c r="N1224" s="11"/>
      <c r="O1224" s="11"/>
    </row>
    <row r="1225" spans="14:15">
      <c r="N1225" s="11"/>
      <c r="O1225" s="11"/>
    </row>
    <row r="1226" spans="14:15">
      <c r="N1226" s="11"/>
      <c r="O1226" s="11"/>
    </row>
    <row r="1227" spans="14:15">
      <c r="N1227" s="11"/>
      <c r="O1227" s="11"/>
    </row>
    <row r="1228" spans="14:15">
      <c r="N1228" s="11"/>
      <c r="O1228" s="11"/>
    </row>
    <row r="1229" spans="14:15">
      <c r="N1229" s="11"/>
      <c r="O1229" s="11"/>
    </row>
    <row r="1230" spans="14:15">
      <c r="N1230" s="11"/>
      <c r="O1230" s="11"/>
    </row>
    <row r="1231" spans="14:15">
      <c r="N1231" s="11"/>
      <c r="O1231" s="11"/>
    </row>
    <row r="1232" spans="14:15">
      <c r="N1232" s="11"/>
      <c r="O1232" s="11"/>
    </row>
    <row r="1233" spans="14:15">
      <c r="N1233" s="11"/>
      <c r="O1233" s="11"/>
    </row>
    <row r="1234" spans="14:15">
      <c r="N1234" s="11"/>
      <c r="O1234" s="11"/>
    </row>
    <row r="1235" spans="14:15">
      <c r="N1235" s="11"/>
      <c r="O1235" s="11"/>
    </row>
    <row r="1236" spans="14:15">
      <c r="N1236" s="11"/>
      <c r="O1236" s="11"/>
    </row>
    <row r="1237" spans="14:15">
      <c r="N1237" s="11"/>
      <c r="O1237" s="11"/>
    </row>
    <row r="1238" spans="14:15">
      <c r="N1238" s="11"/>
      <c r="O1238" s="11"/>
    </row>
    <row r="1239" spans="14:15">
      <c r="N1239" s="11"/>
      <c r="O1239" s="11"/>
    </row>
    <row r="1240" spans="14:15">
      <c r="N1240" s="11"/>
      <c r="O1240" s="11"/>
    </row>
    <row r="1241" spans="14:15">
      <c r="N1241" s="11"/>
      <c r="O1241" s="11"/>
    </row>
    <row r="1242" spans="14:15">
      <c r="N1242" s="11"/>
      <c r="O1242" s="11"/>
    </row>
    <row r="1243" spans="14:15">
      <c r="N1243" s="11"/>
      <c r="O1243" s="11"/>
    </row>
    <row r="1244" spans="14:15">
      <c r="N1244" s="11"/>
      <c r="O1244" s="11"/>
    </row>
    <row r="1245" spans="14:15">
      <c r="N1245" s="11"/>
      <c r="O1245" s="11"/>
    </row>
    <row r="1246" spans="14:15">
      <c r="N1246" s="11"/>
      <c r="O1246" s="11"/>
    </row>
    <row r="1247" spans="14:15">
      <c r="N1247" s="11"/>
      <c r="O1247" s="11"/>
    </row>
    <row r="1248" spans="14:15">
      <c r="N1248" s="11"/>
      <c r="O1248" s="11"/>
    </row>
    <row r="1249" spans="14:15">
      <c r="N1249" s="11"/>
      <c r="O1249" s="11"/>
    </row>
    <row r="1250" spans="14:15">
      <c r="N1250" s="11"/>
      <c r="O1250" s="11"/>
    </row>
    <row r="1251" spans="14:15">
      <c r="N1251" s="11"/>
      <c r="O1251" s="11"/>
    </row>
    <row r="1252" spans="14:15">
      <c r="N1252" s="11"/>
      <c r="O1252" s="11"/>
    </row>
    <row r="1253" spans="14:15">
      <c r="N1253" s="11"/>
      <c r="O1253" s="11"/>
    </row>
    <row r="1254" spans="14:15">
      <c r="N1254" s="11"/>
      <c r="O1254" s="11"/>
    </row>
    <row r="1255" spans="14:15">
      <c r="N1255" s="11"/>
      <c r="O1255" s="11"/>
    </row>
    <row r="1256" spans="14:15">
      <c r="N1256" s="11"/>
      <c r="O1256" s="11"/>
    </row>
    <row r="1257" spans="14:15">
      <c r="N1257" s="11"/>
      <c r="O1257" s="11"/>
    </row>
    <row r="1258" spans="14:15">
      <c r="N1258" s="11"/>
      <c r="O1258" s="11"/>
    </row>
    <row r="1259" spans="14:15">
      <c r="N1259" s="11"/>
      <c r="O1259" s="11"/>
    </row>
    <row r="1260" spans="14:15">
      <c r="N1260" s="11"/>
      <c r="O1260" s="11"/>
    </row>
    <row r="1261" spans="14:15">
      <c r="N1261" s="11"/>
      <c r="O1261" s="11"/>
    </row>
    <row r="1262" spans="14:15">
      <c r="N1262" s="11"/>
      <c r="O1262" s="11"/>
    </row>
    <row r="1263" spans="14:15">
      <c r="N1263" s="11"/>
      <c r="O1263" s="11"/>
    </row>
    <row r="1264" spans="14:15">
      <c r="N1264" s="11"/>
      <c r="O1264" s="11"/>
    </row>
    <row r="1265" spans="14:15">
      <c r="N1265" s="11"/>
      <c r="O1265" s="11"/>
    </row>
    <row r="1266" spans="14:15">
      <c r="N1266" s="11"/>
      <c r="O1266" s="11"/>
    </row>
    <row r="1267" spans="14:15">
      <c r="N1267" s="11"/>
      <c r="O1267" s="11"/>
    </row>
    <row r="1268" spans="14:15">
      <c r="N1268" s="11"/>
      <c r="O1268" s="11"/>
    </row>
    <row r="1269" spans="14:15">
      <c r="N1269" s="11"/>
      <c r="O1269" s="11"/>
    </row>
    <row r="1270" spans="14:15">
      <c r="N1270" s="11"/>
      <c r="O1270" s="11"/>
    </row>
    <row r="1271" spans="14:15">
      <c r="N1271" s="11"/>
      <c r="O1271" s="11"/>
    </row>
    <row r="1272" spans="14:15">
      <c r="N1272" s="11"/>
      <c r="O1272" s="11"/>
    </row>
    <row r="1273" spans="14:15">
      <c r="N1273" s="11"/>
      <c r="O1273" s="11"/>
    </row>
    <row r="1274" spans="14:15">
      <c r="N1274" s="11"/>
      <c r="O1274" s="11"/>
    </row>
    <row r="1275" spans="14:15">
      <c r="N1275" s="11"/>
      <c r="O1275" s="11"/>
    </row>
    <row r="1276" spans="14:15">
      <c r="N1276" s="11"/>
      <c r="O1276" s="11"/>
    </row>
    <row r="1277" spans="14:15">
      <c r="N1277" s="11"/>
      <c r="O1277" s="11"/>
    </row>
    <row r="1278" spans="14:15">
      <c r="N1278" s="11"/>
      <c r="O1278" s="11"/>
    </row>
    <row r="1279" spans="14:15">
      <c r="N1279" s="11"/>
      <c r="O1279" s="11"/>
    </row>
    <row r="1280" spans="14:15">
      <c r="N1280" s="11"/>
      <c r="O1280" s="11"/>
    </row>
    <row r="1281" spans="14:15">
      <c r="N1281" s="11"/>
      <c r="O1281" s="11"/>
    </row>
    <row r="1282" spans="14:15">
      <c r="N1282" s="11"/>
      <c r="O1282" s="11"/>
    </row>
    <row r="1283" spans="14:15">
      <c r="N1283" s="11"/>
      <c r="O1283" s="11"/>
    </row>
    <row r="1284" spans="14:15">
      <c r="N1284" s="11"/>
      <c r="O1284" s="11"/>
    </row>
    <row r="1285" spans="14:15">
      <c r="N1285" s="11"/>
      <c r="O1285" s="11"/>
    </row>
    <row r="1286" spans="14:15">
      <c r="N1286" s="11"/>
      <c r="O1286" s="11"/>
    </row>
    <row r="1287" spans="14:15">
      <c r="N1287" s="11"/>
      <c r="O1287" s="11"/>
    </row>
    <row r="1288" spans="14:15">
      <c r="N1288" s="11"/>
      <c r="O1288" s="11"/>
    </row>
    <row r="1289" spans="14:15">
      <c r="N1289" s="11"/>
      <c r="O1289" s="11"/>
    </row>
    <row r="1290" spans="14:15">
      <c r="N1290" s="11"/>
      <c r="O1290" s="11"/>
    </row>
    <row r="1291" spans="14:15">
      <c r="N1291" s="11"/>
      <c r="O1291" s="11"/>
    </row>
    <row r="1292" spans="14:15">
      <c r="N1292" s="11"/>
      <c r="O1292" s="11"/>
    </row>
    <row r="1293" spans="14:15">
      <c r="N1293" s="11"/>
      <c r="O1293" s="11"/>
    </row>
    <row r="1294" spans="14:15">
      <c r="N1294" s="11"/>
      <c r="O1294" s="11"/>
    </row>
    <row r="1295" spans="14:15">
      <c r="N1295" s="11"/>
      <c r="O1295" s="11"/>
    </row>
    <row r="1296" spans="14:15">
      <c r="N1296" s="11"/>
      <c r="O1296" s="11"/>
    </row>
    <row r="1297" spans="14:15">
      <c r="N1297" s="11"/>
      <c r="O1297" s="11"/>
    </row>
    <row r="1298" spans="14:15">
      <c r="N1298" s="11"/>
      <c r="O1298" s="11"/>
    </row>
    <row r="1299" spans="14:15">
      <c r="N1299" s="11"/>
      <c r="O1299" s="11"/>
    </row>
    <row r="1300" spans="14:15">
      <c r="N1300" s="11"/>
      <c r="O1300" s="11"/>
    </row>
    <row r="1301" spans="14:15">
      <c r="N1301" s="11"/>
      <c r="O1301" s="11"/>
    </row>
    <row r="1302" spans="14:15">
      <c r="N1302" s="11"/>
      <c r="O1302" s="11"/>
    </row>
    <row r="1303" spans="14:15">
      <c r="N1303" s="11"/>
      <c r="O1303" s="11"/>
    </row>
    <row r="1304" spans="14:15">
      <c r="N1304" s="11"/>
      <c r="O1304" s="11"/>
    </row>
    <row r="1305" spans="14:15">
      <c r="N1305" s="11"/>
      <c r="O1305" s="11"/>
    </row>
    <row r="1306" spans="14:15">
      <c r="N1306" s="11"/>
      <c r="O1306" s="11"/>
    </row>
    <row r="1307" spans="14:15">
      <c r="N1307" s="11"/>
      <c r="O1307" s="11"/>
    </row>
    <row r="1308" spans="14:15">
      <c r="N1308" s="11"/>
      <c r="O1308" s="11"/>
    </row>
    <row r="1309" spans="14:15">
      <c r="N1309" s="11"/>
      <c r="O1309" s="11"/>
    </row>
    <row r="1310" spans="14:15">
      <c r="N1310" s="11"/>
      <c r="O1310" s="11"/>
    </row>
    <row r="1311" spans="14:15">
      <c r="N1311" s="11"/>
      <c r="O1311" s="11"/>
    </row>
    <row r="1312" spans="14:15">
      <c r="N1312" s="11"/>
      <c r="O1312" s="11"/>
    </row>
    <row r="1313" spans="14:15">
      <c r="N1313" s="11"/>
      <c r="O1313" s="11"/>
    </row>
    <row r="1314" spans="14:15">
      <c r="N1314" s="11"/>
      <c r="O1314" s="11"/>
    </row>
    <row r="1315" spans="14:15">
      <c r="N1315" s="11"/>
      <c r="O1315" s="11"/>
    </row>
    <row r="1316" spans="14:15">
      <c r="N1316" s="11"/>
      <c r="O1316" s="11"/>
    </row>
    <row r="1317" spans="14:15">
      <c r="N1317" s="11"/>
      <c r="O1317" s="11"/>
    </row>
    <row r="1318" spans="14:15">
      <c r="N1318" s="11"/>
      <c r="O1318" s="11"/>
    </row>
    <row r="1319" spans="14:15">
      <c r="N1319" s="11"/>
      <c r="O1319" s="11"/>
    </row>
    <row r="1320" spans="14:15">
      <c r="N1320" s="11"/>
      <c r="O1320" s="11"/>
    </row>
    <row r="1321" spans="14:15">
      <c r="N1321" s="11"/>
      <c r="O1321" s="11"/>
    </row>
    <row r="1322" spans="14:15">
      <c r="N1322" s="11"/>
      <c r="O1322" s="11"/>
    </row>
    <row r="1323" spans="14:15">
      <c r="N1323" s="11"/>
      <c r="O1323" s="11"/>
    </row>
    <row r="1324" spans="14:15">
      <c r="N1324" s="11"/>
      <c r="O1324" s="11"/>
    </row>
    <row r="1325" spans="14:15">
      <c r="N1325" s="11"/>
      <c r="O1325" s="11"/>
    </row>
    <row r="1326" spans="14:15">
      <c r="N1326" s="11"/>
      <c r="O1326" s="11"/>
    </row>
    <row r="1327" spans="14:15">
      <c r="N1327" s="11"/>
      <c r="O1327" s="11"/>
    </row>
    <row r="1328" spans="14:15">
      <c r="N1328" s="11"/>
      <c r="O1328" s="11"/>
    </row>
    <row r="1329" spans="14:15">
      <c r="N1329" s="11"/>
      <c r="O1329" s="11"/>
    </row>
    <row r="1330" spans="14:15">
      <c r="N1330" s="11"/>
      <c r="O1330" s="11"/>
    </row>
    <row r="1331" spans="14:15">
      <c r="N1331" s="11"/>
      <c r="O1331" s="11"/>
    </row>
    <row r="1332" spans="14:15">
      <c r="N1332" s="11"/>
      <c r="O1332" s="11"/>
    </row>
    <row r="1333" spans="14:15">
      <c r="N1333" s="11"/>
      <c r="O1333" s="11"/>
    </row>
    <row r="1334" spans="14:15">
      <c r="N1334" s="11"/>
      <c r="O1334" s="11"/>
    </row>
    <row r="1335" spans="14:15">
      <c r="N1335" s="11"/>
      <c r="O1335" s="11"/>
    </row>
    <row r="1336" spans="14:15">
      <c r="N1336" s="11"/>
      <c r="O1336" s="11"/>
    </row>
    <row r="1337" spans="14:15">
      <c r="N1337" s="11"/>
      <c r="O1337" s="11"/>
    </row>
    <row r="1338" spans="14:15">
      <c r="N1338" s="11"/>
      <c r="O1338" s="11"/>
    </row>
    <row r="1339" spans="14:15">
      <c r="N1339" s="11"/>
      <c r="O1339" s="11"/>
    </row>
    <row r="1340" spans="14:15">
      <c r="N1340" s="11"/>
      <c r="O1340" s="11"/>
    </row>
    <row r="1341" spans="14:15">
      <c r="N1341" s="11"/>
      <c r="O1341" s="11"/>
    </row>
    <row r="1342" spans="14:15">
      <c r="N1342" s="11"/>
      <c r="O1342" s="11"/>
    </row>
    <row r="1343" spans="14:15">
      <c r="N1343" s="11"/>
      <c r="O1343" s="11"/>
    </row>
    <row r="1344" spans="14:15">
      <c r="N1344" s="11"/>
      <c r="O1344" s="11"/>
    </row>
    <row r="1345" spans="14:15">
      <c r="N1345" s="11"/>
      <c r="O1345" s="11"/>
    </row>
    <row r="1346" spans="14:15">
      <c r="N1346" s="11"/>
      <c r="O1346" s="11"/>
    </row>
    <row r="1347" spans="14:15">
      <c r="N1347" s="11"/>
      <c r="O1347" s="11"/>
    </row>
    <row r="1348" spans="14:15">
      <c r="N1348" s="11"/>
      <c r="O1348" s="11"/>
    </row>
    <row r="1349" spans="14:15">
      <c r="N1349" s="11"/>
      <c r="O1349" s="11"/>
    </row>
    <row r="1350" spans="14:15">
      <c r="N1350" s="11"/>
      <c r="O1350" s="11"/>
    </row>
    <row r="1351" spans="14:15">
      <c r="N1351" s="11"/>
      <c r="O1351" s="11"/>
    </row>
    <row r="1352" spans="14:15">
      <c r="N1352" s="11"/>
      <c r="O1352" s="11"/>
    </row>
    <row r="1353" spans="14:15">
      <c r="N1353" s="11"/>
      <c r="O1353" s="11"/>
    </row>
    <row r="1354" spans="14:15">
      <c r="N1354" s="11"/>
      <c r="O1354" s="11"/>
    </row>
    <row r="1355" spans="14:15">
      <c r="N1355" s="11"/>
      <c r="O1355" s="11"/>
    </row>
    <row r="1356" spans="14:15">
      <c r="N1356" s="11"/>
      <c r="O1356" s="11"/>
    </row>
    <row r="1357" spans="14:15">
      <c r="N1357" s="11"/>
      <c r="O1357" s="11"/>
    </row>
    <row r="1358" spans="14:15">
      <c r="N1358" s="11"/>
      <c r="O1358" s="11"/>
    </row>
    <row r="1359" spans="14:15">
      <c r="N1359" s="11"/>
      <c r="O1359" s="11"/>
    </row>
    <row r="1360" spans="14:15">
      <c r="N1360" s="11"/>
      <c r="O1360" s="11"/>
    </row>
    <row r="1361" spans="14:15">
      <c r="N1361" s="11"/>
      <c r="O1361" s="11"/>
    </row>
    <row r="1362" spans="14:15">
      <c r="N1362" s="11"/>
      <c r="O1362" s="11"/>
    </row>
    <row r="1363" spans="14:15">
      <c r="N1363" s="11"/>
      <c r="O1363" s="11"/>
    </row>
    <row r="1364" spans="14:15">
      <c r="N1364" s="11"/>
      <c r="O1364" s="11"/>
    </row>
    <row r="1365" spans="14:15">
      <c r="N1365" s="11"/>
      <c r="O1365" s="11"/>
    </row>
    <row r="1366" spans="14:15">
      <c r="N1366" s="11"/>
      <c r="O1366" s="11"/>
    </row>
    <row r="1367" spans="14:15">
      <c r="N1367" s="11"/>
      <c r="O1367" s="11"/>
    </row>
    <row r="1368" spans="14:15">
      <c r="N1368" s="11"/>
      <c r="O1368" s="11"/>
    </row>
    <row r="1369" spans="14:15">
      <c r="N1369" s="11"/>
      <c r="O1369" s="11"/>
    </row>
    <row r="1370" spans="14:15">
      <c r="N1370" s="11"/>
      <c r="O1370" s="11"/>
    </row>
    <row r="1371" spans="14:15">
      <c r="N1371" s="11"/>
      <c r="O1371" s="11"/>
    </row>
    <row r="1372" spans="14:15">
      <c r="N1372" s="11"/>
      <c r="O1372" s="11"/>
    </row>
    <row r="1373" spans="14:15">
      <c r="N1373" s="11"/>
      <c r="O1373" s="11"/>
    </row>
    <row r="1374" spans="14:15">
      <c r="N1374" s="11"/>
      <c r="O1374" s="11"/>
    </row>
    <row r="1375" spans="14:15">
      <c r="N1375" s="11"/>
      <c r="O1375" s="11"/>
    </row>
    <row r="1376" spans="14:15">
      <c r="N1376" s="11"/>
      <c r="O1376" s="11"/>
    </row>
    <row r="1377" spans="14:15">
      <c r="N1377" s="11"/>
      <c r="O1377" s="11"/>
    </row>
    <row r="1378" spans="14:15">
      <c r="N1378" s="11"/>
      <c r="O1378" s="11"/>
    </row>
    <row r="1379" spans="14:15">
      <c r="N1379" s="11"/>
      <c r="O1379" s="11"/>
    </row>
    <row r="1380" spans="14:15">
      <c r="N1380" s="11"/>
      <c r="O1380" s="11"/>
    </row>
    <row r="1381" spans="14:15">
      <c r="N1381" s="11"/>
      <c r="O1381" s="11"/>
    </row>
    <row r="1382" spans="14:15">
      <c r="N1382" s="11"/>
      <c r="O1382" s="11"/>
    </row>
    <row r="1383" spans="14:15">
      <c r="N1383" s="11"/>
      <c r="O1383" s="11"/>
    </row>
    <row r="1384" spans="14:15">
      <c r="N1384" s="11"/>
      <c r="O1384" s="11"/>
    </row>
    <row r="1385" spans="14:15">
      <c r="N1385" s="11"/>
      <c r="O1385" s="11"/>
    </row>
    <row r="1386" spans="14:15">
      <c r="N1386" s="11"/>
      <c r="O1386" s="11"/>
    </row>
    <row r="1387" spans="14:15">
      <c r="N1387" s="11"/>
      <c r="O1387" s="11"/>
    </row>
    <row r="1388" spans="14:15">
      <c r="N1388" s="11"/>
      <c r="O1388" s="11"/>
    </row>
    <row r="1389" spans="14:15">
      <c r="N1389" s="11"/>
      <c r="O1389" s="11"/>
    </row>
    <row r="1390" spans="14:15">
      <c r="N1390" s="11"/>
      <c r="O1390" s="11"/>
    </row>
    <row r="1391" spans="14:15">
      <c r="N1391" s="11"/>
      <c r="O1391" s="11"/>
    </row>
    <row r="1392" spans="14:15">
      <c r="N1392" s="11"/>
      <c r="O1392" s="11"/>
    </row>
    <row r="1393" spans="14:15">
      <c r="N1393" s="11"/>
      <c r="O1393" s="11"/>
    </row>
    <row r="1394" spans="14:15">
      <c r="N1394" s="11"/>
      <c r="O1394" s="11"/>
    </row>
    <row r="1395" spans="14:15">
      <c r="N1395" s="11"/>
      <c r="O1395" s="11"/>
    </row>
    <row r="1396" spans="14:15">
      <c r="N1396" s="11"/>
      <c r="O1396" s="11"/>
    </row>
    <row r="1397" spans="14:15">
      <c r="N1397" s="11"/>
      <c r="O1397" s="11"/>
    </row>
    <row r="1398" spans="14:15">
      <c r="N1398" s="11"/>
      <c r="O1398" s="11"/>
    </row>
    <row r="1399" spans="14:15">
      <c r="N1399" s="11"/>
      <c r="O1399" s="11"/>
    </row>
    <row r="1400" spans="14:15">
      <c r="N1400" s="11"/>
      <c r="O1400" s="11"/>
    </row>
    <row r="1401" spans="14:15">
      <c r="N1401" s="11"/>
      <c r="O1401" s="11"/>
    </row>
    <row r="1402" spans="14:15">
      <c r="N1402" s="11"/>
      <c r="O1402" s="11"/>
    </row>
    <row r="1403" spans="14:15">
      <c r="N1403" s="11"/>
      <c r="O1403" s="11"/>
    </row>
    <row r="1404" spans="14:15">
      <c r="N1404" s="11"/>
      <c r="O1404" s="11"/>
    </row>
    <row r="1405" spans="14:15">
      <c r="N1405" s="11"/>
      <c r="O1405" s="11"/>
    </row>
    <row r="1406" spans="14:15">
      <c r="N1406" s="11"/>
      <c r="O1406" s="11"/>
    </row>
    <row r="1407" spans="14:15">
      <c r="N1407" s="11"/>
      <c r="O1407" s="11"/>
    </row>
    <row r="1408" spans="14:15">
      <c r="N1408" s="11"/>
      <c r="O1408" s="11"/>
    </row>
    <row r="1409" spans="14:15">
      <c r="N1409" s="11"/>
      <c r="O1409" s="11"/>
    </row>
    <row r="1410" spans="14:15">
      <c r="N1410" s="11"/>
      <c r="O1410" s="11"/>
    </row>
    <row r="1411" spans="14:15">
      <c r="N1411" s="11"/>
      <c r="O1411" s="11"/>
    </row>
    <row r="1412" spans="14:15">
      <c r="N1412" s="11"/>
      <c r="O1412" s="11"/>
    </row>
    <row r="1413" spans="14:15">
      <c r="N1413" s="11"/>
      <c r="O1413" s="11"/>
    </row>
    <row r="1414" ht="14.25" spans="6:25">
      <c r="F1414" s="25"/>
      <c r="G1414" s="25"/>
      <c r="H1414" s="25"/>
      <c r="I1414" s="25"/>
      <c r="J1414" s="25"/>
      <c r="K1414" s="25"/>
      <c r="L1414" s="25"/>
      <c r="M1414" s="25"/>
      <c r="N1414" s="25"/>
      <c r="O1414" s="25"/>
      <c r="P1414" s="25"/>
      <c r="Q1414" s="25"/>
      <c r="R1414" s="25"/>
      <c r="S1414" s="25"/>
      <c r="T1414" s="25"/>
      <c r="U1414" s="25"/>
      <c r="V1414" s="25"/>
      <c r="W1414" s="25"/>
      <c r="Y1414" s="25"/>
    </row>
  </sheetData>
  <sortState ref="A3:AA1514">
    <sortCondition ref="D3"/>
  </sortState>
  <mergeCells count="1">
    <mergeCell ref="A1:AA1"/>
  </mergeCells>
  <conditionalFormatting sqref="D3:D665">
    <cfRule type="duplicateValues" dxfId="0" priority="1"/>
  </conditionalFormatting>
  <printOptions horizontalCentered="1"/>
  <pageMargins left="0.554166666666667" right="0.554166666666667" top="0.605555555555556" bottom="0.605555555555556" header="0.511805555555556" footer="0.511805555555556"/>
  <pageSetup paperSize="9" scale="87" orientation="portrait"/>
  <headerFooter/>
  <rowBreaks count="2" manualBreakCount="2">
    <brk id="62" max="16383" man="1"/>
    <brk id="121" max="16383" man="1"/>
  </rowBreaks>
  <colBreaks count="1" manualBreakCount="1">
    <brk id="27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493"/>
  <sheetViews>
    <sheetView view="pageBreakPreview" zoomScaleNormal="100" workbookViewId="0">
      <selection activeCell="AE11" sqref="AE11"/>
    </sheetView>
  </sheetViews>
  <sheetFormatPr defaultColWidth="9" defaultRowHeight="13.5"/>
  <cols>
    <col min="1" max="1" width="5.375" style="9" customWidth="1"/>
    <col min="2" max="3" width="5.125" style="9" customWidth="1"/>
    <col min="4" max="4" width="5.375" style="10" customWidth="1"/>
    <col min="5" max="5" width="8.875" style="9" customWidth="1"/>
    <col min="6" max="23" width="5.125" style="9" customWidth="1"/>
    <col min="24" max="24" width="7" style="11" customWidth="1"/>
    <col min="25" max="25" width="6.5" style="9" customWidth="1"/>
    <col min="26" max="26" width="6.5" style="11" customWidth="1"/>
    <col min="27" max="27" width="6.125" style="9" customWidth="1"/>
    <col min="28" max="16384" width="9" style="12"/>
  </cols>
  <sheetData>
    <row r="1" ht="20.25" spans="1:27">
      <c r="A1" s="7" t="s">
        <v>1850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18"/>
      <c r="Y1" s="7"/>
      <c r="Z1" s="18"/>
      <c r="AA1" s="7"/>
    </row>
    <row r="2" spans="1:27">
      <c r="A2" s="13" t="s">
        <v>0</v>
      </c>
      <c r="B2" s="13" t="s">
        <v>1</v>
      </c>
      <c r="C2" s="13" t="s">
        <v>2</v>
      </c>
      <c r="D2" s="14" t="s">
        <v>3</v>
      </c>
      <c r="E2" s="14" t="s">
        <v>4</v>
      </c>
      <c r="F2" s="9" t="s">
        <v>5</v>
      </c>
      <c r="G2" s="9" t="s">
        <v>1837</v>
      </c>
      <c r="H2" s="9" t="s">
        <v>6</v>
      </c>
      <c r="I2" s="9" t="s">
        <v>1838</v>
      </c>
      <c r="J2" s="9" t="s">
        <v>7</v>
      </c>
      <c r="K2" s="9" t="s">
        <v>1839</v>
      </c>
      <c r="L2" s="9" t="s">
        <v>8</v>
      </c>
      <c r="M2" s="9" t="s">
        <v>1840</v>
      </c>
      <c r="N2" s="11" t="s">
        <v>9</v>
      </c>
      <c r="O2" s="11" t="s">
        <v>1841</v>
      </c>
      <c r="P2" s="9" t="s">
        <v>10</v>
      </c>
      <c r="Q2" s="9" t="s">
        <v>1842</v>
      </c>
      <c r="R2" s="9" t="s">
        <v>11</v>
      </c>
      <c r="S2" s="9" t="s">
        <v>1843</v>
      </c>
      <c r="T2" s="9" t="s">
        <v>12</v>
      </c>
      <c r="U2" s="9" t="s">
        <v>1844</v>
      </c>
      <c r="V2" s="9" t="s">
        <v>13</v>
      </c>
      <c r="W2" s="9" t="s">
        <v>1845</v>
      </c>
      <c r="X2" s="11" t="s">
        <v>14</v>
      </c>
      <c r="Y2" s="9" t="s">
        <v>1846</v>
      </c>
      <c r="Z2" s="11" t="s">
        <v>15</v>
      </c>
      <c r="AA2" s="9" t="s">
        <v>1847</v>
      </c>
    </row>
    <row r="3" ht="14.25" spans="1:27">
      <c r="A3" s="13">
        <v>423</v>
      </c>
      <c r="B3" s="15">
        <v>9</v>
      </c>
      <c r="C3" s="16">
        <v>39</v>
      </c>
      <c r="D3" s="17" t="s">
        <v>856</v>
      </c>
      <c r="E3" s="17" t="s">
        <v>857</v>
      </c>
      <c r="F3" s="174">
        <f>VLOOKUP(D3,原始分!$D:$N,3,0)</f>
        <v>116</v>
      </c>
      <c r="G3" s="174">
        <f t="shared" ref="G3:G66" si="0">RANK(F3,$F$3:$F$723)</f>
        <v>2</v>
      </c>
      <c r="H3" s="174">
        <f>VLOOKUP(D3,原始分!$D:$N,4,0)</f>
        <v>135.5</v>
      </c>
      <c r="I3" s="174">
        <f t="shared" ref="I3:I66" si="1">RANK(H3,$H$3:$H$723)</f>
        <v>4</v>
      </c>
      <c r="J3" s="174">
        <f>VLOOKUP(D3,原始分!$D:$N,5,0)</f>
        <v>121.5</v>
      </c>
      <c r="K3" s="174">
        <f t="shared" ref="K3:K66" si="2">RANK(J3,$J$3:$J$723)</f>
        <v>15</v>
      </c>
      <c r="L3" s="174">
        <f>VLOOKUP(D3,原始分!$D:$N,6,0)</f>
        <v>83.5</v>
      </c>
      <c r="M3" s="174">
        <f t="shared" ref="M3:M66" si="3">RANK(L3,$L$3:$L$723)</f>
        <v>5</v>
      </c>
      <c r="N3" s="174">
        <f>VLOOKUP(D3,原始分!$D:$N,7,0)</f>
        <v>0</v>
      </c>
      <c r="O3" s="174">
        <f t="shared" ref="O3:O66" si="4">RANK(N3,$N$3:$N$723)</f>
        <v>1</v>
      </c>
      <c r="P3" s="174">
        <f>VLOOKUP(D3,原始分!$D:$N,8,0)</f>
        <v>69</v>
      </c>
      <c r="Q3" s="174">
        <f t="shared" ref="Q3:Q66" si="5">RANK(P3,$P$3:$P$723)</f>
        <v>6</v>
      </c>
      <c r="R3" s="174">
        <f>VLOOKUP(D3,原始分!$D:$N,9,0)</f>
        <v>0</v>
      </c>
      <c r="S3" s="174">
        <f t="shared" ref="S3:S66" si="6">RANK(R3,$R$3:$R$723)</f>
        <v>218</v>
      </c>
      <c r="T3" s="174">
        <f>VLOOKUP(D3,原始分!$D:$N,10,0)</f>
        <v>0</v>
      </c>
      <c r="U3" s="174">
        <f t="shared" ref="U3:U66" si="7">RANK(T3,$T$3:$T$723)</f>
        <v>112</v>
      </c>
      <c r="V3" s="174">
        <f>VLOOKUP(D3,原始分!$D:$N,11,0)</f>
        <v>74</v>
      </c>
      <c r="W3" s="174">
        <f t="shared" ref="W3:W66" si="8">RANK(V3,$V$3:$V$723)</f>
        <v>5</v>
      </c>
      <c r="X3" s="11">
        <f t="shared" ref="X3:X66" si="9">SUM(F3,H3,J3)</f>
        <v>373</v>
      </c>
      <c r="Y3" s="9">
        <f t="shared" ref="Y3:Y66" si="10">RANK(X3,$X$3:$X$723)</f>
        <v>1</v>
      </c>
      <c r="Z3" s="11">
        <f t="shared" ref="Z3:Z66" si="11">SUM(F3,H3,J3,L3,N3,P3,R3,T3,V3)</f>
        <v>599.5</v>
      </c>
      <c r="AA3" s="9">
        <f t="shared" ref="AA3:AA66" si="12">RANK(Z3,$Z$3:$Z$723)</f>
        <v>1</v>
      </c>
    </row>
    <row r="4" ht="14.25" spans="1:27">
      <c r="A4" s="13">
        <v>416</v>
      </c>
      <c r="B4" s="15">
        <v>9</v>
      </c>
      <c r="C4" s="16">
        <v>32</v>
      </c>
      <c r="D4" s="17" t="s">
        <v>842</v>
      </c>
      <c r="E4" s="17" t="s">
        <v>843</v>
      </c>
      <c r="F4" s="174">
        <f>VLOOKUP(D4,原始分!$D:$N,3,0)</f>
        <v>105.5</v>
      </c>
      <c r="G4" s="174">
        <f t="shared" si="0"/>
        <v>96</v>
      </c>
      <c r="H4" s="174">
        <f>VLOOKUP(D4,原始分!$D:$N,4,0)</f>
        <v>130</v>
      </c>
      <c r="I4" s="174">
        <f t="shared" si="1"/>
        <v>14</v>
      </c>
      <c r="J4" s="174">
        <f>VLOOKUP(D4,原始分!$D:$N,5,0)</f>
        <v>121.5</v>
      </c>
      <c r="K4" s="174">
        <f t="shared" si="2"/>
        <v>15</v>
      </c>
      <c r="L4" s="174">
        <f>VLOOKUP(D4,原始分!$D:$N,6,0)</f>
        <v>85</v>
      </c>
      <c r="M4" s="174">
        <f t="shared" si="3"/>
        <v>2</v>
      </c>
      <c r="N4" s="174">
        <f>VLOOKUP(D4,原始分!$D:$N,7,0)</f>
        <v>0</v>
      </c>
      <c r="O4" s="174">
        <f t="shared" si="4"/>
        <v>1</v>
      </c>
      <c r="P4" s="174">
        <f>VLOOKUP(D4,原始分!$D:$N,8,0)</f>
        <v>68</v>
      </c>
      <c r="Q4" s="174">
        <f t="shared" si="5"/>
        <v>8</v>
      </c>
      <c r="R4" s="174">
        <f>VLOOKUP(D4,原始分!$D:$N,9,0)</f>
        <v>0</v>
      </c>
      <c r="S4" s="174">
        <f t="shared" si="6"/>
        <v>218</v>
      </c>
      <c r="T4" s="174">
        <f>VLOOKUP(D4,原始分!$D:$N,10,0)</f>
        <v>0</v>
      </c>
      <c r="U4" s="174">
        <f t="shared" si="7"/>
        <v>112</v>
      </c>
      <c r="V4" s="174">
        <f>VLOOKUP(D4,原始分!$D:$N,11,0)</f>
        <v>74</v>
      </c>
      <c r="W4" s="174">
        <f t="shared" si="8"/>
        <v>5</v>
      </c>
      <c r="X4" s="11">
        <f t="shared" si="9"/>
        <v>357</v>
      </c>
      <c r="Y4" s="9">
        <f t="shared" si="10"/>
        <v>5</v>
      </c>
      <c r="Z4" s="11">
        <f t="shared" si="11"/>
        <v>584</v>
      </c>
      <c r="AA4" s="9">
        <f t="shared" si="12"/>
        <v>2</v>
      </c>
    </row>
    <row r="5" ht="14.25" spans="1:27">
      <c r="A5" s="13">
        <v>409</v>
      </c>
      <c r="B5" s="15">
        <v>9</v>
      </c>
      <c r="C5" s="16">
        <v>24</v>
      </c>
      <c r="D5" s="17" t="s">
        <v>828</v>
      </c>
      <c r="E5" s="17" t="s">
        <v>829</v>
      </c>
      <c r="F5" s="174">
        <f>VLOOKUP(D5,原始分!$D:$N,3,0)</f>
        <v>103</v>
      </c>
      <c r="G5" s="174">
        <f t="shared" si="0"/>
        <v>168</v>
      </c>
      <c r="H5" s="174">
        <f>VLOOKUP(D5,原始分!$D:$N,4,0)</f>
        <v>132</v>
      </c>
      <c r="I5" s="174">
        <f t="shared" si="1"/>
        <v>7</v>
      </c>
      <c r="J5" s="174">
        <f>VLOOKUP(D5,原始分!$D:$N,5,0)</f>
        <v>122</v>
      </c>
      <c r="K5" s="174">
        <f t="shared" si="2"/>
        <v>8</v>
      </c>
      <c r="L5" s="174">
        <f>VLOOKUP(D5,原始分!$D:$N,6,0)</f>
        <v>80</v>
      </c>
      <c r="M5" s="174">
        <f t="shared" si="3"/>
        <v>12</v>
      </c>
      <c r="N5" s="174">
        <f>VLOOKUP(D5,原始分!$D:$N,7,0)</f>
        <v>0</v>
      </c>
      <c r="O5" s="174">
        <f t="shared" si="4"/>
        <v>1</v>
      </c>
      <c r="P5" s="174">
        <f>VLOOKUP(D5,原始分!$D:$N,8,0)</f>
        <v>75.5</v>
      </c>
      <c r="Q5" s="174">
        <f t="shared" si="5"/>
        <v>1</v>
      </c>
      <c r="R5" s="174">
        <f>VLOOKUP(D5,原始分!$D:$N,9,0)</f>
        <v>0</v>
      </c>
      <c r="S5" s="174">
        <f t="shared" si="6"/>
        <v>218</v>
      </c>
      <c r="T5" s="174">
        <f>VLOOKUP(D5,原始分!$D:$N,10,0)</f>
        <v>0</v>
      </c>
      <c r="U5" s="174">
        <f t="shared" si="7"/>
        <v>112</v>
      </c>
      <c r="V5" s="174">
        <f>VLOOKUP(D5,原始分!$D:$N,11,0)</f>
        <v>64.5</v>
      </c>
      <c r="W5" s="174">
        <f t="shared" si="8"/>
        <v>38</v>
      </c>
      <c r="X5" s="11">
        <f t="shared" si="9"/>
        <v>357</v>
      </c>
      <c r="Y5" s="9">
        <f t="shared" si="10"/>
        <v>5</v>
      </c>
      <c r="Z5" s="11">
        <f t="shared" si="11"/>
        <v>577</v>
      </c>
      <c r="AA5" s="9">
        <f t="shared" si="12"/>
        <v>3</v>
      </c>
    </row>
    <row r="6" ht="14.25" spans="1:27">
      <c r="A6" s="13">
        <v>399</v>
      </c>
      <c r="B6" s="15">
        <v>9</v>
      </c>
      <c r="C6" s="16">
        <v>14</v>
      </c>
      <c r="D6" s="17" t="s">
        <v>808</v>
      </c>
      <c r="E6" s="17" t="s">
        <v>809</v>
      </c>
      <c r="F6" s="174">
        <f>VLOOKUP(D6,原始分!$D:$N,3,0)</f>
        <v>116</v>
      </c>
      <c r="G6" s="174">
        <f t="shared" si="0"/>
        <v>2</v>
      </c>
      <c r="H6" s="174">
        <f>VLOOKUP(D6,原始分!$D:$N,4,0)</f>
        <v>123.5</v>
      </c>
      <c r="I6" s="174">
        <f t="shared" si="1"/>
        <v>40</v>
      </c>
      <c r="J6" s="174">
        <f>VLOOKUP(D6,原始分!$D:$N,5,0)</f>
        <v>117.75</v>
      </c>
      <c r="K6" s="174">
        <f t="shared" si="2"/>
        <v>37</v>
      </c>
      <c r="L6" s="174">
        <f>VLOOKUP(D6,原始分!$D:$N,6,0)</f>
        <v>84</v>
      </c>
      <c r="M6" s="174">
        <f t="shared" si="3"/>
        <v>4</v>
      </c>
      <c r="N6" s="174">
        <f>VLOOKUP(D6,原始分!$D:$N,7,0)</f>
        <v>0</v>
      </c>
      <c r="O6" s="174">
        <f t="shared" si="4"/>
        <v>1</v>
      </c>
      <c r="P6" s="174">
        <f>VLOOKUP(D6,原始分!$D:$N,8,0)</f>
        <v>64.5</v>
      </c>
      <c r="Q6" s="174">
        <f t="shared" si="5"/>
        <v>10</v>
      </c>
      <c r="R6" s="174">
        <f>VLOOKUP(D6,原始分!$D:$N,9,0)</f>
        <v>0</v>
      </c>
      <c r="S6" s="174">
        <f t="shared" si="6"/>
        <v>218</v>
      </c>
      <c r="T6" s="174">
        <f>VLOOKUP(D6,原始分!$D:$N,10,0)</f>
        <v>0</v>
      </c>
      <c r="U6" s="174">
        <f t="shared" si="7"/>
        <v>112</v>
      </c>
      <c r="V6" s="174">
        <f>VLOOKUP(D6,原始分!$D:$N,11,0)</f>
        <v>71</v>
      </c>
      <c r="W6" s="174">
        <f t="shared" si="8"/>
        <v>12</v>
      </c>
      <c r="X6" s="11">
        <f t="shared" si="9"/>
        <v>357.25</v>
      </c>
      <c r="Y6" s="9">
        <f t="shared" si="10"/>
        <v>4</v>
      </c>
      <c r="Z6" s="11">
        <f t="shared" si="11"/>
        <v>576.75</v>
      </c>
      <c r="AA6" s="9">
        <f t="shared" si="12"/>
        <v>4</v>
      </c>
    </row>
    <row r="7" ht="14.25" spans="1:27">
      <c r="A7" s="13">
        <v>393</v>
      </c>
      <c r="B7" s="15">
        <v>9</v>
      </c>
      <c r="C7" s="16">
        <v>8</v>
      </c>
      <c r="D7" s="17" t="s">
        <v>796</v>
      </c>
      <c r="E7" s="17" t="s">
        <v>797</v>
      </c>
      <c r="F7" s="174">
        <f>VLOOKUP(D7,原始分!$D:$N,3,0)</f>
        <v>101.5</v>
      </c>
      <c r="G7" s="174">
        <f t="shared" si="0"/>
        <v>210</v>
      </c>
      <c r="H7" s="174">
        <f>VLOOKUP(D7,原始分!$D:$N,4,0)</f>
        <v>130.5</v>
      </c>
      <c r="I7" s="174">
        <f t="shared" si="1"/>
        <v>9</v>
      </c>
      <c r="J7" s="174">
        <f>VLOOKUP(D7,原始分!$D:$N,5,0)</f>
        <v>124</v>
      </c>
      <c r="K7" s="174">
        <f t="shared" si="2"/>
        <v>6</v>
      </c>
      <c r="L7" s="174">
        <f>VLOOKUP(D7,原始分!$D:$N,6,0)</f>
        <v>76</v>
      </c>
      <c r="M7" s="174">
        <f t="shared" si="3"/>
        <v>27</v>
      </c>
      <c r="N7" s="174">
        <f>VLOOKUP(D7,原始分!$D:$N,7,0)</f>
        <v>0</v>
      </c>
      <c r="O7" s="174">
        <f t="shared" si="4"/>
        <v>1</v>
      </c>
      <c r="P7" s="174">
        <f>VLOOKUP(D7,原始分!$D:$N,8,0)</f>
        <v>62</v>
      </c>
      <c r="Q7" s="174">
        <f t="shared" si="5"/>
        <v>17</v>
      </c>
      <c r="R7" s="174">
        <f>VLOOKUP(D7,原始分!$D:$N,9,0)</f>
        <v>0</v>
      </c>
      <c r="S7" s="174">
        <f t="shared" si="6"/>
        <v>218</v>
      </c>
      <c r="T7" s="174">
        <f>VLOOKUP(D7,原始分!$D:$N,10,0)</f>
        <v>0</v>
      </c>
      <c r="U7" s="174">
        <f t="shared" si="7"/>
        <v>112</v>
      </c>
      <c r="V7" s="174">
        <f>VLOOKUP(D7,原始分!$D:$N,11,0)</f>
        <v>68</v>
      </c>
      <c r="W7" s="174">
        <f t="shared" si="8"/>
        <v>22</v>
      </c>
      <c r="X7" s="11">
        <f t="shared" si="9"/>
        <v>356</v>
      </c>
      <c r="Y7" s="9">
        <f t="shared" si="10"/>
        <v>7</v>
      </c>
      <c r="Z7" s="11">
        <f t="shared" si="11"/>
        <v>562</v>
      </c>
      <c r="AA7" s="9">
        <f t="shared" si="12"/>
        <v>5</v>
      </c>
    </row>
    <row r="8" ht="14.25" spans="1:27">
      <c r="A8" s="13">
        <v>430</v>
      </c>
      <c r="B8" s="15">
        <v>9</v>
      </c>
      <c r="C8" s="16">
        <v>46</v>
      </c>
      <c r="D8" s="17" t="s">
        <v>870</v>
      </c>
      <c r="E8" s="17" t="s">
        <v>871</v>
      </c>
      <c r="F8" s="174">
        <f>VLOOKUP(D8,原始分!$D:$N,3,0)</f>
        <v>110.25</v>
      </c>
      <c r="G8" s="174">
        <f t="shared" si="0"/>
        <v>23</v>
      </c>
      <c r="H8" s="174">
        <f>VLOOKUP(D8,原始分!$D:$N,4,0)</f>
        <v>134.5</v>
      </c>
      <c r="I8" s="174">
        <f t="shared" si="1"/>
        <v>5</v>
      </c>
      <c r="J8" s="174">
        <f>VLOOKUP(D8,原始分!$D:$N,5,0)</f>
        <v>114</v>
      </c>
      <c r="K8" s="174">
        <f t="shared" si="2"/>
        <v>66</v>
      </c>
      <c r="L8" s="174">
        <f>VLOOKUP(D8,原始分!$D:$N,6,0)</f>
        <v>76</v>
      </c>
      <c r="M8" s="174">
        <f t="shared" si="3"/>
        <v>27</v>
      </c>
      <c r="N8" s="174">
        <f>VLOOKUP(D8,原始分!$D:$N,7,0)</f>
        <v>0</v>
      </c>
      <c r="O8" s="174">
        <f t="shared" si="4"/>
        <v>1</v>
      </c>
      <c r="P8" s="174">
        <f>VLOOKUP(D8,原始分!$D:$N,8,0)</f>
        <v>44.5</v>
      </c>
      <c r="Q8" s="174">
        <f t="shared" si="5"/>
        <v>218</v>
      </c>
      <c r="R8" s="174">
        <f>VLOOKUP(D8,原始分!$D:$N,9,0)</f>
        <v>0</v>
      </c>
      <c r="S8" s="174">
        <f t="shared" si="6"/>
        <v>218</v>
      </c>
      <c r="T8" s="174">
        <f>VLOOKUP(D8,原始分!$D:$N,10,0)</f>
        <v>0</v>
      </c>
      <c r="U8" s="174">
        <f t="shared" si="7"/>
        <v>112</v>
      </c>
      <c r="V8" s="174">
        <f>VLOOKUP(D8,原始分!$D:$N,11,0)</f>
        <v>77</v>
      </c>
      <c r="W8" s="174">
        <f t="shared" si="8"/>
        <v>2</v>
      </c>
      <c r="X8" s="11">
        <f t="shared" si="9"/>
        <v>358.75</v>
      </c>
      <c r="Y8" s="9">
        <f t="shared" si="10"/>
        <v>3</v>
      </c>
      <c r="Z8" s="11">
        <f t="shared" si="11"/>
        <v>556.25</v>
      </c>
      <c r="AA8" s="9">
        <f t="shared" si="12"/>
        <v>6</v>
      </c>
    </row>
    <row r="9" ht="14.25" spans="1:27">
      <c r="A9" s="13">
        <v>437</v>
      </c>
      <c r="B9" s="15">
        <v>9</v>
      </c>
      <c r="C9" s="16">
        <v>53</v>
      </c>
      <c r="D9" s="17" t="s">
        <v>884</v>
      </c>
      <c r="E9" s="17" t="s">
        <v>885</v>
      </c>
      <c r="F9" s="174">
        <f>VLOOKUP(D9,原始分!$D:$N,3,0)</f>
        <v>105.5</v>
      </c>
      <c r="G9" s="174">
        <f t="shared" si="0"/>
        <v>96</v>
      </c>
      <c r="H9" s="174">
        <f>VLOOKUP(D9,原始分!$D:$N,4,0)</f>
        <v>128</v>
      </c>
      <c r="I9" s="174">
        <f t="shared" si="1"/>
        <v>19</v>
      </c>
      <c r="J9" s="174">
        <f>VLOOKUP(D9,原始分!$D:$N,5,0)</f>
        <v>115.5</v>
      </c>
      <c r="K9" s="174">
        <f t="shared" si="2"/>
        <v>48</v>
      </c>
      <c r="L9" s="174">
        <f>VLOOKUP(D9,原始分!$D:$N,6,0)</f>
        <v>71.5</v>
      </c>
      <c r="M9" s="174">
        <f t="shared" si="3"/>
        <v>55</v>
      </c>
      <c r="N9" s="174">
        <f>VLOOKUP(D9,原始分!$D:$N,7,0)</f>
        <v>0</v>
      </c>
      <c r="O9" s="174">
        <f t="shared" si="4"/>
        <v>1</v>
      </c>
      <c r="P9" s="174">
        <f>VLOOKUP(D9,原始分!$D:$N,8,0)</f>
        <v>57</v>
      </c>
      <c r="Q9" s="174">
        <f t="shared" si="5"/>
        <v>39</v>
      </c>
      <c r="R9" s="174">
        <f>VLOOKUP(D9,原始分!$D:$N,9,0)</f>
        <v>0</v>
      </c>
      <c r="S9" s="174">
        <f t="shared" si="6"/>
        <v>218</v>
      </c>
      <c r="T9" s="174">
        <f>VLOOKUP(D9,原始分!$D:$N,10,0)</f>
        <v>0</v>
      </c>
      <c r="U9" s="174">
        <f t="shared" si="7"/>
        <v>112</v>
      </c>
      <c r="V9" s="174">
        <f>VLOOKUP(D9,原始分!$D:$N,11,0)</f>
        <v>76</v>
      </c>
      <c r="W9" s="174">
        <f t="shared" si="8"/>
        <v>4</v>
      </c>
      <c r="X9" s="11">
        <f t="shared" si="9"/>
        <v>349</v>
      </c>
      <c r="Y9" s="9">
        <f t="shared" si="10"/>
        <v>13</v>
      </c>
      <c r="Z9" s="11">
        <f t="shared" si="11"/>
        <v>553.5</v>
      </c>
      <c r="AA9" s="9">
        <f t="shared" si="12"/>
        <v>7</v>
      </c>
    </row>
    <row r="10" ht="14.25" spans="1:27">
      <c r="A10" s="13">
        <v>403</v>
      </c>
      <c r="B10" s="15">
        <v>9</v>
      </c>
      <c r="C10" s="16">
        <v>18</v>
      </c>
      <c r="D10" s="17" t="s">
        <v>816</v>
      </c>
      <c r="E10" s="17" t="s">
        <v>817</v>
      </c>
      <c r="F10" s="174">
        <f>VLOOKUP(D10,原始分!$D:$N,3,0)</f>
        <v>104</v>
      </c>
      <c r="G10" s="174">
        <f t="shared" si="0"/>
        <v>130</v>
      </c>
      <c r="H10" s="174">
        <f>VLOOKUP(D10,原始分!$D:$N,4,0)</f>
        <v>132</v>
      </c>
      <c r="I10" s="174">
        <f t="shared" si="1"/>
        <v>7</v>
      </c>
      <c r="J10" s="174">
        <f>VLOOKUP(D10,原始分!$D:$N,5,0)</f>
        <v>118</v>
      </c>
      <c r="K10" s="174">
        <f t="shared" si="2"/>
        <v>33</v>
      </c>
      <c r="L10" s="174">
        <f>VLOOKUP(D10,原始分!$D:$N,6,0)</f>
        <v>80.5</v>
      </c>
      <c r="M10" s="174">
        <f t="shared" si="3"/>
        <v>10</v>
      </c>
      <c r="N10" s="174">
        <f>VLOOKUP(D10,原始分!$D:$N,7,0)</f>
        <v>0</v>
      </c>
      <c r="O10" s="174">
        <f t="shared" si="4"/>
        <v>1</v>
      </c>
      <c r="P10" s="174">
        <f>VLOOKUP(D10,原始分!$D:$N,8,0)</f>
        <v>54.5</v>
      </c>
      <c r="Q10" s="174">
        <f t="shared" si="5"/>
        <v>54</v>
      </c>
      <c r="R10" s="174">
        <f>VLOOKUP(D10,原始分!$D:$N,9,0)</f>
        <v>0</v>
      </c>
      <c r="S10" s="174">
        <f t="shared" si="6"/>
        <v>218</v>
      </c>
      <c r="T10" s="174">
        <f>VLOOKUP(D10,原始分!$D:$N,10,0)</f>
        <v>0</v>
      </c>
      <c r="U10" s="174">
        <f t="shared" si="7"/>
        <v>112</v>
      </c>
      <c r="V10" s="174">
        <f>VLOOKUP(D10,原始分!$D:$N,11,0)</f>
        <v>64</v>
      </c>
      <c r="W10" s="174">
        <f t="shared" si="8"/>
        <v>47</v>
      </c>
      <c r="X10" s="11">
        <f t="shared" si="9"/>
        <v>354</v>
      </c>
      <c r="Y10" s="9">
        <f t="shared" si="10"/>
        <v>9</v>
      </c>
      <c r="Z10" s="11">
        <f t="shared" si="11"/>
        <v>553</v>
      </c>
      <c r="AA10" s="9">
        <f t="shared" si="12"/>
        <v>8</v>
      </c>
    </row>
    <row r="11" ht="14.25" spans="1:27">
      <c r="A11" s="13">
        <v>402</v>
      </c>
      <c r="B11" s="15">
        <v>9</v>
      </c>
      <c r="C11" s="16">
        <v>17</v>
      </c>
      <c r="D11" s="17" t="s">
        <v>814</v>
      </c>
      <c r="E11" s="17" t="s">
        <v>815</v>
      </c>
      <c r="F11" s="174">
        <f>VLOOKUP(D11,原始分!$D:$N,3,0)</f>
        <v>107</v>
      </c>
      <c r="G11" s="174">
        <f t="shared" si="0"/>
        <v>64</v>
      </c>
      <c r="H11" s="174">
        <f>VLOOKUP(D11,原始分!$D:$N,4,0)</f>
        <v>137</v>
      </c>
      <c r="I11" s="174">
        <f t="shared" si="1"/>
        <v>2</v>
      </c>
      <c r="J11" s="174">
        <f>VLOOKUP(D11,原始分!$D:$N,5,0)</f>
        <v>102</v>
      </c>
      <c r="K11" s="174">
        <f t="shared" si="2"/>
        <v>209</v>
      </c>
      <c r="L11" s="174">
        <f>VLOOKUP(D11,原始分!$D:$N,6,0)</f>
        <v>77</v>
      </c>
      <c r="M11" s="174">
        <f t="shared" si="3"/>
        <v>20</v>
      </c>
      <c r="N11" s="174">
        <f>VLOOKUP(D11,原始分!$D:$N,7,0)</f>
        <v>0</v>
      </c>
      <c r="O11" s="174">
        <f t="shared" si="4"/>
        <v>1</v>
      </c>
      <c r="P11" s="174">
        <f>VLOOKUP(D11,原始分!$D:$N,8,0)</f>
        <v>70</v>
      </c>
      <c r="Q11" s="174">
        <f t="shared" si="5"/>
        <v>3</v>
      </c>
      <c r="R11" s="174">
        <f>VLOOKUP(D11,原始分!$D:$N,9,0)</f>
        <v>0</v>
      </c>
      <c r="S11" s="174">
        <f t="shared" si="6"/>
        <v>218</v>
      </c>
      <c r="T11" s="174">
        <f>VLOOKUP(D11,原始分!$D:$N,10,0)</f>
        <v>0</v>
      </c>
      <c r="U11" s="174">
        <f t="shared" si="7"/>
        <v>112</v>
      </c>
      <c r="V11" s="174">
        <f>VLOOKUP(D11,原始分!$D:$N,11,0)</f>
        <v>59.5</v>
      </c>
      <c r="W11" s="174">
        <f t="shared" si="8"/>
        <v>85</v>
      </c>
      <c r="X11" s="11">
        <f t="shared" si="9"/>
        <v>346</v>
      </c>
      <c r="Y11" s="9">
        <f t="shared" si="10"/>
        <v>17</v>
      </c>
      <c r="Z11" s="11">
        <f t="shared" si="11"/>
        <v>552.5</v>
      </c>
      <c r="AA11" s="9">
        <f t="shared" si="12"/>
        <v>9</v>
      </c>
    </row>
    <row r="12" ht="14.25" spans="1:27">
      <c r="A12" s="13">
        <v>493</v>
      </c>
      <c r="B12" s="15">
        <v>10</v>
      </c>
      <c r="C12" s="16">
        <v>54</v>
      </c>
      <c r="D12" s="17" t="s">
        <v>996</v>
      </c>
      <c r="E12" s="17" t="s">
        <v>997</v>
      </c>
      <c r="F12" s="174">
        <f>VLOOKUP(D12,原始分!$D:$N,3,0)</f>
        <v>108.5</v>
      </c>
      <c r="G12" s="174">
        <f t="shared" si="0"/>
        <v>40</v>
      </c>
      <c r="H12" s="174">
        <f>VLOOKUP(D12,原始分!$D:$N,4,0)</f>
        <v>121.5</v>
      </c>
      <c r="I12" s="174">
        <f t="shared" si="1"/>
        <v>49</v>
      </c>
      <c r="J12" s="174">
        <f>VLOOKUP(D12,原始分!$D:$N,5,0)</f>
        <v>121.75</v>
      </c>
      <c r="K12" s="174">
        <f t="shared" si="2"/>
        <v>13</v>
      </c>
      <c r="L12" s="174">
        <f>VLOOKUP(D12,原始分!$D:$N,6,0)</f>
        <v>84.5</v>
      </c>
      <c r="M12" s="174">
        <f t="shared" si="3"/>
        <v>3</v>
      </c>
      <c r="N12" s="174">
        <f>VLOOKUP(D12,原始分!$D:$N,7,0)</f>
        <v>0</v>
      </c>
      <c r="O12" s="174">
        <f t="shared" si="4"/>
        <v>1</v>
      </c>
      <c r="P12" s="174">
        <f>VLOOKUP(D12,原始分!$D:$N,8,0)</f>
        <v>57</v>
      </c>
      <c r="Q12" s="174">
        <f t="shared" si="5"/>
        <v>39</v>
      </c>
      <c r="R12" s="174">
        <f>VLOOKUP(D12,原始分!$D:$N,9,0)</f>
        <v>0</v>
      </c>
      <c r="S12" s="174">
        <f t="shared" si="6"/>
        <v>218</v>
      </c>
      <c r="T12" s="174">
        <f>VLOOKUP(D12,原始分!$D:$N,10,0)</f>
        <v>0</v>
      </c>
      <c r="U12" s="174">
        <f t="shared" si="7"/>
        <v>112</v>
      </c>
      <c r="V12" s="174">
        <f>VLOOKUP(D12,原始分!$D:$N,11,0)</f>
        <v>59</v>
      </c>
      <c r="W12" s="174">
        <f t="shared" si="8"/>
        <v>90</v>
      </c>
      <c r="X12" s="11">
        <f t="shared" si="9"/>
        <v>351.75</v>
      </c>
      <c r="Y12" s="9">
        <f t="shared" si="10"/>
        <v>10</v>
      </c>
      <c r="Z12" s="11">
        <f t="shared" si="11"/>
        <v>552.25</v>
      </c>
      <c r="AA12" s="9">
        <f t="shared" si="12"/>
        <v>10</v>
      </c>
    </row>
    <row r="13" ht="14.25" spans="1:27">
      <c r="A13" s="13">
        <v>495</v>
      </c>
      <c r="B13" s="15">
        <v>10</v>
      </c>
      <c r="C13" s="16">
        <v>56</v>
      </c>
      <c r="D13" s="17" t="s">
        <v>1000</v>
      </c>
      <c r="E13" s="17" t="s">
        <v>1001</v>
      </c>
      <c r="F13" s="174">
        <f>VLOOKUP(D13,原始分!$D:$N,3,0)</f>
        <v>99</v>
      </c>
      <c r="G13" s="174">
        <f t="shared" si="0"/>
        <v>304</v>
      </c>
      <c r="H13" s="174">
        <f>VLOOKUP(D13,原始分!$D:$N,4,0)</f>
        <v>136</v>
      </c>
      <c r="I13" s="174">
        <f t="shared" si="1"/>
        <v>3</v>
      </c>
      <c r="J13" s="174">
        <f>VLOOKUP(D13,原始分!$D:$N,5,0)</f>
        <v>107</v>
      </c>
      <c r="K13" s="174">
        <f t="shared" si="2"/>
        <v>139</v>
      </c>
      <c r="L13" s="174">
        <f>VLOOKUP(D13,原始分!$D:$N,6,0)</f>
        <v>89</v>
      </c>
      <c r="M13" s="174">
        <f t="shared" si="3"/>
        <v>1</v>
      </c>
      <c r="N13" s="174">
        <f>VLOOKUP(D13,原始分!$D:$N,7,0)</f>
        <v>0</v>
      </c>
      <c r="O13" s="174">
        <f t="shared" si="4"/>
        <v>1</v>
      </c>
      <c r="P13" s="174">
        <f>VLOOKUP(D13,原始分!$D:$N,8,0)</f>
        <v>61</v>
      </c>
      <c r="Q13" s="174">
        <f t="shared" si="5"/>
        <v>21</v>
      </c>
      <c r="R13" s="174">
        <f>VLOOKUP(D13,原始分!$D:$N,9,0)</f>
        <v>0</v>
      </c>
      <c r="S13" s="174">
        <f t="shared" si="6"/>
        <v>218</v>
      </c>
      <c r="T13" s="174">
        <f>VLOOKUP(D13,原始分!$D:$N,10,0)</f>
        <v>0</v>
      </c>
      <c r="U13" s="174">
        <f t="shared" si="7"/>
        <v>112</v>
      </c>
      <c r="V13" s="174">
        <f>VLOOKUP(D13,原始分!$D:$N,11,0)</f>
        <v>60</v>
      </c>
      <c r="W13" s="174">
        <f t="shared" si="8"/>
        <v>79</v>
      </c>
      <c r="X13" s="11">
        <f t="shared" si="9"/>
        <v>342</v>
      </c>
      <c r="Y13" s="9">
        <f t="shared" si="10"/>
        <v>25</v>
      </c>
      <c r="Z13" s="11">
        <f t="shared" si="11"/>
        <v>552</v>
      </c>
      <c r="AA13" s="9">
        <f t="shared" si="12"/>
        <v>11</v>
      </c>
    </row>
    <row r="14" ht="14.25" spans="1:27">
      <c r="A14" s="13">
        <v>435</v>
      </c>
      <c r="B14" s="15">
        <v>9</v>
      </c>
      <c r="C14" s="16">
        <v>51</v>
      </c>
      <c r="D14" s="19" t="s">
        <v>880</v>
      </c>
      <c r="E14" s="17" t="s">
        <v>881</v>
      </c>
      <c r="F14" s="174">
        <f>VLOOKUP(D14,原始分!$D:$N,3,0)</f>
        <v>106.25</v>
      </c>
      <c r="G14" s="174">
        <f t="shared" si="0"/>
        <v>83</v>
      </c>
      <c r="H14" s="174">
        <f>VLOOKUP(D14,原始分!$D:$N,4,0)</f>
        <v>129.5</v>
      </c>
      <c r="I14" s="174">
        <f t="shared" si="1"/>
        <v>16</v>
      </c>
      <c r="J14" s="174">
        <f>VLOOKUP(D14,原始分!$D:$N,5,0)</f>
        <v>118.75</v>
      </c>
      <c r="K14" s="174">
        <f t="shared" si="2"/>
        <v>30</v>
      </c>
      <c r="L14" s="174">
        <f>VLOOKUP(D14,原始分!$D:$N,6,0)</f>
        <v>74.5</v>
      </c>
      <c r="M14" s="174">
        <f t="shared" si="3"/>
        <v>38</v>
      </c>
      <c r="N14" s="174">
        <f>VLOOKUP(D14,原始分!$D:$N,7,0)</f>
        <v>0</v>
      </c>
      <c r="O14" s="174">
        <f t="shared" si="4"/>
        <v>1</v>
      </c>
      <c r="P14" s="174">
        <f>VLOOKUP(D14,原始分!$D:$N,8,0)</f>
        <v>62</v>
      </c>
      <c r="Q14" s="174">
        <f t="shared" si="5"/>
        <v>17</v>
      </c>
      <c r="R14" s="174">
        <f>VLOOKUP(D14,原始分!$D:$N,9,0)</f>
        <v>0</v>
      </c>
      <c r="S14" s="174">
        <f t="shared" si="6"/>
        <v>218</v>
      </c>
      <c r="T14" s="174">
        <f>VLOOKUP(D14,原始分!$D:$N,10,0)</f>
        <v>0</v>
      </c>
      <c r="U14" s="174">
        <f t="shared" si="7"/>
        <v>112</v>
      </c>
      <c r="V14" s="174">
        <f>VLOOKUP(D14,原始分!$D:$N,11,0)</f>
        <v>60</v>
      </c>
      <c r="W14" s="174">
        <f t="shared" si="8"/>
        <v>79</v>
      </c>
      <c r="X14" s="11">
        <f t="shared" si="9"/>
        <v>354.5</v>
      </c>
      <c r="Y14" s="9">
        <f t="shared" si="10"/>
        <v>8</v>
      </c>
      <c r="Z14" s="11">
        <f t="shared" si="11"/>
        <v>551</v>
      </c>
      <c r="AA14" s="9">
        <f t="shared" si="12"/>
        <v>12</v>
      </c>
    </row>
    <row r="15" ht="14.25" spans="1:27">
      <c r="A15" s="13">
        <v>492</v>
      </c>
      <c r="B15" s="15">
        <v>10</v>
      </c>
      <c r="C15" s="16">
        <v>53</v>
      </c>
      <c r="D15" s="17" t="s">
        <v>994</v>
      </c>
      <c r="E15" s="17" t="s">
        <v>995</v>
      </c>
      <c r="F15" s="174">
        <f>VLOOKUP(D15,原始分!$D:$N,3,0)</f>
        <v>102.5</v>
      </c>
      <c r="G15" s="174">
        <f t="shared" si="0"/>
        <v>183</v>
      </c>
      <c r="H15" s="174">
        <f>VLOOKUP(D15,原始分!$D:$N,4,0)</f>
        <v>116.5</v>
      </c>
      <c r="I15" s="174">
        <f t="shared" si="1"/>
        <v>93</v>
      </c>
      <c r="J15" s="174">
        <f>VLOOKUP(D15,原始分!$D:$N,5,0)</f>
        <v>114.75</v>
      </c>
      <c r="K15" s="174">
        <f t="shared" si="2"/>
        <v>56</v>
      </c>
      <c r="L15" s="174">
        <f>VLOOKUP(D15,原始分!$D:$N,6,0)</f>
        <v>83</v>
      </c>
      <c r="M15" s="174">
        <f t="shared" si="3"/>
        <v>6</v>
      </c>
      <c r="N15" s="174">
        <f>VLOOKUP(D15,原始分!$D:$N,7,0)</f>
        <v>0</v>
      </c>
      <c r="O15" s="174">
        <f t="shared" si="4"/>
        <v>1</v>
      </c>
      <c r="P15" s="174">
        <f>VLOOKUP(D15,原始分!$D:$N,8,0)</f>
        <v>57</v>
      </c>
      <c r="Q15" s="174">
        <f t="shared" si="5"/>
        <v>39</v>
      </c>
      <c r="R15" s="174">
        <f>VLOOKUP(D15,原始分!$D:$N,9,0)</f>
        <v>0</v>
      </c>
      <c r="S15" s="174">
        <f t="shared" si="6"/>
        <v>218</v>
      </c>
      <c r="T15" s="174">
        <f>VLOOKUP(D15,原始分!$D:$N,10,0)</f>
        <v>0</v>
      </c>
      <c r="U15" s="174">
        <f t="shared" si="7"/>
        <v>112</v>
      </c>
      <c r="V15" s="174">
        <f>VLOOKUP(D15,原始分!$D:$N,11,0)</f>
        <v>73</v>
      </c>
      <c r="W15" s="174">
        <f t="shared" si="8"/>
        <v>10</v>
      </c>
      <c r="X15" s="11">
        <f t="shared" si="9"/>
        <v>333.75</v>
      </c>
      <c r="Y15" s="9">
        <f t="shared" si="10"/>
        <v>54</v>
      </c>
      <c r="Z15" s="11">
        <f t="shared" si="11"/>
        <v>546.75</v>
      </c>
      <c r="AA15" s="9">
        <f t="shared" si="12"/>
        <v>13</v>
      </c>
    </row>
    <row r="16" ht="14.25" spans="1:27">
      <c r="A16" s="13">
        <v>428</v>
      </c>
      <c r="B16" s="15">
        <v>9</v>
      </c>
      <c r="C16" s="16">
        <v>44</v>
      </c>
      <c r="D16" s="17" t="s">
        <v>866</v>
      </c>
      <c r="E16" s="17" t="s">
        <v>867</v>
      </c>
      <c r="F16" s="174">
        <f>VLOOKUP(D16,原始分!$D:$N,3,0)</f>
        <v>101</v>
      </c>
      <c r="G16" s="174">
        <f t="shared" si="0"/>
        <v>224</v>
      </c>
      <c r="H16" s="174">
        <f>VLOOKUP(D16,原始分!$D:$N,4,0)</f>
        <v>124</v>
      </c>
      <c r="I16" s="174">
        <f t="shared" si="1"/>
        <v>36</v>
      </c>
      <c r="J16" s="174">
        <f>VLOOKUP(D16,原始分!$D:$N,5,0)</f>
        <v>98.75</v>
      </c>
      <c r="K16" s="174">
        <f t="shared" si="2"/>
        <v>275</v>
      </c>
      <c r="L16" s="174">
        <f>VLOOKUP(D16,原始分!$D:$N,6,0)</f>
        <v>76</v>
      </c>
      <c r="M16" s="174">
        <f t="shared" si="3"/>
        <v>27</v>
      </c>
      <c r="N16" s="174">
        <f>VLOOKUP(D16,原始分!$D:$N,7,0)</f>
        <v>0</v>
      </c>
      <c r="O16" s="174">
        <f t="shared" si="4"/>
        <v>1</v>
      </c>
      <c r="P16" s="174">
        <f>VLOOKUP(D16,原始分!$D:$N,8,0)</f>
        <v>66</v>
      </c>
      <c r="Q16" s="174">
        <f t="shared" si="5"/>
        <v>9</v>
      </c>
      <c r="R16" s="174">
        <f>VLOOKUP(D16,原始分!$D:$N,9,0)</f>
        <v>0</v>
      </c>
      <c r="S16" s="174">
        <f t="shared" si="6"/>
        <v>218</v>
      </c>
      <c r="T16" s="174">
        <f>VLOOKUP(D16,原始分!$D:$N,10,0)</f>
        <v>0</v>
      </c>
      <c r="U16" s="174">
        <f t="shared" si="7"/>
        <v>112</v>
      </c>
      <c r="V16" s="174">
        <f>VLOOKUP(D16,原始分!$D:$N,11,0)</f>
        <v>78</v>
      </c>
      <c r="W16" s="174">
        <f t="shared" si="8"/>
        <v>1</v>
      </c>
      <c r="X16" s="11">
        <f t="shared" si="9"/>
        <v>323.75</v>
      </c>
      <c r="Y16" s="9">
        <f t="shared" si="10"/>
        <v>93</v>
      </c>
      <c r="Z16" s="11">
        <f t="shared" si="11"/>
        <v>543.75</v>
      </c>
      <c r="AA16" s="9">
        <f t="shared" si="12"/>
        <v>14</v>
      </c>
    </row>
    <row r="17" ht="14.25" spans="1:27">
      <c r="A17" s="13">
        <v>418</v>
      </c>
      <c r="B17" s="15">
        <v>9</v>
      </c>
      <c r="C17" s="16">
        <v>34</v>
      </c>
      <c r="D17" s="17" t="s">
        <v>846</v>
      </c>
      <c r="E17" s="17" t="s">
        <v>847</v>
      </c>
      <c r="F17" s="174">
        <f>VLOOKUP(D17,原始分!$D:$N,3,0)</f>
        <v>113.5</v>
      </c>
      <c r="G17" s="174">
        <f t="shared" si="0"/>
        <v>10</v>
      </c>
      <c r="H17" s="174">
        <f>VLOOKUP(D17,原始分!$D:$N,4,0)</f>
        <v>112</v>
      </c>
      <c r="I17" s="174">
        <f t="shared" si="1"/>
        <v>160</v>
      </c>
      <c r="J17" s="174">
        <f>VLOOKUP(D17,原始分!$D:$N,5,0)</f>
        <v>138.75</v>
      </c>
      <c r="K17" s="174">
        <f t="shared" si="2"/>
        <v>1</v>
      </c>
      <c r="L17" s="174">
        <f>VLOOKUP(D17,原始分!$D:$N,6,0)</f>
        <v>66</v>
      </c>
      <c r="M17" s="174">
        <f t="shared" si="3"/>
        <v>97</v>
      </c>
      <c r="N17" s="174">
        <f>VLOOKUP(D17,原始分!$D:$N,7,0)</f>
        <v>0</v>
      </c>
      <c r="O17" s="174">
        <f t="shared" si="4"/>
        <v>1</v>
      </c>
      <c r="P17" s="174">
        <f>VLOOKUP(D17,原始分!$D:$N,8,0)</f>
        <v>43.5</v>
      </c>
      <c r="Q17" s="174">
        <f t="shared" si="5"/>
        <v>241</v>
      </c>
      <c r="R17" s="174">
        <f>VLOOKUP(D17,原始分!$D:$N,9,0)</f>
        <v>0</v>
      </c>
      <c r="S17" s="174">
        <f t="shared" si="6"/>
        <v>218</v>
      </c>
      <c r="T17" s="174">
        <f>VLOOKUP(D17,原始分!$D:$N,10,0)</f>
        <v>0</v>
      </c>
      <c r="U17" s="174">
        <f t="shared" si="7"/>
        <v>112</v>
      </c>
      <c r="V17" s="174">
        <f>VLOOKUP(D17,原始分!$D:$N,11,0)</f>
        <v>64.5</v>
      </c>
      <c r="W17" s="174">
        <f t="shared" si="8"/>
        <v>38</v>
      </c>
      <c r="X17" s="11">
        <f t="shared" si="9"/>
        <v>364.25</v>
      </c>
      <c r="Y17" s="9">
        <f t="shared" si="10"/>
        <v>2</v>
      </c>
      <c r="Z17" s="11">
        <f t="shared" si="11"/>
        <v>538.25</v>
      </c>
      <c r="AA17" s="9">
        <f t="shared" si="12"/>
        <v>15</v>
      </c>
    </row>
    <row r="18" ht="14.25" spans="1:27">
      <c r="A18" s="13">
        <v>410</v>
      </c>
      <c r="B18" s="15">
        <v>9</v>
      </c>
      <c r="C18" s="16">
        <v>26</v>
      </c>
      <c r="D18" s="17" t="s">
        <v>830</v>
      </c>
      <c r="E18" s="17" t="s">
        <v>831</v>
      </c>
      <c r="F18" s="174">
        <f>VLOOKUP(D18,原始分!$D:$N,3,0)</f>
        <v>108.5</v>
      </c>
      <c r="G18" s="174">
        <f t="shared" si="0"/>
        <v>40</v>
      </c>
      <c r="H18" s="174">
        <f>VLOOKUP(D18,原始分!$D:$N,4,0)</f>
        <v>130</v>
      </c>
      <c r="I18" s="174">
        <f t="shared" si="1"/>
        <v>14</v>
      </c>
      <c r="J18" s="174">
        <f>VLOOKUP(D18,原始分!$D:$N,5,0)</f>
        <v>107.5</v>
      </c>
      <c r="K18" s="174">
        <f t="shared" si="2"/>
        <v>130</v>
      </c>
      <c r="L18" s="174">
        <f>VLOOKUP(D18,原始分!$D:$N,6,0)</f>
        <v>69.5</v>
      </c>
      <c r="M18" s="174">
        <f t="shared" si="3"/>
        <v>67</v>
      </c>
      <c r="N18" s="174">
        <f>VLOOKUP(D18,原始分!$D:$N,7,0)</f>
        <v>0</v>
      </c>
      <c r="O18" s="174">
        <f t="shared" si="4"/>
        <v>1</v>
      </c>
      <c r="P18" s="174">
        <f>VLOOKUP(D18,原始分!$D:$N,8,0)</f>
        <v>57</v>
      </c>
      <c r="Q18" s="174">
        <f t="shared" si="5"/>
        <v>39</v>
      </c>
      <c r="R18" s="174">
        <f>VLOOKUP(D18,原始分!$D:$N,9,0)</f>
        <v>0</v>
      </c>
      <c r="S18" s="174">
        <f t="shared" si="6"/>
        <v>218</v>
      </c>
      <c r="T18" s="174">
        <f>VLOOKUP(D18,原始分!$D:$N,10,0)</f>
        <v>0</v>
      </c>
      <c r="U18" s="174">
        <f t="shared" si="7"/>
        <v>112</v>
      </c>
      <c r="V18" s="174">
        <f>VLOOKUP(D18,原始分!$D:$N,11,0)</f>
        <v>63.5</v>
      </c>
      <c r="W18" s="174">
        <f t="shared" si="8"/>
        <v>52</v>
      </c>
      <c r="X18" s="11">
        <f t="shared" si="9"/>
        <v>346</v>
      </c>
      <c r="Y18" s="9">
        <f t="shared" si="10"/>
        <v>17</v>
      </c>
      <c r="Z18" s="11">
        <f t="shared" si="11"/>
        <v>536</v>
      </c>
      <c r="AA18" s="9">
        <f t="shared" si="12"/>
        <v>16</v>
      </c>
    </row>
    <row r="19" ht="14.25" spans="1:27">
      <c r="A19" s="13">
        <v>400</v>
      </c>
      <c r="B19" s="15">
        <v>9</v>
      </c>
      <c r="C19" s="16">
        <v>15</v>
      </c>
      <c r="D19" s="17" t="s">
        <v>810</v>
      </c>
      <c r="E19" s="17" t="s">
        <v>811</v>
      </c>
      <c r="F19" s="174">
        <f>VLOOKUP(D19,原始分!$D:$N,3,0)</f>
        <v>99</v>
      </c>
      <c r="G19" s="174">
        <f t="shared" si="0"/>
        <v>304</v>
      </c>
      <c r="H19" s="174">
        <f>VLOOKUP(D19,原始分!$D:$N,4,0)</f>
        <v>124.5</v>
      </c>
      <c r="I19" s="174">
        <f t="shared" si="1"/>
        <v>34</v>
      </c>
      <c r="J19" s="174">
        <f>VLOOKUP(D19,原始分!$D:$N,5,0)</f>
        <v>118.75</v>
      </c>
      <c r="K19" s="174">
        <f t="shared" si="2"/>
        <v>30</v>
      </c>
      <c r="L19" s="174">
        <f>VLOOKUP(D19,原始分!$D:$N,6,0)</f>
        <v>71.5</v>
      </c>
      <c r="M19" s="174">
        <f t="shared" si="3"/>
        <v>55</v>
      </c>
      <c r="N19" s="174">
        <f>VLOOKUP(D19,原始分!$D:$N,7,0)</f>
        <v>0</v>
      </c>
      <c r="O19" s="174">
        <f t="shared" si="4"/>
        <v>1</v>
      </c>
      <c r="P19" s="174">
        <f>VLOOKUP(D19,原始分!$D:$N,8,0)</f>
        <v>61</v>
      </c>
      <c r="Q19" s="174">
        <f t="shared" si="5"/>
        <v>21</v>
      </c>
      <c r="R19" s="174">
        <f>VLOOKUP(D19,原始分!$D:$N,9,0)</f>
        <v>0</v>
      </c>
      <c r="S19" s="174">
        <f t="shared" si="6"/>
        <v>218</v>
      </c>
      <c r="T19" s="174">
        <f>VLOOKUP(D19,原始分!$D:$N,10,0)</f>
        <v>0</v>
      </c>
      <c r="U19" s="174">
        <f t="shared" si="7"/>
        <v>112</v>
      </c>
      <c r="V19" s="174">
        <f>VLOOKUP(D19,原始分!$D:$N,11,0)</f>
        <v>60.5</v>
      </c>
      <c r="W19" s="174">
        <f t="shared" si="8"/>
        <v>74</v>
      </c>
      <c r="X19" s="11">
        <f t="shared" si="9"/>
        <v>342.25</v>
      </c>
      <c r="Y19" s="9">
        <f t="shared" si="10"/>
        <v>24</v>
      </c>
      <c r="Z19" s="11">
        <f t="shared" si="11"/>
        <v>535.25</v>
      </c>
      <c r="AA19" s="9">
        <f t="shared" si="12"/>
        <v>17</v>
      </c>
    </row>
    <row r="20" ht="14.25" spans="1:27">
      <c r="A20" s="13">
        <v>388</v>
      </c>
      <c r="B20" s="15">
        <v>9</v>
      </c>
      <c r="C20" s="16">
        <v>3</v>
      </c>
      <c r="D20" s="17" t="s">
        <v>786</v>
      </c>
      <c r="E20" s="17" t="s">
        <v>787</v>
      </c>
      <c r="F20" s="174">
        <f>VLOOKUP(D20,原始分!$D:$N,3,0)</f>
        <v>110.5</v>
      </c>
      <c r="G20" s="174">
        <f t="shared" si="0"/>
        <v>20</v>
      </c>
      <c r="H20" s="174">
        <f>VLOOKUP(D20,原始分!$D:$N,4,0)</f>
        <v>112</v>
      </c>
      <c r="I20" s="174">
        <f t="shared" si="1"/>
        <v>160</v>
      </c>
      <c r="J20" s="174">
        <f>VLOOKUP(D20,原始分!$D:$N,5,0)</f>
        <v>127.5</v>
      </c>
      <c r="K20" s="174">
        <f t="shared" si="2"/>
        <v>4</v>
      </c>
      <c r="L20" s="174">
        <f>VLOOKUP(D20,原始分!$D:$N,6,0)</f>
        <v>70.5</v>
      </c>
      <c r="M20" s="174">
        <f t="shared" si="3"/>
        <v>64</v>
      </c>
      <c r="N20" s="174">
        <f>VLOOKUP(D20,原始分!$D:$N,7,0)</f>
        <v>0</v>
      </c>
      <c r="O20" s="174">
        <f t="shared" si="4"/>
        <v>1</v>
      </c>
      <c r="P20" s="174">
        <f>VLOOKUP(D20,原始分!$D:$N,8,0)</f>
        <v>53</v>
      </c>
      <c r="Q20" s="174">
        <f t="shared" si="5"/>
        <v>69</v>
      </c>
      <c r="R20" s="174">
        <f>VLOOKUP(D20,原始分!$D:$N,9,0)</f>
        <v>0</v>
      </c>
      <c r="S20" s="174">
        <f t="shared" si="6"/>
        <v>218</v>
      </c>
      <c r="T20" s="174">
        <f>VLOOKUP(D20,原始分!$D:$N,10,0)</f>
        <v>0</v>
      </c>
      <c r="U20" s="174">
        <f t="shared" si="7"/>
        <v>112</v>
      </c>
      <c r="V20" s="174">
        <f>VLOOKUP(D20,原始分!$D:$N,11,0)</f>
        <v>61.5</v>
      </c>
      <c r="W20" s="174">
        <f t="shared" si="8"/>
        <v>65</v>
      </c>
      <c r="X20" s="11">
        <f t="shared" si="9"/>
        <v>350</v>
      </c>
      <c r="Y20" s="9">
        <f t="shared" si="10"/>
        <v>11</v>
      </c>
      <c r="Z20" s="11">
        <f t="shared" si="11"/>
        <v>535</v>
      </c>
      <c r="AA20" s="9">
        <f t="shared" si="12"/>
        <v>18</v>
      </c>
    </row>
    <row r="21" ht="14.25" spans="1:27">
      <c r="A21" s="13">
        <v>375</v>
      </c>
      <c r="B21" s="15">
        <v>8</v>
      </c>
      <c r="C21" s="16">
        <v>49</v>
      </c>
      <c r="D21" s="17" t="s">
        <v>760</v>
      </c>
      <c r="E21" s="17" t="s">
        <v>761</v>
      </c>
      <c r="F21" s="174">
        <f>VLOOKUP(D21,原始分!$D:$N,3,0)</f>
        <v>108.5</v>
      </c>
      <c r="G21" s="174">
        <f t="shared" si="0"/>
        <v>40</v>
      </c>
      <c r="H21" s="174">
        <f>VLOOKUP(D21,原始分!$D:$N,4,0)</f>
        <v>120</v>
      </c>
      <c r="I21" s="174">
        <f t="shared" si="1"/>
        <v>61</v>
      </c>
      <c r="J21" s="174">
        <f>VLOOKUP(D21,原始分!$D:$N,5,0)</f>
        <v>115.5</v>
      </c>
      <c r="K21" s="174">
        <f t="shared" si="2"/>
        <v>48</v>
      </c>
      <c r="L21" s="174">
        <f>VLOOKUP(D21,原始分!$D:$N,6,0)</f>
        <v>66.5</v>
      </c>
      <c r="M21" s="174">
        <f t="shared" si="3"/>
        <v>88</v>
      </c>
      <c r="N21" s="174">
        <f>VLOOKUP(D21,原始分!$D:$N,7,0)</f>
        <v>0</v>
      </c>
      <c r="O21" s="174">
        <f t="shared" si="4"/>
        <v>1</v>
      </c>
      <c r="P21" s="174">
        <f>VLOOKUP(D21,原始分!$D:$N,8,0)</f>
        <v>60.5</v>
      </c>
      <c r="Q21" s="174">
        <f t="shared" si="5"/>
        <v>25</v>
      </c>
      <c r="R21" s="174">
        <f>VLOOKUP(D21,原始分!$D:$N,9,0)</f>
        <v>0</v>
      </c>
      <c r="S21" s="174">
        <f t="shared" si="6"/>
        <v>218</v>
      </c>
      <c r="T21" s="174">
        <f>VLOOKUP(D21,原始分!$D:$N,10,0)</f>
        <v>0</v>
      </c>
      <c r="U21" s="174">
        <f t="shared" si="7"/>
        <v>112</v>
      </c>
      <c r="V21" s="174">
        <f>VLOOKUP(D21,原始分!$D:$N,11,0)</f>
        <v>62.5</v>
      </c>
      <c r="W21" s="174">
        <f t="shared" si="8"/>
        <v>56</v>
      </c>
      <c r="X21" s="11">
        <f t="shared" si="9"/>
        <v>344</v>
      </c>
      <c r="Y21" s="9">
        <f t="shared" si="10"/>
        <v>20</v>
      </c>
      <c r="Z21" s="11">
        <f t="shared" si="11"/>
        <v>533.5</v>
      </c>
      <c r="AA21" s="9">
        <f t="shared" si="12"/>
        <v>19</v>
      </c>
    </row>
    <row r="22" ht="14.25" spans="1:27">
      <c r="A22" s="13">
        <v>422</v>
      </c>
      <c r="B22" s="15">
        <v>9</v>
      </c>
      <c r="C22" s="16">
        <v>38</v>
      </c>
      <c r="D22" s="17" t="s">
        <v>854</v>
      </c>
      <c r="E22" s="17" t="s">
        <v>855</v>
      </c>
      <c r="F22" s="174">
        <f>VLOOKUP(D22,原始分!$D:$N,3,0)</f>
        <v>102</v>
      </c>
      <c r="G22" s="174">
        <f t="shared" si="0"/>
        <v>199</v>
      </c>
      <c r="H22" s="174">
        <f>VLOOKUP(D22,原始分!$D:$N,4,0)</f>
        <v>125</v>
      </c>
      <c r="I22" s="174">
        <f t="shared" si="1"/>
        <v>31</v>
      </c>
      <c r="J22" s="174">
        <f>VLOOKUP(D22,原始分!$D:$N,5,0)</f>
        <v>121.25</v>
      </c>
      <c r="K22" s="174">
        <f t="shared" si="2"/>
        <v>17</v>
      </c>
      <c r="L22" s="174">
        <f>VLOOKUP(D22,原始分!$D:$N,6,0)</f>
        <v>82.5</v>
      </c>
      <c r="M22" s="174">
        <f t="shared" si="3"/>
        <v>7</v>
      </c>
      <c r="N22" s="174">
        <f>VLOOKUP(D22,原始分!$D:$N,7,0)</f>
        <v>0</v>
      </c>
      <c r="O22" s="174">
        <f t="shared" si="4"/>
        <v>1</v>
      </c>
      <c r="P22" s="174">
        <f>VLOOKUP(D22,原始分!$D:$N,8,0)</f>
        <v>47</v>
      </c>
      <c r="Q22" s="174">
        <f t="shared" si="5"/>
        <v>172</v>
      </c>
      <c r="R22" s="174">
        <f>VLOOKUP(D22,原始分!$D:$N,9,0)</f>
        <v>0</v>
      </c>
      <c r="S22" s="174">
        <f t="shared" si="6"/>
        <v>218</v>
      </c>
      <c r="T22" s="174">
        <f>VLOOKUP(D22,原始分!$D:$N,10,0)</f>
        <v>0</v>
      </c>
      <c r="U22" s="174">
        <f t="shared" si="7"/>
        <v>112</v>
      </c>
      <c r="V22" s="174">
        <f>VLOOKUP(D22,原始分!$D:$N,11,0)</f>
        <v>55.5</v>
      </c>
      <c r="W22" s="174">
        <f t="shared" si="8"/>
        <v>139</v>
      </c>
      <c r="X22" s="11">
        <f t="shared" si="9"/>
        <v>348.25</v>
      </c>
      <c r="Y22" s="9">
        <f t="shared" si="10"/>
        <v>15</v>
      </c>
      <c r="Z22" s="11">
        <f t="shared" si="11"/>
        <v>533.25</v>
      </c>
      <c r="AA22" s="9">
        <f t="shared" si="12"/>
        <v>20</v>
      </c>
    </row>
    <row r="23" ht="14.25" spans="1:27">
      <c r="A23" s="13">
        <v>398</v>
      </c>
      <c r="B23" s="15">
        <v>9</v>
      </c>
      <c r="C23" s="16">
        <v>13</v>
      </c>
      <c r="D23" s="17" t="s">
        <v>806</v>
      </c>
      <c r="E23" s="17" t="s">
        <v>807</v>
      </c>
      <c r="F23" s="174">
        <f>VLOOKUP(D23,原始分!$D:$N,3,0)</f>
        <v>108</v>
      </c>
      <c r="G23" s="174">
        <f t="shared" si="0"/>
        <v>44</v>
      </c>
      <c r="H23" s="174">
        <f>VLOOKUP(D23,原始分!$D:$N,4,0)</f>
        <v>118.5</v>
      </c>
      <c r="I23" s="174">
        <f t="shared" si="1"/>
        <v>74</v>
      </c>
      <c r="J23" s="174">
        <f>VLOOKUP(D23,原始分!$D:$N,5,0)</f>
        <v>122.5</v>
      </c>
      <c r="K23" s="174">
        <f t="shared" si="2"/>
        <v>7</v>
      </c>
      <c r="L23" s="174">
        <f>VLOOKUP(D23,原始分!$D:$N,6,0)</f>
        <v>76.5</v>
      </c>
      <c r="M23" s="174">
        <f t="shared" si="3"/>
        <v>22</v>
      </c>
      <c r="N23" s="174">
        <f>VLOOKUP(D23,原始分!$D:$N,7,0)</f>
        <v>0</v>
      </c>
      <c r="O23" s="174">
        <f t="shared" si="4"/>
        <v>1</v>
      </c>
      <c r="P23" s="174">
        <f>VLOOKUP(D23,原始分!$D:$N,8,0)</f>
        <v>51.5</v>
      </c>
      <c r="Q23" s="174">
        <f t="shared" si="5"/>
        <v>90</v>
      </c>
      <c r="R23" s="174">
        <f>VLOOKUP(D23,原始分!$D:$N,9,0)</f>
        <v>0</v>
      </c>
      <c r="S23" s="174">
        <f t="shared" si="6"/>
        <v>218</v>
      </c>
      <c r="T23" s="174">
        <f>VLOOKUP(D23,原始分!$D:$N,10,0)</f>
        <v>0</v>
      </c>
      <c r="U23" s="174">
        <f t="shared" si="7"/>
        <v>112</v>
      </c>
      <c r="V23" s="174">
        <f>VLOOKUP(D23,原始分!$D:$N,11,0)</f>
        <v>56</v>
      </c>
      <c r="W23" s="174">
        <f t="shared" si="8"/>
        <v>132</v>
      </c>
      <c r="X23" s="11">
        <f t="shared" si="9"/>
        <v>349</v>
      </c>
      <c r="Y23" s="9">
        <f t="shared" si="10"/>
        <v>13</v>
      </c>
      <c r="Z23" s="11">
        <f t="shared" si="11"/>
        <v>533</v>
      </c>
      <c r="AA23" s="9">
        <f t="shared" si="12"/>
        <v>21</v>
      </c>
    </row>
    <row r="24" ht="14.25" spans="1:27">
      <c r="A24" s="13">
        <v>408</v>
      </c>
      <c r="B24" s="15">
        <v>9</v>
      </c>
      <c r="C24" s="16">
        <v>23</v>
      </c>
      <c r="D24" s="17" t="s">
        <v>826</v>
      </c>
      <c r="E24" s="17" t="s">
        <v>827</v>
      </c>
      <c r="F24" s="174">
        <f>VLOOKUP(D24,原始分!$D:$N,3,0)</f>
        <v>103.25</v>
      </c>
      <c r="G24" s="174">
        <f t="shared" si="0"/>
        <v>167</v>
      </c>
      <c r="H24" s="174">
        <f>VLOOKUP(D24,原始分!$D:$N,4,0)</f>
        <v>123.5</v>
      </c>
      <c r="I24" s="174">
        <f t="shared" si="1"/>
        <v>40</v>
      </c>
      <c r="J24" s="174">
        <f>VLOOKUP(D24,原始分!$D:$N,5,0)</f>
        <v>111.75</v>
      </c>
      <c r="K24" s="174">
        <f t="shared" si="2"/>
        <v>87</v>
      </c>
      <c r="L24" s="174">
        <f>VLOOKUP(D24,原始分!$D:$N,6,0)</f>
        <v>77.5</v>
      </c>
      <c r="M24" s="174">
        <f t="shared" si="3"/>
        <v>18</v>
      </c>
      <c r="N24" s="174">
        <f>VLOOKUP(D24,原始分!$D:$N,7,0)</f>
        <v>0</v>
      </c>
      <c r="O24" s="174">
        <f t="shared" si="4"/>
        <v>1</v>
      </c>
      <c r="P24" s="174">
        <f>VLOOKUP(D24,原始分!$D:$N,8,0)</f>
        <v>53.5</v>
      </c>
      <c r="Q24" s="174">
        <f t="shared" si="5"/>
        <v>62</v>
      </c>
      <c r="R24" s="174">
        <f>VLOOKUP(D24,原始分!$D:$N,9,0)</f>
        <v>0</v>
      </c>
      <c r="S24" s="174">
        <f t="shared" si="6"/>
        <v>218</v>
      </c>
      <c r="T24" s="174">
        <f>VLOOKUP(D24,原始分!$D:$N,10,0)</f>
        <v>0</v>
      </c>
      <c r="U24" s="174">
        <f t="shared" si="7"/>
        <v>112</v>
      </c>
      <c r="V24" s="174">
        <f>VLOOKUP(D24,原始分!$D:$N,11,0)</f>
        <v>62.5</v>
      </c>
      <c r="W24" s="174">
        <f t="shared" si="8"/>
        <v>56</v>
      </c>
      <c r="X24" s="11">
        <f t="shared" si="9"/>
        <v>338.5</v>
      </c>
      <c r="Y24" s="9">
        <f t="shared" si="10"/>
        <v>31</v>
      </c>
      <c r="Z24" s="11">
        <f t="shared" si="11"/>
        <v>532</v>
      </c>
      <c r="AA24" s="9">
        <f t="shared" si="12"/>
        <v>22</v>
      </c>
    </row>
    <row r="25" ht="14.25" spans="1:27">
      <c r="A25" s="13">
        <v>432</v>
      </c>
      <c r="B25" s="15">
        <v>9</v>
      </c>
      <c r="C25" s="16">
        <v>48</v>
      </c>
      <c r="D25" s="17" t="s">
        <v>874</v>
      </c>
      <c r="E25" s="17" t="s">
        <v>875</v>
      </c>
      <c r="F25" s="174">
        <f>VLOOKUP(D25,原始分!$D:$N,3,0)</f>
        <v>98.25</v>
      </c>
      <c r="G25" s="174">
        <f t="shared" si="0"/>
        <v>343</v>
      </c>
      <c r="H25" s="174">
        <f>VLOOKUP(D25,原始分!$D:$N,4,0)</f>
        <v>115.5</v>
      </c>
      <c r="I25" s="174">
        <f t="shared" si="1"/>
        <v>107</v>
      </c>
      <c r="J25" s="174">
        <f>VLOOKUP(D25,原始分!$D:$N,5,0)</f>
        <v>122</v>
      </c>
      <c r="K25" s="174">
        <f t="shared" si="2"/>
        <v>8</v>
      </c>
      <c r="L25" s="174">
        <f>VLOOKUP(D25,原始分!$D:$N,6,0)</f>
        <v>75.5</v>
      </c>
      <c r="M25" s="174">
        <f t="shared" si="3"/>
        <v>31</v>
      </c>
      <c r="N25" s="174">
        <f>VLOOKUP(D25,原始分!$D:$N,7,0)</f>
        <v>0</v>
      </c>
      <c r="O25" s="174">
        <f t="shared" si="4"/>
        <v>1</v>
      </c>
      <c r="P25" s="174">
        <f>VLOOKUP(D25,原始分!$D:$N,8,0)</f>
        <v>40.5</v>
      </c>
      <c r="Q25" s="174">
        <f t="shared" si="5"/>
        <v>301</v>
      </c>
      <c r="R25" s="174">
        <f>VLOOKUP(D25,原始分!$D:$N,9,0)</f>
        <v>0</v>
      </c>
      <c r="S25" s="174">
        <f t="shared" si="6"/>
        <v>218</v>
      </c>
      <c r="T25" s="174">
        <f>VLOOKUP(D25,原始分!$D:$N,10,0)</f>
        <v>0</v>
      </c>
      <c r="U25" s="174">
        <f t="shared" si="7"/>
        <v>112</v>
      </c>
      <c r="V25" s="174">
        <f>VLOOKUP(D25,原始分!$D:$N,11,0)</f>
        <v>77</v>
      </c>
      <c r="W25" s="174">
        <f t="shared" si="8"/>
        <v>2</v>
      </c>
      <c r="X25" s="11">
        <f t="shared" si="9"/>
        <v>335.75</v>
      </c>
      <c r="Y25" s="9">
        <f t="shared" si="10"/>
        <v>47</v>
      </c>
      <c r="Z25" s="11">
        <f t="shared" si="11"/>
        <v>528.75</v>
      </c>
      <c r="AA25" s="9">
        <f t="shared" si="12"/>
        <v>23</v>
      </c>
    </row>
    <row r="26" ht="14.25" spans="1:27">
      <c r="A26" s="13">
        <v>386</v>
      </c>
      <c r="B26" s="15">
        <v>9</v>
      </c>
      <c r="C26" s="16">
        <v>1</v>
      </c>
      <c r="D26" s="17" t="s">
        <v>782</v>
      </c>
      <c r="E26" s="17" t="s">
        <v>783</v>
      </c>
      <c r="F26" s="174">
        <f>VLOOKUP(D26,原始分!$D:$N,3,0)</f>
        <v>100.5</v>
      </c>
      <c r="G26" s="174">
        <f t="shared" si="0"/>
        <v>252</v>
      </c>
      <c r="H26" s="174">
        <f>VLOOKUP(D26,原始分!$D:$N,4,0)</f>
        <v>119.5</v>
      </c>
      <c r="I26" s="174">
        <f t="shared" si="1"/>
        <v>64</v>
      </c>
      <c r="J26" s="174">
        <f>VLOOKUP(D26,原始分!$D:$N,5,0)</f>
        <v>104.75</v>
      </c>
      <c r="K26" s="174">
        <f t="shared" si="2"/>
        <v>177</v>
      </c>
      <c r="L26" s="174">
        <f>VLOOKUP(D26,原始分!$D:$N,6,0)</f>
        <v>79</v>
      </c>
      <c r="M26" s="174">
        <f t="shared" si="3"/>
        <v>14</v>
      </c>
      <c r="N26" s="174">
        <f>VLOOKUP(D26,原始分!$D:$N,7,0)</f>
        <v>0</v>
      </c>
      <c r="O26" s="174">
        <f t="shared" si="4"/>
        <v>1</v>
      </c>
      <c r="P26" s="174">
        <f>VLOOKUP(D26,原始分!$D:$N,8,0)</f>
        <v>63.5</v>
      </c>
      <c r="Q26" s="174">
        <f t="shared" si="5"/>
        <v>12</v>
      </c>
      <c r="R26" s="174">
        <f>VLOOKUP(D26,原始分!$D:$N,9,0)</f>
        <v>0</v>
      </c>
      <c r="S26" s="174">
        <f t="shared" si="6"/>
        <v>218</v>
      </c>
      <c r="T26" s="174">
        <f>VLOOKUP(D26,原始分!$D:$N,10,0)</f>
        <v>0</v>
      </c>
      <c r="U26" s="174">
        <f t="shared" si="7"/>
        <v>112</v>
      </c>
      <c r="V26" s="174">
        <f>VLOOKUP(D26,原始分!$D:$N,11,0)</f>
        <v>59</v>
      </c>
      <c r="W26" s="174">
        <f t="shared" si="8"/>
        <v>90</v>
      </c>
      <c r="X26" s="11">
        <f t="shared" si="9"/>
        <v>324.75</v>
      </c>
      <c r="Y26" s="9">
        <f t="shared" si="10"/>
        <v>89</v>
      </c>
      <c r="Z26" s="11">
        <f t="shared" si="11"/>
        <v>526.25</v>
      </c>
      <c r="AA26" s="9">
        <f t="shared" si="12"/>
        <v>24</v>
      </c>
    </row>
    <row r="27" ht="14.25" spans="1:27">
      <c r="A27" s="13">
        <v>486</v>
      </c>
      <c r="B27" s="15">
        <v>10</v>
      </c>
      <c r="C27" s="16">
        <v>47</v>
      </c>
      <c r="D27" s="17" t="s">
        <v>982</v>
      </c>
      <c r="E27" s="17" t="s">
        <v>983</v>
      </c>
      <c r="F27" s="174">
        <f>VLOOKUP(D27,原始分!$D:$N,3,0)</f>
        <v>104.5</v>
      </c>
      <c r="G27" s="174">
        <f t="shared" si="0"/>
        <v>118</v>
      </c>
      <c r="H27" s="174">
        <f>VLOOKUP(D27,原始分!$D:$N,4,0)</f>
        <v>120.5</v>
      </c>
      <c r="I27" s="174">
        <f t="shared" si="1"/>
        <v>57</v>
      </c>
      <c r="J27" s="174">
        <f>VLOOKUP(D27,原始分!$D:$N,5,0)</f>
        <v>108</v>
      </c>
      <c r="K27" s="174">
        <f t="shared" si="2"/>
        <v>125</v>
      </c>
      <c r="L27" s="174">
        <f>VLOOKUP(D27,原始分!$D:$N,6,0)</f>
        <v>74.5</v>
      </c>
      <c r="M27" s="174">
        <f t="shared" si="3"/>
        <v>38</v>
      </c>
      <c r="N27" s="174">
        <f>VLOOKUP(D27,原始分!$D:$N,7,0)</f>
        <v>0</v>
      </c>
      <c r="O27" s="174">
        <f t="shared" si="4"/>
        <v>1</v>
      </c>
      <c r="P27" s="174">
        <f>VLOOKUP(D27,原始分!$D:$N,8,0)</f>
        <v>54.5</v>
      </c>
      <c r="Q27" s="174">
        <f t="shared" si="5"/>
        <v>54</v>
      </c>
      <c r="R27" s="174">
        <f>VLOOKUP(D27,原始分!$D:$N,9,0)</f>
        <v>0</v>
      </c>
      <c r="S27" s="174">
        <f t="shared" si="6"/>
        <v>218</v>
      </c>
      <c r="T27" s="174">
        <f>VLOOKUP(D27,原始分!$D:$N,10,0)</f>
        <v>0</v>
      </c>
      <c r="U27" s="174">
        <f t="shared" si="7"/>
        <v>112</v>
      </c>
      <c r="V27" s="174">
        <f>VLOOKUP(D27,原始分!$D:$N,11,0)</f>
        <v>63</v>
      </c>
      <c r="W27" s="174">
        <f t="shared" si="8"/>
        <v>53</v>
      </c>
      <c r="X27" s="11">
        <f t="shared" si="9"/>
        <v>333</v>
      </c>
      <c r="Y27" s="9">
        <f t="shared" si="10"/>
        <v>56</v>
      </c>
      <c r="Z27" s="11">
        <f t="shared" si="11"/>
        <v>525</v>
      </c>
      <c r="AA27" s="9">
        <f t="shared" si="12"/>
        <v>25</v>
      </c>
    </row>
    <row r="28" ht="14.25" spans="1:27">
      <c r="A28" s="13">
        <v>396</v>
      </c>
      <c r="B28" s="15">
        <v>9</v>
      </c>
      <c r="C28" s="16">
        <v>11</v>
      </c>
      <c r="D28" s="17" t="s">
        <v>802</v>
      </c>
      <c r="E28" s="17" t="s">
        <v>803</v>
      </c>
      <c r="F28" s="174">
        <f>VLOOKUP(D28,原始分!$D:$N,3,0)</f>
        <v>104</v>
      </c>
      <c r="G28" s="174">
        <f t="shared" si="0"/>
        <v>130</v>
      </c>
      <c r="H28" s="174">
        <f>VLOOKUP(D28,原始分!$D:$N,4,0)</f>
        <v>125.5</v>
      </c>
      <c r="I28" s="174">
        <f t="shared" si="1"/>
        <v>29</v>
      </c>
      <c r="J28" s="174">
        <f>VLOOKUP(D28,原始分!$D:$N,5,0)</f>
        <v>107.5</v>
      </c>
      <c r="K28" s="174">
        <f t="shared" si="2"/>
        <v>130</v>
      </c>
      <c r="L28" s="174">
        <f>VLOOKUP(D28,原始分!$D:$N,6,0)</f>
        <v>76.5</v>
      </c>
      <c r="M28" s="174">
        <f t="shared" si="3"/>
        <v>22</v>
      </c>
      <c r="N28" s="174">
        <f>VLOOKUP(D28,原始分!$D:$N,7,0)</f>
        <v>0</v>
      </c>
      <c r="O28" s="174">
        <f t="shared" si="4"/>
        <v>1</v>
      </c>
      <c r="P28" s="174">
        <f>VLOOKUP(D28,原始分!$D:$N,8,0)</f>
        <v>51</v>
      </c>
      <c r="Q28" s="174">
        <f t="shared" si="5"/>
        <v>97</v>
      </c>
      <c r="R28" s="174">
        <f>VLOOKUP(D28,原始分!$D:$N,9,0)</f>
        <v>0</v>
      </c>
      <c r="S28" s="174">
        <f t="shared" si="6"/>
        <v>218</v>
      </c>
      <c r="T28" s="174">
        <f>VLOOKUP(D28,原始分!$D:$N,10,0)</f>
        <v>0</v>
      </c>
      <c r="U28" s="174">
        <f t="shared" si="7"/>
        <v>112</v>
      </c>
      <c r="V28" s="174">
        <f>VLOOKUP(D28,原始分!$D:$N,11,0)</f>
        <v>60</v>
      </c>
      <c r="W28" s="174">
        <f t="shared" si="8"/>
        <v>79</v>
      </c>
      <c r="X28" s="11">
        <f t="shared" si="9"/>
        <v>337</v>
      </c>
      <c r="Y28" s="9">
        <f t="shared" si="10"/>
        <v>37</v>
      </c>
      <c r="Z28" s="11">
        <f t="shared" si="11"/>
        <v>524.5</v>
      </c>
      <c r="AA28" s="9">
        <f t="shared" si="12"/>
        <v>26</v>
      </c>
    </row>
    <row r="29" ht="14.25" spans="1:27">
      <c r="A29" s="13">
        <v>394</v>
      </c>
      <c r="B29" s="15">
        <v>9</v>
      </c>
      <c r="C29" s="16">
        <v>9</v>
      </c>
      <c r="D29" s="17" t="s">
        <v>798</v>
      </c>
      <c r="E29" s="17" t="s">
        <v>799</v>
      </c>
      <c r="F29" s="174">
        <f>VLOOKUP(D29,原始分!$D:$N,3,0)</f>
        <v>104.5</v>
      </c>
      <c r="G29" s="174">
        <f t="shared" si="0"/>
        <v>118</v>
      </c>
      <c r="H29" s="174">
        <f>VLOOKUP(D29,原始分!$D:$N,4,0)</f>
        <v>126.5</v>
      </c>
      <c r="I29" s="174">
        <f t="shared" si="1"/>
        <v>24</v>
      </c>
      <c r="J29" s="174">
        <f>VLOOKUP(D29,原始分!$D:$N,5,0)</f>
        <v>106</v>
      </c>
      <c r="K29" s="174">
        <f t="shared" si="2"/>
        <v>153</v>
      </c>
      <c r="L29" s="174">
        <f>VLOOKUP(D29,原始分!$D:$N,6,0)</f>
        <v>62</v>
      </c>
      <c r="M29" s="174">
        <f t="shared" si="3"/>
        <v>157</v>
      </c>
      <c r="N29" s="174">
        <f>VLOOKUP(D29,原始分!$D:$N,7,0)</f>
        <v>0</v>
      </c>
      <c r="O29" s="174">
        <f t="shared" si="4"/>
        <v>1</v>
      </c>
      <c r="P29" s="174">
        <f>VLOOKUP(D29,原始分!$D:$N,8,0)</f>
        <v>60.5</v>
      </c>
      <c r="Q29" s="174">
        <f t="shared" si="5"/>
        <v>25</v>
      </c>
      <c r="R29" s="174">
        <f>VLOOKUP(D29,原始分!$D:$N,9,0)</f>
        <v>0</v>
      </c>
      <c r="S29" s="174">
        <f t="shared" si="6"/>
        <v>218</v>
      </c>
      <c r="T29" s="174">
        <f>VLOOKUP(D29,原始分!$D:$N,10,0)</f>
        <v>0</v>
      </c>
      <c r="U29" s="174">
        <f t="shared" si="7"/>
        <v>112</v>
      </c>
      <c r="V29" s="174">
        <f>VLOOKUP(D29,原始分!$D:$N,11,0)</f>
        <v>64.5</v>
      </c>
      <c r="W29" s="174">
        <f t="shared" si="8"/>
        <v>38</v>
      </c>
      <c r="X29" s="11">
        <f t="shared" si="9"/>
        <v>337</v>
      </c>
      <c r="Y29" s="9">
        <f t="shared" si="10"/>
        <v>37</v>
      </c>
      <c r="Z29" s="11">
        <f t="shared" si="11"/>
        <v>524</v>
      </c>
      <c r="AA29" s="9">
        <f t="shared" si="12"/>
        <v>27</v>
      </c>
    </row>
    <row r="30" ht="14.25" spans="1:27">
      <c r="A30" s="13">
        <v>446</v>
      </c>
      <c r="B30" s="15">
        <v>10</v>
      </c>
      <c r="C30" s="16">
        <v>7</v>
      </c>
      <c r="D30" s="17" t="s">
        <v>902</v>
      </c>
      <c r="E30" s="17" t="s">
        <v>903</v>
      </c>
      <c r="F30" s="174">
        <f>VLOOKUP(D30,原始分!$D:$N,3,0)</f>
        <v>105.5</v>
      </c>
      <c r="G30" s="174">
        <f t="shared" si="0"/>
        <v>96</v>
      </c>
      <c r="H30" s="174">
        <f>VLOOKUP(D30,原始分!$D:$N,4,0)</f>
        <v>116.5</v>
      </c>
      <c r="I30" s="174">
        <f t="shared" si="1"/>
        <v>93</v>
      </c>
      <c r="J30" s="174">
        <f>VLOOKUP(D30,原始分!$D:$N,5,0)</f>
        <v>108</v>
      </c>
      <c r="K30" s="174">
        <f t="shared" si="2"/>
        <v>125</v>
      </c>
      <c r="L30" s="174">
        <f>VLOOKUP(D30,原始分!$D:$N,6,0)</f>
        <v>71.5</v>
      </c>
      <c r="M30" s="174">
        <f t="shared" si="3"/>
        <v>55</v>
      </c>
      <c r="N30" s="174">
        <f>VLOOKUP(D30,原始分!$D:$N,7,0)</f>
        <v>0</v>
      </c>
      <c r="O30" s="174">
        <f t="shared" si="4"/>
        <v>1</v>
      </c>
      <c r="P30" s="174">
        <f>VLOOKUP(D30,原始分!$D:$N,8,0)</f>
        <v>49.5</v>
      </c>
      <c r="Q30" s="174">
        <f t="shared" si="5"/>
        <v>119</v>
      </c>
      <c r="R30" s="174">
        <f>VLOOKUP(D30,原始分!$D:$N,9,0)</f>
        <v>0</v>
      </c>
      <c r="S30" s="174">
        <f t="shared" si="6"/>
        <v>218</v>
      </c>
      <c r="T30" s="174">
        <f>VLOOKUP(D30,原始分!$D:$N,10,0)</f>
        <v>0</v>
      </c>
      <c r="U30" s="174">
        <f t="shared" si="7"/>
        <v>112</v>
      </c>
      <c r="V30" s="174">
        <f>VLOOKUP(D30,原始分!$D:$N,11,0)</f>
        <v>73</v>
      </c>
      <c r="W30" s="174">
        <f t="shared" si="8"/>
        <v>10</v>
      </c>
      <c r="X30" s="11">
        <f t="shared" si="9"/>
        <v>330</v>
      </c>
      <c r="Y30" s="9">
        <f t="shared" si="10"/>
        <v>66</v>
      </c>
      <c r="Z30" s="11">
        <f t="shared" si="11"/>
        <v>524</v>
      </c>
      <c r="AA30" s="9">
        <f t="shared" si="12"/>
        <v>27</v>
      </c>
    </row>
    <row r="31" ht="14.25" spans="1:27">
      <c r="A31" s="13">
        <v>438</v>
      </c>
      <c r="B31" s="15">
        <v>9</v>
      </c>
      <c r="C31" s="16">
        <v>54</v>
      </c>
      <c r="D31" s="17" t="s">
        <v>886</v>
      </c>
      <c r="E31" s="17" t="s">
        <v>887</v>
      </c>
      <c r="F31" s="174">
        <f>VLOOKUP(D31,原始分!$D:$N,3,0)</f>
        <v>93.5</v>
      </c>
      <c r="G31" s="174">
        <f t="shared" si="0"/>
        <v>491</v>
      </c>
      <c r="H31" s="174">
        <f>VLOOKUP(D31,原始分!$D:$N,4,0)</f>
        <v>127</v>
      </c>
      <c r="I31" s="174">
        <f t="shared" si="1"/>
        <v>23</v>
      </c>
      <c r="J31" s="174">
        <f>VLOOKUP(D31,原始分!$D:$N,5,0)</f>
        <v>118</v>
      </c>
      <c r="K31" s="174">
        <f t="shared" si="2"/>
        <v>33</v>
      </c>
      <c r="L31" s="174">
        <f>VLOOKUP(D31,原始分!$D:$N,6,0)</f>
        <v>79</v>
      </c>
      <c r="M31" s="174">
        <f t="shared" si="3"/>
        <v>14</v>
      </c>
      <c r="N31" s="174">
        <f>VLOOKUP(D31,原始分!$D:$N,7,0)</f>
        <v>0</v>
      </c>
      <c r="O31" s="174">
        <f t="shared" si="4"/>
        <v>1</v>
      </c>
      <c r="P31" s="174">
        <f>VLOOKUP(D31,原始分!$D:$N,8,0)</f>
        <v>44</v>
      </c>
      <c r="Q31" s="174">
        <f t="shared" si="5"/>
        <v>226</v>
      </c>
      <c r="R31" s="174">
        <f>VLOOKUP(D31,原始分!$D:$N,9,0)</f>
        <v>0</v>
      </c>
      <c r="S31" s="174">
        <f t="shared" si="6"/>
        <v>218</v>
      </c>
      <c r="T31" s="174">
        <f>VLOOKUP(D31,原始分!$D:$N,10,0)</f>
        <v>0</v>
      </c>
      <c r="U31" s="174">
        <f t="shared" si="7"/>
        <v>112</v>
      </c>
      <c r="V31" s="174">
        <f>VLOOKUP(D31,原始分!$D:$N,11,0)</f>
        <v>62</v>
      </c>
      <c r="W31" s="174">
        <f t="shared" si="8"/>
        <v>59</v>
      </c>
      <c r="X31" s="11">
        <f t="shared" si="9"/>
        <v>338.5</v>
      </c>
      <c r="Y31" s="9">
        <f t="shared" si="10"/>
        <v>31</v>
      </c>
      <c r="Z31" s="11">
        <f t="shared" si="11"/>
        <v>523.5</v>
      </c>
      <c r="AA31" s="9">
        <f t="shared" si="12"/>
        <v>29</v>
      </c>
    </row>
    <row r="32" ht="14.25" spans="1:27">
      <c r="A32" s="13">
        <v>433</v>
      </c>
      <c r="B32" s="15">
        <v>9</v>
      </c>
      <c r="C32" s="16">
        <v>49</v>
      </c>
      <c r="D32" s="17" t="s">
        <v>876</v>
      </c>
      <c r="E32" s="17" t="s">
        <v>877</v>
      </c>
      <c r="F32" s="174">
        <f>VLOOKUP(D32,原始分!$D:$N,3,0)</f>
        <v>98.5</v>
      </c>
      <c r="G32" s="174">
        <f t="shared" si="0"/>
        <v>324</v>
      </c>
      <c r="H32" s="174">
        <f>VLOOKUP(D32,原始分!$D:$N,4,0)</f>
        <v>129</v>
      </c>
      <c r="I32" s="174">
        <f t="shared" si="1"/>
        <v>18</v>
      </c>
      <c r="J32" s="174">
        <f>VLOOKUP(D32,原始分!$D:$N,5,0)</f>
        <v>111.5</v>
      </c>
      <c r="K32" s="174">
        <f t="shared" si="2"/>
        <v>90</v>
      </c>
      <c r="L32" s="174">
        <f>VLOOKUP(D32,原始分!$D:$N,6,0)</f>
        <v>68</v>
      </c>
      <c r="M32" s="174">
        <f t="shared" si="3"/>
        <v>77</v>
      </c>
      <c r="N32" s="174">
        <f>VLOOKUP(D32,原始分!$D:$N,7,0)</f>
        <v>0</v>
      </c>
      <c r="O32" s="174">
        <f t="shared" si="4"/>
        <v>1</v>
      </c>
      <c r="P32" s="174">
        <f>VLOOKUP(D32,原始分!$D:$N,8,0)</f>
        <v>51</v>
      </c>
      <c r="Q32" s="174">
        <f t="shared" si="5"/>
        <v>97</v>
      </c>
      <c r="R32" s="174">
        <f>VLOOKUP(D32,原始分!$D:$N,9,0)</f>
        <v>0</v>
      </c>
      <c r="S32" s="174">
        <f t="shared" si="6"/>
        <v>218</v>
      </c>
      <c r="T32" s="174">
        <f>VLOOKUP(D32,原始分!$D:$N,10,0)</f>
        <v>0</v>
      </c>
      <c r="U32" s="174">
        <f t="shared" si="7"/>
        <v>112</v>
      </c>
      <c r="V32" s="174">
        <f>VLOOKUP(D32,原始分!$D:$N,11,0)</f>
        <v>65</v>
      </c>
      <c r="W32" s="174">
        <f t="shared" si="8"/>
        <v>34</v>
      </c>
      <c r="X32" s="11">
        <f t="shared" si="9"/>
        <v>339</v>
      </c>
      <c r="Y32" s="9">
        <f t="shared" si="10"/>
        <v>30</v>
      </c>
      <c r="Z32" s="11">
        <f t="shared" si="11"/>
        <v>523</v>
      </c>
      <c r="AA32" s="9">
        <f t="shared" si="12"/>
        <v>30</v>
      </c>
    </row>
    <row r="33" ht="14.25" spans="1:27">
      <c r="A33" s="13">
        <v>443</v>
      </c>
      <c r="B33" s="15">
        <v>10</v>
      </c>
      <c r="C33" s="16">
        <v>4</v>
      </c>
      <c r="D33" s="17" t="s">
        <v>896</v>
      </c>
      <c r="E33" s="17" t="s">
        <v>897</v>
      </c>
      <c r="F33" s="174">
        <f>VLOOKUP(D33,原始分!$D:$N,3,0)</f>
        <v>104.5</v>
      </c>
      <c r="G33" s="174">
        <f t="shared" si="0"/>
        <v>118</v>
      </c>
      <c r="H33" s="174">
        <f>VLOOKUP(D33,原始分!$D:$N,4,0)</f>
        <v>113</v>
      </c>
      <c r="I33" s="174">
        <f t="shared" si="1"/>
        <v>143</v>
      </c>
      <c r="J33" s="174">
        <f>VLOOKUP(D33,原始分!$D:$N,5,0)</f>
        <v>119</v>
      </c>
      <c r="K33" s="174">
        <f t="shared" si="2"/>
        <v>25</v>
      </c>
      <c r="L33" s="174">
        <f>VLOOKUP(D33,原始分!$D:$N,6,0)</f>
        <v>65.5</v>
      </c>
      <c r="M33" s="174">
        <f t="shared" si="3"/>
        <v>105</v>
      </c>
      <c r="N33" s="174">
        <f>VLOOKUP(D33,原始分!$D:$N,7,0)</f>
        <v>0</v>
      </c>
      <c r="O33" s="174">
        <f t="shared" si="4"/>
        <v>1</v>
      </c>
      <c r="P33" s="174">
        <f>VLOOKUP(D33,原始分!$D:$N,8,0)</f>
        <v>61</v>
      </c>
      <c r="Q33" s="174">
        <f t="shared" si="5"/>
        <v>21</v>
      </c>
      <c r="R33" s="174">
        <f>VLOOKUP(D33,原始分!$D:$N,9,0)</f>
        <v>0</v>
      </c>
      <c r="S33" s="174">
        <f t="shared" si="6"/>
        <v>218</v>
      </c>
      <c r="T33" s="174">
        <f>VLOOKUP(D33,原始分!$D:$N,10,0)</f>
        <v>0</v>
      </c>
      <c r="U33" s="174">
        <f t="shared" si="7"/>
        <v>112</v>
      </c>
      <c r="V33" s="174">
        <f>VLOOKUP(D33,原始分!$D:$N,11,0)</f>
        <v>60</v>
      </c>
      <c r="W33" s="174">
        <f t="shared" si="8"/>
        <v>79</v>
      </c>
      <c r="X33" s="11">
        <f t="shared" si="9"/>
        <v>336.5</v>
      </c>
      <c r="Y33" s="9">
        <f t="shared" si="10"/>
        <v>43</v>
      </c>
      <c r="Z33" s="11">
        <f t="shared" si="11"/>
        <v>523</v>
      </c>
      <c r="AA33" s="9">
        <f t="shared" si="12"/>
        <v>30</v>
      </c>
    </row>
    <row r="34" ht="14.25" spans="1:27">
      <c r="A34" s="13">
        <v>569</v>
      </c>
      <c r="B34" s="15">
        <v>12</v>
      </c>
      <c r="C34" s="16">
        <v>16</v>
      </c>
      <c r="D34" s="17" t="s">
        <v>1146</v>
      </c>
      <c r="E34" s="17" t="s">
        <v>1147</v>
      </c>
      <c r="F34" s="174">
        <f>VLOOKUP(D34,原始分!$D:$N,3,0)</f>
        <v>103.5</v>
      </c>
      <c r="G34" s="174">
        <f t="shared" si="0"/>
        <v>146</v>
      </c>
      <c r="H34" s="174">
        <f>VLOOKUP(D34,原始分!$D:$N,4,0)</f>
        <v>119</v>
      </c>
      <c r="I34" s="174">
        <f t="shared" si="1"/>
        <v>70</v>
      </c>
      <c r="J34" s="174">
        <f>VLOOKUP(D34,原始分!$D:$N,5,0)</f>
        <v>98.25</v>
      </c>
      <c r="K34" s="174">
        <f t="shared" si="2"/>
        <v>288</v>
      </c>
      <c r="L34" s="174">
        <f>VLOOKUP(D34,原始分!$D:$N,6,0)</f>
        <v>69</v>
      </c>
      <c r="M34" s="174">
        <f t="shared" si="3"/>
        <v>70</v>
      </c>
      <c r="N34" s="174">
        <f>VLOOKUP(D34,原始分!$D:$N,7,0)</f>
        <v>0</v>
      </c>
      <c r="O34" s="174">
        <f t="shared" si="4"/>
        <v>1</v>
      </c>
      <c r="P34" s="174">
        <f>VLOOKUP(D34,原始分!$D:$N,8,0)</f>
        <v>68.5</v>
      </c>
      <c r="Q34" s="174">
        <f t="shared" si="5"/>
        <v>7</v>
      </c>
      <c r="R34" s="174">
        <f>VLOOKUP(D34,原始分!$D:$N,9,0)</f>
        <v>0</v>
      </c>
      <c r="S34" s="174">
        <f t="shared" si="6"/>
        <v>218</v>
      </c>
      <c r="T34" s="174">
        <f>VLOOKUP(D34,原始分!$D:$N,10,0)</f>
        <v>0</v>
      </c>
      <c r="U34" s="174">
        <f t="shared" si="7"/>
        <v>112</v>
      </c>
      <c r="V34" s="174">
        <f>VLOOKUP(D34,原始分!$D:$N,11,0)</f>
        <v>64.5</v>
      </c>
      <c r="W34" s="174">
        <f t="shared" si="8"/>
        <v>38</v>
      </c>
      <c r="X34" s="11">
        <f t="shared" si="9"/>
        <v>320.75</v>
      </c>
      <c r="Y34" s="9">
        <f t="shared" si="10"/>
        <v>110</v>
      </c>
      <c r="Z34" s="11">
        <f t="shared" si="11"/>
        <v>522.75</v>
      </c>
      <c r="AA34" s="9">
        <f t="shared" si="12"/>
        <v>32</v>
      </c>
    </row>
    <row r="35" ht="14.25" spans="1:27">
      <c r="A35" s="13">
        <v>421</v>
      </c>
      <c r="B35" s="15">
        <v>9</v>
      </c>
      <c r="C35" s="16">
        <v>37</v>
      </c>
      <c r="D35" s="17" t="s">
        <v>852</v>
      </c>
      <c r="E35" s="17" t="s">
        <v>853</v>
      </c>
      <c r="F35" s="174">
        <f>VLOOKUP(D35,原始分!$D:$N,3,0)</f>
        <v>99.5</v>
      </c>
      <c r="G35" s="174">
        <f t="shared" si="0"/>
        <v>286</v>
      </c>
      <c r="H35" s="174">
        <f>VLOOKUP(D35,原始分!$D:$N,4,0)</f>
        <v>110.5</v>
      </c>
      <c r="I35" s="174">
        <f t="shared" si="1"/>
        <v>184</v>
      </c>
      <c r="J35" s="174">
        <f>VLOOKUP(D35,原始分!$D:$N,5,0)</f>
        <v>119</v>
      </c>
      <c r="K35" s="174">
        <f t="shared" si="2"/>
        <v>25</v>
      </c>
      <c r="L35" s="174">
        <f>VLOOKUP(D35,原始分!$D:$N,6,0)</f>
        <v>76.5</v>
      </c>
      <c r="M35" s="174">
        <f t="shared" si="3"/>
        <v>22</v>
      </c>
      <c r="N35" s="174">
        <f>VLOOKUP(D35,原始分!$D:$N,7,0)</f>
        <v>0</v>
      </c>
      <c r="O35" s="174">
        <f t="shared" si="4"/>
        <v>1</v>
      </c>
      <c r="P35" s="174">
        <f>VLOOKUP(D35,原始分!$D:$N,8,0)</f>
        <v>45</v>
      </c>
      <c r="Q35" s="174">
        <f t="shared" si="5"/>
        <v>208</v>
      </c>
      <c r="R35" s="174">
        <f>VLOOKUP(D35,原始分!$D:$N,9,0)</f>
        <v>0</v>
      </c>
      <c r="S35" s="174">
        <f t="shared" si="6"/>
        <v>218</v>
      </c>
      <c r="T35" s="174">
        <f>VLOOKUP(D35,原始分!$D:$N,10,0)</f>
        <v>0</v>
      </c>
      <c r="U35" s="174">
        <f t="shared" si="7"/>
        <v>112</v>
      </c>
      <c r="V35" s="174">
        <f>VLOOKUP(D35,原始分!$D:$N,11,0)</f>
        <v>71</v>
      </c>
      <c r="W35" s="174">
        <f t="shared" si="8"/>
        <v>12</v>
      </c>
      <c r="X35" s="11">
        <f t="shared" si="9"/>
        <v>329</v>
      </c>
      <c r="Y35" s="9">
        <f t="shared" si="10"/>
        <v>73</v>
      </c>
      <c r="Z35" s="11">
        <f t="shared" si="11"/>
        <v>521.5</v>
      </c>
      <c r="AA35" s="9">
        <f t="shared" si="12"/>
        <v>33</v>
      </c>
    </row>
    <row r="36" ht="14.25" spans="1:27">
      <c r="A36" s="13">
        <v>407</v>
      </c>
      <c r="B36" s="15">
        <v>9</v>
      </c>
      <c r="C36" s="16">
        <v>22</v>
      </c>
      <c r="D36" s="17" t="s">
        <v>824</v>
      </c>
      <c r="E36" s="17" t="s">
        <v>825</v>
      </c>
      <c r="F36" s="174">
        <f>VLOOKUP(D36,原始分!$D:$N,3,0)</f>
        <v>100.75</v>
      </c>
      <c r="G36" s="174">
        <f t="shared" si="0"/>
        <v>248</v>
      </c>
      <c r="H36" s="174">
        <f>VLOOKUP(D36,原始分!$D:$N,4,0)</f>
        <v>104</v>
      </c>
      <c r="I36" s="174">
        <f t="shared" si="1"/>
        <v>290</v>
      </c>
      <c r="J36" s="174">
        <f>VLOOKUP(D36,原始分!$D:$N,5,0)</f>
        <v>117</v>
      </c>
      <c r="K36" s="174">
        <f t="shared" si="2"/>
        <v>42</v>
      </c>
      <c r="L36" s="174">
        <f>VLOOKUP(D36,原始分!$D:$N,6,0)</f>
        <v>72.5</v>
      </c>
      <c r="M36" s="174">
        <f t="shared" si="3"/>
        <v>52</v>
      </c>
      <c r="N36" s="174">
        <f>VLOOKUP(D36,原始分!$D:$N,7,0)</f>
        <v>0</v>
      </c>
      <c r="O36" s="174">
        <f t="shared" si="4"/>
        <v>1</v>
      </c>
      <c r="P36" s="174">
        <f>VLOOKUP(D36,原始分!$D:$N,8,0)</f>
        <v>62</v>
      </c>
      <c r="Q36" s="174">
        <f t="shared" si="5"/>
        <v>17</v>
      </c>
      <c r="R36" s="174">
        <f>VLOOKUP(D36,原始分!$D:$N,9,0)</f>
        <v>0</v>
      </c>
      <c r="S36" s="174">
        <f t="shared" si="6"/>
        <v>218</v>
      </c>
      <c r="T36" s="174">
        <f>VLOOKUP(D36,原始分!$D:$N,10,0)</f>
        <v>0</v>
      </c>
      <c r="U36" s="174">
        <f t="shared" si="7"/>
        <v>112</v>
      </c>
      <c r="V36" s="174">
        <f>VLOOKUP(D36,原始分!$D:$N,11,0)</f>
        <v>64.5</v>
      </c>
      <c r="W36" s="174">
        <f t="shared" si="8"/>
        <v>38</v>
      </c>
      <c r="X36" s="11">
        <f t="shared" si="9"/>
        <v>321.75</v>
      </c>
      <c r="Y36" s="9">
        <f t="shared" si="10"/>
        <v>106</v>
      </c>
      <c r="Z36" s="11">
        <f t="shared" si="11"/>
        <v>520.75</v>
      </c>
      <c r="AA36" s="9">
        <f t="shared" si="12"/>
        <v>34</v>
      </c>
    </row>
    <row r="37" ht="14.25" spans="1:27">
      <c r="A37" s="13">
        <v>429</v>
      </c>
      <c r="B37" s="15">
        <v>9</v>
      </c>
      <c r="C37" s="16">
        <v>45</v>
      </c>
      <c r="D37" s="17" t="s">
        <v>868</v>
      </c>
      <c r="E37" s="17" t="s">
        <v>869</v>
      </c>
      <c r="F37" s="174">
        <f>VLOOKUP(D37,原始分!$D:$N,3,0)</f>
        <v>102.25</v>
      </c>
      <c r="G37" s="174">
        <f t="shared" si="0"/>
        <v>197</v>
      </c>
      <c r="H37" s="174">
        <f>VLOOKUP(D37,原始分!$D:$N,4,0)</f>
        <v>110.5</v>
      </c>
      <c r="I37" s="174">
        <f t="shared" si="1"/>
        <v>184</v>
      </c>
      <c r="J37" s="174">
        <f>VLOOKUP(D37,原始分!$D:$N,5,0)</f>
        <v>122</v>
      </c>
      <c r="K37" s="174">
        <f t="shared" si="2"/>
        <v>8</v>
      </c>
      <c r="L37" s="174">
        <f>VLOOKUP(D37,原始分!$D:$N,6,0)</f>
        <v>71.5</v>
      </c>
      <c r="M37" s="174">
        <f t="shared" si="3"/>
        <v>55</v>
      </c>
      <c r="N37" s="174">
        <f>VLOOKUP(D37,原始分!$D:$N,7,0)</f>
        <v>0</v>
      </c>
      <c r="O37" s="174">
        <f t="shared" si="4"/>
        <v>1</v>
      </c>
      <c r="P37" s="174">
        <f>VLOOKUP(D37,原始分!$D:$N,8,0)</f>
        <v>59</v>
      </c>
      <c r="Q37" s="174">
        <f t="shared" si="5"/>
        <v>32</v>
      </c>
      <c r="R37" s="174">
        <f>VLOOKUP(D37,原始分!$D:$N,9,0)</f>
        <v>0</v>
      </c>
      <c r="S37" s="174">
        <f t="shared" si="6"/>
        <v>218</v>
      </c>
      <c r="T37" s="174">
        <f>VLOOKUP(D37,原始分!$D:$N,10,0)</f>
        <v>0</v>
      </c>
      <c r="U37" s="174">
        <f t="shared" si="7"/>
        <v>112</v>
      </c>
      <c r="V37" s="174">
        <f>VLOOKUP(D37,原始分!$D:$N,11,0)</f>
        <v>54.5</v>
      </c>
      <c r="W37" s="174">
        <f t="shared" si="8"/>
        <v>154</v>
      </c>
      <c r="X37" s="11">
        <f t="shared" si="9"/>
        <v>334.75</v>
      </c>
      <c r="Y37" s="9">
        <f t="shared" si="10"/>
        <v>51</v>
      </c>
      <c r="Z37" s="11">
        <f t="shared" si="11"/>
        <v>519.75</v>
      </c>
      <c r="AA37" s="9">
        <f t="shared" si="12"/>
        <v>35</v>
      </c>
    </row>
    <row r="38" ht="14.25" spans="1:27">
      <c r="A38" s="13">
        <v>7</v>
      </c>
      <c r="B38" s="15">
        <v>1</v>
      </c>
      <c r="C38" s="16">
        <v>8</v>
      </c>
      <c r="D38" s="17" t="s">
        <v>28</v>
      </c>
      <c r="E38" s="17" t="s">
        <v>29</v>
      </c>
      <c r="F38" s="174">
        <f>VLOOKUP(D38,原始分!$D:$N,3,0)</f>
        <v>101.5</v>
      </c>
      <c r="G38" s="174">
        <f t="shared" si="0"/>
        <v>210</v>
      </c>
      <c r="H38" s="174">
        <f>VLOOKUP(D38,原始分!$D:$N,4,0)</f>
        <v>114</v>
      </c>
      <c r="I38" s="174">
        <f t="shared" si="1"/>
        <v>131</v>
      </c>
      <c r="J38" s="174">
        <f>VLOOKUP(D38,原始分!$D:$N,5,0)</f>
        <v>114</v>
      </c>
      <c r="K38" s="174">
        <f t="shared" si="2"/>
        <v>66</v>
      </c>
      <c r="L38" s="174">
        <f>VLOOKUP(D38,原始分!$D:$N,6,0)</f>
        <v>69.5</v>
      </c>
      <c r="M38" s="174">
        <f t="shared" si="3"/>
        <v>67</v>
      </c>
      <c r="N38" s="174">
        <f>VLOOKUP(D38,原始分!$D:$N,7,0)</f>
        <v>0</v>
      </c>
      <c r="O38" s="174">
        <f t="shared" si="4"/>
        <v>1</v>
      </c>
      <c r="P38" s="174">
        <f>VLOOKUP(D38,原始分!$D:$N,8,0)</f>
        <v>55.5</v>
      </c>
      <c r="Q38" s="174">
        <f t="shared" si="5"/>
        <v>47</v>
      </c>
      <c r="R38" s="174">
        <f>VLOOKUP(D38,原始分!$D:$N,9,0)</f>
        <v>0</v>
      </c>
      <c r="S38" s="174">
        <f t="shared" si="6"/>
        <v>218</v>
      </c>
      <c r="T38" s="174">
        <f>VLOOKUP(D38,原始分!$D:$N,10,0)</f>
        <v>65</v>
      </c>
      <c r="U38" s="174">
        <f t="shared" si="7"/>
        <v>11</v>
      </c>
      <c r="V38" s="174">
        <f>VLOOKUP(D38,原始分!$D:$N,11,0)</f>
        <v>0</v>
      </c>
      <c r="W38" s="174">
        <f t="shared" si="8"/>
        <v>461</v>
      </c>
      <c r="X38" s="11">
        <f t="shared" si="9"/>
        <v>329.5</v>
      </c>
      <c r="Y38" s="9">
        <f t="shared" si="10"/>
        <v>69</v>
      </c>
      <c r="Z38" s="11">
        <f t="shared" si="11"/>
        <v>519.5</v>
      </c>
      <c r="AA38" s="9">
        <f t="shared" si="12"/>
        <v>36</v>
      </c>
    </row>
    <row r="39" ht="14.25" spans="1:27">
      <c r="A39" s="13">
        <v>13</v>
      </c>
      <c r="B39" s="15">
        <v>1</v>
      </c>
      <c r="C39" s="16">
        <v>14</v>
      </c>
      <c r="D39" s="17" t="s">
        <v>40</v>
      </c>
      <c r="E39" s="17" t="s">
        <v>41</v>
      </c>
      <c r="F39" s="174">
        <f>VLOOKUP(D39,原始分!$D:$N,3,0)</f>
        <v>111</v>
      </c>
      <c r="G39" s="174">
        <f t="shared" si="0"/>
        <v>17</v>
      </c>
      <c r="H39" s="174">
        <f>VLOOKUP(D39,原始分!$D:$N,4,0)</f>
        <v>119.5</v>
      </c>
      <c r="I39" s="174">
        <f t="shared" si="1"/>
        <v>64</v>
      </c>
      <c r="J39" s="174">
        <f>VLOOKUP(D39,原始分!$D:$N,5,0)</f>
        <v>106.5</v>
      </c>
      <c r="K39" s="174">
        <f t="shared" si="2"/>
        <v>145</v>
      </c>
      <c r="L39" s="174">
        <f>VLOOKUP(D39,原始分!$D:$N,6,0)</f>
        <v>63.5</v>
      </c>
      <c r="M39" s="174">
        <f t="shared" si="3"/>
        <v>138</v>
      </c>
      <c r="N39" s="174">
        <f>VLOOKUP(D39,原始分!$D:$N,7,0)</f>
        <v>0</v>
      </c>
      <c r="O39" s="174">
        <f t="shared" si="4"/>
        <v>1</v>
      </c>
      <c r="P39" s="174">
        <f>VLOOKUP(D39,原始分!$D:$N,8,0)</f>
        <v>59.5</v>
      </c>
      <c r="Q39" s="174">
        <f t="shared" si="5"/>
        <v>30</v>
      </c>
      <c r="R39" s="174">
        <f>VLOOKUP(D39,原始分!$D:$N,9,0)</f>
        <v>0</v>
      </c>
      <c r="S39" s="174">
        <f t="shared" si="6"/>
        <v>218</v>
      </c>
      <c r="T39" s="174">
        <f>VLOOKUP(D39,原始分!$D:$N,10,0)</f>
        <v>58.5</v>
      </c>
      <c r="U39" s="174">
        <f t="shared" si="7"/>
        <v>33</v>
      </c>
      <c r="V39" s="174">
        <f>VLOOKUP(D39,原始分!$D:$N,11,0)</f>
        <v>0</v>
      </c>
      <c r="W39" s="174">
        <f t="shared" si="8"/>
        <v>461</v>
      </c>
      <c r="X39" s="11">
        <f t="shared" si="9"/>
        <v>337</v>
      </c>
      <c r="Y39" s="9">
        <f t="shared" si="10"/>
        <v>37</v>
      </c>
      <c r="Z39" s="11">
        <f t="shared" si="11"/>
        <v>518.5</v>
      </c>
      <c r="AA39" s="9">
        <f t="shared" si="12"/>
        <v>37</v>
      </c>
    </row>
    <row r="40" ht="14.25" spans="1:27">
      <c r="A40" s="13">
        <v>642</v>
      </c>
      <c r="B40" s="15">
        <v>13</v>
      </c>
      <c r="C40" s="16">
        <v>35</v>
      </c>
      <c r="D40" s="17" t="s">
        <v>1291</v>
      </c>
      <c r="E40" s="17" t="s">
        <v>1292</v>
      </c>
      <c r="F40" s="174">
        <f>VLOOKUP(D40,原始分!$D:$N,3,0)</f>
        <v>114.25</v>
      </c>
      <c r="G40" s="174">
        <f t="shared" si="0"/>
        <v>7</v>
      </c>
      <c r="H40" s="174">
        <f>VLOOKUP(D40,原始分!$D:$N,4,0)</f>
        <v>110</v>
      </c>
      <c r="I40" s="174">
        <f t="shared" si="1"/>
        <v>191</v>
      </c>
      <c r="J40" s="174">
        <f>VLOOKUP(D40,原始分!$D:$N,5,0)</f>
        <v>109.25</v>
      </c>
      <c r="K40" s="174">
        <f t="shared" si="2"/>
        <v>114</v>
      </c>
      <c r="L40" s="174">
        <f>VLOOKUP(D40,原始分!$D:$N,6,0)</f>
        <v>62.5</v>
      </c>
      <c r="M40" s="174">
        <f t="shared" si="3"/>
        <v>152</v>
      </c>
      <c r="N40" s="174">
        <f>VLOOKUP(D40,原始分!$D:$N,7,0)</f>
        <v>0</v>
      </c>
      <c r="O40" s="174">
        <f t="shared" si="4"/>
        <v>1</v>
      </c>
      <c r="P40" s="174">
        <f>VLOOKUP(D40,原始分!$D:$N,8,0)</f>
        <v>48</v>
      </c>
      <c r="Q40" s="174">
        <f t="shared" si="5"/>
        <v>145</v>
      </c>
      <c r="R40" s="174">
        <f>VLOOKUP(D40,原始分!$D:$N,9,0)</f>
        <v>0</v>
      </c>
      <c r="S40" s="174">
        <f t="shared" si="6"/>
        <v>218</v>
      </c>
      <c r="T40" s="174">
        <f>VLOOKUP(D40,原始分!$D:$N,10,0)</f>
        <v>0</v>
      </c>
      <c r="U40" s="174">
        <f t="shared" si="7"/>
        <v>112</v>
      </c>
      <c r="V40" s="174">
        <f>VLOOKUP(D40,原始分!$D:$N,11,0)</f>
        <v>74</v>
      </c>
      <c r="W40" s="174">
        <f t="shared" si="8"/>
        <v>5</v>
      </c>
      <c r="X40" s="11">
        <f t="shared" si="9"/>
        <v>333.5</v>
      </c>
      <c r="Y40" s="9">
        <f t="shared" si="10"/>
        <v>55</v>
      </c>
      <c r="Z40" s="11">
        <f t="shared" si="11"/>
        <v>518</v>
      </c>
      <c r="AA40" s="9">
        <f t="shared" si="12"/>
        <v>38</v>
      </c>
    </row>
    <row r="41" ht="14.25" spans="1:27">
      <c r="A41" s="13">
        <v>401</v>
      </c>
      <c r="B41" s="15">
        <v>9</v>
      </c>
      <c r="C41" s="16">
        <v>16</v>
      </c>
      <c r="D41" s="17" t="s">
        <v>812</v>
      </c>
      <c r="E41" s="17" t="s">
        <v>813</v>
      </c>
      <c r="F41" s="174">
        <f>VLOOKUP(D41,原始分!$D:$N,3,0)</f>
        <v>100</v>
      </c>
      <c r="G41" s="174">
        <f t="shared" si="0"/>
        <v>274</v>
      </c>
      <c r="H41" s="174">
        <f>VLOOKUP(D41,原始分!$D:$N,4,0)</f>
        <v>120</v>
      </c>
      <c r="I41" s="174">
        <f t="shared" si="1"/>
        <v>61</v>
      </c>
      <c r="J41" s="174">
        <f>VLOOKUP(D41,原始分!$D:$N,5,0)</f>
        <v>120.25</v>
      </c>
      <c r="K41" s="174">
        <f t="shared" si="2"/>
        <v>19</v>
      </c>
      <c r="L41" s="174">
        <f>VLOOKUP(D41,原始分!$D:$N,6,0)</f>
        <v>78</v>
      </c>
      <c r="M41" s="174">
        <f t="shared" si="3"/>
        <v>16</v>
      </c>
      <c r="N41" s="174">
        <f>VLOOKUP(D41,原始分!$D:$N,7,0)</f>
        <v>0</v>
      </c>
      <c r="O41" s="174">
        <f t="shared" si="4"/>
        <v>1</v>
      </c>
      <c r="P41" s="174">
        <f>VLOOKUP(D41,原始分!$D:$N,8,0)</f>
        <v>40</v>
      </c>
      <c r="Q41" s="174">
        <f t="shared" si="5"/>
        <v>314</v>
      </c>
      <c r="R41" s="174">
        <f>VLOOKUP(D41,原始分!$D:$N,9,0)</f>
        <v>0</v>
      </c>
      <c r="S41" s="174">
        <f t="shared" si="6"/>
        <v>218</v>
      </c>
      <c r="T41" s="174">
        <f>VLOOKUP(D41,原始分!$D:$N,10,0)</f>
        <v>0</v>
      </c>
      <c r="U41" s="174">
        <f t="shared" si="7"/>
        <v>112</v>
      </c>
      <c r="V41" s="174">
        <f>VLOOKUP(D41,原始分!$D:$N,11,0)</f>
        <v>59.5</v>
      </c>
      <c r="W41" s="174">
        <f t="shared" si="8"/>
        <v>85</v>
      </c>
      <c r="X41" s="11">
        <f t="shared" si="9"/>
        <v>340.25</v>
      </c>
      <c r="Y41" s="9">
        <f t="shared" si="10"/>
        <v>28</v>
      </c>
      <c r="Z41" s="11">
        <f t="shared" si="11"/>
        <v>517.75</v>
      </c>
      <c r="AA41" s="9">
        <f t="shared" si="12"/>
        <v>39</v>
      </c>
    </row>
    <row r="42" ht="14.25" spans="1:27">
      <c r="A42" s="13">
        <v>137</v>
      </c>
      <c r="B42" s="15">
        <v>3</v>
      </c>
      <c r="C42" s="16">
        <v>26</v>
      </c>
      <c r="D42" s="17" t="s">
        <v>287</v>
      </c>
      <c r="E42" s="17" t="s">
        <v>288</v>
      </c>
      <c r="F42" s="174">
        <f>VLOOKUP(D42,原始分!$D:$N,3,0)</f>
        <v>94</v>
      </c>
      <c r="G42" s="174">
        <f t="shared" si="0"/>
        <v>478</v>
      </c>
      <c r="H42" s="174">
        <f>VLOOKUP(D42,原始分!$D:$N,4,0)</f>
        <v>140</v>
      </c>
      <c r="I42" s="174">
        <f t="shared" si="1"/>
        <v>1</v>
      </c>
      <c r="J42" s="174">
        <f>VLOOKUP(D42,原始分!$D:$N,5,0)</f>
        <v>109</v>
      </c>
      <c r="K42" s="174">
        <f t="shared" si="2"/>
        <v>116</v>
      </c>
      <c r="L42" s="174">
        <f>VLOOKUP(D42,原始分!$D:$N,6,0)</f>
        <v>74</v>
      </c>
      <c r="M42" s="174">
        <f t="shared" si="3"/>
        <v>43</v>
      </c>
      <c r="N42" s="174">
        <f>VLOOKUP(D42,原始分!$D:$N,7,0)</f>
        <v>0</v>
      </c>
      <c r="O42" s="174">
        <f t="shared" si="4"/>
        <v>1</v>
      </c>
      <c r="P42" s="174">
        <f>VLOOKUP(D42,原始分!$D:$N,8,0)</f>
        <v>52.5</v>
      </c>
      <c r="Q42" s="174">
        <f t="shared" si="5"/>
        <v>81</v>
      </c>
      <c r="R42" s="174">
        <f>VLOOKUP(D42,原始分!$D:$N,9,0)</f>
        <v>47.5</v>
      </c>
      <c r="S42" s="174">
        <f t="shared" si="6"/>
        <v>130</v>
      </c>
      <c r="T42" s="174">
        <f>VLOOKUP(D42,原始分!$D:$N,10,0)</f>
        <v>0</v>
      </c>
      <c r="U42" s="174">
        <f t="shared" si="7"/>
        <v>112</v>
      </c>
      <c r="V42" s="174">
        <f>VLOOKUP(D42,原始分!$D:$N,11,0)</f>
        <v>0</v>
      </c>
      <c r="W42" s="174">
        <f t="shared" si="8"/>
        <v>461</v>
      </c>
      <c r="X42" s="11">
        <f t="shared" si="9"/>
        <v>343</v>
      </c>
      <c r="Y42" s="9">
        <f t="shared" si="10"/>
        <v>22</v>
      </c>
      <c r="Z42" s="11">
        <f t="shared" si="11"/>
        <v>517</v>
      </c>
      <c r="AA42" s="9">
        <f t="shared" si="12"/>
        <v>40</v>
      </c>
    </row>
    <row r="43" ht="14.25" spans="1:27">
      <c r="A43" s="13">
        <v>414</v>
      </c>
      <c r="B43" s="15">
        <v>9</v>
      </c>
      <c r="C43" s="16">
        <v>30</v>
      </c>
      <c r="D43" s="17" t="s">
        <v>838</v>
      </c>
      <c r="E43" s="17" t="s">
        <v>839</v>
      </c>
      <c r="F43" s="174">
        <f>VLOOKUP(D43,原始分!$D:$N,3,0)</f>
        <v>101.5</v>
      </c>
      <c r="G43" s="174">
        <f t="shared" si="0"/>
        <v>210</v>
      </c>
      <c r="H43" s="174">
        <f>VLOOKUP(D43,原始分!$D:$N,4,0)</f>
        <v>130.5</v>
      </c>
      <c r="I43" s="174">
        <f t="shared" si="1"/>
        <v>9</v>
      </c>
      <c r="J43" s="174">
        <f>VLOOKUP(D43,原始分!$D:$N,5,0)</f>
        <v>98.5</v>
      </c>
      <c r="K43" s="174">
        <f t="shared" si="2"/>
        <v>279</v>
      </c>
      <c r="L43" s="174">
        <f>VLOOKUP(D43,原始分!$D:$N,6,0)</f>
        <v>75</v>
      </c>
      <c r="M43" s="174">
        <f t="shared" si="3"/>
        <v>37</v>
      </c>
      <c r="N43" s="174">
        <f>VLOOKUP(D43,原始分!$D:$N,7,0)</f>
        <v>0</v>
      </c>
      <c r="O43" s="174">
        <f t="shared" si="4"/>
        <v>1</v>
      </c>
      <c r="P43" s="174">
        <f>VLOOKUP(D43,原始分!$D:$N,8,0)</f>
        <v>47</v>
      </c>
      <c r="Q43" s="174">
        <f t="shared" si="5"/>
        <v>172</v>
      </c>
      <c r="R43" s="174">
        <f>VLOOKUP(D43,原始分!$D:$N,9,0)</f>
        <v>0</v>
      </c>
      <c r="S43" s="174">
        <f t="shared" si="6"/>
        <v>218</v>
      </c>
      <c r="T43" s="174">
        <f>VLOOKUP(D43,原始分!$D:$N,10,0)</f>
        <v>0</v>
      </c>
      <c r="U43" s="174">
        <f t="shared" si="7"/>
        <v>112</v>
      </c>
      <c r="V43" s="174">
        <f>VLOOKUP(D43,原始分!$D:$N,11,0)</f>
        <v>64.5</v>
      </c>
      <c r="W43" s="174">
        <f t="shared" si="8"/>
        <v>38</v>
      </c>
      <c r="X43" s="11">
        <f t="shared" si="9"/>
        <v>330.5</v>
      </c>
      <c r="Y43" s="9">
        <f t="shared" si="10"/>
        <v>63</v>
      </c>
      <c r="Z43" s="11">
        <f t="shared" si="11"/>
        <v>517</v>
      </c>
      <c r="AA43" s="9">
        <f t="shared" si="12"/>
        <v>40</v>
      </c>
    </row>
    <row r="44" ht="14.25" spans="1:27">
      <c r="A44" s="13">
        <v>92</v>
      </c>
      <c r="B44" s="15">
        <v>2</v>
      </c>
      <c r="C44" s="16">
        <v>29</v>
      </c>
      <c r="D44" s="17" t="s">
        <v>197</v>
      </c>
      <c r="E44" s="17" t="s">
        <v>198</v>
      </c>
      <c r="F44" s="174">
        <f>VLOOKUP(D44,原始分!$D:$N,3,0)</f>
        <v>94.5</v>
      </c>
      <c r="G44" s="174">
        <f t="shared" si="0"/>
        <v>461</v>
      </c>
      <c r="H44" s="174">
        <f>VLOOKUP(D44,原始分!$D:$N,4,0)</f>
        <v>105</v>
      </c>
      <c r="I44" s="174">
        <f t="shared" si="1"/>
        <v>271</v>
      </c>
      <c r="J44" s="174">
        <f>VLOOKUP(D44,原始分!$D:$N,5,0)</f>
        <v>115.5</v>
      </c>
      <c r="K44" s="174">
        <f t="shared" si="2"/>
        <v>48</v>
      </c>
      <c r="L44" s="174">
        <f>VLOOKUP(D44,原始分!$D:$N,6,0)</f>
        <v>70.5</v>
      </c>
      <c r="M44" s="174">
        <f t="shared" si="3"/>
        <v>64</v>
      </c>
      <c r="N44" s="174">
        <f>VLOOKUP(D44,原始分!$D:$N,7,0)</f>
        <v>0</v>
      </c>
      <c r="O44" s="174">
        <f t="shared" si="4"/>
        <v>1</v>
      </c>
      <c r="P44" s="174">
        <f>VLOOKUP(D44,原始分!$D:$N,8,0)</f>
        <v>0</v>
      </c>
      <c r="Q44" s="174">
        <f t="shared" si="5"/>
        <v>539</v>
      </c>
      <c r="R44" s="174">
        <f>VLOOKUP(D44,原始分!$D:$N,9,0)</f>
        <v>0</v>
      </c>
      <c r="S44" s="174">
        <f t="shared" si="6"/>
        <v>218</v>
      </c>
      <c r="T44" s="174">
        <f>VLOOKUP(D44,原始分!$D:$N,10,0)</f>
        <v>64.5</v>
      </c>
      <c r="U44" s="174">
        <f t="shared" si="7"/>
        <v>13</v>
      </c>
      <c r="V44" s="174">
        <f>VLOOKUP(D44,原始分!$D:$N,11,0)</f>
        <v>66</v>
      </c>
      <c r="W44" s="174">
        <f t="shared" si="8"/>
        <v>29</v>
      </c>
      <c r="X44" s="11">
        <f t="shared" si="9"/>
        <v>315</v>
      </c>
      <c r="Y44" s="9">
        <f t="shared" si="10"/>
        <v>149</v>
      </c>
      <c r="Z44" s="11">
        <f t="shared" si="11"/>
        <v>516</v>
      </c>
      <c r="AA44" s="9">
        <f t="shared" si="12"/>
        <v>42</v>
      </c>
    </row>
    <row r="45" ht="14.25" spans="1:27">
      <c r="A45" s="13">
        <v>387</v>
      </c>
      <c r="B45" s="15">
        <v>9</v>
      </c>
      <c r="C45" s="16">
        <v>2</v>
      </c>
      <c r="D45" s="17" t="s">
        <v>784</v>
      </c>
      <c r="E45" s="17" t="s">
        <v>785</v>
      </c>
      <c r="F45" s="174">
        <f>VLOOKUP(D45,原始分!$D:$N,3,0)</f>
        <v>100.5</v>
      </c>
      <c r="G45" s="174">
        <f t="shared" si="0"/>
        <v>252</v>
      </c>
      <c r="H45" s="174">
        <f>VLOOKUP(D45,原始分!$D:$N,4,0)</f>
        <v>119.5</v>
      </c>
      <c r="I45" s="174">
        <f t="shared" si="1"/>
        <v>64</v>
      </c>
      <c r="J45" s="174">
        <f>VLOOKUP(D45,原始分!$D:$N,5,0)</f>
        <v>109.25</v>
      </c>
      <c r="K45" s="174">
        <f t="shared" si="2"/>
        <v>114</v>
      </c>
      <c r="L45" s="174">
        <f>VLOOKUP(D45,原始分!$D:$N,6,0)</f>
        <v>73</v>
      </c>
      <c r="M45" s="174">
        <f t="shared" si="3"/>
        <v>47</v>
      </c>
      <c r="N45" s="174">
        <f>VLOOKUP(D45,原始分!$D:$N,7,0)</f>
        <v>0</v>
      </c>
      <c r="O45" s="174">
        <f t="shared" si="4"/>
        <v>1</v>
      </c>
      <c r="P45" s="174">
        <f>VLOOKUP(D45,原始分!$D:$N,8,0)</f>
        <v>48.5</v>
      </c>
      <c r="Q45" s="174">
        <f t="shared" si="5"/>
        <v>138</v>
      </c>
      <c r="R45" s="174">
        <f>VLOOKUP(D45,原始分!$D:$N,9,0)</f>
        <v>0</v>
      </c>
      <c r="S45" s="174">
        <f t="shared" si="6"/>
        <v>218</v>
      </c>
      <c r="T45" s="174">
        <f>VLOOKUP(D45,原始分!$D:$N,10,0)</f>
        <v>0</v>
      </c>
      <c r="U45" s="174">
        <f t="shared" si="7"/>
        <v>112</v>
      </c>
      <c r="V45" s="174">
        <f>VLOOKUP(D45,原始分!$D:$N,11,0)</f>
        <v>64.5</v>
      </c>
      <c r="W45" s="174">
        <f t="shared" si="8"/>
        <v>38</v>
      </c>
      <c r="X45" s="11">
        <f t="shared" si="9"/>
        <v>329.25</v>
      </c>
      <c r="Y45" s="9">
        <f t="shared" si="10"/>
        <v>72</v>
      </c>
      <c r="Z45" s="11">
        <f t="shared" si="11"/>
        <v>515.25</v>
      </c>
      <c r="AA45" s="9">
        <f t="shared" si="12"/>
        <v>43</v>
      </c>
    </row>
    <row r="46" ht="14.25" spans="1:27">
      <c r="A46" s="13">
        <v>444</v>
      </c>
      <c r="B46" s="15">
        <v>10</v>
      </c>
      <c r="C46" s="16">
        <v>5</v>
      </c>
      <c r="D46" s="17" t="s">
        <v>898</v>
      </c>
      <c r="E46" s="17" t="s">
        <v>899</v>
      </c>
      <c r="F46" s="174">
        <f>VLOOKUP(D46,原始分!$D:$N,3,0)</f>
        <v>114</v>
      </c>
      <c r="G46" s="174">
        <f t="shared" si="0"/>
        <v>8</v>
      </c>
      <c r="H46" s="174">
        <f>VLOOKUP(D46,原始分!$D:$N,4,0)</f>
        <v>109</v>
      </c>
      <c r="I46" s="174">
        <f t="shared" si="1"/>
        <v>206</v>
      </c>
      <c r="J46" s="174">
        <f>VLOOKUP(D46,原始分!$D:$N,5,0)</f>
        <v>107.75</v>
      </c>
      <c r="K46" s="174">
        <f t="shared" si="2"/>
        <v>128</v>
      </c>
      <c r="L46" s="174">
        <f>VLOOKUP(D46,原始分!$D:$N,6,0)</f>
        <v>53.5</v>
      </c>
      <c r="M46" s="174">
        <f t="shared" si="3"/>
        <v>292</v>
      </c>
      <c r="N46" s="174">
        <f>VLOOKUP(D46,原始分!$D:$N,7,0)</f>
        <v>0</v>
      </c>
      <c r="O46" s="174">
        <f t="shared" si="4"/>
        <v>1</v>
      </c>
      <c r="P46" s="174">
        <f>VLOOKUP(D46,原始分!$D:$N,8,0)</f>
        <v>62</v>
      </c>
      <c r="Q46" s="174">
        <f t="shared" si="5"/>
        <v>17</v>
      </c>
      <c r="R46" s="174">
        <f>VLOOKUP(D46,原始分!$D:$N,9,0)</f>
        <v>0</v>
      </c>
      <c r="S46" s="174">
        <f t="shared" si="6"/>
        <v>218</v>
      </c>
      <c r="T46" s="174">
        <f>VLOOKUP(D46,原始分!$D:$N,10,0)</f>
        <v>0</v>
      </c>
      <c r="U46" s="174">
        <f t="shared" si="7"/>
        <v>112</v>
      </c>
      <c r="V46" s="174">
        <f>VLOOKUP(D46,原始分!$D:$N,11,0)</f>
        <v>69</v>
      </c>
      <c r="W46" s="174">
        <f t="shared" si="8"/>
        <v>16</v>
      </c>
      <c r="X46" s="11">
        <f t="shared" si="9"/>
        <v>330.75</v>
      </c>
      <c r="Y46" s="9">
        <f t="shared" si="10"/>
        <v>61</v>
      </c>
      <c r="Z46" s="11">
        <f t="shared" si="11"/>
        <v>515.25</v>
      </c>
      <c r="AA46" s="9">
        <f t="shared" si="12"/>
        <v>43</v>
      </c>
    </row>
    <row r="47" ht="14.25" spans="1:27">
      <c r="A47" s="13">
        <v>489</v>
      </c>
      <c r="B47" s="15">
        <v>10</v>
      </c>
      <c r="C47" s="16">
        <v>50</v>
      </c>
      <c r="D47" s="17" t="s">
        <v>988</v>
      </c>
      <c r="E47" s="17" t="s">
        <v>989</v>
      </c>
      <c r="F47" s="174">
        <f>VLOOKUP(D47,原始分!$D:$N,3,0)</f>
        <v>107</v>
      </c>
      <c r="G47" s="174">
        <f t="shared" si="0"/>
        <v>64</v>
      </c>
      <c r="H47" s="174">
        <f>VLOOKUP(D47,原始分!$D:$N,4,0)</f>
        <v>119.5</v>
      </c>
      <c r="I47" s="174">
        <f t="shared" si="1"/>
        <v>64</v>
      </c>
      <c r="J47" s="174">
        <f>VLOOKUP(D47,原始分!$D:$N,5,0)</f>
        <v>100.5</v>
      </c>
      <c r="K47" s="174">
        <f t="shared" si="2"/>
        <v>235</v>
      </c>
      <c r="L47" s="174">
        <f>VLOOKUP(D47,原始分!$D:$N,6,0)</f>
        <v>63</v>
      </c>
      <c r="M47" s="174">
        <f t="shared" si="3"/>
        <v>147</v>
      </c>
      <c r="N47" s="174">
        <f>VLOOKUP(D47,原始分!$D:$N,7,0)</f>
        <v>0</v>
      </c>
      <c r="O47" s="174">
        <f t="shared" si="4"/>
        <v>1</v>
      </c>
      <c r="P47" s="174">
        <f>VLOOKUP(D47,原始分!$D:$N,8,0)</f>
        <v>69.5</v>
      </c>
      <c r="Q47" s="174">
        <f t="shared" si="5"/>
        <v>5</v>
      </c>
      <c r="R47" s="174">
        <f>VLOOKUP(D47,原始分!$D:$N,9,0)</f>
        <v>0</v>
      </c>
      <c r="S47" s="174">
        <f t="shared" si="6"/>
        <v>218</v>
      </c>
      <c r="T47" s="174">
        <f>VLOOKUP(D47,原始分!$D:$N,10,0)</f>
        <v>0</v>
      </c>
      <c r="U47" s="174">
        <f t="shared" si="7"/>
        <v>112</v>
      </c>
      <c r="V47" s="174">
        <f>VLOOKUP(D47,原始分!$D:$N,11,0)</f>
        <v>55</v>
      </c>
      <c r="W47" s="174">
        <f t="shared" si="8"/>
        <v>149</v>
      </c>
      <c r="X47" s="11">
        <f t="shared" si="9"/>
        <v>327</v>
      </c>
      <c r="Y47" s="9">
        <f t="shared" si="10"/>
        <v>77</v>
      </c>
      <c r="Z47" s="11">
        <f t="shared" si="11"/>
        <v>514.5</v>
      </c>
      <c r="AA47" s="9">
        <f t="shared" si="12"/>
        <v>45</v>
      </c>
    </row>
    <row r="48" ht="14.25" spans="1:27">
      <c r="A48" s="13">
        <v>391</v>
      </c>
      <c r="B48" s="15">
        <v>9</v>
      </c>
      <c r="C48" s="16">
        <v>6</v>
      </c>
      <c r="D48" s="17" t="s">
        <v>792</v>
      </c>
      <c r="E48" s="17" t="s">
        <v>793</v>
      </c>
      <c r="F48" s="174">
        <f>VLOOKUP(D48,原始分!$D:$N,3,0)</f>
        <v>95</v>
      </c>
      <c r="G48" s="174">
        <f t="shared" si="0"/>
        <v>441</v>
      </c>
      <c r="H48" s="174">
        <f>VLOOKUP(D48,原始分!$D:$N,4,0)</f>
        <v>130.5</v>
      </c>
      <c r="I48" s="174">
        <f t="shared" si="1"/>
        <v>9</v>
      </c>
      <c r="J48" s="174">
        <f>VLOOKUP(D48,原始分!$D:$N,5,0)</f>
        <v>101</v>
      </c>
      <c r="K48" s="174">
        <f t="shared" si="2"/>
        <v>229</v>
      </c>
      <c r="L48" s="174">
        <f>VLOOKUP(D48,原始分!$D:$N,6,0)</f>
        <v>74</v>
      </c>
      <c r="M48" s="174">
        <f t="shared" si="3"/>
        <v>43</v>
      </c>
      <c r="N48" s="174">
        <f>VLOOKUP(D48,原始分!$D:$N,7,0)</f>
        <v>0</v>
      </c>
      <c r="O48" s="174">
        <f t="shared" si="4"/>
        <v>1</v>
      </c>
      <c r="P48" s="174">
        <f>VLOOKUP(D48,原始分!$D:$N,8,0)</f>
        <v>49</v>
      </c>
      <c r="Q48" s="174">
        <f t="shared" si="5"/>
        <v>131</v>
      </c>
      <c r="R48" s="174">
        <f>VLOOKUP(D48,原始分!$D:$N,9,0)</f>
        <v>0</v>
      </c>
      <c r="S48" s="174">
        <f t="shared" si="6"/>
        <v>218</v>
      </c>
      <c r="T48" s="174">
        <f>VLOOKUP(D48,原始分!$D:$N,10,0)</f>
        <v>0</v>
      </c>
      <c r="U48" s="174">
        <f t="shared" si="7"/>
        <v>112</v>
      </c>
      <c r="V48" s="174">
        <f>VLOOKUP(D48,原始分!$D:$N,11,0)</f>
        <v>64.5</v>
      </c>
      <c r="W48" s="174">
        <f t="shared" si="8"/>
        <v>38</v>
      </c>
      <c r="X48" s="11">
        <f t="shared" si="9"/>
        <v>326.5</v>
      </c>
      <c r="Y48" s="9">
        <f t="shared" si="10"/>
        <v>80</v>
      </c>
      <c r="Z48" s="11">
        <f t="shared" si="11"/>
        <v>514</v>
      </c>
      <c r="AA48" s="9">
        <f t="shared" si="12"/>
        <v>46</v>
      </c>
    </row>
    <row r="49" ht="14.25" spans="1:27">
      <c r="A49" s="13">
        <v>72</v>
      </c>
      <c r="B49" s="15">
        <v>2</v>
      </c>
      <c r="C49" s="16">
        <v>9</v>
      </c>
      <c r="D49" s="17" t="s">
        <v>158</v>
      </c>
      <c r="E49" s="17" t="s">
        <v>159</v>
      </c>
      <c r="F49" s="174">
        <f>VLOOKUP(D49,原始分!$D:$N,3,0)</f>
        <v>104</v>
      </c>
      <c r="G49" s="174">
        <f t="shared" si="0"/>
        <v>130</v>
      </c>
      <c r="H49" s="174">
        <f>VLOOKUP(D49,原始分!$D:$N,4,0)</f>
        <v>117</v>
      </c>
      <c r="I49" s="174">
        <f t="shared" si="1"/>
        <v>85</v>
      </c>
      <c r="J49" s="174">
        <f>VLOOKUP(D49,原始分!$D:$N,5,0)</f>
        <v>104.75</v>
      </c>
      <c r="K49" s="174">
        <f t="shared" si="2"/>
        <v>177</v>
      </c>
      <c r="L49" s="174">
        <f>VLOOKUP(D49,原始分!$D:$N,6,0)</f>
        <v>61</v>
      </c>
      <c r="M49" s="174">
        <f t="shared" si="3"/>
        <v>168</v>
      </c>
      <c r="N49" s="174">
        <f>VLOOKUP(D49,原始分!$D:$N,7,0)</f>
        <v>0</v>
      </c>
      <c r="O49" s="174">
        <f t="shared" si="4"/>
        <v>1</v>
      </c>
      <c r="P49" s="174">
        <f>VLOOKUP(D49,原始分!$D:$N,8,0)</f>
        <v>0</v>
      </c>
      <c r="Q49" s="174">
        <f t="shared" si="5"/>
        <v>539</v>
      </c>
      <c r="R49" s="174">
        <f>VLOOKUP(D49,原始分!$D:$N,9,0)</f>
        <v>0</v>
      </c>
      <c r="S49" s="174">
        <f t="shared" si="6"/>
        <v>218</v>
      </c>
      <c r="T49" s="174">
        <f>VLOOKUP(D49,原始分!$D:$N,10,0)</f>
        <v>69</v>
      </c>
      <c r="U49" s="174">
        <f t="shared" si="7"/>
        <v>2</v>
      </c>
      <c r="V49" s="174">
        <f>VLOOKUP(D49,原始分!$D:$N,11,0)</f>
        <v>58</v>
      </c>
      <c r="W49" s="174">
        <f t="shared" si="8"/>
        <v>103</v>
      </c>
      <c r="X49" s="11">
        <f t="shared" si="9"/>
        <v>325.75</v>
      </c>
      <c r="Y49" s="9">
        <f t="shared" si="10"/>
        <v>82</v>
      </c>
      <c r="Z49" s="11">
        <f t="shared" si="11"/>
        <v>513.75</v>
      </c>
      <c r="AA49" s="9">
        <f t="shared" si="12"/>
        <v>47</v>
      </c>
    </row>
    <row r="50" ht="14.25" spans="1:27">
      <c r="A50" s="13">
        <v>227</v>
      </c>
      <c r="B50" s="15">
        <v>5</v>
      </c>
      <c r="C50" s="16">
        <v>24</v>
      </c>
      <c r="D50" s="17" t="s">
        <v>467</v>
      </c>
      <c r="E50" s="17" t="s">
        <v>468</v>
      </c>
      <c r="F50" s="174">
        <f>VLOOKUP(D50,原始分!$D:$N,3,0)</f>
        <v>105.25</v>
      </c>
      <c r="G50" s="174">
        <f t="shared" si="0"/>
        <v>106</v>
      </c>
      <c r="H50" s="174">
        <f>VLOOKUP(D50,原始分!$D:$N,4,0)</f>
        <v>122.5</v>
      </c>
      <c r="I50" s="174">
        <f t="shared" si="1"/>
        <v>45</v>
      </c>
      <c r="J50" s="174">
        <f>VLOOKUP(D50,原始分!$D:$N,5,0)</f>
        <v>113</v>
      </c>
      <c r="K50" s="174">
        <f t="shared" si="2"/>
        <v>72</v>
      </c>
      <c r="L50" s="174">
        <f>VLOOKUP(D50,原始分!$D:$N,6,0)</f>
        <v>76</v>
      </c>
      <c r="M50" s="174">
        <f t="shared" si="3"/>
        <v>27</v>
      </c>
      <c r="N50" s="174">
        <f>VLOOKUP(D50,原始分!$D:$N,7,0)</f>
        <v>0</v>
      </c>
      <c r="O50" s="174">
        <f t="shared" si="4"/>
        <v>1</v>
      </c>
      <c r="P50" s="174">
        <f>VLOOKUP(D50,原始分!$D:$N,8,0)</f>
        <v>47.5</v>
      </c>
      <c r="Q50" s="174">
        <f t="shared" si="5"/>
        <v>156</v>
      </c>
      <c r="R50" s="174">
        <f>VLOOKUP(D50,原始分!$D:$N,9,0)</f>
        <v>48.5</v>
      </c>
      <c r="S50" s="174">
        <f t="shared" si="6"/>
        <v>112</v>
      </c>
      <c r="T50" s="174">
        <f>VLOOKUP(D50,原始分!$D:$N,10,0)</f>
        <v>0</v>
      </c>
      <c r="U50" s="174">
        <f t="shared" si="7"/>
        <v>112</v>
      </c>
      <c r="V50" s="174">
        <f>VLOOKUP(D50,原始分!$D:$N,11,0)</f>
        <v>0</v>
      </c>
      <c r="W50" s="174">
        <f t="shared" si="8"/>
        <v>461</v>
      </c>
      <c r="X50" s="11">
        <f t="shared" si="9"/>
        <v>340.75</v>
      </c>
      <c r="Y50" s="9">
        <f t="shared" si="10"/>
        <v>27</v>
      </c>
      <c r="Z50" s="11">
        <f t="shared" si="11"/>
        <v>512.75</v>
      </c>
      <c r="AA50" s="9">
        <f t="shared" si="12"/>
        <v>48</v>
      </c>
    </row>
    <row r="51" ht="14.25" spans="1:27">
      <c r="A51" s="13">
        <v>425</v>
      </c>
      <c r="B51" s="15">
        <v>9</v>
      </c>
      <c r="C51" s="16">
        <v>41</v>
      </c>
      <c r="D51" s="19" t="s">
        <v>860</v>
      </c>
      <c r="E51" s="17" t="s">
        <v>861</v>
      </c>
      <c r="F51" s="174">
        <f>VLOOKUP(D51,原始分!$D:$N,3,0)</f>
        <v>100.75</v>
      </c>
      <c r="G51" s="174">
        <f t="shared" si="0"/>
        <v>248</v>
      </c>
      <c r="H51" s="174">
        <f>VLOOKUP(D51,原始分!$D:$N,4,0)</f>
        <v>129.5</v>
      </c>
      <c r="I51" s="174">
        <f t="shared" si="1"/>
        <v>16</v>
      </c>
      <c r="J51" s="174">
        <f>VLOOKUP(D51,原始分!$D:$N,5,0)</f>
        <v>111</v>
      </c>
      <c r="K51" s="174">
        <f t="shared" si="2"/>
        <v>94</v>
      </c>
      <c r="L51" s="174">
        <f>VLOOKUP(D51,原始分!$D:$N,6,0)</f>
        <v>76.5</v>
      </c>
      <c r="M51" s="174">
        <f t="shared" si="3"/>
        <v>22</v>
      </c>
      <c r="N51" s="174">
        <f>VLOOKUP(D51,原始分!$D:$N,7,0)</f>
        <v>0</v>
      </c>
      <c r="O51" s="174">
        <f t="shared" si="4"/>
        <v>1</v>
      </c>
      <c r="P51" s="174">
        <f>VLOOKUP(D51,原始分!$D:$N,8,0)</f>
        <v>42</v>
      </c>
      <c r="Q51" s="174">
        <f t="shared" si="5"/>
        <v>265</v>
      </c>
      <c r="R51" s="174">
        <f>VLOOKUP(D51,原始分!$D:$N,9,0)</f>
        <v>0</v>
      </c>
      <c r="S51" s="174">
        <f t="shared" si="6"/>
        <v>218</v>
      </c>
      <c r="T51" s="174">
        <f>VLOOKUP(D51,原始分!$D:$N,10,0)</f>
        <v>0</v>
      </c>
      <c r="U51" s="174">
        <f t="shared" si="7"/>
        <v>112</v>
      </c>
      <c r="V51" s="174">
        <f>VLOOKUP(D51,原始分!$D:$N,11,0)</f>
        <v>53</v>
      </c>
      <c r="W51" s="174">
        <f t="shared" si="8"/>
        <v>185</v>
      </c>
      <c r="X51" s="11">
        <f t="shared" si="9"/>
        <v>341.25</v>
      </c>
      <c r="Y51" s="9">
        <f t="shared" si="10"/>
        <v>26</v>
      </c>
      <c r="Z51" s="11">
        <f t="shared" si="11"/>
        <v>512.75</v>
      </c>
      <c r="AA51" s="9">
        <f t="shared" si="12"/>
        <v>48</v>
      </c>
    </row>
    <row r="52" ht="14.25" spans="1:27">
      <c r="A52" s="13">
        <v>654</v>
      </c>
      <c r="B52" s="15">
        <v>13</v>
      </c>
      <c r="C52" s="16">
        <v>48</v>
      </c>
      <c r="D52" s="17" t="s">
        <v>1315</v>
      </c>
      <c r="E52" s="17" t="s">
        <v>1316</v>
      </c>
      <c r="F52" s="174">
        <f>VLOOKUP(D52,原始分!$D:$N,3,0)</f>
        <v>110</v>
      </c>
      <c r="G52" s="174">
        <f t="shared" si="0"/>
        <v>24</v>
      </c>
      <c r="H52" s="174">
        <f>VLOOKUP(D52,原始分!$D:$N,4,0)</f>
        <v>121</v>
      </c>
      <c r="I52" s="174">
        <f t="shared" si="1"/>
        <v>52</v>
      </c>
      <c r="J52" s="174">
        <f>VLOOKUP(D52,原始分!$D:$N,5,0)</f>
        <v>99.25</v>
      </c>
      <c r="K52" s="174">
        <f t="shared" si="2"/>
        <v>264</v>
      </c>
      <c r="L52" s="174">
        <f>VLOOKUP(D52,原始分!$D:$N,6,0)</f>
        <v>67</v>
      </c>
      <c r="M52" s="174">
        <f t="shared" si="3"/>
        <v>82</v>
      </c>
      <c r="N52" s="174">
        <f>VLOOKUP(D52,原始分!$D:$N,7,0)</f>
        <v>0</v>
      </c>
      <c r="O52" s="174">
        <f t="shared" si="4"/>
        <v>1</v>
      </c>
      <c r="P52" s="174">
        <f>VLOOKUP(D52,原始分!$D:$N,8,0)</f>
        <v>54</v>
      </c>
      <c r="Q52" s="174">
        <f t="shared" si="5"/>
        <v>59</v>
      </c>
      <c r="R52" s="174">
        <f>VLOOKUP(D52,原始分!$D:$N,9,0)</f>
        <v>0</v>
      </c>
      <c r="S52" s="174">
        <f t="shared" si="6"/>
        <v>218</v>
      </c>
      <c r="T52" s="174">
        <f>VLOOKUP(D52,原始分!$D:$N,10,0)</f>
        <v>0</v>
      </c>
      <c r="U52" s="174">
        <f t="shared" si="7"/>
        <v>112</v>
      </c>
      <c r="V52" s="174">
        <f>VLOOKUP(D52,原始分!$D:$N,11,0)</f>
        <v>61</v>
      </c>
      <c r="W52" s="174">
        <f t="shared" si="8"/>
        <v>67</v>
      </c>
      <c r="X52" s="11">
        <f t="shared" si="9"/>
        <v>330.25</v>
      </c>
      <c r="Y52" s="9">
        <f t="shared" si="10"/>
        <v>65</v>
      </c>
      <c r="Z52" s="11">
        <f t="shared" si="11"/>
        <v>512.25</v>
      </c>
      <c r="AA52" s="9">
        <f t="shared" si="12"/>
        <v>50</v>
      </c>
    </row>
    <row r="53" ht="14.25" spans="1:27">
      <c r="A53" s="13">
        <v>395</v>
      </c>
      <c r="B53" s="15">
        <v>9</v>
      </c>
      <c r="C53" s="16">
        <v>10</v>
      </c>
      <c r="D53" s="17" t="s">
        <v>800</v>
      </c>
      <c r="E53" s="17" t="s">
        <v>801</v>
      </c>
      <c r="F53" s="174">
        <f>VLOOKUP(D53,原始分!$D:$N,3,0)</f>
        <v>101</v>
      </c>
      <c r="G53" s="174">
        <f t="shared" si="0"/>
        <v>224</v>
      </c>
      <c r="H53" s="174">
        <f>VLOOKUP(D53,原始分!$D:$N,4,0)</f>
        <v>119</v>
      </c>
      <c r="I53" s="174">
        <f t="shared" si="1"/>
        <v>70</v>
      </c>
      <c r="J53" s="174">
        <f>VLOOKUP(D53,原始分!$D:$N,5,0)</f>
        <v>107.25</v>
      </c>
      <c r="K53" s="174">
        <f t="shared" si="2"/>
        <v>137</v>
      </c>
      <c r="L53" s="174">
        <f>VLOOKUP(D53,原始分!$D:$N,6,0)</f>
        <v>69.5</v>
      </c>
      <c r="M53" s="174">
        <f t="shared" si="3"/>
        <v>67</v>
      </c>
      <c r="N53" s="174">
        <f>VLOOKUP(D53,原始分!$D:$N,7,0)</f>
        <v>0</v>
      </c>
      <c r="O53" s="174">
        <f t="shared" si="4"/>
        <v>1</v>
      </c>
      <c r="P53" s="174">
        <f>VLOOKUP(D53,原始分!$D:$N,8,0)</f>
        <v>49.5</v>
      </c>
      <c r="Q53" s="174">
        <f t="shared" si="5"/>
        <v>119</v>
      </c>
      <c r="R53" s="174">
        <f>VLOOKUP(D53,原始分!$D:$N,9,0)</f>
        <v>0</v>
      </c>
      <c r="S53" s="174">
        <f t="shared" si="6"/>
        <v>218</v>
      </c>
      <c r="T53" s="174">
        <f>VLOOKUP(D53,原始分!$D:$N,10,0)</f>
        <v>0</v>
      </c>
      <c r="U53" s="174">
        <f t="shared" si="7"/>
        <v>112</v>
      </c>
      <c r="V53" s="174">
        <f>VLOOKUP(D53,原始分!$D:$N,11,0)</f>
        <v>65.5</v>
      </c>
      <c r="W53" s="174">
        <f t="shared" si="8"/>
        <v>32</v>
      </c>
      <c r="X53" s="11">
        <f t="shared" si="9"/>
        <v>327.25</v>
      </c>
      <c r="Y53" s="9">
        <f t="shared" si="10"/>
        <v>76</v>
      </c>
      <c r="Z53" s="11">
        <f t="shared" si="11"/>
        <v>511.75</v>
      </c>
      <c r="AA53" s="9">
        <f t="shared" si="12"/>
        <v>51</v>
      </c>
    </row>
    <row r="54" ht="14.25" spans="1:27">
      <c r="A54" s="13">
        <v>142</v>
      </c>
      <c r="B54" s="15">
        <v>3</v>
      </c>
      <c r="C54" s="16">
        <v>31</v>
      </c>
      <c r="D54" s="17" t="s">
        <v>297</v>
      </c>
      <c r="E54" s="17" t="s">
        <v>298</v>
      </c>
      <c r="F54" s="174">
        <f>VLOOKUP(D54,原始分!$D:$N,3,0)</f>
        <v>102.5</v>
      </c>
      <c r="G54" s="174">
        <f t="shared" si="0"/>
        <v>183</v>
      </c>
      <c r="H54" s="174">
        <f>VLOOKUP(D54,原始分!$D:$N,4,0)</f>
        <v>118.5</v>
      </c>
      <c r="I54" s="174">
        <f t="shared" si="1"/>
        <v>74</v>
      </c>
      <c r="J54" s="174">
        <f>VLOOKUP(D54,原始分!$D:$N,5,0)</f>
        <v>113</v>
      </c>
      <c r="K54" s="174">
        <f t="shared" si="2"/>
        <v>72</v>
      </c>
      <c r="L54" s="174">
        <f>VLOOKUP(D54,原始分!$D:$N,6,0)</f>
        <v>82.5</v>
      </c>
      <c r="M54" s="174">
        <f t="shared" si="3"/>
        <v>7</v>
      </c>
      <c r="N54" s="174">
        <f>VLOOKUP(D54,原始分!$D:$N,7,0)</f>
        <v>0</v>
      </c>
      <c r="O54" s="174">
        <f t="shared" si="4"/>
        <v>1</v>
      </c>
      <c r="P54" s="174">
        <f>VLOOKUP(D54,原始分!$D:$N,8,0)</f>
        <v>51.5</v>
      </c>
      <c r="Q54" s="174">
        <f t="shared" si="5"/>
        <v>90</v>
      </c>
      <c r="R54" s="174">
        <f>VLOOKUP(D54,原始分!$D:$N,9,0)</f>
        <v>43.5</v>
      </c>
      <c r="S54" s="174">
        <f t="shared" si="6"/>
        <v>171</v>
      </c>
      <c r="T54" s="174">
        <f>VLOOKUP(D54,原始分!$D:$N,10,0)</f>
        <v>0</v>
      </c>
      <c r="U54" s="174">
        <f t="shared" si="7"/>
        <v>112</v>
      </c>
      <c r="V54" s="174">
        <f>VLOOKUP(D54,原始分!$D:$N,11,0)</f>
        <v>0</v>
      </c>
      <c r="W54" s="174">
        <f t="shared" si="8"/>
        <v>461</v>
      </c>
      <c r="X54" s="11">
        <f t="shared" si="9"/>
        <v>334</v>
      </c>
      <c r="Y54" s="9">
        <f t="shared" si="10"/>
        <v>53</v>
      </c>
      <c r="Z54" s="11">
        <f t="shared" si="11"/>
        <v>511.5</v>
      </c>
      <c r="AA54" s="9">
        <f t="shared" si="12"/>
        <v>52</v>
      </c>
    </row>
    <row r="55" ht="14.25" spans="1:27">
      <c r="A55" s="13">
        <v>431</v>
      </c>
      <c r="B55" s="15">
        <v>9</v>
      </c>
      <c r="C55" s="16">
        <v>47</v>
      </c>
      <c r="D55" s="17" t="s">
        <v>872</v>
      </c>
      <c r="E55" s="17" t="s">
        <v>873</v>
      </c>
      <c r="F55" s="174">
        <f>VLOOKUP(D55,原始分!$D:$N,3,0)</f>
        <v>109.5</v>
      </c>
      <c r="G55" s="174">
        <f t="shared" si="0"/>
        <v>27</v>
      </c>
      <c r="H55" s="174">
        <f>VLOOKUP(D55,原始分!$D:$N,4,0)</f>
        <v>117</v>
      </c>
      <c r="I55" s="174">
        <f t="shared" si="1"/>
        <v>85</v>
      </c>
      <c r="J55" s="174">
        <f>VLOOKUP(D55,原始分!$D:$N,5,0)</f>
        <v>120</v>
      </c>
      <c r="K55" s="174">
        <f t="shared" si="2"/>
        <v>21</v>
      </c>
      <c r="L55" s="174">
        <f>VLOOKUP(D55,原始分!$D:$N,6,0)</f>
        <v>57.5</v>
      </c>
      <c r="M55" s="174">
        <f t="shared" si="3"/>
        <v>228</v>
      </c>
      <c r="N55" s="174">
        <f>VLOOKUP(D55,原始分!$D:$N,7,0)</f>
        <v>0</v>
      </c>
      <c r="O55" s="174">
        <f t="shared" si="4"/>
        <v>1</v>
      </c>
      <c r="P55" s="174">
        <f>VLOOKUP(D55,原始分!$D:$N,8,0)</f>
        <v>44</v>
      </c>
      <c r="Q55" s="174">
        <f t="shared" si="5"/>
        <v>226</v>
      </c>
      <c r="R55" s="174">
        <f>VLOOKUP(D55,原始分!$D:$N,9,0)</f>
        <v>0</v>
      </c>
      <c r="S55" s="174">
        <f t="shared" si="6"/>
        <v>218</v>
      </c>
      <c r="T55" s="174">
        <f>VLOOKUP(D55,原始分!$D:$N,10,0)</f>
        <v>0</v>
      </c>
      <c r="U55" s="174">
        <f t="shared" si="7"/>
        <v>112</v>
      </c>
      <c r="V55" s="174">
        <f>VLOOKUP(D55,原始分!$D:$N,11,0)</f>
        <v>62</v>
      </c>
      <c r="W55" s="174">
        <f t="shared" si="8"/>
        <v>59</v>
      </c>
      <c r="X55" s="11">
        <f t="shared" si="9"/>
        <v>346.5</v>
      </c>
      <c r="Y55" s="9">
        <f t="shared" si="10"/>
        <v>16</v>
      </c>
      <c r="Z55" s="11">
        <f t="shared" si="11"/>
        <v>510</v>
      </c>
      <c r="AA55" s="9">
        <f t="shared" si="12"/>
        <v>53</v>
      </c>
    </row>
    <row r="56" ht="14.25" spans="1:27">
      <c r="A56" s="13">
        <v>477</v>
      </c>
      <c r="B56" s="15">
        <v>10</v>
      </c>
      <c r="C56" s="16">
        <v>38</v>
      </c>
      <c r="D56" s="17" t="s">
        <v>964</v>
      </c>
      <c r="E56" s="17" t="s">
        <v>965</v>
      </c>
      <c r="F56" s="174">
        <f>VLOOKUP(D56,原始分!$D:$N,3,0)</f>
        <v>109</v>
      </c>
      <c r="G56" s="174">
        <f t="shared" si="0"/>
        <v>35</v>
      </c>
      <c r="H56" s="174">
        <f>VLOOKUP(D56,原始分!$D:$N,4,0)</f>
        <v>113</v>
      </c>
      <c r="I56" s="174">
        <f t="shared" si="1"/>
        <v>143</v>
      </c>
      <c r="J56" s="174">
        <f>VLOOKUP(D56,原始分!$D:$N,5,0)</f>
        <v>109.5</v>
      </c>
      <c r="K56" s="174">
        <f t="shared" si="2"/>
        <v>111</v>
      </c>
      <c r="L56" s="174">
        <f>VLOOKUP(D56,原始分!$D:$N,6,0)</f>
        <v>66.5</v>
      </c>
      <c r="M56" s="174">
        <f t="shared" si="3"/>
        <v>88</v>
      </c>
      <c r="N56" s="174">
        <f>VLOOKUP(D56,原始分!$D:$N,7,0)</f>
        <v>0</v>
      </c>
      <c r="O56" s="174">
        <f t="shared" si="4"/>
        <v>1</v>
      </c>
      <c r="P56" s="174">
        <f>VLOOKUP(D56,原始分!$D:$N,8,0)</f>
        <v>47</v>
      </c>
      <c r="Q56" s="174">
        <f t="shared" si="5"/>
        <v>172</v>
      </c>
      <c r="R56" s="174">
        <f>VLOOKUP(D56,原始分!$D:$N,9,0)</f>
        <v>0</v>
      </c>
      <c r="S56" s="174">
        <f t="shared" si="6"/>
        <v>218</v>
      </c>
      <c r="T56" s="174">
        <f>VLOOKUP(D56,原始分!$D:$N,10,0)</f>
        <v>0</v>
      </c>
      <c r="U56" s="174">
        <f t="shared" si="7"/>
        <v>112</v>
      </c>
      <c r="V56" s="174">
        <f>VLOOKUP(D56,原始分!$D:$N,11,0)</f>
        <v>65</v>
      </c>
      <c r="W56" s="174">
        <f t="shared" si="8"/>
        <v>34</v>
      </c>
      <c r="X56" s="11">
        <f t="shared" si="9"/>
        <v>331.5</v>
      </c>
      <c r="Y56" s="9">
        <f t="shared" si="10"/>
        <v>59</v>
      </c>
      <c r="Z56" s="11">
        <f t="shared" si="11"/>
        <v>510</v>
      </c>
      <c r="AA56" s="9">
        <f t="shared" si="12"/>
        <v>53</v>
      </c>
    </row>
    <row r="57" ht="14.25" spans="1:27">
      <c r="A57" s="13">
        <v>420</v>
      </c>
      <c r="B57" s="15">
        <v>9</v>
      </c>
      <c r="C57" s="16">
        <v>36</v>
      </c>
      <c r="D57" s="17" t="s">
        <v>850</v>
      </c>
      <c r="E57" s="17" t="s">
        <v>851</v>
      </c>
      <c r="F57" s="174">
        <f>VLOOKUP(D57,原始分!$D:$N,3,0)</f>
        <v>107.75</v>
      </c>
      <c r="G57" s="174">
        <f t="shared" si="0"/>
        <v>53</v>
      </c>
      <c r="H57" s="174">
        <f>VLOOKUP(D57,原始分!$D:$N,4,0)</f>
        <v>121.5</v>
      </c>
      <c r="I57" s="174">
        <f t="shared" si="1"/>
        <v>49</v>
      </c>
      <c r="J57" s="174">
        <f>VLOOKUP(D57,原始分!$D:$N,5,0)</f>
        <v>96</v>
      </c>
      <c r="K57" s="174">
        <f t="shared" si="2"/>
        <v>322</v>
      </c>
      <c r="L57" s="174">
        <f>VLOOKUP(D57,原始分!$D:$N,6,0)</f>
        <v>64.5</v>
      </c>
      <c r="M57" s="174">
        <f t="shared" si="3"/>
        <v>120</v>
      </c>
      <c r="N57" s="174">
        <f>VLOOKUP(D57,原始分!$D:$N,7,0)</f>
        <v>0</v>
      </c>
      <c r="O57" s="174">
        <f t="shared" si="4"/>
        <v>1</v>
      </c>
      <c r="P57" s="174">
        <f>VLOOKUP(D57,原始分!$D:$N,8,0)</f>
        <v>63.5</v>
      </c>
      <c r="Q57" s="174">
        <f t="shared" si="5"/>
        <v>12</v>
      </c>
      <c r="R57" s="174">
        <f>VLOOKUP(D57,原始分!$D:$N,9,0)</f>
        <v>0</v>
      </c>
      <c r="S57" s="174">
        <f t="shared" si="6"/>
        <v>218</v>
      </c>
      <c r="T57" s="174">
        <f>VLOOKUP(D57,原始分!$D:$N,10,0)</f>
        <v>0</v>
      </c>
      <c r="U57" s="174">
        <f t="shared" si="7"/>
        <v>112</v>
      </c>
      <c r="V57" s="174">
        <f>VLOOKUP(D57,原始分!$D:$N,11,0)</f>
        <v>56.5</v>
      </c>
      <c r="W57" s="174">
        <f t="shared" si="8"/>
        <v>125</v>
      </c>
      <c r="X57" s="11">
        <f t="shared" si="9"/>
        <v>325.25</v>
      </c>
      <c r="Y57" s="9">
        <f t="shared" si="10"/>
        <v>87</v>
      </c>
      <c r="Z57" s="11">
        <f t="shared" si="11"/>
        <v>509.75</v>
      </c>
      <c r="AA57" s="9">
        <f t="shared" si="12"/>
        <v>55</v>
      </c>
    </row>
    <row r="58" ht="14.25" spans="1:27">
      <c r="A58" s="13">
        <v>39</v>
      </c>
      <c r="B58" s="15">
        <v>1</v>
      </c>
      <c r="C58" s="16">
        <v>41</v>
      </c>
      <c r="D58" s="17" t="s">
        <v>92</v>
      </c>
      <c r="E58" s="17" t="s">
        <v>93</v>
      </c>
      <c r="F58" s="174">
        <f>VLOOKUP(D58,原始分!$D:$N,3,0)</f>
        <v>112</v>
      </c>
      <c r="G58" s="174">
        <f t="shared" si="0"/>
        <v>14</v>
      </c>
      <c r="H58" s="174">
        <f>VLOOKUP(D58,原始分!$D:$N,4,0)</f>
        <v>110.5</v>
      </c>
      <c r="I58" s="174">
        <f t="shared" si="1"/>
        <v>184</v>
      </c>
      <c r="J58" s="174">
        <f>VLOOKUP(D58,原始分!$D:$N,5,0)</f>
        <v>106.25</v>
      </c>
      <c r="K58" s="174">
        <f t="shared" si="2"/>
        <v>151</v>
      </c>
      <c r="L58" s="174">
        <f>VLOOKUP(D58,原始分!$D:$N,6,0)</f>
        <v>65.5</v>
      </c>
      <c r="M58" s="174">
        <f t="shared" si="3"/>
        <v>105</v>
      </c>
      <c r="N58" s="174">
        <f>VLOOKUP(D58,原始分!$D:$N,7,0)</f>
        <v>0</v>
      </c>
      <c r="O58" s="174">
        <f t="shared" si="4"/>
        <v>1</v>
      </c>
      <c r="P58" s="174">
        <f>VLOOKUP(D58,原始分!$D:$N,8,0)</f>
        <v>47.5</v>
      </c>
      <c r="Q58" s="174">
        <f t="shared" si="5"/>
        <v>156</v>
      </c>
      <c r="R58" s="174">
        <f>VLOOKUP(D58,原始分!$D:$N,9,0)</f>
        <v>0</v>
      </c>
      <c r="S58" s="174">
        <f t="shared" si="6"/>
        <v>218</v>
      </c>
      <c r="T58" s="174">
        <f>VLOOKUP(D58,原始分!$D:$N,10,0)</f>
        <v>67.5</v>
      </c>
      <c r="U58" s="174">
        <f t="shared" si="7"/>
        <v>5</v>
      </c>
      <c r="V58" s="174">
        <f>VLOOKUP(D58,原始分!$D:$N,11,0)</f>
        <v>0</v>
      </c>
      <c r="W58" s="174">
        <f t="shared" si="8"/>
        <v>461</v>
      </c>
      <c r="X58" s="11">
        <f t="shared" si="9"/>
        <v>328.75</v>
      </c>
      <c r="Y58" s="9">
        <f t="shared" si="10"/>
        <v>74</v>
      </c>
      <c r="Z58" s="11">
        <f t="shared" si="11"/>
        <v>509.25</v>
      </c>
      <c r="AA58" s="9">
        <f t="shared" si="12"/>
        <v>56</v>
      </c>
    </row>
    <row r="59" ht="14.25" spans="1:27">
      <c r="A59" s="13">
        <v>468</v>
      </c>
      <c r="B59" s="15">
        <v>10</v>
      </c>
      <c r="C59" s="16">
        <v>29</v>
      </c>
      <c r="D59" s="17" t="s">
        <v>946</v>
      </c>
      <c r="E59" s="17" t="s">
        <v>947</v>
      </c>
      <c r="F59" s="174">
        <f>VLOOKUP(D59,原始分!$D:$N,3,0)</f>
        <v>102.5</v>
      </c>
      <c r="G59" s="174">
        <f t="shared" si="0"/>
        <v>183</v>
      </c>
      <c r="H59" s="174">
        <f>VLOOKUP(D59,原始分!$D:$N,4,0)</f>
        <v>130.5</v>
      </c>
      <c r="I59" s="174">
        <f t="shared" si="1"/>
        <v>9</v>
      </c>
      <c r="J59" s="174">
        <f>VLOOKUP(D59,原始分!$D:$N,5,0)</f>
        <v>104.25</v>
      </c>
      <c r="K59" s="174">
        <f t="shared" si="2"/>
        <v>182</v>
      </c>
      <c r="L59" s="174">
        <f>VLOOKUP(D59,原始分!$D:$N,6,0)</f>
        <v>63.5</v>
      </c>
      <c r="M59" s="174">
        <f t="shared" si="3"/>
        <v>138</v>
      </c>
      <c r="N59" s="174">
        <f>VLOOKUP(D59,原始分!$D:$N,7,0)</f>
        <v>0</v>
      </c>
      <c r="O59" s="174">
        <f t="shared" si="4"/>
        <v>1</v>
      </c>
      <c r="P59" s="174">
        <f>VLOOKUP(D59,原始分!$D:$N,8,0)</f>
        <v>50</v>
      </c>
      <c r="Q59" s="174">
        <f t="shared" si="5"/>
        <v>108</v>
      </c>
      <c r="R59" s="174">
        <f>VLOOKUP(D59,原始分!$D:$N,9,0)</f>
        <v>0</v>
      </c>
      <c r="S59" s="174">
        <f t="shared" si="6"/>
        <v>218</v>
      </c>
      <c r="T59" s="174">
        <f>VLOOKUP(D59,原始分!$D:$N,10,0)</f>
        <v>0</v>
      </c>
      <c r="U59" s="174">
        <f t="shared" si="7"/>
        <v>112</v>
      </c>
      <c r="V59" s="174">
        <f>VLOOKUP(D59,原始分!$D:$N,11,0)</f>
        <v>57.5</v>
      </c>
      <c r="W59" s="174">
        <f t="shared" si="8"/>
        <v>107</v>
      </c>
      <c r="X59" s="11">
        <f t="shared" si="9"/>
        <v>337.25</v>
      </c>
      <c r="Y59" s="9">
        <f t="shared" si="10"/>
        <v>35</v>
      </c>
      <c r="Z59" s="11">
        <f t="shared" si="11"/>
        <v>508.25</v>
      </c>
      <c r="AA59" s="9">
        <f t="shared" si="12"/>
        <v>57</v>
      </c>
    </row>
    <row r="60" ht="14.25" spans="1:27">
      <c r="A60" s="13">
        <v>453</v>
      </c>
      <c r="B60" s="15">
        <v>10</v>
      </c>
      <c r="C60" s="16">
        <v>14</v>
      </c>
      <c r="D60" s="19" t="s">
        <v>916</v>
      </c>
      <c r="E60" s="17" t="s">
        <v>917</v>
      </c>
      <c r="F60" s="174">
        <f>VLOOKUP(D60,原始分!$D:$N,3,0)</f>
        <v>99.5</v>
      </c>
      <c r="G60" s="174">
        <f t="shared" si="0"/>
        <v>286</v>
      </c>
      <c r="H60" s="174">
        <f>VLOOKUP(D60,原始分!$D:$N,4,0)</f>
        <v>108</v>
      </c>
      <c r="I60" s="174">
        <f t="shared" si="1"/>
        <v>221</v>
      </c>
      <c r="J60" s="174">
        <f>VLOOKUP(D60,原始分!$D:$N,5,0)</f>
        <v>100</v>
      </c>
      <c r="K60" s="174">
        <f t="shared" si="2"/>
        <v>243</v>
      </c>
      <c r="L60" s="174">
        <f>VLOOKUP(D60,原始分!$D:$N,6,0)</f>
        <v>58</v>
      </c>
      <c r="M60" s="174">
        <f t="shared" si="3"/>
        <v>220</v>
      </c>
      <c r="N60" s="174">
        <f>VLOOKUP(D60,原始分!$D:$N,7,0)</f>
        <v>0</v>
      </c>
      <c r="O60" s="174">
        <f t="shared" si="4"/>
        <v>1</v>
      </c>
      <c r="P60" s="174">
        <f>VLOOKUP(D60,原始分!$D:$N,8,0)</f>
        <v>73</v>
      </c>
      <c r="Q60" s="174">
        <f t="shared" si="5"/>
        <v>2</v>
      </c>
      <c r="R60" s="174">
        <f>VLOOKUP(D60,原始分!$D:$N,9,0)</f>
        <v>0</v>
      </c>
      <c r="S60" s="174">
        <f t="shared" si="6"/>
        <v>218</v>
      </c>
      <c r="T60" s="174">
        <f>VLOOKUP(D60,原始分!$D:$N,10,0)</f>
        <v>0</v>
      </c>
      <c r="U60" s="174">
        <f t="shared" si="7"/>
        <v>112</v>
      </c>
      <c r="V60" s="174">
        <f>VLOOKUP(D60,原始分!$D:$N,11,0)</f>
        <v>69.5</v>
      </c>
      <c r="W60" s="174">
        <f t="shared" si="8"/>
        <v>15</v>
      </c>
      <c r="X60" s="11">
        <f t="shared" si="9"/>
        <v>307.5</v>
      </c>
      <c r="Y60" s="9">
        <f t="shared" si="10"/>
        <v>214</v>
      </c>
      <c r="Z60" s="11">
        <f t="shared" si="11"/>
        <v>508</v>
      </c>
      <c r="AA60" s="9">
        <f t="shared" si="12"/>
        <v>58</v>
      </c>
    </row>
    <row r="61" ht="14.25" spans="1:27">
      <c r="A61" s="13">
        <v>639</v>
      </c>
      <c r="B61" s="15">
        <v>13</v>
      </c>
      <c r="C61" s="16">
        <v>32</v>
      </c>
      <c r="D61" s="17" t="s">
        <v>1285</v>
      </c>
      <c r="E61" s="17" t="s">
        <v>1286</v>
      </c>
      <c r="F61" s="174">
        <f>VLOOKUP(D61,原始分!$D:$N,3,0)</f>
        <v>106.5</v>
      </c>
      <c r="G61" s="174">
        <f t="shared" si="0"/>
        <v>76</v>
      </c>
      <c r="H61" s="174">
        <f>VLOOKUP(D61,原始分!$D:$N,4,0)</f>
        <v>133.5</v>
      </c>
      <c r="I61" s="174">
        <f t="shared" si="1"/>
        <v>6</v>
      </c>
      <c r="J61" s="174">
        <f>VLOOKUP(D61,原始分!$D:$N,5,0)</f>
        <v>93</v>
      </c>
      <c r="K61" s="174">
        <f t="shared" si="2"/>
        <v>372</v>
      </c>
      <c r="L61" s="174">
        <f>VLOOKUP(D61,原始分!$D:$N,6,0)</f>
        <v>75.5</v>
      </c>
      <c r="M61" s="174">
        <f t="shared" si="3"/>
        <v>31</v>
      </c>
      <c r="N61" s="174">
        <f>VLOOKUP(D61,原始分!$D:$N,7,0)</f>
        <v>0</v>
      </c>
      <c r="O61" s="174">
        <f t="shared" si="4"/>
        <v>1</v>
      </c>
      <c r="P61" s="174">
        <f>VLOOKUP(D61,原始分!$D:$N,8,0)</f>
        <v>44.5</v>
      </c>
      <c r="Q61" s="174">
        <f t="shared" si="5"/>
        <v>218</v>
      </c>
      <c r="R61" s="174">
        <f>VLOOKUP(D61,原始分!$D:$N,9,0)</f>
        <v>0</v>
      </c>
      <c r="S61" s="174">
        <f t="shared" si="6"/>
        <v>218</v>
      </c>
      <c r="T61" s="174">
        <f>VLOOKUP(D61,原始分!$D:$N,10,0)</f>
        <v>0</v>
      </c>
      <c r="U61" s="174">
        <f t="shared" si="7"/>
        <v>112</v>
      </c>
      <c r="V61" s="174">
        <f>VLOOKUP(D61,原始分!$D:$N,11,0)</f>
        <v>54.5</v>
      </c>
      <c r="W61" s="174">
        <f t="shared" si="8"/>
        <v>154</v>
      </c>
      <c r="X61" s="11">
        <f t="shared" si="9"/>
        <v>333</v>
      </c>
      <c r="Y61" s="9">
        <f t="shared" si="10"/>
        <v>56</v>
      </c>
      <c r="Z61" s="11">
        <f t="shared" si="11"/>
        <v>507.5</v>
      </c>
      <c r="AA61" s="9">
        <f t="shared" si="12"/>
        <v>59</v>
      </c>
    </row>
    <row r="62" ht="14.25" spans="1:27">
      <c r="A62" s="13">
        <v>479</v>
      </c>
      <c r="B62" s="15">
        <v>10</v>
      </c>
      <c r="C62" s="16">
        <v>40</v>
      </c>
      <c r="D62" s="17" t="s">
        <v>968</v>
      </c>
      <c r="E62" s="17" t="s">
        <v>969</v>
      </c>
      <c r="F62" s="174">
        <f>VLOOKUP(D62,原始分!$D:$N,3,0)</f>
        <v>115</v>
      </c>
      <c r="G62" s="174">
        <f t="shared" si="0"/>
        <v>6</v>
      </c>
      <c r="H62" s="174">
        <f>VLOOKUP(D62,原始分!$D:$N,4,0)</f>
        <v>103</v>
      </c>
      <c r="I62" s="174">
        <f t="shared" si="1"/>
        <v>312</v>
      </c>
      <c r="J62" s="174">
        <f>VLOOKUP(D62,原始分!$D:$N,5,0)</f>
        <v>112.75</v>
      </c>
      <c r="K62" s="174">
        <f t="shared" si="2"/>
        <v>77</v>
      </c>
      <c r="L62" s="174">
        <f>VLOOKUP(D62,原始分!$D:$N,6,0)</f>
        <v>66</v>
      </c>
      <c r="M62" s="174">
        <f t="shared" si="3"/>
        <v>97</v>
      </c>
      <c r="N62" s="174">
        <f>VLOOKUP(D62,原始分!$D:$N,7,0)</f>
        <v>0</v>
      </c>
      <c r="O62" s="174">
        <f t="shared" si="4"/>
        <v>1</v>
      </c>
      <c r="P62" s="174">
        <f>VLOOKUP(D62,原始分!$D:$N,8,0)</f>
        <v>62.5</v>
      </c>
      <c r="Q62" s="174">
        <f t="shared" si="5"/>
        <v>16</v>
      </c>
      <c r="R62" s="174">
        <f>VLOOKUP(D62,原始分!$D:$N,9,0)</f>
        <v>0</v>
      </c>
      <c r="S62" s="174">
        <f t="shared" si="6"/>
        <v>218</v>
      </c>
      <c r="T62" s="174">
        <f>VLOOKUP(D62,原始分!$D:$N,10,0)</f>
        <v>0</v>
      </c>
      <c r="U62" s="174">
        <f t="shared" si="7"/>
        <v>112</v>
      </c>
      <c r="V62" s="174">
        <f>VLOOKUP(D62,原始分!$D:$N,11,0)</f>
        <v>48</v>
      </c>
      <c r="W62" s="174">
        <f t="shared" si="8"/>
        <v>277</v>
      </c>
      <c r="X62" s="11">
        <f t="shared" si="9"/>
        <v>330.75</v>
      </c>
      <c r="Y62" s="9">
        <f t="shared" si="10"/>
        <v>61</v>
      </c>
      <c r="Z62" s="11">
        <f t="shared" si="11"/>
        <v>507.25</v>
      </c>
      <c r="AA62" s="9">
        <f t="shared" si="12"/>
        <v>60</v>
      </c>
    </row>
    <row r="63" ht="14.25" spans="1:27">
      <c r="A63" s="13">
        <v>417</v>
      </c>
      <c r="B63" s="15">
        <v>9</v>
      </c>
      <c r="C63" s="16">
        <v>33</v>
      </c>
      <c r="D63" s="17" t="s">
        <v>844</v>
      </c>
      <c r="E63" s="17" t="s">
        <v>845</v>
      </c>
      <c r="F63" s="174">
        <f>VLOOKUP(D63,原始分!$D:$N,3,0)</f>
        <v>98.5</v>
      </c>
      <c r="G63" s="174">
        <f t="shared" si="0"/>
        <v>324</v>
      </c>
      <c r="H63" s="174">
        <f>VLOOKUP(D63,原始分!$D:$N,4,0)</f>
        <v>117.5</v>
      </c>
      <c r="I63" s="174">
        <f t="shared" si="1"/>
        <v>83</v>
      </c>
      <c r="J63" s="174">
        <f>VLOOKUP(D63,原始分!$D:$N,5,0)</f>
        <v>120</v>
      </c>
      <c r="K63" s="174">
        <f t="shared" si="2"/>
        <v>21</v>
      </c>
      <c r="L63" s="174">
        <f>VLOOKUP(D63,原始分!$D:$N,6,0)</f>
        <v>62</v>
      </c>
      <c r="M63" s="174">
        <f t="shared" si="3"/>
        <v>157</v>
      </c>
      <c r="N63" s="174">
        <f>VLOOKUP(D63,原始分!$D:$N,7,0)</f>
        <v>0</v>
      </c>
      <c r="O63" s="174">
        <f t="shared" si="4"/>
        <v>1</v>
      </c>
      <c r="P63" s="174">
        <f>VLOOKUP(D63,原始分!$D:$N,8,0)</f>
        <v>55.5</v>
      </c>
      <c r="Q63" s="174">
        <f t="shared" si="5"/>
        <v>47</v>
      </c>
      <c r="R63" s="174">
        <f>VLOOKUP(D63,原始分!$D:$N,9,0)</f>
        <v>0</v>
      </c>
      <c r="S63" s="174">
        <f t="shared" si="6"/>
        <v>218</v>
      </c>
      <c r="T63" s="174">
        <f>VLOOKUP(D63,原始分!$D:$N,10,0)</f>
        <v>0</v>
      </c>
      <c r="U63" s="174">
        <f t="shared" si="7"/>
        <v>112</v>
      </c>
      <c r="V63" s="174">
        <f>VLOOKUP(D63,原始分!$D:$N,11,0)</f>
        <v>53.5</v>
      </c>
      <c r="W63" s="174">
        <f t="shared" si="8"/>
        <v>171</v>
      </c>
      <c r="X63" s="11">
        <f t="shared" si="9"/>
        <v>336</v>
      </c>
      <c r="Y63" s="9">
        <f t="shared" si="10"/>
        <v>45</v>
      </c>
      <c r="Z63" s="11">
        <f t="shared" si="11"/>
        <v>507</v>
      </c>
      <c r="AA63" s="9">
        <f t="shared" si="12"/>
        <v>61</v>
      </c>
    </row>
    <row r="64" ht="14.25" spans="1:27">
      <c r="A64" s="13">
        <v>557</v>
      </c>
      <c r="B64" s="15">
        <v>12</v>
      </c>
      <c r="C64" s="16">
        <v>4</v>
      </c>
      <c r="D64" s="17" t="s">
        <v>1122</v>
      </c>
      <c r="E64" s="17" t="s">
        <v>1123</v>
      </c>
      <c r="F64" s="174">
        <f>VLOOKUP(D64,原始分!$D:$N,3,0)</f>
        <v>102</v>
      </c>
      <c r="G64" s="174">
        <f t="shared" si="0"/>
        <v>199</v>
      </c>
      <c r="H64" s="174">
        <f>VLOOKUP(D64,原始分!$D:$N,4,0)</f>
        <v>104.5</v>
      </c>
      <c r="I64" s="174">
        <f t="shared" si="1"/>
        <v>277</v>
      </c>
      <c r="J64" s="174">
        <f>VLOOKUP(D64,原始分!$D:$N,5,0)</f>
        <v>125.5</v>
      </c>
      <c r="K64" s="174">
        <f t="shared" si="2"/>
        <v>5</v>
      </c>
      <c r="L64" s="174">
        <f>VLOOKUP(D64,原始分!$D:$N,6,0)</f>
        <v>72.5</v>
      </c>
      <c r="M64" s="174">
        <f t="shared" si="3"/>
        <v>52</v>
      </c>
      <c r="N64" s="174">
        <f>VLOOKUP(D64,原始分!$D:$N,7,0)</f>
        <v>0</v>
      </c>
      <c r="O64" s="174">
        <f t="shared" si="4"/>
        <v>1</v>
      </c>
      <c r="P64" s="174">
        <f>VLOOKUP(D64,原始分!$D:$N,8,0)</f>
        <v>41.5</v>
      </c>
      <c r="Q64" s="174">
        <f t="shared" si="5"/>
        <v>278</v>
      </c>
      <c r="R64" s="174">
        <f>VLOOKUP(D64,原始分!$D:$N,9,0)</f>
        <v>0</v>
      </c>
      <c r="S64" s="174">
        <f t="shared" si="6"/>
        <v>218</v>
      </c>
      <c r="T64" s="174">
        <f>VLOOKUP(D64,原始分!$D:$N,10,0)</f>
        <v>0</v>
      </c>
      <c r="U64" s="174">
        <f t="shared" si="7"/>
        <v>112</v>
      </c>
      <c r="V64" s="174">
        <f>VLOOKUP(D64,原始分!$D:$N,11,0)</f>
        <v>60.5</v>
      </c>
      <c r="W64" s="174">
        <f t="shared" si="8"/>
        <v>74</v>
      </c>
      <c r="X64" s="11">
        <f t="shared" si="9"/>
        <v>332</v>
      </c>
      <c r="Y64" s="9">
        <f t="shared" si="10"/>
        <v>58</v>
      </c>
      <c r="Z64" s="11">
        <f t="shared" si="11"/>
        <v>506.5</v>
      </c>
      <c r="AA64" s="9">
        <f t="shared" si="12"/>
        <v>62</v>
      </c>
    </row>
    <row r="65" ht="14.25" spans="1:27">
      <c r="A65" s="13">
        <v>427</v>
      </c>
      <c r="B65" s="15">
        <v>9</v>
      </c>
      <c r="C65" s="16">
        <v>43</v>
      </c>
      <c r="D65" s="17" t="s">
        <v>864</v>
      </c>
      <c r="E65" s="17" t="s">
        <v>865</v>
      </c>
      <c r="F65" s="174">
        <f>VLOOKUP(D65,原始分!$D:$N,3,0)</f>
        <v>92.5</v>
      </c>
      <c r="G65" s="174">
        <f t="shared" si="0"/>
        <v>524</v>
      </c>
      <c r="H65" s="174">
        <f>VLOOKUP(D65,原始分!$D:$N,4,0)</f>
        <v>116</v>
      </c>
      <c r="I65" s="174">
        <f t="shared" si="1"/>
        <v>99</v>
      </c>
      <c r="J65" s="174">
        <f>VLOOKUP(D65,原始分!$D:$N,5,0)</f>
        <v>114.75</v>
      </c>
      <c r="K65" s="174">
        <f t="shared" si="2"/>
        <v>56</v>
      </c>
      <c r="L65" s="174">
        <f>VLOOKUP(D65,原始分!$D:$N,6,0)</f>
        <v>75.5</v>
      </c>
      <c r="M65" s="174">
        <f t="shared" si="3"/>
        <v>31</v>
      </c>
      <c r="N65" s="174">
        <f>VLOOKUP(D65,原始分!$D:$N,7,0)</f>
        <v>0</v>
      </c>
      <c r="O65" s="174">
        <f t="shared" si="4"/>
        <v>1</v>
      </c>
      <c r="P65" s="174">
        <f>VLOOKUP(D65,原始分!$D:$N,8,0)</f>
        <v>50</v>
      </c>
      <c r="Q65" s="174">
        <f t="shared" si="5"/>
        <v>108</v>
      </c>
      <c r="R65" s="174">
        <f>VLOOKUP(D65,原始分!$D:$N,9,0)</f>
        <v>0</v>
      </c>
      <c r="S65" s="174">
        <f t="shared" si="6"/>
        <v>218</v>
      </c>
      <c r="T65" s="174">
        <f>VLOOKUP(D65,原始分!$D:$N,10,0)</f>
        <v>0</v>
      </c>
      <c r="U65" s="174">
        <f t="shared" si="7"/>
        <v>112</v>
      </c>
      <c r="V65" s="174">
        <f>VLOOKUP(D65,原始分!$D:$N,11,0)</f>
        <v>57.5</v>
      </c>
      <c r="W65" s="174">
        <f t="shared" si="8"/>
        <v>107</v>
      </c>
      <c r="X65" s="11">
        <f t="shared" si="9"/>
        <v>323.25</v>
      </c>
      <c r="Y65" s="9">
        <f t="shared" si="10"/>
        <v>97</v>
      </c>
      <c r="Z65" s="11">
        <f t="shared" si="11"/>
        <v>506.25</v>
      </c>
      <c r="AA65" s="9">
        <f t="shared" si="12"/>
        <v>63</v>
      </c>
    </row>
    <row r="66" ht="14.25" spans="1:27">
      <c r="A66" s="13">
        <v>485</v>
      </c>
      <c r="B66" s="15">
        <v>10</v>
      </c>
      <c r="C66" s="16">
        <v>46</v>
      </c>
      <c r="D66" s="17" t="s">
        <v>980</v>
      </c>
      <c r="E66" s="17" t="s">
        <v>981</v>
      </c>
      <c r="F66" s="174">
        <f>VLOOKUP(D66,原始分!$D:$N,3,0)</f>
        <v>108</v>
      </c>
      <c r="G66" s="174">
        <f t="shared" si="0"/>
        <v>44</v>
      </c>
      <c r="H66" s="174">
        <f>VLOOKUP(D66,原始分!$D:$N,4,0)</f>
        <v>111.5</v>
      </c>
      <c r="I66" s="174">
        <f t="shared" si="1"/>
        <v>169</v>
      </c>
      <c r="J66" s="174">
        <f>VLOOKUP(D66,原始分!$D:$N,5,0)</f>
        <v>86.25</v>
      </c>
      <c r="K66" s="174">
        <f t="shared" si="2"/>
        <v>472</v>
      </c>
      <c r="L66" s="174">
        <f>VLOOKUP(D66,原始分!$D:$N,6,0)</f>
        <v>73</v>
      </c>
      <c r="M66" s="174">
        <f t="shared" si="3"/>
        <v>47</v>
      </c>
      <c r="N66" s="174">
        <f>VLOOKUP(D66,原始分!$D:$N,7,0)</f>
        <v>0</v>
      </c>
      <c r="O66" s="174">
        <f t="shared" si="4"/>
        <v>1</v>
      </c>
      <c r="P66" s="174">
        <f>VLOOKUP(D66,原始分!$D:$N,8,0)</f>
        <v>58</v>
      </c>
      <c r="Q66" s="174">
        <f t="shared" si="5"/>
        <v>37</v>
      </c>
      <c r="R66" s="174">
        <f>VLOOKUP(D66,原始分!$D:$N,9,0)</f>
        <v>0</v>
      </c>
      <c r="S66" s="174">
        <f t="shared" si="6"/>
        <v>218</v>
      </c>
      <c r="T66" s="174">
        <f>VLOOKUP(D66,原始分!$D:$N,10,0)</f>
        <v>0</v>
      </c>
      <c r="U66" s="174">
        <f t="shared" si="7"/>
        <v>112</v>
      </c>
      <c r="V66" s="174">
        <f>VLOOKUP(D66,原始分!$D:$N,11,0)</f>
        <v>69</v>
      </c>
      <c r="W66" s="174">
        <f t="shared" si="8"/>
        <v>16</v>
      </c>
      <c r="X66" s="11">
        <f t="shared" si="9"/>
        <v>305.75</v>
      </c>
      <c r="Y66" s="9">
        <f t="shared" si="10"/>
        <v>229</v>
      </c>
      <c r="Z66" s="11">
        <f t="shared" si="11"/>
        <v>505.75</v>
      </c>
      <c r="AA66" s="9">
        <f t="shared" si="12"/>
        <v>64</v>
      </c>
    </row>
    <row r="67" ht="14.25" spans="1:27">
      <c r="A67" s="13">
        <v>434</v>
      </c>
      <c r="B67" s="15">
        <v>9</v>
      </c>
      <c r="C67" s="16">
        <v>50</v>
      </c>
      <c r="D67" s="19" t="s">
        <v>878</v>
      </c>
      <c r="E67" s="17" t="s">
        <v>879</v>
      </c>
      <c r="F67" s="174">
        <f>VLOOKUP(D67,原始分!$D:$N,3,0)</f>
        <v>118.5</v>
      </c>
      <c r="G67" s="174">
        <f t="shared" ref="G67:G130" si="13">RANK(F67,$F$3:$F$723)</f>
        <v>1</v>
      </c>
      <c r="H67" s="174">
        <f>VLOOKUP(D67,原始分!$D:$N,4,0)</f>
        <v>108</v>
      </c>
      <c r="I67" s="174">
        <f t="shared" ref="I67:I130" si="14">RANK(H67,$H$3:$H$723)</f>
        <v>221</v>
      </c>
      <c r="J67" s="174">
        <f>VLOOKUP(D67,原始分!$D:$N,5,0)</f>
        <v>103.25</v>
      </c>
      <c r="K67" s="174">
        <f t="shared" ref="K67:K130" si="15">RANK(J67,$J$3:$J$723)</f>
        <v>197</v>
      </c>
      <c r="L67" s="174">
        <f>VLOOKUP(D67,原始分!$D:$N,6,0)</f>
        <v>69</v>
      </c>
      <c r="M67" s="174">
        <f t="shared" ref="M67:M130" si="16">RANK(L67,$L$3:$L$723)</f>
        <v>70</v>
      </c>
      <c r="N67" s="174">
        <f>VLOOKUP(D67,原始分!$D:$N,7,0)</f>
        <v>0</v>
      </c>
      <c r="O67" s="174">
        <f t="shared" ref="O67:O130" si="17">RANK(N67,$N$3:$N$723)</f>
        <v>1</v>
      </c>
      <c r="P67" s="174">
        <f>VLOOKUP(D67,原始分!$D:$N,8,0)</f>
        <v>46.5</v>
      </c>
      <c r="Q67" s="174">
        <f t="shared" ref="Q67:Q130" si="18">RANK(P67,$P$3:$P$723)</f>
        <v>187</v>
      </c>
      <c r="R67" s="174">
        <f>VLOOKUP(D67,原始分!$D:$N,9,0)</f>
        <v>0</v>
      </c>
      <c r="S67" s="174">
        <f t="shared" ref="S67:S130" si="19">RANK(R67,$R$3:$R$723)</f>
        <v>218</v>
      </c>
      <c r="T67" s="174">
        <f>VLOOKUP(D67,原始分!$D:$N,10,0)</f>
        <v>0</v>
      </c>
      <c r="U67" s="174">
        <f t="shared" ref="U67:U130" si="20">RANK(T67,$T$3:$T$723)</f>
        <v>112</v>
      </c>
      <c r="V67" s="174">
        <f>VLOOKUP(D67,原始分!$D:$N,11,0)</f>
        <v>60</v>
      </c>
      <c r="W67" s="174">
        <f t="shared" ref="W67:W130" si="21">RANK(V67,$V$3:$V$723)</f>
        <v>79</v>
      </c>
      <c r="X67" s="11">
        <f t="shared" ref="X67:X130" si="22">SUM(F67,H67,J67)</f>
        <v>329.75</v>
      </c>
      <c r="Y67" s="9">
        <f t="shared" ref="Y67:Y130" si="23">RANK(X67,$X$3:$X$723)</f>
        <v>68</v>
      </c>
      <c r="Z67" s="11">
        <f t="shared" ref="Z67:Z130" si="24">SUM(F67,H67,J67,L67,N67,P67,R67,T67,V67)</f>
        <v>505.25</v>
      </c>
      <c r="AA67" s="9">
        <f t="shared" ref="AA67:AA130" si="25">RANK(Z67,$Z$3:$Z$723)</f>
        <v>65</v>
      </c>
    </row>
    <row r="68" ht="14.25" spans="1:27">
      <c r="A68" s="13">
        <v>28</v>
      </c>
      <c r="B68" s="15">
        <v>1</v>
      </c>
      <c r="C68" s="16">
        <v>30</v>
      </c>
      <c r="D68" s="17" t="s">
        <v>70</v>
      </c>
      <c r="E68" s="17" t="s">
        <v>71</v>
      </c>
      <c r="F68" s="174">
        <f>VLOOKUP(D68,原始分!$D:$N,3,0)</f>
        <v>109.5</v>
      </c>
      <c r="G68" s="174">
        <f t="shared" si="13"/>
        <v>27</v>
      </c>
      <c r="H68" s="174">
        <f>VLOOKUP(D68,原始分!$D:$N,4,0)</f>
        <v>113</v>
      </c>
      <c r="I68" s="174">
        <f t="shared" si="14"/>
        <v>143</v>
      </c>
      <c r="J68" s="174">
        <f>VLOOKUP(D68,原始分!$D:$N,5,0)</f>
        <v>117.5</v>
      </c>
      <c r="K68" s="174">
        <f t="shared" si="15"/>
        <v>39</v>
      </c>
      <c r="L68" s="174">
        <f>VLOOKUP(D68,原始分!$D:$N,6,0)</f>
        <v>50.5</v>
      </c>
      <c r="M68" s="174">
        <f t="shared" si="16"/>
        <v>328</v>
      </c>
      <c r="N68" s="174">
        <f>VLOOKUP(D68,原始分!$D:$N,7,0)</f>
        <v>0</v>
      </c>
      <c r="O68" s="174">
        <f t="shared" si="17"/>
        <v>1</v>
      </c>
      <c r="P68" s="174">
        <f>VLOOKUP(D68,原始分!$D:$N,8,0)</f>
        <v>48</v>
      </c>
      <c r="Q68" s="174">
        <f t="shared" si="18"/>
        <v>145</v>
      </c>
      <c r="R68" s="174">
        <f>VLOOKUP(D68,原始分!$D:$N,9,0)</f>
        <v>0</v>
      </c>
      <c r="S68" s="174">
        <f t="shared" si="19"/>
        <v>218</v>
      </c>
      <c r="T68" s="174">
        <f>VLOOKUP(D68,原始分!$D:$N,10,0)</f>
        <v>66</v>
      </c>
      <c r="U68" s="174">
        <f t="shared" si="20"/>
        <v>7</v>
      </c>
      <c r="V68" s="174">
        <f>VLOOKUP(D68,原始分!$D:$N,11,0)</f>
        <v>0</v>
      </c>
      <c r="W68" s="174">
        <f t="shared" si="21"/>
        <v>461</v>
      </c>
      <c r="X68" s="11">
        <f t="shared" si="22"/>
        <v>340</v>
      </c>
      <c r="Y68" s="9">
        <f t="shared" si="23"/>
        <v>29</v>
      </c>
      <c r="Z68" s="11">
        <f t="shared" si="24"/>
        <v>504.5</v>
      </c>
      <c r="AA68" s="9">
        <f t="shared" si="25"/>
        <v>66</v>
      </c>
    </row>
    <row r="69" ht="14.25" spans="1:27">
      <c r="A69" s="13">
        <v>205</v>
      </c>
      <c r="B69" s="15">
        <v>5</v>
      </c>
      <c r="C69" s="16">
        <v>1</v>
      </c>
      <c r="D69" s="17" t="s">
        <v>423</v>
      </c>
      <c r="E69" s="17" t="s">
        <v>424</v>
      </c>
      <c r="F69" s="174">
        <f>VLOOKUP(D69,原始分!$D:$N,3,0)</f>
        <v>98</v>
      </c>
      <c r="G69" s="174">
        <f t="shared" si="13"/>
        <v>349</v>
      </c>
      <c r="H69" s="174">
        <f>VLOOKUP(D69,原始分!$D:$N,4,0)</f>
        <v>130.5</v>
      </c>
      <c r="I69" s="174">
        <f t="shared" si="14"/>
        <v>9</v>
      </c>
      <c r="J69" s="174">
        <f>VLOOKUP(D69,原始分!$D:$N,5,0)</f>
        <v>114.5</v>
      </c>
      <c r="K69" s="174">
        <f t="shared" si="15"/>
        <v>61</v>
      </c>
      <c r="L69" s="174">
        <f>VLOOKUP(D69,原始分!$D:$N,6,0)</f>
        <v>55.5</v>
      </c>
      <c r="M69" s="174">
        <f t="shared" si="16"/>
        <v>262</v>
      </c>
      <c r="N69" s="174">
        <f>VLOOKUP(D69,原始分!$D:$N,7,0)</f>
        <v>0</v>
      </c>
      <c r="O69" s="174">
        <f t="shared" si="17"/>
        <v>1</v>
      </c>
      <c r="P69" s="174">
        <f>VLOOKUP(D69,原始分!$D:$N,8,0)</f>
        <v>52</v>
      </c>
      <c r="Q69" s="174">
        <f t="shared" si="18"/>
        <v>86</v>
      </c>
      <c r="R69" s="174">
        <f>VLOOKUP(D69,原始分!$D:$N,9,0)</f>
        <v>54</v>
      </c>
      <c r="S69" s="174">
        <f t="shared" si="19"/>
        <v>54</v>
      </c>
      <c r="T69" s="174">
        <f>VLOOKUP(D69,原始分!$D:$N,10,0)</f>
        <v>0</v>
      </c>
      <c r="U69" s="174">
        <f t="shared" si="20"/>
        <v>112</v>
      </c>
      <c r="V69" s="174">
        <f>VLOOKUP(D69,原始分!$D:$N,11,0)</f>
        <v>0</v>
      </c>
      <c r="W69" s="174">
        <f t="shared" si="21"/>
        <v>461</v>
      </c>
      <c r="X69" s="11">
        <f t="shared" si="22"/>
        <v>343</v>
      </c>
      <c r="Y69" s="9">
        <f t="shared" si="23"/>
        <v>22</v>
      </c>
      <c r="Z69" s="11">
        <f t="shared" si="24"/>
        <v>504.5</v>
      </c>
      <c r="AA69" s="9">
        <f t="shared" si="25"/>
        <v>66</v>
      </c>
    </row>
    <row r="70" ht="14.25" spans="1:27">
      <c r="A70" s="13">
        <v>496</v>
      </c>
      <c r="B70" s="15">
        <v>10</v>
      </c>
      <c r="C70" s="16">
        <v>57</v>
      </c>
      <c r="D70" s="17" t="s">
        <v>1002</v>
      </c>
      <c r="E70" s="17" t="s">
        <v>1003</v>
      </c>
      <c r="F70" s="174">
        <f>VLOOKUP(D70,原始分!$D:$N,3,0)</f>
        <v>98.25</v>
      </c>
      <c r="G70" s="174">
        <f t="shared" si="13"/>
        <v>343</v>
      </c>
      <c r="H70" s="174">
        <f>VLOOKUP(D70,原始分!$D:$N,4,0)</f>
        <v>118.5</v>
      </c>
      <c r="I70" s="174">
        <f t="shared" si="14"/>
        <v>74</v>
      </c>
      <c r="J70" s="174">
        <f>VLOOKUP(D70,原始分!$D:$N,5,0)</f>
        <v>110</v>
      </c>
      <c r="K70" s="174">
        <f t="shared" si="15"/>
        <v>103</v>
      </c>
      <c r="L70" s="174">
        <f>VLOOKUP(D70,原始分!$D:$N,6,0)</f>
        <v>63</v>
      </c>
      <c r="M70" s="174">
        <f t="shared" si="16"/>
        <v>147</v>
      </c>
      <c r="N70" s="174">
        <f>VLOOKUP(D70,原始分!$D:$N,7,0)</f>
        <v>0</v>
      </c>
      <c r="O70" s="174">
        <f t="shared" si="17"/>
        <v>1</v>
      </c>
      <c r="P70" s="174">
        <f>VLOOKUP(D70,原始分!$D:$N,8,0)</f>
        <v>50.5</v>
      </c>
      <c r="Q70" s="174">
        <f t="shared" si="18"/>
        <v>100</v>
      </c>
      <c r="R70" s="174">
        <f>VLOOKUP(D70,原始分!$D:$N,9,0)</f>
        <v>0</v>
      </c>
      <c r="S70" s="174">
        <f t="shared" si="19"/>
        <v>218</v>
      </c>
      <c r="T70" s="174">
        <f>VLOOKUP(D70,原始分!$D:$N,10,0)</f>
        <v>0</v>
      </c>
      <c r="U70" s="174">
        <f t="shared" si="20"/>
        <v>112</v>
      </c>
      <c r="V70" s="174">
        <f>VLOOKUP(D70,原始分!$D:$N,11,0)</f>
        <v>64</v>
      </c>
      <c r="W70" s="174">
        <f t="shared" si="21"/>
        <v>47</v>
      </c>
      <c r="X70" s="11">
        <f t="shared" si="22"/>
        <v>326.75</v>
      </c>
      <c r="Y70" s="9">
        <f t="shared" si="23"/>
        <v>79</v>
      </c>
      <c r="Z70" s="11">
        <f t="shared" si="24"/>
        <v>504.25</v>
      </c>
      <c r="AA70" s="9">
        <f t="shared" si="25"/>
        <v>68</v>
      </c>
    </row>
    <row r="71" ht="14.25" spans="1:27">
      <c r="A71" s="13">
        <v>405</v>
      </c>
      <c r="B71" s="15">
        <v>9</v>
      </c>
      <c r="C71" s="16">
        <v>20</v>
      </c>
      <c r="D71" s="17" t="s">
        <v>820</v>
      </c>
      <c r="E71" s="17" t="s">
        <v>821</v>
      </c>
      <c r="F71" s="174">
        <f>VLOOKUP(D71,原始分!$D:$N,3,0)</f>
        <v>93.5</v>
      </c>
      <c r="G71" s="174">
        <f t="shared" si="13"/>
        <v>491</v>
      </c>
      <c r="H71" s="174">
        <f>VLOOKUP(D71,原始分!$D:$N,4,0)</f>
        <v>123</v>
      </c>
      <c r="I71" s="174">
        <f t="shared" si="14"/>
        <v>44</v>
      </c>
      <c r="J71" s="174">
        <f>VLOOKUP(D71,原始分!$D:$N,5,0)</f>
        <v>119</v>
      </c>
      <c r="K71" s="174">
        <f t="shared" si="15"/>
        <v>25</v>
      </c>
      <c r="L71" s="174">
        <f>VLOOKUP(D71,原始分!$D:$N,6,0)</f>
        <v>66.5</v>
      </c>
      <c r="M71" s="174">
        <f t="shared" si="16"/>
        <v>88</v>
      </c>
      <c r="N71" s="174">
        <f>VLOOKUP(D71,原始分!$D:$N,7,0)</f>
        <v>0</v>
      </c>
      <c r="O71" s="174">
        <f t="shared" si="17"/>
        <v>1</v>
      </c>
      <c r="P71" s="174">
        <f>VLOOKUP(D71,原始分!$D:$N,8,0)</f>
        <v>45.5</v>
      </c>
      <c r="Q71" s="174">
        <f t="shared" si="18"/>
        <v>202</v>
      </c>
      <c r="R71" s="174">
        <f>VLOOKUP(D71,原始分!$D:$N,9,0)</f>
        <v>0</v>
      </c>
      <c r="S71" s="174">
        <f t="shared" si="19"/>
        <v>218</v>
      </c>
      <c r="T71" s="174">
        <f>VLOOKUP(D71,原始分!$D:$N,10,0)</f>
        <v>0</v>
      </c>
      <c r="U71" s="174">
        <f t="shared" si="20"/>
        <v>112</v>
      </c>
      <c r="V71" s="174">
        <f>VLOOKUP(D71,原始分!$D:$N,11,0)</f>
        <v>56</v>
      </c>
      <c r="W71" s="174">
        <f t="shared" si="21"/>
        <v>132</v>
      </c>
      <c r="X71" s="11">
        <f t="shared" si="22"/>
        <v>335.5</v>
      </c>
      <c r="Y71" s="9">
        <f t="shared" si="23"/>
        <v>48</v>
      </c>
      <c r="Z71" s="11">
        <f t="shared" si="24"/>
        <v>503.5</v>
      </c>
      <c r="AA71" s="9">
        <f t="shared" si="25"/>
        <v>69</v>
      </c>
    </row>
    <row r="72" ht="14.25" spans="1:27">
      <c r="A72" s="13">
        <v>481</v>
      </c>
      <c r="B72" s="15">
        <v>10</v>
      </c>
      <c r="C72" s="16">
        <v>42</v>
      </c>
      <c r="D72" s="17" t="s">
        <v>972</v>
      </c>
      <c r="E72" s="17" t="s">
        <v>973</v>
      </c>
      <c r="F72" s="174">
        <f>VLOOKUP(D72,原始分!$D:$N,3,0)</f>
        <v>98.5</v>
      </c>
      <c r="G72" s="174">
        <f t="shared" si="13"/>
        <v>324</v>
      </c>
      <c r="H72" s="174">
        <f>VLOOKUP(D72,原始分!$D:$N,4,0)</f>
        <v>116.5</v>
      </c>
      <c r="I72" s="174">
        <f t="shared" si="14"/>
        <v>93</v>
      </c>
      <c r="J72" s="174">
        <f>VLOOKUP(D72,原始分!$D:$N,5,0)</f>
        <v>99.75</v>
      </c>
      <c r="K72" s="174">
        <f t="shared" si="15"/>
        <v>254</v>
      </c>
      <c r="L72" s="174">
        <f>VLOOKUP(D72,原始分!$D:$N,6,0)</f>
        <v>74.5</v>
      </c>
      <c r="M72" s="174">
        <f t="shared" si="16"/>
        <v>38</v>
      </c>
      <c r="N72" s="174">
        <f>VLOOKUP(D72,原始分!$D:$N,7,0)</f>
        <v>0</v>
      </c>
      <c r="O72" s="174">
        <f t="shared" si="17"/>
        <v>1</v>
      </c>
      <c r="P72" s="174">
        <f>VLOOKUP(D72,原始分!$D:$N,8,0)</f>
        <v>48</v>
      </c>
      <c r="Q72" s="174">
        <f t="shared" si="18"/>
        <v>145</v>
      </c>
      <c r="R72" s="174">
        <f>VLOOKUP(D72,原始分!$D:$N,9,0)</f>
        <v>0</v>
      </c>
      <c r="S72" s="174">
        <f t="shared" si="19"/>
        <v>218</v>
      </c>
      <c r="T72" s="174">
        <f>VLOOKUP(D72,原始分!$D:$N,10,0)</f>
        <v>0</v>
      </c>
      <c r="U72" s="174">
        <f t="shared" si="20"/>
        <v>112</v>
      </c>
      <c r="V72" s="174">
        <f>VLOOKUP(D72,原始分!$D:$N,11,0)</f>
        <v>66</v>
      </c>
      <c r="W72" s="174">
        <f t="shared" si="21"/>
        <v>29</v>
      </c>
      <c r="X72" s="11">
        <f t="shared" si="22"/>
        <v>314.75</v>
      </c>
      <c r="Y72" s="9">
        <f t="shared" si="23"/>
        <v>151</v>
      </c>
      <c r="Z72" s="11">
        <f t="shared" si="24"/>
        <v>503.25</v>
      </c>
      <c r="AA72" s="9">
        <f t="shared" si="25"/>
        <v>70</v>
      </c>
    </row>
    <row r="73" ht="14.25" spans="1:27">
      <c r="A73" s="13">
        <v>14</v>
      </c>
      <c r="B73" s="15">
        <v>1</v>
      </c>
      <c r="C73" s="16">
        <v>15</v>
      </c>
      <c r="D73" s="17" t="s">
        <v>42</v>
      </c>
      <c r="E73" s="17" t="s">
        <v>43</v>
      </c>
      <c r="F73" s="174">
        <f>VLOOKUP(D73,原始分!$D:$N,3,0)</f>
        <v>104</v>
      </c>
      <c r="G73" s="174">
        <f t="shared" si="13"/>
        <v>130</v>
      </c>
      <c r="H73" s="174">
        <f>VLOOKUP(D73,原始分!$D:$N,4,0)</f>
        <v>112</v>
      </c>
      <c r="I73" s="174">
        <f t="shared" si="14"/>
        <v>160</v>
      </c>
      <c r="J73" s="174">
        <f>VLOOKUP(D73,原始分!$D:$N,5,0)</f>
        <v>107.5</v>
      </c>
      <c r="K73" s="174">
        <f t="shared" si="15"/>
        <v>130</v>
      </c>
      <c r="L73" s="174">
        <f>VLOOKUP(D73,原始分!$D:$N,6,0)</f>
        <v>56.5</v>
      </c>
      <c r="M73" s="174">
        <f t="shared" si="16"/>
        <v>244</v>
      </c>
      <c r="N73" s="174">
        <f>VLOOKUP(D73,原始分!$D:$N,7,0)</f>
        <v>0</v>
      </c>
      <c r="O73" s="174">
        <f t="shared" si="17"/>
        <v>1</v>
      </c>
      <c r="P73" s="174">
        <f>VLOOKUP(D73,原始分!$D:$N,8,0)</f>
        <v>56.5</v>
      </c>
      <c r="Q73" s="174">
        <f t="shared" si="18"/>
        <v>44</v>
      </c>
      <c r="R73" s="174">
        <f>VLOOKUP(D73,原始分!$D:$N,9,0)</f>
        <v>0</v>
      </c>
      <c r="S73" s="174">
        <f t="shared" si="19"/>
        <v>218</v>
      </c>
      <c r="T73" s="174">
        <f>VLOOKUP(D73,原始分!$D:$N,10,0)</f>
        <v>66.5</v>
      </c>
      <c r="U73" s="174">
        <f t="shared" si="20"/>
        <v>6</v>
      </c>
      <c r="V73" s="174">
        <f>VLOOKUP(D73,原始分!$D:$N,11,0)</f>
        <v>0</v>
      </c>
      <c r="W73" s="174">
        <f t="shared" si="21"/>
        <v>461</v>
      </c>
      <c r="X73" s="11">
        <f t="shared" si="22"/>
        <v>323.5</v>
      </c>
      <c r="Y73" s="9">
        <f t="shared" si="23"/>
        <v>95</v>
      </c>
      <c r="Z73" s="11">
        <f t="shared" si="24"/>
        <v>503</v>
      </c>
      <c r="AA73" s="9">
        <f t="shared" si="25"/>
        <v>71</v>
      </c>
    </row>
    <row r="74" ht="14.25" spans="1:27">
      <c r="A74" s="13">
        <v>389</v>
      </c>
      <c r="B74" s="15">
        <v>9</v>
      </c>
      <c r="C74" s="16">
        <v>4</v>
      </c>
      <c r="D74" s="17" t="s">
        <v>788</v>
      </c>
      <c r="E74" s="17" t="s">
        <v>789</v>
      </c>
      <c r="F74" s="174">
        <f>VLOOKUP(D74,原始分!$D:$N,3,0)</f>
        <v>105.5</v>
      </c>
      <c r="G74" s="174">
        <f t="shared" si="13"/>
        <v>96</v>
      </c>
      <c r="H74" s="174">
        <f>VLOOKUP(D74,原始分!$D:$N,4,0)</f>
        <v>112.5</v>
      </c>
      <c r="I74" s="174">
        <f t="shared" si="14"/>
        <v>151</v>
      </c>
      <c r="J74" s="174">
        <f>VLOOKUP(D74,原始分!$D:$N,5,0)</f>
        <v>119</v>
      </c>
      <c r="K74" s="174">
        <f t="shared" si="15"/>
        <v>25</v>
      </c>
      <c r="L74" s="174">
        <f>VLOOKUP(D74,原始分!$D:$N,6,0)</f>
        <v>71</v>
      </c>
      <c r="M74" s="174">
        <f t="shared" si="16"/>
        <v>61</v>
      </c>
      <c r="N74" s="174">
        <f>VLOOKUP(D74,原始分!$D:$N,7,0)</f>
        <v>0</v>
      </c>
      <c r="O74" s="174">
        <f t="shared" si="17"/>
        <v>1</v>
      </c>
      <c r="P74" s="174">
        <f>VLOOKUP(D74,原始分!$D:$N,8,0)</f>
        <v>41</v>
      </c>
      <c r="Q74" s="174">
        <f t="shared" si="18"/>
        <v>294</v>
      </c>
      <c r="R74" s="174">
        <f>VLOOKUP(D74,原始分!$D:$N,9,0)</f>
        <v>0</v>
      </c>
      <c r="S74" s="174">
        <f t="shared" si="19"/>
        <v>218</v>
      </c>
      <c r="T74" s="174">
        <f>VLOOKUP(D74,原始分!$D:$N,10,0)</f>
        <v>0</v>
      </c>
      <c r="U74" s="174">
        <f t="shared" si="20"/>
        <v>112</v>
      </c>
      <c r="V74" s="174">
        <f>VLOOKUP(D74,原始分!$D:$N,11,0)</f>
        <v>54</v>
      </c>
      <c r="W74" s="174">
        <f t="shared" si="21"/>
        <v>164</v>
      </c>
      <c r="X74" s="11">
        <f t="shared" si="22"/>
        <v>337</v>
      </c>
      <c r="Y74" s="9">
        <f t="shared" si="23"/>
        <v>37</v>
      </c>
      <c r="Z74" s="11">
        <f t="shared" si="24"/>
        <v>503</v>
      </c>
      <c r="AA74" s="9">
        <f t="shared" si="25"/>
        <v>71</v>
      </c>
    </row>
    <row r="75" ht="14.25" spans="1:27">
      <c r="A75" s="13">
        <v>439</v>
      </c>
      <c r="B75" s="15">
        <v>9</v>
      </c>
      <c r="C75" s="16">
        <v>55</v>
      </c>
      <c r="D75" s="17" t="s">
        <v>888</v>
      </c>
      <c r="E75" s="17" t="s">
        <v>889</v>
      </c>
      <c r="F75" s="174">
        <f>VLOOKUP(D75,原始分!$D:$N,3,0)</f>
        <v>95</v>
      </c>
      <c r="G75" s="174">
        <f t="shared" si="13"/>
        <v>441</v>
      </c>
      <c r="H75" s="174">
        <f>VLOOKUP(D75,原始分!$D:$N,4,0)</f>
        <v>97.5</v>
      </c>
      <c r="I75" s="174">
        <f t="shared" si="14"/>
        <v>383</v>
      </c>
      <c r="J75" s="174">
        <f>VLOOKUP(D75,原始分!$D:$N,5,0)</f>
        <v>111.75</v>
      </c>
      <c r="K75" s="174">
        <f t="shared" si="15"/>
        <v>87</v>
      </c>
      <c r="L75" s="174">
        <f>VLOOKUP(D75,原始分!$D:$N,6,0)</f>
        <v>78</v>
      </c>
      <c r="M75" s="174">
        <f t="shared" si="16"/>
        <v>16</v>
      </c>
      <c r="N75" s="174">
        <f>VLOOKUP(D75,原始分!$D:$N,7,0)</f>
        <v>0</v>
      </c>
      <c r="O75" s="174">
        <f t="shared" si="17"/>
        <v>1</v>
      </c>
      <c r="P75" s="174">
        <f>VLOOKUP(D75,原始分!$D:$N,8,0)</f>
        <v>59.5</v>
      </c>
      <c r="Q75" s="174">
        <f t="shared" si="18"/>
        <v>30</v>
      </c>
      <c r="R75" s="174">
        <f>VLOOKUP(D75,原始分!$D:$N,9,0)</f>
        <v>0</v>
      </c>
      <c r="S75" s="174">
        <f t="shared" si="19"/>
        <v>218</v>
      </c>
      <c r="T75" s="174">
        <f>VLOOKUP(D75,原始分!$D:$N,10,0)</f>
        <v>0</v>
      </c>
      <c r="U75" s="174">
        <f t="shared" si="20"/>
        <v>112</v>
      </c>
      <c r="V75" s="174">
        <f>VLOOKUP(D75,原始分!$D:$N,11,0)</f>
        <v>61</v>
      </c>
      <c r="W75" s="174">
        <f t="shared" si="21"/>
        <v>67</v>
      </c>
      <c r="X75" s="11">
        <f t="shared" si="22"/>
        <v>304.25</v>
      </c>
      <c r="Y75" s="9">
        <f t="shared" si="23"/>
        <v>243</v>
      </c>
      <c r="Z75" s="11">
        <f t="shared" si="24"/>
        <v>502.75</v>
      </c>
      <c r="AA75" s="9">
        <f t="shared" si="25"/>
        <v>73</v>
      </c>
    </row>
    <row r="76" ht="14.25" spans="1:27">
      <c r="A76" s="13">
        <v>424</v>
      </c>
      <c r="B76" s="15">
        <v>9</v>
      </c>
      <c r="C76" s="16">
        <v>40</v>
      </c>
      <c r="D76" s="17" t="s">
        <v>858</v>
      </c>
      <c r="E76" s="17" t="s">
        <v>859</v>
      </c>
      <c r="F76" s="174">
        <f>VLOOKUP(D76,原始分!$D:$N,3,0)</f>
        <v>95</v>
      </c>
      <c r="G76" s="174">
        <f t="shared" si="13"/>
        <v>441</v>
      </c>
      <c r="H76" s="174">
        <f>VLOOKUP(D76,原始分!$D:$N,4,0)</f>
        <v>125.5</v>
      </c>
      <c r="I76" s="174">
        <f t="shared" si="14"/>
        <v>29</v>
      </c>
      <c r="J76" s="174">
        <f>VLOOKUP(D76,原始分!$D:$N,5,0)</f>
        <v>114.75</v>
      </c>
      <c r="K76" s="174">
        <f t="shared" si="15"/>
        <v>56</v>
      </c>
      <c r="L76" s="174">
        <f>VLOOKUP(D76,原始分!$D:$N,6,0)</f>
        <v>51.5</v>
      </c>
      <c r="M76" s="174">
        <f t="shared" si="16"/>
        <v>313</v>
      </c>
      <c r="N76" s="174">
        <f>VLOOKUP(D76,原始分!$D:$N,7,0)</f>
        <v>0</v>
      </c>
      <c r="O76" s="174">
        <f t="shared" si="17"/>
        <v>1</v>
      </c>
      <c r="P76" s="174">
        <f>VLOOKUP(D76,原始分!$D:$N,8,0)</f>
        <v>56.5</v>
      </c>
      <c r="Q76" s="174">
        <f t="shared" si="18"/>
        <v>44</v>
      </c>
      <c r="R76" s="174">
        <f>VLOOKUP(D76,原始分!$D:$N,9,0)</f>
        <v>0</v>
      </c>
      <c r="S76" s="174">
        <f t="shared" si="19"/>
        <v>218</v>
      </c>
      <c r="T76" s="174">
        <f>VLOOKUP(D76,原始分!$D:$N,10,0)</f>
        <v>0</v>
      </c>
      <c r="U76" s="174">
        <f t="shared" si="20"/>
        <v>112</v>
      </c>
      <c r="V76" s="174">
        <f>VLOOKUP(D76,原始分!$D:$N,11,0)</f>
        <v>58.5</v>
      </c>
      <c r="W76" s="174">
        <f t="shared" si="21"/>
        <v>99</v>
      </c>
      <c r="X76" s="11">
        <f t="shared" si="22"/>
        <v>335.25</v>
      </c>
      <c r="Y76" s="9">
        <f t="shared" si="23"/>
        <v>50</v>
      </c>
      <c r="Z76" s="11">
        <f t="shared" si="24"/>
        <v>501.75</v>
      </c>
      <c r="AA76" s="9">
        <f t="shared" si="25"/>
        <v>74</v>
      </c>
    </row>
    <row r="77" ht="14.25" spans="1:27">
      <c r="A77" s="13">
        <v>635</v>
      </c>
      <c r="B77" s="15">
        <v>13</v>
      </c>
      <c r="C77" s="16">
        <v>28</v>
      </c>
      <c r="D77" s="17" t="s">
        <v>1278</v>
      </c>
      <c r="E77" s="17" t="s">
        <v>1279</v>
      </c>
      <c r="F77" s="174">
        <f>VLOOKUP(D77,原始分!$D:$N,3,0)</f>
        <v>101</v>
      </c>
      <c r="G77" s="174">
        <f t="shared" si="13"/>
        <v>224</v>
      </c>
      <c r="H77" s="174">
        <f>VLOOKUP(D77,原始分!$D:$N,4,0)</f>
        <v>112</v>
      </c>
      <c r="I77" s="174">
        <f t="shared" si="14"/>
        <v>160</v>
      </c>
      <c r="J77" s="174">
        <f>VLOOKUP(D77,原始分!$D:$N,5,0)</f>
        <v>103.75</v>
      </c>
      <c r="K77" s="174">
        <f t="shared" si="15"/>
        <v>191</v>
      </c>
      <c r="L77" s="174">
        <f>VLOOKUP(D77,原始分!$D:$N,6,0)</f>
        <v>56</v>
      </c>
      <c r="M77" s="174">
        <f t="shared" si="16"/>
        <v>252</v>
      </c>
      <c r="N77" s="174">
        <f>VLOOKUP(D77,原始分!$D:$N,7,0)</f>
        <v>0</v>
      </c>
      <c r="O77" s="174">
        <f t="shared" si="17"/>
        <v>1</v>
      </c>
      <c r="P77" s="174">
        <f>VLOOKUP(D77,原始分!$D:$N,8,0)</f>
        <v>60.5</v>
      </c>
      <c r="Q77" s="174">
        <f t="shared" si="18"/>
        <v>25</v>
      </c>
      <c r="R77" s="174">
        <f>VLOOKUP(D77,原始分!$D:$N,9,0)</f>
        <v>0</v>
      </c>
      <c r="S77" s="174">
        <f t="shared" si="19"/>
        <v>218</v>
      </c>
      <c r="T77" s="174">
        <f>VLOOKUP(D77,原始分!$D:$N,10,0)</f>
        <v>0</v>
      </c>
      <c r="U77" s="174">
        <f t="shared" si="20"/>
        <v>112</v>
      </c>
      <c r="V77" s="174">
        <f>VLOOKUP(D77,原始分!$D:$N,11,0)</f>
        <v>68</v>
      </c>
      <c r="W77" s="174">
        <f t="shared" si="21"/>
        <v>22</v>
      </c>
      <c r="X77" s="11">
        <f t="shared" si="22"/>
        <v>316.75</v>
      </c>
      <c r="Y77" s="9">
        <f t="shared" si="23"/>
        <v>140</v>
      </c>
      <c r="Z77" s="11">
        <f t="shared" si="24"/>
        <v>501.25</v>
      </c>
      <c r="AA77" s="9">
        <f t="shared" si="25"/>
        <v>75</v>
      </c>
    </row>
    <row r="78" ht="14.25" spans="1:27">
      <c r="A78" s="13">
        <v>415</v>
      </c>
      <c r="B78" s="15">
        <v>9</v>
      </c>
      <c r="C78" s="16">
        <v>31</v>
      </c>
      <c r="D78" s="17" t="s">
        <v>840</v>
      </c>
      <c r="E78" s="17" t="s">
        <v>841</v>
      </c>
      <c r="F78" s="174">
        <f>VLOOKUP(D78,原始分!$D:$N,3,0)</f>
        <v>109</v>
      </c>
      <c r="G78" s="174">
        <f t="shared" si="13"/>
        <v>35</v>
      </c>
      <c r="H78" s="174">
        <f>VLOOKUP(D78,原始分!$D:$N,4,0)</f>
        <v>126</v>
      </c>
      <c r="I78" s="174">
        <f t="shared" si="14"/>
        <v>27</v>
      </c>
      <c r="J78" s="174">
        <f>VLOOKUP(D78,原始分!$D:$N,5,0)</f>
        <v>108.5</v>
      </c>
      <c r="K78" s="174">
        <f t="shared" si="15"/>
        <v>121</v>
      </c>
      <c r="L78" s="174">
        <f>VLOOKUP(D78,原始分!$D:$N,6,0)</f>
        <v>60</v>
      </c>
      <c r="M78" s="174">
        <f t="shared" si="16"/>
        <v>187</v>
      </c>
      <c r="N78" s="174">
        <f>VLOOKUP(D78,原始分!$D:$N,7,0)</f>
        <v>0</v>
      </c>
      <c r="O78" s="174">
        <f t="shared" si="17"/>
        <v>1</v>
      </c>
      <c r="P78" s="174">
        <f>VLOOKUP(D78,原始分!$D:$N,8,0)</f>
        <v>43</v>
      </c>
      <c r="Q78" s="174">
        <f t="shared" si="18"/>
        <v>247</v>
      </c>
      <c r="R78" s="174">
        <f>VLOOKUP(D78,原始分!$D:$N,9,0)</f>
        <v>0</v>
      </c>
      <c r="S78" s="174">
        <f t="shared" si="19"/>
        <v>218</v>
      </c>
      <c r="T78" s="174">
        <f>VLOOKUP(D78,原始分!$D:$N,10,0)</f>
        <v>0</v>
      </c>
      <c r="U78" s="174">
        <f t="shared" si="20"/>
        <v>112</v>
      </c>
      <c r="V78" s="174">
        <f>VLOOKUP(D78,原始分!$D:$N,11,0)</f>
        <v>54.5</v>
      </c>
      <c r="W78" s="174">
        <f t="shared" si="21"/>
        <v>154</v>
      </c>
      <c r="X78" s="11">
        <f t="shared" si="22"/>
        <v>343.5</v>
      </c>
      <c r="Y78" s="9">
        <f t="shared" si="23"/>
        <v>21</v>
      </c>
      <c r="Z78" s="11">
        <f t="shared" si="24"/>
        <v>501</v>
      </c>
      <c r="AA78" s="9">
        <f t="shared" si="25"/>
        <v>76</v>
      </c>
    </row>
    <row r="79" ht="14.25" spans="1:27">
      <c r="A79" s="13">
        <v>185</v>
      </c>
      <c r="B79" s="15">
        <v>4</v>
      </c>
      <c r="C79" s="16">
        <v>26</v>
      </c>
      <c r="D79" s="17" t="s">
        <v>383</v>
      </c>
      <c r="E79" s="17" t="s">
        <v>384</v>
      </c>
      <c r="F79" s="174">
        <f>VLOOKUP(D79,原始分!$D:$N,3,0)</f>
        <v>116</v>
      </c>
      <c r="G79" s="174">
        <f t="shared" si="13"/>
        <v>2</v>
      </c>
      <c r="H79" s="174">
        <f>VLOOKUP(D79,原始分!$D:$N,4,0)</f>
        <v>114.5</v>
      </c>
      <c r="I79" s="174">
        <f t="shared" si="14"/>
        <v>122</v>
      </c>
      <c r="J79" s="174">
        <f>VLOOKUP(D79,原始分!$D:$N,5,0)</f>
        <v>106</v>
      </c>
      <c r="K79" s="174">
        <f t="shared" si="15"/>
        <v>153</v>
      </c>
      <c r="L79" s="174">
        <f>VLOOKUP(D79,原始分!$D:$N,6,0)</f>
        <v>65.5</v>
      </c>
      <c r="M79" s="174">
        <f t="shared" si="16"/>
        <v>105</v>
      </c>
      <c r="N79" s="174">
        <f>VLOOKUP(D79,原始分!$D:$N,7,0)</f>
        <v>0</v>
      </c>
      <c r="O79" s="174">
        <f t="shared" si="17"/>
        <v>1</v>
      </c>
      <c r="P79" s="174">
        <f>VLOOKUP(D79,原始分!$D:$N,8,0)</f>
        <v>39.5</v>
      </c>
      <c r="Q79" s="174">
        <f t="shared" si="18"/>
        <v>333</v>
      </c>
      <c r="R79" s="174">
        <f>VLOOKUP(D79,原始分!$D:$N,9,0)</f>
        <v>58.5</v>
      </c>
      <c r="S79" s="174">
        <f t="shared" si="19"/>
        <v>20</v>
      </c>
      <c r="T79" s="174">
        <f>VLOOKUP(D79,原始分!$D:$N,10,0)</f>
        <v>0</v>
      </c>
      <c r="U79" s="174">
        <f t="shared" si="20"/>
        <v>112</v>
      </c>
      <c r="V79" s="174">
        <f>VLOOKUP(D79,原始分!$D:$N,11,0)</f>
        <v>0</v>
      </c>
      <c r="W79" s="174">
        <f t="shared" si="21"/>
        <v>461</v>
      </c>
      <c r="X79" s="11">
        <f t="shared" si="22"/>
        <v>336.5</v>
      </c>
      <c r="Y79" s="9">
        <f t="shared" si="23"/>
        <v>43</v>
      </c>
      <c r="Z79" s="11">
        <f t="shared" si="24"/>
        <v>500</v>
      </c>
      <c r="AA79" s="9">
        <f t="shared" si="25"/>
        <v>77</v>
      </c>
    </row>
    <row r="80" ht="14.25" spans="1:27">
      <c r="A80" s="13">
        <v>514</v>
      </c>
      <c r="B80" s="15">
        <v>11</v>
      </c>
      <c r="C80" s="16">
        <v>18</v>
      </c>
      <c r="D80" s="19" t="s">
        <v>1038</v>
      </c>
      <c r="E80" s="17" t="s">
        <v>1039</v>
      </c>
      <c r="F80" s="174">
        <f>VLOOKUP(D80,原始分!$D:$N,3,0)</f>
        <v>103.5</v>
      </c>
      <c r="G80" s="174">
        <f t="shared" si="13"/>
        <v>146</v>
      </c>
      <c r="H80" s="174">
        <f>VLOOKUP(D80,原始分!$D:$N,4,0)</f>
        <v>128</v>
      </c>
      <c r="I80" s="174">
        <f t="shared" si="14"/>
        <v>19</v>
      </c>
      <c r="J80" s="174">
        <f>VLOOKUP(D80,原始分!$D:$N,5,0)</f>
        <v>118</v>
      </c>
      <c r="K80" s="174">
        <f t="shared" si="15"/>
        <v>33</v>
      </c>
      <c r="L80" s="174">
        <f>VLOOKUP(D80,原始分!$D:$N,6,0)</f>
        <v>63</v>
      </c>
      <c r="M80" s="174">
        <f t="shared" si="16"/>
        <v>147</v>
      </c>
      <c r="N80" s="174">
        <f>VLOOKUP(D80,原始分!$D:$N,7,0)</f>
        <v>0</v>
      </c>
      <c r="O80" s="174">
        <f t="shared" si="17"/>
        <v>1</v>
      </c>
      <c r="P80" s="174">
        <f>VLOOKUP(D80,原始分!$D:$N,8,0)</f>
        <v>35</v>
      </c>
      <c r="Q80" s="174">
        <f t="shared" si="18"/>
        <v>401</v>
      </c>
      <c r="R80" s="174">
        <f>VLOOKUP(D80,原始分!$D:$N,9,0)</f>
        <v>0</v>
      </c>
      <c r="S80" s="174">
        <f t="shared" si="19"/>
        <v>218</v>
      </c>
      <c r="T80" s="174">
        <f>VLOOKUP(D80,原始分!$D:$N,10,0)</f>
        <v>0</v>
      </c>
      <c r="U80" s="174">
        <f t="shared" si="20"/>
        <v>112</v>
      </c>
      <c r="V80" s="174">
        <f>VLOOKUP(D80,原始分!$D:$N,11,0)</f>
        <v>52</v>
      </c>
      <c r="W80" s="174">
        <f t="shared" si="21"/>
        <v>204</v>
      </c>
      <c r="X80" s="11">
        <f t="shared" si="22"/>
        <v>349.5</v>
      </c>
      <c r="Y80" s="9">
        <f t="shared" si="23"/>
        <v>12</v>
      </c>
      <c r="Z80" s="11">
        <f t="shared" si="24"/>
        <v>499.5</v>
      </c>
      <c r="AA80" s="9">
        <f t="shared" si="25"/>
        <v>78</v>
      </c>
    </row>
    <row r="81" ht="14.25" spans="1:27">
      <c r="A81" s="13">
        <v>262</v>
      </c>
      <c r="B81" s="15">
        <v>6</v>
      </c>
      <c r="C81" s="16">
        <v>14</v>
      </c>
      <c r="D81" s="17" t="s">
        <v>535</v>
      </c>
      <c r="E81" s="17" t="s">
        <v>536</v>
      </c>
      <c r="F81" s="174">
        <f>VLOOKUP(D81,原始分!$D:$N,3,0)</f>
        <v>94.5</v>
      </c>
      <c r="G81" s="174">
        <f t="shared" si="13"/>
        <v>461</v>
      </c>
      <c r="H81" s="174">
        <f>VLOOKUP(D81,原始分!$D:$N,4,0)</f>
        <v>126</v>
      </c>
      <c r="I81" s="174">
        <f t="shared" si="14"/>
        <v>27</v>
      </c>
      <c r="J81" s="174">
        <f>VLOOKUP(D81,原始分!$D:$N,5,0)</f>
        <v>95</v>
      </c>
      <c r="K81" s="174">
        <f t="shared" si="15"/>
        <v>338</v>
      </c>
      <c r="L81" s="174">
        <f>VLOOKUP(D81,原始分!$D:$N,6,0)</f>
        <v>66.5</v>
      </c>
      <c r="M81" s="174">
        <f t="shared" si="16"/>
        <v>88</v>
      </c>
      <c r="N81" s="174">
        <f>VLOOKUP(D81,原始分!$D:$N,7,0)</f>
        <v>0</v>
      </c>
      <c r="O81" s="174">
        <f t="shared" si="17"/>
        <v>1</v>
      </c>
      <c r="P81" s="174">
        <f>VLOOKUP(D81,原始分!$D:$N,8,0)</f>
        <v>0</v>
      </c>
      <c r="Q81" s="174">
        <f t="shared" si="18"/>
        <v>539</v>
      </c>
      <c r="R81" s="174">
        <f>VLOOKUP(D81,原始分!$D:$N,9,0)</f>
        <v>61</v>
      </c>
      <c r="S81" s="174">
        <f t="shared" si="19"/>
        <v>11</v>
      </c>
      <c r="T81" s="174">
        <f>VLOOKUP(D81,原始分!$D:$N,10,0)</f>
        <v>0</v>
      </c>
      <c r="U81" s="174">
        <f t="shared" si="20"/>
        <v>112</v>
      </c>
      <c r="V81" s="174">
        <f>VLOOKUP(D81,原始分!$D:$N,11,0)</f>
        <v>56</v>
      </c>
      <c r="W81" s="174">
        <f t="shared" si="21"/>
        <v>132</v>
      </c>
      <c r="X81" s="11">
        <f t="shared" si="22"/>
        <v>315.5</v>
      </c>
      <c r="Y81" s="9">
        <f t="shared" si="23"/>
        <v>147</v>
      </c>
      <c r="Z81" s="11">
        <f t="shared" si="24"/>
        <v>499</v>
      </c>
      <c r="AA81" s="9">
        <f t="shared" si="25"/>
        <v>79</v>
      </c>
    </row>
    <row r="82" ht="14.25" spans="1:27">
      <c r="A82" s="13">
        <v>390</v>
      </c>
      <c r="B82" s="15">
        <v>9</v>
      </c>
      <c r="C82" s="16">
        <v>5</v>
      </c>
      <c r="D82" s="17" t="s">
        <v>790</v>
      </c>
      <c r="E82" s="17" t="s">
        <v>791</v>
      </c>
      <c r="F82" s="174">
        <f>VLOOKUP(D82,原始分!$D:$N,3,0)</f>
        <v>109.5</v>
      </c>
      <c r="G82" s="174">
        <f t="shared" si="13"/>
        <v>27</v>
      </c>
      <c r="H82" s="174">
        <f>VLOOKUP(D82,原始分!$D:$N,4,0)</f>
        <v>118.5</v>
      </c>
      <c r="I82" s="174">
        <f t="shared" si="14"/>
        <v>74</v>
      </c>
      <c r="J82" s="174">
        <f>VLOOKUP(D82,原始分!$D:$N,5,0)</f>
        <v>118</v>
      </c>
      <c r="K82" s="174">
        <f t="shared" si="15"/>
        <v>33</v>
      </c>
      <c r="L82" s="174">
        <f>VLOOKUP(D82,原始分!$D:$N,6,0)</f>
        <v>55</v>
      </c>
      <c r="M82" s="174">
        <f t="shared" si="16"/>
        <v>269</v>
      </c>
      <c r="N82" s="174">
        <f>VLOOKUP(D82,原始分!$D:$N,7,0)</f>
        <v>0</v>
      </c>
      <c r="O82" s="174">
        <f t="shared" si="17"/>
        <v>1</v>
      </c>
      <c r="P82" s="174">
        <f>VLOOKUP(D82,原始分!$D:$N,8,0)</f>
        <v>40.5</v>
      </c>
      <c r="Q82" s="174">
        <f t="shared" si="18"/>
        <v>301</v>
      </c>
      <c r="R82" s="174">
        <f>VLOOKUP(D82,原始分!$D:$N,9,0)</f>
        <v>0</v>
      </c>
      <c r="S82" s="174">
        <f t="shared" si="19"/>
        <v>218</v>
      </c>
      <c r="T82" s="174">
        <f>VLOOKUP(D82,原始分!$D:$N,10,0)</f>
        <v>0</v>
      </c>
      <c r="U82" s="174">
        <f t="shared" si="20"/>
        <v>112</v>
      </c>
      <c r="V82" s="174">
        <f>VLOOKUP(D82,原始分!$D:$N,11,0)</f>
        <v>57.5</v>
      </c>
      <c r="W82" s="174">
        <f t="shared" si="21"/>
        <v>107</v>
      </c>
      <c r="X82" s="11">
        <f t="shared" si="22"/>
        <v>346</v>
      </c>
      <c r="Y82" s="9">
        <f t="shared" si="23"/>
        <v>17</v>
      </c>
      <c r="Z82" s="11">
        <f t="shared" si="24"/>
        <v>499</v>
      </c>
      <c r="AA82" s="9">
        <f t="shared" si="25"/>
        <v>79</v>
      </c>
    </row>
    <row r="83" ht="14.25" spans="1:27">
      <c r="A83" s="13">
        <v>454</v>
      </c>
      <c r="B83" s="15">
        <v>10</v>
      </c>
      <c r="C83" s="16">
        <v>15</v>
      </c>
      <c r="D83" s="17" t="s">
        <v>918</v>
      </c>
      <c r="E83" s="17" t="s">
        <v>919</v>
      </c>
      <c r="F83" s="174">
        <f>VLOOKUP(D83,原始分!$D:$N,3,0)</f>
        <v>105</v>
      </c>
      <c r="G83" s="174">
        <f t="shared" si="13"/>
        <v>107</v>
      </c>
      <c r="H83" s="174">
        <f>VLOOKUP(D83,原始分!$D:$N,4,0)</f>
        <v>109.5</v>
      </c>
      <c r="I83" s="174">
        <f t="shared" si="14"/>
        <v>198</v>
      </c>
      <c r="J83" s="174">
        <f>VLOOKUP(D83,原始分!$D:$N,5,0)</f>
        <v>111.75</v>
      </c>
      <c r="K83" s="174">
        <f t="shared" si="15"/>
        <v>87</v>
      </c>
      <c r="L83" s="174">
        <f>VLOOKUP(D83,原始分!$D:$N,6,0)</f>
        <v>49.5</v>
      </c>
      <c r="M83" s="174">
        <f t="shared" si="16"/>
        <v>341</v>
      </c>
      <c r="N83" s="174">
        <f>VLOOKUP(D83,原始分!$D:$N,7,0)</f>
        <v>0</v>
      </c>
      <c r="O83" s="174">
        <f t="shared" si="17"/>
        <v>1</v>
      </c>
      <c r="P83" s="174">
        <f>VLOOKUP(D83,原始分!$D:$N,8,0)</f>
        <v>55.5</v>
      </c>
      <c r="Q83" s="174">
        <f t="shared" si="18"/>
        <v>47</v>
      </c>
      <c r="R83" s="174">
        <f>VLOOKUP(D83,原始分!$D:$N,9,0)</f>
        <v>0</v>
      </c>
      <c r="S83" s="174">
        <f t="shared" si="19"/>
        <v>218</v>
      </c>
      <c r="T83" s="174">
        <f>VLOOKUP(D83,原始分!$D:$N,10,0)</f>
        <v>0</v>
      </c>
      <c r="U83" s="174">
        <f t="shared" si="20"/>
        <v>112</v>
      </c>
      <c r="V83" s="174">
        <f>VLOOKUP(D83,原始分!$D:$N,11,0)</f>
        <v>67.5</v>
      </c>
      <c r="W83" s="174">
        <f t="shared" si="21"/>
        <v>24</v>
      </c>
      <c r="X83" s="11">
        <f t="shared" si="22"/>
        <v>326.25</v>
      </c>
      <c r="Y83" s="9">
        <f t="shared" si="23"/>
        <v>81</v>
      </c>
      <c r="Z83" s="11">
        <f t="shared" si="24"/>
        <v>498.75</v>
      </c>
      <c r="AA83" s="9">
        <f t="shared" si="25"/>
        <v>81</v>
      </c>
    </row>
    <row r="84" ht="14.25" spans="1:27">
      <c r="A84" s="13">
        <v>75</v>
      </c>
      <c r="B84" s="15">
        <v>2</v>
      </c>
      <c r="C84" s="16">
        <v>12</v>
      </c>
      <c r="D84" s="17" t="s">
        <v>163</v>
      </c>
      <c r="E84" s="17" t="s">
        <v>164</v>
      </c>
      <c r="F84" s="174">
        <f>VLOOKUP(D84,原始分!$D:$N,3,0)</f>
        <v>95.5</v>
      </c>
      <c r="G84" s="174">
        <f t="shared" si="13"/>
        <v>422</v>
      </c>
      <c r="H84" s="174">
        <f>VLOOKUP(D84,原始分!$D:$N,4,0)</f>
        <v>107.5</v>
      </c>
      <c r="I84" s="174">
        <f t="shared" si="14"/>
        <v>230</v>
      </c>
      <c r="J84" s="174">
        <f>VLOOKUP(D84,原始分!$D:$N,5,0)</f>
        <v>113</v>
      </c>
      <c r="K84" s="174">
        <f t="shared" si="15"/>
        <v>72</v>
      </c>
      <c r="L84" s="174">
        <f>VLOOKUP(D84,原始分!$D:$N,6,0)</f>
        <v>50</v>
      </c>
      <c r="M84" s="174">
        <f t="shared" si="16"/>
        <v>337</v>
      </c>
      <c r="N84" s="174">
        <f>VLOOKUP(D84,原始分!$D:$N,7,0)</f>
        <v>0</v>
      </c>
      <c r="O84" s="174">
        <f t="shared" si="17"/>
        <v>1</v>
      </c>
      <c r="P84" s="174">
        <f>VLOOKUP(D84,原始分!$D:$N,8,0)</f>
        <v>0</v>
      </c>
      <c r="Q84" s="174">
        <f t="shared" si="18"/>
        <v>539</v>
      </c>
      <c r="R84" s="174">
        <f>VLOOKUP(D84,原始分!$D:$N,9,0)</f>
        <v>0</v>
      </c>
      <c r="S84" s="174">
        <f t="shared" si="19"/>
        <v>218</v>
      </c>
      <c r="T84" s="174">
        <f>VLOOKUP(D84,原始分!$D:$N,10,0)</f>
        <v>65.25</v>
      </c>
      <c r="U84" s="174">
        <f t="shared" si="20"/>
        <v>8</v>
      </c>
      <c r="V84" s="174">
        <f>VLOOKUP(D84,原始分!$D:$N,11,0)</f>
        <v>67</v>
      </c>
      <c r="W84" s="174">
        <f t="shared" si="21"/>
        <v>26</v>
      </c>
      <c r="X84" s="11">
        <f t="shared" si="22"/>
        <v>316</v>
      </c>
      <c r="Y84" s="9">
        <f t="shared" si="23"/>
        <v>144</v>
      </c>
      <c r="Z84" s="11">
        <f t="shared" si="24"/>
        <v>498.25</v>
      </c>
      <c r="AA84" s="9">
        <f t="shared" si="25"/>
        <v>82</v>
      </c>
    </row>
    <row r="85" ht="14.25" spans="1:27">
      <c r="A85" s="13">
        <v>385</v>
      </c>
      <c r="B85" s="15">
        <v>8</v>
      </c>
      <c r="C85" s="16">
        <v>61</v>
      </c>
      <c r="D85" s="17" t="s">
        <v>780</v>
      </c>
      <c r="E85" s="17" t="s">
        <v>781</v>
      </c>
      <c r="F85" s="174">
        <f>VLOOKUP(D85,原始分!$D:$N,3,0)</f>
        <v>109.5</v>
      </c>
      <c r="G85" s="174">
        <f t="shared" si="13"/>
        <v>27</v>
      </c>
      <c r="H85" s="174">
        <f>VLOOKUP(D85,原始分!$D:$N,4,0)</f>
        <v>92.5</v>
      </c>
      <c r="I85" s="174">
        <f t="shared" si="14"/>
        <v>462</v>
      </c>
      <c r="J85" s="174">
        <f>VLOOKUP(D85,原始分!$D:$N,5,0)</f>
        <v>116</v>
      </c>
      <c r="K85" s="174">
        <f t="shared" si="15"/>
        <v>46</v>
      </c>
      <c r="L85" s="174">
        <f>VLOOKUP(D85,原始分!$D:$N,6,0)</f>
        <v>63.5</v>
      </c>
      <c r="M85" s="174">
        <f t="shared" si="16"/>
        <v>138</v>
      </c>
      <c r="N85" s="174">
        <f>VLOOKUP(D85,原始分!$D:$N,7,0)</f>
        <v>0</v>
      </c>
      <c r="O85" s="174">
        <f t="shared" si="17"/>
        <v>1</v>
      </c>
      <c r="P85" s="174">
        <f>VLOOKUP(D85,原始分!$D:$N,8,0)</f>
        <v>46.5</v>
      </c>
      <c r="Q85" s="174">
        <f t="shared" si="18"/>
        <v>187</v>
      </c>
      <c r="R85" s="174">
        <f>VLOOKUP(D85,原始分!$D:$N,9,0)</f>
        <v>0</v>
      </c>
      <c r="S85" s="174">
        <f t="shared" si="19"/>
        <v>218</v>
      </c>
      <c r="T85" s="174">
        <f>VLOOKUP(D85,原始分!$D:$N,10,0)</f>
        <v>0</v>
      </c>
      <c r="U85" s="174">
        <f t="shared" si="20"/>
        <v>112</v>
      </c>
      <c r="V85" s="174">
        <f>VLOOKUP(D85,原始分!$D:$N,11,0)</f>
        <v>70</v>
      </c>
      <c r="W85" s="174">
        <f t="shared" si="21"/>
        <v>14</v>
      </c>
      <c r="X85" s="11">
        <f t="shared" si="22"/>
        <v>318</v>
      </c>
      <c r="Y85" s="9">
        <f t="shared" si="23"/>
        <v>130</v>
      </c>
      <c r="Z85" s="11">
        <f t="shared" si="24"/>
        <v>498</v>
      </c>
      <c r="AA85" s="9">
        <f t="shared" si="25"/>
        <v>83</v>
      </c>
    </row>
    <row r="86" ht="14.25" spans="1:27">
      <c r="A86" s="13">
        <v>471</v>
      </c>
      <c r="B86" s="15">
        <v>10</v>
      </c>
      <c r="C86" s="16">
        <v>32</v>
      </c>
      <c r="D86" s="17" t="s">
        <v>952</v>
      </c>
      <c r="E86" s="17" t="s">
        <v>953</v>
      </c>
      <c r="F86" s="174">
        <f>VLOOKUP(D86,原始分!$D:$N,3,0)</f>
        <v>95</v>
      </c>
      <c r="G86" s="174">
        <f t="shared" si="13"/>
        <v>441</v>
      </c>
      <c r="H86" s="174">
        <f>VLOOKUP(D86,原始分!$D:$N,4,0)</f>
        <v>114.5</v>
      </c>
      <c r="I86" s="174">
        <f t="shared" si="14"/>
        <v>122</v>
      </c>
      <c r="J86" s="174">
        <f>VLOOKUP(D86,原始分!$D:$N,5,0)</f>
        <v>103.5</v>
      </c>
      <c r="K86" s="174">
        <f t="shared" si="15"/>
        <v>196</v>
      </c>
      <c r="L86" s="174">
        <f>VLOOKUP(D86,原始分!$D:$N,6,0)</f>
        <v>71.5</v>
      </c>
      <c r="M86" s="174">
        <f t="shared" si="16"/>
        <v>55</v>
      </c>
      <c r="N86" s="174">
        <f>VLOOKUP(D86,原始分!$D:$N,7,0)</f>
        <v>0</v>
      </c>
      <c r="O86" s="174">
        <f t="shared" si="17"/>
        <v>1</v>
      </c>
      <c r="P86" s="174">
        <f>VLOOKUP(D86,原始分!$D:$N,8,0)</f>
        <v>52</v>
      </c>
      <c r="Q86" s="174">
        <f t="shared" si="18"/>
        <v>86</v>
      </c>
      <c r="R86" s="174">
        <f>VLOOKUP(D86,原始分!$D:$N,9,0)</f>
        <v>0</v>
      </c>
      <c r="S86" s="174">
        <f t="shared" si="19"/>
        <v>218</v>
      </c>
      <c r="T86" s="174">
        <f>VLOOKUP(D86,原始分!$D:$N,10,0)</f>
        <v>0</v>
      </c>
      <c r="U86" s="174">
        <f t="shared" si="20"/>
        <v>112</v>
      </c>
      <c r="V86" s="174">
        <f>VLOOKUP(D86,原始分!$D:$N,11,0)</f>
        <v>61</v>
      </c>
      <c r="W86" s="174">
        <f t="shared" si="21"/>
        <v>67</v>
      </c>
      <c r="X86" s="11">
        <f t="shared" si="22"/>
        <v>313</v>
      </c>
      <c r="Y86" s="9">
        <f t="shared" si="23"/>
        <v>167</v>
      </c>
      <c r="Z86" s="11">
        <f t="shared" si="24"/>
        <v>497.5</v>
      </c>
      <c r="AA86" s="9">
        <f t="shared" si="25"/>
        <v>84</v>
      </c>
    </row>
    <row r="87" ht="14.25" spans="1:27">
      <c r="A87" s="13">
        <v>411</v>
      </c>
      <c r="B87" s="15">
        <v>9</v>
      </c>
      <c r="C87" s="16">
        <v>27</v>
      </c>
      <c r="D87" s="17" t="s">
        <v>832</v>
      </c>
      <c r="E87" s="17" t="s">
        <v>833</v>
      </c>
      <c r="F87" s="174">
        <f>VLOOKUP(D87,原始分!$D:$N,3,0)</f>
        <v>103</v>
      </c>
      <c r="G87" s="174">
        <f t="shared" si="13"/>
        <v>168</v>
      </c>
      <c r="H87" s="174">
        <f>VLOOKUP(D87,原始分!$D:$N,4,0)</f>
        <v>128</v>
      </c>
      <c r="I87" s="174">
        <f t="shared" si="14"/>
        <v>19</v>
      </c>
      <c r="J87" s="174">
        <f>VLOOKUP(D87,原始分!$D:$N,5,0)</f>
        <v>98.5</v>
      </c>
      <c r="K87" s="174">
        <f t="shared" si="15"/>
        <v>279</v>
      </c>
      <c r="L87" s="174">
        <f>VLOOKUP(D87,原始分!$D:$N,6,0)</f>
        <v>80.5</v>
      </c>
      <c r="M87" s="174">
        <f t="shared" si="16"/>
        <v>10</v>
      </c>
      <c r="N87" s="174">
        <f>VLOOKUP(D87,原始分!$D:$N,7,0)</f>
        <v>0</v>
      </c>
      <c r="O87" s="174">
        <f t="shared" si="17"/>
        <v>1</v>
      </c>
      <c r="P87" s="174">
        <f>VLOOKUP(D87,原始分!$D:$N,8,0)</f>
        <v>36.5</v>
      </c>
      <c r="Q87" s="174">
        <f t="shared" si="18"/>
        <v>378</v>
      </c>
      <c r="R87" s="174">
        <f>VLOOKUP(D87,原始分!$D:$N,9,0)</f>
        <v>0</v>
      </c>
      <c r="S87" s="174">
        <f t="shared" si="19"/>
        <v>218</v>
      </c>
      <c r="T87" s="174">
        <f>VLOOKUP(D87,原始分!$D:$N,10,0)</f>
        <v>0</v>
      </c>
      <c r="U87" s="174">
        <f t="shared" si="20"/>
        <v>112</v>
      </c>
      <c r="V87" s="174">
        <f>VLOOKUP(D87,原始分!$D:$N,11,0)</f>
        <v>50</v>
      </c>
      <c r="W87" s="174">
        <f t="shared" si="21"/>
        <v>247</v>
      </c>
      <c r="X87" s="11">
        <f t="shared" si="22"/>
        <v>329.5</v>
      </c>
      <c r="Y87" s="9">
        <f t="shared" si="23"/>
        <v>69</v>
      </c>
      <c r="Z87" s="11">
        <f t="shared" si="24"/>
        <v>496.5</v>
      </c>
      <c r="AA87" s="9">
        <f t="shared" si="25"/>
        <v>85</v>
      </c>
    </row>
    <row r="88" ht="14.25" spans="1:27">
      <c r="A88" s="13">
        <v>460</v>
      </c>
      <c r="B88" s="15">
        <v>10</v>
      </c>
      <c r="C88" s="16">
        <v>21</v>
      </c>
      <c r="D88" s="17" t="s">
        <v>930</v>
      </c>
      <c r="E88" s="17" t="s">
        <v>931</v>
      </c>
      <c r="F88" s="174">
        <f>VLOOKUP(D88,原始分!$D:$N,3,0)</f>
        <v>100</v>
      </c>
      <c r="G88" s="174">
        <f t="shared" si="13"/>
        <v>274</v>
      </c>
      <c r="H88" s="174">
        <f>VLOOKUP(D88,原始分!$D:$N,4,0)</f>
        <v>117</v>
      </c>
      <c r="I88" s="174">
        <f t="shared" si="14"/>
        <v>85</v>
      </c>
      <c r="J88" s="174">
        <f>VLOOKUP(D88,原始分!$D:$N,5,0)</f>
        <v>101.5</v>
      </c>
      <c r="K88" s="174">
        <f t="shared" si="15"/>
        <v>217</v>
      </c>
      <c r="L88" s="174">
        <f>VLOOKUP(D88,原始分!$D:$N,6,0)</f>
        <v>67.5</v>
      </c>
      <c r="M88" s="174">
        <f t="shared" si="16"/>
        <v>79</v>
      </c>
      <c r="N88" s="174">
        <f>VLOOKUP(D88,原始分!$D:$N,7,0)</f>
        <v>0</v>
      </c>
      <c r="O88" s="174">
        <f t="shared" si="17"/>
        <v>1</v>
      </c>
      <c r="P88" s="174">
        <f>VLOOKUP(D88,原始分!$D:$N,8,0)</f>
        <v>50</v>
      </c>
      <c r="Q88" s="174">
        <f t="shared" si="18"/>
        <v>108</v>
      </c>
      <c r="R88" s="174">
        <f>VLOOKUP(D88,原始分!$D:$N,9,0)</f>
        <v>0</v>
      </c>
      <c r="S88" s="174">
        <f t="shared" si="19"/>
        <v>218</v>
      </c>
      <c r="T88" s="174">
        <f>VLOOKUP(D88,原始分!$D:$N,10,0)</f>
        <v>0</v>
      </c>
      <c r="U88" s="174">
        <f t="shared" si="20"/>
        <v>112</v>
      </c>
      <c r="V88" s="174">
        <f>VLOOKUP(D88,原始分!$D:$N,11,0)</f>
        <v>60.5</v>
      </c>
      <c r="W88" s="174">
        <f t="shared" si="21"/>
        <v>74</v>
      </c>
      <c r="X88" s="11">
        <f t="shared" si="22"/>
        <v>318.5</v>
      </c>
      <c r="Y88" s="9">
        <f t="shared" si="23"/>
        <v>127</v>
      </c>
      <c r="Z88" s="11">
        <f t="shared" si="24"/>
        <v>496.5</v>
      </c>
      <c r="AA88" s="9">
        <f t="shared" si="25"/>
        <v>85</v>
      </c>
    </row>
    <row r="89" ht="14.25" spans="1:27">
      <c r="A89" s="13">
        <v>487</v>
      </c>
      <c r="B89" s="15">
        <v>10</v>
      </c>
      <c r="C89" s="16">
        <v>48</v>
      </c>
      <c r="D89" s="19" t="s">
        <v>984</v>
      </c>
      <c r="E89" s="17" t="s">
        <v>985</v>
      </c>
      <c r="F89" s="174">
        <f>VLOOKUP(D89,原始分!$D:$N,3,0)</f>
        <v>98.75</v>
      </c>
      <c r="G89" s="174">
        <f t="shared" si="13"/>
        <v>322</v>
      </c>
      <c r="H89" s="174">
        <f>VLOOKUP(D89,原始分!$D:$N,4,0)</f>
        <v>106</v>
      </c>
      <c r="I89" s="174">
        <f t="shared" si="14"/>
        <v>255</v>
      </c>
      <c r="J89" s="174">
        <f>VLOOKUP(D89,原始分!$D:$N,5,0)</f>
        <v>112.5</v>
      </c>
      <c r="K89" s="174">
        <f t="shared" si="15"/>
        <v>80</v>
      </c>
      <c r="L89" s="174">
        <f>VLOOKUP(D89,原始分!$D:$N,6,0)</f>
        <v>61</v>
      </c>
      <c r="M89" s="174">
        <f t="shared" si="16"/>
        <v>168</v>
      </c>
      <c r="N89" s="174">
        <f>VLOOKUP(D89,原始分!$D:$N,7,0)</f>
        <v>0</v>
      </c>
      <c r="O89" s="174">
        <f t="shared" si="17"/>
        <v>1</v>
      </c>
      <c r="P89" s="174">
        <f>VLOOKUP(D89,原始分!$D:$N,8,0)</f>
        <v>58.5</v>
      </c>
      <c r="Q89" s="174">
        <f t="shared" si="18"/>
        <v>36</v>
      </c>
      <c r="R89" s="174">
        <f>VLOOKUP(D89,原始分!$D:$N,9,0)</f>
        <v>0</v>
      </c>
      <c r="S89" s="174">
        <f t="shared" si="19"/>
        <v>218</v>
      </c>
      <c r="T89" s="174">
        <f>VLOOKUP(D89,原始分!$D:$N,10,0)</f>
        <v>0</v>
      </c>
      <c r="U89" s="174">
        <f t="shared" si="20"/>
        <v>112</v>
      </c>
      <c r="V89" s="174">
        <f>VLOOKUP(D89,原始分!$D:$N,11,0)</f>
        <v>59.5</v>
      </c>
      <c r="W89" s="174">
        <f t="shared" si="21"/>
        <v>85</v>
      </c>
      <c r="X89" s="11">
        <f t="shared" si="22"/>
        <v>317.25</v>
      </c>
      <c r="Y89" s="9">
        <f t="shared" si="23"/>
        <v>137</v>
      </c>
      <c r="Z89" s="11">
        <f t="shared" si="24"/>
        <v>496.25</v>
      </c>
      <c r="AA89" s="9">
        <f t="shared" si="25"/>
        <v>87</v>
      </c>
    </row>
    <row r="90" ht="14.25" spans="1:27">
      <c r="A90" s="13">
        <v>229</v>
      </c>
      <c r="B90" s="15">
        <v>5</v>
      </c>
      <c r="C90" s="16">
        <v>26</v>
      </c>
      <c r="D90" s="17" t="s">
        <v>471</v>
      </c>
      <c r="E90" s="17" t="s">
        <v>472</v>
      </c>
      <c r="F90" s="174">
        <f>VLOOKUP(D90,原始分!$D:$N,3,0)</f>
        <v>101</v>
      </c>
      <c r="G90" s="174">
        <f t="shared" si="13"/>
        <v>224</v>
      </c>
      <c r="H90" s="174">
        <f>VLOOKUP(D90,原始分!$D:$N,4,0)</f>
        <v>109.5</v>
      </c>
      <c r="I90" s="174">
        <f t="shared" si="14"/>
        <v>198</v>
      </c>
      <c r="J90" s="174">
        <f>VLOOKUP(D90,原始分!$D:$N,5,0)</f>
        <v>113</v>
      </c>
      <c r="K90" s="174">
        <f t="shared" si="15"/>
        <v>72</v>
      </c>
      <c r="L90" s="174">
        <f>VLOOKUP(D90,原始分!$D:$N,6,0)</f>
        <v>75.5</v>
      </c>
      <c r="M90" s="174">
        <f t="shared" si="16"/>
        <v>31</v>
      </c>
      <c r="N90" s="174">
        <f>VLOOKUP(D90,原始分!$D:$N,7,0)</f>
        <v>0</v>
      </c>
      <c r="O90" s="174">
        <f t="shared" si="17"/>
        <v>1</v>
      </c>
      <c r="P90" s="174">
        <f>VLOOKUP(D90,原始分!$D:$N,8,0)</f>
        <v>48</v>
      </c>
      <c r="Q90" s="174">
        <f t="shared" si="18"/>
        <v>145</v>
      </c>
      <c r="R90" s="174">
        <f>VLOOKUP(D90,原始分!$D:$N,9,0)</f>
        <v>49</v>
      </c>
      <c r="S90" s="174">
        <f t="shared" si="19"/>
        <v>107</v>
      </c>
      <c r="T90" s="174">
        <f>VLOOKUP(D90,原始分!$D:$N,10,0)</f>
        <v>0</v>
      </c>
      <c r="U90" s="174">
        <f t="shared" si="20"/>
        <v>112</v>
      </c>
      <c r="V90" s="174">
        <f>VLOOKUP(D90,原始分!$D:$N,11,0)</f>
        <v>0</v>
      </c>
      <c r="W90" s="174">
        <f t="shared" si="21"/>
        <v>461</v>
      </c>
      <c r="X90" s="11">
        <f t="shared" si="22"/>
        <v>323.5</v>
      </c>
      <c r="Y90" s="9">
        <f t="shared" si="23"/>
        <v>95</v>
      </c>
      <c r="Z90" s="11">
        <f t="shared" si="24"/>
        <v>496</v>
      </c>
      <c r="AA90" s="9">
        <f t="shared" si="25"/>
        <v>88</v>
      </c>
    </row>
    <row r="91" ht="14.25" spans="1:27">
      <c r="A91" s="13">
        <v>419</v>
      </c>
      <c r="B91" s="15">
        <v>9</v>
      </c>
      <c r="C91" s="16">
        <v>35</v>
      </c>
      <c r="D91" s="19" t="s">
        <v>848</v>
      </c>
      <c r="E91" s="17" t="s">
        <v>849</v>
      </c>
      <c r="F91" s="174">
        <f>VLOOKUP(D91,原始分!$D:$N,3,0)</f>
        <v>95.5</v>
      </c>
      <c r="G91" s="174">
        <f t="shared" si="13"/>
        <v>422</v>
      </c>
      <c r="H91" s="174">
        <f>VLOOKUP(D91,原始分!$D:$N,4,0)</f>
        <v>128</v>
      </c>
      <c r="I91" s="174">
        <f t="shared" si="14"/>
        <v>19</v>
      </c>
      <c r="J91" s="174">
        <f>VLOOKUP(D91,原始分!$D:$N,5,0)</f>
        <v>104</v>
      </c>
      <c r="K91" s="174">
        <f t="shared" si="15"/>
        <v>185</v>
      </c>
      <c r="L91" s="174">
        <f>VLOOKUP(D91,原始分!$D:$N,6,0)</f>
        <v>69</v>
      </c>
      <c r="M91" s="174">
        <f t="shared" si="16"/>
        <v>70</v>
      </c>
      <c r="N91" s="174">
        <f>VLOOKUP(D91,原始分!$D:$N,7,0)</f>
        <v>0</v>
      </c>
      <c r="O91" s="174">
        <f t="shared" si="17"/>
        <v>1</v>
      </c>
      <c r="P91" s="174">
        <f>VLOOKUP(D91,原始分!$D:$N,8,0)</f>
        <v>53</v>
      </c>
      <c r="Q91" s="174">
        <f t="shared" si="18"/>
        <v>69</v>
      </c>
      <c r="R91" s="174">
        <f>VLOOKUP(D91,原始分!$D:$N,9,0)</f>
        <v>0</v>
      </c>
      <c r="S91" s="174">
        <f t="shared" si="19"/>
        <v>218</v>
      </c>
      <c r="T91" s="174">
        <f>VLOOKUP(D91,原始分!$D:$N,10,0)</f>
        <v>0</v>
      </c>
      <c r="U91" s="174">
        <f t="shared" si="20"/>
        <v>112</v>
      </c>
      <c r="V91" s="174">
        <f>VLOOKUP(D91,原始分!$D:$N,11,0)</f>
        <v>46.5</v>
      </c>
      <c r="W91" s="174">
        <f t="shared" si="21"/>
        <v>306</v>
      </c>
      <c r="X91" s="11">
        <f t="shared" si="22"/>
        <v>327.5</v>
      </c>
      <c r="Y91" s="9">
        <f t="shared" si="23"/>
        <v>75</v>
      </c>
      <c r="Z91" s="11">
        <f t="shared" si="24"/>
        <v>496</v>
      </c>
      <c r="AA91" s="9">
        <f t="shared" si="25"/>
        <v>88</v>
      </c>
    </row>
    <row r="92" ht="14.25" spans="1:27">
      <c r="A92" s="13">
        <v>128</v>
      </c>
      <c r="B92" s="15">
        <v>3</v>
      </c>
      <c r="C92" s="16">
        <v>17</v>
      </c>
      <c r="D92" s="17" t="s">
        <v>269</v>
      </c>
      <c r="E92" s="17" t="s">
        <v>270</v>
      </c>
      <c r="F92" s="174">
        <f>VLOOKUP(D92,原始分!$D:$N,3,0)</f>
        <v>103.5</v>
      </c>
      <c r="G92" s="174">
        <f t="shared" si="13"/>
        <v>146</v>
      </c>
      <c r="H92" s="174">
        <f>VLOOKUP(D92,原始分!$D:$N,4,0)</f>
        <v>105</v>
      </c>
      <c r="I92" s="174">
        <f t="shared" si="14"/>
        <v>271</v>
      </c>
      <c r="J92" s="174">
        <f>VLOOKUP(D92,原始分!$D:$N,5,0)</f>
        <v>112</v>
      </c>
      <c r="K92" s="174">
        <f t="shared" si="15"/>
        <v>82</v>
      </c>
      <c r="L92" s="174">
        <f>VLOOKUP(D92,原始分!$D:$N,6,0)</f>
        <v>67</v>
      </c>
      <c r="M92" s="174">
        <f t="shared" si="16"/>
        <v>82</v>
      </c>
      <c r="N92" s="174">
        <f>VLOOKUP(D92,原始分!$D:$N,7,0)</f>
        <v>0</v>
      </c>
      <c r="O92" s="174">
        <f t="shared" si="17"/>
        <v>1</v>
      </c>
      <c r="P92" s="174">
        <f>VLOOKUP(D92,原始分!$D:$N,8,0)</f>
        <v>45</v>
      </c>
      <c r="Q92" s="174">
        <f t="shared" si="18"/>
        <v>208</v>
      </c>
      <c r="R92" s="174">
        <f>VLOOKUP(D92,原始分!$D:$N,9,0)</f>
        <v>62.5</v>
      </c>
      <c r="S92" s="174">
        <f t="shared" si="19"/>
        <v>8</v>
      </c>
      <c r="T92" s="174">
        <f>VLOOKUP(D92,原始分!$D:$N,10,0)</f>
        <v>0</v>
      </c>
      <c r="U92" s="174">
        <f t="shared" si="20"/>
        <v>112</v>
      </c>
      <c r="V92" s="174">
        <f>VLOOKUP(D92,原始分!$D:$N,11,0)</f>
        <v>0</v>
      </c>
      <c r="W92" s="174">
        <f t="shared" si="21"/>
        <v>461</v>
      </c>
      <c r="X92" s="11">
        <f t="shared" si="22"/>
        <v>320.5</v>
      </c>
      <c r="Y92" s="9">
        <f t="shared" si="23"/>
        <v>112</v>
      </c>
      <c r="Z92" s="11">
        <f t="shared" si="24"/>
        <v>495</v>
      </c>
      <c r="AA92" s="9">
        <f t="shared" si="25"/>
        <v>90</v>
      </c>
    </row>
    <row r="93" ht="14.25" spans="1:27">
      <c r="A93" s="13">
        <v>426</v>
      </c>
      <c r="B93" s="15">
        <v>9</v>
      </c>
      <c r="C93" s="16">
        <v>42</v>
      </c>
      <c r="D93" s="17" t="s">
        <v>862</v>
      </c>
      <c r="E93" s="17" t="s">
        <v>863</v>
      </c>
      <c r="F93" s="174">
        <f>VLOOKUP(D93,原始分!$D:$N,3,0)</f>
        <v>91</v>
      </c>
      <c r="G93" s="174">
        <f t="shared" si="13"/>
        <v>555</v>
      </c>
      <c r="H93" s="174">
        <f>VLOOKUP(D93,原始分!$D:$N,4,0)</f>
        <v>109</v>
      </c>
      <c r="I93" s="174">
        <f t="shared" si="14"/>
        <v>206</v>
      </c>
      <c r="J93" s="174">
        <f>VLOOKUP(D93,原始分!$D:$N,5,0)</f>
        <v>120.25</v>
      </c>
      <c r="K93" s="174">
        <f t="shared" si="15"/>
        <v>19</v>
      </c>
      <c r="L93" s="174">
        <f>VLOOKUP(D93,原始分!$D:$N,6,0)</f>
        <v>66</v>
      </c>
      <c r="M93" s="174">
        <f t="shared" si="16"/>
        <v>97</v>
      </c>
      <c r="N93" s="174">
        <f>VLOOKUP(D93,原始分!$D:$N,7,0)</f>
        <v>0</v>
      </c>
      <c r="O93" s="174">
        <f t="shared" si="17"/>
        <v>1</v>
      </c>
      <c r="P93" s="174">
        <f>VLOOKUP(D93,原始分!$D:$N,8,0)</f>
        <v>47.5</v>
      </c>
      <c r="Q93" s="174">
        <f t="shared" si="18"/>
        <v>156</v>
      </c>
      <c r="R93" s="174">
        <f>VLOOKUP(D93,原始分!$D:$N,9,0)</f>
        <v>0</v>
      </c>
      <c r="S93" s="174">
        <f t="shared" si="19"/>
        <v>218</v>
      </c>
      <c r="T93" s="174">
        <f>VLOOKUP(D93,原始分!$D:$N,10,0)</f>
        <v>0</v>
      </c>
      <c r="U93" s="174">
        <f t="shared" si="20"/>
        <v>112</v>
      </c>
      <c r="V93" s="174">
        <f>VLOOKUP(D93,原始分!$D:$N,11,0)</f>
        <v>61</v>
      </c>
      <c r="W93" s="174">
        <f t="shared" si="21"/>
        <v>67</v>
      </c>
      <c r="X93" s="11">
        <f t="shared" si="22"/>
        <v>320.25</v>
      </c>
      <c r="Y93" s="9">
        <f t="shared" si="23"/>
        <v>114</v>
      </c>
      <c r="Z93" s="11">
        <f t="shared" si="24"/>
        <v>494.75</v>
      </c>
      <c r="AA93" s="9">
        <f t="shared" si="25"/>
        <v>91</v>
      </c>
    </row>
    <row r="94" ht="14.25" spans="1:27">
      <c r="A94" s="13">
        <v>82</v>
      </c>
      <c r="B94" s="15">
        <v>2</v>
      </c>
      <c r="C94" s="16">
        <v>19</v>
      </c>
      <c r="D94" s="17" t="s">
        <v>177</v>
      </c>
      <c r="E94" s="17" t="s">
        <v>178</v>
      </c>
      <c r="F94" s="174">
        <f>VLOOKUP(D94,原始分!$D:$N,3,0)</f>
        <v>98</v>
      </c>
      <c r="G94" s="174">
        <f t="shared" si="13"/>
        <v>349</v>
      </c>
      <c r="H94" s="174">
        <f>VLOOKUP(D94,原始分!$D:$N,4,0)</f>
        <v>107</v>
      </c>
      <c r="I94" s="174">
        <f t="shared" si="14"/>
        <v>239</v>
      </c>
      <c r="J94" s="174">
        <f>VLOOKUP(D94,原始分!$D:$N,5,0)</f>
        <v>111</v>
      </c>
      <c r="K94" s="174">
        <f t="shared" si="15"/>
        <v>94</v>
      </c>
      <c r="L94" s="174">
        <f>VLOOKUP(D94,原始分!$D:$N,6,0)</f>
        <v>66.5</v>
      </c>
      <c r="M94" s="174">
        <f t="shared" si="16"/>
        <v>88</v>
      </c>
      <c r="N94" s="174">
        <f>VLOOKUP(D94,原始分!$D:$N,7,0)</f>
        <v>0</v>
      </c>
      <c r="O94" s="174">
        <f t="shared" si="17"/>
        <v>1</v>
      </c>
      <c r="P94" s="174">
        <f>VLOOKUP(D94,原始分!$D:$N,8,0)</f>
        <v>0</v>
      </c>
      <c r="Q94" s="174">
        <f t="shared" si="18"/>
        <v>539</v>
      </c>
      <c r="R94" s="174">
        <f>VLOOKUP(D94,原始分!$D:$N,9,0)</f>
        <v>0</v>
      </c>
      <c r="S94" s="174">
        <f t="shared" si="19"/>
        <v>218</v>
      </c>
      <c r="T94" s="174">
        <f>VLOOKUP(D94,原始分!$D:$N,10,0)</f>
        <v>54</v>
      </c>
      <c r="U94" s="174">
        <f t="shared" si="20"/>
        <v>60</v>
      </c>
      <c r="V94" s="174">
        <f>VLOOKUP(D94,原始分!$D:$N,11,0)</f>
        <v>58</v>
      </c>
      <c r="W94" s="174">
        <f t="shared" si="21"/>
        <v>103</v>
      </c>
      <c r="X94" s="11">
        <f t="shared" si="22"/>
        <v>316</v>
      </c>
      <c r="Y94" s="9">
        <f t="shared" si="23"/>
        <v>144</v>
      </c>
      <c r="Z94" s="11">
        <f t="shared" si="24"/>
        <v>494.5</v>
      </c>
      <c r="AA94" s="9">
        <f t="shared" si="25"/>
        <v>92</v>
      </c>
    </row>
    <row r="95" ht="14.25" spans="1:27">
      <c r="A95" s="13">
        <v>449</v>
      </c>
      <c r="B95" s="15">
        <v>10</v>
      </c>
      <c r="C95" s="16">
        <v>10</v>
      </c>
      <c r="D95" s="17" t="s">
        <v>908</v>
      </c>
      <c r="E95" s="17" t="s">
        <v>909</v>
      </c>
      <c r="F95" s="174">
        <f>VLOOKUP(D95,原始分!$D:$N,3,0)</f>
        <v>102</v>
      </c>
      <c r="G95" s="174">
        <f t="shared" si="13"/>
        <v>199</v>
      </c>
      <c r="H95" s="174">
        <f>VLOOKUP(D95,原始分!$D:$N,4,0)</f>
        <v>119</v>
      </c>
      <c r="I95" s="174">
        <f t="shared" si="14"/>
        <v>70</v>
      </c>
      <c r="J95" s="174">
        <f>VLOOKUP(D95,原始分!$D:$N,5,0)</f>
        <v>102</v>
      </c>
      <c r="K95" s="174">
        <f t="shared" si="15"/>
        <v>209</v>
      </c>
      <c r="L95" s="174">
        <f>VLOOKUP(D95,原始分!$D:$N,6,0)</f>
        <v>65.5</v>
      </c>
      <c r="M95" s="174">
        <f t="shared" si="16"/>
        <v>105</v>
      </c>
      <c r="N95" s="174">
        <f>VLOOKUP(D95,原始分!$D:$N,7,0)</f>
        <v>0</v>
      </c>
      <c r="O95" s="174">
        <f t="shared" si="17"/>
        <v>1</v>
      </c>
      <c r="P95" s="174">
        <f>VLOOKUP(D95,原始分!$D:$N,8,0)</f>
        <v>53</v>
      </c>
      <c r="Q95" s="174">
        <f t="shared" si="18"/>
        <v>69</v>
      </c>
      <c r="R95" s="174">
        <f>VLOOKUP(D95,原始分!$D:$N,9,0)</f>
        <v>0</v>
      </c>
      <c r="S95" s="174">
        <f t="shared" si="19"/>
        <v>218</v>
      </c>
      <c r="T95" s="174">
        <f>VLOOKUP(D95,原始分!$D:$N,10,0)</f>
        <v>0</v>
      </c>
      <c r="U95" s="174">
        <f t="shared" si="20"/>
        <v>112</v>
      </c>
      <c r="V95" s="174">
        <f>VLOOKUP(D95,原始分!$D:$N,11,0)</f>
        <v>52.5</v>
      </c>
      <c r="W95" s="174">
        <f t="shared" si="21"/>
        <v>195</v>
      </c>
      <c r="X95" s="11">
        <f t="shared" si="22"/>
        <v>323</v>
      </c>
      <c r="Y95" s="9">
        <f t="shared" si="23"/>
        <v>99</v>
      </c>
      <c r="Z95" s="11">
        <f t="shared" si="24"/>
        <v>494</v>
      </c>
      <c r="AA95" s="9">
        <f t="shared" si="25"/>
        <v>93</v>
      </c>
    </row>
    <row r="96" ht="14.25" spans="1:27">
      <c r="A96" s="13">
        <v>490</v>
      </c>
      <c r="B96" s="15">
        <v>10</v>
      </c>
      <c r="C96" s="16">
        <v>51</v>
      </c>
      <c r="D96" s="17" t="s">
        <v>990</v>
      </c>
      <c r="E96" s="17" t="s">
        <v>991</v>
      </c>
      <c r="F96" s="174">
        <f>VLOOKUP(D96,原始分!$D:$N,3,0)</f>
        <v>106</v>
      </c>
      <c r="G96" s="174">
        <f t="shared" si="13"/>
        <v>87</v>
      </c>
      <c r="H96" s="174">
        <f>VLOOKUP(D96,原始分!$D:$N,4,0)</f>
        <v>112</v>
      </c>
      <c r="I96" s="174">
        <f t="shared" si="14"/>
        <v>160</v>
      </c>
      <c r="J96" s="174">
        <f>VLOOKUP(D96,原始分!$D:$N,5,0)</f>
        <v>112.5</v>
      </c>
      <c r="K96" s="174">
        <f t="shared" si="15"/>
        <v>80</v>
      </c>
      <c r="L96" s="174">
        <f>VLOOKUP(D96,原始分!$D:$N,6,0)</f>
        <v>63.5</v>
      </c>
      <c r="M96" s="174">
        <f t="shared" si="16"/>
        <v>138</v>
      </c>
      <c r="N96" s="174">
        <f>VLOOKUP(D96,原始分!$D:$N,7,0)</f>
        <v>0</v>
      </c>
      <c r="O96" s="174">
        <f t="shared" si="17"/>
        <v>1</v>
      </c>
      <c r="P96" s="174">
        <f>VLOOKUP(D96,原始分!$D:$N,8,0)</f>
        <v>45.5</v>
      </c>
      <c r="Q96" s="174">
        <f t="shared" si="18"/>
        <v>202</v>
      </c>
      <c r="R96" s="174">
        <f>VLOOKUP(D96,原始分!$D:$N,9,0)</f>
        <v>0</v>
      </c>
      <c r="S96" s="174">
        <f t="shared" si="19"/>
        <v>218</v>
      </c>
      <c r="T96" s="174">
        <f>VLOOKUP(D96,原始分!$D:$N,10,0)</f>
        <v>0</v>
      </c>
      <c r="U96" s="174">
        <f t="shared" si="20"/>
        <v>112</v>
      </c>
      <c r="V96" s="174">
        <f>VLOOKUP(D96,原始分!$D:$N,11,0)</f>
        <v>54</v>
      </c>
      <c r="W96" s="174">
        <f t="shared" si="21"/>
        <v>164</v>
      </c>
      <c r="X96" s="11">
        <f t="shared" si="22"/>
        <v>330.5</v>
      </c>
      <c r="Y96" s="9">
        <f t="shared" si="23"/>
        <v>63</v>
      </c>
      <c r="Z96" s="11">
        <f t="shared" si="24"/>
        <v>493.5</v>
      </c>
      <c r="AA96" s="9">
        <f t="shared" si="25"/>
        <v>94</v>
      </c>
    </row>
    <row r="97" ht="14.25" spans="1:27">
      <c r="A97" s="13">
        <v>531</v>
      </c>
      <c r="B97" s="15">
        <v>11</v>
      </c>
      <c r="C97" s="16">
        <v>37</v>
      </c>
      <c r="D97" s="17" t="s">
        <v>1071</v>
      </c>
      <c r="E97" s="17" t="s">
        <v>1072</v>
      </c>
      <c r="F97" s="174">
        <f>VLOOKUP(D97,原始分!$D:$N,3,0)</f>
        <v>95.5</v>
      </c>
      <c r="G97" s="174">
        <f t="shared" si="13"/>
        <v>422</v>
      </c>
      <c r="H97" s="174">
        <f>VLOOKUP(D97,原始分!$D:$N,4,0)</f>
        <v>109</v>
      </c>
      <c r="I97" s="174">
        <f t="shared" si="14"/>
        <v>206</v>
      </c>
      <c r="J97" s="174">
        <f>VLOOKUP(D97,原始分!$D:$N,5,0)</f>
        <v>117.5</v>
      </c>
      <c r="K97" s="174">
        <f t="shared" si="15"/>
        <v>39</v>
      </c>
      <c r="L97" s="174">
        <f>VLOOKUP(D97,原始分!$D:$N,6,0)</f>
        <v>60</v>
      </c>
      <c r="M97" s="174">
        <f t="shared" si="16"/>
        <v>187</v>
      </c>
      <c r="N97" s="174">
        <f>VLOOKUP(D97,原始分!$D:$N,7,0)</f>
        <v>0</v>
      </c>
      <c r="O97" s="174">
        <f t="shared" si="17"/>
        <v>1</v>
      </c>
      <c r="P97" s="174">
        <f>VLOOKUP(D97,原始分!$D:$N,8,0)</f>
        <v>49.5</v>
      </c>
      <c r="Q97" s="174">
        <f t="shared" si="18"/>
        <v>119</v>
      </c>
      <c r="R97" s="174">
        <f>VLOOKUP(D97,原始分!$D:$N,9,0)</f>
        <v>0</v>
      </c>
      <c r="S97" s="174">
        <f t="shared" si="19"/>
        <v>218</v>
      </c>
      <c r="T97" s="174">
        <f>VLOOKUP(D97,原始分!$D:$N,10,0)</f>
        <v>0</v>
      </c>
      <c r="U97" s="174">
        <f t="shared" si="20"/>
        <v>112</v>
      </c>
      <c r="V97" s="174">
        <f>VLOOKUP(D97,原始分!$D:$N,11,0)</f>
        <v>62</v>
      </c>
      <c r="W97" s="174">
        <f t="shared" si="21"/>
        <v>59</v>
      </c>
      <c r="X97" s="11">
        <f t="shared" si="22"/>
        <v>322</v>
      </c>
      <c r="Y97" s="9">
        <f t="shared" si="23"/>
        <v>104</v>
      </c>
      <c r="Z97" s="11">
        <f t="shared" si="24"/>
        <v>493.5</v>
      </c>
      <c r="AA97" s="9">
        <f t="shared" si="25"/>
        <v>94</v>
      </c>
    </row>
    <row r="98" ht="14.25" spans="1:27">
      <c r="A98" s="13">
        <v>570</v>
      </c>
      <c r="B98" s="15">
        <v>12</v>
      </c>
      <c r="C98" s="16">
        <v>17</v>
      </c>
      <c r="D98" s="17" t="s">
        <v>1148</v>
      </c>
      <c r="E98" s="17" t="s">
        <v>1149</v>
      </c>
      <c r="F98" s="174">
        <f>VLOOKUP(D98,原始分!$D:$N,3,0)</f>
        <v>97.25</v>
      </c>
      <c r="G98" s="174">
        <f t="shared" si="13"/>
        <v>385</v>
      </c>
      <c r="H98" s="174">
        <f>VLOOKUP(D98,原始分!$D:$N,4,0)</f>
        <v>111.5</v>
      </c>
      <c r="I98" s="174">
        <f t="shared" si="14"/>
        <v>169</v>
      </c>
      <c r="J98" s="174">
        <f>VLOOKUP(D98,原始分!$D:$N,5,0)</f>
        <v>116.5</v>
      </c>
      <c r="K98" s="174">
        <f t="shared" si="15"/>
        <v>43</v>
      </c>
      <c r="L98" s="174">
        <f>VLOOKUP(D98,原始分!$D:$N,6,0)</f>
        <v>59</v>
      </c>
      <c r="M98" s="174">
        <f t="shared" si="16"/>
        <v>203</v>
      </c>
      <c r="N98" s="174">
        <f>VLOOKUP(D98,原始分!$D:$N,7,0)</f>
        <v>0</v>
      </c>
      <c r="O98" s="174">
        <f t="shared" si="17"/>
        <v>1</v>
      </c>
      <c r="P98" s="174">
        <f>VLOOKUP(D98,原始分!$D:$N,8,0)</f>
        <v>50.5</v>
      </c>
      <c r="Q98" s="174">
        <f t="shared" si="18"/>
        <v>100</v>
      </c>
      <c r="R98" s="174">
        <f>VLOOKUP(D98,原始分!$D:$N,9,0)</f>
        <v>0</v>
      </c>
      <c r="S98" s="174">
        <f t="shared" si="19"/>
        <v>218</v>
      </c>
      <c r="T98" s="174">
        <f>VLOOKUP(D98,原始分!$D:$N,10,0)</f>
        <v>0</v>
      </c>
      <c r="U98" s="174">
        <f t="shared" si="20"/>
        <v>112</v>
      </c>
      <c r="V98" s="174">
        <f>VLOOKUP(D98,原始分!$D:$N,11,0)</f>
        <v>58.5</v>
      </c>
      <c r="W98" s="174">
        <f t="shared" si="21"/>
        <v>99</v>
      </c>
      <c r="X98" s="11">
        <f t="shared" si="22"/>
        <v>325.25</v>
      </c>
      <c r="Y98" s="9">
        <f t="shared" si="23"/>
        <v>87</v>
      </c>
      <c r="Z98" s="11">
        <f t="shared" si="24"/>
        <v>493.25</v>
      </c>
      <c r="AA98" s="9">
        <f t="shared" si="25"/>
        <v>96</v>
      </c>
    </row>
    <row r="99" ht="14.25" spans="1:27">
      <c r="A99" s="13">
        <v>27</v>
      </c>
      <c r="B99" s="15">
        <v>1</v>
      </c>
      <c r="C99" s="16">
        <v>29</v>
      </c>
      <c r="D99" s="17" t="s">
        <v>68</v>
      </c>
      <c r="E99" s="17" t="s">
        <v>69</v>
      </c>
      <c r="F99" s="174">
        <f>VLOOKUP(D99,原始分!$D:$N,3,0)</f>
        <v>108</v>
      </c>
      <c r="G99" s="174">
        <f t="shared" si="13"/>
        <v>44</v>
      </c>
      <c r="H99" s="174">
        <f>VLOOKUP(D99,原始分!$D:$N,4,0)</f>
        <v>108</v>
      </c>
      <c r="I99" s="174">
        <f t="shared" si="14"/>
        <v>221</v>
      </c>
      <c r="J99" s="174">
        <f>VLOOKUP(D99,原始分!$D:$N,5,0)</f>
        <v>121.75</v>
      </c>
      <c r="K99" s="174">
        <f t="shared" si="15"/>
        <v>13</v>
      </c>
      <c r="L99" s="174">
        <f>VLOOKUP(D99,原始分!$D:$N,6,0)</f>
        <v>48</v>
      </c>
      <c r="M99" s="174">
        <f t="shared" si="16"/>
        <v>375</v>
      </c>
      <c r="N99" s="174">
        <f>VLOOKUP(D99,原始分!$D:$N,7,0)</f>
        <v>0</v>
      </c>
      <c r="O99" s="174">
        <f t="shared" si="17"/>
        <v>1</v>
      </c>
      <c r="P99" s="174">
        <f>VLOOKUP(D99,原始分!$D:$N,8,0)</f>
        <v>49.5</v>
      </c>
      <c r="Q99" s="174">
        <f t="shared" si="18"/>
        <v>119</v>
      </c>
      <c r="R99" s="174">
        <f>VLOOKUP(D99,原始分!$D:$N,9,0)</f>
        <v>0</v>
      </c>
      <c r="S99" s="174">
        <f t="shared" si="19"/>
        <v>218</v>
      </c>
      <c r="T99" s="174">
        <f>VLOOKUP(D99,原始分!$D:$N,10,0)</f>
        <v>57.5</v>
      </c>
      <c r="U99" s="174">
        <f t="shared" si="20"/>
        <v>37</v>
      </c>
      <c r="V99" s="174">
        <f>VLOOKUP(D99,原始分!$D:$N,11,0)</f>
        <v>0</v>
      </c>
      <c r="W99" s="174">
        <f t="shared" si="21"/>
        <v>461</v>
      </c>
      <c r="X99" s="11">
        <f t="shared" si="22"/>
        <v>337.75</v>
      </c>
      <c r="Y99" s="9">
        <f t="shared" si="23"/>
        <v>33</v>
      </c>
      <c r="Z99" s="11">
        <f t="shared" si="24"/>
        <v>492.75</v>
      </c>
      <c r="AA99" s="9">
        <f t="shared" si="25"/>
        <v>97</v>
      </c>
    </row>
    <row r="100" ht="14.25" spans="1:27">
      <c r="A100" s="13">
        <v>392</v>
      </c>
      <c r="B100" s="15">
        <v>9</v>
      </c>
      <c r="C100" s="16">
        <v>7</v>
      </c>
      <c r="D100" s="17" t="s">
        <v>794</v>
      </c>
      <c r="E100" s="17" t="s">
        <v>795</v>
      </c>
      <c r="F100" s="174">
        <f>VLOOKUP(D100,原始分!$D:$N,3,0)</f>
        <v>105</v>
      </c>
      <c r="G100" s="174">
        <f t="shared" si="13"/>
        <v>107</v>
      </c>
      <c r="H100" s="174">
        <f>VLOOKUP(D100,原始分!$D:$N,4,0)</f>
        <v>115</v>
      </c>
      <c r="I100" s="174">
        <f t="shared" si="14"/>
        <v>116</v>
      </c>
      <c r="J100" s="174">
        <f>VLOOKUP(D100,原始分!$D:$N,5,0)</f>
        <v>115.5</v>
      </c>
      <c r="K100" s="174">
        <f t="shared" si="15"/>
        <v>48</v>
      </c>
      <c r="L100" s="174">
        <f>VLOOKUP(D100,原始分!$D:$N,6,0)</f>
        <v>55</v>
      </c>
      <c r="M100" s="174">
        <f t="shared" si="16"/>
        <v>269</v>
      </c>
      <c r="N100" s="174">
        <f>VLOOKUP(D100,原始分!$D:$N,7,0)</f>
        <v>0</v>
      </c>
      <c r="O100" s="174">
        <f t="shared" si="17"/>
        <v>1</v>
      </c>
      <c r="P100" s="174">
        <f>VLOOKUP(D100,原始分!$D:$N,8,0)</f>
        <v>48.5</v>
      </c>
      <c r="Q100" s="174">
        <f t="shared" si="18"/>
        <v>138</v>
      </c>
      <c r="R100" s="174">
        <f>VLOOKUP(D100,原始分!$D:$N,9,0)</f>
        <v>0</v>
      </c>
      <c r="S100" s="174">
        <f t="shared" si="19"/>
        <v>218</v>
      </c>
      <c r="T100" s="174">
        <f>VLOOKUP(D100,原始分!$D:$N,10,0)</f>
        <v>0</v>
      </c>
      <c r="U100" s="174">
        <f t="shared" si="20"/>
        <v>112</v>
      </c>
      <c r="V100" s="174">
        <f>VLOOKUP(D100,原始分!$D:$N,11,0)</f>
        <v>53.5</v>
      </c>
      <c r="W100" s="174">
        <f t="shared" si="21"/>
        <v>171</v>
      </c>
      <c r="X100" s="11">
        <f t="shared" si="22"/>
        <v>335.5</v>
      </c>
      <c r="Y100" s="9">
        <f t="shared" si="23"/>
        <v>48</v>
      </c>
      <c r="Z100" s="11">
        <f t="shared" si="24"/>
        <v>492.5</v>
      </c>
      <c r="AA100" s="9">
        <f t="shared" si="25"/>
        <v>98</v>
      </c>
    </row>
    <row r="101" ht="14.25" spans="1:27">
      <c r="A101" s="13">
        <v>452</v>
      </c>
      <c r="B101" s="15">
        <v>10</v>
      </c>
      <c r="C101" s="16">
        <v>13</v>
      </c>
      <c r="D101" s="17" t="s">
        <v>914</v>
      </c>
      <c r="E101" s="17" t="s">
        <v>915</v>
      </c>
      <c r="F101" s="174">
        <f>VLOOKUP(D101,原始分!$D:$N,3,0)</f>
        <v>110</v>
      </c>
      <c r="G101" s="174">
        <f t="shared" si="13"/>
        <v>24</v>
      </c>
      <c r="H101" s="174">
        <f>VLOOKUP(D101,原始分!$D:$N,4,0)</f>
        <v>115.5</v>
      </c>
      <c r="I101" s="174">
        <f t="shared" si="14"/>
        <v>107</v>
      </c>
      <c r="J101" s="174">
        <f>VLOOKUP(D101,原始分!$D:$N,5,0)</f>
        <v>100</v>
      </c>
      <c r="K101" s="174">
        <f t="shared" si="15"/>
        <v>243</v>
      </c>
      <c r="L101" s="174">
        <f>VLOOKUP(D101,原始分!$D:$N,6,0)</f>
        <v>57.5</v>
      </c>
      <c r="M101" s="174">
        <f t="shared" si="16"/>
        <v>228</v>
      </c>
      <c r="N101" s="174">
        <f>VLOOKUP(D101,原始分!$D:$N,7,0)</f>
        <v>0</v>
      </c>
      <c r="O101" s="174">
        <f t="shared" si="17"/>
        <v>1</v>
      </c>
      <c r="P101" s="174">
        <f>VLOOKUP(D101,原始分!$D:$N,8,0)</f>
        <v>52.5</v>
      </c>
      <c r="Q101" s="174">
        <f t="shared" si="18"/>
        <v>81</v>
      </c>
      <c r="R101" s="174">
        <f>VLOOKUP(D101,原始分!$D:$N,9,0)</f>
        <v>0</v>
      </c>
      <c r="S101" s="174">
        <f t="shared" si="19"/>
        <v>218</v>
      </c>
      <c r="T101" s="174">
        <f>VLOOKUP(D101,原始分!$D:$N,10,0)</f>
        <v>0</v>
      </c>
      <c r="U101" s="174">
        <f t="shared" si="20"/>
        <v>112</v>
      </c>
      <c r="V101" s="174">
        <f>VLOOKUP(D101,原始分!$D:$N,11,0)</f>
        <v>57</v>
      </c>
      <c r="W101" s="174">
        <f t="shared" si="21"/>
        <v>112</v>
      </c>
      <c r="X101" s="11">
        <f t="shared" si="22"/>
        <v>325.5</v>
      </c>
      <c r="Y101" s="9">
        <f t="shared" si="23"/>
        <v>85</v>
      </c>
      <c r="Z101" s="11">
        <f t="shared" si="24"/>
        <v>492.5</v>
      </c>
      <c r="AA101" s="9">
        <f t="shared" si="25"/>
        <v>98</v>
      </c>
    </row>
    <row r="102" ht="14.25" spans="1:27">
      <c r="A102" s="13">
        <v>404</v>
      </c>
      <c r="B102" s="15">
        <v>9</v>
      </c>
      <c r="C102" s="16">
        <v>19</v>
      </c>
      <c r="D102" s="17" t="s">
        <v>818</v>
      </c>
      <c r="E102" s="17" t="s">
        <v>819</v>
      </c>
      <c r="F102" s="174">
        <f>VLOOKUP(D102,原始分!$D:$N,3,0)</f>
        <v>103.5</v>
      </c>
      <c r="G102" s="174">
        <f t="shared" si="13"/>
        <v>146</v>
      </c>
      <c r="H102" s="174">
        <f>VLOOKUP(D102,原始分!$D:$N,4,0)</f>
        <v>117</v>
      </c>
      <c r="I102" s="174">
        <f t="shared" si="14"/>
        <v>85</v>
      </c>
      <c r="J102" s="174">
        <f>VLOOKUP(D102,原始分!$D:$N,5,0)</f>
        <v>105.25</v>
      </c>
      <c r="K102" s="174">
        <f t="shared" si="15"/>
        <v>170</v>
      </c>
      <c r="L102" s="174">
        <f>VLOOKUP(D102,原始分!$D:$N,6,0)</f>
        <v>55.5</v>
      </c>
      <c r="M102" s="174">
        <f t="shared" si="16"/>
        <v>262</v>
      </c>
      <c r="N102" s="174">
        <f>VLOOKUP(D102,原始分!$D:$N,7,0)</f>
        <v>0</v>
      </c>
      <c r="O102" s="174">
        <f t="shared" si="17"/>
        <v>1</v>
      </c>
      <c r="P102" s="174">
        <f>VLOOKUP(D102,原始分!$D:$N,8,0)</f>
        <v>49.5</v>
      </c>
      <c r="Q102" s="174">
        <f t="shared" si="18"/>
        <v>119</v>
      </c>
      <c r="R102" s="174">
        <f>VLOOKUP(D102,原始分!$D:$N,9,0)</f>
        <v>0</v>
      </c>
      <c r="S102" s="174">
        <f t="shared" si="19"/>
        <v>218</v>
      </c>
      <c r="T102" s="174">
        <f>VLOOKUP(D102,原始分!$D:$N,10,0)</f>
        <v>0</v>
      </c>
      <c r="U102" s="174">
        <f t="shared" si="20"/>
        <v>112</v>
      </c>
      <c r="V102" s="174">
        <f>VLOOKUP(D102,原始分!$D:$N,11,0)</f>
        <v>61.5</v>
      </c>
      <c r="W102" s="174">
        <f t="shared" si="21"/>
        <v>65</v>
      </c>
      <c r="X102" s="11">
        <f t="shared" si="22"/>
        <v>325.75</v>
      </c>
      <c r="Y102" s="9">
        <f t="shared" si="23"/>
        <v>82</v>
      </c>
      <c r="Z102" s="11">
        <f t="shared" si="24"/>
        <v>492.25</v>
      </c>
      <c r="AA102" s="9">
        <f t="shared" si="25"/>
        <v>100</v>
      </c>
    </row>
    <row r="103" ht="14.25" spans="1:27">
      <c r="A103" s="13">
        <v>618</v>
      </c>
      <c r="B103" s="15">
        <v>13</v>
      </c>
      <c r="C103" s="16">
        <v>9</v>
      </c>
      <c r="D103" s="17" t="s">
        <v>1244</v>
      </c>
      <c r="E103" s="17" t="s">
        <v>1245</v>
      </c>
      <c r="F103" s="174">
        <f>VLOOKUP(D103,原始分!$D:$N,3,0)</f>
        <v>112</v>
      </c>
      <c r="G103" s="174">
        <f t="shared" si="13"/>
        <v>14</v>
      </c>
      <c r="H103" s="174">
        <f>VLOOKUP(D103,原始分!$D:$N,4,0)</f>
        <v>105</v>
      </c>
      <c r="I103" s="174">
        <f t="shared" si="14"/>
        <v>271</v>
      </c>
      <c r="J103" s="174">
        <f>VLOOKUP(D103,原始分!$D:$N,5,0)</f>
        <v>107.75</v>
      </c>
      <c r="K103" s="174">
        <f t="shared" si="15"/>
        <v>128</v>
      </c>
      <c r="L103" s="174">
        <f>VLOOKUP(D103,原始分!$D:$N,6,0)</f>
        <v>60</v>
      </c>
      <c r="M103" s="174">
        <f t="shared" si="16"/>
        <v>187</v>
      </c>
      <c r="N103" s="174">
        <f>VLOOKUP(D103,原始分!$D:$N,7,0)</f>
        <v>0</v>
      </c>
      <c r="O103" s="174">
        <f t="shared" si="17"/>
        <v>1</v>
      </c>
      <c r="P103" s="174">
        <f>VLOOKUP(D103,原始分!$D:$N,8,0)</f>
        <v>40.5</v>
      </c>
      <c r="Q103" s="174">
        <f t="shared" si="18"/>
        <v>301</v>
      </c>
      <c r="R103" s="174">
        <f>VLOOKUP(D103,原始分!$D:$N,9,0)</f>
        <v>0</v>
      </c>
      <c r="S103" s="174">
        <f t="shared" si="19"/>
        <v>218</v>
      </c>
      <c r="T103" s="174">
        <f>VLOOKUP(D103,原始分!$D:$N,10,0)</f>
        <v>0</v>
      </c>
      <c r="U103" s="174">
        <f t="shared" si="20"/>
        <v>112</v>
      </c>
      <c r="V103" s="174">
        <f>VLOOKUP(D103,原始分!$D:$N,11,0)</f>
        <v>66.5</v>
      </c>
      <c r="W103" s="174">
        <f t="shared" si="21"/>
        <v>27</v>
      </c>
      <c r="X103" s="11">
        <f t="shared" si="22"/>
        <v>324.75</v>
      </c>
      <c r="Y103" s="9">
        <f t="shared" si="23"/>
        <v>89</v>
      </c>
      <c r="Z103" s="11">
        <f t="shared" si="24"/>
        <v>491.75</v>
      </c>
      <c r="AA103" s="9">
        <f t="shared" si="25"/>
        <v>101</v>
      </c>
    </row>
    <row r="104" ht="14.25" spans="1:27">
      <c r="A104" s="13">
        <v>184</v>
      </c>
      <c r="B104" s="15">
        <v>4</v>
      </c>
      <c r="C104" s="16">
        <v>25</v>
      </c>
      <c r="D104" s="17" t="s">
        <v>381</v>
      </c>
      <c r="E104" s="17" t="s">
        <v>382</v>
      </c>
      <c r="F104" s="174">
        <f>VLOOKUP(D104,原始分!$D:$N,3,0)</f>
        <v>96.5</v>
      </c>
      <c r="G104" s="174">
        <f t="shared" si="13"/>
        <v>398</v>
      </c>
      <c r="H104" s="174">
        <f>VLOOKUP(D104,原始分!$D:$N,4,0)</f>
        <v>111.5</v>
      </c>
      <c r="I104" s="174">
        <f t="shared" si="14"/>
        <v>169</v>
      </c>
      <c r="J104" s="174">
        <f>VLOOKUP(D104,原始分!$D:$N,5,0)</f>
        <v>102.75</v>
      </c>
      <c r="K104" s="174">
        <f t="shared" si="15"/>
        <v>203</v>
      </c>
      <c r="L104" s="174">
        <f>VLOOKUP(D104,原始分!$D:$N,6,0)</f>
        <v>58</v>
      </c>
      <c r="M104" s="174">
        <f t="shared" si="16"/>
        <v>220</v>
      </c>
      <c r="N104" s="174">
        <f>VLOOKUP(D104,原始分!$D:$N,7,0)</f>
        <v>0</v>
      </c>
      <c r="O104" s="174">
        <f t="shared" si="17"/>
        <v>1</v>
      </c>
      <c r="P104" s="174">
        <f>VLOOKUP(D104,原始分!$D:$N,8,0)</f>
        <v>64.5</v>
      </c>
      <c r="Q104" s="174">
        <f t="shared" si="18"/>
        <v>10</v>
      </c>
      <c r="R104" s="174">
        <f>VLOOKUP(D104,原始分!$D:$N,9,0)</f>
        <v>57.5</v>
      </c>
      <c r="S104" s="174">
        <f t="shared" si="19"/>
        <v>25</v>
      </c>
      <c r="T104" s="174">
        <f>VLOOKUP(D104,原始分!$D:$N,10,0)</f>
        <v>0</v>
      </c>
      <c r="U104" s="174">
        <f t="shared" si="20"/>
        <v>112</v>
      </c>
      <c r="V104" s="174">
        <f>VLOOKUP(D104,原始分!$D:$N,11,0)</f>
        <v>0</v>
      </c>
      <c r="W104" s="174">
        <f t="shared" si="21"/>
        <v>461</v>
      </c>
      <c r="X104" s="11">
        <f t="shared" si="22"/>
        <v>310.75</v>
      </c>
      <c r="Y104" s="9">
        <f t="shared" si="23"/>
        <v>183</v>
      </c>
      <c r="Z104" s="11">
        <f t="shared" si="24"/>
        <v>490.75</v>
      </c>
      <c r="AA104" s="9">
        <f t="shared" si="25"/>
        <v>102</v>
      </c>
    </row>
    <row r="105" ht="14.25" spans="1:27">
      <c r="A105" s="13">
        <v>263</v>
      </c>
      <c r="B105" s="15">
        <v>6</v>
      </c>
      <c r="C105" s="16">
        <v>15</v>
      </c>
      <c r="D105" s="17" t="s">
        <v>537</v>
      </c>
      <c r="E105" s="17" t="s">
        <v>538</v>
      </c>
      <c r="F105" s="174">
        <f>VLOOKUP(D105,原始分!$D:$N,3,0)</f>
        <v>99.5</v>
      </c>
      <c r="G105" s="174">
        <f t="shared" si="13"/>
        <v>286</v>
      </c>
      <c r="H105" s="174">
        <f>VLOOKUP(D105,原始分!$D:$N,4,0)</f>
        <v>105.5</v>
      </c>
      <c r="I105" s="174">
        <f t="shared" si="14"/>
        <v>265</v>
      </c>
      <c r="J105" s="174">
        <f>VLOOKUP(D105,原始分!$D:$N,5,0)</f>
        <v>105.25</v>
      </c>
      <c r="K105" s="174">
        <f t="shared" si="15"/>
        <v>170</v>
      </c>
      <c r="L105" s="174">
        <f>VLOOKUP(D105,原始分!$D:$N,6,0)</f>
        <v>74.5</v>
      </c>
      <c r="M105" s="174">
        <f t="shared" si="16"/>
        <v>38</v>
      </c>
      <c r="N105" s="174">
        <f>VLOOKUP(D105,原始分!$D:$N,7,0)</f>
        <v>0</v>
      </c>
      <c r="O105" s="174">
        <f t="shared" si="17"/>
        <v>1</v>
      </c>
      <c r="P105" s="174">
        <f>VLOOKUP(D105,原始分!$D:$N,8,0)</f>
        <v>0</v>
      </c>
      <c r="Q105" s="174">
        <f t="shared" si="18"/>
        <v>539</v>
      </c>
      <c r="R105" s="174">
        <f>VLOOKUP(D105,原始分!$D:$N,9,0)</f>
        <v>58.5</v>
      </c>
      <c r="S105" s="174">
        <f t="shared" si="19"/>
        <v>20</v>
      </c>
      <c r="T105" s="174">
        <f>VLOOKUP(D105,原始分!$D:$N,10,0)</f>
        <v>0</v>
      </c>
      <c r="U105" s="174">
        <f t="shared" si="20"/>
        <v>112</v>
      </c>
      <c r="V105" s="174">
        <f>VLOOKUP(D105,原始分!$D:$N,11,0)</f>
        <v>47.5</v>
      </c>
      <c r="W105" s="174">
        <f t="shared" si="21"/>
        <v>287</v>
      </c>
      <c r="X105" s="11">
        <f t="shared" si="22"/>
        <v>310.25</v>
      </c>
      <c r="Y105" s="9">
        <f t="shared" si="23"/>
        <v>189</v>
      </c>
      <c r="Z105" s="11">
        <f t="shared" si="24"/>
        <v>490.75</v>
      </c>
      <c r="AA105" s="9">
        <f t="shared" si="25"/>
        <v>102</v>
      </c>
    </row>
    <row r="106" ht="14.25" spans="1:27">
      <c r="A106" s="13">
        <v>285</v>
      </c>
      <c r="B106" s="15">
        <v>6</v>
      </c>
      <c r="C106" s="16">
        <v>37</v>
      </c>
      <c r="D106" s="17" t="s">
        <v>581</v>
      </c>
      <c r="E106" s="17" t="s">
        <v>582</v>
      </c>
      <c r="F106" s="174">
        <f>VLOOKUP(D106,原始分!$D:$N,3,0)</f>
        <v>105.5</v>
      </c>
      <c r="G106" s="174">
        <f t="shared" si="13"/>
        <v>96</v>
      </c>
      <c r="H106" s="174">
        <f>VLOOKUP(D106,原始分!$D:$N,4,0)</f>
        <v>93.5</v>
      </c>
      <c r="I106" s="174">
        <f t="shared" si="14"/>
        <v>448</v>
      </c>
      <c r="J106" s="174">
        <f>VLOOKUP(D106,原始分!$D:$N,5,0)</f>
        <v>99.5</v>
      </c>
      <c r="K106" s="174">
        <f t="shared" si="15"/>
        <v>256</v>
      </c>
      <c r="L106" s="174">
        <f>VLOOKUP(D106,原始分!$D:$N,6,0)</f>
        <v>55.5</v>
      </c>
      <c r="M106" s="174">
        <f t="shared" si="16"/>
        <v>262</v>
      </c>
      <c r="N106" s="174">
        <f>VLOOKUP(D106,原始分!$D:$N,7,0)</f>
        <v>0</v>
      </c>
      <c r="O106" s="174">
        <f t="shared" si="17"/>
        <v>1</v>
      </c>
      <c r="P106" s="174">
        <f>VLOOKUP(D106,原始分!$D:$N,8,0)</f>
        <v>0</v>
      </c>
      <c r="Q106" s="174">
        <f t="shared" si="18"/>
        <v>539</v>
      </c>
      <c r="R106" s="174">
        <f>VLOOKUP(D106,原始分!$D:$N,9,0)</f>
        <v>63</v>
      </c>
      <c r="S106" s="174">
        <f t="shared" si="19"/>
        <v>7</v>
      </c>
      <c r="T106" s="174">
        <f>VLOOKUP(D106,原始分!$D:$N,10,0)</f>
        <v>0</v>
      </c>
      <c r="U106" s="174">
        <f t="shared" si="20"/>
        <v>112</v>
      </c>
      <c r="V106" s="174">
        <f>VLOOKUP(D106,原始分!$D:$N,11,0)</f>
        <v>73.5</v>
      </c>
      <c r="W106" s="174">
        <f t="shared" si="21"/>
        <v>8</v>
      </c>
      <c r="X106" s="11">
        <f t="shared" si="22"/>
        <v>298.5</v>
      </c>
      <c r="Y106" s="9">
        <f t="shared" si="23"/>
        <v>289</v>
      </c>
      <c r="Z106" s="11">
        <f t="shared" si="24"/>
        <v>490.5</v>
      </c>
      <c r="AA106" s="9">
        <f t="shared" si="25"/>
        <v>104</v>
      </c>
    </row>
    <row r="107" ht="14.25" spans="1:27">
      <c r="A107" s="13">
        <v>384</v>
      </c>
      <c r="B107" s="15">
        <v>8</v>
      </c>
      <c r="C107" s="16">
        <v>60</v>
      </c>
      <c r="D107" s="17" t="s">
        <v>778</v>
      </c>
      <c r="E107" s="17" t="s">
        <v>779</v>
      </c>
      <c r="F107" s="174">
        <f>VLOOKUP(D107,原始分!$D:$N,3,0)</f>
        <v>106.25</v>
      </c>
      <c r="G107" s="174">
        <f t="shared" si="13"/>
        <v>83</v>
      </c>
      <c r="H107" s="174">
        <f>VLOOKUP(D107,原始分!$D:$N,4,0)</f>
        <v>123.5</v>
      </c>
      <c r="I107" s="174">
        <f t="shared" si="14"/>
        <v>40</v>
      </c>
      <c r="J107" s="174">
        <f>VLOOKUP(D107,原始分!$D:$N,5,0)</f>
        <v>84.25</v>
      </c>
      <c r="K107" s="174">
        <f t="shared" si="15"/>
        <v>500</v>
      </c>
      <c r="L107" s="174">
        <f>VLOOKUP(D107,原始分!$D:$N,6,0)</f>
        <v>66</v>
      </c>
      <c r="M107" s="174">
        <f t="shared" si="16"/>
        <v>97</v>
      </c>
      <c r="N107" s="174">
        <f>VLOOKUP(D107,原始分!$D:$N,7,0)</f>
        <v>0</v>
      </c>
      <c r="O107" s="174">
        <f t="shared" si="17"/>
        <v>1</v>
      </c>
      <c r="P107" s="174">
        <f>VLOOKUP(D107,原始分!$D:$N,8,0)</f>
        <v>57</v>
      </c>
      <c r="Q107" s="174">
        <f t="shared" si="18"/>
        <v>39</v>
      </c>
      <c r="R107" s="174">
        <f>VLOOKUP(D107,原始分!$D:$N,9,0)</f>
        <v>0</v>
      </c>
      <c r="S107" s="174">
        <f t="shared" si="19"/>
        <v>218</v>
      </c>
      <c r="T107" s="174">
        <f>VLOOKUP(D107,原始分!$D:$N,10,0)</f>
        <v>0</v>
      </c>
      <c r="U107" s="174">
        <f t="shared" si="20"/>
        <v>112</v>
      </c>
      <c r="V107" s="174">
        <f>VLOOKUP(D107,原始分!$D:$N,11,0)</f>
        <v>53.5</v>
      </c>
      <c r="W107" s="174">
        <f t="shared" si="21"/>
        <v>171</v>
      </c>
      <c r="X107" s="11">
        <f t="shared" si="22"/>
        <v>314</v>
      </c>
      <c r="Y107" s="9">
        <f t="shared" si="23"/>
        <v>157</v>
      </c>
      <c r="Z107" s="11">
        <f t="shared" si="24"/>
        <v>490.5</v>
      </c>
      <c r="AA107" s="9">
        <f t="shared" si="25"/>
        <v>104</v>
      </c>
    </row>
    <row r="108" ht="14.25" spans="1:27">
      <c r="A108" s="13">
        <v>264</v>
      </c>
      <c r="B108" s="15">
        <v>6</v>
      </c>
      <c r="C108" s="16">
        <v>16</v>
      </c>
      <c r="D108" s="17" t="s">
        <v>539</v>
      </c>
      <c r="E108" s="17" t="s">
        <v>540</v>
      </c>
      <c r="F108" s="174">
        <f>VLOOKUP(D108,原始分!$D:$N,3,0)</f>
        <v>109.25</v>
      </c>
      <c r="G108" s="174">
        <f t="shared" si="13"/>
        <v>34</v>
      </c>
      <c r="H108" s="174">
        <f>VLOOKUP(D108,原始分!$D:$N,4,0)</f>
        <v>104.5</v>
      </c>
      <c r="I108" s="174">
        <f t="shared" si="14"/>
        <v>277</v>
      </c>
      <c r="J108" s="174">
        <f>VLOOKUP(D108,原始分!$D:$N,5,0)</f>
        <v>110.25</v>
      </c>
      <c r="K108" s="174">
        <f t="shared" si="15"/>
        <v>100</v>
      </c>
      <c r="L108" s="174">
        <f>VLOOKUP(D108,原始分!$D:$N,6,0)</f>
        <v>62</v>
      </c>
      <c r="M108" s="174">
        <f t="shared" si="16"/>
        <v>157</v>
      </c>
      <c r="N108" s="174">
        <f>VLOOKUP(D108,原始分!$D:$N,7,0)</f>
        <v>0</v>
      </c>
      <c r="O108" s="174">
        <f t="shared" si="17"/>
        <v>1</v>
      </c>
      <c r="P108" s="174">
        <f>VLOOKUP(D108,原始分!$D:$N,8,0)</f>
        <v>0</v>
      </c>
      <c r="Q108" s="174">
        <f t="shared" si="18"/>
        <v>539</v>
      </c>
      <c r="R108" s="174">
        <f>VLOOKUP(D108,原始分!$D:$N,9,0)</f>
        <v>45</v>
      </c>
      <c r="S108" s="174">
        <f t="shared" si="19"/>
        <v>155</v>
      </c>
      <c r="T108" s="174">
        <f>VLOOKUP(D108,原始分!$D:$N,10,0)</f>
        <v>0</v>
      </c>
      <c r="U108" s="174">
        <f t="shared" si="20"/>
        <v>112</v>
      </c>
      <c r="V108" s="174">
        <f>VLOOKUP(D108,原始分!$D:$N,11,0)</f>
        <v>58</v>
      </c>
      <c r="W108" s="174">
        <f t="shared" si="21"/>
        <v>103</v>
      </c>
      <c r="X108" s="11">
        <f t="shared" si="22"/>
        <v>324</v>
      </c>
      <c r="Y108" s="9">
        <f t="shared" si="23"/>
        <v>92</v>
      </c>
      <c r="Z108" s="11">
        <f t="shared" si="24"/>
        <v>489</v>
      </c>
      <c r="AA108" s="9">
        <f t="shared" si="25"/>
        <v>106</v>
      </c>
    </row>
    <row r="109" ht="14.25" spans="1:27">
      <c r="A109" s="13">
        <v>516</v>
      </c>
      <c r="B109" s="15">
        <v>11</v>
      </c>
      <c r="C109" s="16">
        <v>20</v>
      </c>
      <c r="D109" s="17" t="s">
        <v>1042</v>
      </c>
      <c r="E109" s="17" t="s">
        <v>1043</v>
      </c>
      <c r="F109" s="174">
        <f>VLOOKUP(D109,原始分!$D:$N,3,0)</f>
        <v>92.5</v>
      </c>
      <c r="G109" s="174">
        <f t="shared" si="13"/>
        <v>524</v>
      </c>
      <c r="H109" s="174">
        <f>VLOOKUP(D109,原始分!$D:$N,4,0)</f>
        <v>121</v>
      </c>
      <c r="I109" s="174">
        <f t="shared" si="14"/>
        <v>52</v>
      </c>
      <c r="J109" s="174">
        <f>VLOOKUP(D109,原始分!$D:$N,5,0)</f>
        <v>113.5</v>
      </c>
      <c r="K109" s="174">
        <f t="shared" si="15"/>
        <v>69</v>
      </c>
      <c r="L109" s="174">
        <f>VLOOKUP(D109,原始分!$D:$N,6,0)</f>
        <v>60</v>
      </c>
      <c r="M109" s="174">
        <f t="shared" si="16"/>
        <v>187</v>
      </c>
      <c r="N109" s="174">
        <f>VLOOKUP(D109,原始分!$D:$N,7,0)</f>
        <v>0</v>
      </c>
      <c r="O109" s="174">
        <f t="shared" si="17"/>
        <v>1</v>
      </c>
      <c r="P109" s="174">
        <f>VLOOKUP(D109,原始分!$D:$N,8,0)</f>
        <v>48</v>
      </c>
      <c r="Q109" s="174">
        <f t="shared" si="18"/>
        <v>145</v>
      </c>
      <c r="R109" s="174">
        <f>VLOOKUP(D109,原始分!$D:$N,9,0)</f>
        <v>0</v>
      </c>
      <c r="S109" s="174">
        <f t="shared" si="19"/>
        <v>218</v>
      </c>
      <c r="T109" s="174">
        <f>VLOOKUP(D109,原始分!$D:$N,10,0)</f>
        <v>0</v>
      </c>
      <c r="U109" s="174">
        <f t="shared" si="20"/>
        <v>112</v>
      </c>
      <c r="V109" s="174">
        <f>VLOOKUP(D109,原始分!$D:$N,11,0)</f>
        <v>53.5</v>
      </c>
      <c r="W109" s="174">
        <f t="shared" si="21"/>
        <v>171</v>
      </c>
      <c r="X109" s="11">
        <f t="shared" si="22"/>
        <v>327</v>
      </c>
      <c r="Y109" s="9">
        <f t="shared" si="23"/>
        <v>77</v>
      </c>
      <c r="Z109" s="11">
        <f t="shared" si="24"/>
        <v>488.5</v>
      </c>
      <c r="AA109" s="9">
        <f t="shared" si="25"/>
        <v>107</v>
      </c>
    </row>
    <row r="110" ht="14.25" spans="1:27">
      <c r="A110" s="13">
        <v>251</v>
      </c>
      <c r="B110" s="15">
        <v>5</v>
      </c>
      <c r="C110" s="16">
        <v>49</v>
      </c>
      <c r="D110" s="17" t="s">
        <v>513</v>
      </c>
      <c r="E110" s="17" t="s">
        <v>514</v>
      </c>
      <c r="F110" s="174">
        <f>VLOOKUP(D110,原始分!$D:$N,3,0)</f>
        <v>102</v>
      </c>
      <c r="G110" s="174">
        <f t="shared" si="13"/>
        <v>199</v>
      </c>
      <c r="H110" s="174">
        <f>VLOOKUP(D110,原始分!$D:$N,4,0)</f>
        <v>97</v>
      </c>
      <c r="I110" s="174">
        <f t="shared" si="14"/>
        <v>393</v>
      </c>
      <c r="J110" s="174">
        <f>VLOOKUP(D110,原始分!$D:$N,5,0)</f>
        <v>115.5</v>
      </c>
      <c r="K110" s="174">
        <f t="shared" si="15"/>
        <v>48</v>
      </c>
      <c r="L110" s="174">
        <f>VLOOKUP(D110,原始分!$D:$N,6,0)</f>
        <v>77.5</v>
      </c>
      <c r="M110" s="174">
        <f t="shared" si="16"/>
        <v>18</v>
      </c>
      <c r="N110" s="174">
        <f>VLOOKUP(D110,原始分!$D:$N,7,0)</f>
        <v>0</v>
      </c>
      <c r="O110" s="174">
        <f t="shared" si="17"/>
        <v>1</v>
      </c>
      <c r="P110" s="174">
        <f>VLOOKUP(D110,原始分!$D:$N,8,0)</f>
        <v>47.5</v>
      </c>
      <c r="Q110" s="174">
        <f t="shared" si="18"/>
        <v>156</v>
      </c>
      <c r="R110" s="174">
        <f>VLOOKUP(D110,原始分!$D:$N,9,0)</f>
        <v>48.5</v>
      </c>
      <c r="S110" s="174">
        <f t="shared" si="19"/>
        <v>112</v>
      </c>
      <c r="T110" s="174">
        <f>VLOOKUP(D110,原始分!$D:$N,10,0)</f>
        <v>0</v>
      </c>
      <c r="U110" s="174">
        <f t="shared" si="20"/>
        <v>112</v>
      </c>
      <c r="V110" s="174">
        <f>VLOOKUP(D110,原始分!$D:$N,11,0)</f>
        <v>0</v>
      </c>
      <c r="W110" s="174">
        <f t="shared" si="21"/>
        <v>461</v>
      </c>
      <c r="X110" s="11">
        <f t="shared" si="22"/>
        <v>314.5</v>
      </c>
      <c r="Y110" s="9">
        <f t="shared" si="23"/>
        <v>152</v>
      </c>
      <c r="Z110" s="11">
        <f t="shared" si="24"/>
        <v>488</v>
      </c>
      <c r="AA110" s="9">
        <f t="shared" si="25"/>
        <v>108</v>
      </c>
    </row>
    <row r="111" ht="14.25" spans="1:27">
      <c r="A111" s="13">
        <v>494</v>
      </c>
      <c r="B111" s="15">
        <v>10</v>
      </c>
      <c r="C111" s="16">
        <v>55</v>
      </c>
      <c r="D111" s="17" t="s">
        <v>998</v>
      </c>
      <c r="E111" s="17" t="s">
        <v>999</v>
      </c>
      <c r="F111" s="174">
        <f>VLOOKUP(D111,原始分!$D:$N,3,0)</f>
        <v>108.75</v>
      </c>
      <c r="G111" s="174">
        <f t="shared" si="13"/>
        <v>39</v>
      </c>
      <c r="H111" s="174">
        <f>VLOOKUP(D111,原始分!$D:$N,4,0)</f>
        <v>98.5</v>
      </c>
      <c r="I111" s="174">
        <f t="shared" si="14"/>
        <v>366</v>
      </c>
      <c r="J111" s="174">
        <f>VLOOKUP(D111,原始分!$D:$N,5,0)</f>
        <v>117.25</v>
      </c>
      <c r="K111" s="174">
        <f t="shared" si="15"/>
        <v>41</v>
      </c>
      <c r="L111" s="174">
        <f>VLOOKUP(D111,原始分!$D:$N,6,0)</f>
        <v>55</v>
      </c>
      <c r="M111" s="174">
        <f t="shared" si="16"/>
        <v>269</v>
      </c>
      <c r="N111" s="174">
        <f>VLOOKUP(D111,原始分!$D:$N,7,0)</f>
        <v>0</v>
      </c>
      <c r="O111" s="174">
        <f t="shared" si="17"/>
        <v>1</v>
      </c>
      <c r="P111" s="174">
        <f>VLOOKUP(D111,原始分!$D:$N,8,0)</f>
        <v>53</v>
      </c>
      <c r="Q111" s="174">
        <f t="shared" si="18"/>
        <v>69</v>
      </c>
      <c r="R111" s="174">
        <f>VLOOKUP(D111,原始分!$D:$N,9,0)</f>
        <v>0</v>
      </c>
      <c r="S111" s="174">
        <f t="shared" si="19"/>
        <v>218</v>
      </c>
      <c r="T111" s="174">
        <f>VLOOKUP(D111,原始分!$D:$N,10,0)</f>
        <v>0</v>
      </c>
      <c r="U111" s="174">
        <f t="shared" si="20"/>
        <v>112</v>
      </c>
      <c r="V111" s="174">
        <f>VLOOKUP(D111,原始分!$D:$N,11,0)</f>
        <v>55.5</v>
      </c>
      <c r="W111" s="174">
        <f t="shared" si="21"/>
        <v>139</v>
      </c>
      <c r="X111" s="11">
        <f t="shared" si="22"/>
        <v>324.5</v>
      </c>
      <c r="Y111" s="9">
        <f t="shared" si="23"/>
        <v>91</v>
      </c>
      <c r="Z111" s="11">
        <f t="shared" si="24"/>
        <v>488</v>
      </c>
      <c r="AA111" s="9">
        <f t="shared" si="25"/>
        <v>108</v>
      </c>
    </row>
    <row r="112" ht="14.25" spans="1:27">
      <c r="A112" s="13">
        <v>568</v>
      </c>
      <c r="B112" s="15">
        <v>12</v>
      </c>
      <c r="C112" s="16">
        <v>15</v>
      </c>
      <c r="D112" s="17" t="s">
        <v>1144</v>
      </c>
      <c r="E112" s="17" t="s">
        <v>1145</v>
      </c>
      <c r="F112" s="174">
        <f>VLOOKUP(D112,原始分!$D:$N,3,0)</f>
        <v>103</v>
      </c>
      <c r="G112" s="174">
        <f t="shared" si="13"/>
        <v>168</v>
      </c>
      <c r="H112" s="174">
        <f>VLOOKUP(D112,原始分!$D:$N,4,0)</f>
        <v>115.5</v>
      </c>
      <c r="I112" s="174">
        <f t="shared" si="14"/>
        <v>107</v>
      </c>
      <c r="J112" s="174">
        <f>VLOOKUP(D112,原始分!$D:$N,5,0)</f>
        <v>92.5</v>
      </c>
      <c r="K112" s="174">
        <f t="shared" si="15"/>
        <v>381</v>
      </c>
      <c r="L112" s="174">
        <f>VLOOKUP(D112,原始分!$D:$N,6,0)</f>
        <v>73</v>
      </c>
      <c r="M112" s="174">
        <f t="shared" si="16"/>
        <v>47</v>
      </c>
      <c r="N112" s="174">
        <f>VLOOKUP(D112,原始分!$D:$N,7,0)</f>
        <v>0</v>
      </c>
      <c r="O112" s="174">
        <f t="shared" si="17"/>
        <v>1</v>
      </c>
      <c r="P112" s="174">
        <f>VLOOKUP(D112,原始分!$D:$N,8,0)</f>
        <v>48.5</v>
      </c>
      <c r="Q112" s="174">
        <f t="shared" si="18"/>
        <v>138</v>
      </c>
      <c r="R112" s="174">
        <f>VLOOKUP(D112,原始分!$D:$N,9,0)</f>
        <v>0</v>
      </c>
      <c r="S112" s="174">
        <f t="shared" si="19"/>
        <v>218</v>
      </c>
      <c r="T112" s="174">
        <f>VLOOKUP(D112,原始分!$D:$N,10,0)</f>
        <v>0</v>
      </c>
      <c r="U112" s="174">
        <f t="shared" si="20"/>
        <v>112</v>
      </c>
      <c r="V112" s="174">
        <f>VLOOKUP(D112,原始分!$D:$N,11,0)</f>
        <v>55.5</v>
      </c>
      <c r="W112" s="174">
        <f t="shared" si="21"/>
        <v>139</v>
      </c>
      <c r="X112" s="11">
        <f t="shared" si="22"/>
        <v>311</v>
      </c>
      <c r="Y112" s="9">
        <f t="shared" si="23"/>
        <v>181</v>
      </c>
      <c r="Z112" s="11">
        <f t="shared" si="24"/>
        <v>488</v>
      </c>
      <c r="AA112" s="9">
        <f t="shared" si="25"/>
        <v>108</v>
      </c>
    </row>
    <row r="113" ht="14.25" spans="1:27">
      <c r="A113" s="13">
        <v>77</v>
      </c>
      <c r="B113" s="15">
        <v>2</v>
      </c>
      <c r="C113" s="16">
        <v>14</v>
      </c>
      <c r="D113" s="17" t="s">
        <v>167</v>
      </c>
      <c r="E113" s="17" t="s">
        <v>168</v>
      </c>
      <c r="F113" s="174">
        <f>VLOOKUP(D113,原始分!$D:$N,3,0)</f>
        <v>108</v>
      </c>
      <c r="G113" s="174">
        <f t="shared" si="13"/>
        <v>44</v>
      </c>
      <c r="H113" s="174">
        <f>VLOOKUP(D113,原始分!$D:$N,4,0)</f>
        <v>92</v>
      </c>
      <c r="I113" s="174">
        <f t="shared" si="14"/>
        <v>469</v>
      </c>
      <c r="J113" s="174">
        <f>VLOOKUP(D113,原始分!$D:$N,5,0)</f>
        <v>105.75</v>
      </c>
      <c r="K113" s="174">
        <f t="shared" si="15"/>
        <v>156</v>
      </c>
      <c r="L113" s="174">
        <f>VLOOKUP(D113,原始分!$D:$N,6,0)</f>
        <v>64.5</v>
      </c>
      <c r="M113" s="174">
        <f t="shared" si="16"/>
        <v>120</v>
      </c>
      <c r="N113" s="174">
        <f>VLOOKUP(D113,原始分!$D:$N,7,0)</f>
        <v>0</v>
      </c>
      <c r="O113" s="174">
        <f t="shared" si="17"/>
        <v>1</v>
      </c>
      <c r="P113" s="174">
        <f>VLOOKUP(D113,原始分!$D:$N,8,0)</f>
        <v>0</v>
      </c>
      <c r="Q113" s="174">
        <f t="shared" si="18"/>
        <v>539</v>
      </c>
      <c r="R113" s="174">
        <f>VLOOKUP(D113,原始分!$D:$N,9,0)</f>
        <v>0</v>
      </c>
      <c r="S113" s="174">
        <f t="shared" si="19"/>
        <v>218</v>
      </c>
      <c r="T113" s="174">
        <f>VLOOKUP(D113,原始分!$D:$N,10,0)</f>
        <v>69.5</v>
      </c>
      <c r="U113" s="174">
        <f t="shared" si="20"/>
        <v>1</v>
      </c>
      <c r="V113" s="174">
        <f>VLOOKUP(D113,原始分!$D:$N,11,0)</f>
        <v>47.5</v>
      </c>
      <c r="W113" s="174">
        <f t="shared" si="21"/>
        <v>287</v>
      </c>
      <c r="X113" s="11">
        <f t="shared" si="22"/>
        <v>305.75</v>
      </c>
      <c r="Y113" s="9">
        <f t="shared" si="23"/>
        <v>229</v>
      </c>
      <c r="Z113" s="11">
        <f t="shared" si="24"/>
        <v>487.25</v>
      </c>
      <c r="AA113" s="9">
        <f t="shared" si="25"/>
        <v>111</v>
      </c>
    </row>
    <row r="114" ht="14.25" spans="1:27">
      <c r="A114" s="13">
        <v>484</v>
      </c>
      <c r="B114" s="15">
        <v>10</v>
      </c>
      <c r="C114" s="16">
        <v>45</v>
      </c>
      <c r="D114" s="17" t="s">
        <v>978</v>
      </c>
      <c r="E114" s="17" t="s">
        <v>979</v>
      </c>
      <c r="F114" s="174">
        <f>VLOOKUP(D114,原始分!$D:$N,3,0)</f>
        <v>90.5</v>
      </c>
      <c r="G114" s="174">
        <f t="shared" si="13"/>
        <v>571</v>
      </c>
      <c r="H114" s="174">
        <f>VLOOKUP(D114,原始分!$D:$N,4,0)</f>
        <v>113.5</v>
      </c>
      <c r="I114" s="174">
        <f t="shared" si="14"/>
        <v>135</v>
      </c>
      <c r="J114" s="174">
        <f>VLOOKUP(D114,原始分!$D:$N,5,0)</f>
        <v>89</v>
      </c>
      <c r="K114" s="174">
        <f t="shared" si="15"/>
        <v>430</v>
      </c>
      <c r="L114" s="174">
        <f>VLOOKUP(D114,原始分!$D:$N,6,0)</f>
        <v>73.5</v>
      </c>
      <c r="M114" s="174">
        <f t="shared" si="16"/>
        <v>45</v>
      </c>
      <c r="N114" s="174">
        <f>VLOOKUP(D114,原始分!$D:$N,7,0)</f>
        <v>0</v>
      </c>
      <c r="O114" s="174">
        <f t="shared" si="17"/>
        <v>1</v>
      </c>
      <c r="P114" s="174">
        <f>VLOOKUP(D114,原始分!$D:$N,8,0)</f>
        <v>50.5</v>
      </c>
      <c r="Q114" s="174">
        <f t="shared" si="18"/>
        <v>100</v>
      </c>
      <c r="R114" s="174">
        <f>VLOOKUP(D114,原始分!$D:$N,9,0)</f>
        <v>0</v>
      </c>
      <c r="S114" s="174">
        <f t="shared" si="19"/>
        <v>218</v>
      </c>
      <c r="T114" s="174">
        <f>VLOOKUP(D114,原始分!$D:$N,10,0)</f>
        <v>0</v>
      </c>
      <c r="U114" s="174">
        <f t="shared" si="20"/>
        <v>112</v>
      </c>
      <c r="V114" s="174">
        <f>VLOOKUP(D114,原始分!$D:$N,11,0)</f>
        <v>69</v>
      </c>
      <c r="W114" s="174">
        <f t="shared" si="21"/>
        <v>16</v>
      </c>
      <c r="X114" s="11">
        <f t="shared" si="22"/>
        <v>293</v>
      </c>
      <c r="Y114" s="9">
        <f t="shared" si="23"/>
        <v>335</v>
      </c>
      <c r="Z114" s="11">
        <f t="shared" si="24"/>
        <v>486</v>
      </c>
      <c r="AA114" s="9">
        <f t="shared" si="25"/>
        <v>112</v>
      </c>
    </row>
    <row r="115" ht="14.25" spans="1:27">
      <c r="A115" s="13">
        <v>483</v>
      </c>
      <c r="B115" s="15">
        <v>10</v>
      </c>
      <c r="C115" s="16">
        <v>44</v>
      </c>
      <c r="D115" s="17" t="s">
        <v>976</v>
      </c>
      <c r="E115" s="17" t="s">
        <v>977</v>
      </c>
      <c r="F115" s="174">
        <f>VLOOKUP(D115,原始分!$D:$N,3,0)</f>
        <v>94</v>
      </c>
      <c r="G115" s="174">
        <f t="shared" si="13"/>
        <v>478</v>
      </c>
      <c r="H115" s="174">
        <f>VLOOKUP(D115,原始分!$D:$N,4,0)</f>
        <v>109.5</v>
      </c>
      <c r="I115" s="174">
        <f t="shared" si="14"/>
        <v>198</v>
      </c>
      <c r="J115" s="174">
        <f>VLOOKUP(D115,原始分!$D:$N,5,0)</f>
        <v>114.25</v>
      </c>
      <c r="K115" s="174">
        <f t="shared" si="15"/>
        <v>64</v>
      </c>
      <c r="L115" s="174">
        <f>VLOOKUP(D115,原始分!$D:$N,6,0)</f>
        <v>58</v>
      </c>
      <c r="M115" s="174">
        <f t="shared" si="16"/>
        <v>220</v>
      </c>
      <c r="N115" s="174">
        <f>VLOOKUP(D115,原始分!$D:$N,7,0)</f>
        <v>0</v>
      </c>
      <c r="O115" s="174">
        <f t="shared" si="17"/>
        <v>1</v>
      </c>
      <c r="P115" s="174">
        <f>VLOOKUP(D115,原始分!$D:$N,8,0)</f>
        <v>53.5</v>
      </c>
      <c r="Q115" s="174">
        <f t="shared" si="18"/>
        <v>62</v>
      </c>
      <c r="R115" s="174">
        <f>VLOOKUP(D115,原始分!$D:$N,9,0)</f>
        <v>0</v>
      </c>
      <c r="S115" s="174">
        <f t="shared" si="19"/>
        <v>218</v>
      </c>
      <c r="T115" s="174">
        <f>VLOOKUP(D115,原始分!$D:$N,10,0)</f>
        <v>0</v>
      </c>
      <c r="U115" s="174">
        <f t="shared" si="20"/>
        <v>112</v>
      </c>
      <c r="V115" s="174">
        <f>VLOOKUP(D115,原始分!$D:$N,11,0)</f>
        <v>56.5</v>
      </c>
      <c r="W115" s="174">
        <f t="shared" si="21"/>
        <v>125</v>
      </c>
      <c r="X115" s="11">
        <f t="shared" si="22"/>
        <v>317.75</v>
      </c>
      <c r="Y115" s="9">
        <f t="shared" si="23"/>
        <v>133</v>
      </c>
      <c r="Z115" s="11">
        <f t="shared" si="24"/>
        <v>485.75</v>
      </c>
      <c r="AA115" s="9">
        <f t="shared" si="25"/>
        <v>113</v>
      </c>
    </row>
    <row r="116" ht="14.25" spans="1:27">
      <c r="A116" s="13">
        <v>319</v>
      </c>
      <c r="B116" s="15">
        <v>7</v>
      </c>
      <c r="C116" s="16">
        <v>32</v>
      </c>
      <c r="D116" s="17" t="s">
        <v>649</v>
      </c>
      <c r="E116" s="17" t="s">
        <v>650</v>
      </c>
      <c r="F116" s="174">
        <f>VLOOKUP(D116,原始分!$D:$N,3,0)</f>
        <v>108.5</v>
      </c>
      <c r="G116" s="174">
        <f t="shared" si="13"/>
        <v>40</v>
      </c>
      <c r="H116" s="174">
        <f>VLOOKUP(D116,原始分!$D:$N,4,0)</f>
        <v>108.5</v>
      </c>
      <c r="I116" s="174">
        <f t="shared" si="14"/>
        <v>215</v>
      </c>
      <c r="J116" s="174">
        <f>VLOOKUP(D116,原始分!$D:$N,5,0)</f>
        <v>102</v>
      </c>
      <c r="K116" s="174">
        <f t="shared" si="15"/>
        <v>209</v>
      </c>
      <c r="L116" s="174">
        <f>VLOOKUP(D116,原始分!$D:$N,6,0)</f>
        <v>61</v>
      </c>
      <c r="M116" s="174">
        <f t="shared" si="16"/>
        <v>168</v>
      </c>
      <c r="N116" s="174">
        <f>VLOOKUP(D116,原始分!$D:$N,7,0)</f>
        <v>0</v>
      </c>
      <c r="O116" s="174">
        <f t="shared" si="17"/>
        <v>1</v>
      </c>
      <c r="P116" s="174">
        <f>VLOOKUP(D116,原始分!$D:$N,8,0)</f>
        <v>0</v>
      </c>
      <c r="Q116" s="174">
        <f t="shared" si="18"/>
        <v>539</v>
      </c>
      <c r="R116" s="174">
        <f>VLOOKUP(D116,原始分!$D:$N,9,0)</f>
        <v>53</v>
      </c>
      <c r="S116" s="174">
        <f t="shared" si="19"/>
        <v>66</v>
      </c>
      <c r="T116" s="174">
        <f>VLOOKUP(D116,原始分!$D:$N,10,0)</f>
        <v>0</v>
      </c>
      <c r="U116" s="174">
        <f t="shared" si="20"/>
        <v>112</v>
      </c>
      <c r="V116" s="174">
        <f>VLOOKUP(D116,原始分!$D:$N,11,0)</f>
        <v>52</v>
      </c>
      <c r="W116" s="174">
        <f t="shared" si="21"/>
        <v>204</v>
      </c>
      <c r="X116" s="11">
        <f t="shared" si="22"/>
        <v>319</v>
      </c>
      <c r="Y116" s="9">
        <f t="shared" si="23"/>
        <v>124</v>
      </c>
      <c r="Z116" s="11">
        <f t="shared" si="24"/>
        <v>485</v>
      </c>
      <c r="AA116" s="9">
        <f t="shared" si="25"/>
        <v>114</v>
      </c>
    </row>
    <row r="117" ht="14.25" spans="1:27">
      <c r="A117" s="13">
        <v>461</v>
      </c>
      <c r="B117" s="15">
        <v>10</v>
      </c>
      <c r="C117" s="16">
        <v>22</v>
      </c>
      <c r="D117" s="17" t="s">
        <v>932</v>
      </c>
      <c r="E117" s="17" t="s">
        <v>933</v>
      </c>
      <c r="F117" s="174">
        <f>VLOOKUP(D117,原始分!$D:$N,3,0)</f>
        <v>100</v>
      </c>
      <c r="G117" s="174">
        <f t="shared" si="13"/>
        <v>274</v>
      </c>
      <c r="H117" s="174">
        <f>VLOOKUP(D117,原始分!$D:$N,4,0)</f>
        <v>116</v>
      </c>
      <c r="I117" s="174">
        <f t="shared" si="14"/>
        <v>99</v>
      </c>
      <c r="J117" s="174">
        <f>VLOOKUP(D117,原始分!$D:$N,5,0)</f>
        <v>105.75</v>
      </c>
      <c r="K117" s="174">
        <f t="shared" si="15"/>
        <v>156</v>
      </c>
      <c r="L117" s="174">
        <f>VLOOKUP(D117,原始分!$D:$N,6,0)</f>
        <v>65.5</v>
      </c>
      <c r="M117" s="174">
        <f t="shared" si="16"/>
        <v>105</v>
      </c>
      <c r="N117" s="174">
        <f>VLOOKUP(D117,原始分!$D:$N,7,0)</f>
        <v>0</v>
      </c>
      <c r="O117" s="174">
        <f t="shared" si="17"/>
        <v>1</v>
      </c>
      <c r="P117" s="174">
        <f>VLOOKUP(D117,原始分!$D:$N,8,0)</f>
        <v>51</v>
      </c>
      <c r="Q117" s="174">
        <f t="shared" si="18"/>
        <v>97</v>
      </c>
      <c r="R117" s="174">
        <f>VLOOKUP(D117,原始分!$D:$N,9,0)</f>
        <v>0</v>
      </c>
      <c r="S117" s="174">
        <f t="shared" si="19"/>
        <v>218</v>
      </c>
      <c r="T117" s="174">
        <f>VLOOKUP(D117,原始分!$D:$N,10,0)</f>
        <v>0</v>
      </c>
      <c r="U117" s="174">
        <f t="shared" si="20"/>
        <v>112</v>
      </c>
      <c r="V117" s="174">
        <f>VLOOKUP(D117,原始分!$D:$N,11,0)</f>
        <v>46</v>
      </c>
      <c r="W117" s="174">
        <f t="shared" si="21"/>
        <v>316</v>
      </c>
      <c r="X117" s="11">
        <f t="shared" si="22"/>
        <v>321.75</v>
      </c>
      <c r="Y117" s="9">
        <f t="shared" si="23"/>
        <v>106</v>
      </c>
      <c r="Z117" s="11">
        <f t="shared" si="24"/>
        <v>484.25</v>
      </c>
      <c r="AA117" s="9">
        <f t="shared" si="25"/>
        <v>115</v>
      </c>
    </row>
    <row r="118" ht="14.25" spans="1:27">
      <c r="A118" s="13">
        <v>172</v>
      </c>
      <c r="B118" s="15">
        <v>4</v>
      </c>
      <c r="C118" s="16">
        <v>13</v>
      </c>
      <c r="D118" s="17" t="s">
        <v>357</v>
      </c>
      <c r="E118" s="17" t="s">
        <v>358</v>
      </c>
      <c r="F118" s="174">
        <f>VLOOKUP(D118,原始分!$D:$N,3,0)</f>
        <v>105.5</v>
      </c>
      <c r="G118" s="174">
        <f t="shared" si="13"/>
        <v>96</v>
      </c>
      <c r="H118" s="174">
        <f>VLOOKUP(D118,原始分!$D:$N,4,0)</f>
        <v>121</v>
      </c>
      <c r="I118" s="174">
        <f t="shared" si="14"/>
        <v>52</v>
      </c>
      <c r="J118" s="174">
        <f>VLOOKUP(D118,原始分!$D:$N,5,0)</f>
        <v>110.75</v>
      </c>
      <c r="K118" s="174">
        <f t="shared" si="15"/>
        <v>98</v>
      </c>
      <c r="L118" s="174">
        <f>VLOOKUP(D118,原始分!$D:$N,6,0)</f>
        <v>49.5</v>
      </c>
      <c r="M118" s="174">
        <f t="shared" si="16"/>
        <v>341</v>
      </c>
      <c r="N118" s="174">
        <f>VLOOKUP(D118,原始分!$D:$N,7,0)</f>
        <v>0</v>
      </c>
      <c r="O118" s="174">
        <f t="shared" si="17"/>
        <v>1</v>
      </c>
      <c r="P118" s="174">
        <f>VLOOKUP(D118,原始分!$D:$N,8,0)</f>
        <v>37</v>
      </c>
      <c r="Q118" s="174">
        <f t="shared" si="18"/>
        <v>374</v>
      </c>
      <c r="R118" s="174">
        <f>VLOOKUP(D118,原始分!$D:$N,9,0)</f>
        <v>60</v>
      </c>
      <c r="S118" s="174">
        <f t="shared" si="19"/>
        <v>15</v>
      </c>
      <c r="T118" s="174">
        <f>VLOOKUP(D118,原始分!$D:$N,10,0)</f>
        <v>0</v>
      </c>
      <c r="U118" s="174">
        <f t="shared" si="20"/>
        <v>112</v>
      </c>
      <c r="V118" s="174">
        <f>VLOOKUP(D118,原始分!$D:$N,11,0)</f>
        <v>0</v>
      </c>
      <c r="W118" s="174">
        <f t="shared" si="21"/>
        <v>461</v>
      </c>
      <c r="X118" s="11">
        <f t="shared" si="22"/>
        <v>337.25</v>
      </c>
      <c r="Y118" s="9">
        <f t="shared" si="23"/>
        <v>35</v>
      </c>
      <c r="Z118" s="11">
        <f t="shared" si="24"/>
        <v>483.75</v>
      </c>
      <c r="AA118" s="9">
        <f t="shared" si="25"/>
        <v>116</v>
      </c>
    </row>
    <row r="119" ht="14.25" spans="1:27">
      <c r="A119" s="13">
        <v>76</v>
      </c>
      <c r="B119" s="15">
        <v>2</v>
      </c>
      <c r="C119" s="16">
        <v>13</v>
      </c>
      <c r="D119" s="17" t="s">
        <v>165</v>
      </c>
      <c r="E119" s="17" t="s">
        <v>166</v>
      </c>
      <c r="F119" s="174">
        <f>VLOOKUP(D119,原始分!$D:$N,3,0)</f>
        <v>100.5</v>
      </c>
      <c r="G119" s="174">
        <f t="shared" si="13"/>
        <v>252</v>
      </c>
      <c r="H119" s="174">
        <f>VLOOKUP(D119,原始分!$D:$N,4,0)</f>
        <v>105</v>
      </c>
      <c r="I119" s="174">
        <f t="shared" si="14"/>
        <v>271</v>
      </c>
      <c r="J119" s="174">
        <f>VLOOKUP(D119,原始分!$D:$N,5,0)</f>
        <v>108.5</v>
      </c>
      <c r="K119" s="174">
        <f t="shared" si="15"/>
        <v>121</v>
      </c>
      <c r="L119" s="174">
        <f>VLOOKUP(D119,原始分!$D:$N,6,0)</f>
        <v>58.5</v>
      </c>
      <c r="M119" s="174">
        <f t="shared" si="16"/>
        <v>209</v>
      </c>
      <c r="N119" s="174">
        <f>VLOOKUP(D119,原始分!$D:$N,7,0)</f>
        <v>0</v>
      </c>
      <c r="O119" s="174">
        <f t="shared" si="17"/>
        <v>1</v>
      </c>
      <c r="P119" s="174">
        <f>VLOOKUP(D119,原始分!$D:$N,8,0)</f>
        <v>0</v>
      </c>
      <c r="Q119" s="174">
        <f t="shared" si="18"/>
        <v>539</v>
      </c>
      <c r="R119" s="174">
        <f>VLOOKUP(D119,原始分!$D:$N,9,0)</f>
        <v>0</v>
      </c>
      <c r="S119" s="174">
        <f t="shared" si="19"/>
        <v>218</v>
      </c>
      <c r="T119" s="174">
        <f>VLOOKUP(D119,原始分!$D:$N,10,0)</f>
        <v>47</v>
      </c>
      <c r="U119" s="174">
        <f t="shared" si="20"/>
        <v>95</v>
      </c>
      <c r="V119" s="174">
        <f>VLOOKUP(D119,原始分!$D:$N,11,0)</f>
        <v>64</v>
      </c>
      <c r="W119" s="174">
        <f t="shared" si="21"/>
        <v>47</v>
      </c>
      <c r="X119" s="11">
        <f t="shared" si="22"/>
        <v>314</v>
      </c>
      <c r="Y119" s="9">
        <f t="shared" si="23"/>
        <v>157</v>
      </c>
      <c r="Z119" s="11">
        <f t="shared" si="24"/>
        <v>483.5</v>
      </c>
      <c r="AA119" s="9">
        <f t="shared" si="25"/>
        <v>117</v>
      </c>
    </row>
    <row r="120" ht="14.25" spans="1:27">
      <c r="A120" s="13">
        <v>267</v>
      </c>
      <c r="B120" s="15">
        <v>6</v>
      </c>
      <c r="C120" s="16">
        <v>19</v>
      </c>
      <c r="D120" s="17" t="s">
        <v>545</v>
      </c>
      <c r="E120" s="17" t="s">
        <v>546</v>
      </c>
      <c r="F120" s="174">
        <f>VLOOKUP(D120,原始分!$D:$N,3,0)</f>
        <v>98</v>
      </c>
      <c r="G120" s="174">
        <f t="shared" si="13"/>
        <v>349</v>
      </c>
      <c r="H120" s="174">
        <f>VLOOKUP(D120,原始分!$D:$N,4,0)</f>
        <v>106.5</v>
      </c>
      <c r="I120" s="174">
        <f t="shared" si="14"/>
        <v>246</v>
      </c>
      <c r="J120" s="174">
        <f>VLOOKUP(D120,原始分!$D:$N,5,0)</f>
        <v>105</v>
      </c>
      <c r="K120" s="174">
        <f t="shared" si="15"/>
        <v>173</v>
      </c>
      <c r="L120" s="174">
        <f>VLOOKUP(D120,原始分!$D:$N,6,0)</f>
        <v>74.5</v>
      </c>
      <c r="M120" s="174">
        <f t="shared" si="16"/>
        <v>38</v>
      </c>
      <c r="N120" s="174">
        <f>VLOOKUP(D120,原始分!$D:$N,7,0)</f>
        <v>0</v>
      </c>
      <c r="O120" s="174">
        <f t="shared" si="17"/>
        <v>1</v>
      </c>
      <c r="P120" s="174">
        <f>VLOOKUP(D120,原始分!$D:$N,8,0)</f>
        <v>0</v>
      </c>
      <c r="Q120" s="174">
        <f t="shared" si="18"/>
        <v>539</v>
      </c>
      <c r="R120" s="174">
        <f>VLOOKUP(D120,原始分!$D:$N,9,0)</f>
        <v>48.5</v>
      </c>
      <c r="S120" s="174">
        <f t="shared" si="19"/>
        <v>112</v>
      </c>
      <c r="T120" s="174">
        <f>VLOOKUP(D120,原始分!$D:$N,10,0)</f>
        <v>0</v>
      </c>
      <c r="U120" s="174">
        <f t="shared" si="20"/>
        <v>112</v>
      </c>
      <c r="V120" s="174">
        <f>VLOOKUP(D120,原始分!$D:$N,11,0)</f>
        <v>51</v>
      </c>
      <c r="W120" s="174">
        <f t="shared" si="21"/>
        <v>227</v>
      </c>
      <c r="X120" s="11">
        <f t="shared" si="22"/>
        <v>309.5</v>
      </c>
      <c r="Y120" s="9">
        <f t="shared" si="23"/>
        <v>197</v>
      </c>
      <c r="Z120" s="11">
        <f t="shared" si="24"/>
        <v>483.5</v>
      </c>
      <c r="AA120" s="9">
        <f t="shared" si="25"/>
        <v>117</v>
      </c>
    </row>
    <row r="121" ht="14.25" spans="1:27">
      <c r="A121" s="13">
        <v>467</v>
      </c>
      <c r="B121" s="15">
        <v>10</v>
      </c>
      <c r="C121" s="16">
        <v>28</v>
      </c>
      <c r="D121" s="17" t="s">
        <v>944</v>
      </c>
      <c r="E121" s="17" t="s">
        <v>945</v>
      </c>
      <c r="F121" s="174">
        <f>VLOOKUP(D121,原始分!$D:$N,3,0)</f>
        <v>114</v>
      </c>
      <c r="G121" s="174">
        <f t="shared" si="13"/>
        <v>8</v>
      </c>
      <c r="H121" s="174">
        <f>VLOOKUP(D121,原始分!$D:$N,4,0)</f>
        <v>115</v>
      </c>
      <c r="I121" s="174">
        <f t="shared" si="14"/>
        <v>116</v>
      </c>
      <c r="J121" s="174">
        <f>VLOOKUP(D121,原始分!$D:$N,5,0)</f>
        <v>107</v>
      </c>
      <c r="K121" s="174">
        <f t="shared" si="15"/>
        <v>139</v>
      </c>
      <c r="L121" s="174">
        <f>VLOOKUP(D121,原始分!$D:$N,6,0)</f>
        <v>55.5</v>
      </c>
      <c r="M121" s="174">
        <f t="shared" si="16"/>
        <v>262</v>
      </c>
      <c r="N121" s="174">
        <f>VLOOKUP(D121,原始分!$D:$N,7,0)</f>
        <v>0</v>
      </c>
      <c r="O121" s="174">
        <f t="shared" si="17"/>
        <v>1</v>
      </c>
      <c r="P121" s="174">
        <f>VLOOKUP(D121,原始分!$D:$N,8,0)</f>
        <v>40</v>
      </c>
      <c r="Q121" s="174">
        <f t="shared" si="18"/>
        <v>314</v>
      </c>
      <c r="R121" s="174">
        <f>VLOOKUP(D121,原始分!$D:$N,9,0)</f>
        <v>0</v>
      </c>
      <c r="S121" s="174">
        <f t="shared" si="19"/>
        <v>218</v>
      </c>
      <c r="T121" s="174">
        <f>VLOOKUP(D121,原始分!$D:$N,10,0)</f>
        <v>0</v>
      </c>
      <c r="U121" s="174">
        <f t="shared" si="20"/>
        <v>112</v>
      </c>
      <c r="V121" s="174">
        <f>VLOOKUP(D121,原始分!$D:$N,11,0)</f>
        <v>52</v>
      </c>
      <c r="W121" s="174">
        <f t="shared" si="21"/>
        <v>204</v>
      </c>
      <c r="X121" s="11">
        <f t="shared" si="22"/>
        <v>336</v>
      </c>
      <c r="Y121" s="9">
        <f t="shared" si="23"/>
        <v>45</v>
      </c>
      <c r="Z121" s="11">
        <f t="shared" si="24"/>
        <v>483.5</v>
      </c>
      <c r="AA121" s="9">
        <f t="shared" si="25"/>
        <v>117</v>
      </c>
    </row>
    <row r="122" ht="14.25" spans="1:27">
      <c r="A122" s="13">
        <v>144</v>
      </c>
      <c r="B122" s="15">
        <v>3</v>
      </c>
      <c r="C122" s="16">
        <v>33</v>
      </c>
      <c r="D122" s="17" t="s">
        <v>301</v>
      </c>
      <c r="E122" s="17" t="s">
        <v>302</v>
      </c>
      <c r="F122" s="174">
        <f>VLOOKUP(D122,原始分!$D:$N,3,0)</f>
        <v>110</v>
      </c>
      <c r="G122" s="174">
        <f t="shared" si="13"/>
        <v>24</v>
      </c>
      <c r="H122" s="174">
        <f>VLOOKUP(D122,原始分!$D:$N,4,0)</f>
        <v>104.5</v>
      </c>
      <c r="I122" s="174">
        <f t="shared" si="14"/>
        <v>277</v>
      </c>
      <c r="J122" s="174">
        <f>VLOOKUP(D122,原始分!$D:$N,5,0)</f>
        <v>103</v>
      </c>
      <c r="K122" s="174">
        <f t="shared" si="15"/>
        <v>199</v>
      </c>
      <c r="L122" s="174">
        <f>VLOOKUP(D122,原始分!$D:$N,6,0)</f>
        <v>63.5</v>
      </c>
      <c r="M122" s="174">
        <f t="shared" si="16"/>
        <v>138</v>
      </c>
      <c r="N122" s="174">
        <f>VLOOKUP(D122,原始分!$D:$N,7,0)</f>
        <v>0</v>
      </c>
      <c r="O122" s="174">
        <f t="shared" si="17"/>
        <v>1</v>
      </c>
      <c r="P122" s="174">
        <f>VLOOKUP(D122,原始分!$D:$N,8,0)</f>
        <v>44</v>
      </c>
      <c r="Q122" s="174">
        <f t="shared" si="18"/>
        <v>226</v>
      </c>
      <c r="R122" s="174">
        <f>VLOOKUP(D122,原始分!$D:$N,9,0)</f>
        <v>58</v>
      </c>
      <c r="S122" s="174">
        <f t="shared" si="19"/>
        <v>22</v>
      </c>
      <c r="T122" s="174">
        <f>VLOOKUP(D122,原始分!$D:$N,10,0)</f>
        <v>0</v>
      </c>
      <c r="U122" s="174">
        <f t="shared" si="20"/>
        <v>112</v>
      </c>
      <c r="V122" s="174">
        <f>VLOOKUP(D122,原始分!$D:$N,11,0)</f>
        <v>0</v>
      </c>
      <c r="W122" s="174">
        <f t="shared" si="21"/>
        <v>461</v>
      </c>
      <c r="X122" s="11">
        <f t="shared" si="22"/>
        <v>317.5</v>
      </c>
      <c r="Y122" s="9">
        <f t="shared" si="23"/>
        <v>135</v>
      </c>
      <c r="Z122" s="11">
        <f t="shared" si="24"/>
        <v>483</v>
      </c>
      <c r="AA122" s="9">
        <f t="shared" si="25"/>
        <v>120</v>
      </c>
    </row>
    <row r="123" ht="14.25" spans="1:27">
      <c r="A123" s="13">
        <v>344</v>
      </c>
      <c r="B123" s="15">
        <v>8</v>
      </c>
      <c r="C123" s="16">
        <v>16</v>
      </c>
      <c r="D123" s="17" t="s">
        <v>699</v>
      </c>
      <c r="E123" s="17" t="s">
        <v>700</v>
      </c>
      <c r="F123" s="174">
        <f>VLOOKUP(D123,原始分!$D:$N,3,0)</f>
        <v>105</v>
      </c>
      <c r="G123" s="174">
        <f t="shared" si="13"/>
        <v>107</v>
      </c>
      <c r="H123" s="174">
        <f>VLOOKUP(D123,原始分!$D:$N,4,0)</f>
        <v>112.5</v>
      </c>
      <c r="I123" s="174">
        <f t="shared" si="14"/>
        <v>151</v>
      </c>
      <c r="J123" s="174">
        <f>VLOOKUP(D123,原始分!$D:$N,5,0)</f>
        <v>93.5</v>
      </c>
      <c r="K123" s="174">
        <f t="shared" si="15"/>
        <v>364</v>
      </c>
      <c r="L123" s="174">
        <f>VLOOKUP(D123,原始分!$D:$N,6,0)</f>
        <v>59.5</v>
      </c>
      <c r="M123" s="174">
        <f t="shared" si="16"/>
        <v>195</v>
      </c>
      <c r="N123" s="174">
        <f>VLOOKUP(D123,原始分!$D:$N,7,0)</f>
        <v>0</v>
      </c>
      <c r="O123" s="174">
        <f t="shared" si="17"/>
        <v>1</v>
      </c>
      <c r="P123" s="174">
        <f>VLOOKUP(D123,原始分!$D:$N,8,0)</f>
        <v>49.5</v>
      </c>
      <c r="Q123" s="174">
        <f t="shared" si="18"/>
        <v>119</v>
      </c>
      <c r="R123" s="174">
        <f>VLOOKUP(D123,原始分!$D:$N,9,0)</f>
        <v>0</v>
      </c>
      <c r="S123" s="174">
        <f t="shared" si="19"/>
        <v>218</v>
      </c>
      <c r="T123" s="174">
        <f>VLOOKUP(D123,原始分!$D:$N,10,0)</f>
        <v>0</v>
      </c>
      <c r="U123" s="174">
        <f t="shared" si="20"/>
        <v>112</v>
      </c>
      <c r="V123" s="174">
        <f>VLOOKUP(D123,原始分!$D:$N,11,0)</f>
        <v>63</v>
      </c>
      <c r="W123" s="174">
        <f t="shared" si="21"/>
        <v>53</v>
      </c>
      <c r="X123" s="11">
        <f t="shared" si="22"/>
        <v>311</v>
      </c>
      <c r="Y123" s="9">
        <f t="shared" si="23"/>
        <v>181</v>
      </c>
      <c r="Z123" s="11">
        <f t="shared" si="24"/>
        <v>483</v>
      </c>
      <c r="AA123" s="9">
        <f t="shared" si="25"/>
        <v>120</v>
      </c>
    </row>
    <row r="124" ht="14.25" spans="1:27">
      <c r="A124" s="13">
        <v>448</v>
      </c>
      <c r="B124" s="15">
        <v>10</v>
      </c>
      <c r="C124" s="16">
        <v>9</v>
      </c>
      <c r="D124" s="17" t="s">
        <v>906</v>
      </c>
      <c r="E124" s="17" t="s">
        <v>907</v>
      </c>
      <c r="F124" s="174">
        <f>VLOOKUP(D124,原始分!$D:$N,3,0)</f>
        <v>107.5</v>
      </c>
      <c r="G124" s="174">
        <f t="shared" si="13"/>
        <v>54</v>
      </c>
      <c r="H124" s="174">
        <f>VLOOKUP(D124,原始分!$D:$N,4,0)</f>
        <v>116.5</v>
      </c>
      <c r="I124" s="174">
        <f t="shared" si="14"/>
        <v>93</v>
      </c>
      <c r="J124" s="174">
        <f>VLOOKUP(D124,原始分!$D:$N,5,0)</f>
        <v>85.5</v>
      </c>
      <c r="K124" s="174">
        <f t="shared" si="15"/>
        <v>481</v>
      </c>
      <c r="L124" s="174">
        <f>VLOOKUP(D124,原始分!$D:$N,6,0)</f>
        <v>64.5</v>
      </c>
      <c r="M124" s="174">
        <f t="shared" si="16"/>
        <v>120</v>
      </c>
      <c r="N124" s="174">
        <f>VLOOKUP(D124,原始分!$D:$N,7,0)</f>
        <v>0</v>
      </c>
      <c r="O124" s="174">
        <f t="shared" si="17"/>
        <v>1</v>
      </c>
      <c r="P124" s="174">
        <f>VLOOKUP(D124,原始分!$D:$N,8,0)</f>
        <v>47.5</v>
      </c>
      <c r="Q124" s="174">
        <f t="shared" si="18"/>
        <v>156</v>
      </c>
      <c r="R124" s="174">
        <f>VLOOKUP(D124,原始分!$D:$N,9,0)</f>
        <v>0</v>
      </c>
      <c r="S124" s="174">
        <f t="shared" si="19"/>
        <v>218</v>
      </c>
      <c r="T124" s="174">
        <f>VLOOKUP(D124,原始分!$D:$N,10,0)</f>
        <v>0</v>
      </c>
      <c r="U124" s="174">
        <f t="shared" si="20"/>
        <v>112</v>
      </c>
      <c r="V124" s="174">
        <f>VLOOKUP(D124,原始分!$D:$N,11,0)</f>
        <v>61</v>
      </c>
      <c r="W124" s="174">
        <f t="shared" si="21"/>
        <v>67</v>
      </c>
      <c r="X124" s="11">
        <f t="shared" si="22"/>
        <v>309.5</v>
      </c>
      <c r="Y124" s="9">
        <f t="shared" si="23"/>
        <v>197</v>
      </c>
      <c r="Z124" s="11">
        <f t="shared" si="24"/>
        <v>482.5</v>
      </c>
      <c r="AA124" s="9">
        <f t="shared" si="25"/>
        <v>122</v>
      </c>
    </row>
    <row r="125" ht="14.25" spans="1:27">
      <c r="A125" s="13">
        <v>210</v>
      </c>
      <c r="B125" s="15">
        <v>5</v>
      </c>
      <c r="C125" s="16">
        <v>7</v>
      </c>
      <c r="D125" s="17" t="s">
        <v>433</v>
      </c>
      <c r="E125" s="17" t="s">
        <v>434</v>
      </c>
      <c r="F125" s="174">
        <f>VLOOKUP(D125,原始分!$D:$N,3,0)</f>
        <v>107.5</v>
      </c>
      <c r="G125" s="174">
        <f t="shared" si="13"/>
        <v>54</v>
      </c>
      <c r="H125" s="174">
        <f>VLOOKUP(D125,原始分!$D:$N,4,0)</f>
        <v>115.5</v>
      </c>
      <c r="I125" s="174">
        <f t="shared" si="14"/>
        <v>107</v>
      </c>
      <c r="J125" s="174">
        <f>VLOOKUP(D125,原始分!$D:$N,5,0)</f>
        <v>96.75</v>
      </c>
      <c r="K125" s="174">
        <f t="shared" si="15"/>
        <v>309</v>
      </c>
      <c r="L125" s="174">
        <f>VLOOKUP(D125,原始分!$D:$N,6,0)</f>
        <v>64</v>
      </c>
      <c r="M125" s="174">
        <f t="shared" si="16"/>
        <v>130</v>
      </c>
      <c r="N125" s="174">
        <f>VLOOKUP(D125,原始分!$D:$N,7,0)</f>
        <v>0</v>
      </c>
      <c r="O125" s="174">
        <f t="shared" si="17"/>
        <v>1</v>
      </c>
      <c r="P125" s="174">
        <f>VLOOKUP(D125,原始分!$D:$N,8,0)</f>
        <v>49</v>
      </c>
      <c r="Q125" s="174">
        <f t="shared" si="18"/>
        <v>131</v>
      </c>
      <c r="R125" s="174">
        <f>VLOOKUP(D125,原始分!$D:$N,9,0)</f>
        <v>49.5</v>
      </c>
      <c r="S125" s="174">
        <f t="shared" si="19"/>
        <v>99</v>
      </c>
      <c r="T125" s="174">
        <f>VLOOKUP(D125,原始分!$D:$N,10,0)</f>
        <v>0</v>
      </c>
      <c r="U125" s="174">
        <f t="shared" si="20"/>
        <v>112</v>
      </c>
      <c r="V125" s="174">
        <f>VLOOKUP(D125,原始分!$D:$N,11,0)</f>
        <v>0</v>
      </c>
      <c r="W125" s="174">
        <f t="shared" si="21"/>
        <v>461</v>
      </c>
      <c r="X125" s="11">
        <f t="shared" si="22"/>
        <v>319.75</v>
      </c>
      <c r="Y125" s="9">
        <f t="shared" si="23"/>
        <v>120</v>
      </c>
      <c r="Z125" s="11">
        <f t="shared" si="24"/>
        <v>482.25</v>
      </c>
      <c r="AA125" s="9">
        <f t="shared" si="25"/>
        <v>123</v>
      </c>
    </row>
    <row r="126" ht="14.25" spans="1:27">
      <c r="A126" s="13">
        <v>447</v>
      </c>
      <c r="B126" s="15">
        <v>10</v>
      </c>
      <c r="C126" s="16">
        <v>8</v>
      </c>
      <c r="D126" s="17" t="s">
        <v>904</v>
      </c>
      <c r="E126" s="17" t="s">
        <v>905</v>
      </c>
      <c r="F126" s="174">
        <f>VLOOKUP(D126,原始分!$D:$N,3,0)</f>
        <v>101</v>
      </c>
      <c r="G126" s="174">
        <f t="shared" si="13"/>
        <v>224</v>
      </c>
      <c r="H126" s="174">
        <f>VLOOKUP(D126,原始分!$D:$N,4,0)</f>
        <v>100</v>
      </c>
      <c r="I126" s="174">
        <f t="shared" si="14"/>
        <v>348</v>
      </c>
      <c r="J126" s="174">
        <f>VLOOKUP(D126,原始分!$D:$N,5,0)</f>
        <v>112.75</v>
      </c>
      <c r="K126" s="174">
        <f t="shared" si="15"/>
        <v>77</v>
      </c>
      <c r="L126" s="174">
        <f>VLOOKUP(D126,原始分!$D:$N,6,0)</f>
        <v>64</v>
      </c>
      <c r="M126" s="174">
        <f t="shared" si="16"/>
        <v>130</v>
      </c>
      <c r="N126" s="174">
        <f>VLOOKUP(D126,原始分!$D:$N,7,0)</f>
        <v>0</v>
      </c>
      <c r="O126" s="174">
        <f t="shared" si="17"/>
        <v>1</v>
      </c>
      <c r="P126" s="174">
        <f>VLOOKUP(D126,原始分!$D:$N,8,0)</f>
        <v>42</v>
      </c>
      <c r="Q126" s="174">
        <f t="shared" si="18"/>
        <v>265</v>
      </c>
      <c r="R126" s="174">
        <f>VLOOKUP(D126,原始分!$D:$N,9,0)</f>
        <v>0</v>
      </c>
      <c r="S126" s="174">
        <f t="shared" si="19"/>
        <v>218</v>
      </c>
      <c r="T126" s="174">
        <f>VLOOKUP(D126,原始分!$D:$N,10,0)</f>
        <v>0</v>
      </c>
      <c r="U126" s="174">
        <f t="shared" si="20"/>
        <v>112</v>
      </c>
      <c r="V126" s="174">
        <f>VLOOKUP(D126,原始分!$D:$N,11,0)</f>
        <v>62</v>
      </c>
      <c r="W126" s="174">
        <f t="shared" si="21"/>
        <v>59</v>
      </c>
      <c r="X126" s="11">
        <f t="shared" si="22"/>
        <v>313.75</v>
      </c>
      <c r="Y126" s="9">
        <f t="shared" si="23"/>
        <v>161</v>
      </c>
      <c r="Z126" s="11">
        <f t="shared" si="24"/>
        <v>481.75</v>
      </c>
      <c r="AA126" s="9">
        <f t="shared" si="25"/>
        <v>124</v>
      </c>
    </row>
    <row r="127" ht="14.25" spans="1:27">
      <c r="A127" s="13">
        <v>532</v>
      </c>
      <c r="B127" s="15">
        <v>11</v>
      </c>
      <c r="C127" s="16">
        <v>38</v>
      </c>
      <c r="D127" s="17" t="s">
        <v>1073</v>
      </c>
      <c r="E127" s="17" t="s">
        <v>1074</v>
      </c>
      <c r="F127" s="174">
        <f>VLOOKUP(D127,原始分!$D:$N,3,0)</f>
        <v>105</v>
      </c>
      <c r="G127" s="174">
        <f t="shared" si="13"/>
        <v>107</v>
      </c>
      <c r="H127" s="174">
        <f>VLOOKUP(D127,原始分!$D:$N,4,0)</f>
        <v>111</v>
      </c>
      <c r="I127" s="174">
        <f t="shared" si="14"/>
        <v>176</v>
      </c>
      <c r="J127" s="174">
        <f>VLOOKUP(D127,原始分!$D:$N,5,0)</f>
        <v>98.25</v>
      </c>
      <c r="K127" s="174">
        <f t="shared" si="15"/>
        <v>288</v>
      </c>
      <c r="L127" s="174">
        <f>VLOOKUP(D127,原始分!$D:$N,6,0)</f>
        <v>59.5</v>
      </c>
      <c r="M127" s="174">
        <f t="shared" si="16"/>
        <v>195</v>
      </c>
      <c r="N127" s="174">
        <f>VLOOKUP(D127,原始分!$D:$N,7,0)</f>
        <v>0</v>
      </c>
      <c r="O127" s="174">
        <f t="shared" si="17"/>
        <v>1</v>
      </c>
      <c r="P127" s="174">
        <f>VLOOKUP(D127,原始分!$D:$N,8,0)</f>
        <v>53.5</v>
      </c>
      <c r="Q127" s="174">
        <f t="shared" si="18"/>
        <v>62</v>
      </c>
      <c r="R127" s="174">
        <f>VLOOKUP(D127,原始分!$D:$N,9,0)</f>
        <v>0</v>
      </c>
      <c r="S127" s="174">
        <f t="shared" si="19"/>
        <v>218</v>
      </c>
      <c r="T127" s="174">
        <f>VLOOKUP(D127,原始分!$D:$N,10,0)</f>
        <v>0</v>
      </c>
      <c r="U127" s="174">
        <f t="shared" si="20"/>
        <v>112</v>
      </c>
      <c r="V127" s="174">
        <f>VLOOKUP(D127,原始分!$D:$N,11,0)</f>
        <v>54.5</v>
      </c>
      <c r="W127" s="174">
        <f t="shared" si="21"/>
        <v>154</v>
      </c>
      <c r="X127" s="11">
        <f t="shared" si="22"/>
        <v>314.25</v>
      </c>
      <c r="Y127" s="9">
        <f t="shared" si="23"/>
        <v>154</v>
      </c>
      <c r="Z127" s="11">
        <f t="shared" si="24"/>
        <v>481.75</v>
      </c>
      <c r="AA127" s="9">
        <f t="shared" si="25"/>
        <v>124</v>
      </c>
    </row>
    <row r="128" ht="14.25" spans="1:27">
      <c r="A128" s="13">
        <v>365</v>
      </c>
      <c r="B128" s="15">
        <v>8</v>
      </c>
      <c r="C128" s="16">
        <v>39</v>
      </c>
      <c r="D128" s="17" t="s">
        <v>740</v>
      </c>
      <c r="E128" s="17" t="s">
        <v>741</v>
      </c>
      <c r="F128" s="174">
        <f>VLOOKUP(D128,原始分!$D:$N,3,0)</f>
        <v>103</v>
      </c>
      <c r="G128" s="174">
        <f t="shared" si="13"/>
        <v>168</v>
      </c>
      <c r="H128" s="174">
        <f>VLOOKUP(D128,原始分!$D:$N,4,0)</f>
        <v>100</v>
      </c>
      <c r="I128" s="174">
        <f t="shared" si="14"/>
        <v>348</v>
      </c>
      <c r="J128" s="174">
        <f>VLOOKUP(D128,原始分!$D:$N,5,0)</f>
        <v>111</v>
      </c>
      <c r="K128" s="174">
        <f t="shared" si="15"/>
        <v>94</v>
      </c>
      <c r="L128" s="174">
        <f>VLOOKUP(D128,原始分!$D:$N,6,0)</f>
        <v>61.5</v>
      </c>
      <c r="M128" s="174">
        <f t="shared" si="16"/>
        <v>164</v>
      </c>
      <c r="N128" s="174">
        <f>VLOOKUP(D128,原始分!$D:$N,7,0)</f>
        <v>0</v>
      </c>
      <c r="O128" s="174">
        <f t="shared" si="17"/>
        <v>1</v>
      </c>
      <c r="P128" s="174">
        <f>VLOOKUP(D128,原始分!$D:$N,8,0)</f>
        <v>43.5</v>
      </c>
      <c r="Q128" s="174">
        <f t="shared" si="18"/>
        <v>241</v>
      </c>
      <c r="R128" s="174">
        <f>VLOOKUP(D128,原始分!$D:$N,9,0)</f>
        <v>0</v>
      </c>
      <c r="S128" s="174">
        <f t="shared" si="19"/>
        <v>218</v>
      </c>
      <c r="T128" s="174">
        <f>VLOOKUP(D128,原始分!$D:$N,10,0)</f>
        <v>0</v>
      </c>
      <c r="U128" s="174">
        <f t="shared" si="20"/>
        <v>112</v>
      </c>
      <c r="V128" s="174">
        <f>VLOOKUP(D128,原始分!$D:$N,11,0)</f>
        <v>62.5</v>
      </c>
      <c r="W128" s="174">
        <f t="shared" si="21"/>
        <v>56</v>
      </c>
      <c r="X128" s="11">
        <f t="shared" si="22"/>
        <v>314</v>
      </c>
      <c r="Y128" s="9">
        <f t="shared" si="23"/>
        <v>157</v>
      </c>
      <c r="Z128" s="11">
        <f t="shared" si="24"/>
        <v>481.5</v>
      </c>
      <c r="AA128" s="9">
        <f t="shared" si="25"/>
        <v>126</v>
      </c>
    </row>
    <row r="129" ht="14.25" spans="1:27">
      <c r="A129" s="13">
        <v>237</v>
      </c>
      <c r="B129" s="15">
        <v>5</v>
      </c>
      <c r="C129" s="16">
        <v>34</v>
      </c>
      <c r="D129" s="17" t="s">
        <v>487</v>
      </c>
      <c r="E129" s="17" t="s">
        <v>488</v>
      </c>
      <c r="F129" s="174">
        <f>VLOOKUP(D129,原始分!$D:$N,3,0)</f>
        <v>100</v>
      </c>
      <c r="G129" s="174">
        <f t="shared" si="13"/>
        <v>274</v>
      </c>
      <c r="H129" s="174">
        <f>VLOOKUP(D129,原始分!$D:$N,4,0)</f>
        <v>118</v>
      </c>
      <c r="I129" s="174">
        <f t="shared" si="14"/>
        <v>80</v>
      </c>
      <c r="J129" s="174">
        <f>VLOOKUP(D129,原始分!$D:$N,5,0)</f>
        <v>95.75</v>
      </c>
      <c r="K129" s="174">
        <f t="shared" si="15"/>
        <v>328</v>
      </c>
      <c r="L129" s="174">
        <f>VLOOKUP(D129,原始分!$D:$N,6,0)</f>
        <v>61</v>
      </c>
      <c r="M129" s="174">
        <f t="shared" si="16"/>
        <v>168</v>
      </c>
      <c r="N129" s="174">
        <f>VLOOKUP(D129,原始分!$D:$N,7,0)</f>
        <v>0</v>
      </c>
      <c r="O129" s="174">
        <f t="shared" si="17"/>
        <v>1</v>
      </c>
      <c r="P129" s="174">
        <f>VLOOKUP(D129,原始分!$D:$N,8,0)</f>
        <v>54.5</v>
      </c>
      <c r="Q129" s="174">
        <f t="shared" si="18"/>
        <v>54</v>
      </c>
      <c r="R129" s="174">
        <f>VLOOKUP(D129,原始分!$D:$N,9,0)</f>
        <v>52</v>
      </c>
      <c r="S129" s="174">
        <f t="shared" si="19"/>
        <v>75</v>
      </c>
      <c r="T129" s="174">
        <f>VLOOKUP(D129,原始分!$D:$N,10,0)</f>
        <v>0</v>
      </c>
      <c r="U129" s="174">
        <f t="shared" si="20"/>
        <v>112</v>
      </c>
      <c r="V129" s="174">
        <f>VLOOKUP(D129,原始分!$D:$N,11,0)</f>
        <v>0</v>
      </c>
      <c r="W129" s="174">
        <f t="shared" si="21"/>
        <v>461</v>
      </c>
      <c r="X129" s="11">
        <f t="shared" si="22"/>
        <v>313.75</v>
      </c>
      <c r="Y129" s="9">
        <f t="shared" si="23"/>
        <v>161</v>
      </c>
      <c r="Z129" s="11">
        <f t="shared" si="24"/>
        <v>481.25</v>
      </c>
      <c r="AA129" s="9">
        <f t="shared" si="25"/>
        <v>127</v>
      </c>
    </row>
    <row r="130" ht="14.25" spans="1:27">
      <c r="A130" s="13">
        <v>465</v>
      </c>
      <c r="B130" s="15">
        <v>10</v>
      </c>
      <c r="C130" s="16">
        <v>26</v>
      </c>
      <c r="D130" s="17" t="s">
        <v>940</v>
      </c>
      <c r="E130" s="17" t="s">
        <v>941</v>
      </c>
      <c r="F130" s="174">
        <f>VLOOKUP(D130,原始分!$D:$N,3,0)</f>
        <v>101.25</v>
      </c>
      <c r="G130" s="174">
        <f t="shared" si="13"/>
        <v>221</v>
      </c>
      <c r="H130" s="174">
        <f>VLOOKUP(D130,原始分!$D:$N,4,0)</f>
        <v>114</v>
      </c>
      <c r="I130" s="174">
        <f t="shared" si="14"/>
        <v>131</v>
      </c>
      <c r="J130" s="174">
        <f>VLOOKUP(D130,原始分!$D:$N,5,0)</f>
        <v>104</v>
      </c>
      <c r="K130" s="174">
        <f t="shared" si="15"/>
        <v>185</v>
      </c>
      <c r="L130" s="174">
        <f>VLOOKUP(D130,原始分!$D:$N,6,0)</f>
        <v>68</v>
      </c>
      <c r="M130" s="174">
        <f t="shared" si="16"/>
        <v>77</v>
      </c>
      <c r="N130" s="174">
        <f>VLOOKUP(D130,原始分!$D:$N,7,0)</f>
        <v>0</v>
      </c>
      <c r="O130" s="174">
        <f t="shared" si="17"/>
        <v>1</v>
      </c>
      <c r="P130" s="174">
        <f>VLOOKUP(D130,原始分!$D:$N,8,0)</f>
        <v>34.5</v>
      </c>
      <c r="Q130" s="174">
        <f t="shared" si="18"/>
        <v>407</v>
      </c>
      <c r="R130" s="174">
        <f>VLOOKUP(D130,原始分!$D:$N,9,0)</f>
        <v>0</v>
      </c>
      <c r="S130" s="174">
        <f t="shared" si="19"/>
        <v>218</v>
      </c>
      <c r="T130" s="174">
        <f>VLOOKUP(D130,原始分!$D:$N,10,0)</f>
        <v>0</v>
      </c>
      <c r="U130" s="174">
        <f t="shared" si="20"/>
        <v>112</v>
      </c>
      <c r="V130" s="174">
        <f>VLOOKUP(D130,原始分!$D:$N,11,0)</f>
        <v>59.5</v>
      </c>
      <c r="W130" s="174">
        <f t="shared" si="21"/>
        <v>85</v>
      </c>
      <c r="X130" s="11">
        <f t="shared" si="22"/>
        <v>319.25</v>
      </c>
      <c r="Y130" s="9">
        <f t="shared" si="23"/>
        <v>123</v>
      </c>
      <c r="Z130" s="11">
        <f t="shared" si="24"/>
        <v>481.25</v>
      </c>
      <c r="AA130" s="9">
        <f t="shared" si="25"/>
        <v>127</v>
      </c>
    </row>
    <row r="131" ht="14.25" spans="1:27">
      <c r="A131" s="13">
        <v>186</v>
      </c>
      <c r="B131" s="15">
        <v>4</v>
      </c>
      <c r="C131" s="16">
        <v>27</v>
      </c>
      <c r="D131" s="17" t="s">
        <v>385</v>
      </c>
      <c r="E131" s="17" t="s">
        <v>386</v>
      </c>
      <c r="F131" s="174">
        <f>VLOOKUP(D131,原始分!$D:$N,3,0)</f>
        <v>106.5</v>
      </c>
      <c r="G131" s="174">
        <f t="shared" ref="G131:G194" si="26">RANK(F131,$F$3:$F$723)</f>
        <v>76</v>
      </c>
      <c r="H131" s="174">
        <f>VLOOKUP(D131,原始分!$D:$N,4,0)</f>
        <v>108</v>
      </c>
      <c r="I131" s="174">
        <f t="shared" ref="I131:I194" si="27">RANK(H131,$H$3:$H$723)</f>
        <v>221</v>
      </c>
      <c r="J131" s="174">
        <f>VLOOKUP(D131,原始分!$D:$N,5,0)</f>
        <v>108.75</v>
      </c>
      <c r="K131" s="174">
        <f t="shared" ref="K131:K194" si="28">RANK(J131,$J$3:$J$723)</f>
        <v>119</v>
      </c>
      <c r="L131" s="174">
        <f>VLOOKUP(D131,原始分!$D:$N,6,0)</f>
        <v>59.5</v>
      </c>
      <c r="M131" s="174">
        <f t="shared" ref="M131:M194" si="29">RANK(L131,$L$3:$L$723)</f>
        <v>195</v>
      </c>
      <c r="N131" s="174">
        <f>VLOOKUP(D131,原始分!$D:$N,7,0)</f>
        <v>0</v>
      </c>
      <c r="O131" s="174">
        <f t="shared" ref="O131:O194" si="30">RANK(N131,$N$3:$N$723)</f>
        <v>1</v>
      </c>
      <c r="P131" s="174">
        <f>VLOOKUP(D131,原始分!$D:$N,8,0)</f>
        <v>45</v>
      </c>
      <c r="Q131" s="174">
        <f t="shared" ref="Q131:Q194" si="31">RANK(P131,$P$3:$P$723)</f>
        <v>208</v>
      </c>
      <c r="R131" s="174">
        <f>VLOOKUP(D131,原始分!$D:$N,9,0)</f>
        <v>53.25</v>
      </c>
      <c r="S131" s="174">
        <f t="shared" ref="S131:S194" si="32">RANK(R131,$R$3:$R$723)</f>
        <v>65</v>
      </c>
      <c r="T131" s="174">
        <f>VLOOKUP(D131,原始分!$D:$N,10,0)</f>
        <v>0</v>
      </c>
      <c r="U131" s="174">
        <f t="shared" ref="U131:U194" si="33">RANK(T131,$T$3:$T$723)</f>
        <v>112</v>
      </c>
      <c r="V131" s="174">
        <f>VLOOKUP(D131,原始分!$D:$N,11,0)</f>
        <v>0</v>
      </c>
      <c r="W131" s="174">
        <f t="shared" ref="W131:W194" si="34">RANK(V131,$V$3:$V$723)</f>
        <v>461</v>
      </c>
      <c r="X131" s="11">
        <f t="shared" ref="X131:X194" si="35">SUM(F131,H131,J131)</f>
        <v>323.25</v>
      </c>
      <c r="Y131" s="9">
        <f t="shared" ref="Y131:Y194" si="36">RANK(X131,$X$3:$X$723)</f>
        <v>97</v>
      </c>
      <c r="Z131" s="11">
        <f t="shared" ref="Z131:Z194" si="37">SUM(F131,H131,J131,L131,N131,P131,R131,T131,V131)</f>
        <v>481</v>
      </c>
      <c r="AA131" s="9">
        <f t="shared" ref="AA131:AA194" si="38">RANK(Z131,$Z$3:$Z$723)</f>
        <v>129</v>
      </c>
    </row>
    <row r="132" ht="14.25" spans="1:27">
      <c r="A132" s="13">
        <v>178</v>
      </c>
      <c r="B132" s="15">
        <v>4</v>
      </c>
      <c r="C132" s="16">
        <v>19</v>
      </c>
      <c r="D132" s="17" t="s">
        <v>369</v>
      </c>
      <c r="E132" s="17" t="s">
        <v>370</v>
      </c>
      <c r="F132" s="174">
        <f>VLOOKUP(D132,原始分!$D:$N,3,0)</f>
        <v>95.75</v>
      </c>
      <c r="G132" s="174">
        <f t="shared" si="26"/>
        <v>418</v>
      </c>
      <c r="H132" s="174">
        <f>VLOOKUP(D132,原始分!$D:$N,4,0)</f>
        <v>110.5</v>
      </c>
      <c r="I132" s="174">
        <f t="shared" si="27"/>
        <v>184</v>
      </c>
      <c r="J132" s="174">
        <f>VLOOKUP(D132,原始分!$D:$N,5,0)</f>
        <v>107</v>
      </c>
      <c r="K132" s="174">
        <f t="shared" si="28"/>
        <v>139</v>
      </c>
      <c r="L132" s="174">
        <f>VLOOKUP(D132,原始分!$D:$N,6,0)</f>
        <v>60</v>
      </c>
      <c r="M132" s="174">
        <f t="shared" si="29"/>
        <v>187</v>
      </c>
      <c r="N132" s="174">
        <f>VLOOKUP(D132,原始分!$D:$N,7,0)</f>
        <v>0</v>
      </c>
      <c r="O132" s="174">
        <f t="shared" si="30"/>
        <v>1</v>
      </c>
      <c r="P132" s="174">
        <f>VLOOKUP(D132,原始分!$D:$N,8,0)</f>
        <v>54</v>
      </c>
      <c r="Q132" s="174">
        <f t="shared" si="31"/>
        <v>59</v>
      </c>
      <c r="R132" s="174">
        <f>VLOOKUP(D132,原始分!$D:$N,9,0)</f>
        <v>53.5</v>
      </c>
      <c r="S132" s="174">
        <f t="shared" si="32"/>
        <v>58</v>
      </c>
      <c r="T132" s="174">
        <f>VLOOKUP(D132,原始分!$D:$N,10,0)</f>
        <v>0</v>
      </c>
      <c r="U132" s="174">
        <f t="shared" si="33"/>
        <v>112</v>
      </c>
      <c r="V132" s="174">
        <f>VLOOKUP(D132,原始分!$D:$N,11,0)</f>
        <v>0</v>
      </c>
      <c r="W132" s="174">
        <f t="shared" si="34"/>
        <v>461</v>
      </c>
      <c r="X132" s="11">
        <f t="shared" si="35"/>
        <v>313.25</v>
      </c>
      <c r="Y132" s="9">
        <f t="shared" si="36"/>
        <v>166</v>
      </c>
      <c r="Z132" s="11">
        <f t="shared" si="37"/>
        <v>480.75</v>
      </c>
      <c r="AA132" s="9">
        <f t="shared" si="38"/>
        <v>130</v>
      </c>
    </row>
    <row r="133" ht="14.25" spans="1:27">
      <c r="A133" s="13">
        <v>199</v>
      </c>
      <c r="B133" s="15">
        <v>4</v>
      </c>
      <c r="C133" s="16">
        <v>42</v>
      </c>
      <c r="D133" s="17" t="s">
        <v>411</v>
      </c>
      <c r="E133" s="17" t="s">
        <v>412</v>
      </c>
      <c r="F133" s="174">
        <f>VLOOKUP(D133,原始分!$D:$N,3,0)</f>
        <v>91.5</v>
      </c>
      <c r="G133" s="174">
        <f t="shared" si="26"/>
        <v>538</v>
      </c>
      <c r="H133" s="174">
        <f>VLOOKUP(D133,原始分!$D:$N,4,0)</f>
        <v>109.5</v>
      </c>
      <c r="I133" s="174">
        <f t="shared" si="27"/>
        <v>198</v>
      </c>
      <c r="J133" s="174">
        <f>VLOOKUP(D133,原始分!$D:$N,5,0)</f>
        <v>119.25</v>
      </c>
      <c r="K133" s="174">
        <f t="shared" si="28"/>
        <v>24</v>
      </c>
      <c r="L133" s="174">
        <f>VLOOKUP(D133,原始分!$D:$N,6,0)</f>
        <v>59</v>
      </c>
      <c r="M133" s="174">
        <f t="shared" si="29"/>
        <v>203</v>
      </c>
      <c r="N133" s="174">
        <f>VLOOKUP(D133,原始分!$D:$N,7,0)</f>
        <v>0</v>
      </c>
      <c r="O133" s="174">
        <f t="shared" si="30"/>
        <v>1</v>
      </c>
      <c r="P133" s="174">
        <f>VLOOKUP(D133,原始分!$D:$N,8,0)</f>
        <v>47</v>
      </c>
      <c r="Q133" s="174">
        <f t="shared" si="31"/>
        <v>172</v>
      </c>
      <c r="R133" s="174">
        <f>VLOOKUP(D133,原始分!$D:$N,9,0)</f>
        <v>54.5</v>
      </c>
      <c r="S133" s="174">
        <f t="shared" si="32"/>
        <v>51</v>
      </c>
      <c r="T133" s="174">
        <f>VLOOKUP(D133,原始分!$D:$N,10,0)</f>
        <v>0</v>
      </c>
      <c r="U133" s="174">
        <f t="shared" si="33"/>
        <v>112</v>
      </c>
      <c r="V133" s="174">
        <f>VLOOKUP(D133,原始分!$D:$N,11,0)</f>
        <v>0</v>
      </c>
      <c r="W133" s="174">
        <f t="shared" si="34"/>
        <v>461</v>
      </c>
      <c r="X133" s="11">
        <f t="shared" si="35"/>
        <v>320.25</v>
      </c>
      <c r="Y133" s="9">
        <f t="shared" si="36"/>
        <v>114</v>
      </c>
      <c r="Z133" s="11">
        <f t="shared" si="37"/>
        <v>480.75</v>
      </c>
      <c r="AA133" s="9">
        <f t="shared" si="38"/>
        <v>130</v>
      </c>
    </row>
    <row r="134" ht="14.25" spans="1:27">
      <c r="A134" s="13">
        <v>470</v>
      </c>
      <c r="B134" s="15">
        <v>10</v>
      </c>
      <c r="C134" s="16">
        <v>31</v>
      </c>
      <c r="D134" s="17" t="s">
        <v>950</v>
      </c>
      <c r="E134" s="17" t="s">
        <v>951</v>
      </c>
      <c r="F134" s="174">
        <f>VLOOKUP(D134,原始分!$D:$N,3,0)</f>
        <v>107</v>
      </c>
      <c r="G134" s="174">
        <f t="shared" si="26"/>
        <v>64</v>
      </c>
      <c r="H134" s="174">
        <f>VLOOKUP(D134,原始分!$D:$N,4,0)</f>
        <v>107.5</v>
      </c>
      <c r="I134" s="174">
        <f t="shared" si="27"/>
        <v>230</v>
      </c>
      <c r="J134" s="174">
        <f>VLOOKUP(D134,原始分!$D:$N,5,0)</f>
        <v>96.75</v>
      </c>
      <c r="K134" s="174">
        <f t="shared" si="28"/>
        <v>309</v>
      </c>
      <c r="L134" s="174">
        <f>VLOOKUP(D134,原始分!$D:$N,6,0)</f>
        <v>65</v>
      </c>
      <c r="M134" s="174">
        <f t="shared" si="29"/>
        <v>115</v>
      </c>
      <c r="N134" s="174">
        <f>VLOOKUP(D134,原始分!$D:$N,7,0)</f>
        <v>0</v>
      </c>
      <c r="O134" s="174">
        <f t="shared" si="30"/>
        <v>1</v>
      </c>
      <c r="P134" s="174">
        <f>VLOOKUP(D134,原始分!$D:$N,8,0)</f>
        <v>53.5</v>
      </c>
      <c r="Q134" s="174">
        <f t="shared" si="31"/>
        <v>62</v>
      </c>
      <c r="R134" s="174">
        <f>VLOOKUP(D134,原始分!$D:$N,9,0)</f>
        <v>0</v>
      </c>
      <c r="S134" s="174">
        <f t="shared" si="32"/>
        <v>218</v>
      </c>
      <c r="T134" s="174">
        <f>VLOOKUP(D134,原始分!$D:$N,10,0)</f>
        <v>0</v>
      </c>
      <c r="U134" s="174">
        <f t="shared" si="33"/>
        <v>112</v>
      </c>
      <c r="V134" s="174">
        <f>VLOOKUP(D134,原始分!$D:$N,11,0)</f>
        <v>51</v>
      </c>
      <c r="W134" s="174">
        <f t="shared" si="34"/>
        <v>227</v>
      </c>
      <c r="X134" s="11">
        <f t="shared" si="35"/>
        <v>311.25</v>
      </c>
      <c r="Y134" s="9">
        <f t="shared" si="36"/>
        <v>176</v>
      </c>
      <c r="Z134" s="11">
        <f t="shared" si="37"/>
        <v>480.75</v>
      </c>
      <c r="AA134" s="9">
        <f t="shared" si="38"/>
        <v>130</v>
      </c>
    </row>
    <row r="135" ht="14.25" spans="1:27">
      <c r="A135" s="13">
        <v>440</v>
      </c>
      <c r="B135" s="15">
        <v>10</v>
      </c>
      <c r="C135" s="16">
        <v>1</v>
      </c>
      <c r="D135" s="17" t="s">
        <v>890</v>
      </c>
      <c r="E135" s="17" t="s">
        <v>891</v>
      </c>
      <c r="F135" s="174">
        <f>VLOOKUP(D135,原始分!$D:$N,3,0)</f>
        <v>102.5</v>
      </c>
      <c r="G135" s="174">
        <f t="shared" si="26"/>
        <v>183</v>
      </c>
      <c r="H135" s="174">
        <f>VLOOKUP(D135,原始分!$D:$N,4,0)</f>
        <v>108.5</v>
      </c>
      <c r="I135" s="174">
        <f t="shared" si="27"/>
        <v>215</v>
      </c>
      <c r="J135" s="174">
        <f>VLOOKUP(D135,原始分!$D:$N,5,0)</f>
        <v>93.5</v>
      </c>
      <c r="K135" s="174">
        <f t="shared" si="28"/>
        <v>364</v>
      </c>
      <c r="L135" s="174">
        <f>VLOOKUP(D135,原始分!$D:$N,6,0)</f>
        <v>66</v>
      </c>
      <c r="M135" s="174">
        <f t="shared" si="29"/>
        <v>97</v>
      </c>
      <c r="N135" s="174">
        <f>VLOOKUP(D135,原始分!$D:$N,7,0)</f>
        <v>0</v>
      </c>
      <c r="O135" s="174">
        <f t="shared" si="30"/>
        <v>1</v>
      </c>
      <c r="P135" s="174">
        <f>VLOOKUP(D135,原始分!$D:$N,8,0)</f>
        <v>50.5</v>
      </c>
      <c r="Q135" s="174">
        <f t="shared" si="31"/>
        <v>100</v>
      </c>
      <c r="R135" s="174">
        <f>VLOOKUP(D135,原始分!$D:$N,9,0)</f>
        <v>0</v>
      </c>
      <c r="S135" s="174">
        <f t="shared" si="32"/>
        <v>218</v>
      </c>
      <c r="T135" s="174">
        <f>VLOOKUP(D135,原始分!$D:$N,10,0)</f>
        <v>0</v>
      </c>
      <c r="U135" s="174">
        <f t="shared" si="33"/>
        <v>112</v>
      </c>
      <c r="V135" s="174">
        <f>VLOOKUP(D135,原始分!$D:$N,11,0)</f>
        <v>59</v>
      </c>
      <c r="W135" s="174">
        <f t="shared" si="34"/>
        <v>90</v>
      </c>
      <c r="X135" s="11">
        <f t="shared" si="35"/>
        <v>304.5</v>
      </c>
      <c r="Y135" s="9">
        <f t="shared" si="36"/>
        <v>239</v>
      </c>
      <c r="Z135" s="11">
        <f t="shared" si="37"/>
        <v>480</v>
      </c>
      <c r="AA135" s="9">
        <f t="shared" si="38"/>
        <v>133</v>
      </c>
    </row>
    <row r="136" ht="14.25" spans="1:27">
      <c r="A136" s="13">
        <v>466</v>
      </c>
      <c r="B136" s="15">
        <v>10</v>
      </c>
      <c r="C136" s="16">
        <v>27</v>
      </c>
      <c r="D136" s="17" t="s">
        <v>942</v>
      </c>
      <c r="E136" s="17" t="s">
        <v>943</v>
      </c>
      <c r="F136" s="174">
        <f>VLOOKUP(D136,原始分!$D:$N,3,0)</f>
        <v>92.75</v>
      </c>
      <c r="G136" s="174">
        <f t="shared" si="26"/>
        <v>520</v>
      </c>
      <c r="H136" s="174">
        <f>VLOOKUP(D136,原始分!$D:$N,4,0)</f>
        <v>116</v>
      </c>
      <c r="I136" s="174">
        <f t="shared" si="27"/>
        <v>99</v>
      </c>
      <c r="J136" s="174">
        <f>VLOOKUP(D136,原始分!$D:$N,5,0)</f>
        <v>86</v>
      </c>
      <c r="K136" s="174">
        <f t="shared" si="28"/>
        <v>474</v>
      </c>
      <c r="L136" s="174">
        <f>VLOOKUP(D136,原始分!$D:$N,6,0)</f>
        <v>73</v>
      </c>
      <c r="M136" s="174">
        <f t="shared" si="29"/>
        <v>47</v>
      </c>
      <c r="N136" s="174">
        <f>VLOOKUP(D136,原始分!$D:$N,7,0)</f>
        <v>0</v>
      </c>
      <c r="O136" s="174">
        <f t="shared" si="30"/>
        <v>1</v>
      </c>
      <c r="P136" s="174">
        <f>VLOOKUP(D136,原始分!$D:$N,8,0)</f>
        <v>60</v>
      </c>
      <c r="Q136" s="174">
        <f t="shared" si="31"/>
        <v>28</v>
      </c>
      <c r="R136" s="174">
        <f>VLOOKUP(D136,原始分!$D:$N,9,0)</f>
        <v>0</v>
      </c>
      <c r="S136" s="174">
        <f t="shared" si="32"/>
        <v>218</v>
      </c>
      <c r="T136" s="174">
        <f>VLOOKUP(D136,原始分!$D:$N,10,0)</f>
        <v>0</v>
      </c>
      <c r="U136" s="174">
        <f t="shared" si="33"/>
        <v>112</v>
      </c>
      <c r="V136" s="174">
        <f>VLOOKUP(D136,原始分!$D:$N,11,0)</f>
        <v>52</v>
      </c>
      <c r="W136" s="174">
        <f t="shared" si="34"/>
        <v>204</v>
      </c>
      <c r="X136" s="11">
        <f t="shared" si="35"/>
        <v>294.75</v>
      </c>
      <c r="Y136" s="9">
        <f t="shared" si="36"/>
        <v>319</v>
      </c>
      <c r="Z136" s="11">
        <f t="shared" si="37"/>
        <v>479.75</v>
      </c>
      <c r="AA136" s="9">
        <f t="shared" si="38"/>
        <v>134</v>
      </c>
    </row>
    <row r="137" ht="14.25" spans="1:27">
      <c r="A137" s="13">
        <v>15</v>
      </c>
      <c r="B137" s="15">
        <v>1</v>
      </c>
      <c r="C137" s="16">
        <v>17</v>
      </c>
      <c r="D137" s="17" t="s">
        <v>44</v>
      </c>
      <c r="E137" s="17" t="s">
        <v>45</v>
      </c>
      <c r="F137" s="174">
        <f>VLOOKUP(D137,原始分!$D:$N,3,0)</f>
        <v>95.5</v>
      </c>
      <c r="G137" s="174">
        <f t="shared" si="26"/>
        <v>422</v>
      </c>
      <c r="H137" s="174">
        <f>VLOOKUP(D137,原始分!$D:$N,4,0)</f>
        <v>124.5</v>
      </c>
      <c r="I137" s="174">
        <f t="shared" si="27"/>
        <v>34</v>
      </c>
      <c r="J137" s="174">
        <f>VLOOKUP(D137,原始分!$D:$N,5,0)</f>
        <v>91.25</v>
      </c>
      <c r="K137" s="174">
        <f t="shared" si="28"/>
        <v>407</v>
      </c>
      <c r="L137" s="174">
        <f>VLOOKUP(D137,原始分!$D:$N,6,0)</f>
        <v>71</v>
      </c>
      <c r="M137" s="174">
        <f t="shared" si="29"/>
        <v>61</v>
      </c>
      <c r="N137" s="174">
        <f>VLOOKUP(D137,原始分!$D:$N,7,0)</f>
        <v>0</v>
      </c>
      <c r="O137" s="174">
        <f t="shared" si="30"/>
        <v>1</v>
      </c>
      <c r="P137" s="174">
        <f>VLOOKUP(D137,原始分!$D:$N,8,0)</f>
        <v>40</v>
      </c>
      <c r="Q137" s="174">
        <f t="shared" si="31"/>
        <v>314</v>
      </c>
      <c r="R137" s="174">
        <f>VLOOKUP(D137,原始分!$D:$N,9,0)</f>
        <v>0</v>
      </c>
      <c r="S137" s="174">
        <f t="shared" si="32"/>
        <v>218</v>
      </c>
      <c r="T137" s="174">
        <f>VLOOKUP(D137,原始分!$D:$N,10,0)</f>
        <v>57</v>
      </c>
      <c r="U137" s="174">
        <f t="shared" si="33"/>
        <v>40</v>
      </c>
      <c r="V137" s="174">
        <f>VLOOKUP(D137,原始分!$D:$N,11,0)</f>
        <v>0</v>
      </c>
      <c r="W137" s="174">
        <f t="shared" si="34"/>
        <v>461</v>
      </c>
      <c r="X137" s="11">
        <f t="shared" si="35"/>
        <v>311.25</v>
      </c>
      <c r="Y137" s="9">
        <f t="shared" si="36"/>
        <v>176</v>
      </c>
      <c r="Z137" s="11">
        <f t="shared" si="37"/>
        <v>479.25</v>
      </c>
      <c r="AA137" s="9">
        <f t="shared" si="38"/>
        <v>135</v>
      </c>
    </row>
    <row r="138" ht="14.25" spans="1:27">
      <c r="A138" s="13">
        <v>376</v>
      </c>
      <c r="B138" s="15">
        <v>8</v>
      </c>
      <c r="C138" s="16">
        <v>50</v>
      </c>
      <c r="D138" s="17" t="s">
        <v>762</v>
      </c>
      <c r="E138" s="17" t="s">
        <v>763</v>
      </c>
      <c r="F138" s="174">
        <f>VLOOKUP(D138,原始分!$D:$N,3,0)</f>
        <v>102.5</v>
      </c>
      <c r="G138" s="174">
        <f t="shared" si="26"/>
        <v>183</v>
      </c>
      <c r="H138" s="174">
        <f>VLOOKUP(D138,原始分!$D:$N,4,0)</f>
        <v>110.5</v>
      </c>
      <c r="I138" s="174">
        <f t="shared" si="27"/>
        <v>184</v>
      </c>
      <c r="J138" s="174">
        <f>VLOOKUP(D138,原始分!$D:$N,5,0)</f>
        <v>107.25</v>
      </c>
      <c r="K138" s="174">
        <f t="shared" si="28"/>
        <v>137</v>
      </c>
      <c r="L138" s="174">
        <f>VLOOKUP(D138,原始分!$D:$N,6,0)</f>
        <v>62.5</v>
      </c>
      <c r="M138" s="174">
        <f t="shared" si="29"/>
        <v>152</v>
      </c>
      <c r="N138" s="174">
        <f>VLOOKUP(D138,原始分!$D:$N,7,0)</f>
        <v>0</v>
      </c>
      <c r="O138" s="174">
        <f t="shared" si="30"/>
        <v>1</v>
      </c>
      <c r="P138" s="174">
        <f>VLOOKUP(D138,原始分!$D:$N,8,0)</f>
        <v>51.5</v>
      </c>
      <c r="Q138" s="174">
        <f t="shared" si="31"/>
        <v>90</v>
      </c>
      <c r="R138" s="174">
        <f>VLOOKUP(D138,原始分!$D:$N,9,0)</f>
        <v>0</v>
      </c>
      <c r="S138" s="174">
        <f t="shared" si="32"/>
        <v>218</v>
      </c>
      <c r="T138" s="174">
        <f>VLOOKUP(D138,原始分!$D:$N,10,0)</f>
        <v>0</v>
      </c>
      <c r="U138" s="174">
        <f t="shared" si="33"/>
        <v>112</v>
      </c>
      <c r="V138" s="174">
        <f>VLOOKUP(D138,原始分!$D:$N,11,0)</f>
        <v>45</v>
      </c>
      <c r="W138" s="174">
        <f t="shared" si="34"/>
        <v>332</v>
      </c>
      <c r="X138" s="11">
        <f t="shared" si="35"/>
        <v>320.25</v>
      </c>
      <c r="Y138" s="9">
        <f t="shared" si="36"/>
        <v>114</v>
      </c>
      <c r="Z138" s="11">
        <f t="shared" si="37"/>
        <v>479.25</v>
      </c>
      <c r="AA138" s="9">
        <f t="shared" si="38"/>
        <v>135</v>
      </c>
    </row>
    <row r="139" ht="14.25" spans="1:27">
      <c r="A139" s="13">
        <v>475</v>
      </c>
      <c r="B139" s="15">
        <v>10</v>
      </c>
      <c r="C139" s="16">
        <v>36</v>
      </c>
      <c r="D139" s="17" t="s">
        <v>960</v>
      </c>
      <c r="E139" s="17" t="s">
        <v>961</v>
      </c>
      <c r="F139" s="174">
        <f>VLOOKUP(D139,原始分!$D:$N,3,0)</f>
        <v>102.75</v>
      </c>
      <c r="G139" s="174">
        <f t="shared" si="26"/>
        <v>181</v>
      </c>
      <c r="H139" s="174">
        <f>VLOOKUP(D139,原始分!$D:$N,4,0)</f>
        <v>107.5</v>
      </c>
      <c r="I139" s="174">
        <f t="shared" si="27"/>
        <v>230</v>
      </c>
      <c r="J139" s="174">
        <f>VLOOKUP(D139,原始分!$D:$N,5,0)</f>
        <v>101</v>
      </c>
      <c r="K139" s="174">
        <f t="shared" si="28"/>
        <v>229</v>
      </c>
      <c r="L139" s="174">
        <f>VLOOKUP(D139,原始分!$D:$N,6,0)</f>
        <v>65.5</v>
      </c>
      <c r="M139" s="174">
        <f t="shared" si="29"/>
        <v>105</v>
      </c>
      <c r="N139" s="174">
        <f>VLOOKUP(D139,原始分!$D:$N,7,0)</f>
        <v>0</v>
      </c>
      <c r="O139" s="174">
        <f t="shared" si="30"/>
        <v>1</v>
      </c>
      <c r="P139" s="174">
        <f>VLOOKUP(D139,原始分!$D:$N,8,0)</f>
        <v>45</v>
      </c>
      <c r="Q139" s="174">
        <f t="shared" si="31"/>
        <v>208</v>
      </c>
      <c r="R139" s="174">
        <f>VLOOKUP(D139,原始分!$D:$N,9,0)</f>
        <v>0</v>
      </c>
      <c r="S139" s="174">
        <f t="shared" si="32"/>
        <v>218</v>
      </c>
      <c r="T139" s="174">
        <f>VLOOKUP(D139,原始分!$D:$N,10,0)</f>
        <v>0</v>
      </c>
      <c r="U139" s="174">
        <f t="shared" si="33"/>
        <v>112</v>
      </c>
      <c r="V139" s="174">
        <f>VLOOKUP(D139,原始分!$D:$N,11,0)</f>
        <v>57</v>
      </c>
      <c r="W139" s="174">
        <f t="shared" si="34"/>
        <v>112</v>
      </c>
      <c r="X139" s="11">
        <f t="shared" si="35"/>
        <v>311.25</v>
      </c>
      <c r="Y139" s="9">
        <f t="shared" si="36"/>
        <v>176</v>
      </c>
      <c r="Z139" s="11">
        <f t="shared" si="37"/>
        <v>478.75</v>
      </c>
      <c r="AA139" s="9">
        <f t="shared" si="38"/>
        <v>137</v>
      </c>
    </row>
    <row r="140" ht="14.25" spans="1:27">
      <c r="A140" s="13">
        <v>472</v>
      </c>
      <c r="B140" s="15">
        <v>10</v>
      </c>
      <c r="C140" s="16">
        <v>33</v>
      </c>
      <c r="D140" s="17" t="s">
        <v>954</v>
      </c>
      <c r="E140" s="17" t="s">
        <v>955</v>
      </c>
      <c r="F140" s="174">
        <f>VLOOKUP(D140,原始分!$D:$N,3,0)</f>
        <v>106</v>
      </c>
      <c r="G140" s="174">
        <f t="shared" si="26"/>
        <v>87</v>
      </c>
      <c r="H140" s="174">
        <f>VLOOKUP(D140,原始分!$D:$N,4,0)</f>
        <v>112.5</v>
      </c>
      <c r="I140" s="174">
        <f t="shared" si="27"/>
        <v>151</v>
      </c>
      <c r="J140" s="174">
        <f>VLOOKUP(D140,原始分!$D:$N,5,0)</f>
        <v>100</v>
      </c>
      <c r="K140" s="174">
        <f t="shared" si="28"/>
        <v>243</v>
      </c>
      <c r="L140" s="174">
        <f>VLOOKUP(D140,原始分!$D:$N,6,0)</f>
        <v>65</v>
      </c>
      <c r="M140" s="174">
        <f t="shared" si="29"/>
        <v>115</v>
      </c>
      <c r="N140" s="174">
        <f>VLOOKUP(D140,原始分!$D:$N,7,0)</f>
        <v>0</v>
      </c>
      <c r="O140" s="174">
        <f t="shared" si="30"/>
        <v>1</v>
      </c>
      <c r="P140" s="174">
        <f>VLOOKUP(D140,原始分!$D:$N,8,0)</f>
        <v>43.5</v>
      </c>
      <c r="Q140" s="174">
        <f t="shared" si="31"/>
        <v>241</v>
      </c>
      <c r="R140" s="174">
        <f>VLOOKUP(D140,原始分!$D:$N,9,0)</f>
        <v>0</v>
      </c>
      <c r="S140" s="174">
        <f t="shared" si="32"/>
        <v>218</v>
      </c>
      <c r="T140" s="174">
        <f>VLOOKUP(D140,原始分!$D:$N,10,0)</f>
        <v>0</v>
      </c>
      <c r="U140" s="174">
        <f t="shared" si="33"/>
        <v>112</v>
      </c>
      <c r="V140" s="174">
        <f>VLOOKUP(D140,原始分!$D:$N,11,0)</f>
        <v>51.5</v>
      </c>
      <c r="W140" s="174">
        <f t="shared" si="34"/>
        <v>213</v>
      </c>
      <c r="X140" s="11">
        <f t="shared" si="35"/>
        <v>318.5</v>
      </c>
      <c r="Y140" s="9">
        <f t="shared" si="36"/>
        <v>127</v>
      </c>
      <c r="Z140" s="11">
        <f t="shared" si="37"/>
        <v>478.5</v>
      </c>
      <c r="AA140" s="9">
        <f t="shared" si="38"/>
        <v>138</v>
      </c>
    </row>
    <row r="141" ht="14.25" spans="1:27">
      <c r="A141" s="13">
        <v>515</v>
      </c>
      <c r="B141" s="15">
        <v>11</v>
      </c>
      <c r="C141" s="16">
        <v>19</v>
      </c>
      <c r="D141" s="17" t="s">
        <v>1040</v>
      </c>
      <c r="E141" s="17" t="s">
        <v>1041</v>
      </c>
      <c r="F141" s="174">
        <f>VLOOKUP(D141,原始分!$D:$N,3,0)</f>
        <v>107.5</v>
      </c>
      <c r="G141" s="174">
        <f t="shared" si="26"/>
        <v>54</v>
      </c>
      <c r="H141" s="174">
        <f>VLOOKUP(D141,原始分!$D:$N,4,0)</f>
        <v>115.5</v>
      </c>
      <c r="I141" s="174">
        <f t="shared" si="27"/>
        <v>107</v>
      </c>
      <c r="J141" s="174">
        <f>VLOOKUP(D141,原始分!$D:$N,5,0)</f>
        <v>99.5</v>
      </c>
      <c r="K141" s="174">
        <f t="shared" si="28"/>
        <v>256</v>
      </c>
      <c r="L141" s="174">
        <f>VLOOKUP(D141,原始分!$D:$N,6,0)</f>
        <v>41.5</v>
      </c>
      <c r="M141" s="174">
        <f t="shared" si="29"/>
        <v>483</v>
      </c>
      <c r="N141" s="174">
        <f>VLOOKUP(D141,原始分!$D:$N,7,0)</f>
        <v>0</v>
      </c>
      <c r="O141" s="174">
        <f t="shared" si="30"/>
        <v>1</v>
      </c>
      <c r="P141" s="174">
        <f>VLOOKUP(D141,原始分!$D:$N,8,0)</f>
        <v>48</v>
      </c>
      <c r="Q141" s="174">
        <f t="shared" si="31"/>
        <v>145</v>
      </c>
      <c r="R141" s="174">
        <f>VLOOKUP(D141,原始分!$D:$N,9,0)</f>
        <v>0</v>
      </c>
      <c r="S141" s="174">
        <f t="shared" si="32"/>
        <v>218</v>
      </c>
      <c r="T141" s="174">
        <f>VLOOKUP(D141,原始分!$D:$N,10,0)</f>
        <v>0</v>
      </c>
      <c r="U141" s="174">
        <f t="shared" si="33"/>
        <v>112</v>
      </c>
      <c r="V141" s="174">
        <f>VLOOKUP(D141,原始分!$D:$N,11,0)</f>
        <v>66.5</v>
      </c>
      <c r="W141" s="174">
        <f t="shared" si="34"/>
        <v>27</v>
      </c>
      <c r="X141" s="11">
        <f t="shared" si="35"/>
        <v>322.5</v>
      </c>
      <c r="Y141" s="9">
        <f t="shared" si="36"/>
        <v>102</v>
      </c>
      <c r="Z141" s="11">
        <f t="shared" si="37"/>
        <v>478.5</v>
      </c>
      <c r="AA141" s="9">
        <f t="shared" si="38"/>
        <v>138</v>
      </c>
    </row>
    <row r="142" ht="14.25" spans="1:27">
      <c r="A142" s="13">
        <v>6</v>
      </c>
      <c r="B142" s="15">
        <v>1</v>
      </c>
      <c r="C142" s="16">
        <v>7</v>
      </c>
      <c r="D142" s="17" t="s">
        <v>26</v>
      </c>
      <c r="E142" s="17" t="s">
        <v>27</v>
      </c>
      <c r="F142" s="174">
        <f>VLOOKUP(D142,原始分!$D:$N,3,0)</f>
        <v>99.5</v>
      </c>
      <c r="G142" s="174">
        <f t="shared" si="26"/>
        <v>286</v>
      </c>
      <c r="H142" s="174">
        <f>VLOOKUP(D142,原始分!$D:$N,4,0)</f>
        <v>96.5</v>
      </c>
      <c r="I142" s="174">
        <f t="shared" si="27"/>
        <v>399</v>
      </c>
      <c r="J142" s="174">
        <f>VLOOKUP(D142,原始分!$D:$N,5,0)</f>
        <v>109.75</v>
      </c>
      <c r="K142" s="174">
        <f t="shared" si="28"/>
        <v>108</v>
      </c>
      <c r="L142" s="174">
        <f>VLOOKUP(D142,原始分!$D:$N,6,0)</f>
        <v>57</v>
      </c>
      <c r="M142" s="174">
        <f t="shared" si="29"/>
        <v>237</v>
      </c>
      <c r="N142" s="174">
        <f>VLOOKUP(D142,原始分!$D:$N,7,0)</f>
        <v>0</v>
      </c>
      <c r="O142" s="174">
        <f t="shared" si="30"/>
        <v>1</v>
      </c>
      <c r="P142" s="174">
        <f>VLOOKUP(D142,原始分!$D:$N,8,0)</f>
        <v>53.5</v>
      </c>
      <c r="Q142" s="174">
        <f t="shared" si="31"/>
        <v>62</v>
      </c>
      <c r="R142" s="174">
        <f>VLOOKUP(D142,原始分!$D:$N,9,0)</f>
        <v>0</v>
      </c>
      <c r="S142" s="174">
        <f t="shared" si="32"/>
        <v>218</v>
      </c>
      <c r="T142" s="174">
        <f>VLOOKUP(D142,原始分!$D:$N,10,0)</f>
        <v>62</v>
      </c>
      <c r="U142" s="174">
        <f t="shared" si="33"/>
        <v>19</v>
      </c>
      <c r="V142" s="174">
        <f>VLOOKUP(D142,原始分!$D:$N,11,0)</f>
        <v>0</v>
      </c>
      <c r="W142" s="174">
        <f t="shared" si="34"/>
        <v>461</v>
      </c>
      <c r="X142" s="11">
        <f t="shared" si="35"/>
        <v>305.75</v>
      </c>
      <c r="Y142" s="9">
        <f t="shared" si="36"/>
        <v>229</v>
      </c>
      <c r="Z142" s="11">
        <f t="shared" si="37"/>
        <v>478.25</v>
      </c>
      <c r="AA142" s="9">
        <f t="shared" si="38"/>
        <v>140</v>
      </c>
    </row>
    <row r="143" ht="14.25" spans="1:27">
      <c r="A143" s="13">
        <v>282</v>
      </c>
      <c r="B143" s="15">
        <v>6</v>
      </c>
      <c r="C143" s="16">
        <v>34</v>
      </c>
      <c r="D143" s="17" t="s">
        <v>575</v>
      </c>
      <c r="E143" s="17" t="s">
        <v>576</v>
      </c>
      <c r="F143" s="174">
        <f>VLOOKUP(D143,原始分!$D:$N,3,0)</f>
        <v>97.5</v>
      </c>
      <c r="G143" s="174">
        <f t="shared" si="26"/>
        <v>372</v>
      </c>
      <c r="H143" s="174">
        <f>VLOOKUP(D143,原始分!$D:$N,4,0)</f>
        <v>103</v>
      </c>
      <c r="I143" s="174">
        <f t="shared" si="27"/>
        <v>312</v>
      </c>
      <c r="J143" s="174">
        <f>VLOOKUP(D143,原始分!$D:$N,5,0)</f>
        <v>112</v>
      </c>
      <c r="K143" s="174">
        <f t="shared" si="28"/>
        <v>82</v>
      </c>
      <c r="L143" s="174">
        <f>VLOOKUP(D143,原始分!$D:$N,6,0)</f>
        <v>58.5</v>
      </c>
      <c r="M143" s="174">
        <f t="shared" si="29"/>
        <v>209</v>
      </c>
      <c r="N143" s="174">
        <f>VLOOKUP(D143,原始分!$D:$N,7,0)</f>
        <v>0</v>
      </c>
      <c r="O143" s="174">
        <f t="shared" si="30"/>
        <v>1</v>
      </c>
      <c r="P143" s="174">
        <f>VLOOKUP(D143,原始分!$D:$N,8,0)</f>
        <v>0</v>
      </c>
      <c r="Q143" s="174">
        <f t="shared" si="31"/>
        <v>539</v>
      </c>
      <c r="R143" s="174">
        <f>VLOOKUP(D143,原始分!$D:$N,9,0)</f>
        <v>52</v>
      </c>
      <c r="S143" s="174">
        <f t="shared" si="32"/>
        <v>75</v>
      </c>
      <c r="T143" s="174">
        <f>VLOOKUP(D143,原始分!$D:$N,10,0)</f>
        <v>0</v>
      </c>
      <c r="U143" s="174">
        <f t="shared" si="33"/>
        <v>112</v>
      </c>
      <c r="V143" s="174">
        <f>VLOOKUP(D143,原始分!$D:$N,11,0)</f>
        <v>55</v>
      </c>
      <c r="W143" s="174">
        <f t="shared" si="34"/>
        <v>149</v>
      </c>
      <c r="X143" s="11">
        <f t="shared" si="35"/>
        <v>312.5</v>
      </c>
      <c r="Y143" s="9">
        <f t="shared" si="36"/>
        <v>168</v>
      </c>
      <c r="Z143" s="11">
        <f t="shared" si="37"/>
        <v>478</v>
      </c>
      <c r="AA143" s="9">
        <f t="shared" si="38"/>
        <v>141</v>
      </c>
    </row>
    <row r="144" ht="14.25" spans="1:27">
      <c r="A144" s="13">
        <v>372</v>
      </c>
      <c r="B144" s="15">
        <v>8</v>
      </c>
      <c r="C144" s="16">
        <v>46</v>
      </c>
      <c r="D144" s="17" t="s">
        <v>754</v>
      </c>
      <c r="E144" s="17" t="s">
        <v>755</v>
      </c>
      <c r="F144" s="174">
        <f>VLOOKUP(D144,原始分!$D:$N,3,0)</f>
        <v>86.5</v>
      </c>
      <c r="G144" s="174">
        <f t="shared" si="26"/>
        <v>622</v>
      </c>
      <c r="H144" s="174">
        <f>VLOOKUP(D144,原始分!$D:$N,4,0)</f>
        <v>124</v>
      </c>
      <c r="I144" s="174">
        <f t="shared" si="27"/>
        <v>36</v>
      </c>
      <c r="J144" s="174">
        <f>VLOOKUP(D144,原始分!$D:$N,5,0)</f>
        <v>79.75</v>
      </c>
      <c r="K144" s="174">
        <f t="shared" si="28"/>
        <v>556</v>
      </c>
      <c r="L144" s="174">
        <f>VLOOKUP(D144,原始分!$D:$N,6,0)</f>
        <v>65.5</v>
      </c>
      <c r="M144" s="174">
        <f t="shared" si="29"/>
        <v>105</v>
      </c>
      <c r="N144" s="174">
        <f>VLOOKUP(D144,原始分!$D:$N,7,0)</f>
        <v>0</v>
      </c>
      <c r="O144" s="174">
        <f t="shared" si="30"/>
        <v>1</v>
      </c>
      <c r="P144" s="174">
        <f>VLOOKUP(D144,原始分!$D:$N,8,0)</f>
        <v>54.5</v>
      </c>
      <c r="Q144" s="174">
        <f t="shared" si="31"/>
        <v>54</v>
      </c>
      <c r="R144" s="174">
        <f>VLOOKUP(D144,原始分!$D:$N,9,0)</f>
        <v>0</v>
      </c>
      <c r="S144" s="174">
        <f t="shared" si="32"/>
        <v>218</v>
      </c>
      <c r="T144" s="174">
        <f>VLOOKUP(D144,原始分!$D:$N,10,0)</f>
        <v>0</v>
      </c>
      <c r="U144" s="174">
        <f t="shared" si="33"/>
        <v>112</v>
      </c>
      <c r="V144" s="174">
        <f>VLOOKUP(D144,原始分!$D:$N,11,0)</f>
        <v>67.5</v>
      </c>
      <c r="W144" s="174">
        <f t="shared" si="34"/>
        <v>24</v>
      </c>
      <c r="X144" s="11">
        <f t="shared" si="35"/>
        <v>290.25</v>
      </c>
      <c r="Y144" s="9">
        <f t="shared" si="36"/>
        <v>368</v>
      </c>
      <c r="Z144" s="11">
        <f t="shared" si="37"/>
        <v>477.75</v>
      </c>
      <c r="AA144" s="9">
        <f t="shared" si="38"/>
        <v>142</v>
      </c>
    </row>
    <row r="145" ht="14.25" spans="1:27">
      <c r="A145" s="13">
        <v>181</v>
      </c>
      <c r="B145" s="15">
        <v>4</v>
      </c>
      <c r="C145" s="16">
        <v>22</v>
      </c>
      <c r="D145" s="17" t="s">
        <v>375</v>
      </c>
      <c r="E145" s="17" t="s">
        <v>376</v>
      </c>
      <c r="F145" s="174">
        <f>VLOOKUP(D145,原始分!$D:$N,3,0)</f>
        <v>107</v>
      </c>
      <c r="G145" s="174">
        <f t="shared" si="26"/>
        <v>64</v>
      </c>
      <c r="H145" s="174">
        <f>VLOOKUP(D145,原始分!$D:$N,4,0)</f>
        <v>114.5</v>
      </c>
      <c r="I145" s="174">
        <f t="shared" si="27"/>
        <v>122</v>
      </c>
      <c r="J145" s="174">
        <f>VLOOKUP(D145,原始分!$D:$N,5,0)</f>
        <v>108</v>
      </c>
      <c r="K145" s="174">
        <f t="shared" si="28"/>
        <v>125</v>
      </c>
      <c r="L145" s="174">
        <f>VLOOKUP(D145,原始分!$D:$N,6,0)</f>
        <v>56.5</v>
      </c>
      <c r="M145" s="174">
        <f t="shared" si="29"/>
        <v>244</v>
      </c>
      <c r="N145" s="174">
        <f>VLOOKUP(D145,原始分!$D:$N,7,0)</f>
        <v>0</v>
      </c>
      <c r="O145" s="174">
        <f t="shared" si="30"/>
        <v>1</v>
      </c>
      <c r="P145" s="174">
        <f>VLOOKUP(D145,原始分!$D:$N,8,0)</f>
        <v>39</v>
      </c>
      <c r="Q145" s="174">
        <f t="shared" si="31"/>
        <v>346</v>
      </c>
      <c r="R145" s="174">
        <f>VLOOKUP(D145,原始分!$D:$N,9,0)</f>
        <v>52.5</v>
      </c>
      <c r="S145" s="174">
        <f t="shared" si="32"/>
        <v>73</v>
      </c>
      <c r="T145" s="174">
        <f>VLOOKUP(D145,原始分!$D:$N,10,0)</f>
        <v>0</v>
      </c>
      <c r="U145" s="174">
        <f t="shared" si="33"/>
        <v>112</v>
      </c>
      <c r="V145" s="174">
        <f>VLOOKUP(D145,原始分!$D:$N,11,0)</f>
        <v>0</v>
      </c>
      <c r="W145" s="174">
        <f t="shared" si="34"/>
        <v>461</v>
      </c>
      <c r="X145" s="11">
        <f t="shared" si="35"/>
        <v>329.5</v>
      </c>
      <c r="Y145" s="9">
        <f t="shared" si="36"/>
        <v>69</v>
      </c>
      <c r="Z145" s="11">
        <f t="shared" si="37"/>
        <v>477.5</v>
      </c>
      <c r="AA145" s="9">
        <f t="shared" si="38"/>
        <v>143</v>
      </c>
    </row>
    <row r="146" ht="14.25" spans="1:27">
      <c r="A146" s="13">
        <v>84</v>
      </c>
      <c r="B146" s="15">
        <v>2</v>
      </c>
      <c r="C146" s="16">
        <v>21</v>
      </c>
      <c r="D146" s="17" t="s">
        <v>181</v>
      </c>
      <c r="E146" s="17" t="s">
        <v>182</v>
      </c>
      <c r="F146" s="174">
        <f>VLOOKUP(D146,原始分!$D:$N,3,0)</f>
        <v>104.5</v>
      </c>
      <c r="G146" s="174">
        <f t="shared" si="26"/>
        <v>118</v>
      </c>
      <c r="H146" s="174">
        <f>VLOOKUP(D146,原始分!$D:$N,4,0)</f>
        <v>102.5</v>
      </c>
      <c r="I146" s="174">
        <f t="shared" si="27"/>
        <v>317</v>
      </c>
      <c r="J146" s="174">
        <f>VLOOKUP(D146,原始分!$D:$N,5,0)</f>
        <v>96</v>
      </c>
      <c r="K146" s="174">
        <f t="shared" si="28"/>
        <v>322</v>
      </c>
      <c r="L146" s="174">
        <f>VLOOKUP(D146,原始分!$D:$N,6,0)</f>
        <v>53</v>
      </c>
      <c r="M146" s="174">
        <f t="shared" si="29"/>
        <v>300</v>
      </c>
      <c r="N146" s="174">
        <f>VLOOKUP(D146,原始分!$D:$N,7,0)</f>
        <v>0</v>
      </c>
      <c r="O146" s="174">
        <f t="shared" si="30"/>
        <v>1</v>
      </c>
      <c r="P146" s="174">
        <f>VLOOKUP(D146,原始分!$D:$N,8,0)</f>
        <v>0</v>
      </c>
      <c r="Q146" s="174">
        <f t="shared" si="31"/>
        <v>539</v>
      </c>
      <c r="R146" s="174">
        <f>VLOOKUP(D146,原始分!$D:$N,9,0)</f>
        <v>0</v>
      </c>
      <c r="S146" s="174">
        <f t="shared" si="32"/>
        <v>218</v>
      </c>
      <c r="T146" s="174">
        <f>VLOOKUP(D146,原始分!$D:$N,10,0)</f>
        <v>65.25</v>
      </c>
      <c r="U146" s="174">
        <f t="shared" si="33"/>
        <v>8</v>
      </c>
      <c r="V146" s="174">
        <f>VLOOKUP(D146,原始分!$D:$N,11,0)</f>
        <v>56</v>
      </c>
      <c r="W146" s="174">
        <f t="shared" si="34"/>
        <v>132</v>
      </c>
      <c r="X146" s="11">
        <f t="shared" si="35"/>
        <v>303</v>
      </c>
      <c r="Y146" s="9">
        <f t="shared" si="36"/>
        <v>251</v>
      </c>
      <c r="Z146" s="11">
        <f t="shared" si="37"/>
        <v>477.25</v>
      </c>
      <c r="AA146" s="9">
        <f t="shared" si="38"/>
        <v>144</v>
      </c>
    </row>
    <row r="147" ht="14.25" spans="1:27">
      <c r="A147" s="13">
        <v>231</v>
      </c>
      <c r="B147" s="15">
        <v>5</v>
      </c>
      <c r="C147" s="16">
        <v>28</v>
      </c>
      <c r="D147" s="17" t="s">
        <v>475</v>
      </c>
      <c r="E147" s="17" t="s">
        <v>476</v>
      </c>
      <c r="F147" s="174">
        <f>VLOOKUP(D147,原始分!$D:$N,3,0)</f>
        <v>106.5</v>
      </c>
      <c r="G147" s="174">
        <f t="shared" si="26"/>
        <v>76</v>
      </c>
      <c r="H147" s="174">
        <f>VLOOKUP(D147,原始分!$D:$N,4,0)</f>
        <v>119.5</v>
      </c>
      <c r="I147" s="174">
        <f t="shared" si="27"/>
        <v>64</v>
      </c>
      <c r="J147" s="174">
        <f>VLOOKUP(D147,原始分!$D:$N,5,0)</f>
        <v>111.5</v>
      </c>
      <c r="K147" s="174">
        <f t="shared" si="28"/>
        <v>90</v>
      </c>
      <c r="L147" s="174">
        <f>VLOOKUP(D147,原始分!$D:$N,6,0)</f>
        <v>56</v>
      </c>
      <c r="M147" s="174">
        <f t="shared" si="29"/>
        <v>252</v>
      </c>
      <c r="N147" s="174">
        <f>VLOOKUP(D147,原始分!$D:$N,7,0)</f>
        <v>0</v>
      </c>
      <c r="O147" s="174">
        <f t="shared" si="30"/>
        <v>1</v>
      </c>
      <c r="P147" s="174">
        <f>VLOOKUP(D147,原始分!$D:$N,8,0)</f>
        <v>37.5</v>
      </c>
      <c r="Q147" s="174">
        <f t="shared" si="31"/>
        <v>367</v>
      </c>
      <c r="R147" s="174">
        <f>VLOOKUP(D147,原始分!$D:$N,9,0)</f>
        <v>46</v>
      </c>
      <c r="S147" s="174">
        <f t="shared" si="32"/>
        <v>144</v>
      </c>
      <c r="T147" s="174">
        <f>VLOOKUP(D147,原始分!$D:$N,10,0)</f>
        <v>0</v>
      </c>
      <c r="U147" s="174">
        <f t="shared" si="33"/>
        <v>112</v>
      </c>
      <c r="V147" s="174">
        <f>VLOOKUP(D147,原始分!$D:$N,11,0)</f>
        <v>0</v>
      </c>
      <c r="W147" s="174">
        <f t="shared" si="34"/>
        <v>461</v>
      </c>
      <c r="X147" s="11">
        <f t="shared" si="35"/>
        <v>337.5</v>
      </c>
      <c r="Y147" s="9">
        <f t="shared" si="36"/>
        <v>34</v>
      </c>
      <c r="Z147" s="11">
        <f t="shared" si="37"/>
        <v>477</v>
      </c>
      <c r="AA147" s="9">
        <f t="shared" si="38"/>
        <v>145</v>
      </c>
    </row>
    <row r="148" ht="14.25" spans="1:27">
      <c r="A148" s="13">
        <v>412</v>
      </c>
      <c r="B148" s="15">
        <v>9</v>
      </c>
      <c r="C148" s="16">
        <v>28</v>
      </c>
      <c r="D148" s="17" t="s">
        <v>834</v>
      </c>
      <c r="E148" s="17" t="s">
        <v>835</v>
      </c>
      <c r="F148" s="174">
        <f>VLOOKUP(D148,原始分!$D:$N,3,0)</f>
        <v>102.5</v>
      </c>
      <c r="G148" s="174">
        <f t="shared" si="26"/>
        <v>183</v>
      </c>
      <c r="H148" s="174">
        <f>VLOOKUP(D148,原始分!$D:$N,4,0)</f>
        <v>87</v>
      </c>
      <c r="I148" s="174">
        <f t="shared" si="27"/>
        <v>540</v>
      </c>
      <c r="J148" s="174">
        <f>VLOOKUP(D148,原始分!$D:$N,5,0)</f>
        <v>82</v>
      </c>
      <c r="K148" s="174">
        <f t="shared" si="28"/>
        <v>530</v>
      </c>
      <c r="L148" s="174">
        <f>VLOOKUP(D148,原始分!$D:$N,6,0)</f>
        <v>68.5</v>
      </c>
      <c r="M148" s="174">
        <f t="shared" si="29"/>
        <v>76</v>
      </c>
      <c r="N148" s="174">
        <f>VLOOKUP(D148,原始分!$D:$N,7,0)</f>
        <v>0</v>
      </c>
      <c r="O148" s="174">
        <f t="shared" si="30"/>
        <v>1</v>
      </c>
      <c r="P148" s="174">
        <f>VLOOKUP(D148,原始分!$D:$N,8,0)</f>
        <v>63.5</v>
      </c>
      <c r="Q148" s="174">
        <f t="shared" si="31"/>
        <v>12</v>
      </c>
      <c r="R148" s="174">
        <f>VLOOKUP(D148,原始分!$D:$N,9,0)</f>
        <v>0</v>
      </c>
      <c r="S148" s="174">
        <f t="shared" si="32"/>
        <v>218</v>
      </c>
      <c r="T148" s="174">
        <f>VLOOKUP(D148,原始分!$D:$N,10,0)</f>
        <v>0</v>
      </c>
      <c r="U148" s="174">
        <f t="shared" si="33"/>
        <v>112</v>
      </c>
      <c r="V148" s="174">
        <f>VLOOKUP(D148,原始分!$D:$N,11,0)</f>
        <v>73.5</v>
      </c>
      <c r="W148" s="174">
        <f t="shared" si="34"/>
        <v>8</v>
      </c>
      <c r="X148" s="11">
        <f t="shared" si="35"/>
        <v>271.5</v>
      </c>
      <c r="Y148" s="9">
        <f t="shared" si="36"/>
        <v>518</v>
      </c>
      <c r="Z148" s="11">
        <f t="shared" si="37"/>
        <v>477</v>
      </c>
      <c r="AA148" s="9">
        <f t="shared" si="38"/>
        <v>145</v>
      </c>
    </row>
    <row r="149" ht="14.25" spans="1:27">
      <c r="A149" s="13">
        <v>482</v>
      </c>
      <c r="B149" s="15">
        <v>10</v>
      </c>
      <c r="C149" s="16">
        <v>43</v>
      </c>
      <c r="D149" s="17" t="s">
        <v>974</v>
      </c>
      <c r="E149" s="17" t="s">
        <v>975</v>
      </c>
      <c r="F149" s="174">
        <f>VLOOKUP(D149,原始分!$D:$N,3,0)</f>
        <v>96.5</v>
      </c>
      <c r="G149" s="174">
        <f t="shared" si="26"/>
        <v>398</v>
      </c>
      <c r="H149" s="174">
        <f>VLOOKUP(D149,原始分!$D:$N,4,0)</f>
        <v>100.5</v>
      </c>
      <c r="I149" s="174">
        <f t="shared" si="27"/>
        <v>343</v>
      </c>
      <c r="J149" s="174">
        <f>VLOOKUP(D149,原始分!$D:$N,5,0)</f>
        <v>99</v>
      </c>
      <c r="K149" s="174">
        <f t="shared" si="28"/>
        <v>270</v>
      </c>
      <c r="L149" s="174">
        <f>VLOOKUP(D149,原始分!$D:$N,6,0)</f>
        <v>73</v>
      </c>
      <c r="M149" s="174">
        <f t="shared" si="29"/>
        <v>47</v>
      </c>
      <c r="N149" s="174">
        <f>VLOOKUP(D149,原始分!$D:$N,7,0)</f>
        <v>0</v>
      </c>
      <c r="O149" s="174">
        <f t="shared" si="30"/>
        <v>1</v>
      </c>
      <c r="P149" s="174">
        <f>VLOOKUP(D149,原始分!$D:$N,8,0)</f>
        <v>54.5</v>
      </c>
      <c r="Q149" s="174">
        <f t="shared" si="31"/>
        <v>54</v>
      </c>
      <c r="R149" s="174">
        <f>VLOOKUP(D149,原始分!$D:$N,9,0)</f>
        <v>0</v>
      </c>
      <c r="S149" s="174">
        <f t="shared" si="32"/>
        <v>218</v>
      </c>
      <c r="T149" s="174">
        <f>VLOOKUP(D149,原始分!$D:$N,10,0)</f>
        <v>0</v>
      </c>
      <c r="U149" s="174">
        <f t="shared" si="33"/>
        <v>112</v>
      </c>
      <c r="V149" s="174">
        <f>VLOOKUP(D149,原始分!$D:$N,11,0)</f>
        <v>53.5</v>
      </c>
      <c r="W149" s="174">
        <f t="shared" si="34"/>
        <v>171</v>
      </c>
      <c r="X149" s="11">
        <f t="shared" si="35"/>
        <v>296</v>
      </c>
      <c r="Y149" s="9">
        <f t="shared" si="36"/>
        <v>307</v>
      </c>
      <c r="Z149" s="11">
        <f t="shared" si="37"/>
        <v>477</v>
      </c>
      <c r="AA149" s="9">
        <f t="shared" si="38"/>
        <v>145</v>
      </c>
    </row>
    <row r="150" ht="14.25" spans="1:27">
      <c r="A150" s="13">
        <v>600</v>
      </c>
      <c r="B150" s="15">
        <v>12</v>
      </c>
      <c r="C150" s="16">
        <v>50</v>
      </c>
      <c r="D150" s="17" t="s">
        <v>1208</v>
      </c>
      <c r="E150" s="17" t="s">
        <v>1209</v>
      </c>
      <c r="F150" s="174">
        <f>VLOOKUP(D150,原始分!$D:$N,3,0)</f>
        <v>103.5</v>
      </c>
      <c r="G150" s="174">
        <f t="shared" si="26"/>
        <v>146</v>
      </c>
      <c r="H150" s="174">
        <f>VLOOKUP(D150,原始分!$D:$N,4,0)</f>
        <v>115</v>
      </c>
      <c r="I150" s="174">
        <f t="shared" si="27"/>
        <v>116</v>
      </c>
      <c r="J150" s="174">
        <f>VLOOKUP(D150,原始分!$D:$N,5,0)</f>
        <v>87.75</v>
      </c>
      <c r="K150" s="174">
        <f t="shared" si="28"/>
        <v>447</v>
      </c>
      <c r="L150" s="174">
        <f>VLOOKUP(D150,原始分!$D:$N,6,0)</f>
        <v>77</v>
      </c>
      <c r="M150" s="174">
        <f t="shared" si="29"/>
        <v>20</v>
      </c>
      <c r="N150" s="174">
        <f>VLOOKUP(D150,原始分!$D:$N,7,0)</f>
        <v>0</v>
      </c>
      <c r="O150" s="174">
        <f t="shared" si="30"/>
        <v>1</v>
      </c>
      <c r="P150" s="174">
        <f>VLOOKUP(D150,原始分!$D:$N,8,0)</f>
        <v>39</v>
      </c>
      <c r="Q150" s="174">
        <f t="shared" si="31"/>
        <v>346</v>
      </c>
      <c r="R150" s="174">
        <f>VLOOKUP(D150,原始分!$D:$N,9,0)</f>
        <v>0</v>
      </c>
      <c r="S150" s="174">
        <f t="shared" si="32"/>
        <v>218</v>
      </c>
      <c r="T150" s="174">
        <f>VLOOKUP(D150,原始分!$D:$N,10,0)</f>
        <v>0</v>
      </c>
      <c r="U150" s="174">
        <f t="shared" si="33"/>
        <v>112</v>
      </c>
      <c r="V150" s="174">
        <f>VLOOKUP(D150,原始分!$D:$N,11,0)</f>
        <v>54.5</v>
      </c>
      <c r="W150" s="174">
        <f t="shared" si="34"/>
        <v>154</v>
      </c>
      <c r="X150" s="11">
        <f t="shared" si="35"/>
        <v>306.25</v>
      </c>
      <c r="Y150" s="9">
        <f t="shared" si="36"/>
        <v>225</v>
      </c>
      <c r="Z150" s="11">
        <f t="shared" si="37"/>
        <v>476.75</v>
      </c>
      <c r="AA150" s="9">
        <f t="shared" si="38"/>
        <v>148</v>
      </c>
    </row>
    <row r="151" ht="14.25" spans="1:27">
      <c r="A151" s="13">
        <v>290</v>
      </c>
      <c r="B151" s="15">
        <v>6</v>
      </c>
      <c r="C151" s="16">
        <v>42</v>
      </c>
      <c r="D151" s="17" t="s">
        <v>591</v>
      </c>
      <c r="E151" s="17" t="s">
        <v>592</v>
      </c>
      <c r="F151" s="174">
        <f>VLOOKUP(D151,原始分!$D:$N,3,0)</f>
        <v>107.5</v>
      </c>
      <c r="G151" s="174">
        <f t="shared" si="26"/>
        <v>54</v>
      </c>
      <c r="H151" s="174">
        <f>VLOOKUP(D151,原始分!$D:$N,4,0)</f>
        <v>96</v>
      </c>
      <c r="I151" s="174">
        <f t="shared" si="27"/>
        <v>406</v>
      </c>
      <c r="J151" s="174">
        <f>VLOOKUP(D151,原始分!$D:$N,5,0)</f>
        <v>105.5</v>
      </c>
      <c r="K151" s="174">
        <f t="shared" si="28"/>
        <v>162</v>
      </c>
      <c r="L151" s="174">
        <f>VLOOKUP(D151,原始分!$D:$N,6,0)</f>
        <v>64</v>
      </c>
      <c r="M151" s="174">
        <f t="shared" si="29"/>
        <v>130</v>
      </c>
      <c r="N151" s="174">
        <f>VLOOKUP(D151,原始分!$D:$N,7,0)</f>
        <v>0</v>
      </c>
      <c r="O151" s="174">
        <f t="shared" si="30"/>
        <v>1</v>
      </c>
      <c r="P151" s="174">
        <f>VLOOKUP(D151,原始分!$D:$N,8,0)</f>
        <v>0</v>
      </c>
      <c r="Q151" s="174">
        <f t="shared" si="31"/>
        <v>539</v>
      </c>
      <c r="R151" s="174">
        <f>VLOOKUP(D151,原始分!$D:$N,9,0)</f>
        <v>55</v>
      </c>
      <c r="S151" s="174">
        <f t="shared" si="32"/>
        <v>44</v>
      </c>
      <c r="T151" s="174">
        <f>VLOOKUP(D151,原始分!$D:$N,10,0)</f>
        <v>0</v>
      </c>
      <c r="U151" s="174">
        <f t="shared" si="33"/>
        <v>112</v>
      </c>
      <c r="V151" s="174">
        <f>VLOOKUP(D151,原始分!$D:$N,11,0)</f>
        <v>48.5</v>
      </c>
      <c r="W151" s="174">
        <f t="shared" si="34"/>
        <v>267</v>
      </c>
      <c r="X151" s="11">
        <f t="shared" si="35"/>
        <v>309</v>
      </c>
      <c r="Y151" s="9">
        <f t="shared" si="36"/>
        <v>203</v>
      </c>
      <c r="Z151" s="11">
        <f t="shared" si="37"/>
        <v>476.5</v>
      </c>
      <c r="AA151" s="9">
        <f t="shared" si="38"/>
        <v>149</v>
      </c>
    </row>
    <row r="152" ht="14.25" spans="1:27">
      <c r="A152" s="13">
        <v>118</v>
      </c>
      <c r="B152" s="15">
        <v>3</v>
      </c>
      <c r="C152" s="16">
        <v>7</v>
      </c>
      <c r="D152" s="17" t="s">
        <v>249</v>
      </c>
      <c r="E152" s="17" t="s">
        <v>250</v>
      </c>
      <c r="F152" s="174">
        <f>VLOOKUP(D152,原始分!$D:$N,3,0)</f>
        <v>101</v>
      </c>
      <c r="G152" s="174">
        <f t="shared" si="26"/>
        <v>224</v>
      </c>
      <c r="H152" s="174">
        <f>VLOOKUP(D152,原始分!$D:$N,4,0)</f>
        <v>102</v>
      </c>
      <c r="I152" s="174">
        <f t="shared" si="27"/>
        <v>323</v>
      </c>
      <c r="J152" s="174">
        <f>VLOOKUP(D152,原始分!$D:$N,5,0)</f>
        <v>128.25</v>
      </c>
      <c r="K152" s="174">
        <f t="shared" si="28"/>
        <v>3</v>
      </c>
      <c r="L152" s="174">
        <f>VLOOKUP(D152,原始分!$D:$N,6,0)</f>
        <v>44.5</v>
      </c>
      <c r="M152" s="174">
        <f t="shared" si="29"/>
        <v>432</v>
      </c>
      <c r="N152" s="174">
        <f>VLOOKUP(D152,原始分!$D:$N,7,0)</f>
        <v>0</v>
      </c>
      <c r="O152" s="174">
        <f t="shared" si="30"/>
        <v>1</v>
      </c>
      <c r="P152" s="174">
        <f>VLOOKUP(D152,原始分!$D:$N,8,0)</f>
        <v>43.5</v>
      </c>
      <c r="Q152" s="174">
        <f t="shared" si="31"/>
        <v>241</v>
      </c>
      <c r="R152" s="174">
        <f>VLOOKUP(D152,原始分!$D:$N,9,0)</f>
        <v>57</v>
      </c>
      <c r="S152" s="174">
        <f t="shared" si="32"/>
        <v>29</v>
      </c>
      <c r="T152" s="174">
        <f>VLOOKUP(D152,原始分!$D:$N,10,0)</f>
        <v>0</v>
      </c>
      <c r="U152" s="174">
        <f t="shared" si="33"/>
        <v>112</v>
      </c>
      <c r="V152" s="174">
        <f>VLOOKUP(D152,原始分!$D:$N,11,0)</f>
        <v>0</v>
      </c>
      <c r="W152" s="174">
        <f t="shared" si="34"/>
        <v>461</v>
      </c>
      <c r="X152" s="11">
        <f t="shared" si="35"/>
        <v>331.25</v>
      </c>
      <c r="Y152" s="9">
        <f t="shared" si="36"/>
        <v>60</v>
      </c>
      <c r="Z152" s="11">
        <f t="shared" si="37"/>
        <v>476.25</v>
      </c>
      <c r="AA152" s="9">
        <f t="shared" si="38"/>
        <v>150</v>
      </c>
    </row>
    <row r="153" ht="14.25" spans="1:27">
      <c r="A153" s="13">
        <v>68</v>
      </c>
      <c r="B153" s="15">
        <v>2</v>
      </c>
      <c r="C153" s="16">
        <v>5</v>
      </c>
      <c r="D153" s="17" t="s">
        <v>150</v>
      </c>
      <c r="E153" s="17" t="s">
        <v>151</v>
      </c>
      <c r="F153" s="174">
        <f>VLOOKUP(D153,原始分!$D:$N,3,0)</f>
        <v>98</v>
      </c>
      <c r="G153" s="174">
        <f t="shared" si="26"/>
        <v>349</v>
      </c>
      <c r="H153" s="174">
        <f>VLOOKUP(D153,原始分!$D:$N,4,0)</f>
        <v>91.5</v>
      </c>
      <c r="I153" s="174">
        <f t="shared" si="27"/>
        <v>475</v>
      </c>
      <c r="J153" s="174">
        <f>VLOOKUP(D153,原始分!$D:$N,5,0)</f>
        <v>112</v>
      </c>
      <c r="K153" s="174">
        <f t="shared" si="28"/>
        <v>82</v>
      </c>
      <c r="L153" s="174">
        <f>VLOOKUP(D153,原始分!$D:$N,6,0)</f>
        <v>49</v>
      </c>
      <c r="M153" s="174">
        <f t="shared" si="29"/>
        <v>354</v>
      </c>
      <c r="N153" s="174">
        <f>VLOOKUP(D153,原始分!$D:$N,7,0)</f>
        <v>0</v>
      </c>
      <c r="O153" s="174">
        <f t="shared" si="30"/>
        <v>1</v>
      </c>
      <c r="P153" s="174">
        <f>VLOOKUP(D153,原始分!$D:$N,8,0)</f>
        <v>0</v>
      </c>
      <c r="Q153" s="174">
        <f t="shared" si="31"/>
        <v>539</v>
      </c>
      <c r="R153" s="174">
        <f>VLOOKUP(D153,原始分!$D:$N,9,0)</f>
        <v>0</v>
      </c>
      <c r="S153" s="174">
        <f t="shared" si="32"/>
        <v>218</v>
      </c>
      <c r="T153" s="174">
        <f>VLOOKUP(D153,原始分!$D:$N,10,0)</f>
        <v>68.5</v>
      </c>
      <c r="U153" s="174">
        <f t="shared" si="33"/>
        <v>3</v>
      </c>
      <c r="V153" s="174">
        <f>VLOOKUP(D153,原始分!$D:$N,11,0)</f>
        <v>57</v>
      </c>
      <c r="W153" s="174">
        <f t="shared" si="34"/>
        <v>112</v>
      </c>
      <c r="X153" s="11">
        <f t="shared" si="35"/>
        <v>301.5</v>
      </c>
      <c r="Y153" s="9">
        <f t="shared" si="36"/>
        <v>265</v>
      </c>
      <c r="Z153" s="11">
        <f t="shared" si="37"/>
        <v>476</v>
      </c>
      <c r="AA153" s="9">
        <f t="shared" si="38"/>
        <v>151</v>
      </c>
    </row>
    <row r="154" ht="14.25" spans="1:27">
      <c r="A154" s="13">
        <v>90</v>
      </c>
      <c r="B154" s="15">
        <v>2</v>
      </c>
      <c r="C154" s="16">
        <v>27</v>
      </c>
      <c r="D154" s="17" t="s">
        <v>193</v>
      </c>
      <c r="E154" s="17" t="s">
        <v>194</v>
      </c>
      <c r="F154" s="174">
        <f>VLOOKUP(D154,原始分!$D:$N,3,0)</f>
        <v>106</v>
      </c>
      <c r="G154" s="174">
        <f t="shared" si="26"/>
        <v>87</v>
      </c>
      <c r="H154" s="174">
        <f>VLOOKUP(D154,原始分!$D:$N,4,0)</f>
        <v>109</v>
      </c>
      <c r="I154" s="174">
        <f t="shared" si="27"/>
        <v>206</v>
      </c>
      <c r="J154" s="174">
        <f>VLOOKUP(D154,原始分!$D:$N,5,0)</f>
        <v>122</v>
      </c>
      <c r="K154" s="174">
        <f t="shared" si="28"/>
        <v>8</v>
      </c>
      <c r="L154" s="174">
        <f>VLOOKUP(D154,原始分!$D:$N,6,0)</f>
        <v>43</v>
      </c>
      <c r="M154" s="174">
        <f t="shared" si="29"/>
        <v>461</v>
      </c>
      <c r="N154" s="174">
        <f>VLOOKUP(D154,原始分!$D:$N,7,0)</f>
        <v>0</v>
      </c>
      <c r="O154" s="174">
        <f t="shared" si="30"/>
        <v>1</v>
      </c>
      <c r="P154" s="174">
        <f>VLOOKUP(D154,原始分!$D:$N,8,0)</f>
        <v>0</v>
      </c>
      <c r="Q154" s="174">
        <f t="shared" si="31"/>
        <v>539</v>
      </c>
      <c r="R154" s="174">
        <f>VLOOKUP(D154,原始分!$D:$N,9,0)</f>
        <v>0</v>
      </c>
      <c r="S154" s="174">
        <f t="shared" si="32"/>
        <v>218</v>
      </c>
      <c r="T154" s="174">
        <f>VLOOKUP(D154,原始分!$D:$N,10,0)</f>
        <v>57.5</v>
      </c>
      <c r="U154" s="174">
        <f t="shared" si="33"/>
        <v>37</v>
      </c>
      <c r="V154" s="174">
        <f>VLOOKUP(D154,原始分!$D:$N,11,0)</f>
        <v>38.5</v>
      </c>
      <c r="W154" s="174">
        <f t="shared" si="34"/>
        <v>412</v>
      </c>
      <c r="X154" s="11">
        <f t="shared" si="35"/>
        <v>337</v>
      </c>
      <c r="Y154" s="9">
        <f t="shared" si="36"/>
        <v>37</v>
      </c>
      <c r="Z154" s="11">
        <f t="shared" si="37"/>
        <v>476</v>
      </c>
      <c r="AA154" s="9">
        <f t="shared" si="38"/>
        <v>151</v>
      </c>
    </row>
    <row r="155" ht="14.25" spans="1:27">
      <c r="A155" s="13">
        <v>458</v>
      </c>
      <c r="B155" s="15">
        <v>10</v>
      </c>
      <c r="C155" s="16">
        <v>19</v>
      </c>
      <c r="D155" s="17" t="s">
        <v>926</v>
      </c>
      <c r="E155" s="17" t="s">
        <v>927</v>
      </c>
      <c r="F155" s="174">
        <f>VLOOKUP(D155,原始分!$D:$N,3,0)</f>
        <v>107.5</v>
      </c>
      <c r="G155" s="174">
        <f t="shared" si="26"/>
        <v>54</v>
      </c>
      <c r="H155" s="174">
        <f>VLOOKUP(D155,原始分!$D:$N,4,0)</f>
        <v>115.5</v>
      </c>
      <c r="I155" s="174">
        <f t="shared" si="27"/>
        <v>107</v>
      </c>
      <c r="J155" s="174">
        <f>VLOOKUP(D155,原始分!$D:$N,5,0)</f>
        <v>88.5</v>
      </c>
      <c r="K155" s="174">
        <f t="shared" si="28"/>
        <v>435</v>
      </c>
      <c r="L155" s="174">
        <f>VLOOKUP(D155,原始分!$D:$N,6,0)</f>
        <v>62.5</v>
      </c>
      <c r="M155" s="174">
        <f t="shared" si="29"/>
        <v>152</v>
      </c>
      <c r="N155" s="174">
        <f>VLOOKUP(D155,原始分!$D:$N,7,0)</f>
        <v>0</v>
      </c>
      <c r="O155" s="174">
        <f t="shared" si="30"/>
        <v>1</v>
      </c>
      <c r="P155" s="174">
        <f>VLOOKUP(D155,原始分!$D:$N,8,0)</f>
        <v>41.5</v>
      </c>
      <c r="Q155" s="174">
        <f t="shared" si="31"/>
        <v>278</v>
      </c>
      <c r="R155" s="174">
        <f>VLOOKUP(D155,原始分!$D:$N,9,0)</f>
        <v>0</v>
      </c>
      <c r="S155" s="174">
        <f t="shared" si="32"/>
        <v>218</v>
      </c>
      <c r="T155" s="174">
        <f>VLOOKUP(D155,原始分!$D:$N,10,0)</f>
        <v>0</v>
      </c>
      <c r="U155" s="174">
        <f t="shared" si="33"/>
        <v>112</v>
      </c>
      <c r="V155" s="174">
        <f>VLOOKUP(D155,原始分!$D:$N,11,0)</f>
        <v>60.5</v>
      </c>
      <c r="W155" s="174">
        <f t="shared" si="34"/>
        <v>74</v>
      </c>
      <c r="X155" s="11">
        <f t="shared" si="35"/>
        <v>311.5</v>
      </c>
      <c r="Y155" s="9">
        <f t="shared" si="36"/>
        <v>173</v>
      </c>
      <c r="Z155" s="11">
        <f t="shared" si="37"/>
        <v>476</v>
      </c>
      <c r="AA155" s="9">
        <f t="shared" si="38"/>
        <v>151</v>
      </c>
    </row>
    <row r="156" ht="14.25" spans="1:27">
      <c r="A156" s="13">
        <v>508</v>
      </c>
      <c r="B156" s="15">
        <v>11</v>
      </c>
      <c r="C156" s="16">
        <v>12</v>
      </c>
      <c r="D156" s="17" t="s">
        <v>1026</v>
      </c>
      <c r="E156" s="17" t="s">
        <v>1027</v>
      </c>
      <c r="F156" s="174">
        <f>VLOOKUP(D156,原始分!$D:$N,3,0)</f>
        <v>94</v>
      </c>
      <c r="G156" s="174">
        <f t="shared" si="26"/>
        <v>478</v>
      </c>
      <c r="H156" s="174">
        <f>VLOOKUP(D156,原始分!$D:$N,4,0)</f>
        <v>124</v>
      </c>
      <c r="I156" s="174">
        <f t="shared" si="27"/>
        <v>36</v>
      </c>
      <c r="J156" s="174">
        <f>VLOOKUP(D156,原始分!$D:$N,5,0)</f>
        <v>103</v>
      </c>
      <c r="K156" s="174">
        <f t="shared" si="28"/>
        <v>199</v>
      </c>
      <c r="L156" s="174">
        <f>VLOOKUP(D156,原始分!$D:$N,6,0)</f>
        <v>62.5</v>
      </c>
      <c r="M156" s="174">
        <f t="shared" si="29"/>
        <v>152</v>
      </c>
      <c r="N156" s="174">
        <f>VLOOKUP(D156,原始分!$D:$N,7,0)</f>
        <v>0</v>
      </c>
      <c r="O156" s="174">
        <f t="shared" si="30"/>
        <v>1</v>
      </c>
      <c r="P156" s="174">
        <f>VLOOKUP(D156,原始分!$D:$N,8,0)</f>
        <v>47</v>
      </c>
      <c r="Q156" s="174">
        <f t="shared" si="31"/>
        <v>172</v>
      </c>
      <c r="R156" s="174">
        <f>VLOOKUP(D156,原始分!$D:$N,9,0)</f>
        <v>0</v>
      </c>
      <c r="S156" s="174">
        <f t="shared" si="32"/>
        <v>218</v>
      </c>
      <c r="T156" s="174">
        <f>VLOOKUP(D156,原始分!$D:$N,10,0)</f>
        <v>0</v>
      </c>
      <c r="U156" s="174">
        <f t="shared" si="33"/>
        <v>112</v>
      </c>
      <c r="V156" s="174">
        <f>VLOOKUP(D156,原始分!$D:$N,11,0)</f>
        <v>45.5</v>
      </c>
      <c r="W156" s="174">
        <f t="shared" si="34"/>
        <v>326</v>
      </c>
      <c r="X156" s="11">
        <f t="shared" si="35"/>
        <v>321</v>
      </c>
      <c r="Y156" s="9">
        <f t="shared" si="36"/>
        <v>108</v>
      </c>
      <c r="Z156" s="11">
        <f t="shared" si="37"/>
        <v>476</v>
      </c>
      <c r="AA156" s="9">
        <f t="shared" si="38"/>
        <v>151</v>
      </c>
    </row>
    <row r="157" ht="14.25" spans="1:27">
      <c r="A157" s="13">
        <v>95</v>
      </c>
      <c r="B157" s="15">
        <v>2</v>
      </c>
      <c r="C157" s="16">
        <v>32</v>
      </c>
      <c r="D157" s="17" t="s">
        <v>203</v>
      </c>
      <c r="E157" s="17" t="s">
        <v>204</v>
      </c>
      <c r="F157" s="174">
        <f>VLOOKUP(D157,原始分!$D:$N,3,0)</f>
        <v>96</v>
      </c>
      <c r="G157" s="174">
        <f t="shared" si="26"/>
        <v>407</v>
      </c>
      <c r="H157" s="174">
        <f>VLOOKUP(D157,原始分!$D:$N,4,0)</f>
        <v>102.5</v>
      </c>
      <c r="I157" s="174">
        <f t="shared" si="27"/>
        <v>317</v>
      </c>
      <c r="J157" s="174">
        <f>VLOOKUP(D157,原始分!$D:$N,5,0)</f>
        <v>94.75</v>
      </c>
      <c r="K157" s="174">
        <f t="shared" si="28"/>
        <v>345</v>
      </c>
      <c r="L157" s="174">
        <f>VLOOKUP(D157,原始分!$D:$N,6,0)</f>
        <v>64.5</v>
      </c>
      <c r="M157" s="174">
        <f t="shared" si="29"/>
        <v>120</v>
      </c>
      <c r="N157" s="174">
        <f>VLOOKUP(D157,原始分!$D:$N,7,0)</f>
        <v>0</v>
      </c>
      <c r="O157" s="174">
        <f t="shared" si="30"/>
        <v>1</v>
      </c>
      <c r="P157" s="174">
        <f>VLOOKUP(D157,原始分!$D:$N,8,0)</f>
        <v>0</v>
      </c>
      <c r="Q157" s="174">
        <f t="shared" si="31"/>
        <v>539</v>
      </c>
      <c r="R157" s="174">
        <f>VLOOKUP(D157,原始分!$D:$N,9,0)</f>
        <v>0</v>
      </c>
      <c r="S157" s="174">
        <f t="shared" si="32"/>
        <v>218</v>
      </c>
      <c r="T157" s="174">
        <f>VLOOKUP(D157,原始分!$D:$N,10,0)</f>
        <v>55</v>
      </c>
      <c r="U157" s="174">
        <f t="shared" si="33"/>
        <v>54</v>
      </c>
      <c r="V157" s="174">
        <f>VLOOKUP(D157,原始分!$D:$N,11,0)</f>
        <v>63</v>
      </c>
      <c r="W157" s="174">
        <f t="shared" si="34"/>
        <v>53</v>
      </c>
      <c r="X157" s="11">
        <f t="shared" si="35"/>
        <v>293.25</v>
      </c>
      <c r="Y157" s="9">
        <f t="shared" si="36"/>
        <v>334</v>
      </c>
      <c r="Z157" s="11">
        <f t="shared" si="37"/>
        <v>475.75</v>
      </c>
      <c r="AA157" s="9">
        <f t="shared" si="38"/>
        <v>155</v>
      </c>
    </row>
    <row r="158" ht="14.25" spans="1:27">
      <c r="A158" s="13">
        <v>478</v>
      </c>
      <c r="B158" s="15">
        <v>10</v>
      </c>
      <c r="C158" s="16">
        <v>39</v>
      </c>
      <c r="D158" s="17" t="s">
        <v>966</v>
      </c>
      <c r="E158" s="17" t="s">
        <v>967</v>
      </c>
      <c r="F158" s="174">
        <f>VLOOKUP(D158,原始分!$D:$N,3,0)</f>
        <v>95</v>
      </c>
      <c r="G158" s="174">
        <f t="shared" si="26"/>
        <v>441</v>
      </c>
      <c r="H158" s="174">
        <f>VLOOKUP(D158,原始分!$D:$N,4,0)</f>
        <v>112.5</v>
      </c>
      <c r="I158" s="174">
        <f t="shared" si="27"/>
        <v>151</v>
      </c>
      <c r="J158" s="174">
        <f>VLOOKUP(D158,原始分!$D:$N,5,0)</f>
        <v>108.75</v>
      </c>
      <c r="K158" s="174">
        <f t="shared" si="28"/>
        <v>119</v>
      </c>
      <c r="L158" s="174">
        <f>VLOOKUP(D158,原始分!$D:$N,6,0)</f>
        <v>64</v>
      </c>
      <c r="M158" s="174">
        <f t="shared" si="29"/>
        <v>130</v>
      </c>
      <c r="N158" s="174">
        <f>VLOOKUP(D158,原始分!$D:$N,7,0)</f>
        <v>0</v>
      </c>
      <c r="O158" s="174">
        <f t="shared" si="30"/>
        <v>1</v>
      </c>
      <c r="P158" s="174">
        <f>VLOOKUP(D158,原始分!$D:$N,8,0)</f>
        <v>44.5</v>
      </c>
      <c r="Q158" s="174">
        <f t="shared" si="31"/>
        <v>218</v>
      </c>
      <c r="R158" s="174">
        <f>VLOOKUP(D158,原始分!$D:$N,9,0)</f>
        <v>0</v>
      </c>
      <c r="S158" s="174">
        <f t="shared" si="32"/>
        <v>218</v>
      </c>
      <c r="T158" s="174">
        <f>VLOOKUP(D158,原始分!$D:$N,10,0)</f>
        <v>0</v>
      </c>
      <c r="U158" s="174">
        <f t="shared" si="33"/>
        <v>112</v>
      </c>
      <c r="V158" s="174">
        <f>VLOOKUP(D158,原始分!$D:$N,11,0)</f>
        <v>51</v>
      </c>
      <c r="W158" s="174">
        <f t="shared" si="34"/>
        <v>227</v>
      </c>
      <c r="X158" s="11">
        <f t="shared" si="35"/>
        <v>316.25</v>
      </c>
      <c r="Y158" s="9">
        <f t="shared" si="36"/>
        <v>143</v>
      </c>
      <c r="Z158" s="11">
        <f t="shared" si="37"/>
        <v>475.75</v>
      </c>
      <c r="AA158" s="9">
        <f t="shared" si="38"/>
        <v>155</v>
      </c>
    </row>
    <row r="159" ht="14.25" spans="1:27">
      <c r="A159" s="13">
        <v>135</v>
      </c>
      <c r="B159" s="15">
        <v>3</v>
      </c>
      <c r="C159" s="16">
        <v>24</v>
      </c>
      <c r="D159" s="17" t="s">
        <v>283</v>
      </c>
      <c r="E159" s="17" t="s">
        <v>284</v>
      </c>
      <c r="F159" s="174">
        <f>VLOOKUP(D159,原始分!$D:$N,3,0)</f>
        <v>95</v>
      </c>
      <c r="G159" s="174">
        <f t="shared" si="26"/>
        <v>441</v>
      </c>
      <c r="H159" s="174">
        <f>VLOOKUP(D159,原始分!$D:$N,4,0)</f>
        <v>119.5</v>
      </c>
      <c r="I159" s="174">
        <f t="shared" si="27"/>
        <v>64</v>
      </c>
      <c r="J159" s="174">
        <f>VLOOKUP(D159,原始分!$D:$N,5,0)</f>
        <v>105.5</v>
      </c>
      <c r="K159" s="174">
        <f t="shared" si="28"/>
        <v>162</v>
      </c>
      <c r="L159" s="174">
        <f>VLOOKUP(D159,原始分!$D:$N,6,0)</f>
        <v>58.5</v>
      </c>
      <c r="M159" s="174">
        <f t="shared" si="29"/>
        <v>209</v>
      </c>
      <c r="N159" s="174">
        <f>VLOOKUP(D159,原始分!$D:$N,7,0)</f>
        <v>0</v>
      </c>
      <c r="O159" s="174">
        <f t="shared" si="30"/>
        <v>1</v>
      </c>
      <c r="P159" s="174">
        <f>VLOOKUP(D159,原始分!$D:$N,8,0)</f>
        <v>44.5</v>
      </c>
      <c r="Q159" s="174">
        <f t="shared" si="31"/>
        <v>218</v>
      </c>
      <c r="R159" s="174">
        <f>VLOOKUP(D159,原始分!$D:$N,9,0)</f>
        <v>52.25</v>
      </c>
      <c r="S159" s="174">
        <f t="shared" si="32"/>
        <v>74</v>
      </c>
      <c r="T159" s="174">
        <f>VLOOKUP(D159,原始分!$D:$N,10,0)</f>
        <v>0</v>
      </c>
      <c r="U159" s="174">
        <f t="shared" si="33"/>
        <v>112</v>
      </c>
      <c r="V159" s="174">
        <f>VLOOKUP(D159,原始分!$D:$N,11,0)</f>
        <v>0</v>
      </c>
      <c r="W159" s="174">
        <f t="shared" si="34"/>
        <v>461</v>
      </c>
      <c r="X159" s="11">
        <f t="shared" si="35"/>
        <v>320</v>
      </c>
      <c r="Y159" s="9">
        <f t="shared" si="36"/>
        <v>118</v>
      </c>
      <c r="Z159" s="11">
        <f t="shared" si="37"/>
        <v>475.25</v>
      </c>
      <c r="AA159" s="9">
        <f t="shared" si="38"/>
        <v>157</v>
      </c>
    </row>
    <row r="160" ht="14.25" spans="1:27">
      <c r="A160" s="13">
        <v>70</v>
      </c>
      <c r="B160" s="15">
        <v>2</v>
      </c>
      <c r="C160" s="16">
        <v>7</v>
      </c>
      <c r="D160" s="17" t="s">
        <v>154</v>
      </c>
      <c r="E160" s="17" t="s">
        <v>155</v>
      </c>
      <c r="F160" s="174">
        <f>VLOOKUP(D160,原始分!$D:$N,3,0)</f>
        <v>94.5</v>
      </c>
      <c r="G160" s="174">
        <f t="shared" si="26"/>
        <v>461</v>
      </c>
      <c r="H160" s="174">
        <f>VLOOKUP(D160,原始分!$D:$N,4,0)</f>
        <v>111</v>
      </c>
      <c r="I160" s="174">
        <f t="shared" si="27"/>
        <v>176</v>
      </c>
      <c r="J160" s="174">
        <f>VLOOKUP(D160,原始分!$D:$N,5,0)</f>
        <v>106.5</v>
      </c>
      <c r="K160" s="174">
        <f t="shared" si="28"/>
        <v>145</v>
      </c>
      <c r="L160" s="174">
        <f>VLOOKUP(D160,原始分!$D:$N,6,0)</f>
        <v>50.5</v>
      </c>
      <c r="M160" s="174">
        <f t="shared" si="29"/>
        <v>328</v>
      </c>
      <c r="N160" s="174">
        <f>VLOOKUP(D160,原始分!$D:$N,7,0)</f>
        <v>0</v>
      </c>
      <c r="O160" s="174">
        <f t="shared" si="30"/>
        <v>1</v>
      </c>
      <c r="P160" s="174">
        <f>VLOOKUP(D160,原始分!$D:$N,8,0)</f>
        <v>0</v>
      </c>
      <c r="Q160" s="174">
        <f t="shared" si="31"/>
        <v>539</v>
      </c>
      <c r="R160" s="174">
        <f>VLOOKUP(D160,原始分!$D:$N,9,0)</f>
        <v>0</v>
      </c>
      <c r="S160" s="174">
        <f t="shared" si="32"/>
        <v>218</v>
      </c>
      <c r="T160" s="174">
        <f>VLOOKUP(D160,原始分!$D:$N,10,0)</f>
        <v>62</v>
      </c>
      <c r="U160" s="174">
        <f t="shared" si="33"/>
        <v>19</v>
      </c>
      <c r="V160" s="174">
        <f>VLOOKUP(D160,原始分!$D:$N,11,0)</f>
        <v>50.5</v>
      </c>
      <c r="W160" s="174">
        <f t="shared" si="34"/>
        <v>239</v>
      </c>
      <c r="X160" s="11">
        <f t="shared" si="35"/>
        <v>312</v>
      </c>
      <c r="Y160" s="9">
        <f t="shared" si="36"/>
        <v>171</v>
      </c>
      <c r="Z160" s="11">
        <f t="shared" si="37"/>
        <v>475</v>
      </c>
      <c r="AA160" s="9">
        <f t="shared" si="38"/>
        <v>158</v>
      </c>
    </row>
    <row r="161" ht="14.25" spans="1:27">
      <c r="A161" s="13">
        <v>87</v>
      </c>
      <c r="B161" s="15">
        <v>2</v>
      </c>
      <c r="C161" s="16">
        <v>24</v>
      </c>
      <c r="D161" s="17" t="s">
        <v>187</v>
      </c>
      <c r="E161" s="17" t="s">
        <v>188</v>
      </c>
      <c r="F161" s="174">
        <f>VLOOKUP(D161,原始分!$D:$N,3,0)</f>
        <v>107</v>
      </c>
      <c r="G161" s="174">
        <f t="shared" si="26"/>
        <v>64</v>
      </c>
      <c r="H161" s="174">
        <f>VLOOKUP(D161,原始分!$D:$N,4,0)</f>
        <v>92</v>
      </c>
      <c r="I161" s="174">
        <f t="shared" si="27"/>
        <v>469</v>
      </c>
      <c r="J161" s="174">
        <f>VLOOKUP(D161,原始分!$D:$N,5,0)</f>
        <v>97</v>
      </c>
      <c r="K161" s="174">
        <f t="shared" si="28"/>
        <v>305</v>
      </c>
      <c r="L161" s="174">
        <f>VLOOKUP(D161,原始分!$D:$N,6,0)</f>
        <v>60.5</v>
      </c>
      <c r="M161" s="174">
        <f t="shared" si="29"/>
        <v>180</v>
      </c>
      <c r="N161" s="174">
        <f>VLOOKUP(D161,原始分!$D:$N,7,0)</f>
        <v>0</v>
      </c>
      <c r="O161" s="174">
        <f t="shared" si="30"/>
        <v>1</v>
      </c>
      <c r="P161" s="174">
        <f>VLOOKUP(D161,原始分!$D:$N,8,0)</f>
        <v>0</v>
      </c>
      <c r="Q161" s="174">
        <f t="shared" si="31"/>
        <v>539</v>
      </c>
      <c r="R161" s="174">
        <f>VLOOKUP(D161,原始分!$D:$N,9,0)</f>
        <v>0</v>
      </c>
      <c r="S161" s="174">
        <f t="shared" si="32"/>
        <v>218</v>
      </c>
      <c r="T161" s="174">
        <f>VLOOKUP(D161,原始分!$D:$N,10,0)</f>
        <v>68.5</v>
      </c>
      <c r="U161" s="174">
        <f t="shared" si="33"/>
        <v>3</v>
      </c>
      <c r="V161" s="174">
        <f>VLOOKUP(D161,原始分!$D:$N,11,0)</f>
        <v>50</v>
      </c>
      <c r="W161" s="174">
        <f t="shared" si="34"/>
        <v>247</v>
      </c>
      <c r="X161" s="11">
        <f t="shared" si="35"/>
        <v>296</v>
      </c>
      <c r="Y161" s="9">
        <f t="shared" si="36"/>
        <v>307</v>
      </c>
      <c r="Z161" s="11">
        <f t="shared" si="37"/>
        <v>475</v>
      </c>
      <c r="AA161" s="9">
        <f t="shared" si="38"/>
        <v>158</v>
      </c>
    </row>
    <row r="162" ht="14.25" spans="1:27">
      <c r="A162" s="13">
        <v>86</v>
      </c>
      <c r="B162" s="15">
        <v>2</v>
      </c>
      <c r="C162" s="16">
        <v>23</v>
      </c>
      <c r="D162" s="17" t="s">
        <v>185</v>
      </c>
      <c r="E162" s="17" t="s">
        <v>186</v>
      </c>
      <c r="F162" s="174">
        <f>VLOOKUP(D162,原始分!$D:$N,3,0)</f>
        <v>100.5</v>
      </c>
      <c r="G162" s="174">
        <f t="shared" si="26"/>
        <v>252</v>
      </c>
      <c r="H162" s="174">
        <f>VLOOKUP(D162,原始分!$D:$N,4,0)</f>
        <v>95.5</v>
      </c>
      <c r="I162" s="174">
        <f t="shared" si="27"/>
        <v>415</v>
      </c>
      <c r="J162" s="174">
        <f>VLOOKUP(D162,原始分!$D:$N,5,0)</f>
        <v>121</v>
      </c>
      <c r="K162" s="174">
        <f t="shared" si="28"/>
        <v>18</v>
      </c>
      <c r="L162" s="174">
        <f>VLOOKUP(D162,原始分!$D:$N,6,0)</f>
        <v>47.5</v>
      </c>
      <c r="M162" s="174">
        <f t="shared" si="29"/>
        <v>382</v>
      </c>
      <c r="N162" s="174">
        <f>VLOOKUP(D162,原始分!$D:$N,7,0)</f>
        <v>0</v>
      </c>
      <c r="O162" s="174">
        <f t="shared" si="30"/>
        <v>1</v>
      </c>
      <c r="P162" s="174">
        <f>VLOOKUP(D162,原始分!$D:$N,8,0)</f>
        <v>0</v>
      </c>
      <c r="Q162" s="174">
        <f t="shared" si="31"/>
        <v>539</v>
      </c>
      <c r="R162" s="174">
        <f>VLOOKUP(D162,原始分!$D:$N,9,0)</f>
        <v>0</v>
      </c>
      <c r="S162" s="174">
        <f t="shared" si="32"/>
        <v>218</v>
      </c>
      <c r="T162" s="174">
        <f>VLOOKUP(D162,原始分!$D:$N,10,0)</f>
        <v>64</v>
      </c>
      <c r="U162" s="174">
        <f t="shared" si="33"/>
        <v>14</v>
      </c>
      <c r="V162" s="174">
        <f>VLOOKUP(D162,原始分!$D:$N,11,0)</f>
        <v>46</v>
      </c>
      <c r="W162" s="174">
        <f t="shared" si="34"/>
        <v>316</v>
      </c>
      <c r="X162" s="11">
        <f t="shared" si="35"/>
        <v>317</v>
      </c>
      <c r="Y162" s="9">
        <f t="shared" si="36"/>
        <v>138</v>
      </c>
      <c r="Z162" s="11">
        <f t="shared" si="37"/>
        <v>474.5</v>
      </c>
      <c r="AA162" s="9">
        <f t="shared" si="38"/>
        <v>160</v>
      </c>
    </row>
    <row r="163" ht="14.25" spans="1:27">
      <c r="A163" s="13">
        <v>126</v>
      </c>
      <c r="B163" s="15">
        <v>3</v>
      </c>
      <c r="C163" s="16">
        <v>15</v>
      </c>
      <c r="D163" s="17" t="s">
        <v>265</v>
      </c>
      <c r="E163" s="17" t="s">
        <v>266</v>
      </c>
      <c r="F163" s="174">
        <f>VLOOKUP(D163,原始分!$D:$N,3,0)</f>
        <v>91.5</v>
      </c>
      <c r="G163" s="174">
        <f t="shared" si="26"/>
        <v>538</v>
      </c>
      <c r="H163" s="174">
        <f>VLOOKUP(D163,原始分!$D:$N,4,0)</f>
        <v>124</v>
      </c>
      <c r="I163" s="174">
        <f t="shared" si="27"/>
        <v>36</v>
      </c>
      <c r="J163" s="174">
        <f>VLOOKUP(D163,原始分!$D:$N,5,0)</f>
        <v>114.5</v>
      </c>
      <c r="K163" s="174">
        <f t="shared" si="28"/>
        <v>61</v>
      </c>
      <c r="L163" s="174">
        <f>VLOOKUP(D163,原始分!$D:$N,6,0)</f>
        <v>70.5</v>
      </c>
      <c r="M163" s="174">
        <f t="shared" si="29"/>
        <v>64</v>
      </c>
      <c r="N163" s="174">
        <f>VLOOKUP(D163,原始分!$D:$N,7,0)</f>
        <v>0</v>
      </c>
      <c r="O163" s="174">
        <f t="shared" si="30"/>
        <v>1</v>
      </c>
      <c r="P163" s="174">
        <f>VLOOKUP(D163,原始分!$D:$N,8,0)</f>
        <v>20.5</v>
      </c>
      <c r="Q163" s="174">
        <f t="shared" si="31"/>
        <v>533</v>
      </c>
      <c r="R163" s="174">
        <f>VLOOKUP(D163,原始分!$D:$N,9,0)</f>
        <v>53</v>
      </c>
      <c r="S163" s="174">
        <f t="shared" si="32"/>
        <v>66</v>
      </c>
      <c r="T163" s="174">
        <f>VLOOKUP(D163,原始分!$D:$N,10,0)</f>
        <v>0</v>
      </c>
      <c r="U163" s="174">
        <f t="shared" si="33"/>
        <v>112</v>
      </c>
      <c r="V163" s="174">
        <f>VLOOKUP(D163,原始分!$D:$N,11,0)</f>
        <v>0</v>
      </c>
      <c r="W163" s="174">
        <f t="shared" si="34"/>
        <v>461</v>
      </c>
      <c r="X163" s="11">
        <f t="shared" si="35"/>
        <v>330</v>
      </c>
      <c r="Y163" s="9">
        <f t="shared" si="36"/>
        <v>66</v>
      </c>
      <c r="Z163" s="11">
        <f t="shared" si="37"/>
        <v>474</v>
      </c>
      <c r="AA163" s="9">
        <f t="shared" si="38"/>
        <v>161</v>
      </c>
    </row>
    <row r="164" ht="14.25" spans="1:27">
      <c r="A164" s="13">
        <v>225</v>
      </c>
      <c r="B164" s="15">
        <v>5</v>
      </c>
      <c r="C164" s="16">
        <v>22</v>
      </c>
      <c r="D164" s="17" t="s">
        <v>463</v>
      </c>
      <c r="E164" s="17" t="s">
        <v>464</v>
      </c>
      <c r="F164" s="174">
        <f>VLOOKUP(D164,原始分!$D:$N,3,0)</f>
        <v>94.5</v>
      </c>
      <c r="G164" s="174">
        <f t="shared" si="26"/>
        <v>461</v>
      </c>
      <c r="H164" s="174">
        <f>VLOOKUP(D164,原始分!$D:$N,4,0)</f>
        <v>126.5</v>
      </c>
      <c r="I164" s="174">
        <f t="shared" si="27"/>
        <v>24</v>
      </c>
      <c r="J164" s="174">
        <f>VLOOKUP(D164,原始分!$D:$N,5,0)</f>
        <v>98.5</v>
      </c>
      <c r="K164" s="174">
        <f t="shared" si="28"/>
        <v>279</v>
      </c>
      <c r="L164" s="174">
        <f>VLOOKUP(D164,原始分!$D:$N,6,0)</f>
        <v>58</v>
      </c>
      <c r="M164" s="174">
        <f t="shared" si="29"/>
        <v>220</v>
      </c>
      <c r="N164" s="174">
        <f>VLOOKUP(D164,原始分!$D:$N,7,0)</f>
        <v>0</v>
      </c>
      <c r="O164" s="174">
        <f t="shared" si="30"/>
        <v>1</v>
      </c>
      <c r="P164" s="174">
        <f>VLOOKUP(D164,原始分!$D:$N,8,0)</f>
        <v>39.5</v>
      </c>
      <c r="Q164" s="174">
        <f t="shared" si="31"/>
        <v>333</v>
      </c>
      <c r="R164" s="174">
        <f>VLOOKUP(D164,原始分!$D:$N,9,0)</f>
        <v>57</v>
      </c>
      <c r="S164" s="174">
        <f t="shared" si="32"/>
        <v>29</v>
      </c>
      <c r="T164" s="174">
        <f>VLOOKUP(D164,原始分!$D:$N,10,0)</f>
        <v>0</v>
      </c>
      <c r="U164" s="174">
        <f t="shared" si="33"/>
        <v>112</v>
      </c>
      <c r="V164" s="174">
        <f>VLOOKUP(D164,原始分!$D:$N,11,0)</f>
        <v>0</v>
      </c>
      <c r="W164" s="174">
        <f t="shared" si="34"/>
        <v>461</v>
      </c>
      <c r="X164" s="11">
        <f t="shared" si="35"/>
        <v>319.5</v>
      </c>
      <c r="Y164" s="9">
        <f t="shared" si="36"/>
        <v>121</v>
      </c>
      <c r="Z164" s="11">
        <f t="shared" si="37"/>
        <v>474</v>
      </c>
      <c r="AA164" s="9">
        <f t="shared" si="38"/>
        <v>161</v>
      </c>
    </row>
    <row r="165" ht="14.25" spans="1:27">
      <c r="A165" s="13">
        <v>459</v>
      </c>
      <c r="B165" s="15">
        <v>10</v>
      </c>
      <c r="C165" s="16">
        <v>20</v>
      </c>
      <c r="D165" s="17" t="s">
        <v>928</v>
      </c>
      <c r="E165" s="17" t="s">
        <v>929</v>
      </c>
      <c r="F165" s="174">
        <f>VLOOKUP(D165,原始分!$D:$N,3,0)</f>
        <v>108</v>
      </c>
      <c r="G165" s="174">
        <f t="shared" si="26"/>
        <v>44</v>
      </c>
      <c r="H165" s="174">
        <f>VLOOKUP(D165,原始分!$D:$N,4,0)</f>
        <v>103.5</v>
      </c>
      <c r="I165" s="174">
        <f t="shared" si="27"/>
        <v>302</v>
      </c>
      <c r="J165" s="174">
        <f>VLOOKUP(D165,原始分!$D:$N,5,0)</f>
        <v>100</v>
      </c>
      <c r="K165" s="174">
        <f t="shared" si="28"/>
        <v>243</v>
      </c>
      <c r="L165" s="174">
        <f>VLOOKUP(D165,原始分!$D:$N,6,0)</f>
        <v>58</v>
      </c>
      <c r="M165" s="174">
        <f t="shared" si="29"/>
        <v>220</v>
      </c>
      <c r="N165" s="174">
        <f>VLOOKUP(D165,原始分!$D:$N,7,0)</f>
        <v>0</v>
      </c>
      <c r="O165" s="174">
        <f t="shared" si="30"/>
        <v>1</v>
      </c>
      <c r="P165" s="174">
        <f>VLOOKUP(D165,原始分!$D:$N,8,0)</f>
        <v>53</v>
      </c>
      <c r="Q165" s="174">
        <f t="shared" si="31"/>
        <v>69</v>
      </c>
      <c r="R165" s="174">
        <f>VLOOKUP(D165,原始分!$D:$N,9,0)</f>
        <v>0</v>
      </c>
      <c r="S165" s="174">
        <f t="shared" si="32"/>
        <v>218</v>
      </c>
      <c r="T165" s="174">
        <f>VLOOKUP(D165,原始分!$D:$N,10,0)</f>
        <v>0</v>
      </c>
      <c r="U165" s="174">
        <f t="shared" si="33"/>
        <v>112</v>
      </c>
      <c r="V165" s="174">
        <f>VLOOKUP(D165,原始分!$D:$N,11,0)</f>
        <v>51.5</v>
      </c>
      <c r="W165" s="174">
        <f t="shared" si="34"/>
        <v>213</v>
      </c>
      <c r="X165" s="11">
        <f t="shared" si="35"/>
        <v>311.5</v>
      </c>
      <c r="Y165" s="9">
        <f t="shared" si="36"/>
        <v>173</v>
      </c>
      <c r="Z165" s="11">
        <f t="shared" si="37"/>
        <v>474</v>
      </c>
      <c r="AA165" s="9">
        <f t="shared" si="38"/>
        <v>161</v>
      </c>
    </row>
    <row r="166" ht="14.25" spans="1:27">
      <c r="A166" s="13">
        <v>366</v>
      </c>
      <c r="B166" s="15">
        <v>8</v>
      </c>
      <c r="C166" s="16">
        <v>40</v>
      </c>
      <c r="D166" s="17" t="s">
        <v>742</v>
      </c>
      <c r="E166" s="17" t="s">
        <v>743</v>
      </c>
      <c r="F166" s="174">
        <f>VLOOKUP(D166,原始分!$D:$N,3,0)</f>
        <v>104.25</v>
      </c>
      <c r="G166" s="174">
        <f t="shared" si="26"/>
        <v>126</v>
      </c>
      <c r="H166" s="174">
        <f>VLOOKUP(D166,原始分!$D:$N,4,0)</f>
        <v>121</v>
      </c>
      <c r="I166" s="174">
        <f t="shared" si="27"/>
        <v>52</v>
      </c>
      <c r="J166" s="174">
        <f>VLOOKUP(D166,原始分!$D:$N,5,0)</f>
        <v>95.75</v>
      </c>
      <c r="K166" s="174">
        <f t="shared" si="28"/>
        <v>328</v>
      </c>
      <c r="L166" s="174">
        <f>VLOOKUP(D166,原始分!$D:$N,6,0)</f>
        <v>61.5</v>
      </c>
      <c r="M166" s="174">
        <f t="shared" si="29"/>
        <v>164</v>
      </c>
      <c r="N166" s="174">
        <f>VLOOKUP(D166,原始分!$D:$N,7,0)</f>
        <v>0</v>
      </c>
      <c r="O166" s="174">
        <f t="shared" si="30"/>
        <v>1</v>
      </c>
      <c r="P166" s="174">
        <f>VLOOKUP(D166,原始分!$D:$N,8,0)</f>
        <v>51.5</v>
      </c>
      <c r="Q166" s="174">
        <f t="shared" si="31"/>
        <v>90</v>
      </c>
      <c r="R166" s="174">
        <f>VLOOKUP(D166,原始分!$D:$N,9,0)</f>
        <v>0</v>
      </c>
      <c r="S166" s="174">
        <f t="shared" si="32"/>
        <v>218</v>
      </c>
      <c r="T166" s="174">
        <f>VLOOKUP(D166,原始分!$D:$N,10,0)</f>
        <v>0</v>
      </c>
      <c r="U166" s="174">
        <f t="shared" si="33"/>
        <v>112</v>
      </c>
      <c r="V166" s="174">
        <f>VLOOKUP(D166,原始分!$D:$N,11,0)</f>
        <v>39.5</v>
      </c>
      <c r="W166" s="174">
        <f t="shared" si="34"/>
        <v>406</v>
      </c>
      <c r="X166" s="11">
        <f t="shared" si="35"/>
        <v>321</v>
      </c>
      <c r="Y166" s="9">
        <f t="shared" si="36"/>
        <v>108</v>
      </c>
      <c r="Z166" s="11">
        <f t="shared" si="37"/>
        <v>473.5</v>
      </c>
      <c r="AA166" s="9">
        <f t="shared" si="38"/>
        <v>164</v>
      </c>
    </row>
    <row r="167" ht="14.25" spans="1:27">
      <c r="A167" s="13">
        <v>406</v>
      </c>
      <c r="B167" s="15">
        <v>9</v>
      </c>
      <c r="C167" s="16">
        <v>21</v>
      </c>
      <c r="D167" s="17" t="s">
        <v>822</v>
      </c>
      <c r="E167" s="17" t="s">
        <v>823</v>
      </c>
      <c r="F167" s="174">
        <f>VLOOKUP(D167,原始分!$D:$N,3,0)</f>
        <v>103</v>
      </c>
      <c r="G167" s="174">
        <f t="shared" si="26"/>
        <v>168</v>
      </c>
      <c r="H167" s="174">
        <f>VLOOKUP(D167,原始分!$D:$N,4,0)</f>
        <v>118.5</v>
      </c>
      <c r="I167" s="174">
        <f t="shared" si="27"/>
        <v>74</v>
      </c>
      <c r="J167" s="174">
        <f>VLOOKUP(D167,原始分!$D:$N,5,0)</f>
        <v>112.75</v>
      </c>
      <c r="K167" s="174">
        <f t="shared" si="28"/>
        <v>77</v>
      </c>
      <c r="L167" s="174">
        <f>VLOOKUP(D167,原始分!$D:$N,6,0)</f>
        <v>59.5</v>
      </c>
      <c r="M167" s="174">
        <f t="shared" si="29"/>
        <v>195</v>
      </c>
      <c r="N167" s="174">
        <f>VLOOKUP(D167,原始分!$D:$N,7,0)</f>
        <v>0</v>
      </c>
      <c r="O167" s="174">
        <f t="shared" si="30"/>
        <v>1</v>
      </c>
      <c r="P167" s="174">
        <f>VLOOKUP(D167,原始分!$D:$N,8,0)</f>
        <v>33</v>
      </c>
      <c r="Q167" s="174">
        <f t="shared" si="31"/>
        <v>433</v>
      </c>
      <c r="R167" s="174">
        <f>VLOOKUP(D167,原始分!$D:$N,9,0)</f>
        <v>0</v>
      </c>
      <c r="S167" s="174">
        <f t="shared" si="32"/>
        <v>218</v>
      </c>
      <c r="T167" s="174">
        <f>VLOOKUP(D167,原始分!$D:$N,10,0)</f>
        <v>0</v>
      </c>
      <c r="U167" s="174">
        <f t="shared" si="33"/>
        <v>112</v>
      </c>
      <c r="V167" s="174">
        <f>VLOOKUP(D167,原始分!$D:$N,11,0)</f>
        <v>46</v>
      </c>
      <c r="W167" s="174">
        <f t="shared" si="34"/>
        <v>316</v>
      </c>
      <c r="X167" s="11">
        <f t="shared" si="35"/>
        <v>334.25</v>
      </c>
      <c r="Y167" s="9">
        <f t="shared" si="36"/>
        <v>52</v>
      </c>
      <c r="Z167" s="11">
        <f t="shared" si="37"/>
        <v>472.75</v>
      </c>
      <c r="AA167" s="9">
        <f t="shared" si="38"/>
        <v>165</v>
      </c>
    </row>
    <row r="168" ht="14.25" spans="1:27">
      <c r="A168" s="13">
        <v>480</v>
      </c>
      <c r="B168" s="15">
        <v>10</v>
      </c>
      <c r="C168" s="16">
        <v>41</v>
      </c>
      <c r="D168" s="17" t="s">
        <v>970</v>
      </c>
      <c r="E168" s="17" t="s">
        <v>971</v>
      </c>
      <c r="F168" s="174">
        <f>VLOOKUP(D168,原始分!$D:$N,3,0)</f>
        <v>103.5</v>
      </c>
      <c r="G168" s="174">
        <f t="shared" si="26"/>
        <v>146</v>
      </c>
      <c r="H168" s="174">
        <f>VLOOKUP(D168,原始分!$D:$N,4,0)</f>
        <v>111</v>
      </c>
      <c r="I168" s="174">
        <f t="shared" si="27"/>
        <v>176</v>
      </c>
      <c r="J168" s="174">
        <f>VLOOKUP(D168,原始分!$D:$N,5,0)</f>
        <v>94.25</v>
      </c>
      <c r="K168" s="174">
        <f t="shared" si="28"/>
        <v>355</v>
      </c>
      <c r="L168" s="174">
        <f>VLOOKUP(D168,原始分!$D:$N,6,0)</f>
        <v>75.5</v>
      </c>
      <c r="M168" s="174">
        <f t="shared" si="29"/>
        <v>31</v>
      </c>
      <c r="N168" s="174">
        <f>VLOOKUP(D168,原始分!$D:$N,7,0)</f>
        <v>0</v>
      </c>
      <c r="O168" s="174">
        <f t="shared" si="30"/>
        <v>1</v>
      </c>
      <c r="P168" s="174">
        <f>VLOOKUP(D168,原始分!$D:$N,8,0)</f>
        <v>39.5</v>
      </c>
      <c r="Q168" s="174">
        <f t="shared" si="31"/>
        <v>333</v>
      </c>
      <c r="R168" s="174">
        <f>VLOOKUP(D168,原始分!$D:$N,9,0)</f>
        <v>0</v>
      </c>
      <c r="S168" s="174">
        <f t="shared" si="32"/>
        <v>218</v>
      </c>
      <c r="T168" s="174">
        <f>VLOOKUP(D168,原始分!$D:$N,10,0)</f>
        <v>0</v>
      </c>
      <c r="U168" s="174">
        <f t="shared" si="33"/>
        <v>112</v>
      </c>
      <c r="V168" s="174">
        <f>VLOOKUP(D168,原始分!$D:$N,11,0)</f>
        <v>49</v>
      </c>
      <c r="W168" s="174">
        <f t="shared" si="34"/>
        <v>262</v>
      </c>
      <c r="X168" s="11">
        <f t="shared" si="35"/>
        <v>308.75</v>
      </c>
      <c r="Y168" s="9">
        <f t="shared" si="36"/>
        <v>206</v>
      </c>
      <c r="Z168" s="11">
        <f t="shared" si="37"/>
        <v>472.75</v>
      </c>
      <c r="AA168" s="9">
        <f t="shared" si="38"/>
        <v>165</v>
      </c>
    </row>
    <row r="169" ht="14.25" spans="1:27">
      <c r="A169" s="13">
        <v>497</v>
      </c>
      <c r="B169" s="15">
        <v>11</v>
      </c>
      <c r="C169" s="16">
        <v>1</v>
      </c>
      <c r="D169" s="17" t="s">
        <v>1004</v>
      </c>
      <c r="E169" s="17" t="s">
        <v>1005</v>
      </c>
      <c r="F169" s="174">
        <f>VLOOKUP(D169,原始分!$D:$N,3,0)</f>
        <v>93</v>
      </c>
      <c r="G169" s="174">
        <f t="shared" si="26"/>
        <v>505</v>
      </c>
      <c r="H169" s="174">
        <f>VLOOKUP(D169,原始分!$D:$N,4,0)</f>
        <v>110</v>
      </c>
      <c r="I169" s="174">
        <f t="shared" si="27"/>
        <v>191</v>
      </c>
      <c r="J169" s="174">
        <f>VLOOKUP(D169,原始分!$D:$N,5,0)</f>
        <v>105.75</v>
      </c>
      <c r="K169" s="174">
        <f t="shared" si="28"/>
        <v>156</v>
      </c>
      <c r="L169" s="174">
        <f>VLOOKUP(D169,原始分!$D:$N,6,0)</f>
        <v>58.5</v>
      </c>
      <c r="M169" s="174">
        <f t="shared" si="29"/>
        <v>209</v>
      </c>
      <c r="N169" s="174">
        <f>VLOOKUP(D169,原始分!$D:$N,7,0)</f>
        <v>0</v>
      </c>
      <c r="O169" s="174">
        <f t="shared" si="30"/>
        <v>1</v>
      </c>
      <c r="P169" s="174">
        <f>VLOOKUP(D169,原始分!$D:$N,8,0)</f>
        <v>49</v>
      </c>
      <c r="Q169" s="174">
        <f t="shared" si="31"/>
        <v>131</v>
      </c>
      <c r="R169" s="174">
        <f>VLOOKUP(D169,原始分!$D:$N,9,0)</f>
        <v>0</v>
      </c>
      <c r="S169" s="174">
        <f t="shared" si="32"/>
        <v>218</v>
      </c>
      <c r="T169" s="174">
        <f>VLOOKUP(D169,原始分!$D:$N,10,0)</f>
        <v>0</v>
      </c>
      <c r="U169" s="174">
        <f t="shared" si="33"/>
        <v>112</v>
      </c>
      <c r="V169" s="174">
        <f>VLOOKUP(D169,原始分!$D:$N,11,0)</f>
        <v>56</v>
      </c>
      <c r="W169" s="174">
        <f t="shared" si="34"/>
        <v>132</v>
      </c>
      <c r="X169" s="11">
        <f t="shared" si="35"/>
        <v>308.75</v>
      </c>
      <c r="Y169" s="9">
        <f t="shared" si="36"/>
        <v>206</v>
      </c>
      <c r="Z169" s="11">
        <f t="shared" si="37"/>
        <v>472.25</v>
      </c>
      <c r="AA169" s="9">
        <f t="shared" si="38"/>
        <v>167</v>
      </c>
    </row>
    <row r="170" ht="14.25" spans="1:27">
      <c r="A170" s="13">
        <v>359</v>
      </c>
      <c r="B170" s="15">
        <v>8</v>
      </c>
      <c r="C170" s="16">
        <v>33</v>
      </c>
      <c r="D170" s="17" t="s">
        <v>728</v>
      </c>
      <c r="E170" s="17" t="s">
        <v>729</v>
      </c>
      <c r="F170" s="174">
        <f>VLOOKUP(D170,原始分!$D:$N,3,0)</f>
        <v>107.5</v>
      </c>
      <c r="G170" s="174">
        <f t="shared" si="26"/>
        <v>54</v>
      </c>
      <c r="H170" s="174">
        <f>VLOOKUP(D170,原始分!$D:$N,4,0)</f>
        <v>125</v>
      </c>
      <c r="I170" s="174">
        <f t="shared" si="27"/>
        <v>31</v>
      </c>
      <c r="J170" s="174">
        <f>VLOOKUP(D170,原始分!$D:$N,5,0)</f>
        <v>90.5</v>
      </c>
      <c r="K170" s="174">
        <f t="shared" si="28"/>
        <v>416</v>
      </c>
      <c r="L170" s="174">
        <f>VLOOKUP(D170,原始分!$D:$N,6,0)</f>
        <v>64</v>
      </c>
      <c r="M170" s="174">
        <f t="shared" si="29"/>
        <v>130</v>
      </c>
      <c r="N170" s="174">
        <f>VLOOKUP(D170,原始分!$D:$N,7,0)</f>
        <v>0</v>
      </c>
      <c r="O170" s="174">
        <f t="shared" si="30"/>
        <v>1</v>
      </c>
      <c r="P170" s="174">
        <f>VLOOKUP(D170,原始分!$D:$N,8,0)</f>
        <v>37.5</v>
      </c>
      <c r="Q170" s="174">
        <f t="shared" si="31"/>
        <v>367</v>
      </c>
      <c r="R170" s="174">
        <f>VLOOKUP(D170,原始分!$D:$N,9,0)</f>
        <v>0</v>
      </c>
      <c r="S170" s="174">
        <f t="shared" si="32"/>
        <v>218</v>
      </c>
      <c r="T170" s="174">
        <f>VLOOKUP(D170,原始分!$D:$N,10,0)</f>
        <v>0</v>
      </c>
      <c r="U170" s="174">
        <f t="shared" si="33"/>
        <v>112</v>
      </c>
      <c r="V170" s="174">
        <f>VLOOKUP(D170,原始分!$D:$N,11,0)</f>
        <v>47.5</v>
      </c>
      <c r="W170" s="174">
        <f t="shared" si="34"/>
        <v>287</v>
      </c>
      <c r="X170" s="11">
        <f t="shared" si="35"/>
        <v>323</v>
      </c>
      <c r="Y170" s="9">
        <f t="shared" si="36"/>
        <v>99</v>
      </c>
      <c r="Z170" s="11">
        <f t="shared" si="37"/>
        <v>472</v>
      </c>
      <c r="AA170" s="9">
        <f t="shared" si="38"/>
        <v>168</v>
      </c>
    </row>
    <row r="171" ht="14.25" spans="1:27">
      <c r="A171" s="13">
        <v>380</v>
      </c>
      <c r="B171" s="15">
        <v>8</v>
      </c>
      <c r="C171" s="16">
        <v>54</v>
      </c>
      <c r="D171" s="17" t="s">
        <v>770</v>
      </c>
      <c r="E171" s="17" t="s">
        <v>771</v>
      </c>
      <c r="F171" s="174">
        <f>VLOOKUP(D171,原始分!$D:$N,3,0)</f>
        <v>107</v>
      </c>
      <c r="G171" s="174">
        <f t="shared" si="26"/>
        <v>64</v>
      </c>
      <c r="H171" s="174">
        <f>VLOOKUP(D171,原始分!$D:$N,4,0)</f>
        <v>101.5</v>
      </c>
      <c r="I171" s="174">
        <f t="shared" si="27"/>
        <v>328</v>
      </c>
      <c r="J171" s="174">
        <f>VLOOKUP(D171,原始分!$D:$N,5,0)</f>
        <v>110</v>
      </c>
      <c r="K171" s="174">
        <f t="shared" si="28"/>
        <v>103</v>
      </c>
      <c r="L171" s="174">
        <f>VLOOKUP(D171,原始分!$D:$N,6,0)</f>
        <v>64.5</v>
      </c>
      <c r="M171" s="174">
        <f t="shared" si="29"/>
        <v>120</v>
      </c>
      <c r="N171" s="174">
        <f>VLOOKUP(D171,原始分!$D:$N,7,0)</f>
        <v>0</v>
      </c>
      <c r="O171" s="174">
        <f t="shared" si="30"/>
        <v>1</v>
      </c>
      <c r="P171" s="174">
        <f>VLOOKUP(D171,原始分!$D:$N,8,0)</f>
        <v>38.5</v>
      </c>
      <c r="Q171" s="174">
        <f t="shared" si="31"/>
        <v>353</v>
      </c>
      <c r="R171" s="174">
        <f>VLOOKUP(D171,原始分!$D:$N,9,0)</f>
        <v>0</v>
      </c>
      <c r="S171" s="174">
        <f t="shared" si="32"/>
        <v>218</v>
      </c>
      <c r="T171" s="174">
        <f>VLOOKUP(D171,原始分!$D:$N,10,0)</f>
        <v>0</v>
      </c>
      <c r="U171" s="174">
        <f t="shared" si="33"/>
        <v>112</v>
      </c>
      <c r="V171" s="174">
        <f>VLOOKUP(D171,原始分!$D:$N,11,0)</f>
        <v>50</v>
      </c>
      <c r="W171" s="174">
        <f t="shared" si="34"/>
        <v>247</v>
      </c>
      <c r="X171" s="11">
        <f t="shared" si="35"/>
        <v>318.5</v>
      </c>
      <c r="Y171" s="9">
        <f t="shared" si="36"/>
        <v>127</v>
      </c>
      <c r="Z171" s="11">
        <f t="shared" si="37"/>
        <v>471.5</v>
      </c>
      <c r="AA171" s="9">
        <f t="shared" si="38"/>
        <v>169</v>
      </c>
    </row>
    <row r="172" ht="14.25" spans="1:27">
      <c r="A172" s="13">
        <v>347</v>
      </c>
      <c r="B172" s="15">
        <v>8</v>
      </c>
      <c r="C172" s="16">
        <v>19</v>
      </c>
      <c r="D172" s="17" t="s">
        <v>705</v>
      </c>
      <c r="E172" s="17" t="s">
        <v>706</v>
      </c>
      <c r="F172" s="174">
        <f>VLOOKUP(D172,原始分!$D:$N,3,0)</f>
        <v>104</v>
      </c>
      <c r="G172" s="174">
        <f t="shared" si="26"/>
        <v>130</v>
      </c>
      <c r="H172" s="174">
        <f>VLOOKUP(D172,原始分!$D:$N,4,0)</f>
        <v>113</v>
      </c>
      <c r="I172" s="174">
        <f t="shared" si="27"/>
        <v>143</v>
      </c>
      <c r="J172" s="174">
        <f>VLOOKUP(D172,原始分!$D:$N,5,0)</f>
        <v>100</v>
      </c>
      <c r="K172" s="174">
        <f t="shared" si="28"/>
        <v>243</v>
      </c>
      <c r="L172" s="174">
        <f>VLOOKUP(D172,原始分!$D:$N,6,0)</f>
        <v>63</v>
      </c>
      <c r="M172" s="174">
        <f t="shared" si="29"/>
        <v>147</v>
      </c>
      <c r="N172" s="174">
        <f>VLOOKUP(D172,原始分!$D:$N,7,0)</f>
        <v>0</v>
      </c>
      <c r="O172" s="174">
        <f t="shared" si="30"/>
        <v>1</v>
      </c>
      <c r="P172" s="174">
        <f>VLOOKUP(D172,原始分!$D:$N,8,0)</f>
        <v>46.5</v>
      </c>
      <c r="Q172" s="174">
        <f t="shared" si="31"/>
        <v>187</v>
      </c>
      <c r="R172" s="174">
        <f>VLOOKUP(D172,原始分!$D:$N,9,0)</f>
        <v>0</v>
      </c>
      <c r="S172" s="174">
        <f t="shared" si="32"/>
        <v>218</v>
      </c>
      <c r="T172" s="174">
        <f>VLOOKUP(D172,原始分!$D:$N,10,0)</f>
        <v>0</v>
      </c>
      <c r="U172" s="174">
        <f t="shared" si="33"/>
        <v>112</v>
      </c>
      <c r="V172" s="174">
        <f>VLOOKUP(D172,原始分!$D:$N,11,0)</f>
        <v>44.5</v>
      </c>
      <c r="W172" s="174">
        <f t="shared" si="34"/>
        <v>343</v>
      </c>
      <c r="X172" s="11">
        <f t="shared" si="35"/>
        <v>317</v>
      </c>
      <c r="Y172" s="9">
        <f t="shared" si="36"/>
        <v>138</v>
      </c>
      <c r="Z172" s="11">
        <f t="shared" si="37"/>
        <v>471</v>
      </c>
      <c r="AA172" s="9">
        <f t="shared" si="38"/>
        <v>170</v>
      </c>
    </row>
    <row r="173" ht="14.25" spans="1:27">
      <c r="A173" s="13">
        <v>234</v>
      </c>
      <c r="B173" s="15">
        <v>5</v>
      </c>
      <c r="C173" s="16">
        <v>31</v>
      </c>
      <c r="D173" s="17" t="s">
        <v>481</v>
      </c>
      <c r="E173" s="17" t="s">
        <v>482</v>
      </c>
      <c r="F173" s="174">
        <f>VLOOKUP(D173,原始分!$D:$N,3,0)</f>
        <v>90.75</v>
      </c>
      <c r="G173" s="174">
        <f t="shared" si="26"/>
        <v>570</v>
      </c>
      <c r="H173" s="174">
        <f>VLOOKUP(D173,原始分!$D:$N,4,0)</f>
        <v>113.5</v>
      </c>
      <c r="I173" s="174">
        <f t="shared" si="27"/>
        <v>135</v>
      </c>
      <c r="J173" s="174">
        <f>VLOOKUP(D173,原始分!$D:$N,5,0)</f>
        <v>107.5</v>
      </c>
      <c r="K173" s="174">
        <f t="shared" si="28"/>
        <v>130</v>
      </c>
      <c r="L173" s="174">
        <f>VLOOKUP(D173,原始分!$D:$N,6,0)</f>
        <v>44.5</v>
      </c>
      <c r="M173" s="174">
        <f t="shared" si="29"/>
        <v>432</v>
      </c>
      <c r="N173" s="174">
        <f>VLOOKUP(D173,原始分!$D:$N,7,0)</f>
        <v>0</v>
      </c>
      <c r="O173" s="174">
        <f t="shared" si="30"/>
        <v>1</v>
      </c>
      <c r="P173" s="174">
        <f>VLOOKUP(D173,原始分!$D:$N,8,0)</f>
        <v>70</v>
      </c>
      <c r="Q173" s="174">
        <f t="shared" si="31"/>
        <v>3</v>
      </c>
      <c r="R173" s="174">
        <f>VLOOKUP(D173,原始分!$D:$N,9,0)</f>
        <v>44.5</v>
      </c>
      <c r="S173" s="174">
        <f t="shared" si="32"/>
        <v>161</v>
      </c>
      <c r="T173" s="174">
        <f>VLOOKUP(D173,原始分!$D:$N,10,0)</f>
        <v>0</v>
      </c>
      <c r="U173" s="174">
        <f t="shared" si="33"/>
        <v>112</v>
      </c>
      <c r="V173" s="174">
        <f>VLOOKUP(D173,原始分!$D:$N,11,0)</f>
        <v>0</v>
      </c>
      <c r="W173" s="174">
        <f t="shared" si="34"/>
        <v>461</v>
      </c>
      <c r="X173" s="11">
        <f t="shared" si="35"/>
        <v>311.75</v>
      </c>
      <c r="Y173" s="9">
        <f t="shared" si="36"/>
        <v>172</v>
      </c>
      <c r="Z173" s="11">
        <f t="shared" si="37"/>
        <v>470.75</v>
      </c>
      <c r="AA173" s="9">
        <f t="shared" si="38"/>
        <v>171</v>
      </c>
    </row>
    <row r="174" ht="14.25" spans="1:27">
      <c r="A174" s="13">
        <v>397</v>
      </c>
      <c r="B174" s="15">
        <v>9</v>
      </c>
      <c r="C174" s="16">
        <v>12</v>
      </c>
      <c r="D174" s="17" t="s">
        <v>804</v>
      </c>
      <c r="E174" s="17" t="s">
        <v>805</v>
      </c>
      <c r="F174" s="174">
        <f>VLOOKUP(D174,原始分!$D:$N,3,0)</f>
        <v>94</v>
      </c>
      <c r="G174" s="174">
        <f t="shared" si="26"/>
        <v>478</v>
      </c>
      <c r="H174" s="174">
        <f>VLOOKUP(D174,原始分!$D:$N,4,0)</f>
        <v>121</v>
      </c>
      <c r="I174" s="174">
        <f t="shared" si="27"/>
        <v>52</v>
      </c>
      <c r="J174" s="174">
        <f>VLOOKUP(D174,原始分!$D:$N,5,0)</f>
        <v>102.75</v>
      </c>
      <c r="K174" s="174">
        <f t="shared" si="28"/>
        <v>203</v>
      </c>
      <c r="L174" s="174">
        <f>VLOOKUP(D174,原始分!$D:$N,6,0)</f>
        <v>55.5</v>
      </c>
      <c r="M174" s="174">
        <f t="shared" si="29"/>
        <v>262</v>
      </c>
      <c r="N174" s="174">
        <f>VLOOKUP(D174,原始分!$D:$N,7,0)</f>
        <v>0</v>
      </c>
      <c r="O174" s="174">
        <f t="shared" si="30"/>
        <v>1</v>
      </c>
      <c r="P174" s="174">
        <f>VLOOKUP(D174,原始分!$D:$N,8,0)</f>
        <v>29</v>
      </c>
      <c r="Q174" s="174">
        <f t="shared" si="31"/>
        <v>482</v>
      </c>
      <c r="R174" s="174">
        <f>VLOOKUP(D174,原始分!$D:$N,9,0)</f>
        <v>0</v>
      </c>
      <c r="S174" s="174">
        <f t="shared" si="32"/>
        <v>218</v>
      </c>
      <c r="T174" s="174">
        <f>VLOOKUP(D174,原始分!$D:$N,10,0)</f>
        <v>0</v>
      </c>
      <c r="U174" s="174">
        <f t="shared" si="33"/>
        <v>112</v>
      </c>
      <c r="V174" s="174">
        <f>VLOOKUP(D174,原始分!$D:$N,11,0)</f>
        <v>68.5</v>
      </c>
      <c r="W174" s="174">
        <f t="shared" si="34"/>
        <v>21</v>
      </c>
      <c r="X174" s="11">
        <f t="shared" si="35"/>
        <v>317.75</v>
      </c>
      <c r="Y174" s="9">
        <f t="shared" si="36"/>
        <v>133</v>
      </c>
      <c r="Z174" s="11">
        <f t="shared" si="37"/>
        <v>470.75</v>
      </c>
      <c r="AA174" s="9">
        <f t="shared" si="38"/>
        <v>171</v>
      </c>
    </row>
    <row r="175" ht="14.25" spans="1:27">
      <c r="A175" s="13">
        <v>462</v>
      </c>
      <c r="B175" s="15">
        <v>10</v>
      </c>
      <c r="C175" s="16">
        <v>23</v>
      </c>
      <c r="D175" s="17" t="s">
        <v>934</v>
      </c>
      <c r="E175" s="17" t="s">
        <v>935</v>
      </c>
      <c r="F175" s="174">
        <f>VLOOKUP(D175,原始分!$D:$N,3,0)</f>
        <v>99.5</v>
      </c>
      <c r="G175" s="174">
        <f t="shared" si="26"/>
        <v>286</v>
      </c>
      <c r="H175" s="174">
        <f>VLOOKUP(D175,原始分!$D:$N,4,0)</f>
        <v>101.5</v>
      </c>
      <c r="I175" s="174">
        <f t="shared" si="27"/>
        <v>328</v>
      </c>
      <c r="J175" s="174">
        <f>VLOOKUP(D175,原始分!$D:$N,5,0)</f>
        <v>117.75</v>
      </c>
      <c r="K175" s="174">
        <f t="shared" si="28"/>
        <v>37</v>
      </c>
      <c r="L175" s="174">
        <f>VLOOKUP(D175,原始分!$D:$N,6,0)</f>
        <v>60</v>
      </c>
      <c r="M175" s="174">
        <f t="shared" si="29"/>
        <v>187</v>
      </c>
      <c r="N175" s="174">
        <f>VLOOKUP(D175,原始分!$D:$N,7,0)</f>
        <v>0</v>
      </c>
      <c r="O175" s="174">
        <f t="shared" si="30"/>
        <v>1</v>
      </c>
      <c r="P175" s="174">
        <f>VLOOKUP(D175,原始分!$D:$N,8,0)</f>
        <v>44</v>
      </c>
      <c r="Q175" s="174">
        <f t="shared" si="31"/>
        <v>226</v>
      </c>
      <c r="R175" s="174">
        <f>VLOOKUP(D175,原始分!$D:$N,9,0)</f>
        <v>0</v>
      </c>
      <c r="S175" s="174">
        <f t="shared" si="32"/>
        <v>218</v>
      </c>
      <c r="T175" s="174">
        <f>VLOOKUP(D175,原始分!$D:$N,10,0)</f>
        <v>0</v>
      </c>
      <c r="U175" s="174">
        <f t="shared" si="33"/>
        <v>112</v>
      </c>
      <c r="V175" s="174">
        <f>VLOOKUP(D175,原始分!$D:$N,11,0)</f>
        <v>48</v>
      </c>
      <c r="W175" s="174">
        <f t="shared" si="34"/>
        <v>277</v>
      </c>
      <c r="X175" s="11">
        <f t="shared" si="35"/>
        <v>318.75</v>
      </c>
      <c r="Y175" s="9">
        <f t="shared" si="36"/>
        <v>126</v>
      </c>
      <c r="Z175" s="11">
        <f t="shared" si="37"/>
        <v>470.75</v>
      </c>
      <c r="AA175" s="9">
        <f t="shared" si="38"/>
        <v>171</v>
      </c>
    </row>
    <row r="176" ht="14.25" spans="1:27">
      <c r="A176" s="13">
        <v>491</v>
      </c>
      <c r="B176" s="15">
        <v>10</v>
      </c>
      <c r="C176" s="16">
        <v>52</v>
      </c>
      <c r="D176" s="17" t="s">
        <v>992</v>
      </c>
      <c r="E176" s="17" t="s">
        <v>993</v>
      </c>
      <c r="F176" s="174">
        <f>VLOOKUP(D176,原始分!$D:$N,3,0)</f>
        <v>98.5</v>
      </c>
      <c r="G176" s="174">
        <f t="shared" si="26"/>
        <v>324</v>
      </c>
      <c r="H176" s="174">
        <f>VLOOKUP(D176,原始分!$D:$N,4,0)</f>
        <v>105</v>
      </c>
      <c r="I176" s="174">
        <f t="shared" si="27"/>
        <v>271</v>
      </c>
      <c r="J176" s="174">
        <f>VLOOKUP(D176,原始分!$D:$N,5,0)</f>
        <v>96.75</v>
      </c>
      <c r="K176" s="174">
        <f t="shared" si="28"/>
        <v>309</v>
      </c>
      <c r="L176" s="174">
        <f>VLOOKUP(D176,原始分!$D:$N,6,0)</f>
        <v>72.5</v>
      </c>
      <c r="M176" s="174">
        <f t="shared" si="29"/>
        <v>52</v>
      </c>
      <c r="N176" s="174">
        <f>VLOOKUP(D176,原始分!$D:$N,7,0)</f>
        <v>0</v>
      </c>
      <c r="O176" s="174">
        <f t="shared" si="30"/>
        <v>1</v>
      </c>
      <c r="P176" s="174">
        <f>VLOOKUP(D176,原始分!$D:$N,8,0)</f>
        <v>46</v>
      </c>
      <c r="Q176" s="174">
        <f t="shared" si="31"/>
        <v>193</v>
      </c>
      <c r="R176" s="174">
        <f>VLOOKUP(D176,原始分!$D:$N,9,0)</f>
        <v>0</v>
      </c>
      <c r="S176" s="174">
        <f t="shared" si="32"/>
        <v>218</v>
      </c>
      <c r="T176" s="174">
        <f>VLOOKUP(D176,原始分!$D:$N,10,0)</f>
        <v>0</v>
      </c>
      <c r="U176" s="174">
        <f t="shared" si="33"/>
        <v>112</v>
      </c>
      <c r="V176" s="174">
        <f>VLOOKUP(D176,原始分!$D:$N,11,0)</f>
        <v>52</v>
      </c>
      <c r="W176" s="174">
        <f t="shared" si="34"/>
        <v>204</v>
      </c>
      <c r="X176" s="11">
        <f t="shared" si="35"/>
        <v>300.25</v>
      </c>
      <c r="Y176" s="9">
        <f t="shared" si="36"/>
        <v>274</v>
      </c>
      <c r="Z176" s="11">
        <f t="shared" si="37"/>
        <v>470.75</v>
      </c>
      <c r="AA176" s="9">
        <f t="shared" si="38"/>
        <v>171</v>
      </c>
    </row>
    <row r="177" ht="14.25" spans="1:27">
      <c r="A177" s="13">
        <v>169</v>
      </c>
      <c r="B177" s="15">
        <v>4</v>
      </c>
      <c r="C177" s="16">
        <v>10</v>
      </c>
      <c r="D177" s="17" t="s">
        <v>351</v>
      </c>
      <c r="E177" s="17" t="s">
        <v>352</v>
      </c>
      <c r="F177" s="174">
        <f>VLOOKUP(D177,原始分!$D:$N,3,0)</f>
        <v>96</v>
      </c>
      <c r="G177" s="174">
        <f t="shared" si="26"/>
        <v>407</v>
      </c>
      <c r="H177" s="174">
        <f>VLOOKUP(D177,原始分!$D:$N,4,0)</f>
        <v>106.5</v>
      </c>
      <c r="I177" s="174">
        <f t="shared" si="27"/>
        <v>246</v>
      </c>
      <c r="J177" s="174">
        <f>VLOOKUP(D177,原始分!$D:$N,5,0)</f>
        <v>96.5</v>
      </c>
      <c r="K177" s="174">
        <f t="shared" si="28"/>
        <v>314</v>
      </c>
      <c r="L177" s="174">
        <f>VLOOKUP(D177,原始分!$D:$N,6,0)</f>
        <v>60</v>
      </c>
      <c r="M177" s="174">
        <f t="shared" si="29"/>
        <v>187</v>
      </c>
      <c r="N177" s="174">
        <f>VLOOKUP(D177,原始分!$D:$N,7,0)</f>
        <v>0</v>
      </c>
      <c r="O177" s="174">
        <f t="shared" si="30"/>
        <v>1</v>
      </c>
      <c r="P177" s="174">
        <f>VLOOKUP(D177,原始分!$D:$N,8,0)</f>
        <v>50.5</v>
      </c>
      <c r="Q177" s="174">
        <f t="shared" si="31"/>
        <v>100</v>
      </c>
      <c r="R177" s="174">
        <f>VLOOKUP(D177,原始分!$D:$N,9,0)</f>
        <v>61</v>
      </c>
      <c r="S177" s="174">
        <f t="shared" si="32"/>
        <v>11</v>
      </c>
      <c r="T177" s="174">
        <f>VLOOKUP(D177,原始分!$D:$N,10,0)</f>
        <v>0</v>
      </c>
      <c r="U177" s="174">
        <f t="shared" si="33"/>
        <v>112</v>
      </c>
      <c r="V177" s="174">
        <f>VLOOKUP(D177,原始分!$D:$N,11,0)</f>
        <v>0</v>
      </c>
      <c r="W177" s="174">
        <f t="shared" si="34"/>
        <v>461</v>
      </c>
      <c r="X177" s="11">
        <f t="shared" si="35"/>
        <v>299</v>
      </c>
      <c r="Y177" s="9">
        <f t="shared" si="36"/>
        <v>284</v>
      </c>
      <c r="Z177" s="11">
        <f t="shared" si="37"/>
        <v>470.5</v>
      </c>
      <c r="AA177" s="9">
        <f t="shared" si="38"/>
        <v>175</v>
      </c>
    </row>
    <row r="178" ht="14.25" spans="1:27">
      <c r="A178" s="13">
        <v>530</v>
      </c>
      <c r="B178" s="15">
        <v>11</v>
      </c>
      <c r="C178" s="16">
        <v>36</v>
      </c>
      <c r="D178" s="17" t="s">
        <v>1069</v>
      </c>
      <c r="E178" s="17" t="s">
        <v>1070</v>
      </c>
      <c r="F178" s="174">
        <f>VLOOKUP(D178,原始分!$D:$N,3,0)</f>
        <v>91</v>
      </c>
      <c r="G178" s="174">
        <f t="shared" si="26"/>
        <v>555</v>
      </c>
      <c r="H178" s="174">
        <f>VLOOKUP(D178,原始分!$D:$N,4,0)</f>
        <v>113.5</v>
      </c>
      <c r="I178" s="174">
        <f t="shared" si="27"/>
        <v>135</v>
      </c>
      <c r="J178" s="174">
        <f>VLOOKUP(D178,原始分!$D:$N,5,0)</f>
        <v>95.25</v>
      </c>
      <c r="K178" s="174">
        <f t="shared" si="28"/>
        <v>336</v>
      </c>
      <c r="L178" s="174">
        <f>VLOOKUP(D178,原始分!$D:$N,6,0)</f>
        <v>64</v>
      </c>
      <c r="M178" s="174">
        <f t="shared" si="29"/>
        <v>130</v>
      </c>
      <c r="N178" s="174">
        <f>VLOOKUP(D178,原始分!$D:$N,7,0)</f>
        <v>0</v>
      </c>
      <c r="O178" s="174">
        <f t="shared" si="30"/>
        <v>1</v>
      </c>
      <c r="P178" s="174">
        <f>VLOOKUP(D178,原始分!$D:$N,8,0)</f>
        <v>55</v>
      </c>
      <c r="Q178" s="174">
        <f t="shared" si="31"/>
        <v>51</v>
      </c>
      <c r="R178" s="174">
        <f>VLOOKUP(D178,原始分!$D:$N,9,0)</f>
        <v>0</v>
      </c>
      <c r="S178" s="174">
        <f t="shared" si="32"/>
        <v>218</v>
      </c>
      <c r="T178" s="174">
        <f>VLOOKUP(D178,原始分!$D:$N,10,0)</f>
        <v>0</v>
      </c>
      <c r="U178" s="174">
        <f t="shared" si="33"/>
        <v>112</v>
      </c>
      <c r="V178" s="174">
        <f>VLOOKUP(D178,原始分!$D:$N,11,0)</f>
        <v>51.5</v>
      </c>
      <c r="W178" s="174">
        <f t="shared" si="34"/>
        <v>213</v>
      </c>
      <c r="X178" s="11">
        <f t="shared" si="35"/>
        <v>299.75</v>
      </c>
      <c r="Y178" s="9">
        <f t="shared" si="36"/>
        <v>279</v>
      </c>
      <c r="Z178" s="11">
        <f t="shared" si="37"/>
        <v>470.25</v>
      </c>
      <c r="AA178" s="9">
        <f t="shared" si="38"/>
        <v>176</v>
      </c>
    </row>
    <row r="179" ht="14.25" spans="1:27">
      <c r="A179" s="13">
        <v>8</v>
      </c>
      <c r="B179" s="15">
        <v>1</v>
      </c>
      <c r="C179" s="16">
        <v>9</v>
      </c>
      <c r="D179" s="17" t="s">
        <v>30</v>
      </c>
      <c r="E179" s="17" t="s">
        <v>31</v>
      </c>
      <c r="F179" s="174">
        <f>VLOOKUP(D179,原始分!$D:$N,3,0)</f>
        <v>100.5</v>
      </c>
      <c r="G179" s="174">
        <f t="shared" si="26"/>
        <v>252</v>
      </c>
      <c r="H179" s="174">
        <f>VLOOKUP(D179,原始分!$D:$N,4,0)</f>
        <v>90.5</v>
      </c>
      <c r="I179" s="174">
        <f t="shared" si="27"/>
        <v>492</v>
      </c>
      <c r="J179" s="174">
        <f>VLOOKUP(D179,原始分!$D:$N,5,0)</f>
        <v>119</v>
      </c>
      <c r="K179" s="174">
        <f t="shared" si="28"/>
        <v>25</v>
      </c>
      <c r="L179" s="174">
        <f>VLOOKUP(D179,原始分!$D:$N,6,0)</f>
        <v>45.5</v>
      </c>
      <c r="M179" s="174">
        <f t="shared" si="29"/>
        <v>417</v>
      </c>
      <c r="N179" s="174">
        <f>VLOOKUP(D179,原始分!$D:$N,7,0)</f>
        <v>0</v>
      </c>
      <c r="O179" s="174">
        <f t="shared" si="30"/>
        <v>1</v>
      </c>
      <c r="P179" s="174">
        <f>VLOOKUP(D179,原始分!$D:$N,8,0)</f>
        <v>49</v>
      </c>
      <c r="Q179" s="174">
        <f t="shared" si="31"/>
        <v>131</v>
      </c>
      <c r="R179" s="174">
        <f>VLOOKUP(D179,原始分!$D:$N,9,0)</f>
        <v>0</v>
      </c>
      <c r="S179" s="174">
        <f t="shared" si="32"/>
        <v>218</v>
      </c>
      <c r="T179" s="174">
        <f>VLOOKUP(D179,原始分!$D:$N,10,0)</f>
        <v>65.25</v>
      </c>
      <c r="U179" s="174">
        <f t="shared" si="33"/>
        <v>8</v>
      </c>
      <c r="V179" s="174">
        <f>VLOOKUP(D179,原始分!$D:$N,11,0)</f>
        <v>0</v>
      </c>
      <c r="W179" s="174">
        <f t="shared" si="34"/>
        <v>461</v>
      </c>
      <c r="X179" s="11">
        <f t="shared" si="35"/>
        <v>310</v>
      </c>
      <c r="Y179" s="9">
        <f t="shared" si="36"/>
        <v>193</v>
      </c>
      <c r="Z179" s="11">
        <f t="shared" si="37"/>
        <v>469.75</v>
      </c>
      <c r="AA179" s="9">
        <f t="shared" si="38"/>
        <v>177</v>
      </c>
    </row>
    <row r="180" ht="14.25" spans="1:27">
      <c r="A180" s="13">
        <v>41</v>
      </c>
      <c r="B180" s="15">
        <v>1</v>
      </c>
      <c r="C180" s="16">
        <v>43</v>
      </c>
      <c r="D180" s="17" t="s">
        <v>96</v>
      </c>
      <c r="E180" s="17" t="s">
        <v>97</v>
      </c>
      <c r="F180" s="174">
        <f>VLOOKUP(D180,原始分!$D:$N,3,0)</f>
        <v>109.5</v>
      </c>
      <c r="G180" s="174">
        <f t="shared" si="26"/>
        <v>27</v>
      </c>
      <c r="H180" s="174">
        <f>VLOOKUP(D180,原始分!$D:$N,4,0)</f>
        <v>111</v>
      </c>
      <c r="I180" s="174">
        <f t="shared" si="27"/>
        <v>176</v>
      </c>
      <c r="J180" s="174">
        <f>VLOOKUP(D180,原始分!$D:$N,5,0)</f>
        <v>100.25</v>
      </c>
      <c r="K180" s="174">
        <f t="shared" si="28"/>
        <v>239</v>
      </c>
      <c r="L180" s="174">
        <f>VLOOKUP(D180,原始分!$D:$N,6,0)</f>
        <v>54.5</v>
      </c>
      <c r="M180" s="174">
        <f t="shared" si="29"/>
        <v>281</v>
      </c>
      <c r="N180" s="174">
        <f>VLOOKUP(D180,原始分!$D:$N,7,0)</f>
        <v>0</v>
      </c>
      <c r="O180" s="174">
        <f t="shared" si="30"/>
        <v>1</v>
      </c>
      <c r="P180" s="174">
        <f>VLOOKUP(D180,原始分!$D:$N,8,0)</f>
        <v>33.5</v>
      </c>
      <c r="Q180" s="174">
        <f t="shared" si="31"/>
        <v>420</v>
      </c>
      <c r="R180" s="174">
        <f>VLOOKUP(D180,原始分!$D:$N,9,0)</f>
        <v>0</v>
      </c>
      <c r="S180" s="174">
        <f t="shared" si="32"/>
        <v>218</v>
      </c>
      <c r="T180" s="174">
        <f>VLOOKUP(D180,原始分!$D:$N,10,0)</f>
        <v>61</v>
      </c>
      <c r="U180" s="174">
        <f t="shared" si="33"/>
        <v>24</v>
      </c>
      <c r="V180" s="174">
        <f>VLOOKUP(D180,原始分!$D:$N,11,0)</f>
        <v>0</v>
      </c>
      <c r="W180" s="174">
        <f t="shared" si="34"/>
        <v>461</v>
      </c>
      <c r="X180" s="11">
        <f t="shared" si="35"/>
        <v>320.75</v>
      </c>
      <c r="Y180" s="9">
        <f t="shared" si="36"/>
        <v>110</v>
      </c>
      <c r="Z180" s="11">
        <f t="shared" si="37"/>
        <v>469.75</v>
      </c>
      <c r="AA180" s="9">
        <f t="shared" si="38"/>
        <v>177</v>
      </c>
    </row>
    <row r="181" ht="14.25" spans="1:27">
      <c r="A181" s="13">
        <v>488</v>
      </c>
      <c r="B181" s="15">
        <v>10</v>
      </c>
      <c r="C181" s="16">
        <v>49</v>
      </c>
      <c r="D181" s="17" t="s">
        <v>986</v>
      </c>
      <c r="E181" s="17" t="s">
        <v>987</v>
      </c>
      <c r="F181" s="174">
        <f>VLOOKUP(D181,原始分!$D:$N,3,0)</f>
        <v>98</v>
      </c>
      <c r="G181" s="174">
        <f t="shared" si="26"/>
        <v>349</v>
      </c>
      <c r="H181" s="174">
        <f>VLOOKUP(D181,原始分!$D:$N,4,0)</f>
        <v>115</v>
      </c>
      <c r="I181" s="174">
        <f t="shared" si="27"/>
        <v>116</v>
      </c>
      <c r="J181" s="174">
        <f>VLOOKUP(D181,原始分!$D:$N,5,0)</f>
        <v>92</v>
      </c>
      <c r="K181" s="174">
        <f t="shared" si="28"/>
        <v>392</v>
      </c>
      <c r="L181" s="174">
        <f>VLOOKUP(D181,原始分!$D:$N,6,0)</f>
        <v>63.5</v>
      </c>
      <c r="M181" s="174">
        <f t="shared" si="29"/>
        <v>138</v>
      </c>
      <c r="N181" s="174">
        <f>VLOOKUP(D181,原始分!$D:$N,7,0)</f>
        <v>0</v>
      </c>
      <c r="O181" s="174">
        <f t="shared" si="30"/>
        <v>1</v>
      </c>
      <c r="P181" s="174">
        <f>VLOOKUP(D181,原始分!$D:$N,8,0)</f>
        <v>44</v>
      </c>
      <c r="Q181" s="174">
        <f t="shared" si="31"/>
        <v>226</v>
      </c>
      <c r="R181" s="174">
        <f>VLOOKUP(D181,原始分!$D:$N,9,0)</f>
        <v>0</v>
      </c>
      <c r="S181" s="174">
        <f t="shared" si="32"/>
        <v>218</v>
      </c>
      <c r="T181" s="174">
        <f>VLOOKUP(D181,原始分!$D:$N,10,0)</f>
        <v>0</v>
      </c>
      <c r="U181" s="174">
        <f t="shared" si="33"/>
        <v>112</v>
      </c>
      <c r="V181" s="174">
        <f>VLOOKUP(D181,原始分!$D:$N,11,0)</f>
        <v>57</v>
      </c>
      <c r="W181" s="174">
        <f t="shared" si="34"/>
        <v>112</v>
      </c>
      <c r="X181" s="11">
        <f t="shared" si="35"/>
        <v>305</v>
      </c>
      <c r="Y181" s="9">
        <f t="shared" si="36"/>
        <v>236</v>
      </c>
      <c r="Z181" s="11">
        <f t="shared" si="37"/>
        <v>469.5</v>
      </c>
      <c r="AA181" s="9">
        <f t="shared" si="38"/>
        <v>179</v>
      </c>
    </row>
    <row r="182" ht="14.25" spans="1:27">
      <c r="A182" s="13">
        <v>354</v>
      </c>
      <c r="B182" s="15">
        <v>8</v>
      </c>
      <c r="C182" s="16">
        <v>27</v>
      </c>
      <c r="D182" s="17" t="s">
        <v>719</v>
      </c>
      <c r="E182" s="17" t="s">
        <v>720</v>
      </c>
      <c r="F182" s="174">
        <f>VLOOKUP(D182,原始分!$D:$N,3,0)</f>
        <v>98.75</v>
      </c>
      <c r="G182" s="174">
        <f t="shared" si="26"/>
        <v>322</v>
      </c>
      <c r="H182" s="174">
        <f>VLOOKUP(D182,原始分!$D:$N,4,0)</f>
        <v>104.5</v>
      </c>
      <c r="I182" s="174">
        <f t="shared" si="27"/>
        <v>277</v>
      </c>
      <c r="J182" s="174">
        <f>VLOOKUP(D182,原始分!$D:$N,5,0)</f>
        <v>100</v>
      </c>
      <c r="K182" s="174">
        <f t="shared" si="28"/>
        <v>243</v>
      </c>
      <c r="L182" s="174">
        <f>VLOOKUP(D182,原始分!$D:$N,6,0)</f>
        <v>64</v>
      </c>
      <c r="M182" s="174">
        <f t="shared" si="29"/>
        <v>130</v>
      </c>
      <c r="N182" s="174">
        <f>VLOOKUP(D182,原始分!$D:$N,7,0)</f>
        <v>0</v>
      </c>
      <c r="O182" s="174">
        <f t="shared" si="30"/>
        <v>1</v>
      </c>
      <c r="P182" s="174">
        <f>VLOOKUP(D182,原始分!$D:$N,8,0)</f>
        <v>40</v>
      </c>
      <c r="Q182" s="174">
        <f t="shared" si="31"/>
        <v>314</v>
      </c>
      <c r="R182" s="174">
        <f>VLOOKUP(D182,原始分!$D:$N,9,0)</f>
        <v>0</v>
      </c>
      <c r="S182" s="174">
        <f t="shared" si="32"/>
        <v>218</v>
      </c>
      <c r="T182" s="174">
        <f>VLOOKUP(D182,原始分!$D:$N,10,0)</f>
        <v>0</v>
      </c>
      <c r="U182" s="174">
        <f t="shared" si="33"/>
        <v>112</v>
      </c>
      <c r="V182" s="174">
        <f>VLOOKUP(D182,原始分!$D:$N,11,0)</f>
        <v>62</v>
      </c>
      <c r="W182" s="174">
        <f t="shared" si="34"/>
        <v>59</v>
      </c>
      <c r="X182" s="11">
        <f t="shared" si="35"/>
        <v>303.25</v>
      </c>
      <c r="Y182" s="9">
        <f t="shared" si="36"/>
        <v>249</v>
      </c>
      <c r="Z182" s="11">
        <f t="shared" si="37"/>
        <v>469.25</v>
      </c>
      <c r="AA182" s="9">
        <f t="shared" si="38"/>
        <v>180</v>
      </c>
    </row>
    <row r="183" ht="14.25" spans="1:27">
      <c r="A183" s="13">
        <v>211</v>
      </c>
      <c r="B183" s="15">
        <v>5</v>
      </c>
      <c r="C183" s="16">
        <v>8</v>
      </c>
      <c r="D183" s="17" t="s">
        <v>435</v>
      </c>
      <c r="E183" s="17" t="s">
        <v>436</v>
      </c>
      <c r="F183" s="174">
        <f>VLOOKUP(D183,原始分!$D:$N,3,0)</f>
        <v>97</v>
      </c>
      <c r="G183" s="174">
        <f t="shared" si="26"/>
        <v>386</v>
      </c>
      <c r="H183" s="174">
        <f>VLOOKUP(D183,原始分!$D:$N,4,0)</f>
        <v>120.5</v>
      </c>
      <c r="I183" s="174">
        <f t="shared" si="27"/>
        <v>57</v>
      </c>
      <c r="J183" s="174">
        <f>VLOOKUP(D183,原始分!$D:$N,5,0)</f>
        <v>89</v>
      </c>
      <c r="K183" s="174">
        <f t="shared" si="28"/>
        <v>430</v>
      </c>
      <c r="L183" s="174">
        <f>VLOOKUP(D183,原始分!$D:$N,6,0)</f>
        <v>66.5</v>
      </c>
      <c r="M183" s="174">
        <f t="shared" si="29"/>
        <v>88</v>
      </c>
      <c r="N183" s="174">
        <f>VLOOKUP(D183,原始分!$D:$N,7,0)</f>
        <v>0</v>
      </c>
      <c r="O183" s="174">
        <f t="shared" si="30"/>
        <v>1</v>
      </c>
      <c r="P183" s="174">
        <f>VLOOKUP(D183,原始分!$D:$N,8,0)</f>
        <v>46</v>
      </c>
      <c r="Q183" s="174">
        <f t="shared" si="31"/>
        <v>193</v>
      </c>
      <c r="R183" s="174">
        <f>VLOOKUP(D183,原始分!$D:$N,9,0)</f>
        <v>50</v>
      </c>
      <c r="S183" s="174">
        <f t="shared" si="32"/>
        <v>95</v>
      </c>
      <c r="T183" s="174">
        <f>VLOOKUP(D183,原始分!$D:$N,10,0)</f>
        <v>0</v>
      </c>
      <c r="U183" s="174">
        <f t="shared" si="33"/>
        <v>112</v>
      </c>
      <c r="V183" s="174">
        <f>VLOOKUP(D183,原始分!$D:$N,11,0)</f>
        <v>0</v>
      </c>
      <c r="W183" s="174">
        <f t="shared" si="34"/>
        <v>461</v>
      </c>
      <c r="X183" s="11">
        <f t="shared" si="35"/>
        <v>306.5</v>
      </c>
      <c r="Y183" s="9">
        <f t="shared" si="36"/>
        <v>224</v>
      </c>
      <c r="Z183" s="11">
        <f t="shared" si="37"/>
        <v>469</v>
      </c>
      <c r="AA183" s="9">
        <f t="shared" si="38"/>
        <v>181</v>
      </c>
    </row>
    <row r="184" ht="14.25" spans="1:27">
      <c r="A184" s="13">
        <v>105</v>
      </c>
      <c r="B184" s="15">
        <v>2</v>
      </c>
      <c r="C184" s="16">
        <v>43</v>
      </c>
      <c r="D184" s="17" t="s">
        <v>223</v>
      </c>
      <c r="E184" s="17" t="s">
        <v>224</v>
      </c>
      <c r="F184" s="174">
        <f>VLOOKUP(D184,原始分!$D:$N,3,0)</f>
        <v>101.5</v>
      </c>
      <c r="G184" s="174">
        <f t="shared" si="26"/>
        <v>210</v>
      </c>
      <c r="H184" s="174">
        <f>VLOOKUP(D184,原始分!$D:$N,4,0)</f>
        <v>99.5</v>
      </c>
      <c r="I184" s="174">
        <f t="shared" si="27"/>
        <v>354</v>
      </c>
      <c r="J184" s="174">
        <f>VLOOKUP(D184,原始分!$D:$N,5,0)</f>
        <v>98</v>
      </c>
      <c r="K184" s="174">
        <f t="shared" si="28"/>
        <v>290</v>
      </c>
      <c r="L184" s="174">
        <f>VLOOKUP(D184,原始分!$D:$N,6,0)</f>
        <v>58.5</v>
      </c>
      <c r="M184" s="174">
        <f t="shared" si="29"/>
        <v>209</v>
      </c>
      <c r="N184" s="174">
        <f>VLOOKUP(D184,原始分!$D:$N,7,0)</f>
        <v>0</v>
      </c>
      <c r="O184" s="174">
        <f t="shared" si="30"/>
        <v>1</v>
      </c>
      <c r="P184" s="174">
        <f>VLOOKUP(D184,原始分!$D:$N,8,0)</f>
        <v>0</v>
      </c>
      <c r="Q184" s="174">
        <f t="shared" si="31"/>
        <v>539</v>
      </c>
      <c r="R184" s="174">
        <f>VLOOKUP(D184,原始分!$D:$N,9,0)</f>
        <v>0</v>
      </c>
      <c r="S184" s="174">
        <f t="shared" si="32"/>
        <v>218</v>
      </c>
      <c r="T184" s="174">
        <f>VLOOKUP(D184,原始分!$D:$N,10,0)</f>
        <v>64.75</v>
      </c>
      <c r="U184" s="174">
        <f t="shared" si="33"/>
        <v>12</v>
      </c>
      <c r="V184" s="174">
        <f>VLOOKUP(D184,原始分!$D:$N,11,0)</f>
        <v>46.5</v>
      </c>
      <c r="W184" s="174">
        <f t="shared" si="34"/>
        <v>306</v>
      </c>
      <c r="X184" s="11">
        <f t="shared" si="35"/>
        <v>299</v>
      </c>
      <c r="Y184" s="9">
        <f t="shared" si="36"/>
        <v>284</v>
      </c>
      <c r="Z184" s="11">
        <f t="shared" si="37"/>
        <v>468.75</v>
      </c>
      <c r="AA184" s="9">
        <f t="shared" si="38"/>
        <v>182</v>
      </c>
    </row>
    <row r="185" ht="14.25" spans="1:27">
      <c r="A185" s="13">
        <v>301</v>
      </c>
      <c r="B185" s="15">
        <v>7</v>
      </c>
      <c r="C185" s="16">
        <v>12</v>
      </c>
      <c r="D185" s="17" t="s">
        <v>613</v>
      </c>
      <c r="E185" s="17" t="s">
        <v>614</v>
      </c>
      <c r="F185" s="174">
        <f>VLOOKUP(D185,原始分!$D:$N,3,0)</f>
        <v>100</v>
      </c>
      <c r="G185" s="174">
        <f t="shared" si="26"/>
        <v>274</v>
      </c>
      <c r="H185" s="174">
        <f>VLOOKUP(D185,原始分!$D:$N,4,0)</f>
        <v>107.5</v>
      </c>
      <c r="I185" s="174">
        <f t="shared" si="27"/>
        <v>230</v>
      </c>
      <c r="J185" s="174">
        <f>VLOOKUP(D185,原始分!$D:$N,5,0)</f>
        <v>84.75</v>
      </c>
      <c r="K185" s="174">
        <f t="shared" si="28"/>
        <v>492</v>
      </c>
      <c r="L185" s="174">
        <f>VLOOKUP(D185,原始分!$D:$N,6,0)</f>
        <v>67</v>
      </c>
      <c r="M185" s="174">
        <f t="shared" si="29"/>
        <v>82</v>
      </c>
      <c r="N185" s="174">
        <f>VLOOKUP(D185,原始分!$D:$N,7,0)</f>
        <v>0</v>
      </c>
      <c r="O185" s="174">
        <f t="shared" si="30"/>
        <v>1</v>
      </c>
      <c r="P185" s="174">
        <f>VLOOKUP(D185,原始分!$D:$N,8,0)</f>
        <v>0</v>
      </c>
      <c r="Q185" s="174">
        <f t="shared" si="31"/>
        <v>539</v>
      </c>
      <c r="R185" s="174">
        <f>VLOOKUP(D185,原始分!$D:$N,9,0)</f>
        <v>63.75</v>
      </c>
      <c r="S185" s="174">
        <f t="shared" si="32"/>
        <v>5</v>
      </c>
      <c r="T185" s="174">
        <f>VLOOKUP(D185,原始分!$D:$N,10,0)</f>
        <v>0</v>
      </c>
      <c r="U185" s="174">
        <f t="shared" si="33"/>
        <v>112</v>
      </c>
      <c r="V185" s="174">
        <f>VLOOKUP(D185,原始分!$D:$N,11,0)</f>
        <v>45.5</v>
      </c>
      <c r="W185" s="174">
        <f t="shared" si="34"/>
        <v>326</v>
      </c>
      <c r="X185" s="11">
        <f t="shared" si="35"/>
        <v>292.25</v>
      </c>
      <c r="Y185" s="9">
        <f t="shared" si="36"/>
        <v>347</v>
      </c>
      <c r="Z185" s="11">
        <f t="shared" si="37"/>
        <v>468.5</v>
      </c>
      <c r="AA185" s="9">
        <f t="shared" si="38"/>
        <v>183</v>
      </c>
    </row>
    <row r="186" ht="14.25" spans="1:27">
      <c r="A186" s="13">
        <v>223</v>
      </c>
      <c r="B186" s="15">
        <v>5</v>
      </c>
      <c r="C186" s="16">
        <v>20</v>
      </c>
      <c r="D186" s="17" t="s">
        <v>459</v>
      </c>
      <c r="E186" s="17" t="s">
        <v>460</v>
      </c>
      <c r="F186" s="174">
        <f>VLOOKUP(D186,原始分!$D:$N,3,0)</f>
        <v>109</v>
      </c>
      <c r="G186" s="174">
        <f t="shared" si="26"/>
        <v>35</v>
      </c>
      <c r="H186" s="174">
        <f>VLOOKUP(D186,原始分!$D:$N,4,0)</f>
        <v>109</v>
      </c>
      <c r="I186" s="174">
        <f t="shared" si="27"/>
        <v>206</v>
      </c>
      <c r="J186" s="174">
        <f>VLOOKUP(D186,原始分!$D:$N,5,0)</f>
        <v>97.5</v>
      </c>
      <c r="K186" s="174">
        <f t="shared" si="28"/>
        <v>298</v>
      </c>
      <c r="L186" s="174">
        <f>VLOOKUP(D186,原始分!$D:$N,6,0)</f>
        <v>59.5</v>
      </c>
      <c r="M186" s="174">
        <f t="shared" si="29"/>
        <v>195</v>
      </c>
      <c r="N186" s="174">
        <f>VLOOKUP(D186,原始分!$D:$N,7,0)</f>
        <v>0</v>
      </c>
      <c r="O186" s="174">
        <f t="shared" si="30"/>
        <v>1</v>
      </c>
      <c r="P186" s="174">
        <f>VLOOKUP(D186,原始分!$D:$N,8,0)</f>
        <v>44</v>
      </c>
      <c r="Q186" s="174">
        <f t="shared" si="31"/>
        <v>226</v>
      </c>
      <c r="R186" s="174">
        <f>VLOOKUP(D186,原始分!$D:$N,9,0)</f>
        <v>49.25</v>
      </c>
      <c r="S186" s="174">
        <f t="shared" si="32"/>
        <v>106</v>
      </c>
      <c r="T186" s="174">
        <f>VLOOKUP(D186,原始分!$D:$N,10,0)</f>
        <v>0</v>
      </c>
      <c r="U186" s="174">
        <f t="shared" si="33"/>
        <v>112</v>
      </c>
      <c r="V186" s="174">
        <f>VLOOKUP(D186,原始分!$D:$N,11,0)</f>
        <v>0</v>
      </c>
      <c r="W186" s="174">
        <f t="shared" si="34"/>
        <v>461</v>
      </c>
      <c r="X186" s="11">
        <f t="shared" si="35"/>
        <v>315.5</v>
      </c>
      <c r="Y186" s="9">
        <f t="shared" si="36"/>
        <v>147</v>
      </c>
      <c r="Z186" s="11">
        <f t="shared" si="37"/>
        <v>468.25</v>
      </c>
      <c r="AA186" s="9">
        <f t="shared" si="38"/>
        <v>184</v>
      </c>
    </row>
    <row r="187" ht="14.25" spans="1:27">
      <c r="A187" s="13">
        <v>638</v>
      </c>
      <c r="B187" s="15">
        <v>13</v>
      </c>
      <c r="C187" s="16">
        <v>31</v>
      </c>
      <c r="D187" s="19" t="s">
        <v>1284</v>
      </c>
      <c r="E187" s="17" t="s">
        <v>847</v>
      </c>
      <c r="F187" s="174">
        <f>VLOOKUP(D187,原始分!$D:$N,3,0)</f>
        <v>95.5</v>
      </c>
      <c r="G187" s="174">
        <f t="shared" si="26"/>
        <v>422</v>
      </c>
      <c r="H187" s="174">
        <f>VLOOKUP(D187,原始分!$D:$N,4,0)</f>
        <v>104.5</v>
      </c>
      <c r="I187" s="174">
        <f t="shared" si="27"/>
        <v>277</v>
      </c>
      <c r="J187" s="174">
        <f>VLOOKUP(D187,原始分!$D:$N,5,0)</f>
        <v>95.75</v>
      </c>
      <c r="K187" s="174">
        <f t="shared" si="28"/>
        <v>328</v>
      </c>
      <c r="L187" s="174">
        <f>VLOOKUP(D187,原始分!$D:$N,6,0)</f>
        <v>64.5</v>
      </c>
      <c r="M187" s="174">
        <f t="shared" si="29"/>
        <v>120</v>
      </c>
      <c r="N187" s="174">
        <f>VLOOKUP(D187,原始分!$D:$N,7,0)</f>
        <v>0</v>
      </c>
      <c r="O187" s="174">
        <f t="shared" si="30"/>
        <v>1</v>
      </c>
      <c r="P187" s="174">
        <f>VLOOKUP(D187,原始分!$D:$N,8,0)</f>
        <v>59</v>
      </c>
      <c r="Q187" s="174">
        <f t="shared" si="31"/>
        <v>32</v>
      </c>
      <c r="R187" s="174">
        <f>VLOOKUP(D187,原始分!$D:$N,9,0)</f>
        <v>0</v>
      </c>
      <c r="S187" s="174">
        <f t="shared" si="32"/>
        <v>218</v>
      </c>
      <c r="T187" s="174">
        <f>VLOOKUP(D187,原始分!$D:$N,10,0)</f>
        <v>0</v>
      </c>
      <c r="U187" s="174">
        <f t="shared" si="33"/>
        <v>112</v>
      </c>
      <c r="V187" s="174">
        <f>VLOOKUP(D187,原始分!$D:$N,11,0)</f>
        <v>48.5</v>
      </c>
      <c r="W187" s="174">
        <f t="shared" si="34"/>
        <v>267</v>
      </c>
      <c r="X187" s="11">
        <f t="shared" si="35"/>
        <v>295.75</v>
      </c>
      <c r="Y187" s="9">
        <f t="shared" si="36"/>
        <v>310</v>
      </c>
      <c r="Z187" s="11">
        <f t="shared" si="37"/>
        <v>467.75</v>
      </c>
      <c r="AA187" s="9">
        <f t="shared" si="38"/>
        <v>185</v>
      </c>
    </row>
    <row r="188" ht="14.25" spans="1:27">
      <c r="A188" s="13">
        <v>139</v>
      </c>
      <c r="B188" s="15">
        <v>3</v>
      </c>
      <c r="C188" s="16">
        <v>28</v>
      </c>
      <c r="D188" s="17" t="s">
        <v>291</v>
      </c>
      <c r="E188" s="17" t="s">
        <v>292</v>
      </c>
      <c r="F188" s="174">
        <f>VLOOKUP(D188,原始分!$D:$N,3,0)</f>
        <v>95.5</v>
      </c>
      <c r="G188" s="174">
        <f t="shared" si="26"/>
        <v>422</v>
      </c>
      <c r="H188" s="174">
        <f>VLOOKUP(D188,原始分!$D:$N,4,0)</f>
        <v>107.5</v>
      </c>
      <c r="I188" s="174">
        <f t="shared" si="27"/>
        <v>230</v>
      </c>
      <c r="J188" s="174">
        <f>VLOOKUP(D188,原始分!$D:$N,5,0)</f>
        <v>101.5</v>
      </c>
      <c r="K188" s="174">
        <f t="shared" si="28"/>
        <v>217</v>
      </c>
      <c r="L188" s="174">
        <f>VLOOKUP(D188,原始分!$D:$N,6,0)</f>
        <v>66</v>
      </c>
      <c r="M188" s="174">
        <f t="shared" si="29"/>
        <v>97</v>
      </c>
      <c r="N188" s="174">
        <f>VLOOKUP(D188,原始分!$D:$N,7,0)</f>
        <v>0</v>
      </c>
      <c r="O188" s="174">
        <f t="shared" si="30"/>
        <v>1</v>
      </c>
      <c r="P188" s="174">
        <f>VLOOKUP(D188,原始分!$D:$N,8,0)</f>
        <v>48.5</v>
      </c>
      <c r="Q188" s="174">
        <f t="shared" si="31"/>
        <v>138</v>
      </c>
      <c r="R188" s="174">
        <f>VLOOKUP(D188,原始分!$D:$N,9,0)</f>
        <v>48.5</v>
      </c>
      <c r="S188" s="174">
        <f t="shared" si="32"/>
        <v>112</v>
      </c>
      <c r="T188" s="174">
        <f>VLOOKUP(D188,原始分!$D:$N,10,0)</f>
        <v>0</v>
      </c>
      <c r="U188" s="174">
        <f t="shared" si="33"/>
        <v>112</v>
      </c>
      <c r="V188" s="174">
        <f>VLOOKUP(D188,原始分!$D:$N,11,0)</f>
        <v>0</v>
      </c>
      <c r="W188" s="174">
        <f t="shared" si="34"/>
        <v>461</v>
      </c>
      <c r="X188" s="11">
        <f t="shared" si="35"/>
        <v>304.5</v>
      </c>
      <c r="Y188" s="9">
        <f t="shared" si="36"/>
        <v>239</v>
      </c>
      <c r="Z188" s="11">
        <f t="shared" si="37"/>
        <v>467.5</v>
      </c>
      <c r="AA188" s="9">
        <f t="shared" si="38"/>
        <v>186</v>
      </c>
    </row>
    <row r="189" ht="14.25" spans="1:27">
      <c r="A189" s="13">
        <v>158</v>
      </c>
      <c r="B189" s="15">
        <v>3</v>
      </c>
      <c r="C189" s="16">
        <v>47</v>
      </c>
      <c r="D189" s="17" t="s">
        <v>329</v>
      </c>
      <c r="E189" s="17" t="s">
        <v>330</v>
      </c>
      <c r="F189" s="174">
        <f>VLOOKUP(D189,原始分!$D:$N,3,0)</f>
        <v>94</v>
      </c>
      <c r="G189" s="174">
        <f t="shared" si="26"/>
        <v>478</v>
      </c>
      <c r="H189" s="174">
        <f>VLOOKUP(D189,原始分!$D:$N,4,0)</f>
        <v>112.5</v>
      </c>
      <c r="I189" s="174">
        <f t="shared" si="27"/>
        <v>151</v>
      </c>
      <c r="J189" s="174">
        <f>VLOOKUP(D189,原始分!$D:$N,5,0)</f>
        <v>100.5</v>
      </c>
      <c r="K189" s="174">
        <f t="shared" si="28"/>
        <v>235</v>
      </c>
      <c r="L189" s="174">
        <f>VLOOKUP(D189,原始分!$D:$N,6,0)</f>
        <v>53.5</v>
      </c>
      <c r="M189" s="174">
        <f t="shared" si="29"/>
        <v>292</v>
      </c>
      <c r="N189" s="174">
        <f>VLOOKUP(D189,原始分!$D:$N,7,0)</f>
        <v>0</v>
      </c>
      <c r="O189" s="174">
        <f t="shared" si="30"/>
        <v>1</v>
      </c>
      <c r="P189" s="174">
        <f>VLOOKUP(D189,原始分!$D:$N,8,0)</f>
        <v>53</v>
      </c>
      <c r="Q189" s="174">
        <f t="shared" si="31"/>
        <v>69</v>
      </c>
      <c r="R189" s="174">
        <f>VLOOKUP(D189,原始分!$D:$N,9,0)</f>
        <v>53.5</v>
      </c>
      <c r="S189" s="174">
        <f t="shared" si="32"/>
        <v>58</v>
      </c>
      <c r="T189" s="174">
        <f>VLOOKUP(D189,原始分!$D:$N,10,0)</f>
        <v>0</v>
      </c>
      <c r="U189" s="174">
        <f t="shared" si="33"/>
        <v>112</v>
      </c>
      <c r="V189" s="174">
        <f>VLOOKUP(D189,原始分!$D:$N,11,0)</f>
        <v>0</v>
      </c>
      <c r="W189" s="174">
        <f t="shared" si="34"/>
        <v>461</v>
      </c>
      <c r="X189" s="11">
        <f t="shared" si="35"/>
        <v>307</v>
      </c>
      <c r="Y189" s="9">
        <f t="shared" si="36"/>
        <v>221</v>
      </c>
      <c r="Z189" s="11">
        <f t="shared" si="37"/>
        <v>467</v>
      </c>
      <c r="AA189" s="9">
        <f t="shared" si="38"/>
        <v>187</v>
      </c>
    </row>
    <row r="190" ht="14.25" spans="1:27">
      <c r="A190" s="13">
        <v>89</v>
      </c>
      <c r="B190" s="15">
        <v>2</v>
      </c>
      <c r="C190" s="16">
        <v>26</v>
      </c>
      <c r="D190" s="17" t="s">
        <v>191</v>
      </c>
      <c r="E190" s="17" t="s">
        <v>192</v>
      </c>
      <c r="F190" s="174">
        <f>VLOOKUP(D190,原始分!$D:$N,3,0)</f>
        <v>106.5</v>
      </c>
      <c r="G190" s="174">
        <f t="shared" si="26"/>
        <v>76</v>
      </c>
      <c r="H190" s="174">
        <f>VLOOKUP(D190,原始分!$D:$N,4,0)</f>
        <v>89</v>
      </c>
      <c r="I190" s="174">
        <f t="shared" si="27"/>
        <v>508</v>
      </c>
      <c r="J190" s="174">
        <f>VLOOKUP(D190,原始分!$D:$N,5,0)</f>
        <v>110.25</v>
      </c>
      <c r="K190" s="174">
        <f t="shared" si="28"/>
        <v>100</v>
      </c>
      <c r="L190" s="174">
        <f>VLOOKUP(D190,原始分!$D:$N,6,0)</f>
        <v>58.5</v>
      </c>
      <c r="M190" s="174">
        <f t="shared" si="29"/>
        <v>209</v>
      </c>
      <c r="N190" s="174">
        <f>VLOOKUP(D190,原始分!$D:$N,7,0)</f>
        <v>0</v>
      </c>
      <c r="O190" s="174">
        <f t="shared" si="30"/>
        <v>1</v>
      </c>
      <c r="P190" s="174">
        <f>VLOOKUP(D190,原始分!$D:$N,8,0)</f>
        <v>0</v>
      </c>
      <c r="Q190" s="174">
        <f t="shared" si="31"/>
        <v>539</v>
      </c>
      <c r="R190" s="174">
        <f>VLOOKUP(D190,原始分!$D:$N,9,0)</f>
        <v>0</v>
      </c>
      <c r="S190" s="174">
        <f t="shared" si="32"/>
        <v>218</v>
      </c>
      <c r="T190" s="174">
        <f>VLOOKUP(D190,原始分!$D:$N,10,0)</f>
        <v>52.5</v>
      </c>
      <c r="U190" s="174">
        <f t="shared" si="33"/>
        <v>66</v>
      </c>
      <c r="V190" s="174">
        <f>VLOOKUP(D190,原始分!$D:$N,11,0)</f>
        <v>50</v>
      </c>
      <c r="W190" s="174">
        <f t="shared" si="34"/>
        <v>247</v>
      </c>
      <c r="X190" s="11">
        <f t="shared" si="35"/>
        <v>305.75</v>
      </c>
      <c r="Y190" s="9">
        <f t="shared" si="36"/>
        <v>229</v>
      </c>
      <c r="Z190" s="11">
        <f t="shared" si="37"/>
        <v>466.75</v>
      </c>
      <c r="AA190" s="9">
        <f t="shared" si="38"/>
        <v>188</v>
      </c>
    </row>
    <row r="191" ht="14.25" spans="1:27">
      <c r="A191" s="13">
        <v>457</v>
      </c>
      <c r="B191" s="15">
        <v>10</v>
      </c>
      <c r="C191" s="16">
        <v>18</v>
      </c>
      <c r="D191" s="17" t="s">
        <v>924</v>
      </c>
      <c r="E191" s="17" t="s">
        <v>925</v>
      </c>
      <c r="F191" s="174">
        <f>VLOOKUP(D191,原始分!$D:$N,3,0)</f>
        <v>93</v>
      </c>
      <c r="G191" s="174">
        <f t="shared" si="26"/>
        <v>505</v>
      </c>
      <c r="H191" s="174">
        <f>VLOOKUP(D191,原始分!$D:$N,4,0)</f>
        <v>109</v>
      </c>
      <c r="I191" s="174">
        <f t="shared" si="27"/>
        <v>206</v>
      </c>
      <c r="J191" s="174">
        <f>VLOOKUP(D191,原始分!$D:$N,5,0)</f>
        <v>114.75</v>
      </c>
      <c r="K191" s="174">
        <f t="shared" si="28"/>
        <v>56</v>
      </c>
      <c r="L191" s="174">
        <f>VLOOKUP(D191,原始分!$D:$N,6,0)</f>
        <v>49.5</v>
      </c>
      <c r="M191" s="174">
        <f t="shared" si="29"/>
        <v>341</v>
      </c>
      <c r="N191" s="174">
        <f>VLOOKUP(D191,原始分!$D:$N,7,0)</f>
        <v>0</v>
      </c>
      <c r="O191" s="174">
        <f t="shared" si="30"/>
        <v>1</v>
      </c>
      <c r="P191" s="174">
        <f>VLOOKUP(D191,原始分!$D:$N,8,0)</f>
        <v>52</v>
      </c>
      <c r="Q191" s="174">
        <f t="shared" si="31"/>
        <v>86</v>
      </c>
      <c r="R191" s="174">
        <f>VLOOKUP(D191,原始分!$D:$N,9,0)</f>
        <v>0</v>
      </c>
      <c r="S191" s="174">
        <f t="shared" si="32"/>
        <v>218</v>
      </c>
      <c r="T191" s="174">
        <f>VLOOKUP(D191,原始分!$D:$N,10,0)</f>
        <v>0</v>
      </c>
      <c r="U191" s="174">
        <f t="shared" si="33"/>
        <v>112</v>
      </c>
      <c r="V191" s="174">
        <f>VLOOKUP(D191,原始分!$D:$N,11,0)</f>
        <v>48.5</v>
      </c>
      <c r="W191" s="174">
        <f t="shared" si="34"/>
        <v>267</v>
      </c>
      <c r="X191" s="11">
        <f t="shared" si="35"/>
        <v>316.75</v>
      </c>
      <c r="Y191" s="9">
        <f t="shared" si="36"/>
        <v>140</v>
      </c>
      <c r="Z191" s="11">
        <f t="shared" si="37"/>
        <v>466.75</v>
      </c>
      <c r="AA191" s="9">
        <f t="shared" si="38"/>
        <v>188</v>
      </c>
    </row>
    <row r="192" ht="14.25" spans="1:27">
      <c r="A192" s="13">
        <v>436</v>
      </c>
      <c r="B192" s="15">
        <v>9</v>
      </c>
      <c r="C192" s="16">
        <v>52</v>
      </c>
      <c r="D192" s="17" t="s">
        <v>882</v>
      </c>
      <c r="E192" s="17" t="s">
        <v>883</v>
      </c>
      <c r="F192" s="174">
        <f>VLOOKUP(D192,原始分!$D:$N,3,0)</f>
        <v>106.25</v>
      </c>
      <c r="G192" s="174">
        <f t="shared" si="26"/>
        <v>83</v>
      </c>
      <c r="H192" s="174">
        <f>VLOOKUP(D192,原始分!$D:$N,4,0)</f>
        <v>116.25</v>
      </c>
      <c r="I192" s="174">
        <f t="shared" si="27"/>
        <v>98</v>
      </c>
      <c r="J192" s="174">
        <f>VLOOKUP(D192,原始分!$D:$N,5,0)</f>
        <v>114.25</v>
      </c>
      <c r="K192" s="174">
        <f t="shared" si="28"/>
        <v>64</v>
      </c>
      <c r="L192" s="174">
        <f>VLOOKUP(D192,原始分!$D:$N,6,0)</f>
        <v>54.5</v>
      </c>
      <c r="M192" s="174">
        <f t="shared" si="29"/>
        <v>281</v>
      </c>
      <c r="N192" s="174">
        <f>VLOOKUP(D192,原始分!$D:$N,7,0)</f>
        <v>0</v>
      </c>
      <c r="O192" s="174">
        <f t="shared" si="30"/>
        <v>1</v>
      </c>
      <c r="P192" s="174">
        <f>VLOOKUP(D192,原始分!$D:$N,8,0)</f>
        <v>33.5</v>
      </c>
      <c r="Q192" s="174">
        <f t="shared" si="31"/>
        <v>420</v>
      </c>
      <c r="R192" s="174">
        <f>VLOOKUP(D192,原始分!$D:$N,9,0)</f>
        <v>0</v>
      </c>
      <c r="S192" s="174">
        <f t="shared" si="32"/>
        <v>218</v>
      </c>
      <c r="T192" s="174">
        <f>VLOOKUP(D192,原始分!$D:$N,10,0)</f>
        <v>0</v>
      </c>
      <c r="U192" s="174">
        <f t="shared" si="33"/>
        <v>112</v>
      </c>
      <c r="V192" s="174">
        <f>VLOOKUP(D192,原始分!$D:$N,11,0)</f>
        <v>41.5</v>
      </c>
      <c r="W192" s="174">
        <f t="shared" si="34"/>
        <v>389</v>
      </c>
      <c r="X192" s="11">
        <f t="shared" si="35"/>
        <v>336.75</v>
      </c>
      <c r="Y192" s="9">
        <f t="shared" si="36"/>
        <v>42</v>
      </c>
      <c r="Z192" s="11">
        <f t="shared" si="37"/>
        <v>466.25</v>
      </c>
      <c r="AA192" s="9">
        <f t="shared" si="38"/>
        <v>190</v>
      </c>
    </row>
    <row r="193" ht="14.25" spans="1:27">
      <c r="A193" s="13">
        <v>93</v>
      </c>
      <c r="B193" s="15">
        <v>2</v>
      </c>
      <c r="C193" s="16">
        <v>30</v>
      </c>
      <c r="D193" s="17" t="s">
        <v>199</v>
      </c>
      <c r="E193" s="17" t="s">
        <v>200</v>
      </c>
      <c r="F193" s="174">
        <f>VLOOKUP(D193,原始分!$D:$N,3,0)</f>
        <v>102</v>
      </c>
      <c r="G193" s="174">
        <f t="shared" si="26"/>
        <v>199</v>
      </c>
      <c r="H193" s="174">
        <f>VLOOKUP(D193,原始分!$D:$N,4,0)</f>
        <v>107</v>
      </c>
      <c r="I193" s="174">
        <f t="shared" si="27"/>
        <v>239</v>
      </c>
      <c r="J193" s="174">
        <f>VLOOKUP(D193,原始分!$D:$N,5,0)</f>
        <v>99.5</v>
      </c>
      <c r="K193" s="174">
        <f t="shared" si="28"/>
        <v>256</v>
      </c>
      <c r="L193" s="174">
        <f>VLOOKUP(D193,原始分!$D:$N,6,0)</f>
        <v>56.5</v>
      </c>
      <c r="M193" s="174">
        <f t="shared" si="29"/>
        <v>244</v>
      </c>
      <c r="N193" s="174">
        <f>VLOOKUP(D193,原始分!$D:$N,7,0)</f>
        <v>0</v>
      </c>
      <c r="O193" s="174">
        <f t="shared" si="30"/>
        <v>1</v>
      </c>
      <c r="P193" s="174">
        <f>VLOOKUP(D193,原始分!$D:$N,8,0)</f>
        <v>0</v>
      </c>
      <c r="Q193" s="174">
        <f t="shared" si="31"/>
        <v>539</v>
      </c>
      <c r="R193" s="174">
        <f>VLOOKUP(D193,原始分!$D:$N,9,0)</f>
        <v>0</v>
      </c>
      <c r="S193" s="174">
        <f t="shared" si="32"/>
        <v>218</v>
      </c>
      <c r="T193" s="174">
        <f>VLOOKUP(D193,原始分!$D:$N,10,0)</f>
        <v>45.5</v>
      </c>
      <c r="U193" s="174">
        <f t="shared" si="33"/>
        <v>104</v>
      </c>
      <c r="V193" s="174">
        <f>VLOOKUP(D193,原始分!$D:$N,11,0)</f>
        <v>55.5</v>
      </c>
      <c r="W193" s="174">
        <f t="shared" si="34"/>
        <v>139</v>
      </c>
      <c r="X193" s="11">
        <f t="shared" si="35"/>
        <v>308.5</v>
      </c>
      <c r="Y193" s="9">
        <f t="shared" si="36"/>
        <v>210</v>
      </c>
      <c r="Z193" s="11">
        <f t="shared" si="37"/>
        <v>466</v>
      </c>
      <c r="AA193" s="9">
        <f t="shared" si="38"/>
        <v>191</v>
      </c>
    </row>
    <row r="194" ht="14.25" spans="1:27">
      <c r="A194" s="13">
        <v>451</v>
      </c>
      <c r="B194" s="15">
        <v>10</v>
      </c>
      <c r="C194" s="16">
        <v>12</v>
      </c>
      <c r="D194" s="17" t="s">
        <v>912</v>
      </c>
      <c r="E194" s="17" t="s">
        <v>913</v>
      </c>
      <c r="F194" s="174">
        <f>VLOOKUP(D194,原始分!$D:$N,3,0)</f>
        <v>106</v>
      </c>
      <c r="G194" s="174">
        <f t="shared" si="26"/>
        <v>87</v>
      </c>
      <c r="H194" s="174">
        <f>VLOOKUP(D194,原始分!$D:$N,4,0)</f>
        <v>116</v>
      </c>
      <c r="I194" s="174">
        <f t="shared" si="27"/>
        <v>99</v>
      </c>
      <c r="J194" s="174">
        <f>VLOOKUP(D194,原始分!$D:$N,5,0)</f>
        <v>81</v>
      </c>
      <c r="K194" s="174">
        <f t="shared" si="28"/>
        <v>541</v>
      </c>
      <c r="L194" s="174">
        <f>VLOOKUP(D194,原始分!$D:$N,6,0)</f>
        <v>61</v>
      </c>
      <c r="M194" s="174">
        <f t="shared" si="29"/>
        <v>168</v>
      </c>
      <c r="N194" s="174">
        <f>VLOOKUP(D194,原始分!$D:$N,7,0)</f>
        <v>0</v>
      </c>
      <c r="O194" s="174">
        <f t="shared" si="30"/>
        <v>1</v>
      </c>
      <c r="P194" s="174">
        <f>VLOOKUP(D194,原始分!$D:$N,8,0)</f>
        <v>47.5</v>
      </c>
      <c r="Q194" s="174">
        <f t="shared" si="31"/>
        <v>156</v>
      </c>
      <c r="R194" s="174">
        <f>VLOOKUP(D194,原始分!$D:$N,9,0)</f>
        <v>0</v>
      </c>
      <c r="S194" s="174">
        <f t="shared" si="32"/>
        <v>218</v>
      </c>
      <c r="T194" s="174">
        <f>VLOOKUP(D194,原始分!$D:$N,10,0)</f>
        <v>0</v>
      </c>
      <c r="U194" s="174">
        <f t="shared" si="33"/>
        <v>112</v>
      </c>
      <c r="V194" s="174">
        <f>VLOOKUP(D194,原始分!$D:$N,11,0)</f>
        <v>54.5</v>
      </c>
      <c r="W194" s="174">
        <f t="shared" si="34"/>
        <v>154</v>
      </c>
      <c r="X194" s="11">
        <f t="shared" si="35"/>
        <v>303</v>
      </c>
      <c r="Y194" s="9">
        <f t="shared" si="36"/>
        <v>251</v>
      </c>
      <c r="Z194" s="11">
        <f t="shared" si="37"/>
        <v>466</v>
      </c>
      <c r="AA194" s="9">
        <f t="shared" si="38"/>
        <v>191</v>
      </c>
    </row>
    <row r="195" ht="14.25" spans="1:27">
      <c r="A195" s="13">
        <v>323</v>
      </c>
      <c r="B195" s="15">
        <v>7</v>
      </c>
      <c r="C195" s="16">
        <v>36</v>
      </c>
      <c r="D195" s="17" t="s">
        <v>657</v>
      </c>
      <c r="E195" s="17" t="s">
        <v>658</v>
      </c>
      <c r="F195" s="174">
        <f>VLOOKUP(D195,原始分!$D:$N,3,0)</f>
        <v>98.5</v>
      </c>
      <c r="G195" s="174">
        <f t="shared" ref="G195:G258" si="39">RANK(F195,$F$3:$F$723)</f>
        <v>324</v>
      </c>
      <c r="H195" s="174">
        <f>VLOOKUP(D195,原始分!$D:$N,4,0)</f>
        <v>110</v>
      </c>
      <c r="I195" s="174">
        <f t="shared" ref="I195:I258" si="40">RANK(H195,$H$3:$H$723)</f>
        <v>191</v>
      </c>
      <c r="J195" s="174">
        <f>VLOOKUP(D195,原始分!$D:$N,5,0)</f>
        <v>99.25</v>
      </c>
      <c r="K195" s="174">
        <f t="shared" ref="K195:K258" si="41">RANK(J195,$J$3:$J$723)</f>
        <v>264</v>
      </c>
      <c r="L195" s="174">
        <f>VLOOKUP(D195,原始分!$D:$N,6,0)</f>
        <v>50.5</v>
      </c>
      <c r="M195" s="174">
        <f t="shared" ref="M195:M258" si="42">RANK(L195,$L$3:$L$723)</f>
        <v>328</v>
      </c>
      <c r="N195" s="174">
        <f>VLOOKUP(D195,原始分!$D:$N,7,0)</f>
        <v>0</v>
      </c>
      <c r="O195" s="174">
        <f t="shared" ref="O195:O258" si="43">RANK(N195,$N$3:$N$723)</f>
        <v>1</v>
      </c>
      <c r="P195" s="174">
        <f>VLOOKUP(D195,原始分!$D:$N,8,0)</f>
        <v>0</v>
      </c>
      <c r="Q195" s="174">
        <f t="shared" ref="Q195:Q258" si="44">RANK(P195,$P$3:$P$723)</f>
        <v>539</v>
      </c>
      <c r="R195" s="174">
        <f>VLOOKUP(D195,原始分!$D:$N,9,0)</f>
        <v>56</v>
      </c>
      <c r="S195" s="174">
        <f t="shared" ref="S195:S258" si="45">RANK(R195,$R$3:$R$723)</f>
        <v>35</v>
      </c>
      <c r="T195" s="174">
        <f>VLOOKUP(D195,原始分!$D:$N,10,0)</f>
        <v>0</v>
      </c>
      <c r="U195" s="174">
        <f t="shared" ref="U195:U258" si="46">RANK(T195,$T$3:$T$723)</f>
        <v>112</v>
      </c>
      <c r="V195" s="174">
        <f>VLOOKUP(D195,原始分!$D:$N,11,0)</f>
        <v>51.5</v>
      </c>
      <c r="W195" s="174">
        <f t="shared" ref="W195:W258" si="47">RANK(V195,$V$3:$V$723)</f>
        <v>213</v>
      </c>
      <c r="X195" s="11">
        <f t="shared" ref="X195:X258" si="48">SUM(F195,H195,J195)</f>
        <v>307.75</v>
      </c>
      <c r="Y195" s="9">
        <f t="shared" ref="Y195:Y258" si="49">RANK(X195,$X$3:$X$723)</f>
        <v>213</v>
      </c>
      <c r="Z195" s="11">
        <f t="shared" ref="Z195:Z258" si="50">SUM(F195,H195,J195,L195,N195,P195,R195,T195,V195)</f>
        <v>465.75</v>
      </c>
      <c r="AA195" s="9">
        <f t="shared" ref="AA195:AA258" si="51">RANK(Z195,$Z$3:$Z$723)</f>
        <v>193</v>
      </c>
    </row>
    <row r="196" ht="14.25" spans="1:27">
      <c r="A196" s="13">
        <v>476</v>
      </c>
      <c r="B196" s="15">
        <v>10</v>
      </c>
      <c r="C196" s="16">
        <v>37</v>
      </c>
      <c r="D196" s="17" t="s">
        <v>962</v>
      </c>
      <c r="E196" s="17" t="s">
        <v>963</v>
      </c>
      <c r="F196" s="174">
        <f>VLOOKUP(D196,原始分!$D:$N,3,0)</f>
        <v>93.5</v>
      </c>
      <c r="G196" s="174">
        <f t="shared" si="39"/>
        <v>491</v>
      </c>
      <c r="H196" s="174">
        <f>VLOOKUP(D196,原始分!$D:$N,4,0)</f>
        <v>106</v>
      </c>
      <c r="I196" s="174">
        <f t="shared" si="40"/>
        <v>255</v>
      </c>
      <c r="J196" s="174">
        <f>VLOOKUP(D196,原始分!$D:$N,5,0)</f>
        <v>91.25</v>
      </c>
      <c r="K196" s="174">
        <f t="shared" si="41"/>
        <v>407</v>
      </c>
      <c r="L196" s="174">
        <f>VLOOKUP(D196,原始分!$D:$N,6,0)</f>
        <v>59.5</v>
      </c>
      <c r="M196" s="174">
        <f t="shared" si="42"/>
        <v>195</v>
      </c>
      <c r="N196" s="174">
        <f>VLOOKUP(D196,原始分!$D:$N,7,0)</f>
        <v>0</v>
      </c>
      <c r="O196" s="174">
        <f t="shared" si="43"/>
        <v>1</v>
      </c>
      <c r="P196" s="174">
        <f>VLOOKUP(D196,原始分!$D:$N,8,0)</f>
        <v>50.5</v>
      </c>
      <c r="Q196" s="174">
        <f t="shared" si="44"/>
        <v>100</v>
      </c>
      <c r="R196" s="174">
        <f>VLOOKUP(D196,原始分!$D:$N,9,0)</f>
        <v>0</v>
      </c>
      <c r="S196" s="174">
        <f t="shared" si="45"/>
        <v>218</v>
      </c>
      <c r="T196" s="174">
        <f>VLOOKUP(D196,原始分!$D:$N,10,0)</f>
        <v>0</v>
      </c>
      <c r="U196" s="174">
        <f t="shared" si="46"/>
        <v>112</v>
      </c>
      <c r="V196" s="174">
        <f>VLOOKUP(D196,原始分!$D:$N,11,0)</f>
        <v>65</v>
      </c>
      <c r="W196" s="174">
        <f t="shared" si="47"/>
        <v>34</v>
      </c>
      <c r="X196" s="11">
        <f t="shared" si="48"/>
        <v>290.75</v>
      </c>
      <c r="Y196" s="9">
        <f t="shared" si="49"/>
        <v>361</v>
      </c>
      <c r="Z196" s="11">
        <f t="shared" si="50"/>
        <v>465.75</v>
      </c>
      <c r="AA196" s="9">
        <f t="shared" si="51"/>
        <v>193</v>
      </c>
    </row>
    <row r="197" ht="14.25" spans="1:27">
      <c r="A197" s="13">
        <v>34</v>
      </c>
      <c r="B197" s="15">
        <v>1</v>
      </c>
      <c r="C197" s="16">
        <v>36</v>
      </c>
      <c r="D197" s="17" t="s">
        <v>82</v>
      </c>
      <c r="E197" s="17" t="s">
        <v>83</v>
      </c>
      <c r="F197" s="174">
        <f>VLOOKUP(D197,原始分!$D:$N,3,0)</f>
        <v>105.5</v>
      </c>
      <c r="G197" s="174">
        <f t="shared" si="39"/>
        <v>96</v>
      </c>
      <c r="H197" s="174">
        <f>VLOOKUP(D197,原始分!$D:$N,4,0)</f>
        <v>102.5</v>
      </c>
      <c r="I197" s="174">
        <f t="shared" si="40"/>
        <v>317</v>
      </c>
      <c r="J197" s="174">
        <f>VLOOKUP(D197,原始分!$D:$N,5,0)</f>
        <v>102</v>
      </c>
      <c r="K197" s="174">
        <f t="shared" si="41"/>
        <v>209</v>
      </c>
      <c r="L197" s="174">
        <f>VLOOKUP(D197,原始分!$D:$N,6,0)</f>
        <v>49</v>
      </c>
      <c r="M197" s="174">
        <f t="shared" si="42"/>
        <v>354</v>
      </c>
      <c r="N197" s="174">
        <f>VLOOKUP(D197,原始分!$D:$N,7,0)</f>
        <v>0</v>
      </c>
      <c r="O197" s="174">
        <f t="shared" si="43"/>
        <v>1</v>
      </c>
      <c r="P197" s="174">
        <f>VLOOKUP(D197,原始分!$D:$N,8,0)</f>
        <v>47</v>
      </c>
      <c r="Q197" s="174">
        <f t="shared" si="44"/>
        <v>172</v>
      </c>
      <c r="R197" s="174">
        <f>VLOOKUP(D197,原始分!$D:$N,9,0)</f>
        <v>0</v>
      </c>
      <c r="S197" s="174">
        <f t="shared" si="45"/>
        <v>218</v>
      </c>
      <c r="T197" s="174">
        <f>VLOOKUP(D197,原始分!$D:$N,10,0)</f>
        <v>59</v>
      </c>
      <c r="U197" s="174">
        <f t="shared" si="46"/>
        <v>30</v>
      </c>
      <c r="V197" s="174">
        <f>VLOOKUP(D197,原始分!$D:$N,11,0)</f>
        <v>0</v>
      </c>
      <c r="W197" s="174">
        <f t="shared" si="47"/>
        <v>461</v>
      </c>
      <c r="X197" s="11">
        <f t="shared" si="48"/>
        <v>310</v>
      </c>
      <c r="Y197" s="9">
        <f t="shared" si="49"/>
        <v>193</v>
      </c>
      <c r="Z197" s="11">
        <f t="shared" si="50"/>
        <v>465</v>
      </c>
      <c r="AA197" s="9">
        <f t="shared" si="51"/>
        <v>195</v>
      </c>
    </row>
    <row r="198" ht="14.25" spans="1:27">
      <c r="A198" s="13">
        <v>261</v>
      </c>
      <c r="B198" s="15">
        <v>6</v>
      </c>
      <c r="C198" s="16">
        <v>13</v>
      </c>
      <c r="D198" s="17" t="s">
        <v>533</v>
      </c>
      <c r="E198" s="17" t="s">
        <v>534</v>
      </c>
      <c r="F198" s="174">
        <f>VLOOKUP(D198,原始分!$D:$N,3,0)</f>
        <v>103</v>
      </c>
      <c r="G198" s="174">
        <f t="shared" si="39"/>
        <v>168</v>
      </c>
      <c r="H198" s="174">
        <f>VLOOKUP(D198,原始分!$D:$N,4,0)</f>
        <v>91</v>
      </c>
      <c r="I198" s="174">
        <f t="shared" si="40"/>
        <v>479</v>
      </c>
      <c r="J198" s="174">
        <f>VLOOKUP(D198,原始分!$D:$N,5,0)</f>
        <v>115.5</v>
      </c>
      <c r="K198" s="174">
        <f t="shared" si="41"/>
        <v>48</v>
      </c>
      <c r="L198" s="174">
        <f>VLOOKUP(D198,原始分!$D:$N,6,0)</f>
        <v>53.5</v>
      </c>
      <c r="M198" s="174">
        <f t="shared" si="42"/>
        <v>292</v>
      </c>
      <c r="N198" s="174">
        <f>VLOOKUP(D198,原始分!$D:$N,7,0)</f>
        <v>0</v>
      </c>
      <c r="O198" s="174">
        <f t="shared" si="43"/>
        <v>1</v>
      </c>
      <c r="P198" s="174">
        <f>VLOOKUP(D198,原始分!$D:$N,8,0)</f>
        <v>0</v>
      </c>
      <c r="Q198" s="174">
        <f t="shared" si="44"/>
        <v>539</v>
      </c>
      <c r="R198" s="174">
        <f>VLOOKUP(D198,原始分!$D:$N,9,0)</f>
        <v>54.5</v>
      </c>
      <c r="S198" s="174">
        <f t="shared" si="45"/>
        <v>51</v>
      </c>
      <c r="T198" s="174">
        <f>VLOOKUP(D198,原始分!$D:$N,10,0)</f>
        <v>0</v>
      </c>
      <c r="U198" s="174">
        <f t="shared" si="46"/>
        <v>112</v>
      </c>
      <c r="V198" s="174">
        <f>VLOOKUP(D198,原始分!$D:$N,11,0)</f>
        <v>47.5</v>
      </c>
      <c r="W198" s="174">
        <f t="shared" si="47"/>
        <v>287</v>
      </c>
      <c r="X198" s="11">
        <f t="shared" si="48"/>
        <v>309.5</v>
      </c>
      <c r="Y198" s="9">
        <f t="shared" si="49"/>
        <v>197</v>
      </c>
      <c r="Z198" s="11">
        <f t="shared" si="50"/>
        <v>465</v>
      </c>
      <c r="AA198" s="9">
        <f t="shared" si="51"/>
        <v>195</v>
      </c>
    </row>
    <row r="199" ht="14.25" spans="1:27">
      <c r="A199" s="13">
        <v>368</v>
      </c>
      <c r="B199" s="15">
        <v>8</v>
      </c>
      <c r="C199" s="16">
        <v>42</v>
      </c>
      <c r="D199" s="17" t="s">
        <v>746</v>
      </c>
      <c r="E199" s="17" t="s">
        <v>747</v>
      </c>
      <c r="F199" s="174">
        <f>VLOOKUP(D199,原始分!$D:$N,3,0)</f>
        <v>100.5</v>
      </c>
      <c r="G199" s="174">
        <f t="shared" si="39"/>
        <v>252</v>
      </c>
      <c r="H199" s="174">
        <f>VLOOKUP(D199,原始分!$D:$N,4,0)</f>
        <v>111.5</v>
      </c>
      <c r="I199" s="174">
        <f t="shared" si="40"/>
        <v>169</v>
      </c>
      <c r="J199" s="174">
        <f>VLOOKUP(D199,原始分!$D:$N,5,0)</f>
        <v>72</v>
      </c>
      <c r="K199" s="174">
        <f t="shared" si="41"/>
        <v>610</v>
      </c>
      <c r="L199" s="174">
        <f>VLOOKUP(D199,原始分!$D:$N,6,0)</f>
        <v>67</v>
      </c>
      <c r="M199" s="174">
        <f t="shared" si="42"/>
        <v>82</v>
      </c>
      <c r="N199" s="174">
        <f>VLOOKUP(D199,原始分!$D:$N,7,0)</f>
        <v>0</v>
      </c>
      <c r="O199" s="174">
        <f t="shared" si="43"/>
        <v>1</v>
      </c>
      <c r="P199" s="174">
        <f>VLOOKUP(D199,原始分!$D:$N,8,0)</f>
        <v>53</v>
      </c>
      <c r="Q199" s="174">
        <f t="shared" si="44"/>
        <v>69</v>
      </c>
      <c r="R199" s="174">
        <f>VLOOKUP(D199,原始分!$D:$N,9,0)</f>
        <v>0</v>
      </c>
      <c r="S199" s="174">
        <f t="shared" si="45"/>
        <v>218</v>
      </c>
      <c r="T199" s="174">
        <f>VLOOKUP(D199,原始分!$D:$N,10,0)</f>
        <v>0</v>
      </c>
      <c r="U199" s="174">
        <f t="shared" si="46"/>
        <v>112</v>
      </c>
      <c r="V199" s="174">
        <f>VLOOKUP(D199,原始分!$D:$N,11,0)</f>
        <v>61</v>
      </c>
      <c r="W199" s="174">
        <f t="shared" si="47"/>
        <v>67</v>
      </c>
      <c r="X199" s="11">
        <f t="shared" si="48"/>
        <v>284</v>
      </c>
      <c r="Y199" s="9">
        <f t="shared" si="49"/>
        <v>408</v>
      </c>
      <c r="Z199" s="11">
        <f t="shared" si="50"/>
        <v>465</v>
      </c>
      <c r="AA199" s="9">
        <f t="shared" si="51"/>
        <v>195</v>
      </c>
    </row>
    <row r="200" ht="14.25" spans="1:27">
      <c r="A200" s="13">
        <v>413</v>
      </c>
      <c r="B200" s="15">
        <v>9</v>
      </c>
      <c r="C200" s="16">
        <v>29</v>
      </c>
      <c r="D200" s="17" t="s">
        <v>836</v>
      </c>
      <c r="E200" s="17" t="s">
        <v>837</v>
      </c>
      <c r="F200" s="174">
        <f>VLOOKUP(D200,原始分!$D:$N,3,0)</f>
        <v>93.5</v>
      </c>
      <c r="G200" s="174">
        <f t="shared" si="39"/>
        <v>491</v>
      </c>
      <c r="H200" s="174">
        <f>VLOOKUP(D200,原始分!$D:$N,4,0)</f>
        <v>116</v>
      </c>
      <c r="I200" s="174">
        <f t="shared" si="40"/>
        <v>99</v>
      </c>
      <c r="J200" s="174">
        <f>VLOOKUP(D200,原始分!$D:$N,5,0)</f>
        <v>104</v>
      </c>
      <c r="K200" s="174">
        <f t="shared" si="41"/>
        <v>185</v>
      </c>
      <c r="L200" s="174">
        <f>VLOOKUP(D200,原始分!$D:$N,6,0)</f>
        <v>65.5</v>
      </c>
      <c r="M200" s="174">
        <f t="shared" si="42"/>
        <v>105</v>
      </c>
      <c r="N200" s="174">
        <f>VLOOKUP(D200,原始分!$D:$N,7,0)</f>
        <v>0</v>
      </c>
      <c r="O200" s="174">
        <f t="shared" si="43"/>
        <v>1</v>
      </c>
      <c r="P200" s="174">
        <f>VLOOKUP(D200,原始分!$D:$N,8,0)</f>
        <v>37.5</v>
      </c>
      <c r="Q200" s="174">
        <f t="shared" si="44"/>
        <v>367</v>
      </c>
      <c r="R200" s="174">
        <f>VLOOKUP(D200,原始分!$D:$N,9,0)</f>
        <v>0</v>
      </c>
      <c r="S200" s="174">
        <f t="shared" si="45"/>
        <v>218</v>
      </c>
      <c r="T200" s="174">
        <f>VLOOKUP(D200,原始分!$D:$N,10,0)</f>
        <v>0</v>
      </c>
      <c r="U200" s="174">
        <f t="shared" si="46"/>
        <v>112</v>
      </c>
      <c r="V200" s="174">
        <f>VLOOKUP(D200,原始分!$D:$N,11,0)</f>
        <v>48</v>
      </c>
      <c r="W200" s="174">
        <f t="shared" si="47"/>
        <v>277</v>
      </c>
      <c r="X200" s="11">
        <f t="shared" si="48"/>
        <v>313.5</v>
      </c>
      <c r="Y200" s="9">
        <f t="shared" si="49"/>
        <v>164</v>
      </c>
      <c r="Z200" s="11">
        <f t="shared" si="50"/>
        <v>464.5</v>
      </c>
      <c r="AA200" s="9">
        <f t="shared" si="51"/>
        <v>198</v>
      </c>
    </row>
    <row r="201" ht="14.25" spans="1:27">
      <c r="A201" s="13">
        <v>534</v>
      </c>
      <c r="B201" s="15">
        <v>11</v>
      </c>
      <c r="C201" s="16">
        <v>40</v>
      </c>
      <c r="D201" s="17" t="s">
        <v>1077</v>
      </c>
      <c r="E201" s="17" t="s">
        <v>1078</v>
      </c>
      <c r="F201" s="174">
        <f>VLOOKUP(D201,原始分!$D:$N,3,0)</f>
        <v>97.5</v>
      </c>
      <c r="G201" s="174">
        <f t="shared" si="39"/>
        <v>372</v>
      </c>
      <c r="H201" s="174">
        <f>VLOOKUP(D201,原始分!$D:$N,4,0)</f>
        <v>113</v>
      </c>
      <c r="I201" s="174">
        <f t="shared" si="40"/>
        <v>143</v>
      </c>
      <c r="J201" s="174">
        <f>VLOOKUP(D201,原始分!$D:$N,5,0)</f>
        <v>96.5</v>
      </c>
      <c r="K201" s="174">
        <f t="shared" si="41"/>
        <v>314</v>
      </c>
      <c r="L201" s="174">
        <f>VLOOKUP(D201,原始分!$D:$N,6,0)</f>
        <v>71.5</v>
      </c>
      <c r="M201" s="174">
        <f t="shared" si="42"/>
        <v>55</v>
      </c>
      <c r="N201" s="174">
        <f>VLOOKUP(D201,原始分!$D:$N,7,0)</f>
        <v>0</v>
      </c>
      <c r="O201" s="174">
        <f t="shared" si="43"/>
        <v>1</v>
      </c>
      <c r="P201" s="174">
        <f>VLOOKUP(D201,原始分!$D:$N,8,0)</f>
        <v>47</v>
      </c>
      <c r="Q201" s="174">
        <f t="shared" si="44"/>
        <v>172</v>
      </c>
      <c r="R201" s="174">
        <f>VLOOKUP(D201,原始分!$D:$N,9,0)</f>
        <v>0</v>
      </c>
      <c r="S201" s="174">
        <f t="shared" si="45"/>
        <v>218</v>
      </c>
      <c r="T201" s="174">
        <f>VLOOKUP(D201,原始分!$D:$N,10,0)</f>
        <v>0</v>
      </c>
      <c r="U201" s="174">
        <f t="shared" si="46"/>
        <v>112</v>
      </c>
      <c r="V201" s="174">
        <f>VLOOKUP(D201,原始分!$D:$N,11,0)</f>
        <v>39</v>
      </c>
      <c r="W201" s="174">
        <f t="shared" si="47"/>
        <v>409</v>
      </c>
      <c r="X201" s="11">
        <f t="shared" si="48"/>
        <v>307</v>
      </c>
      <c r="Y201" s="9">
        <f t="shared" si="49"/>
        <v>221</v>
      </c>
      <c r="Z201" s="11">
        <f t="shared" si="50"/>
        <v>464.5</v>
      </c>
      <c r="AA201" s="9">
        <f t="shared" si="51"/>
        <v>198</v>
      </c>
    </row>
    <row r="202" ht="14.25" spans="1:27">
      <c r="A202" s="13">
        <v>592</v>
      </c>
      <c r="B202" s="15">
        <v>12</v>
      </c>
      <c r="C202" s="16">
        <v>42</v>
      </c>
      <c r="D202" s="17" t="s">
        <v>1192</v>
      </c>
      <c r="E202" s="17" t="s">
        <v>1193</v>
      </c>
      <c r="F202" s="174">
        <f>VLOOKUP(D202,原始分!$D:$N,3,0)</f>
        <v>103</v>
      </c>
      <c r="G202" s="174">
        <f t="shared" si="39"/>
        <v>168</v>
      </c>
      <c r="H202" s="174">
        <f>VLOOKUP(D202,原始分!$D:$N,4,0)</f>
        <v>98</v>
      </c>
      <c r="I202" s="174">
        <f t="shared" si="40"/>
        <v>375</v>
      </c>
      <c r="J202" s="174">
        <f>VLOOKUP(D202,原始分!$D:$N,5,0)</f>
        <v>97.5</v>
      </c>
      <c r="K202" s="174">
        <f t="shared" si="41"/>
        <v>298</v>
      </c>
      <c r="L202" s="174">
        <f>VLOOKUP(D202,原始分!$D:$N,6,0)</f>
        <v>57</v>
      </c>
      <c r="M202" s="174">
        <f t="shared" si="42"/>
        <v>237</v>
      </c>
      <c r="N202" s="174">
        <f>VLOOKUP(D202,原始分!$D:$N,7,0)</f>
        <v>0</v>
      </c>
      <c r="O202" s="174">
        <f t="shared" si="43"/>
        <v>1</v>
      </c>
      <c r="P202" s="174">
        <f>VLOOKUP(D202,原始分!$D:$N,8,0)</f>
        <v>44.5</v>
      </c>
      <c r="Q202" s="174">
        <f t="shared" si="44"/>
        <v>218</v>
      </c>
      <c r="R202" s="174">
        <f>VLOOKUP(D202,原始分!$D:$N,9,0)</f>
        <v>0</v>
      </c>
      <c r="S202" s="174">
        <f t="shared" si="45"/>
        <v>218</v>
      </c>
      <c r="T202" s="174">
        <f>VLOOKUP(D202,原始分!$D:$N,10,0)</f>
        <v>0</v>
      </c>
      <c r="U202" s="174">
        <f t="shared" si="46"/>
        <v>112</v>
      </c>
      <c r="V202" s="174">
        <f>VLOOKUP(D202,原始分!$D:$N,11,0)</f>
        <v>64.5</v>
      </c>
      <c r="W202" s="174">
        <f t="shared" si="47"/>
        <v>38</v>
      </c>
      <c r="X202" s="11">
        <f t="shared" si="48"/>
        <v>298.5</v>
      </c>
      <c r="Y202" s="9">
        <f t="shared" si="49"/>
        <v>289</v>
      </c>
      <c r="Z202" s="11">
        <f t="shared" si="50"/>
        <v>464.5</v>
      </c>
      <c r="AA202" s="9">
        <f t="shared" si="51"/>
        <v>198</v>
      </c>
    </row>
    <row r="203" ht="14.25" spans="1:27">
      <c r="A203" s="13">
        <v>209</v>
      </c>
      <c r="B203" s="15">
        <v>5</v>
      </c>
      <c r="C203" s="16">
        <v>6</v>
      </c>
      <c r="D203" s="17" t="s">
        <v>431</v>
      </c>
      <c r="E203" s="17" t="s">
        <v>432</v>
      </c>
      <c r="F203" s="174">
        <f>VLOOKUP(D203,原始分!$D:$N,3,0)</f>
        <v>88</v>
      </c>
      <c r="G203" s="174">
        <f t="shared" si="39"/>
        <v>607</v>
      </c>
      <c r="H203" s="174">
        <f>VLOOKUP(D203,原始分!$D:$N,4,0)</f>
        <v>116</v>
      </c>
      <c r="I203" s="174">
        <f t="shared" si="40"/>
        <v>99</v>
      </c>
      <c r="J203" s="174">
        <f>VLOOKUP(D203,原始分!$D:$N,5,0)</f>
        <v>116.25</v>
      </c>
      <c r="K203" s="174">
        <f t="shared" si="41"/>
        <v>44</v>
      </c>
      <c r="L203" s="174">
        <f>VLOOKUP(D203,原始分!$D:$N,6,0)</f>
        <v>53</v>
      </c>
      <c r="M203" s="174">
        <f t="shared" si="42"/>
        <v>300</v>
      </c>
      <c r="N203" s="174">
        <f>VLOOKUP(D203,原始分!$D:$N,7,0)</f>
        <v>0</v>
      </c>
      <c r="O203" s="174">
        <f t="shared" si="43"/>
        <v>1</v>
      </c>
      <c r="P203" s="174">
        <f>VLOOKUP(D203,原始分!$D:$N,8,0)</f>
        <v>45</v>
      </c>
      <c r="Q203" s="174">
        <f t="shared" si="44"/>
        <v>208</v>
      </c>
      <c r="R203" s="174">
        <f>VLOOKUP(D203,原始分!$D:$N,9,0)</f>
        <v>46</v>
      </c>
      <c r="S203" s="174">
        <f t="shared" si="45"/>
        <v>144</v>
      </c>
      <c r="T203" s="174">
        <f>VLOOKUP(D203,原始分!$D:$N,10,0)</f>
        <v>0</v>
      </c>
      <c r="U203" s="174">
        <f t="shared" si="46"/>
        <v>112</v>
      </c>
      <c r="V203" s="174">
        <f>VLOOKUP(D203,原始分!$D:$N,11,0)</f>
        <v>0</v>
      </c>
      <c r="W203" s="174">
        <f t="shared" si="47"/>
        <v>461</v>
      </c>
      <c r="X203" s="11">
        <f t="shared" si="48"/>
        <v>320.25</v>
      </c>
      <c r="Y203" s="9">
        <f t="shared" si="49"/>
        <v>114</v>
      </c>
      <c r="Z203" s="11">
        <f t="shared" si="50"/>
        <v>464.25</v>
      </c>
      <c r="AA203" s="9">
        <f t="shared" si="51"/>
        <v>201</v>
      </c>
    </row>
    <row r="204" ht="14.25" spans="1:27">
      <c r="A204" s="13">
        <v>35</v>
      </c>
      <c r="B204" s="15">
        <v>1</v>
      </c>
      <c r="C204" s="16">
        <v>37</v>
      </c>
      <c r="D204" s="17" t="s">
        <v>84</v>
      </c>
      <c r="E204" s="17" t="s">
        <v>85</v>
      </c>
      <c r="F204" s="174">
        <f>VLOOKUP(D204,原始分!$D:$N,3,0)</f>
        <v>105.5</v>
      </c>
      <c r="G204" s="174">
        <f t="shared" si="39"/>
        <v>96</v>
      </c>
      <c r="H204" s="174">
        <f>VLOOKUP(D204,原始分!$D:$N,4,0)</f>
        <v>97.5</v>
      </c>
      <c r="I204" s="174">
        <f t="shared" si="40"/>
        <v>383</v>
      </c>
      <c r="J204" s="174">
        <f>VLOOKUP(D204,原始分!$D:$N,5,0)</f>
        <v>108.5</v>
      </c>
      <c r="K204" s="174">
        <f t="shared" si="41"/>
        <v>121</v>
      </c>
      <c r="L204" s="174">
        <f>VLOOKUP(D204,原始分!$D:$N,6,0)</f>
        <v>57</v>
      </c>
      <c r="M204" s="174">
        <f t="shared" si="42"/>
        <v>237</v>
      </c>
      <c r="N204" s="174">
        <f>VLOOKUP(D204,原始分!$D:$N,7,0)</f>
        <v>0</v>
      </c>
      <c r="O204" s="174">
        <f t="shared" si="43"/>
        <v>1</v>
      </c>
      <c r="P204" s="174">
        <f>VLOOKUP(D204,原始分!$D:$N,8,0)</f>
        <v>41</v>
      </c>
      <c r="Q204" s="174">
        <f t="shared" si="44"/>
        <v>294</v>
      </c>
      <c r="R204" s="174">
        <f>VLOOKUP(D204,原始分!$D:$N,9,0)</f>
        <v>0</v>
      </c>
      <c r="S204" s="174">
        <f t="shared" si="45"/>
        <v>218</v>
      </c>
      <c r="T204" s="174">
        <f>VLOOKUP(D204,原始分!$D:$N,10,0)</f>
        <v>54.5</v>
      </c>
      <c r="U204" s="174">
        <f t="shared" si="46"/>
        <v>58</v>
      </c>
      <c r="V204" s="174">
        <f>VLOOKUP(D204,原始分!$D:$N,11,0)</f>
        <v>0</v>
      </c>
      <c r="W204" s="174">
        <f t="shared" si="47"/>
        <v>461</v>
      </c>
      <c r="X204" s="11">
        <f t="shared" si="48"/>
        <v>311.5</v>
      </c>
      <c r="Y204" s="9">
        <f t="shared" si="49"/>
        <v>173</v>
      </c>
      <c r="Z204" s="11">
        <f t="shared" si="50"/>
        <v>464</v>
      </c>
      <c r="AA204" s="9">
        <f t="shared" si="51"/>
        <v>202</v>
      </c>
    </row>
    <row r="205" ht="14.25" spans="1:27">
      <c r="A205" s="13">
        <v>46</v>
      </c>
      <c r="B205" s="15">
        <v>1</v>
      </c>
      <c r="C205" s="16">
        <v>48</v>
      </c>
      <c r="D205" s="17" t="s">
        <v>106</v>
      </c>
      <c r="E205" s="17" t="s">
        <v>107</v>
      </c>
      <c r="F205" s="174">
        <f>VLOOKUP(D205,原始分!$D:$N,3,0)</f>
        <v>103.5</v>
      </c>
      <c r="G205" s="174">
        <f t="shared" si="39"/>
        <v>146</v>
      </c>
      <c r="H205" s="174">
        <f>VLOOKUP(D205,原始分!$D:$N,4,0)</f>
        <v>99</v>
      </c>
      <c r="I205" s="174">
        <f t="shared" si="40"/>
        <v>359</v>
      </c>
      <c r="J205" s="174">
        <f>VLOOKUP(D205,原始分!$D:$N,5,0)</f>
        <v>92</v>
      </c>
      <c r="K205" s="174">
        <f t="shared" si="41"/>
        <v>392</v>
      </c>
      <c r="L205" s="174">
        <f>VLOOKUP(D205,原始分!$D:$N,6,0)</f>
        <v>59</v>
      </c>
      <c r="M205" s="174">
        <f t="shared" si="42"/>
        <v>203</v>
      </c>
      <c r="N205" s="174">
        <f>VLOOKUP(D205,原始分!$D:$N,7,0)</f>
        <v>0</v>
      </c>
      <c r="O205" s="174">
        <f t="shared" si="43"/>
        <v>1</v>
      </c>
      <c r="P205" s="174">
        <f>VLOOKUP(D205,原始分!$D:$N,8,0)</f>
        <v>49.5</v>
      </c>
      <c r="Q205" s="174">
        <f t="shared" si="44"/>
        <v>119</v>
      </c>
      <c r="R205" s="174">
        <f>VLOOKUP(D205,原始分!$D:$N,9,0)</f>
        <v>0</v>
      </c>
      <c r="S205" s="174">
        <f t="shared" si="45"/>
        <v>218</v>
      </c>
      <c r="T205" s="174">
        <f>VLOOKUP(D205,原始分!$D:$N,10,0)</f>
        <v>61</v>
      </c>
      <c r="U205" s="174">
        <f t="shared" si="46"/>
        <v>24</v>
      </c>
      <c r="V205" s="174">
        <f>VLOOKUP(D205,原始分!$D:$N,11,0)</f>
        <v>0</v>
      </c>
      <c r="W205" s="174">
        <f t="shared" si="47"/>
        <v>461</v>
      </c>
      <c r="X205" s="11">
        <f t="shared" si="48"/>
        <v>294.5</v>
      </c>
      <c r="Y205" s="9">
        <f t="shared" si="49"/>
        <v>321</v>
      </c>
      <c r="Z205" s="11">
        <f t="shared" si="50"/>
        <v>464</v>
      </c>
      <c r="AA205" s="9">
        <f t="shared" si="51"/>
        <v>202</v>
      </c>
    </row>
    <row r="206" ht="14.25" spans="1:27">
      <c r="A206" s="13">
        <v>71</v>
      </c>
      <c r="B206" s="15">
        <v>2</v>
      </c>
      <c r="C206" s="16">
        <v>8</v>
      </c>
      <c r="D206" s="17" t="s">
        <v>156</v>
      </c>
      <c r="E206" s="17" t="s">
        <v>157</v>
      </c>
      <c r="F206" s="174">
        <f>VLOOKUP(D206,原始分!$D:$N,3,0)</f>
        <v>102</v>
      </c>
      <c r="G206" s="174">
        <f t="shared" si="39"/>
        <v>199</v>
      </c>
      <c r="H206" s="174">
        <f>VLOOKUP(D206,原始分!$D:$N,4,0)</f>
        <v>97</v>
      </c>
      <c r="I206" s="174">
        <f t="shared" si="40"/>
        <v>393</v>
      </c>
      <c r="J206" s="174">
        <f>VLOOKUP(D206,原始分!$D:$N,5,0)</f>
        <v>86.5</v>
      </c>
      <c r="K206" s="174">
        <f t="shared" si="41"/>
        <v>469</v>
      </c>
      <c r="L206" s="174">
        <f>VLOOKUP(D206,原始分!$D:$N,6,0)</f>
        <v>67.5</v>
      </c>
      <c r="M206" s="174">
        <f t="shared" si="42"/>
        <v>79</v>
      </c>
      <c r="N206" s="174">
        <f>VLOOKUP(D206,原始分!$D:$N,7,0)</f>
        <v>0</v>
      </c>
      <c r="O206" s="174">
        <f t="shared" si="43"/>
        <v>1</v>
      </c>
      <c r="P206" s="174">
        <f>VLOOKUP(D206,原始分!$D:$N,8,0)</f>
        <v>0</v>
      </c>
      <c r="Q206" s="174">
        <f t="shared" si="44"/>
        <v>539</v>
      </c>
      <c r="R206" s="174">
        <f>VLOOKUP(D206,原始分!$D:$N,9,0)</f>
        <v>0</v>
      </c>
      <c r="S206" s="174">
        <f t="shared" si="45"/>
        <v>218</v>
      </c>
      <c r="T206" s="174">
        <f>VLOOKUP(D206,原始分!$D:$N,10,0)</f>
        <v>52</v>
      </c>
      <c r="U206" s="174">
        <f t="shared" si="46"/>
        <v>68</v>
      </c>
      <c r="V206" s="174">
        <f>VLOOKUP(D206,原始分!$D:$N,11,0)</f>
        <v>59</v>
      </c>
      <c r="W206" s="174">
        <f t="shared" si="47"/>
        <v>90</v>
      </c>
      <c r="X206" s="11">
        <f t="shared" si="48"/>
        <v>285.5</v>
      </c>
      <c r="Y206" s="9">
        <f t="shared" si="49"/>
        <v>397</v>
      </c>
      <c r="Z206" s="11">
        <f t="shared" si="50"/>
        <v>464</v>
      </c>
      <c r="AA206" s="9">
        <f t="shared" si="51"/>
        <v>202</v>
      </c>
    </row>
    <row r="207" ht="14.25" spans="1:27">
      <c r="A207" s="13">
        <v>265</v>
      </c>
      <c r="B207" s="15">
        <v>6</v>
      </c>
      <c r="C207" s="16">
        <v>17</v>
      </c>
      <c r="D207" s="17" t="s">
        <v>541</v>
      </c>
      <c r="E207" s="17" t="s">
        <v>542</v>
      </c>
      <c r="F207" s="174">
        <f>VLOOKUP(D207,原始分!$D:$N,3,0)</f>
        <v>91</v>
      </c>
      <c r="G207" s="174">
        <f t="shared" si="39"/>
        <v>555</v>
      </c>
      <c r="H207" s="174">
        <f>VLOOKUP(D207,原始分!$D:$N,4,0)</f>
        <v>97.5</v>
      </c>
      <c r="I207" s="174">
        <f t="shared" si="40"/>
        <v>383</v>
      </c>
      <c r="J207" s="174">
        <f>VLOOKUP(D207,原始分!$D:$N,5,0)</f>
        <v>89.5</v>
      </c>
      <c r="K207" s="174">
        <f t="shared" si="41"/>
        <v>426</v>
      </c>
      <c r="L207" s="174">
        <f>VLOOKUP(D207,原始分!$D:$N,6,0)</f>
        <v>80</v>
      </c>
      <c r="M207" s="174">
        <f t="shared" si="42"/>
        <v>12</v>
      </c>
      <c r="N207" s="174">
        <f>VLOOKUP(D207,原始分!$D:$N,7,0)</f>
        <v>0</v>
      </c>
      <c r="O207" s="174">
        <f t="shared" si="43"/>
        <v>1</v>
      </c>
      <c r="P207" s="174">
        <f>VLOOKUP(D207,原始分!$D:$N,8,0)</f>
        <v>0</v>
      </c>
      <c r="Q207" s="174">
        <f t="shared" si="44"/>
        <v>539</v>
      </c>
      <c r="R207" s="174">
        <f>VLOOKUP(D207,原始分!$D:$N,9,0)</f>
        <v>50.5</v>
      </c>
      <c r="S207" s="174">
        <f t="shared" si="45"/>
        <v>90</v>
      </c>
      <c r="T207" s="174">
        <f>VLOOKUP(D207,原始分!$D:$N,10,0)</f>
        <v>0</v>
      </c>
      <c r="U207" s="174">
        <f t="shared" si="46"/>
        <v>112</v>
      </c>
      <c r="V207" s="174">
        <f>VLOOKUP(D207,原始分!$D:$N,11,0)</f>
        <v>55.5</v>
      </c>
      <c r="W207" s="174">
        <f t="shared" si="47"/>
        <v>139</v>
      </c>
      <c r="X207" s="11">
        <f t="shared" si="48"/>
        <v>278</v>
      </c>
      <c r="Y207" s="9">
        <f t="shared" si="49"/>
        <v>469</v>
      </c>
      <c r="Z207" s="11">
        <f t="shared" si="50"/>
        <v>464</v>
      </c>
      <c r="AA207" s="9">
        <f t="shared" si="51"/>
        <v>202</v>
      </c>
    </row>
    <row r="208" ht="14.25" spans="1:27">
      <c r="A208" s="13">
        <v>522</v>
      </c>
      <c r="B208" s="15">
        <v>11</v>
      </c>
      <c r="C208" s="16">
        <v>27</v>
      </c>
      <c r="D208" s="17" t="s">
        <v>1054</v>
      </c>
      <c r="E208" s="17" t="s">
        <v>1055</v>
      </c>
      <c r="F208" s="174">
        <f>VLOOKUP(D208,原始分!$D:$N,3,0)</f>
        <v>116</v>
      </c>
      <c r="G208" s="174">
        <f t="shared" si="39"/>
        <v>2</v>
      </c>
      <c r="H208" s="174">
        <f>VLOOKUP(D208,原始分!$D:$N,4,0)</f>
        <v>101</v>
      </c>
      <c r="I208" s="174">
        <f t="shared" si="40"/>
        <v>339</v>
      </c>
      <c r="J208" s="174">
        <f>VLOOKUP(D208,原始分!$D:$N,5,0)</f>
        <v>99.5</v>
      </c>
      <c r="K208" s="174">
        <f t="shared" si="41"/>
        <v>256</v>
      </c>
      <c r="L208" s="174">
        <f>VLOOKUP(D208,原始分!$D:$N,6,0)</f>
        <v>35.5</v>
      </c>
      <c r="M208" s="174">
        <f t="shared" si="42"/>
        <v>566</v>
      </c>
      <c r="N208" s="174">
        <f>VLOOKUP(D208,原始分!$D:$N,7,0)</f>
        <v>0</v>
      </c>
      <c r="O208" s="174">
        <f t="shared" si="43"/>
        <v>1</v>
      </c>
      <c r="P208" s="174">
        <f>VLOOKUP(D208,原始分!$D:$N,8,0)</f>
        <v>55</v>
      </c>
      <c r="Q208" s="174">
        <f t="shared" si="44"/>
        <v>51</v>
      </c>
      <c r="R208" s="174">
        <f>VLOOKUP(D208,原始分!$D:$N,9,0)</f>
        <v>0</v>
      </c>
      <c r="S208" s="174">
        <f t="shared" si="45"/>
        <v>218</v>
      </c>
      <c r="T208" s="174">
        <f>VLOOKUP(D208,原始分!$D:$N,10,0)</f>
        <v>0</v>
      </c>
      <c r="U208" s="174">
        <f t="shared" si="46"/>
        <v>112</v>
      </c>
      <c r="V208" s="174">
        <f>VLOOKUP(D208,原始分!$D:$N,11,0)</f>
        <v>57</v>
      </c>
      <c r="W208" s="174">
        <f t="shared" si="47"/>
        <v>112</v>
      </c>
      <c r="X208" s="11">
        <f t="shared" si="48"/>
        <v>316.5</v>
      </c>
      <c r="Y208" s="9">
        <f t="shared" si="49"/>
        <v>142</v>
      </c>
      <c r="Z208" s="11">
        <f t="shared" si="50"/>
        <v>464</v>
      </c>
      <c r="AA208" s="9">
        <f t="shared" si="51"/>
        <v>202</v>
      </c>
    </row>
    <row r="209" ht="14.25" spans="1:27">
      <c r="A209" s="13">
        <v>658</v>
      </c>
      <c r="B209" s="15">
        <v>13</v>
      </c>
      <c r="C209" s="16">
        <v>52</v>
      </c>
      <c r="D209" s="17" t="s">
        <v>1323</v>
      </c>
      <c r="E209" s="17" t="s">
        <v>1324</v>
      </c>
      <c r="F209" s="174">
        <f>VLOOKUP(D209,原始分!$D:$N,3,0)</f>
        <v>103</v>
      </c>
      <c r="G209" s="174">
        <f t="shared" si="39"/>
        <v>168</v>
      </c>
      <c r="H209" s="174">
        <f>VLOOKUP(D209,原始分!$D:$N,4,0)</f>
        <v>101.5</v>
      </c>
      <c r="I209" s="174">
        <f t="shared" si="40"/>
        <v>328</v>
      </c>
      <c r="J209" s="174">
        <f>VLOOKUP(D209,原始分!$D:$N,5,0)</f>
        <v>93.5</v>
      </c>
      <c r="K209" s="174">
        <f t="shared" si="41"/>
        <v>364</v>
      </c>
      <c r="L209" s="174">
        <f>VLOOKUP(D209,原始分!$D:$N,6,0)</f>
        <v>66</v>
      </c>
      <c r="M209" s="174">
        <f t="shared" si="42"/>
        <v>97</v>
      </c>
      <c r="N209" s="174">
        <f>VLOOKUP(D209,原始分!$D:$N,7,0)</f>
        <v>0</v>
      </c>
      <c r="O209" s="174">
        <f t="shared" si="43"/>
        <v>1</v>
      </c>
      <c r="P209" s="174">
        <f>VLOOKUP(D209,原始分!$D:$N,8,0)</f>
        <v>41</v>
      </c>
      <c r="Q209" s="174">
        <f t="shared" si="44"/>
        <v>294</v>
      </c>
      <c r="R209" s="174">
        <f>VLOOKUP(D209,原始分!$D:$N,9,0)</f>
        <v>0</v>
      </c>
      <c r="S209" s="174">
        <f t="shared" si="45"/>
        <v>218</v>
      </c>
      <c r="T209" s="174">
        <f>VLOOKUP(D209,原始分!$D:$N,10,0)</f>
        <v>0</v>
      </c>
      <c r="U209" s="174">
        <f t="shared" si="46"/>
        <v>112</v>
      </c>
      <c r="V209" s="174">
        <f>VLOOKUP(D209,原始分!$D:$N,11,0)</f>
        <v>59</v>
      </c>
      <c r="W209" s="174">
        <f t="shared" si="47"/>
        <v>90</v>
      </c>
      <c r="X209" s="11">
        <f t="shared" si="48"/>
        <v>298</v>
      </c>
      <c r="Y209" s="9">
        <f t="shared" si="49"/>
        <v>293</v>
      </c>
      <c r="Z209" s="11">
        <f t="shared" si="50"/>
        <v>464</v>
      </c>
      <c r="AA209" s="9">
        <f t="shared" si="51"/>
        <v>202</v>
      </c>
    </row>
    <row r="210" ht="14.25" spans="1:27">
      <c r="A210" s="13">
        <v>585</v>
      </c>
      <c r="B210" s="15">
        <v>12</v>
      </c>
      <c r="C210" s="16">
        <v>34</v>
      </c>
      <c r="D210" s="17" t="s">
        <v>1178</v>
      </c>
      <c r="E210" s="17" t="s">
        <v>1179</v>
      </c>
      <c r="F210" s="174">
        <f>VLOOKUP(D210,原始分!$D:$N,3,0)</f>
        <v>91.5</v>
      </c>
      <c r="G210" s="174">
        <f t="shared" si="39"/>
        <v>538</v>
      </c>
      <c r="H210" s="174">
        <f>VLOOKUP(D210,原始分!$D:$N,4,0)</f>
        <v>115.5</v>
      </c>
      <c r="I210" s="174">
        <f t="shared" si="40"/>
        <v>107</v>
      </c>
      <c r="J210" s="174">
        <f>VLOOKUP(D210,原始分!$D:$N,5,0)</f>
        <v>92</v>
      </c>
      <c r="K210" s="174">
        <f t="shared" si="41"/>
        <v>392</v>
      </c>
      <c r="L210" s="174">
        <f>VLOOKUP(D210,原始分!$D:$N,6,0)</f>
        <v>58.5</v>
      </c>
      <c r="M210" s="174">
        <f t="shared" si="42"/>
        <v>209</v>
      </c>
      <c r="N210" s="174">
        <f>VLOOKUP(D210,原始分!$D:$N,7,0)</f>
        <v>0</v>
      </c>
      <c r="O210" s="174">
        <f t="shared" si="43"/>
        <v>1</v>
      </c>
      <c r="P210" s="174">
        <f>VLOOKUP(D210,原始分!$D:$N,8,0)</f>
        <v>59</v>
      </c>
      <c r="Q210" s="174">
        <f t="shared" si="44"/>
        <v>32</v>
      </c>
      <c r="R210" s="174">
        <f>VLOOKUP(D210,原始分!$D:$N,9,0)</f>
        <v>0</v>
      </c>
      <c r="S210" s="174">
        <f t="shared" si="45"/>
        <v>218</v>
      </c>
      <c r="T210" s="174">
        <f>VLOOKUP(D210,原始分!$D:$N,10,0)</f>
        <v>0</v>
      </c>
      <c r="U210" s="174">
        <f t="shared" si="46"/>
        <v>112</v>
      </c>
      <c r="V210" s="174">
        <f>VLOOKUP(D210,原始分!$D:$N,11,0)</f>
        <v>47</v>
      </c>
      <c r="W210" s="174">
        <f t="shared" si="47"/>
        <v>296</v>
      </c>
      <c r="X210" s="11">
        <f t="shared" si="48"/>
        <v>299</v>
      </c>
      <c r="Y210" s="9">
        <f t="shared" si="49"/>
        <v>284</v>
      </c>
      <c r="Z210" s="11">
        <f t="shared" si="50"/>
        <v>463.5</v>
      </c>
      <c r="AA210" s="9">
        <f t="shared" si="51"/>
        <v>208</v>
      </c>
    </row>
    <row r="211" ht="14.25" spans="1:27">
      <c r="A211" s="13">
        <v>612</v>
      </c>
      <c r="B211" s="15">
        <v>13</v>
      </c>
      <c r="C211" s="16">
        <v>3</v>
      </c>
      <c r="D211" s="17" t="s">
        <v>1232</v>
      </c>
      <c r="E211" s="17" t="s">
        <v>1233</v>
      </c>
      <c r="F211" s="174">
        <f>VLOOKUP(D211,原始分!$D:$N,3,0)</f>
        <v>95</v>
      </c>
      <c r="G211" s="174">
        <f t="shared" si="39"/>
        <v>441</v>
      </c>
      <c r="H211" s="174">
        <f>VLOOKUP(D211,原始分!$D:$N,4,0)</f>
        <v>117</v>
      </c>
      <c r="I211" s="174">
        <f t="shared" si="40"/>
        <v>85</v>
      </c>
      <c r="J211" s="174">
        <f>VLOOKUP(D211,原始分!$D:$N,5,0)</f>
        <v>87</v>
      </c>
      <c r="K211" s="174">
        <f t="shared" si="41"/>
        <v>457</v>
      </c>
      <c r="L211" s="174">
        <f>VLOOKUP(D211,原始分!$D:$N,6,0)</f>
        <v>66.5</v>
      </c>
      <c r="M211" s="174">
        <f t="shared" si="42"/>
        <v>88</v>
      </c>
      <c r="N211" s="174">
        <f>VLOOKUP(D211,原始分!$D:$N,7,0)</f>
        <v>0</v>
      </c>
      <c r="O211" s="174">
        <f t="shared" si="43"/>
        <v>1</v>
      </c>
      <c r="P211" s="174">
        <f>VLOOKUP(D211,原始分!$D:$N,8,0)</f>
        <v>40.5</v>
      </c>
      <c r="Q211" s="174">
        <f t="shared" si="44"/>
        <v>301</v>
      </c>
      <c r="R211" s="174">
        <f>VLOOKUP(D211,原始分!$D:$N,9,0)</f>
        <v>0</v>
      </c>
      <c r="S211" s="174">
        <f t="shared" si="45"/>
        <v>218</v>
      </c>
      <c r="T211" s="174">
        <f>VLOOKUP(D211,原始分!$D:$N,10,0)</f>
        <v>0</v>
      </c>
      <c r="U211" s="174">
        <f t="shared" si="46"/>
        <v>112</v>
      </c>
      <c r="V211" s="174">
        <f>VLOOKUP(D211,原始分!$D:$N,11,0)</f>
        <v>57.5</v>
      </c>
      <c r="W211" s="174">
        <f t="shared" si="47"/>
        <v>107</v>
      </c>
      <c r="X211" s="11">
        <f t="shared" si="48"/>
        <v>299</v>
      </c>
      <c r="Y211" s="9">
        <f t="shared" si="49"/>
        <v>284</v>
      </c>
      <c r="Z211" s="11">
        <f t="shared" si="50"/>
        <v>463.5</v>
      </c>
      <c r="AA211" s="9">
        <f t="shared" si="51"/>
        <v>208</v>
      </c>
    </row>
    <row r="212" ht="14.25" spans="1:27">
      <c r="A212" s="13">
        <v>26</v>
      </c>
      <c r="B212" s="15">
        <v>1</v>
      </c>
      <c r="C212" s="16">
        <v>28</v>
      </c>
      <c r="D212" s="17" t="s">
        <v>66</v>
      </c>
      <c r="E212" s="17" t="s">
        <v>67</v>
      </c>
      <c r="F212" s="174">
        <f>VLOOKUP(D212,原始分!$D:$N,3,0)</f>
        <v>95.5</v>
      </c>
      <c r="G212" s="174">
        <f t="shared" si="39"/>
        <v>422</v>
      </c>
      <c r="H212" s="174">
        <f>VLOOKUP(D212,原始分!$D:$N,4,0)</f>
        <v>115</v>
      </c>
      <c r="I212" s="174">
        <f t="shared" si="40"/>
        <v>116</v>
      </c>
      <c r="J212" s="174">
        <f>VLOOKUP(D212,原始分!$D:$N,5,0)</f>
        <v>109.5</v>
      </c>
      <c r="K212" s="174">
        <f t="shared" si="41"/>
        <v>111</v>
      </c>
      <c r="L212" s="174">
        <f>VLOOKUP(D212,原始分!$D:$N,6,0)</f>
        <v>56.5</v>
      </c>
      <c r="M212" s="174">
        <f t="shared" si="42"/>
        <v>244</v>
      </c>
      <c r="N212" s="174">
        <f>VLOOKUP(D212,原始分!$D:$N,7,0)</f>
        <v>0</v>
      </c>
      <c r="O212" s="174">
        <f t="shared" si="43"/>
        <v>1</v>
      </c>
      <c r="P212" s="174">
        <f>VLOOKUP(D212,原始分!$D:$N,8,0)</f>
        <v>34</v>
      </c>
      <c r="Q212" s="174">
        <f t="shared" si="44"/>
        <v>412</v>
      </c>
      <c r="R212" s="174">
        <f>VLOOKUP(D212,原始分!$D:$N,9,0)</f>
        <v>0</v>
      </c>
      <c r="S212" s="174">
        <f t="shared" si="45"/>
        <v>218</v>
      </c>
      <c r="T212" s="174">
        <f>VLOOKUP(D212,原始分!$D:$N,10,0)</f>
        <v>52.5</v>
      </c>
      <c r="U212" s="174">
        <f t="shared" si="46"/>
        <v>66</v>
      </c>
      <c r="V212" s="174">
        <f>VLOOKUP(D212,原始分!$D:$N,11,0)</f>
        <v>0</v>
      </c>
      <c r="W212" s="174">
        <f t="shared" si="47"/>
        <v>461</v>
      </c>
      <c r="X212" s="11">
        <f t="shared" si="48"/>
        <v>320</v>
      </c>
      <c r="Y212" s="9">
        <f t="shared" si="49"/>
        <v>118</v>
      </c>
      <c r="Z212" s="11">
        <f t="shared" si="50"/>
        <v>463</v>
      </c>
      <c r="AA212" s="9">
        <f t="shared" si="51"/>
        <v>210</v>
      </c>
    </row>
    <row r="213" ht="14.25" spans="1:27">
      <c r="A213" s="13">
        <v>149</v>
      </c>
      <c r="B213" s="15">
        <v>3</v>
      </c>
      <c r="C213" s="16">
        <v>38</v>
      </c>
      <c r="D213" s="17" t="s">
        <v>311</v>
      </c>
      <c r="E213" s="17" t="s">
        <v>312</v>
      </c>
      <c r="F213" s="174">
        <f>VLOOKUP(D213,原始分!$D:$N,3,0)</f>
        <v>96.5</v>
      </c>
      <c r="G213" s="174">
        <f t="shared" si="39"/>
        <v>398</v>
      </c>
      <c r="H213" s="174">
        <f>VLOOKUP(D213,原始分!$D:$N,4,0)</f>
        <v>113.5</v>
      </c>
      <c r="I213" s="174">
        <f t="shared" si="40"/>
        <v>135</v>
      </c>
      <c r="J213" s="174">
        <f>VLOOKUP(D213,原始分!$D:$N,5,0)</f>
        <v>110.5</v>
      </c>
      <c r="K213" s="174">
        <f t="shared" si="41"/>
        <v>99</v>
      </c>
      <c r="L213" s="174">
        <f>VLOOKUP(D213,原始分!$D:$N,6,0)</f>
        <v>46</v>
      </c>
      <c r="M213" s="174">
        <f t="shared" si="42"/>
        <v>411</v>
      </c>
      <c r="N213" s="174">
        <f>VLOOKUP(D213,原始分!$D:$N,7,0)</f>
        <v>0</v>
      </c>
      <c r="O213" s="174">
        <f t="shared" si="43"/>
        <v>1</v>
      </c>
      <c r="P213" s="174">
        <f>VLOOKUP(D213,原始分!$D:$N,8,0)</f>
        <v>47</v>
      </c>
      <c r="Q213" s="174">
        <f t="shared" si="44"/>
        <v>172</v>
      </c>
      <c r="R213" s="174">
        <f>VLOOKUP(D213,原始分!$D:$N,9,0)</f>
        <v>49</v>
      </c>
      <c r="S213" s="174">
        <f t="shared" si="45"/>
        <v>107</v>
      </c>
      <c r="T213" s="174">
        <f>VLOOKUP(D213,原始分!$D:$N,10,0)</f>
        <v>0</v>
      </c>
      <c r="U213" s="174">
        <f t="shared" si="46"/>
        <v>112</v>
      </c>
      <c r="V213" s="174">
        <f>VLOOKUP(D213,原始分!$D:$N,11,0)</f>
        <v>0</v>
      </c>
      <c r="W213" s="174">
        <f t="shared" si="47"/>
        <v>461</v>
      </c>
      <c r="X213" s="11">
        <f t="shared" si="48"/>
        <v>320.5</v>
      </c>
      <c r="Y213" s="9">
        <f t="shared" si="49"/>
        <v>112</v>
      </c>
      <c r="Z213" s="11">
        <f t="shared" si="50"/>
        <v>462.5</v>
      </c>
      <c r="AA213" s="9">
        <f t="shared" si="51"/>
        <v>211</v>
      </c>
    </row>
    <row r="214" ht="14.25" spans="1:27">
      <c r="A214" s="13">
        <v>173</v>
      </c>
      <c r="B214" s="15">
        <v>4</v>
      </c>
      <c r="C214" s="16">
        <v>14</v>
      </c>
      <c r="D214" s="17" t="s">
        <v>359</v>
      </c>
      <c r="E214" s="17" t="s">
        <v>360</v>
      </c>
      <c r="F214" s="174">
        <f>VLOOKUP(D214,原始分!$D:$N,3,0)</f>
        <v>106.5</v>
      </c>
      <c r="G214" s="174">
        <f t="shared" si="39"/>
        <v>76</v>
      </c>
      <c r="H214" s="174">
        <f>VLOOKUP(D214,原始分!$D:$N,4,0)</f>
        <v>106</v>
      </c>
      <c r="I214" s="174">
        <f t="shared" si="40"/>
        <v>255</v>
      </c>
      <c r="J214" s="174">
        <f>VLOOKUP(D214,原始分!$D:$N,5,0)</f>
        <v>109.5</v>
      </c>
      <c r="K214" s="174">
        <f t="shared" si="41"/>
        <v>111</v>
      </c>
      <c r="L214" s="174">
        <f>VLOOKUP(D214,原始分!$D:$N,6,0)</f>
        <v>43.5</v>
      </c>
      <c r="M214" s="174">
        <f t="shared" si="42"/>
        <v>452</v>
      </c>
      <c r="N214" s="174">
        <f>VLOOKUP(D214,原始分!$D:$N,7,0)</f>
        <v>0</v>
      </c>
      <c r="O214" s="174">
        <f t="shared" si="43"/>
        <v>1</v>
      </c>
      <c r="P214" s="174">
        <f>VLOOKUP(D214,原始分!$D:$N,8,0)</f>
        <v>37.5</v>
      </c>
      <c r="Q214" s="174">
        <f t="shared" si="44"/>
        <v>367</v>
      </c>
      <c r="R214" s="174">
        <f>VLOOKUP(D214,原始分!$D:$N,9,0)</f>
        <v>59.5</v>
      </c>
      <c r="S214" s="174">
        <f t="shared" si="45"/>
        <v>16</v>
      </c>
      <c r="T214" s="174">
        <f>VLOOKUP(D214,原始分!$D:$N,10,0)</f>
        <v>0</v>
      </c>
      <c r="U214" s="174">
        <f t="shared" si="46"/>
        <v>112</v>
      </c>
      <c r="V214" s="174">
        <f>VLOOKUP(D214,原始分!$D:$N,11,0)</f>
        <v>0</v>
      </c>
      <c r="W214" s="174">
        <f t="shared" si="47"/>
        <v>461</v>
      </c>
      <c r="X214" s="11">
        <f t="shared" si="48"/>
        <v>322</v>
      </c>
      <c r="Y214" s="9">
        <f t="shared" si="49"/>
        <v>104</v>
      </c>
      <c r="Z214" s="11">
        <f t="shared" si="50"/>
        <v>462.5</v>
      </c>
      <c r="AA214" s="9">
        <f t="shared" si="51"/>
        <v>211</v>
      </c>
    </row>
    <row r="215" ht="14.25" spans="1:27">
      <c r="A215" s="13">
        <v>660</v>
      </c>
      <c r="B215" s="15">
        <v>13</v>
      </c>
      <c r="C215" s="16">
        <v>54</v>
      </c>
      <c r="D215" s="17" t="s">
        <v>1326</v>
      </c>
      <c r="E215" s="17" t="s">
        <v>1327</v>
      </c>
      <c r="F215" s="174">
        <f>VLOOKUP(D215,原始分!$D:$N,3,0)</f>
        <v>97</v>
      </c>
      <c r="G215" s="174">
        <f t="shared" si="39"/>
        <v>386</v>
      </c>
      <c r="H215" s="174">
        <f>VLOOKUP(D215,原始分!$D:$N,4,0)</f>
        <v>113.5</v>
      </c>
      <c r="I215" s="174">
        <f t="shared" si="40"/>
        <v>135</v>
      </c>
      <c r="J215" s="174">
        <f>VLOOKUP(D215,原始分!$D:$N,5,0)</f>
        <v>94.25</v>
      </c>
      <c r="K215" s="174">
        <f t="shared" si="41"/>
        <v>355</v>
      </c>
      <c r="L215" s="174">
        <f>VLOOKUP(D215,原始分!$D:$N,6,0)</f>
        <v>55</v>
      </c>
      <c r="M215" s="174">
        <f t="shared" si="42"/>
        <v>269</v>
      </c>
      <c r="N215" s="174">
        <f>VLOOKUP(D215,原始分!$D:$N,7,0)</f>
        <v>0</v>
      </c>
      <c r="O215" s="174">
        <f t="shared" si="43"/>
        <v>1</v>
      </c>
      <c r="P215" s="174">
        <f>VLOOKUP(D215,原始分!$D:$N,8,0)</f>
        <v>47</v>
      </c>
      <c r="Q215" s="174">
        <f t="shared" si="44"/>
        <v>172</v>
      </c>
      <c r="R215" s="174">
        <f>VLOOKUP(D215,原始分!$D:$N,9,0)</f>
        <v>0</v>
      </c>
      <c r="S215" s="174">
        <f t="shared" si="45"/>
        <v>218</v>
      </c>
      <c r="T215" s="174">
        <f>VLOOKUP(D215,原始分!$D:$N,10,0)</f>
        <v>0</v>
      </c>
      <c r="U215" s="174">
        <f t="shared" si="46"/>
        <v>112</v>
      </c>
      <c r="V215" s="174">
        <f>VLOOKUP(D215,原始分!$D:$N,11,0)</f>
        <v>55</v>
      </c>
      <c r="W215" s="174">
        <f t="shared" si="47"/>
        <v>149</v>
      </c>
      <c r="X215" s="11">
        <f t="shared" si="48"/>
        <v>304.75</v>
      </c>
      <c r="Y215" s="9">
        <f t="shared" si="49"/>
        <v>238</v>
      </c>
      <c r="Z215" s="11">
        <f t="shared" si="50"/>
        <v>461.75</v>
      </c>
      <c r="AA215" s="9">
        <f t="shared" si="51"/>
        <v>213</v>
      </c>
    </row>
    <row r="216" ht="14.25" spans="1:27">
      <c r="A216" s="13">
        <v>171</v>
      </c>
      <c r="B216" s="15">
        <v>4</v>
      </c>
      <c r="C216" s="16">
        <v>12</v>
      </c>
      <c r="D216" s="17" t="s">
        <v>355</v>
      </c>
      <c r="E216" s="17" t="s">
        <v>356</v>
      </c>
      <c r="F216" s="174">
        <f>VLOOKUP(D216,原始分!$D:$N,3,0)</f>
        <v>101</v>
      </c>
      <c r="G216" s="174">
        <f t="shared" si="39"/>
        <v>224</v>
      </c>
      <c r="H216" s="174">
        <f>VLOOKUP(D216,原始分!$D:$N,4,0)</f>
        <v>109</v>
      </c>
      <c r="I216" s="174">
        <f t="shared" si="40"/>
        <v>206</v>
      </c>
      <c r="J216" s="174">
        <f>VLOOKUP(D216,原始分!$D:$N,5,0)</f>
        <v>97.5</v>
      </c>
      <c r="K216" s="174">
        <f t="shared" si="41"/>
        <v>298</v>
      </c>
      <c r="L216" s="174">
        <f>VLOOKUP(D216,原始分!$D:$N,6,0)</f>
        <v>44.5</v>
      </c>
      <c r="M216" s="174">
        <f t="shared" si="42"/>
        <v>432</v>
      </c>
      <c r="N216" s="174">
        <f>VLOOKUP(D216,原始分!$D:$N,7,0)</f>
        <v>0</v>
      </c>
      <c r="O216" s="174">
        <f t="shared" si="43"/>
        <v>1</v>
      </c>
      <c r="P216" s="174">
        <f>VLOOKUP(D216,原始分!$D:$N,8,0)</f>
        <v>45</v>
      </c>
      <c r="Q216" s="174">
        <f t="shared" si="44"/>
        <v>208</v>
      </c>
      <c r="R216" s="174">
        <f>VLOOKUP(D216,原始分!$D:$N,9,0)</f>
        <v>64.5</v>
      </c>
      <c r="S216" s="174">
        <f t="shared" si="45"/>
        <v>2</v>
      </c>
      <c r="T216" s="174">
        <f>VLOOKUP(D216,原始分!$D:$N,10,0)</f>
        <v>0</v>
      </c>
      <c r="U216" s="174">
        <f t="shared" si="46"/>
        <v>112</v>
      </c>
      <c r="V216" s="174">
        <f>VLOOKUP(D216,原始分!$D:$N,11,0)</f>
        <v>0</v>
      </c>
      <c r="W216" s="174">
        <f t="shared" si="47"/>
        <v>461</v>
      </c>
      <c r="X216" s="11">
        <f t="shared" si="48"/>
        <v>307.5</v>
      </c>
      <c r="Y216" s="9">
        <f t="shared" si="49"/>
        <v>214</v>
      </c>
      <c r="Z216" s="11">
        <f t="shared" si="50"/>
        <v>461.5</v>
      </c>
      <c r="AA216" s="9">
        <f t="shared" si="51"/>
        <v>214</v>
      </c>
    </row>
    <row r="217" ht="14.25" spans="1:27">
      <c r="A217" s="13">
        <v>519</v>
      </c>
      <c r="B217" s="15">
        <v>11</v>
      </c>
      <c r="C217" s="16">
        <v>24</v>
      </c>
      <c r="D217" s="17" t="s">
        <v>1048</v>
      </c>
      <c r="E217" s="17" t="s">
        <v>1049</v>
      </c>
      <c r="F217" s="174">
        <f>VLOOKUP(D217,原始分!$D:$N,3,0)</f>
        <v>99.5</v>
      </c>
      <c r="G217" s="174">
        <f t="shared" si="39"/>
        <v>286</v>
      </c>
      <c r="H217" s="174">
        <f>VLOOKUP(D217,原始分!$D:$N,4,0)</f>
        <v>108</v>
      </c>
      <c r="I217" s="174">
        <f t="shared" si="40"/>
        <v>221</v>
      </c>
      <c r="J217" s="174">
        <f>VLOOKUP(D217,原始分!$D:$N,5,0)</f>
        <v>103</v>
      </c>
      <c r="K217" s="174">
        <f t="shared" si="41"/>
        <v>199</v>
      </c>
      <c r="L217" s="174">
        <f>VLOOKUP(D217,原始分!$D:$N,6,0)</f>
        <v>51</v>
      </c>
      <c r="M217" s="174">
        <f t="shared" si="42"/>
        <v>320</v>
      </c>
      <c r="N217" s="174">
        <f>VLOOKUP(D217,原始分!$D:$N,7,0)</f>
        <v>0</v>
      </c>
      <c r="O217" s="174">
        <f t="shared" si="43"/>
        <v>1</v>
      </c>
      <c r="P217" s="174">
        <f>VLOOKUP(D217,原始分!$D:$N,8,0)</f>
        <v>51.5</v>
      </c>
      <c r="Q217" s="174">
        <f t="shared" si="44"/>
        <v>90</v>
      </c>
      <c r="R217" s="174">
        <f>VLOOKUP(D217,原始分!$D:$N,9,0)</f>
        <v>0</v>
      </c>
      <c r="S217" s="174">
        <f t="shared" si="45"/>
        <v>218</v>
      </c>
      <c r="T217" s="174">
        <f>VLOOKUP(D217,原始分!$D:$N,10,0)</f>
        <v>0</v>
      </c>
      <c r="U217" s="174">
        <f t="shared" si="46"/>
        <v>112</v>
      </c>
      <c r="V217" s="174">
        <f>VLOOKUP(D217,原始分!$D:$N,11,0)</f>
        <v>48.5</v>
      </c>
      <c r="W217" s="174">
        <f t="shared" si="47"/>
        <v>267</v>
      </c>
      <c r="X217" s="11">
        <f t="shared" si="48"/>
        <v>310.5</v>
      </c>
      <c r="Y217" s="9">
        <f t="shared" si="49"/>
        <v>187</v>
      </c>
      <c r="Z217" s="11">
        <f t="shared" si="50"/>
        <v>461.5</v>
      </c>
      <c r="AA217" s="9">
        <f t="shared" si="51"/>
        <v>214</v>
      </c>
    </row>
    <row r="218" ht="14.25" spans="1:27">
      <c r="A218" s="13">
        <v>140</v>
      </c>
      <c r="B218" s="15">
        <v>3</v>
      </c>
      <c r="C218" s="16">
        <v>29</v>
      </c>
      <c r="D218" s="17" t="s">
        <v>293</v>
      </c>
      <c r="E218" s="17" t="s">
        <v>294</v>
      </c>
      <c r="F218" s="174">
        <f>VLOOKUP(D218,原始分!$D:$N,3,0)</f>
        <v>100</v>
      </c>
      <c r="G218" s="174">
        <f t="shared" si="39"/>
        <v>274</v>
      </c>
      <c r="H218" s="174">
        <f>VLOOKUP(D218,原始分!$D:$N,4,0)</f>
        <v>117</v>
      </c>
      <c r="I218" s="174">
        <f t="shared" si="40"/>
        <v>85</v>
      </c>
      <c r="J218" s="174">
        <f>VLOOKUP(D218,原始分!$D:$N,5,0)</f>
        <v>70.75</v>
      </c>
      <c r="K218" s="174">
        <f t="shared" si="41"/>
        <v>620</v>
      </c>
      <c r="L218" s="174">
        <f>VLOOKUP(D218,原始分!$D:$N,6,0)</f>
        <v>64</v>
      </c>
      <c r="M218" s="174">
        <f t="shared" si="42"/>
        <v>130</v>
      </c>
      <c r="N218" s="174">
        <f>VLOOKUP(D218,原始分!$D:$N,7,0)</f>
        <v>0</v>
      </c>
      <c r="O218" s="174">
        <f t="shared" si="43"/>
        <v>1</v>
      </c>
      <c r="P218" s="174">
        <f>VLOOKUP(D218,原始分!$D:$N,8,0)</f>
        <v>52</v>
      </c>
      <c r="Q218" s="174">
        <f t="shared" si="44"/>
        <v>86</v>
      </c>
      <c r="R218" s="174">
        <f>VLOOKUP(D218,原始分!$D:$N,9,0)</f>
        <v>57.5</v>
      </c>
      <c r="S218" s="174">
        <f t="shared" si="45"/>
        <v>25</v>
      </c>
      <c r="T218" s="174">
        <f>VLOOKUP(D218,原始分!$D:$N,10,0)</f>
        <v>0</v>
      </c>
      <c r="U218" s="174">
        <f t="shared" si="46"/>
        <v>112</v>
      </c>
      <c r="V218" s="174">
        <f>VLOOKUP(D218,原始分!$D:$N,11,0)</f>
        <v>0</v>
      </c>
      <c r="W218" s="174">
        <f t="shared" si="47"/>
        <v>461</v>
      </c>
      <c r="X218" s="11">
        <f t="shared" si="48"/>
        <v>287.75</v>
      </c>
      <c r="Y218" s="9">
        <f t="shared" si="49"/>
        <v>380</v>
      </c>
      <c r="Z218" s="11">
        <f t="shared" si="50"/>
        <v>461.25</v>
      </c>
      <c r="AA218" s="9">
        <f t="shared" si="51"/>
        <v>216</v>
      </c>
    </row>
    <row r="219" ht="14.25" spans="1:27">
      <c r="A219" s="13">
        <v>40</v>
      </c>
      <c r="B219" s="15">
        <v>1</v>
      </c>
      <c r="C219" s="16">
        <v>42</v>
      </c>
      <c r="D219" s="17" t="s">
        <v>94</v>
      </c>
      <c r="E219" s="17" t="s">
        <v>95</v>
      </c>
      <c r="F219" s="174">
        <f>VLOOKUP(D219,原始分!$D:$N,3,0)</f>
        <v>93</v>
      </c>
      <c r="G219" s="174">
        <f t="shared" si="39"/>
        <v>505</v>
      </c>
      <c r="H219" s="174">
        <f>VLOOKUP(D219,原始分!$D:$N,4,0)</f>
        <v>106</v>
      </c>
      <c r="I219" s="174">
        <f t="shared" si="40"/>
        <v>255</v>
      </c>
      <c r="J219" s="174">
        <f>VLOOKUP(D219,原始分!$D:$N,5,0)</f>
        <v>91.5</v>
      </c>
      <c r="K219" s="174">
        <f t="shared" si="41"/>
        <v>403</v>
      </c>
      <c r="L219" s="174">
        <f>VLOOKUP(D219,原始分!$D:$N,6,0)</f>
        <v>67.5</v>
      </c>
      <c r="M219" s="174">
        <f t="shared" si="42"/>
        <v>79</v>
      </c>
      <c r="N219" s="174">
        <f>VLOOKUP(D219,原始分!$D:$N,7,0)</f>
        <v>0</v>
      </c>
      <c r="O219" s="174">
        <f t="shared" si="43"/>
        <v>1</v>
      </c>
      <c r="P219" s="174">
        <f>VLOOKUP(D219,原始分!$D:$N,8,0)</f>
        <v>41.5</v>
      </c>
      <c r="Q219" s="174">
        <f t="shared" si="44"/>
        <v>278</v>
      </c>
      <c r="R219" s="174">
        <f>VLOOKUP(D219,原始分!$D:$N,9,0)</f>
        <v>0</v>
      </c>
      <c r="S219" s="174">
        <f t="shared" si="45"/>
        <v>218</v>
      </c>
      <c r="T219" s="174">
        <f>VLOOKUP(D219,原始分!$D:$N,10,0)</f>
        <v>61.5</v>
      </c>
      <c r="U219" s="174">
        <f t="shared" si="46"/>
        <v>22</v>
      </c>
      <c r="V219" s="174">
        <f>VLOOKUP(D219,原始分!$D:$N,11,0)</f>
        <v>0</v>
      </c>
      <c r="W219" s="174">
        <f t="shared" si="47"/>
        <v>461</v>
      </c>
      <c r="X219" s="11">
        <f t="shared" si="48"/>
        <v>290.5</v>
      </c>
      <c r="Y219" s="9">
        <f t="shared" si="49"/>
        <v>364</v>
      </c>
      <c r="Z219" s="11">
        <f t="shared" si="50"/>
        <v>461</v>
      </c>
      <c r="AA219" s="9">
        <f t="shared" si="51"/>
        <v>217</v>
      </c>
    </row>
    <row r="220" ht="14.25" spans="1:27">
      <c r="A220" s="13">
        <v>246</v>
      </c>
      <c r="B220" s="15">
        <v>5</v>
      </c>
      <c r="C220" s="16">
        <v>43</v>
      </c>
      <c r="D220" s="17" t="s">
        <v>504</v>
      </c>
      <c r="E220" s="17" t="s">
        <v>505</v>
      </c>
      <c r="F220" s="174">
        <f>VLOOKUP(D220,原始分!$D:$N,3,0)</f>
        <v>97</v>
      </c>
      <c r="G220" s="174">
        <f t="shared" si="39"/>
        <v>386</v>
      </c>
      <c r="H220" s="174">
        <f>VLOOKUP(D220,原始分!$D:$N,4,0)</f>
        <v>112.5</v>
      </c>
      <c r="I220" s="174">
        <f t="shared" si="40"/>
        <v>151</v>
      </c>
      <c r="J220" s="174">
        <f>VLOOKUP(D220,原始分!$D:$N,5,0)</f>
        <v>96</v>
      </c>
      <c r="K220" s="174">
        <f t="shared" si="41"/>
        <v>322</v>
      </c>
      <c r="L220" s="174">
        <f>VLOOKUP(D220,原始分!$D:$N,6,0)</f>
        <v>53</v>
      </c>
      <c r="M220" s="174">
        <f t="shared" si="42"/>
        <v>300</v>
      </c>
      <c r="N220" s="174">
        <f>VLOOKUP(D220,原始分!$D:$N,7,0)</f>
        <v>0</v>
      </c>
      <c r="O220" s="174">
        <f t="shared" si="43"/>
        <v>1</v>
      </c>
      <c r="P220" s="174">
        <f>VLOOKUP(D220,原始分!$D:$N,8,0)</f>
        <v>47.5</v>
      </c>
      <c r="Q220" s="174">
        <f t="shared" si="44"/>
        <v>156</v>
      </c>
      <c r="R220" s="174">
        <f>VLOOKUP(D220,原始分!$D:$N,9,0)</f>
        <v>55</v>
      </c>
      <c r="S220" s="174">
        <f t="shared" si="45"/>
        <v>44</v>
      </c>
      <c r="T220" s="174">
        <f>VLOOKUP(D220,原始分!$D:$N,10,0)</f>
        <v>0</v>
      </c>
      <c r="U220" s="174">
        <f t="shared" si="46"/>
        <v>112</v>
      </c>
      <c r="V220" s="174">
        <f>VLOOKUP(D220,原始分!$D:$N,11,0)</f>
        <v>0</v>
      </c>
      <c r="W220" s="174">
        <f t="shared" si="47"/>
        <v>461</v>
      </c>
      <c r="X220" s="11">
        <f t="shared" si="48"/>
        <v>305.5</v>
      </c>
      <c r="Y220" s="9">
        <f t="shared" si="49"/>
        <v>233</v>
      </c>
      <c r="Z220" s="11">
        <f t="shared" si="50"/>
        <v>461</v>
      </c>
      <c r="AA220" s="9">
        <f t="shared" si="51"/>
        <v>217</v>
      </c>
    </row>
    <row r="221" ht="14.25" spans="1:27">
      <c r="A221" s="13">
        <v>441</v>
      </c>
      <c r="B221" s="15">
        <v>10</v>
      </c>
      <c r="C221" s="16">
        <v>2</v>
      </c>
      <c r="D221" s="17" t="s">
        <v>892</v>
      </c>
      <c r="E221" s="17" t="s">
        <v>893</v>
      </c>
      <c r="F221" s="174">
        <f>VLOOKUP(D221,原始分!$D:$N,3,0)</f>
        <v>109.5</v>
      </c>
      <c r="G221" s="174">
        <f t="shared" si="39"/>
        <v>27</v>
      </c>
      <c r="H221" s="174">
        <f>VLOOKUP(D221,原始分!$D:$N,4,0)</f>
        <v>107</v>
      </c>
      <c r="I221" s="174">
        <f t="shared" si="40"/>
        <v>239</v>
      </c>
      <c r="J221" s="174">
        <f>VLOOKUP(D221,原始分!$D:$N,5,0)</f>
        <v>89.5</v>
      </c>
      <c r="K221" s="174">
        <f t="shared" si="41"/>
        <v>426</v>
      </c>
      <c r="L221" s="174">
        <f>VLOOKUP(D221,原始分!$D:$N,6,0)</f>
        <v>57</v>
      </c>
      <c r="M221" s="174">
        <f t="shared" si="42"/>
        <v>237</v>
      </c>
      <c r="N221" s="174">
        <f>VLOOKUP(D221,原始分!$D:$N,7,0)</f>
        <v>0</v>
      </c>
      <c r="O221" s="174">
        <f t="shared" si="43"/>
        <v>1</v>
      </c>
      <c r="P221" s="174">
        <f>VLOOKUP(D221,原始分!$D:$N,8,0)</f>
        <v>42.5</v>
      </c>
      <c r="Q221" s="174">
        <f t="shared" si="44"/>
        <v>256</v>
      </c>
      <c r="R221" s="174">
        <f>VLOOKUP(D221,原始分!$D:$N,9,0)</f>
        <v>0</v>
      </c>
      <c r="S221" s="174">
        <f t="shared" si="45"/>
        <v>218</v>
      </c>
      <c r="T221" s="174">
        <f>VLOOKUP(D221,原始分!$D:$N,10,0)</f>
        <v>0</v>
      </c>
      <c r="U221" s="174">
        <f t="shared" si="46"/>
        <v>112</v>
      </c>
      <c r="V221" s="174">
        <f>VLOOKUP(D221,原始分!$D:$N,11,0)</f>
        <v>55.5</v>
      </c>
      <c r="W221" s="174">
        <f t="shared" si="47"/>
        <v>139</v>
      </c>
      <c r="X221" s="11">
        <f t="shared" si="48"/>
        <v>306</v>
      </c>
      <c r="Y221" s="9">
        <f t="shared" si="49"/>
        <v>227</v>
      </c>
      <c r="Z221" s="11">
        <f t="shared" si="50"/>
        <v>461</v>
      </c>
      <c r="AA221" s="9">
        <f t="shared" si="51"/>
        <v>217</v>
      </c>
    </row>
    <row r="222" ht="14.25" spans="1:27">
      <c r="A222" s="13">
        <v>280</v>
      </c>
      <c r="B222" s="15">
        <v>6</v>
      </c>
      <c r="C222" s="16">
        <v>32</v>
      </c>
      <c r="D222" s="17" t="s">
        <v>571</v>
      </c>
      <c r="E222" s="17" t="s">
        <v>572</v>
      </c>
      <c r="F222" s="174">
        <f>VLOOKUP(D222,原始分!$D:$N,3,0)</f>
        <v>99</v>
      </c>
      <c r="G222" s="174">
        <f t="shared" si="39"/>
        <v>304</v>
      </c>
      <c r="H222" s="174">
        <f>VLOOKUP(D222,原始分!$D:$N,4,0)</f>
        <v>101.5</v>
      </c>
      <c r="I222" s="174">
        <f t="shared" si="40"/>
        <v>328</v>
      </c>
      <c r="J222" s="174">
        <f>VLOOKUP(D222,原始分!$D:$N,5,0)</f>
        <v>78.75</v>
      </c>
      <c r="K222" s="174">
        <f t="shared" si="41"/>
        <v>565</v>
      </c>
      <c r="L222" s="174">
        <f>VLOOKUP(D222,原始分!$D:$N,6,0)</f>
        <v>61.5</v>
      </c>
      <c r="M222" s="174">
        <f t="shared" si="42"/>
        <v>164</v>
      </c>
      <c r="N222" s="174">
        <f>VLOOKUP(D222,原始分!$D:$N,7,0)</f>
        <v>0</v>
      </c>
      <c r="O222" s="174">
        <f t="shared" si="43"/>
        <v>1</v>
      </c>
      <c r="P222" s="174">
        <f>VLOOKUP(D222,原始分!$D:$N,8,0)</f>
        <v>0</v>
      </c>
      <c r="Q222" s="174">
        <f t="shared" si="44"/>
        <v>539</v>
      </c>
      <c r="R222" s="174">
        <f>VLOOKUP(D222,原始分!$D:$N,9,0)</f>
        <v>56</v>
      </c>
      <c r="S222" s="174">
        <f t="shared" si="45"/>
        <v>35</v>
      </c>
      <c r="T222" s="174">
        <f>VLOOKUP(D222,原始分!$D:$N,10,0)</f>
        <v>0</v>
      </c>
      <c r="U222" s="174">
        <f t="shared" si="46"/>
        <v>112</v>
      </c>
      <c r="V222" s="174">
        <f>VLOOKUP(D222,原始分!$D:$N,11,0)</f>
        <v>64</v>
      </c>
      <c r="W222" s="174">
        <f t="shared" si="47"/>
        <v>47</v>
      </c>
      <c r="X222" s="11">
        <f t="shared" si="48"/>
        <v>279.25</v>
      </c>
      <c r="Y222" s="9">
        <f t="shared" si="49"/>
        <v>453</v>
      </c>
      <c r="Z222" s="11">
        <f t="shared" si="50"/>
        <v>460.75</v>
      </c>
      <c r="AA222" s="9">
        <f t="shared" si="51"/>
        <v>220</v>
      </c>
    </row>
    <row r="223" ht="14.25" spans="1:27">
      <c r="A223" s="13">
        <v>25</v>
      </c>
      <c r="B223" s="15">
        <v>1</v>
      </c>
      <c r="C223" s="16">
        <v>27</v>
      </c>
      <c r="D223" s="17" t="s">
        <v>64</v>
      </c>
      <c r="E223" s="17" t="s">
        <v>65</v>
      </c>
      <c r="F223" s="174">
        <f>VLOOKUP(D223,原始分!$D:$N,3,0)</f>
        <v>111</v>
      </c>
      <c r="G223" s="174">
        <f t="shared" si="39"/>
        <v>17</v>
      </c>
      <c r="H223" s="174">
        <f>VLOOKUP(D223,原始分!$D:$N,4,0)</f>
        <v>107.5</v>
      </c>
      <c r="I223" s="174">
        <f t="shared" si="40"/>
        <v>230</v>
      </c>
      <c r="J223" s="174">
        <f>VLOOKUP(D223,原始分!$D:$N,5,0)</f>
        <v>91</v>
      </c>
      <c r="K223" s="174">
        <f t="shared" si="41"/>
        <v>410</v>
      </c>
      <c r="L223" s="174">
        <f>VLOOKUP(D223,原始分!$D:$N,6,0)</f>
        <v>56</v>
      </c>
      <c r="M223" s="174">
        <f t="shared" si="42"/>
        <v>252</v>
      </c>
      <c r="N223" s="174">
        <f>VLOOKUP(D223,原始分!$D:$N,7,0)</f>
        <v>0</v>
      </c>
      <c r="O223" s="174">
        <f t="shared" si="43"/>
        <v>1</v>
      </c>
      <c r="P223" s="174">
        <f>VLOOKUP(D223,原始分!$D:$N,8,0)</f>
        <v>38</v>
      </c>
      <c r="Q223" s="174">
        <f t="shared" si="44"/>
        <v>360</v>
      </c>
      <c r="R223" s="174">
        <f>VLOOKUP(D223,原始分!$D:$N,9,0)</f>
        <v>0</v>
      </c>
      <c r="S223" s="174">
        <f t="shared" si="45"/>
        <v>218</v>
      </c>
      <c r="T223" s="174">
        <f>VLOOKUP(D223,原始分!$D:$N,10,0)</f>
        <v>57</v>
      </c>
      <c r="U223" s="174">
        <f t="shared" si="46"/>
        <v>40</v>
      </c>
      <c r="V223" s="174">
        <f>VLOOKUP(D223,原始分!$D:$N,11,0)</f>
        <v>0</v>
      </c>
      <c r="W223" s="174">
        <f t="shared" si="47"/>
        <v>461</v>
      </c>
      <c r="X223" s="11">
        <f t="shared" si="48"/>
        <v>309.5</v>
      </c>
      <c r="Y223" s="9">
        <f t="shared" si="49"/>
        <v>197</v>
      </c>
      <c r="Z223" s="11">
        <f t="shared" si="50"/>
        <v>460.5</v>
      </c>
      <c r="AA223" s="9">
        <f t="shared" si="51"/>
        <v>221</v>
      </c>
    </row>
    <row r="224" ht="14.25" spans="1:27">
      <c r="A224" s="13">
        <v>304</v>
      </c>
      <c r="B224" s="15">
        <v>7</v>
      </c>
      <c r="C224" s="16">
        <v>15</v>
      </c>
      <c r="D224" s="17" t="s">
        <v>619</v>
      </c>
      <c r="E224" s="17" t="s">
        <v>620</v>
      </c>
      <c r="F224" s="174">
        <f>VLOOKUP(D224,原始分!$D:$N,3,0)</f>
        <v>102</v>
      </c>
      <c r="G224" s="174">
        <f t="shared" si="39"/>
        <v>199</v>
      </c>
      <c r="H224" s="174">
        <f>VLOOKUP(D224,原始分!$D:$N,4,0)</f>
        <v>112.5</v>
      </c>
      <c r="I224" s="174">
        <f t="shared" si="40"/>
        <v>151</v>
      </c>
      <c r="J224" s="174">
        <f>VLOOKUP(D224,原始分!$D:$N,5,0)</f>
        <v>99.25</v>
      </c>
      <c r="K224" s="174">
        <f t="shared" si="41"/>
        <v>264</v>
      </c>
      <c r="L224" s="174">
        <f>VLOOKUP(D224,原始分!$D:$N,6,0)</f>
        <v>49.5</v>
      </c>
      <c r="M224" s="174">
        <f t="shared" si="42"/>
        <v>341</v>
      </c>
      <c r="N224" s="174">
        <f>VLOOKUP(D224,原始分!$D:$N,7,0)</f>
        <v>0</v>
      </c>
      <c r="O224" s="174">
        <f t="shared" si="43"/>
        <v>1</v>
      </c>
      <c r="P224" s="174">
        <f>VLOOKUP(D224,原始分!$D:$N,8,0)</f>
        <v>0</v>
      </c>
      <c r="Q224" s="174">
        <f t="shared" si="44"/>
        <v>539</v>
      </c>
      <c r="R224" s="174">
        <f>VLOOKUP(D224,原始分!$D:$N,9,0)</f>
        <v>44.5</v>
      </c>
      <c r="S224" s="174">
        <f t="shared" si="45"/>
        <v>161</v>
      </c>
      <c r="T224" s="174">
        <f>VLOOKUP(D224,原始分!$D:$N,10,0)</f>
        <v>0</v>
      </c>
      <c r="U224" s="174">
        <f t="shared" si="46"/>
        <v>112</v>
      </c>
      <c r="V224" s="174">
        <f>VLOOKUP(D224,原始分!$D:$N,11,0)</f>
        <v>52.5</v>
      </c>
      <c r="W224" s="174">
        <f t="shared" si="47"/>
        <v>195</v>
      </c>
      <c r="X224" s="11">
        <f t="shared" si="48"/>
        <v>313.75</v>
      </c>
      <c r="Y224" s="9">
        <f t="shared" si="49"/>
        <v>161</v>
      </c>
      <c r="Z224" s="11">
        <f t="shared" si="50"/>
        <v>460.25</v>
      </c>
      <c r="AA224" s="9">
        <f t="shared" si="51"/>
        <v>222</v>
      </c>
    </row>
    <row r="225" ht="14.25" spans="1:27">
      <c r="A225" s="13">
        <v>541</v>
      </c>
      <c r="B225" s="15">
        <v>11</v>
      </c>
      <c r="C225" s="16">
        <v>47</v>
      </c>
      <c r="D225" s="17" t="s">
        <v>1090</v>
      </c>
      <c r="E225" s="17" t="s">
        <v>1091</v>
      </c>
      <c r="F225" s="174">
        <f>VLOOKUP(D225,原始分!$D:$N,3,0)</f>
        <v>94</v>
      </c>
      <c r="G225" s="174">
        <f t="shared" si="39"/>
        <v>478</v>
      </c>
      <c r="H225" s="174">
        <f>VLOOKUP(D225,原始分!$D:$N,4,0)</f>
        <v>102</v>
      </c>
      <c r="I225" s="174">
        <f t="shared" si="40"/>
        <v>323</v>
      </c>
      <c r="J225" s="174">
        <f>VLOOKUP(D225,原始分!$D:$N,5,0)</f>
        <v>101.25</v>
      </c>
      <c r="K225" s="174">
        <f t="shared" si="41"/>
        <v>226</v>
      </c>
      <c r="L225" s="174">
        <f>VLOOKUP(D225,原始分!$D:$N,6,0)</f>
        <v>61</v>
      </c>
      <c r="M225" s="174">
        <f t="shared" si="42"/>
        <v>168</v>
      </c>
      <c r="N225" s="174">
        <f>VLOOKUP(D225,原始分!$D:$N,7,0)</f>
        <v>0</v>
      </c>
      <c r="O225" s="174">
        <f t="shared" si="43"/>
        <v>1</v>
      </c>
      <c r="P225" s="174">
        <f>VLOOKUP(D225,原始分!$D:$N,8,0)</f>
        <v>49</v>
      </c>
      <c r="Q225" s="174">
        <f t="shared" si="44"/>
        <v>131</v>
      </c>
      <c r="R225" s="174">
        <f>VLOOKUP(D225,原始分!$D:$N,9,0)</f>
        <v>0</v>
      </c>
      <c r="S225" s="174">
        <f t="shared" si="45"/>
        <v>218</v>
      </c>
      <c r="T225" s="174">
        <f>VLOOKUP(D225,原始分!$D:$N,10,0)</f>
        <v>0</v>
      </c>
      <c r="U225" s="174">
        <f t="shared" si="46"/>
        <v>112</v>
      </c>
      <c r="V225" s="174">
        <f>VLOOKUP(D225,原始分!$D:$N,11,0)</f>
        <v>53</v>
      </c>
      <c r="W225" s="174">
        <f t="shared" si="47"/>
        <v>185</v>
      </c>
      <c r="X225" s="11">
        <f t="shared" si="48"/>
        <v>297.25</v>
      </c>
      <c r="Y225" s="9">
        <f t="shared" si="49"/>
        <v>301</v>
      </c>
      <c r="Z225" s="11">
        <f t="shared" si="50"/>
        <v>460.25</v>
      </c>
      <c r="AA225" s="9">
        <f t="shared" si="51"/>
        <v>222</v>
      </c>
    </row>
    <row r="226" ht="14.25" spans="1:27">
      <c r="A226" s="13">
        <v>110</v>
      </c>
      <c r="B226" s="15">
        <v>2</v>
      </c>
      <c r="C226" s="16">
        <v>49</v>
      </c>
      <c r="D226" s="17" t="s">
        <v>233</v>
      </c>
      <c r="E226" s="17" t="s">
        <v>234</v>
      </c>
      <c r="F226" s="174">
        <f>VLOOKUP(D226,原始分!$D:$N,3,0)</f>
        <v>95.75</v>
      </c>
      <c r="G226" s="174">
        <f t="shared" si="39"/>
        <v>418</v>
      </c>
      <c r="H226" s="174">
        <f>VLOOKUP(D226,原始分!$D:$N,4,0)</f>
        <v>116.5</v>
      </c>
      <c r="I226" s="174">
        <f t="shared" si="40"/>
        <v>93</v>
      </c>
      <c r="J226" s="174">
        <f>VLOOKUP(D226,原始分!$D:$N,5,0)</f>
        <v>89.75</v>
      </c>
      <c r="K226" s="174">
        <f t="shared" si="41"/>
        <v>424</v>
      </c>
      <c r="L226" s="174">
        <f>VLOOKUP(D226,原始分!$D:$N,6,0)</f>
        <v>45</v>
      </c>
      <c r="M226" s="174">
        <f t="shared" si="42"/>
        <v>424</v>
      </c>
      <c r="N226" s="174">
        <f>VLOOKUP(D226,原始分!$D:$N,7,0)</f>
        <v>0</v>
      </c>
      <c r="O226" s="174">
        <f t="shared" si="43"/>
        <v>1</v>
      </c>
      <c r="P226" s="174">
        <f>VLOOKUP(D226,原始分!$D:$N,8,0)</f>
        <v>0</v>
      </c>
      <c r="Q226" s="174">
        <f t="shared" si="44"/>
        <v>539</v>
      </c>
      <c r="R226" s="174">
        <f>VLOOKUP(D226,原始分!$D:$N,9,0)</f>
        <v>0</v>
      </c>
      <c r="S226" s="174">
        <f t="shared" si="45"/>
        <v>218</v>
      </c>
      <c r="T226" s="174">
        <f>VLOOKUP(D226,原始分!$D:$N,10,0)</f>
        <v>60</v>
      </c>
      <c r="U226" s="174">
        <f t="shared" si="46"/>
        <v>27</v>
      </c>
      <c r="V226" s="174">
        <f>VLOOKUP(D226,原始分!$D:$N,11,0)</f>
        <v>53</v>
      </c>
      <c r="W226" s="174">
        <f t="shared" si="47"/>
        <v>185</v>
      </c>
      <c r="X226" s="11">
        <f t="shared" si="48"/>
        <v>302</v>
      </c>
      <c r="Y226" s="9">
        <f t="shared" si="49"/>
        <v>261</v>
      </c>
      <c r="Z226" s="11">
        <f t="shared" si="50"/>
        <v>460</v>
      </c>
      <c r="AA226" s="9">
        <f t="shared" si="51"/>
        <v>224</v>
      </c>
    </row>
    <row r="227" ht="14.25" spans="1:27">
      <c r="A227" s="13">
        <v>228</v>
      </c>
      <c r="B227" s="15">
        <v>5</v>
      </c>
      <c r="C227" s="16">
        <v>25</v>
      </c>
      <c r="D227" s="17" t="s">
        <v>469</v>
      </c>
      <c r="E227" s="17" t="s">
        <v>470</v>
      </c>
      <c r="F227" s="174">
        <f>VLOOKUP(D227,原始分!$D:$N,3,0)</f>
        <v>101</v>
      </c>
      <c r="G227" s="174">
        <f t="shared" si="39"/>
        <v>224</v>
      </c>
      <c r="H227" s="174">
        <f>VLOOKUP(D227,原始分!$D:$N,4,0)</f>
        <v>101.5</v>
      </c>
      <c r="I227" s="174">
        <f t="shared" si="40"/>
        <v>328</v>
      </c>
      <c r="J227" s="174">
        <f>VLOOKUP(D227,原始分!$D:$N,5,0)</f>
        <v>97</v>
      </c>
      <c r="K227" s="174">
        <f t="shared" si="41"/>
        <v>305</v>
      </c>
      <c r="L227" s="174">
        <f>VLOOKUP(D227,原始分!$D:$N,6,0)</f>
        <v>50.5</v>
      </c>
      <c r="M227" s="174">
        <f t="shared" si="42"/>
        <v>328</v>
      </c>
      <c r="N227" s="174">
        <f>VLOOKUP(D227,原始分!$D:$N,7,0)</f>
        <v>0</v>
      </c>
      <c r="O227" s="174">
        <f t="shared" si="43"/>
        <v>1</v>
      </c>
      <c r="P227" s="174">
        <f>VLOOKUP(D227,原始分!$D:$N,8,0)</f>
        <v>43</v>
      </c>
      <c r="Q227" s="174">
        <f t="shared" si="44"/>
        <v>247</v>
      </c>
      <c r="R227" s="174">
        <f>VLOOKUP(D227,原始分!$D:$N,9,0)</f>
        <v>67</v>
      </c>
      <c r="S227" s="174">
        <f t="shared" si="45"/>
        <v>1</v>
      </c>
      <c r="T227" s="174">
        <f>VLOOKUP(D227,原始分!$D:$N,10,0)</f>
        <v>0</v>
      </c>
      <c r="U227" s="174">
        <f t="shared" si="46"/>
        <v>112</v>
      </c>
      <c r="V227" s="174">
        <f>VLOOKUP(D227,原始分!$D:$N,11,0)</f>
        <v>0</v>
      </c>
      <c r="W227" s="174">
        <f t="shared" si="47"/>
        <v>461</v>
      </c>
      <c r="X227" s="11">
        <f t="shared" si="48"/>
        <v>299.5</v>
      </c>
      <c r="Y227" s="9">
        <f t="shared" si="49"/>
        <v>280</v>
      </c>
      <c r="Z227" s="11">
        <f t="shared" si="50"/>
        <v>460</v>
      </c>
      <c r="AA227" s="9">
        <f t="shared" si="51"/>
        <v>224</v>
      </c>
    </row>
    <row r="228" ht="14.25" spans="1:27">
      <c r="A228" s="13">
        <v>345</v>
      </c>
      <c r="B228" s="15">
        <v>8</v>
      </c>
      <c r="C228" s="16">
        <v>17</v>
      </c>
      <c r="D228" s="17" t="s">
        <v>701</v>
      </c>
      <c r="E228" s="17" t="s">
        <v>702</v>
      </c>
      <c r="F228" s="174">
        <f>VLOOKUP(D228,原始分!$D:$N,3,0)</f>
        <v>100.25</v>
      </c>
      <c r="G228" s="174">
        <f t="shared" si="39"/>
        <v>272</v>
      </c>
      <c r="H228" s="174">
        <f>VLOOKUP(D228,原始分!$D:$N,4,0)</f>
        <v>109.5</v>
      </c>
      <c r="I228" s="174">
        <f t="shared" si="40"/>
        <v>198</v>
      </c>
      <c r="J228" s="174">
        <f>VLOOKUP(D228,原始分!$D:$N,5,0)</f>
        <v>116</v>
      </c>
      <c r="K228" s="174">
        <f t="shared" si="41"/>
        <v>46</v>
      </c>
      <c r="L228" s="174">
        <f>VLOOKUP(D228,原始分!$D:$N,6,0)</f>
        <v>49.5</v>
      </c>
      <c r="M228" s="174">
        <f t="shared" si="42"/>
        <v>341</v>
      </c>
      <c r="N228" s="174">
        <f>VLOOKUP(D228,原始分!$D:$N,7,0)</f>
        <v>0</v>
      </c>
      <c r="O228" s="174">
        <f t="shared" si="43"/>
        <v>1</v>
      </c>
      <c r="P228" s="174">
        <f>VLOOKUP(D228,原始分!$D:$N,8,0)</f>
        <v>35</v>
      </c>
      <c r="Q228" s="174">
        <f t="shared" si="44"/>
        <v>401</v>
      </c>
      <c r="R228" s="174">
        <f>VLOOKUP(D228,原始分!$D:$N,9,0)</f>
        <v>0</v>
      </c>
      <c r="S228" s="174">
        <f t="shared" si="45"/>
        <v>218</v>
      </c>
      <c r="T228" s="174">
        <f>VLOOKUP(D228,原始分!$D:$N,10,0)</f>
        <v>0</v>
      </c>
      <c r="U228" s="174">
        <f t="shared" si="46"/>
        <v>112</v>
      </c>
      <c r="V228" s="174">
        <f>VLOOKUP(D228,原始分!$D:$N,11,0)</f>
        <v>49.5</v>
      </c>
      <c r="W228" s="174">
        <f t="shared" si="47"/>
        <v>256</v>
      </c>
      <c r="X228" s="11">
        <f t="shared" si="48"/>
        <v>325.75</v>
      </c>
      <c r="Y228" s="9">
        <f t="shared" si="49"/>
        <v>82</v>
      </c>
      <c r="Z228" s="11">
        <f t="shared" si="50"/>
        <v>459.75</v>
      </c>
      <c r="AA228" s="9">
        <f t="shared" si="51"/>
        <v>226</v>
      </c>
    </row>
    <row r="229" ht="14.25" spans="1:27">
      <c r="A229" s="13">
        <v>213</v>
      </c>
      <c r="B229" s="15">
        <v>5</v>
      </c>
      <c r="C229" s="16">
        <v>10</v>
      </c>
      <c r="D229" s="17" t="s">
        <v>439</v>
      </c>
      <c r="E229" s="17" t="s">
        <v>440</v>
      </c>
      <c r="F229" s="174">
        <f>VLOOKUP(D229,原始分!$D:$N,3,0)</f>
        <v>107</v>
      </c>
      <c r="G229" s="174">
        <f t="shared" si="39"/>
        <v>64</v>
      </c>
      <c r="H229" s="174">
        <f>VLOOKUP(D229,原始分!$D:$N,4,0)</f>
        <v>112.5</v>
      </c>
      <c r="I229" s="174">
        <f t="shared" si="40"/>
        <v>151</v>
      </c>
      <c r="J229" s="174">
        <f>VLOOKUP(D229,原始分!$D:$N,5,0)</f>
        <v>90.5</v>
      </c>
      <c r="K229" s="174">
        <f t="shared" si="41"/>
        <v>416</v>
      </c>
      <c r="L229" s="174">
        <f>VLOOKUP(D229,原始分!$D:$N,6,0)</f>
        <v>47</v>
      </c>
      <c r="M229" s="174">
        <f t="shared" si="42"/>
        <v>391</v>
      </c>
      <c r="N229" s="174">
        <f>VLOOKUP(D229,原始分!$D:$N,7,0)</f>
        <v>0</v>
      </c>
      <c r="O229" s="174">
        <f t="shared" si="43"/>
        <v>1</v>
      </c>
      <c r="P229" s="174">
        <f>VLOOKUP(D229,原始分!$D:$N,8,0)</f>
        <v>39</v>
      </c>
      <c r="Q229" s="174">
        <f t="shared" si="44"/>
        <v>346</v>
      </c>
      <c r="R229" s="174">
        <f>VLOOKUP(D229,原始分!$D:$N,9,0)</f>
        <v>63.5</v>
      </c>
      <c r="S229" s="174">
        <f t="shared" si="45"/>
        <v>6</v>
      </c>
      <c r="T229" s="174">
        <f>VLOOKUP(D229,原始分!$D:$N,10,0)</f>
        <v>0</v>
      </c>
      <c r="U229" s="174">
        <f t="shared" si="46"/>
        <v>112</v>
      </c>
      <c r="V229" s="174">
        <f>VLOOKUP(D229,原始分!$D:$N,11,0)</f>
        <v>0</v>
      </c>
      <c r="W229" s="174">
        <f t="shared" si="47"/>
        <v>461</v>
      </c>
      <c r="X229" s="11">
        <f t="shared" si="48"/>
        <v>310</v>
      </c>
      <c r="Y229" s="9">
        <f t="shared" si="49"/>
        <v>193</v>
      </c>
      <c r="Z229" s="11">
        <f t="shared" si="50"/>
        <v>459.5</v>
      </c>
      <c r="AA229" s="9">
        <f t="shared" si="51"/>
        <v>227</v>
      </c>
    </row>
    <row r="230" ht="14.25" spans="1:27">
      <c r="A230" s="13">
        <v>78</v>
      </c>
      <c r="B230" s="15">
        <v>2</v>
      </c>
      <c r="C230" s="16">
        <v>15</v>
      </c>
      <c r="D230" s="17" t="s">
        <v>169</v>
      </c>
      <c r="E230" s="17" t="s">
        <v>170</v>
      </c>
      <c r="F230" s="174">
        <f>VLOOKUP(D230,原始分!$D:$N,3,0)</f>
        <v>91.5</v>
      </c>
      <c r="G230" s="174">
        <f t="shared" si="39"/>
        <v>538</v>
      </c>
      <c r="H230" s="174">
        <f>VLOOKUP(D230,原始分!$D:$N,4,0)</f>
        <v>105.5</v>
      </c>
      <c r="I230" s="174">
        <f t="shared" si="40"/>
        <v>265</v>
      </c>
      <c r="J230" s="174">
        <f>VLOOKUP(D230,原始分!$D:$N,5,0)</f>
        <v>107</v>
      </c>
      <c r="K230" s="174">
        <f t="shared" si="41"/>
        <v>139</v>
      </c>
      <c r="L230" s="174">
        <f>VLOOKUP(D230,原始分!$D:$N,6,0)</f>
        <v>44.5</v>
      </c>
      <c r="M230" s="174">
        <f t="shared" si="42"/>
        <v>432</v>
      </c>
      <c r="N230" s="174">
        <f>VLOOKUP(D230,原始分!$D:$N,7,0)</f>
        <v>0</v>
      </c>
      <c r="O230" s="174">
        <f t="shared" si="43"/>
        <v>1</v>
      </c>
      <c r="P230" s="174">
        <f>VLOOKUP(D230,原始分!$D:$N,8,0)</f>
        <v>0</v>
      </c>
      <c r="Q230" s="174">
        <f t="shared" si="44"/>
        <v>539</v>
      </c>
      <c r="R230" s="174">
        <f>VLOOKUP(D230,原始分!$D:$N,9,0)</f>
        <v>0</v>
      </c>
      <c r="S230" s="174">
        <f t="shared" si="45"/>
        <v>218</v>
      </c>
      <c r="T230" s="174">
        <f>VLOOKUP(D230,原始分!$D:$N,10,0)</f>
        <v>55</v>
      </c>
      <c r="U230" s="174">
        <f t="shared" si="46"/>
        <v>54</v>
      </c>
      <c r="V230" s="174">
        <f>VLOOKUP(D230,原始分!$D:$N,11,0)</f>
        <v>55.75</v>
      </c>
      <c r="W230" s="174">
        <f t="shared" si="47"/>
        <v>138</v>
      </c>
      <c r="X230" s="11">
        <f t="shared" si="48"/>
        <v>304</v>
      </c>
      <c r="Y230" s="9">
        <f t="shared" si="49"/>
        <v>245</v>
      </c>
      <c r="Z230" s="11">
        <f t="shared" si="50"/>
        <v>459.25</v>
      </c>
      <c r="AA230" s="9">
        <f t="shared" si="51"/>
        <v>228</v>
      </c>
    </row>
    <row r="231" ht="14.25" spans="1:27">
      <c r="A231" s="13">
        <v>106</v>
      </c>
      <c r="B231" s="15">
        <v>2</v>
      </c>
      <c r="C231" s="16">
        <v>44</v>
      </c>
      <c r="D231" s="17" t="s">
        <v>225</v>
      </c>
      <c r="E231" s="17" t="s">
        <v>226</v>
      </c>
      <c r="F231" s="174">
        <f>VLOOKUP(D231,原始分!$D:$N,3,0)</f>
        <v>113.5</v>
      </c>
      <c r="G231" s="174">
        <f t="shared" si="39"/>
        <v>10</v>
      </c>
      <c r="H231" s="174">
        <f>VLOOKUP(D231,原始分!$D:$N,4,0)</f>
        <v>94.5</v>
      </c>
      <c r="I231" s="174">
        <f t="shared" si="40"/>
        <v>431</v>
      </c>
      <c r="J231" s="174">
        <f>VLOOKUP(D231,原始分!$D:$N,5,0)</f>
        <v>95.75</v>
      </c>
      <c r="K231" s="174">
        <f t="shared" si="41"/>
        <v>328</v>
      </c>
      <c r="L231" s="174">
        <f>VLOOKUP(D231,原始分!$D:$N,6,0)</f>
        <v>36.5</v>
      </c>
      <c r="M231" s="174">
        <f t="shared" si="42"/>
        <v>554</v>
      </c>
      <c r="N231" s="174">
        <f>VLOOKUP(D231,原始分!$D:$N,7,0)</f>
        <v>0</v>
      </c>
      <c r="O231" s="174">
        <f t="shared" si="43"/>
        <v>1</v>
      </c>
      <c r="P231" s="174">
        <f>VLOOKUP(D231,原始分!$D:$N,8,0)</f>
        <v>0</v>
      </c>
      <c r="Q231" s="174">
        <f t="shared" si="44"/>
        <v>539</v>
      </c>
      <c r="R231" s="174">
        <f>VLOOKUP(D231,原始分!$D:$N,9,0)</f>
        <v>0</v>
      </c>
      <c r="S231" s="174">
        <f t="shared" si="45"/>
        <v>218</v>
      </c>
      <c r="T231" s="174">
        <f>VLOOKUP(D231,原始分!$D:$N,10,0)</f>
        <v>62</v>
      </c>
      <c r="U231" s="174">
        <f t="shared" si="46"/>
        <v>19</v>
      </c>
      <c r="V231" s="174">
        <f>VLOOKUP(D231,原始分!$D:$N,11,0)</f>
        <v>57</v>
      </c>
      <c r="W231" s="174">
        <f t="shared" si="47"/>
        <v>112</v>
      </c>
      <c r="X231" s="11">
        <f t="shared" si="48"/>
        <v>303.75</v>
      </c>
      <c r="Y231" s="9">
        <f t="shared" si="49"/>
        <v>248</v>
      </c>
      <c r="Z231" s="11">
        <f t="shared" si="50"/>
        <v>459.25</v>
      </c>
      <c r="AA231" s="9">
        <f t="shared" si="51"/>
        <v>228</v>
      </c>
    </row>
    <row r="232" ht="14.25" spans="1:27">
      <c r="A232" s="13">
        <v>527</v>
      </c>
      <c r="B232" s="15">
        <v>11</v>
      </c>
      <c r="C232" s="16">
        <v>32</v>
      </c>
      <c r="D232" s="17" t="s">
        <v>1063</v>
      </c>
      <c r="E232" s="17" t="s">
        <v>1064</v>
      </c>
      <c r="F232" s="174">
        <f>VLOOKUP(D232,原始分!$D:$N,3,0)</f>
        <v>97</v>
      </c>
      <c r="G232" s="174">
        <f t="shared" si="39"/>
        <v>386</v>
      </c>
      <c r="H232" s="174">
        <f>VLOOKUP(D232,原始分!$D:$N,4,0)</f>
        <v>122</v>
      </c>
      <c r="I232" s="174">
        <f t="shared" si="40"/>
        <v>48</v>
      </c>
      <c r="J232" s="174">
        <f>VLOOKUP(D232,原始分!$D:$N,5,0)</f>
        <v>99</v>
      </c>
      <c r="K232" s="174">
        <f t="shared" si="41"/>
        <v>270</v>
      </c>
      <c r="L232" s="174">
        <f>VLOOKUP(D232,原始分!$D:$N,6,0)</f>
        <v>47</v>
      </c>
      <c r="M232" s="174">
        <f t="shared" si="42"/>
        <v>391</v>
      </c>
      <c r="N232" s="174">
        <f>VLOOKUP(D232,原始分!$D:$N,7,0)</f>
        <v>0</v>
      </c>
      <c r="O232" s="174">
        <f t="shared" si="43"/>
        <v>1</v>
      </c>
      <c r="P232" s="174">
        <f>VLOOKUP(D232,原始分!$D:$N,8,0)</f>
        <v>42</v>
      </c>
      <c r="Q232" s="174">
        <f t="shared" si="44"/>
        <v>265</v>
      </c>
      <c r="R232" s="174">
        <f>VLOOKUP(D232,原始分!$D:$N,9,0)</f>
        <v>0</v>
      </c>
      <c r="S232" s="174">
        <f t="shared" si="45"/>
        <v>218</v>
      </c>
      <c r="T232" s="174">
        <f>VLOOKUP(D232,原始分!$D:$N,10,0)</f>
        <v>0</v>
      </c>
      <c r="U232" s="174">
        <f t="shared" si="46"/>
        <v>112</v>
      </c>
      <c r="V232" s="174">
        <f>VLOOKUP(D232,原始分!$D:$N,11,0)</f>
        <v>52</v>
      </c>
      <c r="W232" s="174">
        <f t="shared" si="47"/>
        <v>204</v>
      </c>
      <c r="X232" s="11">
        <f t="shared" si="48"/>
        <v>318</v>
      </c>
      <c r="Y232" s="9">
        <f t="shared" si="49"/>
        <v>130</v>
      </c>
      <c r="Z232" s="11">
        <f t="shared" si="50"/>
        <v>459</v>
      </c>
      <c r="AA232" s="9">
        <f t="shared" si="51"/>
        <v>230</v>
      </c>
    </row>
    <row r="233" ht="14.25" spans="1:27">
      <c r="A233" s="13">
        <v>528</v>
      </c>
      <c r="B233" s="15">
        <v>11</v>
      </c>
      <c r="C233" s="16">
        <v>33</v>
      </c>
      <c r="D233" s="17" t="s">
        <v>1065</v>
      </c>
      <c r="E233" s="17" t="s">
        <v>1066</v>
      </c>
      <c r="F233" s="174">
        <f>VLOOKUP(D233,原始分!$D:$N,3,0)</f>
        <v>95</v>
      </c>
      <c r="G233" s="174">
        <f t="shared" si="39"/>
        <v>441</v>
      </c>
      <c r="H233" s="174">
        <f>VLOOKUP(D233,原始分!$D:$N,4,0)</f>
        <v>117</v>
      </c>
      <c r="I233" s="174">
        <f t="shared" si="40"/>
        <v>85</v>
      </c>
      <c r="J233" s="174">
        <f>VLOOKUP(D233,原始分!$D:$N,5,0)</f>
        <v>93</v>
      </c>
      <c r="K233" s="174">
        <f t="shared" si="41"/>
        <v>372</v>
      </c>
      <c r="L233" s="174">
        <f>VLOOKUP(D233,原始分!$D:$N,6,0)</f>
        <v>49.5</v>
      </c>
      <c r="M233" s="174">
        <f t="shared" si="42"/>
        <v>341</v>
      </c>
      <c r="N233" s="174">
        <f>VLOOKUP(D233,原始分!$D:$N,7,0)</f>
        <v>0</v>
      </c>
      <c r="O233" s="174">
        <f t="shared" si="43"/>
        <v>1</v>
      </c>
      <c r="P233" s="174">
        <f>VLOOKUP(D233,原始分!$D:$N,8,0)</f>
        <v>50</v>
      </c>
      <c r="Q233" s="174">
        <f t="shared" si="44"/>
        <v>108</v>
      </c>
      <c r="R233" s="174">
        <f>VLOOKUP(D233,原始分!$D:$N,9,0)</f>
        <v>0</v>
      </c>
      <c r="S233" s="174">
        <f t="shared" si="45"/>
        <v>218</v>
      </c>
      <c r="T233" s="174">
        <f>VLOOKUP(D233,原始分!$D:$N,10,0)</f>
        <v>0</v>
      </c>
      <c r="U233" s="174">
        <f t="shared" si="46"/>
        <v>112</v>
      </c>
      <c r="V233" s="174">
        <f>VLOOKUP(D233,原始分!$D:$N,11,0)</f>
        <v>54.5</v>
      </c>
      <c r="W233" s="174">
        <f t="shared" si="47"/>
        <v>154</v>
      </c>
      <c r="X233" s="11">
        <f t="shared" si="48"/>
        <v>305</v>
      </c>
      <c r="Y233" s="9">
        <f t="shared" si="49"/>
        <v>236</v>
      </c>
      <c r="Z233" s="11">
        <f t="shared" si="50"/>
        <v>459</v>
      </c>
      <c r="AA233" s="9">
        <f t="shared" si="51"/>
        <v>230</v>
      </c>
    </row>
    <row r="234" ht="14.25" spans="1:27">
      <c r="A234" s="13">
        <v>52</v>
      </c>
      <c r="B234" s="15">
        <v>1</v>
      </c>
      <c r="C234" s="16">
        <v>54</v>
      </c>
      <c r="D234" s="17" t="s">
        <v>118</v>
      </c>
      <c r="E234" s="17" t="s">
        <v>119</v>
      </c>
      <c r="F234" s="174">
        <f>VLOOKUP(D234,原始分!$D:$N,3,0)</f>
        <v>99.5</v>
      </c>
      <c r="G234" s="174">
        <f t="shared" si="39"/>
        <v>286</v>
      </c>
      <c r="H234" s="174">
        <f>VLOOKUP(D234,原始分!$D:$N,4,0)</f>
        <v>100.5</v>
      </c>
      <c r="I234" s="174">
        <f t="shared" si="40"/>
        <v>343</v>
      </c>
      <c r="J234" s="174">
        <f>VLOOKUP(D234,原始分!$D:$N,5,0)</f>
        <v>109</v>
      </c>
      <c r="K234" s="174">
        <f t="shared" si="41"/>
        <v>116</v>
      </c>
      <c r="L234" s="174">
        <f>VLOOKUP(D234,原始分!$D:$N,6,0)</f>
        <v>54.5</v>
      </c>
      <c r="M234" s="174">
        <f t="shared" si="42"/>
        <v>281</v>
      </c>
      <c r="N234" s="174">
        <f>VLOOKUP(D234,原始分!$D:$N,7,0)</f>
        <v>0</v>
      </c>
      <c r="O234" s="174">
        <f t="shared" si="43"/>
        <v>1</v>
      </c>
      <c r="P234" s="174">
        <f>VLOOKUP(D234,原始分!$D:$N,8,0)</f>
        <v>38.5</v>
      </c>
      <c r="Q234" s="174">
        <f t="shared" si="44"/>
        <v>353</v>
      </c>
      <c r="R234" s="174">
        <f>VLOOKUP(D234,原始分!$D:$N,9,0)</f>
        <v>0</v>
      </c>
      <c r="S234" s="174">
        <f t="shared" si="45"/>
        <v>218</v>
      </c>
      <c r="T234" s="174">
        <f>VLOOKUP(D234,原始分!$D:$N,10,0)</f>
        <v>56.5</v>
      </c>
      <c r="U234" s="174">
        <f t="shared" si="46"/>
        <v>46</v>
      </c>
      <c r="V234" s="174">
        <f>VLOOKUP(D234,原始分!$D:$N,11,0)</f>
        <v>0</v>
      </c>
      <c r="W234" s="174">
        <f t="shared" si="47"/>
        <v>461</v>
      </c>
      <c r="X234" s="11">
        <f t="shared" si="48"/>
        <v>309</v>
      </c>
      <c r="Y234" s="9">
        <f t="shared" si="49"/>
        <v>203</v>
      </c>
      <c r="Z234" s="11">
        <f t="shared" si="50"/>
        <v>458.5</v>
      </c>
      <c r="AA234" s="9">
        <f t="shared" si="51"/>
        <v>232</v>
      </c>
    </row>
    <row r="235" ht="14.25" spans="1:27">
      <c r="A235" s="13">
        <v>176</v>
      </c>
      <c r="B235" s="15">
        <v>4</v>
      </c>
      <c r="C235" s="16">
        <v>17</v>
      </c>
      <c r="D235" s="17" t="s">
        <v>365</v>
      </c>
      <c r="E235" s="17" t="s">
        <v>366</v>
      </c>
      <c r="F235" s="174">
        <f>VLOOKUP(D235,原始分!$D:$N,3,0)</f>
        <v>89.5</v>
      </c>
      <c r="G235" s="174">
        <f t="shared" si="39"/>
        <v>589</v>
      </c>
      <c r="H235" s="174">
        <f>VLOOKUP(D235,原始分!$D:$N,4,0)</f>
        <v>118</v>
      </c>
      <c r="I235" s="174">
        <f t="shared" si="40"/>
        <v>80</v>
      </c>
      <c r="J235" s="174">
        <f>VLOOKUP(D235,原始分!$D:$N,5,0)</f>
        <v>98</v>
      </c>
      <c r="K235" s="174">
        <f t="shared" si="41"/>
        <v>290</v>
      </c>
      <c r="L235" s="174">
        <f>VLOOKUP(D235,原始分!$D:$N,6,0)</f>
        <v>52.5</v>
      </c>
      <c r="M235" s="174">
        <f t="shared" si="42"/>
        <v>307</v>
      </c>
      <c r="N235" s="174">
        <f>VLOOKUP(D235,原始分!$D:$N,7,0)</f>
        <v>0</v>
      </c>
      <c r="O235" s="174">
        <f t="shared" si="43"/>
        <v>1</v>
      </c>
      <c r="P235" s="174">
        <f>VLOOKUP(D235,原始分!$D:$N,8,0)</f>
        <v>45</v>
      </c>
      <c r="Q235" s="174">
        <f t="shared" si="44"/>
        <v>208</v>
      </c>
      <c r="R235" s="174">
        <f>VLOOKUP(D235,原始分!$D:$N,9,0)</f>
        <v>55.5</v>
      </c>
      <c r="S235" s="174">
        <f t="shared" si="45"/>
        <v>38</v>
      </c>
      <c r="T235" s="174">
        <f>VLOOKUP(D235,原始分!$D:$N,10,0)</f>
        <v>0</v>
      </c>
      <c r="U235" s="174">
        <f t="shared" si="46"/>
        <v>112</v>
      </c>
      <c r="V235" s="174">
        <f>VLOOKUP(D235,原始分!$D:$N,11,0)</f>
        <v>0</v>
      </c>
      <c r="W235" s="174">
        <f t="shared" si="47"/>
        <v>461</v>
      </c>
      <c r="X235" s="11">
        <f t="shared" si="48"/>
        <v>305.5</v>
      </c>
      <c r="Y235" s="9">
        <f t="shared" si="49"/>
        <v>233</v>
      </c>
      <c r="Z235" s="11">
        <f t="shared" si="50"/>
        <v>458.5</v>
      </c>
      <c r="AA235" s="9">
        <f t="shared" si="51"/>
        <v>232</v>
      </c>
    </row>
    <row r="236" ht="14.25" spans="1:27">
      <c r="A236" s="13">
        <v>202</v>
      </c>
      <c r="B236" s="15">
        <v>4</v>
      </c>
      <c r="C236" s="16">
        <v>45</v>
      </c>
      <c r="D236" s="17" t="s">
        <v>417</v>
      </c>
      <c r="E236" s="17" t="s">
        <v>418</v>
      </c>
      <c r="F236" s="174">
        <f>VLOOKUP(D236,原始分!$D:$N,3,0)</f>
        <v>101</v>
      </c>
      <c r="G236" s="174">
        <f t="shared" si="39"/>
        <v>224</v>
      </c>
      <c r="H236" s="174">
        <f>VLOOKUP(D236,原始分!$D:$N,4,0)</f>
        <v>111</v>
      </c>
      <c r="I236" s="174">
        <f t="shared" si="40"/>
        <v>176</v>
      </c>
      <c r="J236" s="174">
        <f>VLOOKUP(D236,原始分!$D:$N,5,0)</f>
        <v>107.5</v>
      </c>
      <c r="K236" s="174">
        <f t="shared" si="41"/>
        <v>130</v>
      </c>
      <c r="L236" s="174">
        <f>VLOOKUP(D236,原始分!$D:$N,6,0)</f>
        <v>50.5</v>
      </c>
      <c r="M236" s="174">
        <f t="shared" si="42"/>
        <v>328</v>
      </c>
      <c r="N236" s="174">
        <f>VLOOKUP(D236,原始分!$D:$N,7,0)</f>
        <v>0</v>
      </c>
      <c r="O236" s="174">
        <f t="shared" si="43"/>
        <v>1</v>
      </c>
      <c r="P236" s="174">
        <f>VLOOKUP(D236,原始分!$D:$N,8,0)</f>
        <v>43</v>
      </c>
      <c r="Q236" s="174">
        <f t="shared" si="44"/>
        <v>247</v>
      </c>
      <c r="R236" s="174">
        <f>VLOOKUP(D236,原始分!$D:$N,9,0)</f>
        <v>45.5</v>
      </c>
      <c r="S236" s="174">
        <f t="shared" si="45"/>
        <v>151</v>
      </c>
      <c r="T236" s="174">
        <f>VLOOKUP(D236,原始分!$D:$N,10,0)</f>
        <v>0</v>
      </c>
      <c r="U236" s="174">
        <f t="shared" si="46"/>
        <v>112</v>
      </c>
      <c r="V236" s="174">
        <f>VLOOKUP(D236,原始分!$D:$N,11,0)</f>
        <v>0</v>
      </c>
      <c r="W236" s="174">
        <f t="shared" si="47"/>
        <v>461</v>
      </c>
      <c r="X236" s="11">
        <f t="shared" si="48"/>
        <v>319.5</v>
      </c>
      <c r="Y236" s="9">
        <f t="shared" si="49"/>
        <v>121</v>
      </c>
      <c r="Z236" s="11">
        <f t="shared" si="50"/>
        <v>458.5</v>
      </c>
      <c r="AA236" s="9">
        <f t="shared" si="51"/>
        <v>232</v>
      </c>
    </row>
    <row r="237" ht="14.25" spans="1:27">
      <c r="A237" s="13">
        <v>182</v>
      </c>
      <c r="B237" s="15">
        <v>4</v>
      </c>
      <c r="C237" s="16">
        <v>23</v>
      </c>
      <c r="D237" s="17" t="s">
        <v>377</v>
      </c>
      <c r="E237" s="17" t="s">
        <v>378</v>
      </c>
      <c r="F237" s="174">
        <f>VLOOKUP(D237,原始分!$D:$N,3,0)</f>
        <v>104.5</v>
      </c>
      <c r="G237" s="174">
        <f t="shared" si="39"/>
        <v>118</v>
      </c>
      <c r="H237" s="174">
        <f>VLOOKUP(D237,原始分!$D:$N,4,0)</f>
        <v>122.5</v>
      </c>
      <c r="I237" s="174">
        <f t="shared" si="40"/>
        <v>45</v>
      </c>
      <c r="J237" s="174">
        <f>VLOOKUP(D237,原始分!$D:$N,5,0)</f>
        <v>98.5</v>
      </c>
      <c r="K237" s="174">
        <f t="shared" si="41"/>
        <v>279</v>
      </c>
      <c r="L237" s="174">
        <f>VLOOKUP(D237,原始分!$D:$N,6,0)</f>
        <v>49.5</v>
      </c>
      <c r="M237" s="174">
        <f t="shared" si="42"/>
        <v>341</v>
      </c>
      <c r="N237" s="174">
        <f>VLOOKUP(D237,原始分!$D:$N,7,0)</f>
        <v>0</v>
      </c>
      <c r="O237" s="174">
        <f t="shared" si="43"/>
        <v>1</v>
      </c>
      <c r="P237" s="174">
        <f>VLOOKUP(D237,原始分!$D:$N,8,0)</f>
        <v>35</v>
      </c>
      <c r="Q237" s="174">
        <f t="shared" si="44"/>
        <v>401</v>
      </c>
      <c r="R237" s="174">
        <f>VLOOKUP(D237,原始分!$D:$N,9,0)</f>
        <v>48</v>
      </c>
      <c r="S237" s="174">
        <f t="shared" si="45"/>
        <v>122</v>
      </c>
      <c r="T237" s="174">
        <f>VLOOKUP(D237,原始分!$D:$N,10,0)</f>
        <v>0</v>
      </c>
      <c r="U237" s="174">
        <f t="shared" si="46"/>
        <v>112</v>
      </c>
      <c r="V237" s="174">
        <f>VLOOKUP(D237,原始分!$D:$N,11,0)</f>
        <v>0</v>
      </c>
      <c r="W237" s="174">
        <f t="shared" si="47"/>
        <v>461</v>
      </c>
      <c r="X237" s="11">
        <f t="shared" si="48"/>
        <v>325.5</v>
      </c>
      <c r="Y237" s="9">
        <f t="shared" si="49"/>
        <v>85</v>
      </c>
      <c r="Z237" s="11">
        <f t="shared" si="50"/>
        <v>458</v>
      </c>
      <c r="AA237" s="9">
        <f t="shared" si="51"/>
        <v>235</v>
      </c>
    </row>
    <row r="238" ht="14.25" spans="1:27">
      <c r="A238" s="13">
        <v>455</v>
      </c>
      <c r="B238" s="15">
        <v>10</v>
      </c>
      <c r="C238" s="16">
        <v>16</v>
      </c>
      <c r="D238" s="17" t="s">
        <v>920</v>
      </c>
      <c r="E238" s="17" t="s">
        <v>921</v>
      </c>
      <c r="F238" s="174">
        <f>VLOOKUP(D238,原始分!$D:$N,3,0)</f>
        <v>100.5</v>
      </c>
      <c r="G238" s="174">
        <f t="shared" si="39"/>
        <v>252</v>
      </c>
      <c r="H238" s="174">
        <f>VLOOKUP(D238,原始分!$D:$N,4,0)</f>
        <v>112</v>
      </c>
      <c r="I238" s="174">
        <f t="shared" si="40"/>
        <v>160</v>
      </c>
      <c r="J238" s="174">
        <f>VLOOKUP(D238,原始分!$D:$N,5,0)</f>
        <v>99.75</v>
      </c>
      <c r="K238" s="174">
        <f t="shared" si="41"/>
        <v>254</v>
      </c>
      <c r="L238" s="174">
        <f>VLOOKUP(D238,原始分!$D:$N,6,0)</f>
        <v>61</v>
      </c>
      <c r="M238" s="174">
        <f t="shared" si="42"/>
        <v>168</v>
      </c>
      <c r="N238" s="174">
        <f>VLOOKUP(D238,原始分!$D:$N,7,0)</f>
        <v>0</v>
      </c>
      <c r="O238" s="174">
        <f t="shared" si="43"/>
        <v>1</v>
      </c>
      <c r="P238" s="174">
        <f>VLOOKUP(D238,原始分!$D:$N,8,0)</f>
        <v>30</v>
      </c>
      <c r="Q238" s="174">
        <f t="shared" si="44"/>
        <v>472</v>
      </c>
      <c r="R238" s="174">
        <f>VLOOKUP(D238,原始分!$D:$N,9,0)</f>
        <v>0</v>
      </c>
      <c r="S238" s="174">
        <f t="shared" si="45"/>
        <v>218</v>
      </c>
      <c r="T238" s="174">
        <f>VLOOKUP(D238,原始分!$D:$N,10,0)</f>
        <v>0</v>
      </c>
      <c r="U238" s="174">
        <f t="shared" si="46"/>
        <v>112</v>
      </c>
      <c r="V238" s="174">
        <f>VLOOKUP(D238,原始分!$D:$N,11,0)</f>
        <v>54.5</v>
      </c>
      <c r="W238" s="174">
        <f t="shared" si="47"/>
        <v>154</v>
      </c>
      <c r="X238" s="11">
        <f t="shared" si="48"/>
        <v>312.25</v>
      </c>
      <c r="Y238" s="9">
        <f t="shared" si="49"/>
        <v>170</v>
      </c>
      <c r="Z238" s="11">
        <f t="shared" si="50"/>
        <v>457.75</v>
      </c>
      <c r="AA238" s="9">
        <f t="shared" si="51"/>
        <v>236</v>
      </c>
    </row>
    <row r="239" ht="14.25" spans="1:27">
      <c r="A239" s="13">
        <v>502</v>
      </c>
      <c r="B239" s="15">
        <v>11</v>
      </c>
      <c r="C239" s="16">
        <v>6</v>
      </c>
      <c r="D239" s="17" t="s">
        <v>1014</v>
      </c>
      <c r="E239" s="17" t="s">
        <v>1015</v>
      </c>
      <c r="F239" s="174">
        <f>VLOOKUP(D239,原始分!$D:$N,3,0)</f>
        <v>92.75</v>
      </c>
      <c r="G239" s="174">
        <f t="shared" si="39"/>
        <v>520</v>
      </c>
      <c r="H239" s="174">
        <f>VLOOKUP(D239,原始分!$D:$N,4,0)</f>
        <v>107.5</v>
      </c>
      <c r="I239" s="174">
        <f t="shared" si="40"/>
        <v>230</v>
      </c>
      <c r="J239" s="174">
        <f>VLOOKUP(D239,原始分!$D:$N,5,0)</f>
        <v>83.5</v>
      </c>
      <c r="K239" s="174">
        <f t="shared" si="41"/>
        <v>508</v>
      </c>
      <c r="L239" s="174">
        <f>VLOOKUP(D239,原始分!$D:$N,6,0)</f>
        <v>64.5</v>
      </c>
      <c r="M239" s="174">
        <f t="shared" si="42"/>
        <v>120</v>
      </c>
      <c r="N239" s="174">
        <f>VLOOKUP(D239,原始分!$D:$N,7,0)</f>
        <v>0</v>
      </c>
      <c r="O239" s="174">
        <f t="shared" si="43"/>
        <v>1</v>
      </c>
      <c r="P239" s="174">
        <f>VLOOKUP(D239,原始分!$D:$N,8,0)</f>
        <v>45.5</v>
      </c>
      <c r="Q239" s="174">
        <f t="shared" si="44"/>
        <v>202</v>
      </c>
      <c r="R239" s="174">
        <f>VLOOKUP(D239,原始分!$D:$N,9,0)</f>
        <v>0</v>
      </c>
      <c r="S239" s="174">
        <f t="shared" si="45"/>
        <v>218</v>
      </c>
      <c r="T239" s="174">
        <f>VLOOKUP(D239,原始分!$D:$N,10,0)</f>
        <v>0</v>
      </c>
      <c r="U239" s="174">
        <f t="shared" si="46"/>
        <v>112</v>
      </c>
      <c r="V239" s="174">
        <f>VLOOKUP(D239,原始分!$D:$N,11,0)</f>
        <v>64</v>
      </c>
      <c r="W239" s="174">
        <f t="shared" si="47"/>
        <v>47</v>
      </c>
      <c r="X239" s="11">
        <f t="shared" si="48"/>
        <v>283.75</v>
      </c>
      <c r="Y239" s="9">
        <f t="shared" si="49"/>
        <v>411</v>
      </c>
      <c r="Z239" s="11">
        <f t="shared" si="50"/>
        <v>457.75</v>
      </c>
      <c r="AA239" s="9">
        <f t="shared" si="51"/>
        <v>236</v>
      </c>
    </row>
    <row r="240" ht="14.25" spans="1:27">
      <c r="A240" s="13">
        <v>608</v>
      </c>
      <c r="B240" s="15">
        <v>12</v>
      </c>
      <c r="C240" s="16">
        <v>58</v>
      </c>
      <c r="D240" s="17" t="s">
        <v>1224</v>
      </c>
      <c r="E240" s="17" t="s">
        <v>1225</v>
      </c>
      <c r="F240" s="174">
        <f>VLOOKUP(D240,原始分!$D:$N,3,0)</f>
        <v>97</v>
      </c>
      <c r="G240" s="174">
        <f t="shared" si="39"/>
        <v>386</v>
      </c>
      <c r="H240" s="174">
        <f>VLOOKUP(D240,原始分!$D:$N,4,0)</f>
        <v>93.5</v>
      </c>
      <c r="I240" s="174">
        <f t="shared" si="40"/>
        <v>448</v>
      </c>
      <c r="J240" s="174">
        <f>VLOOKUP(D240,原始分!$D:$N,5,0)</f>
        <v>106.75</v>
      </c>
      <c r="K240" s="174">
        <f t="shared" si="41"/>
        <v>144</v>
      </c>
      <c r="L240" s="174">
        <f>VLOOKUP(D240,原始分!$D:$N,6,0)</f>
        <v>61</v>
      </c>
      <c r="M240" s="174">
        <f t="shared" si="42"/>
        <v>168</v>
      </c>
      <c r="N240" s="174">
        <f>VLOOKUP(D240,原始分!$D:$N,7,0)</f>
        <v>0</v>
      </c>
      <c r="O240" s="174">
        <f t="shared" si="43"/>
        <v>1</v>
      </c>
      <c r="P240" s="174">
        <f>VLOOKUP(D240,原始分!$D:$N,8,0)</f>
        <v>46</v>
      </c>
      <c r="Q240" s="174">
        <f t="shared" si="44"/>
        <v>193</v>
      </c>
      <c r="R240" s="174">
        <f>VLOOKUP(D240,原始分!$D:$N,9,0)</f>
        <v>0</v>
      </c>
      <c r="S240" s="174">
        <f t="shared" si="45"/>
        <v>218</v>
      </c>
      <c r="T240" s="174">
        <f>VLOOKUP(D240,原始分!$D:$N,10,0)</f>
        <v>0</v>
      </c>
      <c r="U240" s="174">
        <f t="shared" si="46"/>
        <v>112</v>
      </c>
      <c r="V240" s="174">
        <f>VLOOKUP(D240,原始分!$D:$N,11,0)</f>
        <v>53.5</v>
      </c>
      <c r="W240" s="174">
        <f t="shared" si="47"/>
        <v>171</v>
      </c>
      <c r="X240" s="11">
        <f t="shared" si="48"/>
        <v>297.25</v>
      </c>
      <c r="Y240" s="9">
        <f t="shared" si="49"/>
        <v>301</v>
      </c>
      <c r="Z240" s="11">
        <f t="shared" si="50"/>
        <v>457.75</v>
      </c>
      <c r="AA240" s="9">
        <f t="shared" si="51"/>
        <v>236</v>
      </c>
    </row>
    <row r="241" ht="14.25" spans="1:27">
      <c r="A241" s="13">
        <v>208</v>
      </c>
      <c r="B241" s="15">
        <v>5</v>
      </c>
      <c r="C241" s="16">
        <v>5</v>
      </c>
      <c r="D241" s="17" t="s">
        <v>429</v>
      </c>
      <c r="E241" s="17" t="s">
        <v>430</v>
      </c>
      <c r="F241" s="174">
        <f>VLOOKUP(D241,原始分!$D:$N,3,0)</f>
        <v>98.5</v>
      </c>
      <c r="G241" s="174">
        <f t="shared" si="39"/>
        <v>324</v>
      </c>
      <c r="H241" s="174">
        <f>VLOOKUP(D241,原始分!$D:$N,4,0)</f>
        <v>120</v>
      </c>
      <c r="I241" s="174">
        <f t="shared" si="40"/>
        <v>61</v>
      </c>
      <c r="J241" s="174">
        <f>VLOOKUP(D241,原始分!$D:$N,5,0)</f>
        <v>95.5</v>
      </c>
      <c r="K241" s="174">
        <f t="shared" si="41"/>
        <v>332</v>
      </c>
      <c r="L241" s="174">
        <f>VLOOKUP(D241,原始分!$D:$N,6,0)</f>
        <v>51</v>
      </c>
      <c r="M241" s="174">
        <f t="shared" si="42"/>
        <v>320</v>
      </c>
      <c r="N241" s="174">
        <f>VLOOKUP(D241,原始分!$D:$N,7,0)</f>
        <v>0</v>
      </c>
      <c r="O241" s="174">
        <f t="shared" si="43"/>
        <v>1</v>
      </c>
      <c r="P241" s="174">
        <f>VLOOKUP(D241,原始分!$D:$N,8,0)</f>
        <v>39.5</v>
      </c>
      <c r="Q241" s="174">
        <f t="shared" si="44"/>
        <v>333</v>
      </c>
      <c r="R241" s="174">
        <f>VLOOKUP(D241,原始分!$D:$N,9,0)</f>
        <v>53</v>
      </c>
      <c r="S241" s="174">
        <f t="shared" si="45"/>
        <v>66</v>
      </c>
      <c r="T241" s="174">
        <f>VLOOKUP(D241,原始分!$D:$N,10,0)</f>
        <v>0</v>
      </c>
      <c r="U241" s="174">
        <f t="shared" si="46"/>
        <v>112</v>
      </c>
      <c r="V241" s="174">
        <f>VLOOKUP(D241,原始分!$D:$N,11,0)</f>
        <v>0</v>
      </c>
      <c r="W241" s="174">
        <f t="shared" si="47"/>
        <v>461</v>
      </c>
      <c r="X241" s="11">
        <f t="shared" si="48"/>
        <v>314</v>
      </c>
      <c r="Y241" s="9">
        <f t="shared" si="49"/>
        <v>157</v>
      </c>
      <c r="Z241" s="11">
        <f t="shared" si="50"/>
        <v>457.5</v>
      </c>
      <c r="AA241" s="9">
        <f t="shared" si="51"/>
        <v>239</v>
      </c>
    </row>
    <row r="242" ht="14.25" spans="1:27">
      <c r="A242" s="13">
        <v>338</v>
      </c>
      <c r="B242" s="15">
        <v>8</v>
      </c>
      <c r="C242" s="16">
        <v>10</v>
      </c>
      <c r="D242" s="17" t="s">
        <v>687</v>
      </c>
      <c r="E242" s="17" t="s">
        <v>688</v>
      </c>
      <c r="F242" s="174">
        <f>VLOOKUP(D242,原始分!$D:$N,3,0)</f>
        <v>110.5</v>
      </c>
      <c r="G242" s="174">
        <f t="shared" si="39"/>
        <v>20</v>
      </c>
      <c r="H242" s="174">
        <f>VLOOKUP(D242,原始分!$D:$N,4,0)</f>
        <v>106.5</v>
      </c>
      <c r="I242" s="174">
        <f t="shared" si="40"/>
        <v>246</v>
      </c>
      <c r="J242" s="174">
        <f>VLOOKUP(D242,原始分!$D:$N,5,0)</f>
        <v>76</v>
      </c>
      <c r="K242" s="174">
        <f t="shared" si="41"/>
        <v>582</v>
      </c>
      <c r="L242" s="174">
        <f>VLOOKUP(D242,原始分!$D:$N,6,0)</f>
        <v>56.5</v>
      </c>
      <c r="M242" s="174">
        <f t="shared" si="42"/>
        <v>244</v>
      </c>
      <c r="N242" s="174">
        <f>VLOOKUP(D242,原始分!$D:$N,7,0)</f>
        <v>0</v>
      </c>
      <c r="O242" s="174">
        <f t="shared" si="43"/>
        <v>1</v>
      </c>
      <c r="P242" s="174">
        <f>VLOOKUP(D242,原始分!$D:$N,8,0)</f>
        <v>61</v>
      </c>
      <c r="Q242" s="174">
        <f t="shared" si="44"/>
        <v>21</v>
      </c>
      <c r="R242" s="174">
        <f>VLOOKUP(D242,原始分!$D:$N,9,0)</f>
        <v>0</v>
      </c>
      <c r="S242" s="174">
        <f t="shared" si="45"/>
        <v>218</v>
      </c>
      <c r="T242" s="174">
        <f>VLOOKUP(D242,原始分!$D:$N,10,0)</f>
        <v>0</v>
      </c>
      <c r="U242" s="174">
        <f t="shared" si="46"/>
        <v>112</v>
      </c>
      <c r="V242" s="174">
        <f>VLOOKUP(D242,原始分!$D:$N,11,0)</f>
        <v>47</v>
      </c>
      <c r="W242" s="174">
        <f t="shared" si="47"/>
        <v>296</v>
      </c>
      <c r="X242" s="11">
        <f t="shared" si="48"/>
        <v>293</v>
      </c>
      <c r="Y242" s="9">
        <f t="shared" si="49"/>
        <v>335</v>
      </c>
      <c r="Z242" s="11">
        <f t="shared" si="50"/>
        <v>457.5</v>
      </c>
      <c r="AA242" s="9">
        <f t="shared" si="51"/>
        <v>239</v>
      </c>
    </row>
    <row r="243" ht="14.25" spans="1:27">
      <c r="A243" s="13">
        <v>339</v>
      </c>
      <c r="B243" s="15">
        <v>8</v>
      </c>
      <c r="C243" s="16">
        <v>11</v>
      </c>
      <c r="D243" s="17" t="s">
        <v>689</v>
      </c>
      <c r="E243" s="17" t="s">
        <v>690</v>
      </c>
      <c r="F243" s="174">
        <f>VLOOKUP(D243,原始分!$D:$N,3,0)</f>
        <v>90</v>
      </c>
      <c r="G243" s="174">
        <f t="shared" si="39"/>
        <v>581</v>
      </c>
      <c r="H243" s="174">
        <f>VLOOKUP(D243,原始分!$D:$N,4,0)</f>
        <v>104.5</v>
      </c>
      <c r="I243" s="174">
        <f t="shared" si="40"/>
        <v>277</v>
      </c>
      <c r="J243" s="174">
        <f>VLOOKUP(D243,原始分!$D:$N,5,0)</f>
        <v>98.5</v>
      </c>
      <c r="K243" s="174">
        <f t="shared" si="41"/>
        <v>279</v>
      </c>
      <c r="L243" s="174">
        <f>VLOOKUP(D243,原始分!$D:$N,6,0)</f>
        <v>63.5</v>
      </c>
      <c r="M243" s="174">
        <f t="shared" si="42"/>
        <v>138</v>
      </c>
      <c r="N243" s="174">
        <f>VLOOKUP(D243,原始分!$D:$N,7,0)</f>
        <v>0</v>
      </c>
      <c r="O243" s="174">
        <f t="shared" si="43"/>
        <v>1</v>
      </c>
      <c r="P243" s="174">
        <f>VLOOKUP(D243,原始分!$D:$N,8,0)</f>
        <v>50.5</v>
      </c>
      <c r="Q243" s="174">
        <f t="shared" si="44"/>
        <v>100</v>
      </c>
      <c r="R243" s="174">
        <f>VLOOKUP(D243,原始分!$D:$N,9,0)</f>
        <v>0</v>
      </c>
      <c r="S243" s="174">
        <f t="shared" si="45"/>
        <v>218</v>
      </c>
      <c r="T243" s="174">
        <f>VLOOKUP(D243,原始分!$D:$N,10,0)</f>
        <v>0</v>
      </c>
      <c r="U243" s="174">
        <f t="shared" si="46"/>
        <v>112</v>
      </c>
      <c r="V243" s="174">
        <f>VLOOKUP(D243,原始分!$D:$N,11,0)</f>
        <v>50</v>
      </c>
      <c r="W243" s="174">
        <f t="shared" si="47"/>
        <v>247</v>
      </c>
      <c r="X243" s="11">
        <f t="shared" si="48"/>
        <v>293</v>
      </c>
      <c r="Y243" s="9">
        <f t="shared" si="49"/>
        <v>335</v>
      </c>
      <c r="Z243" s="11">
        <f t="shared" si="50"/>
        <v>457</v>
      </c>
      <c r="AA243" s="9">
        <f t="shared" si="51"/>
        <v>241</v>
      </c>
    </row>
    <row r="244" ht="14.25" spans="1:27">
      <c r="A244" s="13">
        <v>355</v>
      </c>
      <c r="B244" s="15">
        <v>8</v>
      </c>
      <c r="C244" s="16">
        <v>28</v>
      </c>
      <c r="D244" s="17" t="s">
        <v>721</v>
      </c>
      <c r="E244" s="17" t="s">
        <v>722</v>
      </c>
      <c r="F244" s="174">
        <f>VLOOKUP(D244,原始分!$D:$N,3,0)</f>
        <v>106</v>
      </c>
      <c r="G244" s="174">
        <f t="shared" si="39"/>
        <v>87</v>
      </c>
      <c r="H244" s="174">
        <f>VLOOKUP(D244,原始分!$D:$N,4,0)</f>
        <v>87.5</v>
      </c>
      <c r="I244" s="174">
        <f t="shared" si="40"/>
        <v>530</v>
      </c>
      <c r="J244" s="174">
        <f>VLOOKUP(D244,原始分!$D:$N,5,0)</f>
        <v>107</v>
      </c>
      <c r="K244" s="174">
        <f t="shared" si="41"/>
        <v>139</v>
      </c>
      <c r="L244" s="174">
        <f>VLOOKUP(D244,原始分!$D:$N,6,0)</f>
        <v>69</v>
      </c>
      <c r="M244" s="174">
        <f t="shared" si="42"/>
        <v>70</v>
      </c>
      <c r="N244" s="174">
        <f>VLOOKUP(D244,原始分!$D:$N,7,0)</f>
        <v>0</v>
      </c>
      <c r="O244" s="174">
        <f t="shared" si="43"/>
        <v>1</v>
      </c>
      <c r="P244" s="174">
        <f>VLOOKUP(D244,原始分!$D:$N,8,0)</f>
        <v>44</v>
      </c>
      <c r="Q244" s="174">
        <f t="shared" si="44"/>
        <v>226</v>
      </c>
      <c r="R244" s="174">
        <f>VLOOKUP(D244,原始分!$D:$N,9,0)</f>
        <v>0</v>
      </c>
      <c r="S244" s="174">
        <f t="shared" si="45"/>
        <v>218</v>
      </c>
      <c r="T244" s="174">
        <f>VLOOKUP(D244,原始分!$D:$N,10,0)</f>
        <v>0</v>
      </c>
      <c r="U244" s="174">
        <f t="shared" si="46"/>
        <v>112</v>
      </c>
      <c r="V244" s="174">
        <f>VLOOKUP(D244,原始分!$D:$N,11,0)</f>
        <v>43.5</v>
      </c>
      <c r="W244" s="174">
        <f t="shared" si="47"/>
        <v>359</v>
      </c>
      <c r="X244" s="11">
        <f t="shared" si="48"/>
        <v>300.5</v>
      </c>
      <c r="Y244" s="9">
        <f t="shared" si="49"/>
        <v>273</v>
      </c>
      <c r="Z244" s="11">
        <f t="shared" si="50"/>
        <v>457</v>
      </c>
      <c r="AA244" s="9">
        <f t="shared" si="51"/>
        <v>241</v>
      </c>
    </row>
    <row r="245" ht="14.25" spans="1:27">
      <c r="A245" s="13">
        <v>134</v>
      </c>
      <c r="B245" s="15">
        <v>3</v>
      </c>
      <c r="C245" s="16">
        <v>23</v>
      </c>
      <c r="D245" s="17" t="s">
        <v>281</v>
      </c>
      <c r="E245" s="17" t="s">
        <v>282</v>
      </c>
      <c r="F245" s="174">
        <f>VLOOKUP(D245,原始分!$D:$N,3,0)</f>
        <v>93.25</v>
      </c>
      <c r="G245" s="174">
        <f t="shared" si="39"/>
        <v>504</v>
      </c>
      <c r="H245" s="174">
        <f>VLOOKUP(D245,原始分!$D:$N,4,0)</f>
        <v>112.5</v>
      </c>
      <c r="I245" s="174">
        <f t="shared" si="40"/>
        <v>151</v>
      </c>
      <c r="J245" s="174">
        <f>VLOOKUP(D245,原始分!$D:$N,5,0)</f>
        <v>105</v>
      </c>
      <c r="K245" s="174">
        <f t="shared" si="41"/>
        <v>173</v>
      </c>
      <c r="L245" s="174">
        <f>VLOOKUP(D245,原始分!$D:$N,6,0)</f>
        <v>67</v>
      </c>
      <c r="M245" s="174">
        <f t="shared" si="42"/>
        <v>82</v>
      </c>
      <c r="N245" s="174">
        <f>VLOOKUP(D245,原始分!$D:$N,7,0)</f>
        <v>0</v>
      </c>
      <c r="O245" s="174">
        <f t="shared" si="43"/>
        <v>1</v>
      </c>
      <c r="P245" s="174">
        <f>VLOOKUP(D245,原始分!$D:$N,8,0)</f>
        <v>29.5</v>
      </c>
      <c r="Q245" s="174">
        <f t="shared" si="44"/>
        <v>478</v>
      </c>
      <c r="R245" s="174">
        <f>VLOOKUP(D245,原始分!$D:$N,9,0)</f>
        <v>49.5</v>
      </c>
      <c r="S245" s="174">
        <f t="shared" si="45"/>
        <v>99</v>
      </c>
      <c r="T245" s="174">
        <f>VLOOKUP(D245,原始分!$D:$N,10,0)</f>
        <v>0</v>
      </c>
      <c r="U245" s="174">
        <f t="shared" si="46"/>
        <v>112</v>
      </c>
      <c r="V245" s="174">
        <f>VLOOKUP(D245,原始分!$D:$N,11,0)</f>
        <v>0</v>
      </c>
      <c r="W245" s="174">
        <f t="shared" si="47"/>
        <v>461</v>
      </c>
      <c r="X245" s="11">
        <f t="shared" si="48"/>
        <v>310.75</v>
      </c>
      <c r="Y245" s="9">
        <f t="shared" si="49"/>
        <v>183</v>
      </c>
      <c r="Z245" s="11">
        <f t="shared" si="50"/>
        <v>456.75</v>
      </c>
      <c r="AA245" s="9">
        <f t="shared" si="51"/>
        <v>243</v>
      </c>
    </row>
    <row r="246" ht="14.25" spans="1:27">
      <c r="A246" s="13">
        <v>625</v>
      </c>
      <c r="B246" s="15">
        <v>13</v>
      </c>
      <c r="C246" s="16">
        <v>18</v>
      </c>
      <c r="D246" s="17" t="s">
        <v>1258</v>
      </c>
      <c r="E246" s="17" t="s">
        <v>1259</v>
      </c>
      <c r="F246" s="174">
        <f>VLOOKUP(D246,原始分!$D:$N,3,0)</f>
        <v>104</v>
      </c>
      <c r="G246" s="174">
        <f t="shared" si="39"/>
        <v>130</v>
      </c>
      <c r="H246" s="174">
        <f>VLOOKUP(D246,原始分!$D:$N,4,0)</f>
        <v>92</v>
      </c>
      <c r="I246" s="174">
        <f t="shared" si="40"/>
        <v>469</v>
      </c>
      <c r="J246" s="174">
        <f>VLOOKUP(D246,原始分!$D:$N,5,0)</f>
        <v>114.5</v>
      </c>
      <c r="K246" s="174">
        <f t="shared" si="41"/>
        <v>61</v>
      </c>
      <c r="L246" s="174">
        <f>VLOOKUP(D246,原始分!$D:$N,6,0)</f>
        <v>60.5</v>
      </c>
      <c r="M246" s="174">
        <f t="shared" si="42"/>
        <v>180</v>
      </c>
      <c r="N246" s="174">
        <f>VLOOKUP(D246,原始分!$D:$N,7,0)</f>
        <v>0</v>
      </c>
      <c r="O246" s="174">
        <f t="shared" si="43"/>
        <v>1</v>
      </c>
      <c r="P246" s="174">
        <f>VLOOKUP(D246,原始分!$D:$N,8,0)</f>
        <v>38.5</v>
      </c>
      <c r="Q246" s="174">
        <f t="shared" si="44"/>
        <v>353</v>
      </c>
      <c r="R246" s="174">
        <f>VLOOKUP(D246,原始分!$D:$N,9,0)</f>
        <v>0</v>
      </c>
      <c r="S246" s="174">
        <f t="shared" si="45"/>
        <v>218</v>
      </c>
      <c r="T246" s="174">
        <f>VLOOKUP(D246,原始分!$D:$N,10,0)</f>
        <v>0</v>
      </c>
      <c r="U246" s="174">
        <f t="shared" si="46"/>
        <v>112</v>
      </c>
      <c r="V246" s="174">
        <f>VLOOKUP(D246,原始分!$D:$N,11,0)</f>
        <v>47</v>
      </c>
      <c r="W246" s="174">
        <f t="shared" si="47"/>
        <v>296</v>
      </c>
      <c r="X246" s="11">
        <f t="shared" si="48"/>
        <v>310.5</v>
      </c>
      <c r="Y246" s="9">
        <f t="shared" si="49"/>
        <v>187</v>
      </c>
      <c r="Z246" s="11">
        <f t="shared" si="50"/>
        <v>456.5</v>
      </c>
      <c r="AA246" s="9">
        <f t="shared" si="51"/>
        <v>244</v>
      </c>
    </row>
    <row r="247" ht="14.25" spans="1:27">
      <c r="A247" s="13">
        <v>594</v>
      </c>
      <c r="B247" s="15">
        <v>12</v>
      </c>
      <c r="C247" s="16">
        <v>44</v>
      </c>
      <c r="D247" s="17" t="s">
        <v>1196</v>
      </c>
      <c r="E247" s="17" t="s">
        <v>1197</v>
      </c>
      <c r="F247" s="174">
        <f>VLOOKUP(D247,原始分!$D:$N,3,0)</f>
        <v>103.5</v>
      </c>
      <c r="G247" s="174">
        <f t="shared" si="39"/>
        <v>146</v>
      </c>
      <c r="H247" s="174">
        <f>VLOOKUP(D247,原始分!$D:$N,4,0)</f>
        <v>115.5</v>
      </c>
      <c r="I247" s="174">
        <f t="shared" si="40"/>
        <v>107</v>
      </c>
      <c r="J247" s="174">
        <f>VLOOKUP(D247,原始分!$D:$N,5,0)</f>
        <v>75.25</v>
      </c>
      <c r="K247" s="174">
        <f t="shared" si="41"/>
        <v>591</v>
      </c>
      <c r="L247" s="174">
        <f>VLOOKUP(D247,原始分!$D:$N,6,0)</f>
        <v>69</v>
      </c>
      <c r="M247" s="174">
        <f t="shared" si="42"/>
        <v>70</v>
      </c>
      <c r="N247" s="174">
        <f>VLOOKUP(D247,原始分!$D:$N,7,0)</f>
        <v>0</v>
      </c>
      <c r="O247" s="174">
        <f t="shared" si="43"/>
        <v>1</v>
      </c>
      <c r="P247" s="174">
        <f>VLOOKUP(D247,原始分!$D:$N,8,0)</f>
        <v>40</v>
      </c>
      <c r="Q247" s="174">
        <f t="shared" si="44"/>
        <v>314</v>
      </c>
      <c r="R247" s="174">
        <f>VLOOKUP(D247,原始分!$D:$N,9,0)</f>
        <v>0</v>
      </c>
      <c r="S247" s="174">
        <f t="shared" si="45"/>
        <v>218</v>
      </c>
      <c r="T247" s="174">
        <f>VLOOKUP(D247,原始分!$D:$N,10,0)</f>
        <v>0</v>
      </c>
      <c r="U247" s="174">
        <f t="shared" si="46"/>
        <v>112</v>
      </c>
      <c r="V247" s="174">
        <f>VLOOKUP(D247,原始分!$D:$N,11,0)</f>
        <v>52.5</v>
      </c>
      <c r="W247" s="174">
        <f t="shared" si="47"/>
        <v>195</v>
      </c>
      <c r="X247" s="11">
        <f t="shared" si="48"/>
        <v>294.25</v>
      </c>
      <c r="Y247" s="9">
        <f t="shared" si="49"/>
        <v>324</v>
      </c>
      <c r="Z247" s="11">
        <f t="shared" si="50"/>
        <v>455.75</v>
      </c>
      <c r="AA247" s="9">
        <f t="shared" si="51"/>
        <v>245</v>
      </c>
    </row>
    <row r="248" ht="14.25" spans="1:27">
      <c r="A248" s="13">
        <v>628</v>
      </c>
      <c r="B248" s="15">
        <v>13</v>
      </c>
      <c r="C248" s="16">
        <v>21</v>
      </c>
      <c r="D248" s="17" t="s">
        <v>1264</v>
      </c>
      <c r="E248" s="17" t="s">
        <v>1265</v>
      </c>
      <c r="F248" s="174">
        <f>VLOOKUP(D248,原始分!$D:$N,3,0)</f>
        <v>100.5</v>
      </c>
      <c r="G248" s="174">
        <f t="shared" si="39"/>
        <v>252</v>
      </c>
      <c r="H248" s="174">
        <f>VLOOKUP(D248,原始分!$D:$N,4,0)</f>
        <v>104</v>
      </c>
      <c r="I248" s="174">
        <f t="shared" si="40"/>
        <v>290</v>
      </c>
      <c r="J248" s="174">
        <f>VLOOKUP(D248,原始分!$D:$N,5,0)</f>
        <v>105.75</v>
      </c>
      <c r="K248" s="174">
        <f t="shared" si="41"/>
        <v>156</v>
      </c>
      <c r="L248" s="174">
        <f>VLOOKUP(D248,原始分!$D:$N,6,0)</f>
        <v>46</v>
      </c>
      <c r="M248" s="174">
        <f t="shared" si="42"/>
        <v>411</v>
      </c>
      <c r="N248" s="174">
        <f>VLOOKUP(D248,原始分!$D:$N,7,0)</f>
        <v>0</v>
      </c>
      <c r="O248" s="174">
        <f t="shared" si="43"/>
        <v>1</v>
      </c>
      <c r="P248" s="174">
        <f>VLOOKUP(D248,原始分!$D:$N,8,0)</f>
        <v>46.5</v>
      </c>
      <c r="Q248" s="174">
        <f t="shared" si="44"/>
        <v>187</v>
      </c>
      <c r="R248" s="174">
        <f>VLOOKUP(D248,原始分!$D:$N,9,0)</f>
        <v>0</v>
      </c>
      <c r="S248" s="174">
        <f t="shared" si="45"/>
        <v>218</v>
      </c>
      <c r="T248" s="174">
        <f>VLOOKUP(D248,原始分!$D:$N,10,0)</f>
        <v>0</v>
      </c>
      <c r="U248" s="174">
        <f t="shared" si="46"/>
        <v>112</v>
      </c>
      <c r="V248" s="174">
        <f>VLOOKUP(D248,原始分!$D:$N,11,0)</f>
        <v>53</v>
      </c>
      <c r="W248" s="174">
        <f t="shared" si="47"/>
        <v>185</v>
      </c>
      <c r="X248" s="11">
        <f t="shared" si="48"/>
        <v>310.25</v>
      </c>
      <c r="Y248" s="9">
        <f t="shared" si="49"/>
        <v>189</v>
      </c>
      <c r="Z248" s="11">
        <f t="shared" si="50"/>
        <v>455.75</v>
      </c>
      <c r="AA248" s="9">
        <f t="shared" si="51"/>
        <v>245</v>
      </c>
    </row>
    <row r="249" ht="14.25" spans="1:27">
      <c r="A249" s="13">
        <v>242</v>
      </c>
      <c r="B249" s="15">
        <v>5</v>
      </c>
      <c r="C249" s="16">
        <v>39</v>
      </c>
      <c r="D249" s="17" t="s">
        <v>497</v>
      </c>
      <c r="E249" s="17" t="s">
        <v>498</v>
      </c>
      <c r="F249" s="174">
        <f>VLOOKUP(D249,原始分!$D:$N,3,0)</f>
        <v>90.5</v>
      </c>
      <c r="G249" s="174">
        <f t="shared" si="39"/>
        <v>571</v>
      </c>
      <c r="H249" s="174">
        <f>VLOOKUP(D249,原始分!$D:$N,4,0)</f>
        <v>103</v>
      </c>
      <c r="I249" s="174">
        <f t="shared" si="40"/>
        <v>312</v>
      </c>
      <c r="J249" s="174">
        <f>VLOOKUP(D249,原始分!$D:$N,5,0)</f>
        <v>98</v>
      </c>
      <c r="K249" s="174">
        <f t="shared" si="41"/>
        <v>290</v>
      </c>
      <c r="L249" s="174">
        <f>VLOOKUP(D249,原始分!$D:$N,6,0)</f>
        <v>81.5</v>
      </c>
      <c r="M249" s="174">
        <f t="shared" si="42"/>
        <v>9</v>
      </c>
      <c r="N249" s="174">
        <f>VLOOKUP(D249,原始分!$D:$N,7,0)</f>
        <v>0</v>
      </c>
      <c r="O249" s="174">
        <f t="shared" si="43"/>
        <v>1</v>
      </c>
      <c r="P249" s="174">
        <f>VLOOKUP(D249,原始分!$D:$N,8,0)</f>
        <v>27</v>
      </c>
      <c r="Q249" s="174">
        <f t="shared" si="44"/>
        <v>496</v>
      </c>
      <c r="R249" s="174">
        <f>VLOOKUP(D249,原始分!$D:$N,9,0)</f>
        <v>55.5</v>
      </c>
      <c r="S249" s="174">
        <f t="shared" si="45"/>
        <v>38</v>
      </c>
      <c r="T249" s="174">
        <f>VLOOKUP(D249,原始分!$D:$N,10,0)</f>
        <v>0</v>
      </c>
      <c r="U249" s="174">
        <f t="shared" si="46"/>
        <v>112</v>
      </c>
      <c r="V249" s="174">
        <f>VLOOKUP(D249,原始分!$D:$N,11,0)</f>
        <v>0</v>
      </c>
      <c r="W249" s="174">
        <f t="shared" si="47"/>
        <v>461</v>
      </c>
      <c r="X249" s="11">
        <f t="shared" si="48"/>
        <v>291.5</v>
      </c>
      <c r="Y249" s="9">
        <f t="shared" si="49"/>
        <v>357</v>
      </c>
      <c r="Z249" s="11">
        <f t="shared" si="50"/>
        <v>455.5</v>
      </c>
      <c r="AA249" s="9">
        <f t="shared" si="51"/>
        <v>247</v>
      </c>
    </row>
    <row r="250" ht="14.25" spans="1:27">
      <c r="A250" s="13">
        <v>611</v>
      </c>
      <c r="B250" s="15">
        <v>13</v>
      </c>
      <c r="C250" s="16">
        <v>2</v>
      </c>
      <c r="D250" s="17" t="s">
        <v>1230</v>
      </c>
      <c r="E250" s="17" t="s">
        <v>1231</v>
      </c>
      <c r="F250" s="174">
        <f>VLOOKUP(D250,原始分!$D:$N,3,0)</f>
        <v>99</v>
      </c>
      <c r="G250" s="174">
        <f t="shared" si="39"/>
        <v>304</v>
      </c>
      <c r="H250" s="174">
        <f>VLOOKUP(D250,原始分!$D:$N,4,0)</f>
        <v>113.5</v>
      </c>
      <c r="I250" s="174">
        <f t="shared" si="40"/>
        <v>135</v>
      </c>
      <c r="J250" s="174">
        <f>VLOOKUP(D250,原始分!$D:$N,5,0)</f>
        <v>85</v>
      </c>
      <c r="K250" s="174">
        <f t="shared" si="41"/>
        <v>490</v>
      </c>
      <c r="L250" s="174">
        <f>VLOOKUP(D250,原始分!$D:$N,6,0)</f>
        <v>54.5</v>
      </c>
      <c r="M250" s="174">
        <f t="shared" si="42"/>
        <v>281</v>
      </c>
      <c r="N250" s="174">
        <f>VLOOKUP(D250,原始分!$D:$N,7,0)</f>
        <v>0</v>
      </c>
      <c r="O250" s="174">
        <f t="shared" si="43"/>
        <v>1</v>
      </c>
      <c r="P250" s="174">
        <f>VLOOKUP(D250,原始分!$D:$N,8,0)</f>
        <v>49.5</v>
      </c>
      <c r="Q250" s="174">
        <f t="shared" si="44"/>
        <v>119</v>
      </c>
      <c r="R250" s="174">
        <f>VLOOKUP(D250,原始分!$D:$N,9,0)</f>
        <v>0</v>
      </c>
      <c r="S250" s="174">
        <f t="shared" si="45"/>
        <v>218</v>
      </c>
      <c r="T250" s="174">
        <f>VLOOKUP(D250,原始分!$D:$N,10,0)</f>
        <v>0</v>
      </c>
      <c r="U250" s="174">
        <f t="shared" si="46"/>
        <v>112</v>
      </c>
      <c r="V250" s="174">
        <f>VLOOKUP(D250,原始分!$D:$N,11,0)</f>
        <v>54</v>
      </c>
      <c r="W250" s="174">
        <f t="shared" si="47"/>
        <v>164</v>
      </c>
      <c r="X250" s="11">
        <f t="shared" si="48"/>
        <v>297.5</v>
      </c>
      <c r="Y250" s="9">
        <f t="shared" si="49"/>
        <v>299</v>
      </c>
      <c r="Z250" s="11">
        <f t="shared" si="50"/>
        <v>455.5</v>
      </c>
      <c r="AA250" s="9">
        <f t="shared" si="51"/>
        <v>247</v>
      </c>
    </row>
    <row r="251" ht="14.25" spans="1:27">
      <c r="A251" s="13">
        <v>646</v>
      </c>
      <c r="B251" s="15">
        <v>13</v>
      </c>
      <c r="C251" s="16">
        <v>40</v>
      </c>
      <c r="D251" s="17" t="s">
        <v>1299</v>
      </c>
      <c r="E251" s="17" t="s">
        <v>1300</v>
      </c>
      <c r="F251" s="174">
        <f>VLOOKUP(D251,原始分!$D:$N,3,0)</f>
        <v>94</v>
      </c>
      <c r="G251" s="174">
        <f t="shared" si="39"/>
        <v>478</v>
      </c>
      <c r="H251" s="174">
        <f>VLOOKUP(D251,原始分!$D:$N,4,0)</f>
        <v>108.5</v>
      </c>
      <c r="I251" s="174">
        <f t="shared" si="40"/>
        <v>215</v>
      </c>
      <c r="J251" s="174">
        <f>VLOOKUP(D251,原始分!$D:$N,5,0)</f>
        <v>76</v>
      </c>
      <c r="K251" s="174">
        <f t="shared" si="41"/>
        <v>582</v>
      </c>
      <c r="L251" s="174">
        <f>VLOOKUP(D251,原始分!$D:$N,6,0)</f>
        <v>64.5</v>
      </c>
      <c r="M251" s="174">
        <f t="shared" si="42"/>
        <v>120</v>
      </c>
      <c r="N251" s="174">
        <f>VLOOKUP(D251,原始分!$D:$N,7,0)</f>
        <v>0</v>
      </c>
      <c r="O251" s="174">
        <f t="shared" si="43"/>
        <v>1</v>
      </c>
      <c r="P251" s="174">
        <f>VLOOKUP(D251,原始分!$D:$N,8,0)</f>
        <v>46.5</v>
      </c>
      <c r="Q251" s="174">
        <f t="shared" si="44"/>
        <v>187</v>
      </c>
      <c r="R251" s="174">
        <f>VLOOKUP(D251,原始分!$D:$N,9,0)</f>
        <v>0</v>
      </c>
      <c r="S251" s="174">
        <f t="shared" si="45"/>
        <v>218</v>
      </c>
      <c r="T251" s="174">
        <f>VLOOKUP(D251,原始分!$D:$N,10,0)</f>
        <v>0</v>
      </c>
      <c r="U251" s="174">
        <f t="shared" si="46"/>
        <v>112</v>
      </c>
      <c r="V251" s="174">
        <f>VLOOKUP(D251,原始分!$D:$N,11,0)</f>
        <v>66</v>
      </c>
      <c r="W251" s="174">
        <f t="shared" si="47"/>
        <v>29</v>
      </c>
      <c r="X251" s="11">
        <f t="shared" si="48"/>
        <v>278.5</v>
      </c>
      <c r="Y251" s="9">
        <f t="shared" si="49"/>
        <v>462</v>
      </c>
      <c r="Z251" s="11">
        <f t="shared" si="50"/>
        <v>455.5</v>
      </c>
      <c r="AA251" s="9">
        <f t="shared" si="51"/>
        <v>247</v>
      </c>
    </row>
    <row r="252" ht="14.25" spans="1:27">
      <c r="A252" s="13">
        <v>29</v>
      </c>
      <c r="B252" s="15">
        <v>1</v>
      </c>
      <c r="C252" s="16">
        <v>31</v>
      </c>
      <c r="D252" s="17" t="s">
        <v>72</v>
      </c>
      <c r="E252" s="17" t="s">
        <v>73</v>
      </c>
      <c r="F252" s="174">
        <f>VLOOKUP(D252,原始分!$D:$N,3,0)</f>
        <v>105.5</v>
      </c>
      <c r="G252" s="174">
        <f t="shared" si="39"/>
        <v>96</v>
      </c>
      <c r="H252" s="174">
        <f>VLOOKUP(D252,原始分!$D:$N,4,0)</f>
        <v>120.5</v>
      </c>
      <c r="I252" s="174">
        <f t="shared" si="40"/>
        <v>57</v>
      </c>
      <c r="J252" s="174">
        <f>VLOOKUP(D252,原始分!$D:$N,5,0)</f>
        <v>92</v>
      </c>
      <c r="K252" s="174">
        <f t="shared" si="41"/>
        <v>392</v>
      </c>
      <c r="L252" s="174">
        <f>VLOOKUP(D252,原始分!$D:$N,6,0)</f>
        <v>50.5</v>
      </c>
      <c r="M252" s="174">
        <f t="shared" si="42"/>
        <v>328</v>
      </c>
      <c r="N252" s="174">
        <f>VLOOKUP(D252,原始分!$D:$N,7,0)</f>
        <v>0</v>
      </c>
      <c r="O252" s="174">
        <f t="shared" si="43"/>
        <v>1</v>
      </c>
      <c r="P252" s="174">
        <f>VLOOKUP(D252,原始分!$D:$N,8,0)</f>
        <v>36</v>
      </c>
      <c r="Q252" s="174">
        <f t="shared" si="44"/>
        <v>384</v>
      </c>
      <c r="R252" s="174">
        <f>VLOOKUP(D252,原始分!$D:$N,9,0)</f>
        <v>0</v>
      </c>
      <c r="S252" s="174">
        <f t="shared" si="45"/>
        <v>218</v>
      </c>
      <c r="T252" s="174">
        <f>VLOOKUP(D252,原始分!$D:$N,10,0)</f>
        <v>50.5</v>
      </c>
      <c r="U252" s="174">
        <f t="shared" si="46"/>
        <v>76</v>
      </c>
      <c r="V252" s="174">
        <f>VLOOKUP(D252,原始分!$D:$N,11,0)</f>
        <v>0</v>
      </c>
      <c r="W252" s="174">
        <f t="shared" si="47"/>
        <v>461</v>
      </c>
      <c r="X252" s="11">
        <f t="shared" si="48"/>
        <v>318</v>
      </c>
      <c r="Y252" s="9">
        <f t="shared" si="49"/>
        <v>130</v>
      </c>
      <c r="Z252" s="11">
        <f t="shared" si="50"/>
        <v>455</v>
      </c>
      <c r="AA252" s="9">
        <f t="shared" si="51"/>
        <v>250</v>
      </c>
    </row>
    <row r="253" ht="14.25" spans="1:27">
      <c r="A253" s="13">
        <v>218</v>
      </c>
      <c r="B253" s="15">
        <v>5</v>
      </c>
      <c r="C253" s="16">
        <v>15</v>
      </c>
      <c r="D253" s="17" t="s">
        <v>449</v>
      </c>
      <c r="E253" s="17" t="s">
        <v>450</v>
      </c>
      <c r="F253" s="174">
        <f>VLOOKUP(D253,原始分!$D:$N,3,0)</f>
        <v>90.5</v>
      </c>
      <c r="G253" s="174">
        <f t="shared" si="39"/>
        <v>571</v>
      </c>
      <c r="H253" s="174">
        <f>VLOOKUP(D253,原始分!$D:$N,4,0)</f>
        <v>105</v>
      </c>
      <c r="I253" s="174">
        <f t="shared" si="40"/>
        <v>271</v>
      </c>
      <c r="J253" s="174">
        <f>VLOOKUP(D253,原始分!$D:$N,5,0)</f>
        <v>94</v>
      </c>
      <c r="K253" s="174">
        <f t="shared" si="41"/>
        <v>358</v>
      </c>
      <c r="L253" s="174">
        <f>VLOOKUP(D253,原始分!$D:$N,6,0)</f>
        <v>60.5</v>
      </c>
      <c r="M253" s="174">
        <f t="shared" si="42"/>
        <v>180</v>
      </c>
      <c r="N253" s="174">
        <f>VLOOKUP(D253,原始分!$D:$N,7,0)</f>
        <v>0</v>
      </c>
      <c r="O253" s="174">
        <f t="shared" si="43"/>
        <v>1</v>
      </c>
      <c r="P253" s="174">
        <f>VLOOKUP(D253,原始分!$D:$N,8,0)</f>
        <v>55</v>
      </c>
      <c r="Q253" s="174">
        <f t="shared" si="44"/>
        <v>51</v>
      </c>
      <c r="R253" s="174">
        <f>VLOOKUP(D253,原始分!$D:$N,9,0)</f>
        <v>50</v>
      </c>
      <c r="S253" s="174">
        <f t="shared" si="45"/>
        <v>95</v>
      </c>
      <c r="T253" s="174">
        <f>VLOOKUP(D253,原始分!$D:$N,10,0)</f>
        <v>0</v>
      </c>
      <c r="U253" s="174">
        <f t="shared" si="46"/>
        <v>112</v>
      </c>
      <c r="V253" s="174">
        <f>VLOOKUP(D253,原始分!$D:$N,11,0)</f>
        <v>0</v>
      </c>
      <c r="W253" s="174">
        <f t="shared" si="47"/>
        <v>461</v>
      </c>
      <c r="X253" s="11">
        <f t="shared" si="48"/>
        <v>289.5</v>
      </c>
      <c r="Y253" s="9">
        <f t="shared" si="49"/>
        <v>371</v>
      </c>
      <c r="Z253" s="11">
        <f t="shared" si="50"/>
        <v>455</v>
      </c>
      <c r="AA253" s="9">
        <f t="shared" si="51"/>
        <v>250</v>
      </c>
    </row>
    <row r="254" ht="14.25" spans="1:27">
      <c r="A254" s="13">
        <v>222</v>
      </c>
      <c r="B254" s="15">
        <v>5</v>
      </c>
      <c r="C254" s="16">
        <v>19</v>
      </c>
      <c r="D254" s="17" t="s">
        <v>457</v>
      </c>
      <c r="E254" s="17" t="s">
        <v>458</v>
      </c>
      <c r="F254" s="174">
        <f>VLOOKUP(D254,原始分!$D:$N,3,0)</f>
        <v>97.5</v>
      </c>
      <c r="G254" s="174">
        <f t="shared" si="39"/>
        <v>372</v>
      </c>
      <c r="H254" s="174">
        <f>VLOOKUP(D254,原始分!$D:$N,4,0)</f>
        <v>110.5</v>
      </c>
      <c r="I254" s="174">
        <f t="shared" si="40"/>
        <v>184</v>
      </c>
      <c r="J254" s="174">
        <f>VLOOKUP(D254,原始分!$D:$N,5,0)</f>
        <v>88.75</v>
      </c>
      <c r="K254" s="174">
        <f t="shared" si="41"/>
        <v>433</v>
      </c>
      <c r="L254" s="174">
        <f>VLOOKUP(D254,原始分!$D:$N,6,0)</f>
        <v>51.5</v>
      </c>
      <c r="M254" s="174">
        <f t="shared" si="42"/>
        <v>313</v>
      </c>
      <c r="N254" s="174">
        <f>VLOOKUP(D254,原始分!$D:$N,7,0)</f>
        <v>0</v>
      </c>
      <c r="O254" s="174">
        <f t="shared" si="43"/>
        <v>1</v>
      </c>
      <c r="P254" s="174">
        <f>VLOOKUP(D254,原始分!$D:$N,8,0)</f>
        <v>48</v>
      </c>
      <c r="Q254" s="174">
        <f t="shared" si="44"/>
        <v>145</v>
      </c>
      <c r="R254" s="174">
        <f>VLOOKUP(D254,原始分!$D:$N,9,0)</f>
        <v>58</v>
      </c>
      <c r="S254" s="174">
        <f t="shared" si="45"/>
        <v>22</v>
      </c>
      <c r="T254" s="174">
        <f>VLOOKUP(D254,原始分!$D:$N,10,0)</f>
        <v>0</v>
      </c>
      <c r="U254" s="174">
        <f t="shared" si="46"/>
        <v>112</v>
      </c>
      <c r="V254" s="174">
        <f>VLOOKUP(D254,原始分!$D:$N,11,0)</f>
        <v>0</v>
      </c>
      <c r="W254" s="174">
        <f t="shared" si="47"/>
        <v>461</v>
      </c>
      <c r="X254" s="11">
        <f t="shared" si="48"/>
        <v>296.75</v>
      </c>
      <c r="Y254" s="9">
        <f t="shared" si="49"/>
        <v>303</v>
      </c>
      <c r="Z254" s="11">
        <f t="shared" si="50"/>
        <v>454.25</v>
      </c>
      <c r="AA254" s="9">
        <f t="shared" si="51"/>
        <v>252</v>
      </c>
    </row>
    <row r="255" ht="14.25" spans="1:27">
      <c r="A255" s="13">
        <v>627</v>
      </c>
      <c r="B255" s="15">
        <v>13</v>
      </c>
      <c r="C255" s="16">
        <v>20</v>
      </c>
      <c r="D255" s="17" t="s">
        <v>1262</v>
      </c>
      <c r="E255" s="17" t="s">
        <v>1263</v>
      </c>
      <c r="F255" s="174">
        <f>VLOOKUP(D255,原始分!$D:$N,3,0)</f>
        <v>96</v>
      </c>
      <c r="G255" s="174">
        <f t="shared" si="39"/>
        <v>407</v>
      </c>
      <c r="H255" s="174">
        <f>VLOOKUP(D255,原始分!$D:$N,4,0)</f>
        <v>109.5</v>
      </c>
      <c r="I255" s="174">
        <f t="shared" si="40"/>
        <v>198</v>
      </c>
      <c r="J255" s="174">
        <f>VLOOKUP(D255,原始分!$D:$N,5,0)</f>
        <v>104.25</v>
      </c>
      <c r="K255" s="174">
        <f t="shared" si="41"/>
        <v>182</v>
      </c>
      <c r="L255" s="174">
        <f>VLOOKUP(D255,原始分!$D:$N,6,0)</f>
        <v>42</v>
      </c>
      <c r="M255" s="174">
        <f t="shared" si="42"/>
        <v>476</v>
      </c>
      <c r="N255" s="174">
        <f>VLOOKUP(D255,原始分!$D:$N,7,0)</f>
        <v>0</v>
      </c>
      <c r="O255" s="174">
        <f t="shared" si="43"/>
        <v>1</v>
      </c>
      <c r="P255" s="174">
        <f>VLOOKUP(D255,原始分!$D:$N,8,0)</f>
        <v>50</v>
      </c>
      <c r="Q255" s="174">
        <f t="shared" si="44"/>
        <v>108</v>
      </c>
      <c r="R255" s="174">
        <f>VLOOKUP(D255,原始分!$D:$N,9,0)</f>
        <v>0</v>
      </c>
      <c r="S255" s="174">
        <f t="shared" si="45"/>
        <v>218</v>
      </c>
      <c r="T255" s="174">
        <f>VLOOKUP(D255,原始分!$D:$N,10,0)</f>
        <v>0</v>
      </c>
      <c r="U255" s="174">
        <f t="shared" si="46"/>
        <v>112</v>
      </c>
      <c r="V255" s="174">
        <f>VLOOKUP(D255,原始分!$D:$N,11,0)</f>
        <v>52.5</v>
      </c>
      <c r="W255" s="174">
        <f t="shared" si="47"/>
        <v>195</v>
      </c>
      <c r="X255" s="11">
        <f t="shared" si="48"/>
        <v>309.75</v>
      </c>
      <c r="Y255" s="9">
        <f t="shared" si="49"/>
        <v>196</v>
      </c>
      <c r="Z255" s="11">
        <f t="shared" si="50"/>
        <v>454.25</v>
      </c>
      <c r="AA255" s="9">
        <f t="shared" si="51"/>
        <v>252</v>
      </c>
    </row>
    <row r="256" ht="14.25" spans="1:27">
      <c r="A256" s="13">
        <v>318</v>
      </c>
      <c r="B256" s="15">
        <v>7</v>
      </c>
      <c r="C256" s="16">
        <v>31</v>
      </c>
      <c r="D256" s="17" t="s">
        <v>647</v>
      </c>
      <c r="E256" s="17" t="s">
        <v>648</v>
      </c>
      <c r="F256" s="174">
        <f>VLOOKUP(D256,原始分!$D:$N,3,0)</f>
        <v>98</v>
      </c>
      <c r="G256" s="174">
        <f t="shared" si="39"/>
        <v>349</v>
      </c>
      <c r="H256" s="174">
        <f>VLOOKUP(D256,原始分!$D:$N,4,0)</f>
        <v>104</v>
      </c>
      <c r="I256" s="174">
        <f t="shared" si="40"/>
        <v>290</v>
      </c>
      <c r="J256" s="174">
        <f>VLOOKUP(D256,原始分!$D:$N,5,0)</f>
        <v>83</v>
      </c>
      <c r="K256" s="174">
        <f t="shared" si="41"/>
        <v>512</v>
      </c>
      <c r="L256" s="174">
        <f>VLOOKUP(D256,原始分!$D:$N,6,0)</f>
        <v>56.5</v>
      </c>
      <c r="M256" s="174">
        <f t="shared" si="42"/>
        <v>244</v>
      </c>
      <c r="N256" s="174">
        <f>VLOOKUP(D256,原始分!$D:$N,7,0)</f>
        <v>0</v>
      </c>
      <c r="O256" s="174">
        <f t="shared" si="43"/>
        <v>1</v>
      </c>
      <c r="P256" s="174">
        <f>VLOOKUP(D256,原始分!$D:$N,8,0)</f>
        <v>0</v>
      </c>
      <c r="Q256" s="174">
        <f t="shared" si="44"/>
        <v>539</v>
      </c>
      <c r="R256" s="174">
        <f>VLOOKUP(D256,原始分!$D:$N,9,0)</f>
        <v>47</v>
      </c>
      <c r="S256" s="174">
        <f t="shared" si="45"/>
        <v>134</v>
      </c>
      <c r="T256" s="174">
        <f>VLOOKUP(D256,原始分!$D:$N,10,0)</f>
        <v>0</v>
      </c>
      <c r="U256" s="174">
        <f t="shared" si="46"/>
        <v>112</v>
      </c>
      <c r="V256" s="174">
        <f>VLOOKUP(D256,原始分!$D:$N,11,0)</f>
        <v>65.5</v>
      </c>
      <c r="W256" s="174">
        <f t="shared" si="47"/>
        <v>32</v>
      </c>
      <c r="X256" s="11">
        <f t="shared" si="48"/>
        <v>285</v>
      </c>
      <c r="Y256" s="9">
        <f t="shared" si="49"/>
        <v>401</v>
      </c>
      <c r="Z256" s="11">
        <f t="shared" si="50"/>
        <v>454</v>
      </c>
      <c r="AA256" s="9">
        <f t="shared" si="51"/>
        <v>254</v>
      </c>
    </row>
    <row r="257" ht="14.25" spans="1:27">
      <c r="A257" s="13">
        <v>19</v>
      </c>
      <c r="B257" s="15">
        <v>1</v>
      </c>
      <c r="C257" s="16">
        <v>21</v>
      </c>
      <c r="D257" s="17" t="s">
        <v>52</v>
      </c>
      <c r="E257" s="17" t="s">
        <v>53</v>
      </c>
      <c r="F257" s="174">
        <f>VLOOKUP(D257,原始分!$D:$N,3,0)</f>
        <v>85.5</v>
      </c>
      <c r="G257" s="174">
        <f t="shared" si="39"/>
        <v>629</v>
      </c>
      <c r="H257" s="174">
        <f>VLOOKUP(D257,原始分!$D:$N,4,0)</f>
        <v>125</v>
      </c>
      <c r="I257" s="174">
        <f t="shared" si="40"/>
        <v>31</v>
      </c>
      <c r="J257" s="174">
        <f>VLOOKUP(D257,原始分!$D:$N,5,0)</f>
        <v>87.5</v>
      </c>
      <c r="K257" s="174">
        <f t="shared" si="41"/>
        <v>448</v>
      </c>
      <c r="L257" s="174">
        <f>VLOOKUP(D257,原始分!$D:$N,6,0)</f>
        <v>55</v>
      </c>
      <c r="M257" s="174">
        <f t="shared" si="42"/>
        <v>269</v>
      </c>
      <c r="N257" s="174">
        <f>VLOOKUP(D257,原始分!$D:$N,7,0)</f>
        <v>0</v>
      </c>
      <c r="O257" s="174">
        <f t="shared" si="43"/>
        <v>1</v>
      </c>
      <c r="P257" s="174">
        <f>VLOOKUP(D257,原始分!$D:$N,8,0)</f>
        <v>39.5</v>
      </c>
      <c r="Q257" s="174">
        <f t="shared" si="44"/>
        <v>333</v>
      </c>
      <c r="R257" s="174">
        <f>VLOOKUP(D257,原始分!$D:$N,9,0)</f>
        <v>0</v>
      </c>
      <c r="S257" s="174">
        <f t="shared" si="45"/>
        <v>218</v>
      </c>
      <c r="T257" s="174">
        <f>VLOOKUP(D257,原始分!$D:$N,10,0)</f>
        <v>61</v>
      </c>
      <c r="U257" s="174">
        <f t="shared" si="46"/>
        <v>24</v>
      </c>
      <c r="V257" s="174">
        <f>VLOOKUP(D257,原始分!$D:$N,11,0)</f>
        <v>0</v>
      </c>
      <c r="W257" s="174">
        <f t="shared" si="47"/>
        <v>461</v>
      </c>
      <c r="X257" s="11">
        <f t="shared" si="48"/>
        <v>298</v>
      </c>
      <c r="Y257" s="9">
        <f t="shared" si="49"/>
        <v>293</v>
      </c>
      <c r="Z257" s="11">
        <f t="shared" si="50"/>
        <v>453.5</v>
      </c>
      <c r="AA257" s="9">
        <f t="shared" si="51"/>
        <v>255</v>
      </c>
    </row>
    <row r="258" ht="14.25" spans="1:27">
      <c r="A258" s="13">
        <v>221</v>
      </c>
      <c r="B258" s="15">
        <v>5</v>
      </c>
      <c r="C258" s="16">
        <v>18</v>
      </c>
      <c r="D258" s="17" t="s">
        <v>455</v>
      </c>
      <c r="E258" s="17" t="s">
        <v>456</v>
      </c>
      <c r="F258" s="174">
        <f>VLOOKUP(D258,原始分!$D:$N,3,0)</f>
        <v>105</v>
      </c>
      <c r="G258" s="174">
        <f t="shared" si="39"/>
        <v>107</v>
      </c>
      <c r="H258" s="174">
        <f>VLOOKUP(D258,原始分!$D:$N,4,0)</f>
        <v>122.5</v>
      </c>
      <c r="I258" s="174">
        <f t="shared" si="40"/>
        <v>45</v>
      </c>
      <c r="J258" s="174">
        <f>VLOOKUP(D258,原始分!$D:$N,5,0)</f>
        <v>64.5</v>
      </c>
      <c r="K258" s="174">
        <f t="shared" si="41"/>
        <v>637</v>
      </c>
      <c r="L258" s="174">
        <f>VLOOKUP(D258,原始分!$D:$N,6,0)</f>
        <v>65</v>
      </c>
      <c r="M258" s="174">
        <f t="shared" si="42"/>
        <v>115</v>
      </c>
      <c r="N258" s="174">
        <f>VLOOKUP(D258,原始分!$D:$N,7,0)</f>
        <v>0</v>
      </c>
      <c r="O258" s="174">
        <f t="shared" si="43"/>
        <v>1</v>
      </c>
      <c r="P258" s="174">
        <f>VLOOKUP(D258,原始分!$D:$N,8,0)</f>
        <v>45</v>
      </c>
      <c r="Q258" s="174">
        <f t="shared" si="44"/>
        <v>208</v>
      </c>
      <c r="R258" s="174">
        <f>VLOOKUP(D258,原始分!$D:$N,9,0)</f>
        <v>51.5</v>
      </c>
      <c r="S258" s="174">
        <f t="shared" si="45"/>
        <v>83</v>
      </c>
      <c r="T258" s="174">
        <f>VLOOKUP(D258,原始分!$D:$N,10,0)</f>
        <v>0</v>
      </c>
      <c r="U258" s="174">
        <f t="shared" si="46"/>
        <v>112</v>
      </c>
      <c r="V258" s="174">
        <f>VLOOKUP(D258,原始分!$D:$N,11,0)</f>
        <v>0</v>
      </c>
      <c r="W258" s="174">
        <f t="shared" si="47"/>
        <v>461</v>
      </c>
      <c r="X258" s="11">
        <f t="shared" si="48"/>
        <v>292</v>
      </c>
      <c r="Y258" s="9">
        <f t="shared" si="49"/>
        <v>350</v>
      </c>
      <c r="Z258" s="11">
        <f t="shared" si="50"/>
        <v>453.5</v>
      </c>
      <c r="AA258" s="9">
        <f t="shared" si="51"/>
        <v>255</v>
      </c>
    </row>
    <row r="259" ht="14.25" spans="1:27">
      <c r="A259" s="13">
        <v>254</v>
      </c>
      <c r="B259" s="15">
        <v>6</v>
      </c>
      <c r="C259" s="16">
        <v>5</v>
      </c>
      <c r="D259" s="17" t="s">
        <v>519</v>
      </c>
      <c r="E259" s="17" t="s">
        <v>520</v>
      </c>
      <c r="F259" s="174">
        <f>VLOOKUP(D259,原始分!$D:$N,3,0)</f>
        <v>100</v>
      </c>
      <c r="G259" s="174">
        <f t="shared" ref="G259:G322" si="52">RANK(F259,$F$3:$F$723)</f>
        <v>274</v>
      </c>
      <c r="H259" s="174">
        <f>VLOOKUP(D259,原始分!$D:$N,4,0)</f>
        <v>90</v>
      </c>
      <c r="I259" s="174">
        <f t="shared" ref="I259:I322" si="53">RANK(H259,$H$3:$H$723)</f>
        <v>494</v>
      </c>
      <c r="J259" s="174">
        <f>VLOOKUP(D259,原始分!$D:$N,5,0)</f>
        <v>90.5</v>
      </c>
      <c r="K259" s="174">
        <f t="shared" ref="K259:K322" si="54">RANK(J259,$J$3:$J$723)</f>
        <v>416</v>
      </c>
      <c r="L259" s="174">
        <f>VLOOKUP(D259,原始分!$D:$N,6,0)</f>
        <v>61</v>
      </c>
      <c r="M259" s="174">
        <f t="shared" ref="M259:M322" si="55">RANK(L259,$L$3:$L$723)</f>
        <v>168</v>
      </c>
      <c r="N259" s="174">
        <f>VLOOKUP(D259,原始分!$D:$N,7,0)</f>
        <v>0</v>
      </c>
      <c r="O259" s="174">
        <f t="shared" ref="O259:O322" si="56">RANK(N259,$N$3:$N$723)</f>
        <v>1</v>
      </c>
      <c r="P259" s="174">
        <f>VLOOKUP(D259,原始分!$D:$N,8,0)</f>
        <v>0</v>
      </c>
      <c r="Q259" s="174">
        <f t="shared" ref="Q259:Q322" si="57">RANK(P259,$P$3:$P$723)</f>
        <v>539</v>
      </c>
      <c r="R259" s="174">
        <f>VLOOKUP(D259,原始分!$D:$N,9,0)</f>
        <v>55.5</v>
      </c>
      <c r="S259" s="174">
        <f t="shared" ref="S259:S322" si="58">RANK(R259,$R$3:$R$723)</f>
        <v>38</v>
      </c>
      <c r="T259" s="174">
        <f>VLOOKUP(D259,原始分!$D:$N,10,0)</f>
        <v>0</v>
      </c>
      <c r="U259" s="174">
        <f t="shared" ref="U259:U322" si="59">RANK(T259,$T$3:$T$723)</f>
        <v>112</v>
      </c>
      <c r="V259" s="174">
        <f>VLOOKUP(D259,原始分!$D:$N,11,0)</f>
        <v>56</v>
      </c>
      <c r="W259" s="174">
        <f t="shared" ref="W259:W322" si="60">RANK(V259,$V$3:$V$723)</f>
        <v>132</v>
      </c>
      <c r="X259" s="11">
        <f t="shared" ref="X259:X322" si="61">SUM(F259,H259,J259)</f>
        <v>280.5</v>
      </c>
      <c r="Y259" s="9">
        <f t="shared" ref="Y259:Y322" si="62">RANK(X259,$X$3:$X$723)</f>
        <v>443</v>
      </c>
      <c r="Z259" s="11">
        <f t="shared" ref="Z259:Z322" si="63">SUM(F259,H259,J259,L259,N259,P259,R259,T259,V259)</f>
        <v>453</v>
      </c>
      <c r="AA259" s="9">
        <f t="shared" ref="AA259:AA322" si="64">RANK(Z259,$Z$3:$Z$723)</f>
        <v>257</v>
      </c>
    </row>
    <row r="260" ht="14.25" spans="1:27">
      <c r="A260" s="13">
        <v>381</v>
      </c>
      <c r="B260" s="15">
        <v>8</v>
      </c>
      <c r="C260" s="16">
        <v>55</v>
      </c>
      <c r="D260" s="19" t="s">
        <v>772</v>
      </c>
      <c r="E260" s="17" t="s">
        <v>773</v>
      </c>
      <c r="F260" s="174">
        <f>VLOOKUP(D260,原始分!$D:$N,3,0)</f>
        <v>95.5</v>
      </c>
      <c r="G260" s="174">
        <f t="shared" si="52"/>
        <v>422</v>
      </c>
      <c r="H260" s="174">
        <f>VLOOKUP(D260,原始分!$D:$N,4,0)</f>
        <v>115.5</v>
      </c>
      <c r="I260" s="174">
        <f t="shared" si="53"/>
        <v>107</v>
      </c>
      <c r="J260" s="174">
        <f>VLOOKUP(D260,原始分!$D:$N,5,0)</f>
        <v>106.5</v>
      </c>
      <c r="K260" s="174">
        <f t="shared" si="54"/>
        <v>145</v>
      </c>
      <c r="L260" s="174">
        <f>VLOOKUP(D260,原始分!$D:$N,6,0)</f>
        <v>45.5</v>
      </c>
      <c r="M260" s="174">
        <f t="shared" si="55"/>
        <v>417</v>
      </c>
      <c r="N260" s="174">
        <f>VLOOKUP(D260,原始分!$D:$N,7,0)</f>
        <v>0</v>
      </c>
      <c r="O260" s="174">
        <f t="shared" si="56"/>
        <v>1</v>
      </c>
      <c r="P260" s="174">
        <f>VLOOKUP(D260,原始分!$D:$N,8,0)</f>
        <v>41.5</v>
      </c>
      <c r="Q260" s="174">
        <f t="shared" si="57"/>
        <v>278</v>
      </c>
      <c r="R260" s="174">
        <f>VLOOKUP(D260,原始分!$D:$N,9,0)</f>
        <v>0</v>
      </c>
      <c r="S260" s="174">
        <f t="shared" si="58"/>
        <v>218</v>
      </c>
      <c r="T260" s="174">
        <f>VLOOKUP(D260,原始分!$D:$N,10,0)</f>
        <v>0</v>
      </c>
      <c r="U260" s="174">
        <f t="shared" si="59"/>
        <v>112</v>
      </c>
      <c r="V260" s="174">
        <f>VLOOKUP(D260,原始分!$D:$N,11,0)</f>
        <v>48.5</v>
      </c>
      <c r="W260" s="174">
        <f t="shared" si="60"/>
        <v>267</v>
      </c>
      <c r="X260" s="11">
        <f t="shared" si="61"/>
        <v>317.5</v>
      </c>
      <c r="Y260" s="9">
        <f t="shared" si="62"/>
        <v>135</v>
      </c>
      <c r="Z260" s="11">
        <f t="shared" si="63"/>
        <v>453</v>
      </c>
      <c r="AA260" s="9">
        <f t="shared" si="64"/>
        <v>257</v>
      </c>
    </row>
    <row r="261" ht="14.25" spans="1:27">
      <c r="A261" s="13">
        <v>357</v>
      </c>
      <c r="B261" s="15">
        <v>8</v>
      </c>
      <c r="C261" s="16">
        <v>31</v>
      </c>
      <c r="D261" s="17" t="s">
        <v>725</v>
      </c>
      <c r="E261" s="17" t="s">
        <v>726</v>
      </c>
      <c r="F261" s="174">
        <f>VLOOKUP(D261,原始分!$D:$N,3,0)</f>
        <v>99</v>
      </c>
      <c r="G261" s="174">
        <f t="shared" si="52"/>
        <v>304</v>
      </c>
      <c r="H261" s="174">
        <f>VLOOKUP(D261,原始分!$D:$N,4,0)</f>
        <v>114.5</v>
      </c>
      <c r="I261" s="174">
        <f t="shared" si="53"/>
        <v>122</v>
      </c>
      <c r="J261" s="174">
        <f>VLOOKUP(D261,原始分!$D:$N,5,0)</f>
        <v>97.25</v>
      </c>
      <c r="K261" s="174">
        <f t="shared" si="54"/>
        <v>302</v>
      </c>
      <c r="L261" s="174">
        <f>VLOOKUP(D261,原始分!$D:$N,6,0)</f>
        <v>49</v>
      </c>
      <c r="M261" s="174">
        <f t="shared" si="55"/>
        <v>354</v>
      </c>
      <c r="N261" s="174">
        <f>VLOOKUP(D261,原始分!$D:$N,7,0)</f>
        <v>0</v>
      </c>
      <c r="O261" s="174">
        <f t="shared" si="56"/>
        <v>1</v>
      </c>
      <c r="P261" s="174">
        <f>VLOOKUP(D261,原始分!$D:$N,8,0)</f>
        <v>43</v>
      </c>
      <c r="Q261" s="174">
        <f t="shared" si="57"/>
        <v>247</v>
      </c>
      <c r="R261" s="174">
        <f>VLOOKUP(D261,原始分!$D:$N,9,0)</f>
        <v>0</v>
      </c>
      <c r="S261" s="174">
        <f t="shared" si="58"/>
        <v>218</v>
      </c>
      <c r="T261" s="174">
        <f>VLOOKUP(D261,原始分!$D:$N,10,0)</f>
        <v>0</v>
      </c>
      <c r="U261" s="174">
        <f t="shared" si="59"/>
        <v>112</v>
      </c>
      <c r="V261" s="174">
        <f>VLOOKUP(D261,原始分!$D:$N,11,0)</f>
        <v>50</v>
      </c>
      <c r="W261" s="174">
        <f t="shared" si="60"/>
        <v>247</v>
      </c>
      <c r="X261" s="11">
        <f t="shared" si="61"/>
        <v>310.75</v>
      </c>
      <c r="Y261" s="9">
        <f t="shared" si="62"/>
        <v>183</v>
      </c>
      <c r="Z261" s="11">
        <f t="shared" si="63"/>
        <v>452.75</v>
      </c>
      <c r="AA261" s="9">
        <f t="shared" si="64"/>
        <v>259</v>
      </c>
    </row>
    <row r="262" ht="14.25" spans="1:27">
      <c r="A262" s="13">
        <v>524</v>
      </c>
      <c r="B262" s="15">
        <v>11</v>
      </c>
      <c r="C262" s="16">
        <v>29</v>
      </c>
      <c r="D262" s="17" t="s">
        <v>1058</v>
      </c>
      <c r="E262" s="17" t="s">
        <v>1059</v>
      </c>
      <c r="F262" s="174">
        <f>VLOOKUP(D262,原始分!$D:$N,3,0)</f>
        <v>103</v>
      </c>
      <c r="G262" s="174">
        <f t="shared" si="52"/>
        <v>168</v>
      </c>
      <c r="H262" s="174">
        <f>VLOOKUP(D262,原始分!$D:$N,4,0)</f>
        <v>102.5</v>
      </c>
      <c r="I262" s="174">
        <f t="shared" si="53"/>
        <v>317</v>
      </c>
      <c r="J262" s="174">
        <f>VLOOKUP(D262,原始分!$D:$N,5,0)</f>
        <v>100.75</v>
      </c>
      <c r="K262" s="174">
        <f t="shared" si="54"/>
        <v>232</v>
      </c>
      <c r="L262" s="174">
        <f>VLOOKUP(D262,原始分!$D:$N,6,0)</f>
        <v>57.5</v>
      </c>
      <c r="M262" s="174">
        <f t="shared" si="55"/>
        <v>228</v>
      </c>
      <c r="N262" s="174">
        <f>VLOOKUP(D262,原始分!$D:$N,7,0)</f>
        <v>0</v>
      </c>
      <c r="O262" s="174">
        <f t="shared" si="56"/>
        <v>1</v>
      </c>
      <c r="P262" s="174">
        <f>VLOOKUP(D262,原始分!$D:$N,8,0)</f>
        <v>40.5</v>
      </c>
      <c r="Q262" s="174">
        <f t="shared" si="57"/>
        <v>301</v>
      </c>
      <c r="R262" s="174">
        <f>VLOOKUP(D262,原始分!$D:$N,9,0)</f>
        <v>0</v>
      </c>
      <c r="S262" s="174">
        <f t="shared" si="58"/>
        <v>218</v>
      </c>
      <c r="T262" s="174">
        <f>VLOOKUP(D262,原始分!$D:$N,10,0)</f>
        <v>0</v>
      </c>
      <c r="U262" s="174">
        <f t="shared" si="59"/>
        <v>112</v>
      </c>
      <c r="V262" s="174">
        <f>VLOOKUP(D262,原始分!$D:$N,11,0)</f>
        <v>48.5</v>
      </c>
      <c r="W262" s="174">
        <f t="shared" si="60"/>
        <v>267</v>
      </c>
      <c r="X262" s="11">
        <f t="shared" si="61"/>
        <v>306.25</v>
      </c>
      <c r="Y262" s="9">
        <f t="shared" si="62"/>
        <v>225</v>
      </c>
      <c r="Z262" s="11">
        <f t="shared" si="63"/>
        <v>452.75</v>
      </c>
      <c r="AA262" s="9">
        <f t="shared" si="64"/>
        <v>259</v>
      </c>
    </row>
    <row r="263" ht="14.25" spans="1:27">
      <c r="A263" s="13">
        <v>243</v>
      </c>
      <c r="B263" s="15">
        <v>5</v>
      </c>
      <c r="C263" s="16">
        <v>40</v>
      </c>
      <c r="D263" s="17" t="s">
        <v>499</v>
      </c>
      <c r="E263" s="17" t="s">
        <v>500</v>
      </c>
      <c r="F263" s="174">
        <f>VLOOKUP(D263,原始分!$D:$N,3,0)</f>
        <v>103</v>
      </c>
      <c r="G263" s="174">
        <f t="shared" si="52"/>
        <v>168</v>
      </c>
      <c r="H263" s="174">
        <f>VLOOKUP(D263,原始分!$D:$N,4,0)</f>
        <v>97.5</v>
      </c>
      <c r="I263" s="174">
        <f t="shared" si="53"/>
        <v>383</v>
      </c>
      <c r="J263" s="174">
        <f>VLOOKUP(D263,原始分!$D:$N,5,0)</f>
        <v>112</v>
      </c>
      <c r="K263" s="174">
        <f t="shared" si="54"/>
        <v>82</v>
      </c>
      <c r="L263" s="174">
        <f>VLOOKUP(D263,原始分!$D:$N,6,0)</f>
        <v>44</v>
      </c>
      <c r="M263" s="174">
        <f t="shared" si="55"/>
        <v>441</v>
      </c>
      <c r="N263" s="174">
        <f>VLOOKUP(D263,原始分!$D:$N,7,0)</f>
        <v>0</v>
      </c>
      <c r="O263" s="174">
        <f t="shared" si="56"/>
        <v>1</v>
      </c>
      <c r="P263" s="174">
        <f>VLOOKUP(D263,原始分!$D:$N,8,0)</f>
        <v>44</v>
      </c>
      <c r="Q263" s="174">
        <f t="shared" si="57"/>
        <v>226</v>
      </c>
      <c r="R263" s="174">
        <f>VLOOKUP(D263,原始分!$D:$N,9,0)</f>
        <v>52</v>
      </c>
      <c r="S263" s="174">
        <f t="shared" si="58"/>
        <v>75</v>
      </c>
      <c r="T263" s="174">
        <f>VLOOKUP(D263,原始分!$D:$N,10,0)</f>
        <v>0</v>
      </c>
      <c r="U263" s="174">
        <f t="shared" si="59"/>
        <v>112</v>
      </c>
      <c r="V263" s="174">
        <f>VLOOKUP(D263,原始分!$D:$N,11,0)</f>
        <v>0</v>
      </c>
      <c r="W263" s="174">
        <f t="shared" si="60"/>
        <v>461</v>
      </c>
      <c r="X263" s="11">
        <f t="shared" si="61"/>
        <v>312.5</v>
      </c>
      <c r="Y263" s="9">
        <f t="shared" si="62"/>
        <v>168</v>
      </c>
      <c r="Z263" s="11">
        <f t="shared" si="63"/>
        <v>452.5</v>
      </c>
      <c r="AA263" s="9">
        <f t="shared" si="64"/>
        <v>261</v>
      </c>
    </row>
    <row r="264" ht="14.25" spans="1:27">
      <c r="A264" s="13">
        <v>507</v>
      </c>
      <c r="B264" s="15">
        <v>11</v>
      </c>
      <c r="C264" s="16">
        <v>11</v>
      </c>
      <c r="D264" s="17" t="s">
        <v>1024</v>
      </c>
      <c r="E264" s="17" t="s">
        <v>1025</v>
      </c>
      <c r="F264" s="174">
        <f>VLOOKUP(D264,原始分!$D:$N,3,0)</f>
        <v>95</v>
      </c>
      <c r="G264" s="174">
        <f t="shared" si="52"/>
        <v>441</v>
      </c>
      <c r="H264" s="174">
        <f>VLOOKUP(D264,原始分!$D:$N,4,0)</f>
        <v>118</v>
      </c>
      <c r="I264" s="174">
        <f t="shared" si="53"/>
        <v>80</v>
      </c>
      <c r="J264" s="174">
        <f>VLOOKUP(D264,原始分!$D:$N,5,0)</f>
        <v>101.5</v>
      </c>
      <c r="K264" s="174">
        <f t="shared" si="54"/>
        <v>217</v>
      </c>
      <c r="L264" s="174">
        <f>VLOOKUP(D264,原始分!$D:$N,6,0)</f>
        <v>45</v>
      </c>
      <c r="M264" s="174">
        <f t="shared" si="55"/>
        <v>424</v>
      </c>
      <c r="N264" s="174">
        <f>VLOOKUP(D264,原始分!$D:$N,7,0)</f>
        <v>0</v>
      </c>
      <c r="O264" s="174">
        <f t="shared" si="56"/>
        <v>1</v>
      </c>
      <c r="P264" s="174">
        <f>VLOOKUP(D264,原始分!$D:$N,8,0)</f>
        <v>42</v>
      </c>
      <c r="Q264" s="174">
        <f t="shared" si="57"/>
        <v>265</v>
      </c>
      <c r="R264" s="174">
        <f>VLOOKUP(D264,原始分!$D:$N,9,0)</f>
        <v>0</v>
      </c>
      <c r="S264" s="174">
        <f t="shared" si="58"/>
        <v>218</v>
      </c>
      <c r="T264" s="174">
        <f>VLOOKUP(D264,原始分!$D:$N,10,0)</f>
        <v>0</v>
      </c>
      <c r="U264" s="174">
        <f t="shared" si="59"/>
        <v>112</v>
      </c>
      <c r="V264" s="174">
        <f>VLOOKUP(D264,原始分!$D:$N,11,0)</f>
        <v>51</v>
      </c>
      <c r="W264" s="174">
        <f t="shared" si="60"/>
        <v>227</v>
      </c>
      <c r="X264" s="11">
        <f t="shared" si="61"/>
        <v>314.5</v>
      </c>
      <c r="Y264" s="9">
        <f t="shared" si="62"/>
        <v>152</v>
      </c>
      <c r="Z264" s="11">
        <f t="shared" si="63"/>
        <v>452.5</v>
      </c>
      <c r="AA264" s="9">
        <f t="shared" si="64"/>
        <v>261</v>
      </c>
    </row>
    <row r="265" ht="14.25" spans="1:27">
      <c r="A265" s="13">
        <v>634</v>
      </c>
      <c r="B265" s="15">
        <v>13</v>
      </c>
      <c r="C265" s="16">
        <v>27</v>
      </c>
      <c r="D265" s="17" t="s">
        <v>1276</v>
      </c>
      <c r="E265" s="17" t="s">
        <v>1277</v>
      </c>
      <c r="F265" s="174">
        <f>VLOOKUP(D265,原始分!$D:$N,3,0)</f>
        <v>94.75</v>
      </c>
      <c r="G265" s="174">
        <f t="shared" si="52"/>
        <v>459</v>
      </c>
      <c r="H265" s="174">
        <f>VLOOKUP(D265,原始分!$D:$N,4,0)</f>
        <v>118.5</v>
      </c>
      <c r="I265" s="174">
        <f t="shared" si="53"/>
        <v>74</v>
      </c>
      <c r="J265" s="174">
        <f>VLOOKUP(D265,原始分!$D:$N,5,0)</f>
        <v>93.75</v>
      </c>
      <c r="K265" s="174">
        <f t="shared" si="54"/>
        <v>362</v>
      </c>
      <c r="L265" s="174">
        <f>VLOOKUP(D265,原始分!$D:$N,6,0)</f>
        <v>53.5</v>
      </c>
      <c r="M265" s="174">
        <f t="shared" si="55"/>
        <v>292</v>
      </c>
      <c r="N265" s="174">
        <f>VLOOKUP(D265,原始分!$D:$N,7,0)</f>
        <v>0</v>
      </c>
      <c r="O265" s="174">
        <f t="shared" si="56"/>
        <v>1</v>
      </c>
      <c r="P265" s="174">
        <f>VLOOKUP(D265,原始分!$D:$N,8,0)</f>
        <v>44.5</v>
      </c>
      <c r="Q265" s="174">
        <f t="shared" si="57"/>
        <v>218</v>
      </c>
      <c r="R265" s="174">
        <f>VLOOKUP(D265,原始分!$D:$N,9,0)</f>
        <v>0</v>
      </c>
      <c r="S265" s="174">
        <f t="shared" si="58"/>
        <v>218</v>
      </c>
      <c r="T265" s="174">
        <f>VLOOKUP(D265,原始分!$D:$N,10,0)</f>
        <v>0</v>
      </c>
      <c r="U265" s="174">
        <f t="shared" si="59"/>
        <v>112</v>
      </c>
      <c r="V265" s="174">
        <f>VLOOKUP(D265,原始分!$D:$N,11,0)</f>
        <v>47.5</v>
      </c>
      <c r="W265" s="174">
        <f t="shared" si="60"/>
        <v>287</v>
      </c>
      <c r="X265" s="11">
        <f t="shared" si="61"/>
        <v>307</v>
      </c>
      <c r="Y265" s="9">
        <f t="shared" si="62"/>
        <v>221</v>
      </c>
      <c r="Z265" s="11">
        <f t="shared" si="63"/>
        <v>452.5</v>
      </c>
      <c r="AA265" s="9">
        <f t="shared" si="64"/>
        <v>261</v>
      </c>
    </row>
    <row r="266" ht="14.25" spans="1:27">
      <c r="A266" s="13">
        <v>159</v>
      </c>
      <c r="B266" s="15">
        <v>3</v>
      </c>
      <c r="C266" s="16">
        <v>48</v>
      </c>
      <c r="D266" s="17" t="s">
        <v>331</v>
      </c>
      <c r="E266" s="17" t="s">
        <v>332</v>
      </c>
      <c r="F266" s="174">
        <f>VLOOKUP(D266,原始分!$D:$N,3,0)</f>
        <v>96.5</v>
      </c>
      <c r="G266" s="174">
        <f t="shared" si="52"/>
        <v>398</v>
      </c>
      <c r="H266" s="174">
        <f>VLOOKUP(D266,原始分!$D:$N,4,0)</f>
        <v>106</v>
      </c>
      <c r="I266" s="174">
        <f t="shared" si="53"/>
        <v>255</v>
      </c>
      <c r="J266" s="174">
        <f>VLOOKUP(D266,原始分!$D:$N,5,0)</f>
        <v>96.75</v>
      </c>
      <c r="K266" s="174">
        <f t="shared" si="54"/>
        <v>309</v>
      </c>
      <c r="L266" s="174">
        <f>VLOOKUP(D266,原始分!$D:$N,6,0)</f>
        <v>63.5</v>
      </c>
      <c r="M266" s="174">
        <f t="shared" si="55"/>
        <v>138</v>
      </c>
      <c r="N266" s="174">
        <f>VLOOKUP(D266,原始分!$D:$N,7,0)</f>
        <v>0</v>
      </c>
      <c r="O266" s="174">
        <f t="shared" si="56"/>
        <v>1</v>
      </c>
      <c r="P266" s="174">
        <f>VLOOKUP(D266,原始分!$D:$N,8,0)</f>
        <v>47.5</v>
      </c>
      <c r="Q266" s="174">
        <f t="shared" si="57"/>
        <v>156</v>
      </c>
      <c r="R266" s="174">
        <f>VLOOKUP(D266,原始分!$D:$N,9,0)</f>
        <v>42</v>
      </c>
      <c r="S266" s="174">
        <f t="shared" si="58"/>
        <v>183</v>
      </c>
      <c r="T266" s="174">
        <f>VLOOKUP(D266,原始分!$D:$N,10,0)</f>
        <v>0</v>
      </c>
      <c r="U266" s="174">
        <f t="shared" si="59"/>
        <v>112</v>
      </c>
      <c r="V266" s="174">
        <f>VLOOKUP(D266,原始分!$D:$N,11,0)</f>
        <v>0</v>
      </c>
      <c r="W266" s="174">
        <f t="shared" si="60"/>
        <v>461</v>
      </c>
      <c r="X266" s="11">
        <f t="shared" si="61"/>
        <v>299.25</v>
      </c>
      <c r="Y266" s="9">
        <f t="shared" si="62"/>
        <v>281</v>
      </c>
      <c r="Z266" s="11">
        <f t="shared" si="63"/>
        <v>452.25</v>
      </c>
      <c r="AA266" s="9">
        <f t="shared" si="64"/>
        <v>264</v>
      </c>
    </row>
    <row r="267" ht="14.25" spans="1:27">
      <c r="A267" s="13">
        <v>308</v>
      </c>
      <c r="B267" s="15">
        <v>7</v>
      </c>
      <c r="C267" s="16">
        <v>19</v>
      </c>
      <c r="D267" s="17" t="s">
        <v>627</v>
      </c>
      <c r="E267" s="17" t="s">
        <v>628</v>
      </c>
      <c r="F267" s="174">
        <f>VLOOKUP(D267,原始分!$D:$N,3,0)</f>
        <v>107.5</v>
      </c>
      <c r="G267" s="174">
        <f t="shared" si="52"/>
        <v>54</v>
      </c>
      <c r="H267" s="174">
        <f>VLOOKUP(D267,原始分!$D:$N,4,0)</f>
        <v>98.5</v>
      </c>
      <c r="I267" s="174">
        <f t="shared" si="53"/>
        <v>366</v>
      </c>
      <c r="J267" s="174">
        <f>VLOOKUP(D267,原始分!$D:$N,5,0)</f>
        <v>95.25</v>
      </c>
      <c r="K267" s="174">
        <f t="shared" si="54"/>
        <v>336</v>
      </c>
      <c r="L267" s="174">
        <f>VLOOKUP(D267,原始分!$D:$N,6,0)</f>
        <v>55</v>
      </c>
      <c r="M267" s="174">
        <f t="shared" si="55"/>
        <v>269</v>
      </c>
      <c r="N267" s="174">
        <f>VLOOKUP(D267,原始分!$D:$N,7,0)</f>
        <v>0</v>
      </c>
      <c r="O267" s="174">
        <f t="shared" si="56"/>
        <v>1</v>
      </c>
      <c r="P267" s="174">
        <f>VLOOKUP(D267,原始分!$D:$N,8,0)</f>
        <v>0</v>
      </c>
      <c r="Q267" s="174">
        <f t="shared" si="57"/>
        <v>539</v>
      </c>
      <c r="R267" s="174">
        <f>VLOOKUP(D267,原始分!$D:$N,9,0)</f>
        <v>43.5</v>
      </c>
      <c r="S267" s="174">
        <f t="shared" si="58"/>
        <v>171</v>
      </c>
      <c r="T267" s="174">
        <f>VLOOKUP(D267,原始分!$D:$N,10,0)</f>
        <v>0</v>
      </c>
      <c r="U267" s="174">
        <f t="shared" si="59"/>
        <v>112</v>
      </c>
      <c r="V267" s="174">
        <f>VLOOKUP(D267,原始分!$D:$N,11,0)</f>
        <v>52.5</v>
      </c>
      <c r="W267" s="174">
        <f t="shared" si="60"/>
        <v>195</v>
      </c>
      <c r="X267" s="11">
        <f t="shared" si="61"/>
        <v>301.25</v>
      </c>
      <c r="Y267" s="9">
        <f t="shared" si="62"/>
        <v>268</v>
      </c>
      <c r="Z267" s="11">
        <f t="shared" si="63"/>
        <v>452.25</v>
      </c>
      <c r="AA267" s="9">
        <f t="shared" si="64"/>
        <v>264</v>
      </c>
    </row>
    <row r="268" ht="14.25" spans="1:27">
      <c r="A268" s="13">
        <v>309</v>
      </c>
      <c r="B268" s="15">
        <v>7</v>
      </c>
      <c r="C268" s="16">
        <v>20</v>
      </c>
      <c r="D268" s="17" t="s">
        <v>629</v>
      </c>
      <c r="E268" s="17" t="s">
        <v>630</v>
      </c>
      <c r="F268" s="174">
        <f>VLOOKUP(D268,原始分!$D:$N,3,0)</f>
        <v>95</v>
      </c>
      <c r="G268" s="174">
        <f t="shared" si="52"/>
        <v>441</v>
      </c>
      <c r="H268" s="174">
        <f>VLOOKUP(D268,原始分!$D:$N,4,0)</f>
        <v>113.5</v>
      </c>
      <c r="I268" s="174">
        <f t="shared" si="53"/>
        <v>135</v>
      </c>
      <c r="J268" s="174">
        <f>VLOOKUP(D268,原始分!$D:$N,5,0)</f>
        <v>84.5</v>
      </c>
      <c r="K268" s="174">
        <f t="shared" si="54"/>
        <v>496</v>
      </c>
      <c r="L268" s="174">
        <f>VLOOKUP(D268,原始分!$D:$N,6,0)</f>
        <v>57</v>
      </c>
      <c r="M268" s="174">
        <f t="shared" si="55"/>
        <v>237</v>
      </c>
      <c r="N268" s="174">
        <f>VLOOKUP(D268,原始分!$D:$N,7,0)</f>
        <v>0</v>
      </c>
      <c r="O268" s="174">
        <f t="shared" si="56"/>
        <v>1</v>
      </c>
      <c r="P268" s="174">
        <f>VLOOKUP(D268,原始分!$D:$N,8,0)</f>
        <v>0</v>
      </c>
      <c r="Q268" s="174">
        <f t="shared" si="57"/>
        <v>539</v>
      </c>
      <c r="R268" s="174">
        <f>VLOOKUP(D268,原始分!$D:$N,9,0)</f>
        <v>44.5</v>
      </c>
      <c r="S268" s="174">
        <f t="shared" si="58"/>
        <v>161</v>
      </c>
      <c r="T268" s="174">
        <f>VLOOKUP(D268,原始分!$D:$N,10,0)</f>
        <v>0</v>
      </c>
      <c r="U268" s="174">
        <f t="shared" si="59"/>
        <v>112</v>
      </c>
      <c r="V268" s="174">
        <f>VLOOKUP(D268,原始分!$D:$N,11,0)</f>
        <v>57.5</v>
      </c>
      <c r="W268" s="174">
        <f t="shared" si="60"/>
        <v>107</v>
      </c>
      <c r="X268" s="11">
        <f t="shared" si="61"/>
        <v>293</v>
      </c>
      <c r="Y268" s="9">
        <f t="shared" si="62"/>
        <v>335</v>
      </c>
      <c r="Z268" s="11">
        <f t="shared" si="63"/>
        <v>452</v>
      </c>
      <c r="AA268" s="9">
        <f t="shared" si="64"/>
        <v>266</v>
      </c>
    </row>
    <row r="269" ht="14.25" spans="1:27">
      <c r="A269" s="13">
        <v>336</v>
      </c>
      <c r="B269" s="15">
        <v>8</v>
      </c>
      <c r="C269" s="16">
        <v>8</v>
      </c>
      <c r="D269" s="17" t="s">
        <v>683</v>
      </c>
      <c r="E269" s="17" t="s">
        <v>684</v>
      </c>
      <c r="F269" s="174">
        <f>VLOOKUP(D269,原始分!$D:$N,3,0)</f>
        <v>107.5</v>
      </c>
      <c r="G269" s="174">
        <f t="shared" si="52"/>
        <v>54</v>
      </c>
      <c r="H269" s="174">
        <f>VLOOKUP(D269,原始分!$D:$N,4,0)</f>
        <v>110.5</v>
      </c>
      <c r="I269" s="174">
        <f t="shared" si="53"/>
        <v>184</v>
      </c>
      <c r="J269" s="174">
        <f>VLOOKUP(D269,原始分!$D:$N,5,0)</f>
        <v>75</v>
      </c>
      <c r="K269" s="174">
        <f t="shared" si="54"/>
        <v>592</v>
      </c>
      <c r="L269" s="174">
        <f>VLOOKUP(D269,原始分!$D:$N,6,0)</f>
        <v>69</v>
      </c>
      <c r="M269" s="174">
        <f t="shared" si="55"/>
        <v>70</v>
      </c>
      <c r="N269" s="174">
        <f>VLOOKUP(D269,原始分!$D:$N,7,0)</f>
        <v>0</v>
      </c>
      <c r="O269" s="174">
        <f t="shared" si="56"/>
        <v>1</v>
      </c>
      <c r="P269" s="174">
        <f>VLOOKUP(D269,原始分!$D:$N,8,0)</f>
        <v>39.5</v>
      </c>
      <c r="Q269" s="174">
        <f t="shared" si="57"/>
        <v>333</v>
      </c>
      <c r="R269" s="174">
        <f>VLOOKUP(D269,原始分!$D:$N,9,0)</f>
        <v>0</v>
      </c>
      <c r="S269" s="174">
        <f t="shared" si="58"/>
        <v>218</v>
      </c>
      <c r="T269" s="174">
        <f>VLOOKUP(D269,原始分!$D:$N,10,0)</f>
        <v>0</v>
      </c>
      <c r="U269" s="174">
        <f t="shared" si="59"/>
        <v>112</v>
      </c>
      <c r="V269" s="174">
        <f>VLOOKUP(D269,原始分!$D:$N,11,0)</f>
        <v>50.5</v>
      </c>
      <c r="W269" s="174">
        <f t="shared" si="60"/>
        <v>239</v>
      </c>
      <c r="X269" s="11">
        <f t="shared" si="61"/>
        <v>293</v>
      </c>
      <c r="Y269" s="9">
        <f t="shared" si="62"/>
        <v>335</v>
      </c>
      <c r="Z269" s="11">
        <f t="shared" si="63"/>
        <v>452</v>
      </c>
      <c r="AA269" s="9">
        <f t="shared" si="64"/>
        <v>266</v>
      </c>
    </row>
    <row r="270" ht="14.25" spans="1:27">
      <c r="A270" s="13">
        <v>45</v>
      </c>
      <c r="B270" s="15">
        <v>1</v>
      </c>
      <c r="C270" s="16">
        <v>47</v>
      </c>
      <c r="D270" s="17" t="s">
        <v>104</v>
      </c>
      <c r="E270" s="17" t="s">
        <v>105</v>
      </c>
      <c r="F270" s="174">
        <f>VLOOKUP(D270,原始分!$D:$N,3,0)</f>
        <v>112.25</v>
      </c>
      <c r="G270" s="174">
        <f t="shared" si="52"/>
        <v>13</v>
      </c>
      <c r="H270" s="174">
        <f>VLOOKUP(D270,原始分!$D:$N,4,0)</f>
        <v>97.5</v>
      </c>
      <c r="I270" s="174">
        <f t="shared" si="53"/>
        <v>383</v>
      </c>
      <c r="J270" s="174">
        <f>VLOOKUP(D270,原始分!$D:$N,5,0)</f>
        <v>101.5</v>
      </c>
      <c r="K270" s="174">
        <f t="shared" si="54"/>
        <v>217</v>
      </c>
      <c r="L270" s="174">
        <f>VLOOKUP(D270,原始分!$D:$N,6,0)</f>
        <v>38</v>
      </c>
      <c r="M270" s="174">
        <f t="shared" si="55"/>
        <v>537</v>
      </c>
      <c r="N270" s="174">
        <f>VLOOKUP(D270,原始分!$D:$N,7,0)</f>
        <v>0</v>
      </c>
      <c r="O270" s="174">
        <f t="shared" si="56"/>
        <v>1</v>
      </c>
      <c r="P270" s="174">
        <f>VLOOKUP(D270,原始分!$D:$N,8,0)</f>
        <v>39</v>
      </c>
      <c r="Q270" s="174">
        <f t="shared" si="57"/>
        <v>346</v>
      </c>
      <c r="R270" s="174">
        <f>VLOOKUP(D270,原始分!$D:$N,9,0)</f>
        <v>0</v>
      </c>
      <c r="S270" s="174">
        <f t="shared" si="58"/>
        <v>218</v>
      </c>
      <c r="T270" s="174">
        <f>VLOOKUP(D270,原始分!$D:$N,10,0)</f>
        <v>63.5</v>
      </c>
      <c r="U270" s="174">
        <f t="shared" si="59"/>
        <v>16</v>
      </c>
      <c r="V270" s="174">
        <f>VLOOKUP(D270,原始分!$D:$N,11,0)</f>
        <v>0</v>
      </c>
      <c r="W270" s="174">
        <f t="shared" si="60"/>
        <v>461</v>
      </c>
      <c r="X270" s="11">
        <f t="shared" si="61"/>
        <v>311.25</v>
      </c>
      <c r="Y270" s="9">
        <f t="shared" si="62"/>
        <v>176</v>
      </c>
      <c r="Z270" s="11">
        <f t="shared" si="63"/>
        <v>451.75</v>
      </c>
      <c r="AA270" s="9">
        <f t="shared" si="64"/>
        <v>268</v>
      </c>
    </row>
    <row r="271" ht="14.25" spans="1:27">
      <c r="A271" s="13">
        <v>626</v>
      </c>
      <c r="B271" s="15">
        <v>13</v>
      </c>
      <c r="C271" s="16">
        <v>19</v>
      </c>
      <c r="D271" s="17" t="s">
        <v>1260</v>
      </c>
      <c r="E271" s="17" t="s">
        <v>1261</v>
      </c>
      <c r="F271" s="174">
        <f>VLOOKUP(D271,原始分!$D:$N,3,0)</f>
        <v>104.25</v>
      </c>
      <c r="G271" s="174">
        <f t="shared" si="52"/>
        <v>126</v>
      </c>
      <c r="H271" s="174">
        <f>VLOOKUP(D271,原始分!$D:$N,4,0)</f>
        <v>104</v>
      </c>
      <c r="I271" s="174">
        <f t="shared" si="53"/>
        <v>290</v>
      </c>
      <c r="J271" s="174">
        <f>VLOOKUP(D271,原始分!$D:$N,5,0)</f>
        <v>99</v>
      </c>
      <c r="K271" s="174">
        <f t="shared" si="54"/>
        <v>270</v>
      </c>
      <c r="L271" s="174">
        <f>VLOOKUP(D271,原始分!$D:$N,6,0)</f>
        <v>53</v>
      </c>
      <c r="M271" s="174">
        <f t="shared" si="55"/>
        <v>300</v>
      </c>
      <c r="N271" s="174">
        <f>VLOOKUP(D271,原始分!$D:$N,7,0)</f>
        <v>0</v>
      </c>
      <c r="O271" s="174">
        <f t="shared" si="56"/>
        <v>1</v>
      </c>
      <c r="P271" s="174">
        <f>VLOOKUP(D271,原始分!$D:$N,8,0)</f>
        <v>46</v>
      </c>
      <c r="Q271" s="174">
        <f t="shared" si="57"/>
        <v>193</v>
      </c>
      <c r="R271" s="174">
        <f>VLOOKUP(D271,原始分!$D:$N,9,0)</f>
        <v>0</v>
      </c>
      <c r="S271" s="174">
        <f t="shared" si="58"/>
        <v>218</v>
      </c>
      <c r="T271" s="174">
        <f>VLOOKUP(D271,原始分!$D:$N,10,0)</f>
        <v>0</v>
      </c>
      <c r="U271" s="174">
        <f t="shared" si="59"/>
        <v>112</v>
      </c>
      <c r="V271" s="174">
        <f>VLOOKUP(D271,原始分!$D:$N,11,0)</f>
        <v>45.5</v>
      </c>
      <c r="W271" s="174">
        <f t="shared" si="60"/>
        <v>326</v>
      </c>
      <c r="X271" s="11">
        <f t="shared" si="61"/>
        <v>307.25</v>
      </c>
      <c r="Y271" s="9">
        <f t="shared" si="62"/>
        <v>219</v>
      </c>
      <c r="Z271" s="11">
        <f t="shared" si="63"/>
        <v>451.75</v>
      </c>
      <c r="AA271" s="9">
        <f t="shared" si="64"/>
        <v>268</v>
      </c>
    </row>
    <row r="272" ht="14.25" spans="1:27">
      <c r="A272" s="13">
        <v>94</v>
      </c>
      <c r="B272" s="15">
        <v>2</v>
      </c>
      <c r="C272" s="16">
        <v>31</v>
      </c>
      <c r="D272" s="17" t="s">
        <v>201</v>
      </c>
      <c r="E272" s="17" t="s">
        <v>202</v>
      </c>
      <c r="F272" s="174">
        <f>VLOOKUP(D272,原始分!$D:$N,3,0)</f>
        <v>96.5</v>
      </c>
      <c r="G272" s="174">
        <f t="shared" si="52"/>
        <v>398</v>
      </c>
      <c r="H272" s="174">
        <f>VLOOKUP(D272,原始分!$D:$N,4,0)</f>
        <v>100.5</v>
      </c>
      <c r="I272" s="174">
        <f t="shared" si="53"/>
        <v>343</v>
      </c>
      <c r="J272" s="174">
        <f>VLOOKUP(D272,原始分!$D:$N,5,0)</f>
        <v>101.5</v>
      </c>
      <c r="K272" s="174">
        <f t="shared" si="54"/>
        <v>217</v>
      </c>
      <c r="L272" s="174">
        <f>VLOOKUP(D272,原始分!$D:$N,6,0)</f>
        <v>47</v>
      </c>
      <c r="M272" s="174">
        <f t="shared" si="55"/>
        <v>391</v>
      </c>
      <c r="N272" s="174">
        <f>VLOOKUP(D272,原始分!$D:$N,7,0)</f>
        <v>0</v>
      </c>
      <c r="O272" s="174">
        <f t="shared" si="56"/>
        <v>1</v>
      </c>
      <c r="P272" s="174">
        <f>VLOOKUP(D272,原始分!$D:$N,8,0)</f>
        <v>0</v>
      </c>
      <c r="Q272" s="174">
        <f t="shared" si="57"/>
        <v>539</v>
      </c>
      <c r="R272" s="174">
        <f>VLOOKUP(D272,原始分!$D:$N,9,0)</f>
        <v>0</v>
      </c>
      <c r="S272" s="174">
        <f t="shared" si="58"/>
        <v>218</v>
      </c>
      <c r="T272" s="174">
        <f>VLOOKUP(D272,原始分!$D:$N,10,0)</f>
        <v>46.5</v>
      </c>
      <c r="U272" s="174">
        <f t="shared" si="59"/>
        <v>97</v>
      </c>
      <c r="V272" s="174">
        <f>VLOOKUP(D272,原始分!$D:$N,11,0)</f>
        <v>59.5</v>
      </c>
      <c r="W272" s="174">
        <f t="shared" si="60"/>
        <v>85</v>
      </c>
      <c r="X272" s="11">
        <f t="shared" si="61"/>
        <v>298.5</v>
      </c>
      <c r="Y272" s="9">
        <f t="shared" si="62"/>
        <v>289</v>
      </c>
      <c r="Z272" s="11">
        <f t="shared" si="63"/>
        <v>451.5</v>
      </c>
      <c r="AA272" s="9">
        <f t="shared" si="64"/>
        <v>270</v>
      </c>
    </row>
    <row r="273" ht="14.25" spans="1:27">
      <c r="A273" s="13">
        <v>286</v>
      </c>
      <c r="B273" s="15">
        <v>6</v>
      </c>
      <c r="C273" s="16">
        <v>38</v>
      </c>
      <c r="D273" s="17" t="s">
        <v>583</v>
      </c>
      <c r="E273" s="17" t="s">
        <v>584</v>
      </c>
      <c r="F273" s="174">
        <f>VLOOKUP(D273,原始分!$D:$N,3,0)</f>
        <v>102.5</v>
      </c>
      <c r="G273" s="174">
        <f t="shared" si="52"/>
        <v>183</v>
      </c>
      <c r="H273" s="174">
        <f>VLOOKUP(D273,原始分!$D:$N,4,0)</f>
        <v>96.5</v>
      </c>
      <c r="I273" s="174">
        <f t="shared" si="53"/>
        <v>399</v>
      </c>
      <c r="J273" s="174">
        <f>VLOOKUP(D273,原始分!$D:$N,5,0)</f>
        <v>87</v>
      </c>
      <c r="K273" s="174">
        <f t="shared" si="54"/>
        <v>457</v>
      </c>
      <c r="L273" s="174">
        <f>VLOOKUP(D273,原始分!$D:$N,6,0)</f>
        <v>58</v>
      </c>
      <c r="M273" s="174">
        <f t="shared" si="55"/>
        <v>220</v>
      </c>
      <c r="N273" s="174">
        <f>VLOOKUP(D273,原始分!$D:$N,7,0)</f>
        <v>0</v>
      </c>
      <c r="O273" s="174">
        <f t="shared" si="56"/>
        <v>1</v>
      </c>
      <c r="P273" s="174">
        <f>VLOOKUP(D273,原始分!$D:$N,8,0)</f>
        <v>0</v>
      </c>
      <c r="Q273" s="174">
        <f t="shared" si="57"/>
        <v>539</v>
      </c>
      <c r="R273" s="174">
        <f>VLOOKUP(D273,原始分!$D:$N,9,0)</f>
        <v>42.5</v>
      </c>
      <c r="S273" s="174">
        <f t="shared" si="58"/>
        <v>179</v>
      </c>
      <c r="T273" s="174">
        <f>VLOOKUP(D273,原始分!$D:$N,10,0)</f>
        <v>0</v>
      </c>
      <c r="U273" s="174">
        <f t="shared" si="59"/>
        <v>112</v>
      </c>
      <c r="V273" s="174">
        <f>VLOOKUP(D273,原始分!$D:$N,11,0)</f>
        <v>65</v>
      </c>
      <c r="W273" s="174">
        <f t="shared" si="60"/>
        <v>34</v>
      </c>
      <c r="X273" s="11">
        <f t="shared" si="61"/>
        <v>286</v>
      </c>
      <c r="Y273" s="9">
        <f t="shared" si="62"/>
        <v>392</v>
      </c>
      <c r="Z273" s="11">
        <f t="shared" si="63"/>
        <v>451.5</v>
      </c>
      <c r="AA273" s="9">
        <f t="shared" si="64"/>
        <v>270</v>
      </c>
    </row>
    <row r="274" ht="14.25" spans="1:27">
      <c r="A274" s="13">
        <v>188</v>
      </c>
      <c r="B274" s="15">
        <v>4</v>
      </c>
      <c r="C274" s="16">
        <v>30</v>
      </c>
      <c r="D274" s="17" t="s">
        <v>389</v>
      </c>
      <c r="E274" s="17" t="s">
        <v>390</v>
      </c>
      <c r="F274" s="174">
        <f>VLOOKUP(D274,原始分!$D:$N,3,0)</f>
        <v>100.5</v>
      </c>
      <c r="G274" s="174">
        <f t="shared" si="52"/>
        <v>252</v>
      </c>
      <c r="H274" s="174">
        <f>VLOOKUP(D274,原始分!$D:$N,4,0)</f>
        <v>108</v>
      </c>
      <c r="I274" s="174">
        <f t="shared" si="53"/>
        <v>221</v>
      </c>
      <c r="J274" s="174">
        <f>VLOOKUP(D274,原始分!$D:$N,5,0)</f>
        <v>100.25</v>
      </c>
      <c r="K274" s="174">
        <f t="shared" si="54"/>
        <v>239</v>
      </c>
      <c r="L274" s="174">
        <f>VLOOKUP(D274,原始分!$D:$N,6,0)</f>
        <v>44.5</v>
      </c>
      <c r="M274" s="174">
        <f t="shared" si="55"/>
        <v>432</v>
      </c>
      <c r="N274" s="174">
        <f>VLOOKUP(D274,原始分!$D:$N,7,0)</f>
        <v>0</v>
      </c>
      <c r="O274" s="174">
        <f t="shared" si="56"/>
        <v>1</v>
      </c>
      <c r="P274" s="174">
        <f>VLOOKUP(D274,原始分!$D:$N,8,0)</f>
        <v>45.5</v>
      </c>
      <c r="Q274" s="174">
        <f t="shared" si="57"/>
        <v>202</v>
      </c>
      <c r="R274" s="174">
        <f>VLOOKUP(D274,原始分!$D:$N,9,0)</f>
        <v>52</v>
      </c>
      <c r="S274" s="174">
        <f t="shared" si="58"/>
        <v>75</v>
      </c>
      <c r="T274" s="174">
        <f>VLOOKUP(D274,原始分!$D:$N,10,0)</f>
        <v>0</v>
      </c>
      <c r="U274" s="174">
        <f t="shared" si="59"/>
        <v>112</v>
      </c>
      <c r="V274" s="174">
        <f>VLOOKUP(D274,原始分!$D:$N,11,0)</f>
        <v>0</v>
      </c>
      <c r="W274" s="174">
        <f t="shared" si="60"/>
        <v>461</v>
      </c>
      <c r="X274" s="11">
        <f t="shared" si="61"/>
        <v>308.75</v>
      </c>
      <c r="Y274" s="9">
        <f t="shared" si="62"/>
        <v>206</v>
      </c>
      <c r="Z274" s="11">
        <f t="shared" si="63"/>
        <v>450.75</v>
      </c>
      <c r="AA274" s="9">
        <f t="shared" si="64"/>
        <v>272</v>
      </c>
    </row>
    <row r="275" ht="14.25" spans="1:27">
      <c r="A275" s="13">
        <v>296</v>
      </c>
      <c r="B275" s="15">
        <v>7</v>
      </c>
      <c r="C275" s="16">
        <v>6</v>
      </c>
      <c r="D275" s="17" t="s">
        <v>603</v>
      </c>
      <c r="E275" s="17" t="s">
        <v>604</v>
      </c>
      <c r="F275" s="174">
        <f>VLOOKUP(D275,原始分!$D:$N,3,0)</f>
        <v>104.25</v>
      </c>
      <c r="G275" s="174">
        <f t="shared" si="52"/>
        <v>126</v>
      </c>
      <c r="H275" s="174">
        <f>VLOOKUP(D275,原始分!$D:$N,4,0)</f>
        <v>74</v>
      </c>
      <c r="I275" s="174">
        <f t="shared" si="53"/>
        <v>622</v>
      </c>
      <c r="J275" s="174">
        <f>VLOOKUP(D275,原始分!$D:$N,5,0)</f>
        <v>136</v>
      </c>
      <c r="K275" s="174">
        <f t="shared" si="54"/>
        <v>2</v>
      </c>
      <c r="L275" s="174">
        <f>VLOOKUP(D275,原始分!$D:$N,6,0)</f>
        <v>32.5</v>
      </c>
      <c r="M275" s="174">
        <f t="shared" si="55"/>
        <v>599</v>
      </c>
      <c r="N275" s="174">
        <f>VLOOKUP(D275,原始分!$D:$N,7,0)</f>
        <v>0</v>
      </c>
      <c r="O275" s="174">
        <f t="shared" si="56"/>
        <v>1</v>
      </c>
      <c r="P275" s="174">
        <f>VLOOKUP(D275,原始分!$D:$N,8,0)</f>
        <v>0</v>
      </c>
      <c r="Q275" s="174">
        <f t="shared" si="57"/>
        <v>539</v>
      </c>
      <c r="R275" s="174">
        <f>VLOOKUP(D275,原始分!$D:$N,9,0)</f>
        <v>53</v>
      </c>
      <c r="S275" s="174">
        <f t="shared" si="58"/>
        <v>66</v>
      </c>
      <c r="T275" s="174">
        <f>VLOOKUP(D275,原始分!$D:$N,10,0)</f>
        <v>0</v>
      </c>
      <c r="U275" s="174">
        <f t="shared" si="59"/>
        <v>112</v>
      </c>
      <c r="V275" s="174">
        <f>VLOOKUP(D275,原始分!$D:$N,11,0)</f>
        <v>51</v>
      </c>
      <c r="W275" s="174">
        <f t="shared" si="60"/>
        <v>227</v>
      </c>
      <c r="X275" s="11">
        <f t="shared" si="61"/>
        <v>314.25</v>
      </c>
      <c r="Y275" s="9">
        <f t="shared" si="62"/>
        <v>154</v>
      </c>
      <c r="Z275" s="11">
        <f t="shared" si="63"/>
        <v>450.75</v>
      </c>
      <c r="AA275" s="9">
        <f t="shared" si="64"/>
        <v>272</v>
      </c>
    </row>
    <row r="276" ht="14.25" spans="1:27">
      <c r="A276" s="13">
        <v>121</v>
      </c>
      <c r="B276" s="15">
        <v>3</v>
      </c>
      <c r="C276" s="16">
        <v>10</v>
      </c>
      <c r="D276" s="17" t="s">
        <v>255</v>
      </c>
      <c r="E276" s="17" t="s">
        <v>256</v>
      </c>
      <c r="F276" s="174">
        <f>VLOOKUP(D276,原始分!$D:$N,3,0)</f>
        <v>107</v>
      </c>
      <c r="G276" s="174">
        <f t="shared" si="52"/>
        <v>64</v>
      </c>
      <c r="H276" s="174">
        <f>VLOOKUP(D276,原始分!$D:$N,4,0)</f>
        <v>109.5</v>
      </c>
      <c r="I276" s="174">
        <f t="shared" si="53"/>
        <v>198</v>
      </c>
      <c r="J276" s="174">
        <f>VLOOKUP(D276,原始分!$D:$N,5,0)</f>
        <v>98.5</v>
      </c>
      <c r="K276" s="174">
        <f t="shared" si="54"/>
        <v>279</v>
      </c>
      <c r="L276" s="174">
        <f>VLOOKUP(D276,原始分!$D:$N,6,0)</f>
        <v>47</v>
      </c>
      <c r="M276" s="174">
        <f t="shared" si="55"/>
        <v>391</v>
      </c>
      <c r="N276" s="174">
        <f>VLOOKUP(D276,原始分!$D:$N,7,0)</f>
        <v>0</v>
      </c>
      <c r="O276" s="174">
        <f t="shared" si="56"/>
        <v>1</v>
      </c>
      <c r="P276" s="174">
        <f>VLOOKUP(D276,原始分!$D:$N,8,0)</f>
        <v>40</v>
      </c>
      <c r="Q276" s="174">
        <f t="shared" si="57"/>
        <v>314</v>
      </c>
      <c r="R276" s="174">
        <f>VLOOKUP(D276,原始分!$D:$N,9,0)</f>
        <v>48.5</v>
      </c>
      <c r="S276" s="174">
        <f t="shared" si="58"/>
        <v>112</v>
      </c>
      <c r="T276" s="174">
        <f>VLOOKUP(D276,原始分!$D:$N,10,0)</f>
        <v>0</v>
      </c>
      <c r="U276" s="174">
        <f t="shared" si="59"/>
        <v>112</v>
      </c>
      <c r="V276" s="174">
        <f>VLOOKUP(D276,原始分!$D:$N,11,0)</f>
        <v>0</v>
      </c>
      <c r="W276" s="174">
        <f t="shared" si="60"/>
        <v>461</v>
      </c>
      <c r="X276" s="11">
        <f t="shared" si="61"/>
        <v>315</v>
      </c>
      <c r="Y276" s="9">
        <f t="shared" si="62"/>
        <v>149</v>
      </c>
      <c r="Z276" s="11">
        <f t="shared" si="63"/>
        <v>450.5</v>
      </c>
      <c r="AA276" s="9">
        <f t="shared" si="64"/>
        <v>274</v>
      </c>
    </row>
    <row r="277" ht="14.25" spans="1:27">
      <c r="A277" s="13">
        <v>127</v>
      </c>
      <c r="B277" s="15">
        <v>3</v>
      </c>
      <c r="C277" s="16">
        <v>16</v>
      </c>
      <c r="D277" s="17" t="s">
        <v>267</v>
      </c>
      <c r="E277" s="17" t="s">
        <v>268</v>
      </c>
      <c r="F277" s="174">
        <f>VLOOKUP(D277,原始分!$D:$N,3,0)</f>
        <v>100.5</v>
      </c>
      <c r="G277" s="174">
        <f t="shared" si="52"/>
        <v>252</v>
      </c>
      <c r="H277" s="174">
        <f>VLOOKUP(D277,原始分!$D:$N,4,0)</f>
        <v>96.5</v>
      </c>
      <c r="I277" s="174">
        <f t="shared" si="53"/>
        <v>399</v>
      </c>
      <c r="J277" s="174">
        <f>VLOOKUP(D277,原始分!$D:$N,5,0)</f>
        <v>84.5</v>
      </c>
      <c r="K277" s="174">
        <f t="shared" si="54"/>
        <v>496</v>
      </c>
      <c r="L277" s="174">
        <f>VLOOKUP(D277,原始分!$D:$N,6,0)</f>
        <v>43</v>
      </c>
      <c r="M277" s="174">
        <f t="shared" si="55"/>
        <v>461</v>
      </c>
      <c r="N277" s="174">
        <f>VLOOKUP(D277,原始分!$D:$N,7,0)</f>
        <v>0</v>
      </c>
      <c r="O277" s="174">
        <f t="shared" si="56"/>
        <v>1</v>
      </c>
      <c r="P277" s="174">
        <f>VLOOKUP(D277,原始分!$D:$N,8,0)</f>
        <v>63.5</v>
      </c>
      <c r="Q277" s="174">
        <f t="shared" si="57"/>
        <v>12</v>
      </c>
      <c r="R277" s="174">
        <f>VLOOKUP(D277,原始分!$D:$N,9,0)</f>
        <v>62.5</v>
      </c>
      <c r="S277" s="174">
        <f t="shared" si="58"/>
        <v>8</v>
      </c>
      <c r="T277" s="174">
        <f>VLOOKUP(D277,原始分!$D:$N,10,0)</f>
        <v>0</v>
      </c>
      <c r="U277" s="174">
        <f t="shared" si="59"/>
        <v>112</v>
      </c>
      <c r="V277" s="174">
        <f>VLOOKUP(D277,原始分!$D:$N,11,0)</f>
        <v>0</v>
      </c>
      <c r="W277" s="174">
        <f t="shared" si="60"/>
        <v>461</v>
      </c>
      <c r="X277" s="11">
        <f t="shared" si="61"/>
        <v>281.5</v>
      </c>
      <c r="Y277" s="9">
        <f t="shared" si="62"/>
        <v>438</v>
      </c>
      <c r="Z277" s="11">
        <f t="shared" si="63"/>
        <v>450.5</v>
      </c>
      <c r="AA277" s="9">
        <f t="shared" si="64"/>
        <v>274</v>
      </c>
    </row>
    <row r="278" ht="14.25" spans="1:27">
      <c r="A278" s="13">
        <v>156</v>
      </c>
      <c r="B278" s="15">
        <v>3</v>
      </c>
      <c r="C278" s="16">
        <v>45</v>
      </c>
      <c r="D278" s="17" t="s">
        <v>325</v>
      </c>
      <c r="E278" s="17" t="s">
        <v>326</v>
      </c>
      <c r="F278" s="174">
        <f>VLOOKUP(D278,原始分!$D:$N,3,0)</f>
        <v>89</v>
      </c>
      <c r="G278" s="174">
        <f t="shared" si="52"/>
        <v>595</v>
      </c>
      <c r="H278" s="174">
        <f>VLOOKUP(D278,原始分!$D:$N,4,0)</f>
        <v>94.5</v>
      </c>
      <c r="I278" s="174">
        <f t="shared" si="53"/>
        <v>431</v>
      </c>
      <c r="J278" s="174">
        <f>VLOOKUP(D278,原始分!$D:$N,5,0)</f>
        <v>84.5</v>
      </c>
      <c r="K278" s="174">
        <f t="shared" si="54"/>
        <v>496</v>
      </c>
      <c r="L278" s="174">
        <f>VLOOKUP(D278,原始分!$D:$N,6,0)</f>
        <v>75.5</v>
      </c>
      <c r="M278" s="174">
        <f t="shared" si="55"/>
        <v>31</v>
      </c>
      <c r="N278" s="174">
        <f>VLOOKUP(D278,原始分!$D:$N,7,0)</f>
        <v>0</v>
      </c>
      <c r="O278" s="174">
        <f t="shared" si="56"/>
        <v>1</v>
      </c>
      <c r="P278" s="174">
        <f>VLOOKUP(D278,原始分!$D:$N,8,0)</f>
        <v>59</v>
      </c>
      <c r="Q278" s="174">
        <f t="shared" si="57"/>
        <v>32</v>
      </c>
      <c r="R278" s="174">
        <f>VLOOKUP(D278,原始分!$D:$N,9,0)</f>
        <v>48</v>
      </c>
      <c r="S278" s="174">
        <f t="shared" si="58"/>
        <v>122</v>
      </c>
      <c r="T278" s="174">
        <f>VLOOKUP(D278,原始分!$D:$N,10,0)</f>
        <v>0</v>
      </c>
      <c r="U278" s="174">
        <f t="shared" si="59"/>
        <v>112</v>
      </c>
      <c r="V278" s="174">
        <f>VLOOKUP(D278,原始分!$D:$N,11,0)</f>
        <v>0</v>
      </c>
      <c r="W278" s="174">
        <f t="shared" si="60"/>
        <v>461</v>
      </c>
      <c r="X278" s="11">
        <f t="shared" si="61"/>
        <v>268</v>
      </c>
      <c r="Y278" s="9">
        <f t="shared" si="62"/>
        <v>541</v>
      </c>
      <c r="Z278" s="11">
        <f t="shared" si="63"/>
        <v>450.5</v>
      </c>
      <c r="AA278" s="9">
        <f t="shared" si="64"/>
        <v>274</v>
      </c>
    </row>
    <row r="279" ht="14.25" spans="1:27">
      <c r="A279" s="13">
        <v>274</v>
      </c>
      <c r="B279" s="15">
        <v>6</v>
      </c>
      <c r="C279" s="16">
        <v>26</v>
      </c>
      <c r="D279" s="17" t="s">
        <v>559</v>
      </c>
      <c r="E279" s="17" t="s">
        <v>560</v>
      </c>
      <c r="F279" s="174">
        <f>VLOOKUP(D279,原始分!$D:$N,3,0)</f>
        <v>96</v>
      </c>
      <c r="G279" s="174">
        <f t="shared" si="52"/>
        <v>407</v>
      </c>
      <c r="H279" s="174">
        <f>VLOOKUP(D279,原始分!$D:$N,4,0)</f>
        <v>95</v>
      </c>
      <c r="I279" s="174">
        <f t="shared" si="53"/>
        <v>418</v>
      </c>
      <c r="J279" s="174">
        <f>VLOOKUP(D279,原始分!$D:$N,5,0)</f>
        <v>88</v>
      </c>
      <c r="K279" s="174">
        <f t="shared" si="54"/>
        <v>443</v>
      </c>
      <c r="L279" s="174">
        <f>VLOOKUP(D279,原始分!$D:$N,6,0)</f>
        <v>73.5</v>
      </c>
      <c r="M279" s="174">
        <f t="shared" si="55"/>
        <v>45</v>
      </c>
      <c r="N279" s="174">
        <f>VLOOKUP(D279,原始分!$D:$N,7,0)</f>
        <v>0</v>
      </c>
      <c r="O279" s="174">
        <f t="shared" si="56"/>
        <v>1</v>
      </c>
      <c r="P279" s="174">
        <f>VLOOKUP(D279,原始分!$D:$N,8,0)</f>
        <v>0</v>
      </c>
      <c r="Q279" s="174">
        <f t="shared" si="57"/>
        <v>539</v>
      </c>
      <c r="R279" s="174">
        <f>VLOOKUP(D279,原始分!$D:$N,9,0)</f>
        <v>49.5</v>
      </c>
      <c r="S279" s="174">
        <f t="shared" si="58"/>
        <v>99</v>
      </c>
      <c r="T279" s="174">
        <f>VLOOKUP(D279,原始分!$D:$N,10,0)</f>
        <v>0</v>
      </c>
      <c r="U279" s="174">
        <f t="shared" si="59"/>
        <v>112</v>
      </c>
      <c r="V279" s="174">
        <f>VLOOKUP(D279,原始分!$D:$N,11,0)</f>
        <v>48.5</v>
      </c>
      <c r="W279" s="174">
        <f t="shared" si="60"/>
        <v>267</v>
      </c>
      <c r="X279" s="11">
        <f t="shared" si="61"/>
        <v>279</v>
      </c>
      <c r="Y279" s="9">
        <f t="shared" si="62"/>
        <v>456</v>
      </c>
      <c r="Z279" s="11">
        <f t="shared" si="63"/>
        <v>450.5</v>
      </c>
      <c r="AA279" s="9">
        <f t="shared" si="64"/>
        <v>274</v>
      </c>
    </row>
    <row r="280" ht="14.25" spans="1:27">
      <c r="A280" s="13">
        <v>456</v>
      </c>
      <c r="B280" s="15">
        <v>10</v>
      </c>
      <c r="C280" s="16">
        <v>17</v>
      </c>
      <c r="D280" s="17" t="s">
        <v>922</v>
      </c>
      <c r="E280" s="17" t="s">
        <v>923</v>
      </c>
      <c r="F280" s="174">
        <f>VLOOKUP(D280,原始分!$D:$N,3,0)</f>
        <v>93.5</v>
      </c>
      <c r="G280" s="174">
        <f t="shared" si="52"/>
        <v>491</v>
      </c>
      <c r="H280" s="174">
        <f>VLOOKUP(D280,原始分!$D:$N,4,0)</f>
        <v>99</v>
      </c>
      <c r="I280" s="174">
        <f t="shared" si="53"/>
        <v>359</v>
      </c>
      <c r="J280" s="174">
        <f>VLOOKUP(D280,原始分!$D:$N,5,0)</f>
        <v>91</v>
      </c>
      <c r="K280" s="174">
        <f t="shared" si="54"/>
        <v>410</v>
      </c>
      <c r="L280" s="174">
        <f>VLOOKUP(D280,原始分!$D:$N,6,0)</f>
        <v>66</v>
      </c>
      <c r="M280" s="174">
        <f t="shared" si="55"/>
        <v>97</v>
      </c>
      <c r="N280" s="174">
        <f>VLOOKUP(D280,原始分!$D:$N,7,0)</f>
        <v>0</v>
      </c>
      <c r="O280" s="174">
        <f t="shared" si="56"/>
        <v>1</v>
      </c>
      <c r="P280" s="174">
        <f>VLOOKUP(D280,原始分!$D:$N,8,0)</f>
        <v>53</v>
      </c>
      <c r="Q280" s="174">
        <f t="shared" si="57"/>
        <v>69</v>
      </c>
      <c r="R280" s="174">
        <f>VLOOKUP(D280,原始分!$D:$N,9,0)</f>
        <v>0</v>
      </c>
      <c r="S280" s="174">
        <f t="shared" si="58"/>
        <v>218</v>
      </c>
      <c r="T280" s="174">
        <f>VLOOKUP(D280,原始分!$D:$N,10,0)</f>
        <v>0</v>
      </c>
      <c r="U280" s="174">
        <f t="shared" si="59"/>
        <v>112</v>
      </c>
      <c r="V280" s="174">
        <f>VLOOKUP(D280,原始分!$D:$N,11,0)</f>
        <v>48</v>
      </c>
      <c r="W280" s="174">
        <f t="shared" si="60"/>
        <v>277</v>
      </c>
      <c r="X280" s="11">
        <f t="shared" si="61"/>
        <v>283.5</v>
      </c>
      <c r="Y280" s="9">
        <f t="shared" si="62"/>
        <v>412</v>
      </c>
      <c r="Z280" s="11">
        <f t="shared" si="63"/>
        <v>450.5</v>
      </c>
      <c r="AA280" s="9">
        <f t="shared" si="64"/>
        <v>274</v>
      </c>
    </row>
    <row r="281" ht="14.25" spans="1:27">
      <c r="A281" s="13">
        <v>504</v>
      </c>
      <c r="B281" s="15">
        <v>11</v>
      </c>
      <c r="C281" s="16">
        <v>8</v>
      </c>
      <c r="D281" s="17" t="s">
        <v>1018</v>
      </c>
      <c r="E281" s="17" t="s">
        <v>1019</v>
      </c>
      <c r="F281" s="174">
        <f>VLOOKUP(D281,原始分!$D:$N,3,0)</f>
        <v>93</v>
      </c>
      <c r="G281" s="174">
        <f t="shared" si="52"/>
        <v>505</v>
      </c>
      <c r="H281" s="174">
        <f>VLOOKUP(D281,原始分!$D:$N,4,0)</f>
        <v>100</v>
      </c>
      <c r="I281" s="174">
        <f t="shared" si="53"/>
        <v>348</v>
      </c>
      <c r="J281" s="174">
        <f>VLOOKUP(D281,原始分!$D:$N,5,0)</f>
        <v>80.75</v>
      </c>
      <c r="K281" s="174">
        <f t="shared" si="54"/>
        <v>545</v>
      </c>
      <c r="L281" s="174">
        <f>VLOOKUP(D281,原始分!$D:$N,6,0)</f>
        <v>57.5</v>
      </c>
      <c r="M281" s="174">
        <f t="shared" si="55"/>
        <v>228</v>
      </c>
      <c r="N281" s="174">
        <f>VLOOKUP(D281,原始分!$D:$N,7,0)</f>
        <v>0</v>
      </c>
      <c r="O281" s="174">
        <f t="shared" si="56"/>
        <v>1</v>
      </c>
      <c r="P281" s="174">
        <f>VLOOKUP(D281,原始分!$D:$N,8,0)</f>
        <v>50</v>
      </c>
      <c r="Q281" s="174">
        <f t="shared" si="57"/>
        <v>108</v>
      </c>
      <c r="R281" s="174">
        <f>VLOOKUP(D281,原始分!$D:$N,9,0)</f>
        <v>0</v>
      </c>
      <c r="S281" s="174">
        <f t="shared" si="58"/>
        <v>218</v>
      </c>
      <c r="T281" s="174">
        <f>VLOOKUP(D281,原始分!$D:$N,10,0)</f>
        <v>0</v>
      </c>
      <c r="U281" s="174">
        <f t="shared" si="59"/>
        <v>112</v>
      </c>
      <c r="V281" s="174">
        <f>VLOOKUP(D281,原始分!$D:$N,11,0)</f>
        <v>69</v>
      </c>
      <c r="W281" s="174">
        <f t="shared" si="60"/>
        <v>16</v>
      </c>
      <c r="X281" s="11">
        <f t="shared" si="61"/>
        <v>273.75</v>
      </c>
      <c r="Y281" s="9">
        <f t="shared" si="62"/>
        <v>504</v>
      </c>
      <c r="Z281" s="11">
        <f t="shared" si="63"/>
        <v>450.25</v>
      </c>
      <c r="AA281" s="9">
        <f t="shared" si="64"/>
        <v>279</v>
      </c>
    </row>
    <row r="282" ht="14.25" spans="1:27">
      <c r="A282" s="13">
        <v>510</v>
      </c>
      <c r="B282" s="15">
        <v>11</v>
      </c>
      <c r="C282" s="16">
        <v>14</v>
      </c>
      <c r="D282" s="17" t="s">
        <v>1030</v>
      </c>
      <c r="E282" s="17" t="s">
        <v>1031</v>
      </c>
      <c r="F282" s="174">
        <f>VLOOKUP(D282,原始分!$D:$N,3,0)</f>
        <v>101.5</v>
      </c>
      <c r="G282" s="174">
        <f t="shared" si="52"/>
        <v>210</v>
      </c>
      <c r="H282" s="174">
        <f>VLOOKUP(D282,原始分!$D:$N,4,0)</f>
        <v>94.5</v>
      </c>
      <c r="I282" s="174">
        <f t="shared" si="53"/>
        <v>431</v>
      </c>
      <c r="J282" s="174">
        <f>VLOOKUP(D282,原始分!$D:$N,5,0)</f>
        <v>94.75</v>
      </c>
      <c r="K282" s="174">
        <f t="shared" si="54"/>
        <v>345</v>
      </c>
      <c r="L282" s="174">
        <f>VLOOKUP(D282,原始分!$D:$N,6,0)</f>
        <v>56</v>
      </c>
      <c r="M282" s="174">
        <f t="shared" si="55"/>
        <v>252</v>
      </c>
      <c r="N282" s="174">
        <f>VLOOKUP(D282,原始分!$D:$N,7,0)</f>
        <v>0</v>
      </c>
      <c r="O282" s="174">
        <f t="shared" si="56"/>
        <v>1</v>
      </c>
      <c r="P282" s="174">
        <f>VLOOKUP(D282,原始分!$D:$N,8,0)</f>
        <v>46.5</v>
      </c>
      <c r="Q282" s="174">
        <f t="shared" si="57"/>
        <v>187</v>
      </c>
      <c r="R282" s="174">
        <f>VLOOKUP(D282,原始分!$D:$N,9,0)</f>
        <v>0</v>
      </c>
      <c r="S282" s="174">
        <f t="shared" si="58"/>
        <v>218</v>
      </c>
      <c r="T282" s="174">
        <f>VLOOKUP(D282,原始分!$D:$N,10,0)</f>
        <v>0</v>
      </c>
      <c r="U282" s="174">
        <f t="shared" si="59"/>
        <v>112</v>
      </c>
      <c r="V282" s="174">
        <f>VLOOKUP(D282,原始分!$D:$N,11,0)</f>
        <v>57</v>
      </c>
      <c r="W282" s="174">
        <f t="shared" si="60"/>
        <v>112</v>
      </c>
      <c r="X282" s="11">
        <f t="shared" si="61"/>
        <v>290.75</v>
      </c>
      <c r="Y282" s="9">
        <f t="shared" si="62"/>
        <v>361</v>
      </c>
      <c r="Z282" s="11">
        <f t="shared" si="63"/>
        <v>450.25</v>
      </c>
      <c r="AA282" s="9">
        <f t="shared" si="64"/>
        <v>279</v>
      </c>
    </row>
    <row r="283" ht="14.25" spans="1:27">
      <c r="A283" s="13">
        <v>574</v>
      </c>
      <c r="B283" s="15">
        <v>12</v>
      </c>
      <c r="C283" s="16">
        <v>21</v>
      </c>
      <c r="D283" s="17" t="s">
        <v>1156</v>
      </c>
      <c r="E283" s="17" t="s">
        <v>1157</v>
      </c>
      <c r="F283" s="174">
        <f>VLOOKUP(D283,原始分!$D:$N,3,0)</f>
        <v>105</v>
      </c>
      <c r="G283" s="174">
        <f t="shared" si="52"/>
        <v>107</v>
      </c>
      <c r="H283" s="174">
        <f>VLOOKUP(D283,原始分!$D:$N,4,0)</f>
        <v>94.5</v>
      </c>
      <c r="I283" s="174">
        <f t="shared" si="53"/>
        <v>431</v>
      </c>
      <c r="J283" s="174">
        <f>VLOOKUP(D283,原始分!$D:$N,5,0)</f>
        <v>104.75</v>
      </c>
      <c r="K283" s="174">
        <f t="shared" si="54"/>
        <v>177</v>
      </c>
      <c r="L283" s="174">
        <f>VLOOKUP(D283,原始分!$D:$N,6,0)</f>
        <v>48.5</v>
      </c>
      <c r="M283" s="174">
        <f t="shared" si="55"/>
        <v>364</v>
      </c>
      <c r="N283" s="174">
        <f>VLOOKUP(D283,原始分!$D:$N,7,0)</f>
        <v>0</v>
      </c>
      <c r="O283" s="174">
        <f t="shared" si="56"/>
        <v>1</v>
      </c>
      <c r="P283" s="174">
        <f>VLOOKUP(D283,原始分!$D:$N,8,0)</f>
        <v>47</v>
      </c>
      <c r="Q283" s="174">
        <f t="shared" si="57"/>
        <v>172</v>
      </c>
      <c r="R283" s="174">
        <f>VLOOKUP(D283,原始分!$D:$N,9,0)</f>
        <v>0</v>
      </c>
      <c r="S283" s="174">
        <f t="shared" si="58"/>
        <v>218</v>
      </c>
      <c r="T283" s="174">
        <f>VLOOKUP(D283,原始分!$D:$N,10,0)</f>
        <v>0</v>
      </c>
      <c r="U283" s="174">
        <f t="shared" si="59"/>
        <v>112</v>
      </c>
      <c r="V283" s="174">
        <f>VLOOKUP(D283,原始分!$D:$N,11,0)</f>
        <v>50.5</v>
      </c>
      <c r="W283" s="174">
        <f t="shared" si="60"/>
        <v>239</v>
      </c>
      <c r="X283" s="11">
        <f t="shared" si="61"/>
        <v>304.25</v>
      </c>
      <c r="Y283" s="9">
        <f t="shared" si="62"/>
        <v>243</v>
      </c>
      <c r="Z283" s="11">
        <f t="shared" si="63"/>
        <v>450.25</v>
      </c>
      <c r="AA283" s="9">
        <f t="shared" si="64"/>
        <v>279</v>
      </c>
    </row>
    <row r="284" ht="14.25" spans="1:27">
      <c r="A284" s="13">
        <v>543</v>
      </c>
      <c r="B284" s="15">
        <v>11</v>
      </c>
      <c r="C284" s="16">
        <v>49</v>
      </c>
      <c r="D284" s="17" t="s">
        <v>1094</v>
      </c>
      <c r="E284" s="17" t="s">
        <v>1095</v>
      </c>
      <c r="F284" s="174">
        <f>VLOOKUP(D284,原始分!$D:$N,3,0)</f>
        <v>107</v>
      </c>
      <c r="G284" s="174">
        <f t="shared" si="52"/>
        <v>64</v>
      </c>
      <c r="H284" s="174">
        <f>VLOOKUP(D284,原始分!$D:$N,4,0)</f>
        <v>103.5</v>
      </c>
      <c r="I284" s="174">
        <f t="shared" si="53"/>
        <v>302</v>
      </c>
      <c r="J284" s="174">
        <f>VLOOKUP(D284,原始分!$D:$N,5,0)</f>
        <v>112</v>
      </c>
      <c r="K284" s="174">
        <f t="shared" si="54"/>
        <v>82</v>
      </c>
      <c r="L284" s="174">
        <f>VLOOKUP(D284,原始分!$D:$N,6,0)</f>
        <v>32</v>
      </c>
      <c r="M284" s="174">
        <f t="shared" si="55"/>
        <v>603</v>
      </c>
      <c r="N284" s="174">
        <f>VLOOKUP(D284,原始分!$D:$N,7,0)</f>
        <v>0</v>
      </c>
      <c r="O284" s="174">
        <f t="shared" si="56"/>
        <v>1</v>
      </c>
      <c r="P284" s="174">
        <f>VLOOKUP(D284,原始分!$D:$N,8,0)</f>
        <v>40</v>
      </c>
      <c r="Q284" s="174">
        <f t="shared" si="57"/>
        <v>314</v>
      </c>
      <c r="R284" s="174">
        <f>VLOOKUP(D284,原始分!$D:$N,9,0)</f>
        <v>0</v>
      </c>
      <c r="S284" s="174">
        <f t="shared" si="58"/>
        <v>218</v>
      </c>
      <c r="T284" s="174">
        <f>VLOOKUP(D284,原始分!$D:$N,10,0)</f>
        <v>0</v>
      </c>
      <c r="U284" s="174">
        <f t="shared" si="59"/>
        <v>112</v>
      </c>
      <c r="V284" s="174">
        <f>VLOOKUP(D284,原始分!$D:$N,11,0)</f>
        <v>55.5</v>
      </c>
      <c r="W284" s="174">
        <f t="shared" si="60"/>
        <v>139</v>
      </c>
      <c r="X284" s="11">
        <f t="shared" si="61"/>
        <v>322.5</v>
      </c>
      <c r="Y284" s="9">
        <f t="shared" si="62"/>
        <v>102</v>
      </c>
      <c r="Z284" s="11">
        <f t="shared" si="63"/>
        <v>450</v>
      </c>
      <c r="AA284" s="9">
        <f t="shared" si="64"/>
        <v>282</v>
      </c>
    </row>
    <row r="285" ht="14.25" spans="1:27">
      <c r="A285" s="13">
        <v>450</v>
      </c>
      <c r="B285" s="15">
        <v>10</v>
      </c>
      <c r="C285" s="16">
        <v>11</v>
      </c>
      <c r="D285" s="17" t="s">
        <v>910</v>
      </c>
      <c r="E285" s="17" t="s">
        <v>911</v>
      </c>
      <c r="F285" s="174">
        <f>VLOOKUP(D285,原始分!$D:$N,3,0)</f>
        <v>101</v>
      </c>
      <c r="G285" s="174">
        <f t="shared" si="52"/>
        <v>224</v>
      </c>
      <c r="H285" s="174">
        <f>VLOOKUP(D285,原始分!$D:$N,4,0)</f>
        <v>113</v>
      </c>
      <c r="I285" s="174">
        <f t="shared" si="53"/>
        <v>143</v>
      </c>
      <c r="J285" s="174">
        <f>VLOOKUP(D285,原始分!$D:$N,5,0)</f>
        <v>109.75</v>
      </c>
      <c r="K285" s="174">
        <f t="shared" si="54"/>
        <v>108</v>
      </c>
      <c r="L285" s="174">
        <f>VLOOKUP(D285,原始分!$D:$N,6,0)</f>
        <v>43</v>
      </c>
      <c r="M285" s="174">
        <f t="shared" si="55"/>
        <v>461</v>
      </c>
      <c r="N285" s="174">
        <f>VLOOKUP(D285,原始分!$D:$N,7,0)</f>
        <v>0</v>
      </c>
      <c r="O285" s="174">
        <f t="shared" si="56"/>
        <v>1</v>
      </c>
      <c r="P285" s="174">
        <f>VLOOKUP(D285,原始分!$D:$N,8,0)</f>
        <v>48</v>
      </c>
      <c r="Q285" s="174">
        <f t="shared" si="57"/>
        <v>145</v>
      </c>
      <c r="R285" s="174">
        <f>VLOOKUP(D285,原始分!$D:$N,9,0)</f>
        <v>0</v>
      </c>
      <c r="S285" s="174">
        <f t="shared" si="58"/>
        <v>218</v>
      </c>
      <c r="T285" s="174">
        <f>VLOOKUP(D285,原始分!$D:$N,10,0)</f>
        <v>0</v>
      </c>
      <c r="U285" s="174">
        <f t="shared" si="59"/>
        <v>112</v>
      </c>
      <c r="V285" s="174">
        <f>VLOOKUP(D285,原始分!$D:$N,11,0)</f>
        <v>35</v>
      </c>
      <c r="W285" s="174">
        <f t="shared" si="60"/>
        <v>430</v>
      </c>
      <c r="X285" s="11">
        <f t="shared" si="61"/>
        <v>323.75</v>
      </c>
      <c r="Y285" s="9">
        <f t="shared" si="62"/>
        <v>93</v>
      </c>
      <c r="Z285" s="11">
        <f t="shared" si="63"/>
        <v>449.75</v>
      </c>
      <c r="AA285" s="9">
        <f t="shared" si="64"/>
        <v>283</v>
      </c>
    </row>
    <row r="286" ht="14.25" spans="1:27">
      <c r="A286" s="13">
        <v>517</v>
      </c>
      <c r="B286" s="15">
        <v>11</v>
      </c>
      <c r="C286" s="16">
        <v>21</v>
      </c>
      <c r="D286" s="17" t="s">
        <v>1044</v>
      </c>
      <c r="E286" s="17" t="s">
        <v>1045</v>
      </c>
      <c r="F286" s="174">
        <f>VLOOKUP(D286,原始分!$D:$N,3,0)</f>
        <v>105</v>
      </c>
      <c r="G286" s="174">
        <f t="shared" si="52"/>
        <v>107</v>
      </c>
      <c r="H286" s="174">
        <f>VLOOKUP(D286,原始分!$D:$N,4,0)</f>
        <v>98</v>
      </c>
      <c r="I286" s="174">
        <f t="shared" si="53"/>
        <v>375</v>
      </c>
      <c r="J286" s="174">
        <f>VLOOKUP(D286,原始分!$D:$N,5,0)</f>
        <v>95</v>
      </c>
      <c r="K286" s="174">
        <f t="shared" si="54"/>
        <v>338</v>
      </c>
      <c r="L286" s="174">
        <f>VLOOKUP(D286,原始分!$D:$N,6,0)</f>
        <v>50</v>
      </c>
      <c r="M286" s="174">
        <f t="shared" si="55"/>
        <v>337</v>
      </c>
      <c r="N286" s="174">
        <f>VLOOKUP(D286,原始分!$D:$N,7,0)</f>
        <v>0</v>
      </c>
      <c r="O286" s="174">
        <f t="shared" si="56"/>
        <v>1</v>
      </c>
      <c r="P286" s="174">
        <f>VLOOKUP(D286,原始分!$D:$N,8,0)</f>
        <v>48</v>
      </c>
      <c r="Q286" s="174">
        <f t="shared" si="57"/>
        <v>145</v>
      </c>
      <c r="R286" s="174">
        <f>VLOOKUP(D286,原始分!$D:$N,9,0)</f>
        <v>0</v>
      </c>
      <c r="S286" s="174">
        <f t="shared" si="58"/>
        <v>218</v>
      </c>
      <c r="T286" s="174">
        <f>VLOOKUP(D286,原始分!$D:$N,10,0)</f>
        <v>0</v>
      </c>
      <c r="U286" s="174">
        <f t="shared" si="59"/>
        <v>112</v>
      </c>
      <c r="V286" s="174">
        <f>VLOOKUP(D286,原始分!$D:$N,11,0)</f>
        <v>53.5</v>
      </c>
      <c r="W286" s="174">
        <f t="shared" si="60"/>
        <v>171</v>
      </c>
      <c r="X286" s="11">
        <f t="shared" si="61"/>
        <v>298</v>
      </c>
      <c r="Y286" s="9">
        <f t="shared" si="62"/>
        <v>293</v>
      </c>
      <c r="Z286" s="11">
        <f t="shared" si="63"/>
        <v>449.5</v>
      </c>
      <c r="AA286" s="9">
        <f t="shared" si="64"/>
        <v>284</v>
      </c>
    </row>
    <row r="287" ht="14.25" spans="1:27">
      <c r="A287" s="13">
        <v>175</v>
      </c>
      <c r="B287" s="15">
        <v>4</v>
      </c>
      <c r="C287" s="16">
        <v>16</v>
      </c>
      <c r="D287" s="17" t="s">
        <v>363</v>
      </c>
      <c r="E287" s="17" t="s">
        <v>364</v>
      </c>
      <c r="F287" s="174">
        <f>VLOOKUP(D287,原始分!$D:$N,3,0)</f>
        <v>97.75</v>
      </c>
      <c r="G287" s="174">
        <f t="shared" si="52"/>
        <v>371</v>
      </c>
      <c r="H287" s="174">
        <f>VLOOKUP(D287,原始分!$D:$N,4,0)</f>
        <v>103.5</v>
      </c>
      <c r="I287" s="174">
        <f t="shared" si="53"/>
        <v>302</v>
      </c>
      <c r="J287" s="174">
        <f>VLOOKUP(D287,原始分!$D:$N,5,0)</f>
        <v>94.5</v>
      </c>
      <c r="K287" s="174">
        <f t="shared" si="54"/>
        <v>349</v>
      </c>
      <c r="L287" s="174">
        <f>VLOOKUP(D287,原始分!$D:$N,6,0)</f>
        <v>57.5</v>
      </c>
      <c r="M287" s="174">
        <f t="shared" si="55"/>
        <v>228</v>
      </c>
      <c r="N287" s="174">
        <f>VLOOKUP(D287,原始分!$D:$N,7,0)</f>
        <v>0</v>
      </c>
      <c r="O287" s="174">
        <f t="shared" si="56"/>
        <v>1</v>
      </c>
      <c r="P287" s="174">
        <f>VLOOKUP(D287,原始分!$D:$N,8,0)</f>
        <v>47.5</v>
      </c>
      <c r="Q287" s="174">
        <f t="shared" si="57"/>
        <v>156</v>
      </c>
      <c r="R287" s="174">
        <f>VLOOKUP(D287,原始分!$D:$N,9,0)</f>
        <v>48.5</v>
      </c>
      <c r="S287" s="174">
        <f t="shared" si="58"/>
        <v>112</v>
      </c>
      <c r="T287" s="174">
        <f>VLOOKUP(D287,原始分!$D:$N,10,0)</f>
        <v>0</v>
      </c>
      <c r="U287" s="174">
        <f t="shared" si="59"/>
        <v>112</v>
      </c>
      <c r="V287" s="174">
        <f>VLOOKUP(D287,原始分!$D:$N,11,0)</f>
        <v>0</v>
      </c>
      <c r="W287" s="174">
        <f t="shared" si="60"/>
        <v>461</v>
      </c>
      <c r="X287" s="11">
        <f t="shared" si="61"/>
        <v>295.75</v>
      </c>
      <c r="Y287" s="9">
        <f t="shared" si="62"/>
        <v>310</v>
      </c>
      <c r="Z287" s="11">
        <f t="shared" si="63"/>
        <v>449.25</v>
      </c>
      <c r="AA287" s="9">
        <f t="shared" si="64"/>
        <v>285</v>
      </c>
    </row>
    <row r="288" ht="14.25" spans="1:27">
      <c r="A288" s="13">
        <v>24</v>
      </c>
      <c r="B288" s="15">
        <v>1</v>
      </c>
      <c r="C288" s="16">
        <v>26</v>
      </c>
      <c r="D288" s="17" t="s">
        <v>62</v>
      </c>
      <c r="E288" s="17" t="s">
        <v>63</v>
      </c>
      <c r="F288" s="174">
        <f>VLOOKUP(D288,原始分!$D:$N,3,0)</f>
        <v>104.25</v>
      </c>
      <c r="G288" s="174">
        <f t="shared" si="52"/>
        <v>126</v>
      </c>
      <c r="H288" s="174">
        <f>VLOOKUP(D288,原始分!$D:$N,4,0)</f>
        <v>94.5</v>
      </c>
      <c r="I288" s="174">
        <f t="shared" si="53"/>
        <v>431</v>
      </c>
      <c r="J288" s="174">
        <f>VLOOKUP(D288,原始分!$D:$N,5,0)</f>
        <v>102.5</v>
      </c>
      <c r="K288" s="174">
        <f t="shared" si="54"/>
        <v>206</v>
      </c>
      <c r="L288" s="174">
        <f>VLOOKUP(D288,原始分!$D:$N,6,0)</f>
        <v>51</v>
      </c>
      <c r="M288" s="174">
        <f t="shared" si="55"/>
        <v>320</v>
      </c>
      <c r="N288" s="174">
        <f>VLOOKUP(D288,原始分!$D:$N,7,0)</f>
        <v>0</v>
      </c>
      <c r="O288" s="174">
        <f t="shared" si="56"/>
        <v>1</v>
      </c>
      <c r="P288" s="174">
        <f>VLOOKUP(D288,原始分!$D:$N,8,0)</f>
        <v>32.5</v>
      </c>
      <c r="Q288" s="174">
        <f t="shared" si="57"/>
        <v>445</v>
      </c>
      <c r="R288" s="174">
        <f>VLOOKUP(D288,原始分!$D:$N,9,0)</f>
        <v>0</v>
      </c>
      <c r="S288" s="174">
        <f t="shared" si="58"/>
        <v>218</v>
      </c>
      <c r="T288" s="174">
        <f>VLOOKUP(D288,原始分!$D:$N,10,0)</f>
        <v>64</v>
      </c>
      <c r="U288" s="174">
        <f t="shared" si="59"/>
        <v>14</v>
      </c>
      <c r="V288" s="174">
        <f>VLOOKUP(D288,原始分!$D:$N,11,0)</f>
        <v>0</v>
      </c>
      <c r="W288" s="174">
        <f t="shared" si="60"/>
        <v>461</v>
      </c>
      <c r="X288" s="11">
        <f t="shared" si="61"/>
        <v>301.25</v>
      </c>
      <c r="Y288" s="9">
        <f t="shared" si="62"/>
        <v>268</v>
      </c>
      <c r="Z288" s="11">
        <f t="shared" si="63"/>
        <v>448.75</v>
      </c>
      <c r="AA288" s="9">
        <f t="shared" si="64"/>
        <v>286</v>
      </c>
    </row>
    <row r="289" ht="14.25" spans="1:27">
      <c r="A289" s="13">
        <v>464</v>
      </c>
      <c r="B289" s="15">
        <v>10</v>
      </c>
      <c r="C289" s="16">
        <v>25</v>
      </c>
      <c r="D289" s="17" t="s">
        <v>938</v>
      </c>
      <c r="E289" s="17" t="s">
        <v>939</v>
      </c>
      <c r="F289" s="174">
        <f>VLOOKUP(D289,原始分!$D:$N,3,0)</f>
        <v>94.5</v>
      </c>
      <c r="G289" s="174">
        <f t="shared" si="52"/>
        <v>461</v>
      </c>
      <c r="H289" s="174">
        <f>VLOOKUP(D289,原始分!$D:$N,4,0)</f>
        <v>95</v>
      </c>
      <c r="I289" s="174">
        <f t="shared" si="53"/>
        <v>418</v>
      </c>
      <c r="J289" s="174">
        <f>VLOOKUP(D289,原始分!$D:$N,5,0)</f>
        <v>102.75</v>
      </c>
      <c r="K289" s="174">
        <f t="shared" si="54"/>
        <v>203</v>
      </c>
      <c r="L289" s="174">
        <f>VLOOKUP(D289,原始分!$D:$N,6,0)</f>
        <v>56</v>
      </c>
      <c r="M289" s="174">
        <f t="shared" si="55"/>
        <v>252</v>
      </c>
      <c r="N289" s="174">
        <f>VLOOKUP(D289,原始分!$D:$N,7,0)</f>
        <v>0</v>
      </c>
      <c r="O289" s="174">
        <f t="shared" si="56"/>
        <v>1</v>
      </c>
      <c r="P289" s="174">
        <f>VLOOKUP(D289,原始分!$D:$N,8,0)</f>
        <v>42</v>
      </c>
      <c r="Q289" s="174">
        <f t="shared" si="57"/>
        <v>265</v>
      </c>
      <c r="R289" s="174">
        <f>VLOOKUP(D289,原始分!$D:$N,9,0)</f>
        <v>0</v>
      </c>
      <c r="S289" s="174">
        <f t="shared" si="58"/>
        <v>218</v>
      </c>
      <c r="T289" s="174">
        <f>VLOOKUP(D289,原始分!$D:$N,10,0)</f>
        <v>0</v>
      </c>
      <c r="U289" s="174">
        <f t="shared" si="59"/>
        <v>112</v>
      </c>
      <c r="V289" s="174">
        <f>VLOOKUP(D289,原始分!$D:$N,11,0)</f>
        <v>58.5</v>
      </c>
      <c r="W289" s="174">
        <f t="shared" si="60"/>
        <v>99</v>
      </c>
      <c r="X289" s="11">
        <f t="shared" si="61"/>
        <v>292.25</v>
      </c>
      <c r="Y289" s="9">
        <f t="shared" si="62"/>
        <v>347</v>
      </c>
      <c r="Z289" s="11">
        <f t="shared" si="63"/>
        <v>448.75</v>
      </c>
      <c r="AA289" s="9">
        <f t="shared" si="64"/>
        <v>286</v>
      </c>
    </row>
    <row r="290" ht="14.25" spans="1:27">
      <c r="A290" s="13">
        <v>101</v>
      </c>
      <c r="B290" s="15">
        <v>2</v>
      </c>
      <c r="C290" s="16">
        <v>38</v>
      </c>
      <c r="D290" s="17" t="s">
        <v>215</v>
      </c>
      <c r="E290" s="17" t="s">
        <v>216</v>
      </c>
      <c r="F290" s="174">
        <f>VLOOKUP(D290,原始分!$D:$N,3,0)</f>
        <v>94.5</v>
      </c>
      <c r="G290" s="174">
        <f t="shared" si="52"/>
        <v>461</v>
      </c>
      <c r="H290" s="174">
        <f>VLOOKUP(D290,原始分!$D:$N,4,0)</f>
        <v>93</v>
      </c>
      <c r="I290" s="174">
        <f t="shared" si="53"/>
        <v>457</v>
      </c>
      <c r="J290" s="174">
        <f>VLOOKUP(D290,原始分!$D:$N,5,0)</f>
        <v>105.5</v>
      </c>
      <c r="K290" s="174">
        <f t="shared" si="54"/>
        <v>162</v>
      </c>
      <c r="L290" s="174">
        <f>VLOOKUP(D290,原始分!$D:$N,6,0)</f>
        <v>46</v>
      </c>
      <c r="M290" s="174">
        <f t="shared" si="55"/>
        <v>411</v>
      </c>
      <c r="N290" s="174">
        <f>VLOOKUP(D290,原始分!$D:$N,7,0)</f>
        <v>0</v>
      </c>
      <c r="O290" s="174">
        <f t="shared" si="56"/>
        <v>1</v>
      </c>
      <c r="P290" s="174">
        <f>VLOOKUP(D290,原始分!$D:$N,8,0)</f>
        <v>0</v>
      </c>
      <c r="Q290" s="174">
        <f t="shared" si="57"/>
        <v>539</v>
      </c>
      <c r="R290" s="174">
        <f>VLOOKUP(D290,原始分!$D:$N,9,0)</f>
        <v>0</v>
      </c>
      <c r="S290" s="174">
        <f t="shared" si="58"/>
        <v>218</v>
      </c>
      <c r="T290" s="174">
        <f>VLOOKUP(D290,原始分!$D:$N,10,0)</f>
        <v>54</v>
      </c>
      <c r="U290" s="174">
        <f t="shared" si="59"/>
        <v>60</v>
      </c>
      <c r="V290" s="174">
        <f>VLOOKUP(D290,原始分!$D:$N,11,0)</f>
        <v>55.5</v>
      </c>
      <c r="W290" s="174">
        <f t="shared" si="60"/>
        <v>139</v>
      </c>
      <c r="X290" s="11">
        <f t="shared" si="61"/>
        <v>293</v>
      </c>
      <c r="Y290" s="9">
        <f t="shared" si="62"/>
        <v>335</v>
      </c>
      <c r="Z290" s="11">
        <f t="shared" si="63"/>
        <v>448.5</v>
      </c>
      <c r="AA290" s="9">
        <f t="shared" si="64"/>
        <v>288</v>
      </c>
    </row>
    <row r="291" ht="14.25" spans="1:27">
      <c r="A291" s="13">
        <v>5</v>
      </c>
      <c r="B291" s="15">
        <v>1</v>
      </c>
      <c r="C291" s="16">
        <v>6</v>
      </c>
      <c r="D291" s="17" t="s">
        <v>24</v>
      </c>
      <c r="E291" s="17" t="s">
        <v>25</v>
      </c>
      <c r="F291" s="174">
        <f>VLOOKUP(D291,原始分!$D:$N,3,0)</f>
        <v>111</v>
      </c>
      <c r="G291" s="174">
        <f t="shared" si="52"/>
        <v>17</v>
      </c>
      <c r="H291" s="174">
        <f>VLOOKUP(D291,原始分!$D:$N,4,0)</f>
        <v>107.5</v>
      </c>
      <c r="I291" s="174">
        <f t="shared" si="53"/>
        <v>230</v>
      </c>
      <c r="J291" s="174">
        <f>VLOOKUP(D291,原始分!$D:$N,5,0)</f>
        <v>83.5</v>
      </c>
      <c r="K291" s="174">
        <f t="shared" si="54"/>
        <v>508</v>
      </c>
      <c r="L291" s="174">
        <f>VLOOKUP(D291,原始分!$D:$N,6,0)</f>
        <v>48.5</v>
      </c>
      <c r="M291" s="174">
        <f t="shared" si="55"/>
        <v>364</v>
      </c>
      <c r="N291" s="174">
        <f>VLOOKUP(D291,原始分!$D:$N,7,0)</f>
        <v>0</v>
      </c>
      <c r="O291" s="174">
        <f t="shared" si="56"/>
        <v>1</v>
      </c>
      <c r="P291" s="174">
        <f>VLOOKUP(D291,原始分!$D:$N,8,0)</f>
        <v>43.5</v>
      </c>
      <c r="Q291" s="174">
        <f t="shared" si="57"/>
        <v>241</v>
      </c>
      <c r="R291" s="174">
        <f>VLOOKUP(D291,原始分!$D:$N,9,0)</f>
        <v>0</v>
      </c>
      <c r="S291" s="174">
        <f t="shared" si="58"/>
        <v>218</v>
      </c>
      <c r="T291" s="174">
        <f>VLOOKUP(D291,原始分!$D:$N,10,0)</f>
        <v>54</v>
      </c>
      <c r="U291" s="174">
        <f t="shared" si="59"/>
        <v>60</v>
      </c>
      <c r="V291" s="174">
        <f>VLOOKUP(D291,原始分!$D:$N,11,0)</f>
        <v>0</v>
      </c>
      <c r="W291" s="174">
        <f t="shared" si="60"/>
        <v>461</v>
      </c>
      <c r="X291" s="11">
        <f t="shared" si="61"/>
        <v>302</v>
      </c>
      <c r="Y291" s="9">
        <f t="shared" si="62"/>
        <v>261</v>
      </c>
      <c r="Z291" s="11">
        <f t="shared" si="63"/>
        <v>448</v>
      </c>
      <c r="AA291" s="9">
        <f t="shared" si="64"/>
        <v>289</v>
      </c>
    </row>
    <row r="292" ht="14.25" spans="1:27">
      <c r="A292" s="13">
        <v>230</v>
      </c>
      <c r="B292" s="15">
        <v>5</v>
      </c>
      <c r="C292" s="16">
        <v>27</v>
      </c>
      <c r="D292" s="17" t="s">
        <v>473</v>
      </c>
      <c r="E292" s="17" t="s">
        <v>474</v>
      </c>
      <c r="F292" s="174">
        <f>VLOOKUP(D292,原始分!$D:$N,3,0)</f>
        <v>98</v>
      </c>
      <c r="G292" s="174">
        <f t="shared" si="52"/>
        <v>349</v>
      </c>
      <c r="H292" s="174">
        <f>VLOOKUP(D292,原始分!$D:$N,4,0)</f>
        <v>119</v>
      </c>
      <c r="I292" s="174">
        <f t="shared" si="53"/>
        <v>70</v>
      </c>
      <c r="J292" s="174">
        <f>VLOOKUP(D292,原始分!$D:$N,5,0)</f>
        <v>84.25</v>
      </c>
      <c r="K292" s="174">
        <f t="shared" si="54"/>
        <v>500</v>
      </c>
      <c r="L292" s="174">
        <f>VLOOKUP(D292,原始分!$D:$N,6,0)</f>
        <v>61.5</v>
      </c>
      <c r="M292" s="174">
        <f t="shared" si="55"/>
        <v>164</v>
      </c>
      <c r="N292" s="174">
        <f>VLOOKUP(D292,原始分!$D:$N,7,0)</f>
        <v>0</v>
      </c>
      <c r="O292" s="174">
        <f t="shared" si="56"/>
        <v>1</v>
      </c>
      <c r="P292" s="174">
        <f>VLOOKUP(D292,原始分!$D:$N,8,0)</f>
        <v>34.5</v>
      </c>
      <c r="Q292" s="174">
        <f t="shared" si="57"/>
        <v>407</v>
      </c>
      <c r="R292" s="174">
        <f>VLOOKUP(D292,原始分!$D:$N,9,0)</f>
        <v>50.5</v>
      </c>
      <c r="S292" s="174">
        <f t="shared" si="58"/>
        <v>90</v>
      </c>
      <c r="T292" s="174">
        <f>VLOOKUP(D292,原始分!$D:$N,10,0)</f>
        <v>0</v>
      </c>
      <c r="U292" s="174">
        <f t="shared" si="59"/>
        <v>112</v>
      </c>
      <c r="V292" s="174">
        <f>VLOOKUP(D292,原始分!$D:$N,11,0)</f>
        <v>0</v>
      </c>
      <c r="W292" s="174">
        <f t="shared" si="60"/>
        <v>461</v>
      </c>
      <c r="X292" s="11">
        <f t="shared" si="61"/>
        <v>301.25</v>
      </c>
      <c r="Y292" s="9">
        <f t="shared" si="62"/>
        <v>268</v>
      </c>
      <c r="Z292" s="11">
        <f t="shared" si="63"/>
        <v>447.75</v>
      </c>
      <c r="AA292" s="9">
        <f t="shared" si="64"/>
        <v>290</v>
      </c>
    </row>
    <row r="293" ht="14.25" spans="1:27">
      <c r="A293" s="13">
        <v>32</v>
      </c>
      <c r="B293" s="15">
        <v>1</v>
      </c>
      <c r="C293" s="16">
        <v>34</v>
      </c>
      <c r="D293" s="17" t="s">
        <v>78</v>
      </c>
      <c r="E293" s="17" t="s">
        <v>79</v>
      </c>
      <c r="F293" s="174">
        <f>VLOOKUP(D293,原始分!$D:$N,3,0)</f>
        <v>100.5</v>
      </c>
      <c r="G293" s="174">
        <f t="shared" si="52"/>
        <v>252</v>
      </c>
      <c r="H293" s="174">
        <f>VLOOKUP(D293,原始分!$D:$N,4,0)</f>
        <v>113</v>
      </c>
      <c r="I293" s="174">
        <f t="shared" si="53"/>
        <v>143</v>
      </c>
      <c r="J293" s="174">
        <f>VLOOKUP(D293,原始分!$D:$N,5,0)</f>
        <v>95.5</v>
      </c>
      <c r="K293" s="174">
        <f t="shared" si="54"/>
        <v>332</v>
      </c>
      <c r="L293" s="174">
        <f>VLOOKUP(D293,原始分!$D:$N,6,0)</f>
        <v>47.5</v>
      </c>
      <c r="M293" s="174">
        <f t="shared" si="55"/>
        <v>382</v>
      </c>
      <c r="N293" s="174">
        <f>VLOOKUP(D293,原始分!$D:$N,7,0)</f>
        <v>0</v>
      </c>
      <c r="O293" s="174">
        <f t="shared" si="56"/>
        <v>1</v>
      </c>
      <c r="P293" s="174">
        <f>VLOOKUP(D293,原始分!$D:$N,8,0)</f>
        <v>34</v>
      </c>
      <c r="Q293" s="174">
        <f t="shared" si="57"/>
        <v>412</v>
      </c>
      <c r="R293" s="174">
        <f>VLOOKUP(D293,原始分!$D:$N,9,0)</f>
        <v>0</v>
      </c>
      <c r="S293" s="174">
        <f t="shared" si="58"/>
        <v>218</v>
      </c>
      <c r="T293" s="174">
        <f>VLOOKUP(D293,原始分!$D:$N,10,0)</f>
        <v>57</v>
      </c>
      <c r="U293" s="174">
        <f t="shared" si="59"/>
        <v>40</v>
      </c>
      <c r="V293" s="174">
        <f>VLOOKUP(D293,原始分!$D:$N,11,0)</f>
        <v>0</v>
      </c>
      <c r="W293" s="174">
        <f t="shared" si="60"/>
        <v>461</v>
      </c>
      <c r="X293" s="11">
        <f t="shared" si="61"/>
        <v>309</v>
      </c>
      <c r="Y293" s="9">
        <f t="shared" si="62"/>
        <v>203</v>
      </c>
      <c r="Z293" s="11">
        <f t="shared" si="63"/>
        <v>447.5</v>
      </c>
      <c r="AA293" s="9">
        <f t="shared" si="64"/>
        <v>291</v>
      </c>
    </row>
    <row r="294" ht="14.25" spans="1:27">
      <c r="A294" s="13">
        <v>57</v>
      </c>
      <c r="B294" s="15">
        <v>1</v>
      </c>
      <c r="C294" s="16">
        <v>59</v>
      </c>
      <c r="D294" s="17" t="s">
        <v>128</v>
      </c>
      <c r="E294" s="17" t="s">
        <v>129</v>
      </c>
      <c r="F294" s="174">
        <f>VLOOKUP(D294,原始分!$D:$N,3,0)</f>
        <v>104</v>
      </c>
      <c r="G294" s="174">
        <f t="shared" si="52"/>
        <v>130</v>
      </c>
      <c r="H294" s="174">
        <f>VLOOKUP(D294,原始分!$D:$N,4,0)</f>
        <v>103.5</v>
      </c>
      <c r="I294" s="174">
        <f t="shared" si="53"/>
        <v>302</v>
      </c>
      <c r="J294" s="174">
        <f>VLOOKUP(D294,原始分!$D:$N,5,0)</f>
        <v>115.25</v>
      </c>
      <c r="K294" s="174">
        <f t="shared" si="54"/>
        <v>54</v>
      </c>
      <c r="L294" s="174">
        <f>VLOOKUP(D294,原始分!$D:$N,6,0)</f>
        <v>46.5</v>
      </c>
      <c r="M294" s="174">
        <f t="shared" si="55"/>
        <v>404</v>
      </c>
      <c r="N294" s="174">
        <f>VLOOKUP(D294,原始分!$D:$N,7,0)</f>
        <v>0</v>
      </c>
      <c r="O294" s="174">
        <f t="shared" si="56"/>
        <v>1</v>
      </c>
      <c r="P294" s="174">
        <f>VLOOKUP(D294,原始分!$D:$N,8,0)</f>
        <v>31</v>
      </c>
      <c r="Q294" s="174">
        <f t="shared" si="57"/>
        <v>463</v>
      </c>
      <c r="R294" s="174">
        <f>VLOOKUP(D294,原始分!$D:$N,9,0)</f>
        <v>0</v>
      </c>
      <c r="S294" s="174">
        <f t="shared" si="58"/>
        <v>218</v>
      </c>
      <c r="T294" s="174">
        <f>VLOOKUP(D294,原始分!$D:$N,10,0)</f>
        <v>47.25</v>
      </c>
      <c r="U294" s="174">
        <f t="shared" si="59"/>
        <v>94</v>
      </c>
      <c r="V294" s="174">
        <f>VLOOKUP(D294,原始分!$D:$N,11,0)</f>
        <v>0</v>
      </c>
      <c r="W294" s="174">
        <f t="shared" si="60"/>
        <v>461</v>
      </c>
      <c r="X294" s="11">
        <f t="shared" si="61"/>
        <v>322.75</v>
      </c>
      <c r="Y294" s="9">
        <f t="shared" si="62"/>
        <v>101</v>
      </c>
      <c r="Z294" s="11">
        <f t="shared" si="63"/>
        <v>447.5</v>
      </c>
      <c r="AA294" s="9">
        <f t="shared" si="64"/>
        <v>291</v>
      </c>
    </row>
    <row r="295" ht="14.25" spans="1:27">
      <c r="A295" s="13">
        <v>442</v>
      </c>
      <c r="B295" s="15">
        <v>10</v>
      </c>
      <c r="C295" s="16">
        <v>3</v>
      </c>
      <c r="D295" s="17" t="s">
        <v>894</v>
      </c>
      <c r="E295" s="17" t="s">
        <v>895</v>
      </c>
      <c r="F295" s="174">
        <f>VLOOKUP(D295,原始分!$D:$N,3,0)</f>
        <v>103</v>
      </c>
      <c r="G295" s="174">
        <f t="shared" si="52"/>
        <v>168</v>
      </c>
      <c r="H295" s="174">
        <f>VLOOKUP(D295,原始分!$D:$N,4,0)</f>
        <v>86.5</v>
      </c>
      <c r="I295" s="174">
        <f t="shared" si="53"/>
        <v>543</v>
      </c>
      <c r="J295" s="174">
        <f>VLOOKUP(D295,原始分!$D:$N,5,0)</f>
        <v>106.5</v>
      </c>
      <c r="K295" s="174">
        <f t="shared" si="54"/>
        <v>145</v>
      </c>
      <c r="L295" s="174">
        <f>VLOOKUP(D295,原始分!$D:$N,6,0)</f>
        <v>44</v>
      </c>
      <c r="M295" s="174">
        <f t="shared" si="55"/>
        <v>441</v>
      </c>
      <c r="N295" s="174">
        <f>VLOOKUP(D295,原始分!$D:$N,7,0)</f>
        <v>0</v>
      </c>
      <c r="O295" s="174">
        <f t="shared" si="56"/>
        <v>1</v>
      </c>
      <c r="P295" s="174">
        <f>VLOOKUP(D295,原始分!$D:$N,8,0)</f>
        <v>38.5</v>
      </c>
      <c r="Q295" s="174">
        <f t="shared" si="57"/>
        <v>353</v>
      </c>
      <c r="R295" s="174">
        <f>VLOOKUP(D295,原始分!$D:$N,9,0)</f>
        <v>0</v>
      </c>
      <c r="S295" s="174">
        <f t="shared" si="58"/>
        <v>218</v>
      </c>
      <c r="T295" s="174">
        <f>VLOOKUP(D295,原始分!$D:$N,10,0)</f>
        <v>0</v>
      </c>
      <c r="U295" s="174">
        <f t="shared" si="59"/>
        <v>112</v>
      </c>
      <c r="V295" s="174">
        <f>VLOOKUP(D295,原始分!$D:$N,11,0)</f>
        <v>69</v>
      </c>
      <c r="W295" s="174">
        <f t="shared" si="60"/>
        <v>16</v>
      </c>
      <c r="X295" s="11">
        <f t="shared" si="61"/>
        <v>296</v>
      </c>
      <c r="Y295" s="9">
        <f t="shared" si="62"/>
        <v>307</v>
      </c>
      <c r="Z295" s="11">
        <f t="shared" si="63"/>
        <v>447.5</v>
      </c>
      <c r="AA295" s="9">
        <f t="shared" si="64"/>
        <v>291</v>
      </c>
    </row>
    <row r="296" ht="14.25" spans="1:27">
      <c r="A296" s="13">
        <v>518</v>
      </c>
      <c r="B296" s="15">
        <v>11</v>
      </c>
      <c r="C296" s="16">
        <v>22</v>
      </c>
      <c r="D296" s="17" t="s">
        <v>1046</v>
      </c>
      <c r="E296" s="17" t="s">
        <v>1047</v>
      </c>
      <c r="F296" s="174">
        <f>VLOOKUP(D296,原始分!$D:$N,3,0)</f>
        <v>94.5</v>
      </c>
      <c r="G296" s="174">
        <f t="shared" si="52"/>
        <v>461</v>
      </c>
      <c r="H296" s="174">
        <f>VLOOKUP(D296,原始分!$D:$N,4,0)</f>
        <v>84</v>
      </c>
      <c r="I296" s="174">
        <f t="shared" si="53"/>
        <v>567</v>
      </c>
      <c r="J296" s="174">
        <f>VLOOKUP(D296,原始分!$D:$N,5,0)</f>
        <v>99.5</v>
      </c>
      <c r="K296" s="174">
        <f t="shared" si="54"/>
        <v>256</v>
      </c>
      <c r="L296" s="174">
        <f>VLOOKUP(D296,原始分!$D:$N,6,0)</f>
        <v>62.5</v>
      </c>
      <c r="M296" s="174">
        <f t="shared" si="55"/>
        <v>152</v>
      </c>
      <c r="N296" s="174">
        <f>VLOOKUP(D296,原始分!$D:$N,7,0)</f>
        <v>0</v>
      </c>
      <c r="O296" s="174">
        <f t="shared" si="56"/>
        <v>1</v>
      </c>
      <c r="P296" s="174">
        <f>VLOOKUP(D296,原始分!$D:$N,8,0)</f>
        <v>50.5</v>
      </c>
      <c r="Q296" s="174">
        <f t="shared" si="57"/>
        <v>100</v>
      </c>
      <c r="R296" s="174">
        <f>VLOOKUP(D296,原始分!$D:$N,9,0)</f>
        <v>0</v>
      </c>
      <c r="S296" s="174">
        <f t="shared" si="58"/>
        <v>218</v>
      </c>
      <c r="T296" s="174">
        <f>VLOOKUP(D296,原始分!$D:$N,10,0)</f>
        <v>0</v>
      </c>
      <c r="U296" s="174">
        <f t="shared" si="59"/>
        <v>112</v>
      </c>
      <c r="V296" s="174">
        <f>VLOOKUP(D296,原始分!$D:$N,11,0)</f>
        <v>56.5</v>
      </c>
      <c r="W296" s="174">
        <f t="shared" si="60"/>
        <v>125</v>
      </c>
      <c r="X296" s="11">
        <f t="shared" si="61"/>
        <v>278</v>
      </c>
      <c r="Y296" s="9">
        <f t="shared" si="62"/>
        <v>469</v>
      </c>
      <c r="Z296" s="11">
        <f t="shared" si="63"/>
        <v>447.5</v>
      </c>
      <c r="AA296" s="9">
        <f t="shared" si="64"/>
        <v>291</v>
      </c>
    </row>
    <row r="297" ht="14.25" spans="1:27">
      <c r="A297" s="13">
        <v>572</v>
      </c>
      <c r="B297" s="15">
        <v>12</v>
      </c>
      <c r="C297" s="16">
        <v>19</v>
      </c>
      <c r="D297" s="17" t="s">
        <v>1152</v>
      </c>
      <c r="E297" s="17" t="s">
        <v>1153</v>
      </c>
      <c r="F297" s="174">
        <f>VLOOKUP(D297,原始分!$D:$N,3,0)</f>
        <v>99</v>
      </c>
      <c r="G297" s="174">
        <f t="shared" si="52"/>
        <v>304</v>
      </c>
      <c r="H297" s="174">
        <f>VLOOKUP(D297,原始分!$D:$N,4,0)</f>
        <v>99.5</v>
      </c>
      <c r="I297" s="174">
        <f t="shared" si="53"/>
        <v>354</v>
      </c>
      <c r="J297" s="174">
        <f>VLOOKUP(D297,原始分!$D:$N,5,0)</f>
        <v>107.5</v>
      </c>
      <c r="K297" s="174">
        <f t="shared" si="54"/>
        <v>130</v>
      </c>
      <c r="L297" s="174">
        <f>VLOOKUP(D297,原始分!$D:$N,6,0)</f>
        <v>48</v>
      </c>
      <c r="M297" s="174">
        <f t="shared" si="55"/>
        <v>375</v>
      </c>
      <c r="N297" s="174">
        <f>VLOOKUP(D297,原始分!$D:$N,7,0)</f>
        <v>0</v>
      </c>
      <c r="O297" s="174">
        <f t="shared" si="56"/>
        <v>1</v>
      </c>
      <c r="P297" s="174">
        <f>VLOOKUP(D297,原始分!$D:$N,8,0)</f>
        <v>46</v>
      </c>
      <c r="Q297" s="174">
        <f t="shared" si="57"/>
        <v>193</v>
      </c>
      <c r="R297" s="174">
        <f>VLOOKUP(D297,原始分!$D:$N,9,0)</f>
        <v>0</v>
      </c>
      <c r="S297" s="174">
        <f t="shared" si="58"/>
        <v>218</v>
      </c>
      <c r="T297" s="174">
        <f>VLOOKUP(D297,原始分!$D:$N,10,0)</f>
        <v>0</v>
      </c>
      <c r="U297" s="174">
        <f t="shared" si="59"/>
        <v>112</v>
      </c>
      <c r="V297" s="174">
        <f>VLOOKUP(D297,原始分!$D:$N,11,0)</f>
        <v>47</v>
      </c>
      <c r="W297" s="174">
        <f t="shared" si="60"/>
        <v>296</v>
      </c>
      <c r="X297" s="11">
        <f t="shared" si="61"/>
        <v>306</v>
      </c>
      <c r="Y297" s="9">
        <f t="shared" si="62"/>
        <v>227</v>
      </c>
      <c r="Z297" s="11">
        <f t="shared" si="63"/>
        <v>447</v>
      </c>
      <c r="AA297" s="9">
        <f t="shared" si="64"/>
        <v>295</v>
      </c>
    </row>
    <row r="298" ht="14.25" spans="1:27">
      <c r="A298" s="13">
        <v>138</v>
      </c>
      <c r="B298" s="15">
        <v>3</v>
      </c>
      <c r="C298" s="16">
        <v>27</v>
      </c>
      <c r="D298" s="17" t="s">
        <v>289</v>
      </c>
      <c r="E298" s="17" t="s">
        <v>290</v>
      </c>
      <c r="F298" s="174">
        <f>VLOOKUP(D298,原始分!$D:$N,3,0)</f>
        <v>96.75</v>
      </c>
      <c r="G298" s="174">
        <f t="shared" si="52"/>
        <v>397</v>
      </c>
      <c r="H298" s="174">
        <f>VLOOKUP(D298,原始分!$D:$N,4,0)</f>
        <v>114.5</v>
      </c>
      <c r="I298" s="174">
        <f t="shared" si="53"/>
        <v>122</v>
      </c>
      <c r="J298" s="174">
        <f>VLOOKUP(D298,原始分!$D:$N,5,0)</f>
        <v>97</v>
      </c>
      <c r="K298" s="174">
        <f t="shared" si="54"/>
        <v>305</v>
      </c>
      <c r="L298" s="174">
        <f>VLOOKUP(D298,原始分!$D:$N,6,0)</f>
        <v>59</v>
      </c>
      <c r="M298" s="174">
        <f t="shared" si="55"/>
        <v>203</v>
      </c>
      <c r="N298" s="174">
        <f>VLOOKUP(D298,原始分!$D:$N,7,0)</f>
        <v>0</v>
      </c>
      <c r="O298" s="174">
        <f t="shared" si="56"/>
        <v>1</v>
      </c>
      <c r="P298" s="174">
        <f>VLOOKUP(D298,原始分!$D:$N,8,0)</f>
        <v>31.5</v>
      </c>
      <c r="Q298" s="174">
        <f t="shared" si="57"/>
        <v>459</v>
      </c>
      <c r="R298" s="174">
        <f>VLOOKUP(D298,原始分!$D:$N,9,0)</f>
        <v>48</v>
      </c>
      <c r="S298" s="174">
        <f t="shared" si="58"/>
        <v>122</v>
      </c>
      <c r="T298" s="174">
        <f>VLOOKUP(D298,原始分!$D:$N,10,0)</f>
        <v>0</v>
      </c>
      <c r="U298" s="174">
        <f t="shared" si="59"/>
        <v>112</v>
      </c>
      <c r="V298" s="174">
        <f>VLOOKUP(D298,原始分!$D:$N,11,0)</f>
        <v>0</v>
      </c>
      <c r="W298" s="174">
        <f t="shared" si="60"/>
        <v>461</v>
      </c>
      <c r="X298" s="11">
        <f t="shared" si="61"/>
        <v>308.25</v>
      </c>
      <c r="Y298" s="9">
        <f t="shared" si="62"/>
        <v>212</v>
      </c>
      <c r="Z298" s="11">
        <f t="shared" si="63"/>
        <v>446.75</v>
      </c>
      <c r="AA298" s="9">
        <f t="shared" si="64"/>
        <v>296</v>
      </c>
    </row>
    <row r="299" ht="14.25" spans="1:27">
      <c r="A299" s="13">
        <v>177</v>
      </c>
      <c r="B299" s="15">
        <v>4</v>
      </c>
      <c r="C299" s="16">
        <v>18</v>
      </c>
      <c r="D299" s="17" t="s">
        <v>367</v>
      </c>
      <c r="E299" s="17" t="s">
        <v>368</v>
      </c>
      <c r="F299" s="174">
        <f>VLOOKUP(D299,原始分!$D:$N,3,0)</f>
        <v>98</v>
      </c>
      <c r="G299" s="174">
        <f t="shared" si="52"/>
        <v>349</v>
      </c>
      <c r="H299" s="174">
        <f>VLOOKUP(D299,原始分!$D:$N,4,0)</f>
        <v>86</v>
      </c>
      <c r="I299" s="174">
        <f t="shared" si="53"/>
        <v>550</v>
      </c>
      <c r="J299" s="174">
        <f>VLOOKUP(D299,原始分!$D:$N,5,0)</f>
        <v>99.5</v>
      </c>
      <c r="K299" s="174">
        <f t="shared" si="54"/>
        <v>256</v>
      </c>
      <c r="L299" s="174">
        <f>VLOOKUP(D299,原始分!$D:$N,6,0)</f>
        <v>56</v>
      </c>
      <c r="M299" s="174">
        <f t="shared" si="55"/>
        <v>252</v>
      </c>
      <c r="N299" s="174">
        <f>VLOOKUP(D299,原始分!$D:$N,7,0)</f>
        <v>0</v>
      </c>
      <c r="O299" s="174">
        <f t="shared" si="56"/>
        <v>1</v>
      </c>
      <c r="P299" s="174">
        <f>VLOOKUP(D299,原始分!$D:$N,8,0)</f>
        <v>50</v>
      </c>
      <c r="Q299" s="174">
        <f t="shared" si="57"/>
        <v>108</v>
      </c>
      <c r="R299" s="174">
        <f>VLOOKUP(D299,原始分!$D:$N,9,0)</f>
        <v>57</v>
      </c>
      <c r="S299" s="174">
        <f t="shared" si="58"/>
        <v>29</v>
      </c>
      <c r="T299" s="174">
        <f>VLOOKUP(D299,原始分!$D:$N,10,0)</f>
        <v>0</v>
      </c>
      <c r="U299" s="174">
        <f t="shared" si="59"/>
        <v>112</v>
      </c>
      <c r="V299" s="174">
        <f>VLOOKUP(D299,原始分!$D:$N,11,0)</f>
        <v>0</v>
      </c>
      <c r="W299" s="174">
        <f t="shared" si="60"/>
        <v>461</v>
      </c>
      <c r="X299" s="11">
        <f t="shared" si="61"/>
        <v>283.5</v>
      </c>
      <c r="Y299" s="9">
        <f t="shared" si="62"/>
        <v>412</v>
      </c>
      <c r="Z299" s="11">
        <f t="shared" si="63"/>
        <v>446.5</v>
      </c>
      <c r="AA299" s="9">
        <f t="shared" si="64"/>
        <v>297</v>
      </c>
    </row>
    <row r="300" ht="14.25" spans="1:27">
      <c r="A300" s="13">
        <v>445</v>
      </c>
      <c r="B300" s="15">
        <v>10</v>
      </c>
      <c r="C300" s="16">
        <v>6</v>
      </c>
      <c r="D300" s="17" t="s">
        <v>900</v>
      </c>
      <c r="E300" s="17" t="s">
        <v>901</v>
      </c>
      <c r="F300" s="174">
        <f>VLOOKUP(D300,原始分!$D:$N,3,0)</f>
        <v>111.75</v>
      </c>
      <c r="G300" s="174">
        <f t="shared" si="52"/>
        <v>16</v>
      </c>
      <c r="H300" s="174">
        <f>VLOOKUP(D300,原始分!$D:$N,4,0)</f>
        <v>91</v>
      </c>
      <c r="I300" s="174">
        <f t="shared" si="53"/>
        <v>479</v>
      </c>
      <c r="J300" s="174">
        <f>VLOOKUP(D300,原始分!$D:$N,5,0)</f>
        <v>83</v>
      </c>
      <c r="K300" s="174">
        <f t="shared" si="54"/>
        <v>512</v>
      </c>
      <c r="L300" s="174">
        <f>VLOOKUP(D300,原始分!$D:$N,6,0)</f>
        <v>60.5</v>
      </c>
      <c r="M300" s="174">
        <f t="shared" si="55"/>
        <v>180</v>
      </c>
      <c r="N300" s="174">
        <f>VLOOKUP(D300,原始分!$D:$N,7,0)</f>
        <v>0</v>
      </c>
      <c r="O300" s="174">
        <f t="shared" si="56"/>
        <v>1</v>
      </c>
      <c r="P300" s="174">
        <f>VLOOKUP(D300,原始分!$D:$N,8,0)</f>
        <v>43</v>
      </c>
      <c r="Q300" s="174">
        <f t="shared" si="57"/>
        <v>247</v>
      </c>
      <c r="R300" s="174">
        <f>VLOOKUP(D300,原始分!$D:$N,9,0)</f>
        <v>0</v>
      </c>
      <c r="S300" s="174">
        <f t="shared" si="58"/>
        <v>218</v>
      </c>
      <c r="T300" s="174">
        <f>VLOOKUP(D300,原始分!$D:$N,10,0)</f>
        <v>0</v>
      </c>
      <c r="U300" s="174">
        <f t="shared" si="59"/>
        <v>112</v>
      </c>
      <c r="V300" s="174">
        <f>VLOOKUP(D300,原始分!$D:$N,11,0)</f>
        <v>57</v>
      </c>
      <c r="W300" s="174">
        <f t="shared" si="60"/>
        <v>112</v>
      </c>
      <c r="X300" s="11">
        <f t="shared" si="61"/>
        <v>285.75</v>
      </c>
      <c r="Y300" s="9">
        <f t="shared" si="62"/>
        <v>396</v>
      </c>
      <c r="Z300" s="11">
        <f t="shared" si="63"/>
        <v>446.25</v>
      </c>
      <c r="AA300" s="9">
        <f t="shared" si="64"/>
        <v>298</v>
      </c>
    </row>
    <row r="301" ht="14.25" spans="1:27">
      <c r="A301" s="13">
        <v>217</v>
      </c>
      <c r="B301" s="15">
        <v>5</v>
      </c>
      <c r="C301" s="16">
        <v>14</v>
      </c>
      <c r="D301" s="17" t="s">
        <v>447</v>
      </c>
      <c r="E301" s="17" t="s">
        <v>448</v>
      </c>
      <c r="F301" s="174">
        <f>VLOOKUP(D301,原始分!$D:$N,3,0)</f>
        <v>102</v>
      </c>
      <c r="G301" s="174">
        <f t="shared" si="52"/>
        <v>199</v>
      </c>
      <c r="H301" s="174">
        <f>VLOOKUP(D301,原始分!$D:$N,4,0)</f>
        <v>99.5</v>
      </c>
      <c r="I301" s="174">
        <f t="shared" si="53"/>
        <v>354</v>
      </c>
      <c r="J301" s="174">
        <f>VLOOKUP(D301,原始分!$D:$N,5,0)</f>
        <v>101.5</v>
      </c>
      <c r="K301" s="174">
        <f t="shared" si="54"/>
        <v>217</v>
      </c>
      <c r="L301" s="174">
        <f>VLOOKUP(D301,原始分!$D:$N,6,0)</f>
        <v>41</v>
      </c>
      <c r="M301" s="174">
        <f t="shared" si="55"/>
        <v>490</v>
      </c>
      <c r="N301" s="174">
        <f>VLOOKUP(D301,原始分!$D:$N,7,0)</f>
        <v>0</v>
      </c>
      <c r="O301" s="174">
        <f t="shared" si="56"/>
        <v>1</v>
      </c>
      <c r="P301" s="174">
        <f>VLOOKUP(D301,原始分!$D:$N,8,0)</f>
        <v>55.5</v>
      </c>
      <c r="Q301" s="174">
        <f t="shared" si="57"/>
        <v>47</v>
      </c>
      <c r="R301" s="174">
        <f>VLOOKUP(D301,原始分!$D:$N,9,0)</f>
        <v>46.5</v>
      </c>
      <c r="S301" s="174">
        <f t="shared" si="58"/>
        <v>137</v>
      </c>
      <c r="T301" s="174">
        <f>VLOOKUP(D301,原始分!$D:$N,10,0)</f>
        <v>0</v>
      </c>
      <c r="U301" s="174">
        <f t="shared" si="59"/>
        <v>112</v>
      </c>
      <c r="V301" s="174">
        <f>VLOOKUP(D301,原始分!$D:$N,11,0)</f>
        <v>0</v>
      </c>
      <c r="W301" s="174">
        <f t="shared" si="60"/>
        <v>461</v>
      </c>
      <c r="X301" s="11">
        <f t="shared" si="61"/>
        <v>303</v>
      </c>
      <c r="Y301" s="9">
        <f t="shared" si="62"/>
        <v>251</v>
      </c>
      <c r="Z301" s="11">
        <f t="shared" si="63"/>
        <v>446</v>
      </c>
      <c r="AA301" s="9">
        <f t="shared" si="64"/>
        <v>299</v>
      </c>
    </row>
    <row r="302" ht="14.25" spans="1:27">
      <c r="A302" s="13">
        <v>275</v>
      </c>
      <c r="B302" s="15">
        <v>6</v>
      </c>
      <c r="C302" s="16">
        <v>27</v>
      </c>
      <c r="D302" s="17" t="s">
        <v>561</v>
      </c>
      <c r="E302" s="17" t="s">
        <v>562</v>
      </c>
      <c r="F302" s="174">
        <f>VLOOKUP(D302,原始分!$D:$N,3,0)</f>
        <v>96.25</v>
      </c>
      <c r="G302" s="174">
        <f t="shared" si="52"/>
        <v>405</v>
      </c>
      <c r="H302" s="174">
        <f>VLOOKUP(D302,原始分!$D:$N,4,0)</f>
        <v>98.5</v>
      </c>
      <c r="I302" s="174">
        <f t="shared" si="53"/>
        <v>366</v>
      </c>
      <c r="J302" s="174">
        <f>VLOOKUP(D302,原始分!$D:$N,5,0)</f>
        <v>100</v>
      </c>
      <c r="K302" s="174">
        <f t="shared" si="54"/>
        <v>243</v>
      </c>
      <c r="L302" s="174">
        <f>VLOOKUP(D302,原始分!$D:$N,6,0)</f>
        <v>54</v>
      </c>
      <c r="M302" s="174">
        <f t="shared" si="55"/>
        <v>289</v>
      </c>
      <c r="N302" s="174">
        <f>VLOOKUP(D302,原始分!$D:$N,7,0)</f>
        <v>0</v>
      </c>
      <c r="O302" s="174">
        <f t="shared" si="56"/>
        <v>1</v>
      </c>
      <c r="P302" s="174">
        <f>VLOOKUP(D302,原始分!$D:$N,8,0)</f>
        <v>0</v>
      </c>
      <c r="Q302" s="174">
        <f t="shared" si="57"/>
        <v>539</v>
      </c>
      <c r="R302" s="174">
        <f>VLOOKUP(D302,原始分!$D:$N,9,0)</f>
        <v>46.5</v>
      </c>
      <c r="S302" s="174">
        <f t="shared" si="58"/>
        <v>137</v>
      </c>
      <c r="T302" s="174">
        <f>VLOOKUP(D302,原始分!$D:$N,10,0)</f>
        <v>0</v>
      </c>
      <c r="U302" s="174">
        <f t="shared" si="59"/>
        <v>112</v>
      </c>
      <c r="V302" s="174">
        <f>VLOOKUP(D302,原始分!$D:$N,11,0)</f>
        <v>50.75</v>
      </c>
      <c r="W302" s="174">
        <f t="shared" si="60"/>
        <v>238</v>
      </c>
      <c r="X302" s="11">
        <f t="shared" si="61"/>
        <v>294.75</v>
      </c>
      <c r="Y302" s="9">
        <f t="shared" si="62"/>
        <v>319</v>
      </c>
      <c r="Z302" s="11">
        <f t="shared" si="63"/>
        <v>446</v>
      </c>
      <c r="AA302" s="9">
        <f t="shared" si="64"/>
        <v>299</v>
      </c>
    </row>
    <row r="303" ht="14.25" spans="1:27">
      <c r="A303" s="13">
        <v>342</v>
      </c>
      <c r="B303" s="15">
        <v>8</v>
      </c>
      <c r="C303" s="16">
        <v>14</v>
      </c>
      <c r="D303" s="17" t="s">
        <v>695</v>
      </c>
      <c r="E303" s="17" t="s">
        <v>696</v>
      </c>
      <c r="F303" s="174">
        <f>VLOOKUP(D303,原始分!$D:$N,3,0)</f>
        <v>103.5</v>
      </c>
      <c r="G303" s="174">
        <f t="shared" si="52"/>
        <v>146</v>
      </c>
      <c r="H303" s="174">
        <f>VLOOKUP(D303,原始分!$D:$N,4,0)</f>
        <v>97</v>
      </c>
      <c r="I303" s="174">
        <f t="shared" si="53"/>
        <v>393</v>
      </c>
      <c r="J303" s="174">
        <f>VLOOKUP(D303,原始分!$D:$N,5,0)</f>
        <v>102.5</v>
      </c>
      <c r="K303" s="174">
        <f t="shared" si="54"/>
        <v>206</v>
      </c>
      <c r="L303" s="174">
        <f>VLOOKUP(D303,原始分!$D:$N,6,0)</f>
        <v>55</v>
      </c>
      <c r="M303" s="174">
        <f t="shared" si="55"/>
        <v>269</v>
      </c>
      <c r="N303" s="174">
        <f>VLOOKUP(D303,原始分!$D:$N,7,0)</f>
        <v>0</v>
      </c>
      <c r="O303" s="174">
        <f t="shared" si="56"/>
        <v>1</v>
      </c>
      <c r="P303" s="174">
        <f>VLOOKUP(D303,原始分!$D:$N,8,0)</f>
        <v>34</v>
      </c>
      <c r="Q303" s="174">
        <f t="shared" si="57"/>
        <v>412</v>
      </c>
      <c r="R303" s="174">
        <f>VLOOKUP(D303,原始分!$D:$N,9,0)</f>
        <v>0</v>
      </c>
      <c r="S303" s="174">
        <f t="shared" si="58"/>
        <v>218</v>
      </c>
      <c r="T303" s="174">
        <f>VLOOKUP(D303,原始分!$D:$N,10,0)</f>
        <v>0</v>
      </c>
      <c r="U303" s="174">
        <f t="shared" si="59"/>
        <v>112</v>
      </c>
      <c r="V303" s="174">
        <f>VLOOKUP(D303,原始分!$D:$N,11,0)</f>
        <v>54</v>
      </c>
      <c r="W303" s="174">
        <f t="shared" si="60"/>
        <v>164</v>
      </c>
      <c r="X303" s="11">
        <f t="shared" si="61"/>
        <v>303</v>
      </c>
      <c r="Y303" s="9">
        <f t="shared" si="62"/>
        <v>251</v>
      </c>
      <c r="Z303" s="11">
        <f t="shared" si="63"/>
        <v>446</v>
      </c>
      <c r="AA303" s="9">
        <f t="shared" si="64"/>
        <v>299</v>
      </c>
    </row>
    <row r="304" ht="14.25" spans="1:27">
      <c r="A304" s="13">
        <v>64</v>
      </c>
      <c r="B304" s="15">
        <v>2</v>
      </c>
      <c r="C304" s="16">
        <v>1</v>
      </c>
      <c r="D304" s="17" t="s">
        <v>142</v>
      </c>
      <c r="E304" s="17" t="s">
        <v>143</v>
      </c>
      <c r="F304" s="174">
        <f>VLOOKUP(D304,原始分!$D:$N,3,0)</f>
        <v>112.5</v>
      </c>
      <c r="G304" s="174">
        <f t="shared" si="52"/>
        <v>12</v>
      </c>
      <c r="H304" s="174">
        <f>VLOOKUP(D304,原始分!$D:$N,4,0)</f>
        <v>84</v>
      </c>
      <c r="I304" s="174">
        <f t="shared" si="53"/>
        <v>567</v>
      </c>
      <c r="J304" s="174">
        <f>VLOOKUP(D304,原始分!$D:$N,5,0)</f>
        <v>103.75</v>
      </c>
      <c r="K304" s="174">
        <f t="shared" si="54"/>
        <v>191</v>
      </c>
      <c r="L304" s="174">
        <f>VLOOKUP(D304,原始分!$D:$N,6,0)</f>
        <v>42</v>
      </c>
      <c r="M304" s="174">
        <f t="shared" si="55"/>
        <v>476</v>
      </c>
      <c r="N304" s="174">
        <f>VLOOKUP(D304,原始分!$D:$N,7,0)</f>
        <v>0</v>
      </c>
      <c r="O304" s="174">
        <f t="shared" si="56"/>
        <v>1</v>
      </c>
      <c r="P304" s="174">
        <f>VLOOKUP(D304,原始分!$D:$N,8,0)</f>
        <v>0</v>
      </c>
      <c r="Q304" s="174">
        <f t="shared" si="57"/>
        <v>539</v>
      </c>
      <c r="R304" s="174">
        <f>VLOOKUP(D304,原始分!$D:$N,9,0)</f>
        <v>0</v>
      </c>
      <c r="S304" s="174">
        <f t="shared" si="58"/>
        <v>218</v>
      </c>
      <c r="T304" s="174">
        <f>VLOOKUP(D304,原始分!$D:$N,10,0)</f>
        <v>49.5</v>
      </c>
      <c r="U304" s="174">
        <f t="shared" si="59"/>
        <v>81</v>
      </c>
      <c r="V304" s="174">
        <f>VLOOKUP(D304,原始分!$D:$N,11,0)</f>
        <v>54</v>
      </c>
      <c r="W304" s="174">
        <f t="shared" si="60"/>
        <v>164</v>
      </c>
      <c r="X304" s="11">
        <f t="shared" si="61"/>
        <v>300.25</v>
      </c>
      <c r="Y304" s="9">
        <f t="shared" si="62"/>
        <v>274</v>
      </c>
      <c r="Z304" s="11">
        <f t="shared" si="63"/>
        <v>445.75</v>
      </c>
      <c r="AA304" s="9">
        <f t="shared" si="64"/>
        <v>302</v>
      </c>
    </row>
    <row r="305" ht="14.25" spans="1:27">
      <c r="A305" s="13">
        <v>170</v>
      </c>
      <c r="B305" s="15">
        <v>4</v>
      </c>
      <c r="C305" s="16">
        <v>11</v>
      </c>
      <c r="D305" s="17" t="s">
        <v>353</v>
      </c>
      <c r="E305" s="17" t="s">
        <v>354</v>
      </c>
      <c r="F305" s="174">
        <f>VLOOKUP(D305,原始分!$D:$N,3,0)</f>
        <v>92.5</v>
      </c>
      <c r="G305" s="174">
        <f t="shared" si="52"/>
        <v>524</v>
      </c>
      <c r="H305" s="174">
        <f>VLOOKUP(D305,原始分!$D:$N,4,0)</f>
        <v>106.5</v>
      </c>
      <c r="I305" s="174">
        <f t="shared" si="53"/>
        <v>246</v>
      </c>
      <c r="J305" s="174">
        <f>VLOOKUP(D305,原始分!$D:$N,5,0)</f>
        <v>109.75</v>
      </c>
      <c r="K305" s="174">
        <f t="shared" si="54"/>
        <v>108</v>
      </c>
      <c r="L305" s="174">
        <f>VLOOKUP(D305,原始分!$D:$N,6,0)</f>
        <v>38.5</v>
      </c>
      <c r="M305" s="174">
        <f t="shared" si="55"/>
        <v>528</v>
      </c>
      <c r="N305" s="174">
        <f>VLOOKUP(D305,原始分!$D:$N,7,0)</f>
        <v>0</v>
      </c>
      <c r="O305" s="174">
        <f t="shared" si="56"/>
        <v>1</v>
      </c>
      <c r="P305" s="174">
        <f>VLOOKUP(D305,原始分!$D:$N,8,0)</f>
        <v>45.5</v>
      </c>
      <c r="Q305" s="174">
        <f t="shared" si="57"/>
        <v>202</v>
      </c>
      <c r="R305" s="174">
        <f>VLOOKUP(D305,原始分!$D:$N,9,0)</f>
        <v>53</v>
      </c>
      <c r="S305" s="174">
        <f t="shared" si="58"/>
        <v>66</v>
      </c>
      <c r="T305" s="174">
        <f>VLOOKUP(D305,原始分!$D:$N,10,0)</f>
        <v>0</v>
      </c>
      <c r="U305" s="174">
        <f t="shared" si="59"/>
        <v>112</v>
      </c>
      <c r="V305" s="174">
        <f>VLOOKUP(D305,原始分!$D:$N,11,0)</f>
        <v>0</v>
      </c>
      <c r="W305" s="174">
        <f t="shared" si="60"/>
        <v>461</v>
      </c>
      <c r="X305" s="11">
        <f t="shared" si="61"/>
        <v>308.75</v>
      </c>
      <c r="Y305" s="9">
        <f t="shared" si="62"/>
        <v>206</v>
      </c>
      <c r="Z305" s="11">
        <f t="shared" si="63"/>
        <v>445.75</v>
      </c>
      <c r="AA305" s="9">
        <f t="shared" si="64"/>
        <v>302</v>
      </c>
    </row>
    <row r="306" ht="14.25" spans="1:27">
      <c r="A306" s="13">
        <v>562</v>
      </c>
      <c r="B306" s="15">
        <v>12</v>
      </c>
      <c r="C306" s="16">
        <v>9</v>
      </c>
      <c r="D306" s="17" t="s">
        <v>1132</v>
      </c>
      <c r="E306" s="17" t="s">
        <v>1133</v>
      </c>
      <c r="F306" s="174">
        <f>VLOOKUP(D306,原始分!$D:$N,3,0)</f>
        <v>107.5</v>
      </c>
      <c r="G306" s="174">
        <f t="shared" si="52"/>
        <v>54</v>
      </c>
      <c r="H306" s="174">
        <f>VLOOKUP(D306,原始分!$D:$N,4,0)</f>
        <v>99</v>
      </c>
      <c r="I306" s="174">
        <f t="shared" si="53"/>
        <v>359</v>
      </c>
      <c r="J306" s="174">
        <f>VLOOKUP(D306,原始分!$D:$N,5,0)</f>
        <v>103.75</v>
      </c>
      <c r="K306" s="174">
        <f t="shared" si="54"/>
        <v>191</v>
      </c>
      <c r="L306" s="174">
        <f>VLOOKUP(D306,原始分!$D:$N,6,0)</f>
        <v>44.5</v>
      </c>
      <c r="M306" s="174">
        <f t="shared" si="55"/>
        <v>432</v>
      </c>
      <c r="N306" s="174">
        <f>VLOOKUP(D306,原始分!$D:$N,7,0)</f>
        <v>0</v>
      </c>
      <c r="O306" s="174">
        <f t="shared" si="56"/>
        <v>1</v>
      </c>
      <c r="P306" s="174">
        <f>VLOOKUP(D306,原始分!$D:$N,8,0)</f>
        <v>42.5</v>
      </c>
      <c r="Q306" s="174">
        <f t="shared" si="57"/>
        <v>256</v>
      </c>
      <c r="R306" s="174">
        <f>VLOOKUP(D306,原始分!$D:$N,9,0)</f>
        <v>0</v>
      </c>
      <c r="S306" s="174">
        <f t="shared" si="58"/>
        <v>218</v>
      </c>
      <c r="T306" s="174">
        <f>VLOOKUP(D306,原始分!$D:$N,10,0)</f>
        <v>0</v>
      </c>
      <c r="U306" s="174">
        <f t="shared" si="59"/>
        <v>112</v>
      </c>
      <c r="V306" s="174">
        <f>VLOOKUP(D306,原始分!$D:$N,11,0)</f>
        <v>48.5</v>
      </c>
      <c r="W306" s="174">
        <f t="shared" si="60"/>
        <v>267</v>
      </c>
      <c r="X306" s="11">
        <f t="shared" si="61"/>
        <v>310.25</v>
      </c>
      <c r="Y306" s="9">
        <f t="shared" si="62"/>
        <v>189</v>
      </c>
      <c r="Z306" s="11">
        <f t="shared" si="63"/>
        <v>445.75</v>
      </c>
      <c r="AA306" s="9">
        <f t="shared" si="64"/>
        <v>302</v>
      </c>
    </row>
    <row r="307" ht="14.25" spans="1:27">
      <c r="A307" s="13">
        <v>589</v>
      </c>
      <c r="B307" s="15">
        <v>12</v>
      </c>
      <c r="C307" s="16">
        <v>39</v>
      </c>
      <c r="D307" s="17" t="s">
        <v>1186</v>
      </c>
      <c r="E307" s="17" t="s">
        <v>1187</v>
      </c>
      <c r="F307" s="174">
        <f>VLOOKUP(D307,原始分!$D:$N,3,0)</f>
        <v>98</v>
      </c>
      <c r="G307" s="174">
        <f t="shared" si="52"/>
        <v>349</v>
      </c>
      <c r="H307" s="174">
        <f>VLOOKUP(D307,原始分!$D:$N,4,0)</f>
        <v>116</v>
      </c>
      <c r="I307" s="174">
        <f t="shared" si="53"/>
        <v>99</v>
      </c>
      <c r="J307" s="174">
        <f>VLOOKUP(D307,原始分!$D:$N,5,0)</f>
        <v>73.25</v>
      </c>
      <c r="K307" s="174">
        <f t="shared" si="54"/>
        <v>605</v>
      </c>
      <c r="L307" s="174">
        <f>VLOOKUP(D307,原始分!$D:$N,6,0)</f>
        <v>65</v>
      </c>
      <c r="M307" s="174">
        <f t="shared" si="55"/>
        <v>115</v>
      </c>
      <c r="N307" s="174">
        <f>VLOOKUP(D307,原始分!$D:$N,7,0)</f>
        <v>0</v>
      </c>
      <c r="O307" s="174">
        <f t="shared" si="56"/>
        <v>1</v>
      </c>
      <c r="P307" s="174">
        <f>VLOOKUP(D307,原始分!$D:$N,8,0)</f>
        <v>40.5</v>
      </c>
      <c r="Q307" s="174">
        <f t="shared" si="57"/>
        <v>301</v>
      </c>
      <c r="R307" s="174">
        <f>VLOOKUP(D307,原始分!$D:$N,9,0)</f>
        <v>0</v>
      </c>
      <c r="S307" s="174">
        <f t="shared" si="58"/>
        <v>218</v>
      </c>
      <c r="T307" s="174">
        <f>VLOOKUP(D307,原始分!$D:$N,10,0)</f>
        <v>0</v>
      </c>
      <c r="U307" s="174">
        <f t="shared" si="59"/>
        <v>112</v>
      </c>
      <c r="V307" s="174">
        <f>VLOOKUP(D307,原始分!$D:$N,11,0)</f>
        <v>53</v>
      </c>
      <c r="W307" s="174">
        <f t="shared" si="60"/>
        <v>185</v>
      </c>
      <c r="X307" s="11">
        <f t="shared" si="61"/>
        <v>287.25</v>
      </c>
      <c r="Y307" s="9">
        <f t="shared" si="62"/>
        <v>384</v>
      </c>
      <c r="Z307" s="11">
        <f t="shared" si="63"/>
        <v>445.75</v>
      </c>
      <c r="AA307" s="9">
        <f t="shared" si="64"/>
        <v>302</v>
      </c>
    </row>
    <row r="308" ht="14.25" spans="1:27">
      <c r="A308" s="13">
        <v>44</v>
      </c>
      <c r="B308" s="15">
        <v>1</v>
      </c>
      <c r="C308" s="16">
        <v>46</v>
      </c>
      <c r="D308" s="17" t="s">
        <v>102</v>
      </c>
      <c r="E308" s="17" t="s">
        <v>103</v>
      </c>
      <c r="F308" s="174">
        <f>VLOOKUP(D308,原始分!$D:$N,3,0)</f>
        <v>105.5</v>
      </c>
      <c r="G308" s="174">
        <f t="shared" si="52"/>
        <v>96</v>
      </c>
      <c r="H308" s="174">
        <f>VLOOKUP(D308,原始分!$D:$N,4,0)</f>
        <v>112</v>
      </c>
      <c r="I308" s="174">
        <f t="shared" si="53"/>
        <v>160</v>
      </c>
      <c r="J308" s="174">
        <f>VLOOKUP(D308,原始分!$D:$N,5,0)</f>
        <v>85.5</v>
      </c>
      <c r="K308" s="174">
        <f t="shared" si="54"/>
        <v>481</v>
      </c>
      <c r="L308" s="174">
        <f>VLOOKUP(D308,原始分!$D:$N,6,0)</f>
        <v>46.5</v>
      </c>
      <c r="M308" s="174">
        <f t="shared" si="55"/>
        <v>404</v>
      </c>
      <c r="N308" s="174">
        <f>VLOOKUP(D308,原始分!$D:$N,7,0)</f>
        <v>0</v>
      </c>
      <c r="O308" s="174">
        <f t="shared" si="56"/>
        <v>1</v>
      </c>
      <c r="P308" s="174">
        <f>VLOOKUP(D308,原始分!$D:$N,8,0)</f>
        <v>33.5</v>
      </c>
      <c r="Q308" s="174">
        <f t="shared" si="57"/>
        <v>420</v>
      </c>
      <c r="R308" s="174">
        <f>VLOOKUP(D308,原始分!$D:$N,9,0)</f>
        <v>0</v>
      </c>
      <c r="S308" s="174">
        <f t="shared" si="58"/>
        <v>218</v>
      </c>
      <c r="T308" s="174">
        <f>VLOOKUP(D308,原始分!$D:$N,10,0)</f>
        <v>62.5</v>
      </c>
      <c r="U308" s="174">
        <f t="shared" si="59"/>
        <v>18</v>
      </c>
      <c r="V308" s="174">
        <f>VLOOKUP(D308,原始分!$D:$N,11,0)</f>
        <v>0</v>
      </c>
      <c r="W308" s="174">
        <f t="shared" si="60"/>
        <v>461</v>
      </c>
      <c r="X308" s="11">
        <f t="shared" si="61"/>
        <v>303</v>
      </c>
      <c r="Y308" s="9">
        <f t="shared" si="62"/>
        <v>251</v>
      </c>
      <c r="Z308" s="11">
        <f t="shared" si="63"/>
        <v>445.5</v>
      </c>
      <c r="AA308" s="9">
        <f t="shared" si="64"/>
        <v>306</v>
      </c>
    </row>
    <row r="309" ht="14.25" spans="1:27">
      <c r="A309" s="13">
        <v>651</v>
      </c>
      <c r="B309" s="15">
        <v>13</v>
      </c>
      <c r="C309" s="16">
        <v>45</v>
      </c>
      <c r="D309" s="17" t="s">
        <v>1309</v>
      </c>
      <c r="E309" s="17" t="s">
        <v>1310</v>
      </c>
      <c r="F309" s="174">
        <f>VLOOKUP(D309,原始分!$D:$N,3,0)</f>
        <v>96.5</v>
      </c>
      <c r="G309" s="174">
        <f t="shared" si="52"/>
        <v>398</v>
      </c>
      <c r="H309" s="174">
        <f>VLOOKUP(D309,原始分!$D:$N,4,0)</f>
        <v>97.5</v>
      </c>
      <c r="I309" s="174">
        <f t="shared" si="53"/>
        <v>383</v>
      </c>
      <c r="J309" s="174">
        <f>VLOOKUP(D309,原始分!$D:$N,5,0)</f>
        <v>98</v>
      </c>
      <c r="K309" s="174">
        <f t="shared" si="54"/>
        <v>290</v>
      </c>
      <c r="L309" s="174">
        <f>VLOOKUP(D309,原始分!$D:$N,6,0)</f>
        <v>60.5</v>
      </c>
      <c r="M309" s="174">
        <f t="shared" si="55"/>
        <v>180</v>
      </c>
      <c r="N309" s="174">
        <f>VLOOKUP(D309,原始分!$D:$N,7,0)</f>
        <v>0</v>
      </c>
      <c r="O309" s="174">
        <f t="shared" si="56"/>
        <v>1</v>
      </c>
      <c r="P309" s="174">
        <f>VLOOKUP(D309,原始分!$D:$N,8,0)</f>
        <v>41.5</v>
      </c>
      <c r="Q309" s="174">
        <f t="shared" si="57"/>
        <v>278</v>
      </c>
      <c r="R309" s="174">
        <f>VLOOKUP(D309,原始分!$D:$N,9,0)</f>
        <v>0</v>
      </c>
      <c r="S309" s="174">
        <f t="shared" si="58"/>
        <v>218</v>
      </c>
      <c r="T309" s="174">
        <f>VLOOKUP(D309,原始分!$D:$N,10,0)</f>
        <v>0</v>
      </c>
      <c r="U309" s="174">
        <f t="shared" si="59"/>
        <v>112</v>
      </c>
      <c r="V309" s="174">
        <f>VLOOKUP(D309,原始分!$D:$N,11,0)</f>
        <v>51.5</v>
      </c>
      <c r="W309" s="174">
        <f t="shared" si="60"/>
        <v>213</v>
      </c>
      <c r="X309" s="11">
        <f t="shared" si="61"/>
        <v>292</v>
      </c>
      <c r="Y309" s="9">
        <f t="shared" si="62"/>
        <v>350</v>
      </c>
      <c r="Z309" s="11">
        <f t="shared" si="63"/>
        <v>445.5</v>
      </c>
      <c r="AA309" s="9">
        <f t="shared" si="64"/>
        <v>306</v>
      </c>
    </row>
    <row r="310" ht="14.25" spans="1:27">
      <c r="A310" s="13">
        <v>525</v>
      </c>
      <c r="B310" s="15">
        <v>11</v>
      </c>
      <c r="C310" s="16">
        <v>30</v>
      </c>
      <c r="D310" s="17" t="s">
        <v>1060</v>
      </c>
      <c r="E310" s="17" t="s">
        <v>1061</v>
      </c>
      <c r="F310" s="174">
        <f>VLOOKUP(D310,原始分!$D:$N,3,0)</f>
        <v>95.5</v>
      </c>
      <c r="G310" s="174">
        <f t="shared" si="52"/>
        <v>422</v>
      </c>
      <c r="H310" s="174">
        <f>VLOOKUP(D310,原始分!$D:$N,4,0)</f>
        <v>93.5</v>
      </c>
      <c r="I310" s="174">
        <f t="shared" si="53"/>
        <v>448</v>
      </c>
      <c r="J310" s="174">
        <f>VLOOKUP(D310,原始分!$D:$N,5,0)</f>
        <v>110.25</v>
      </c>
      <c r="K310" s="174">
        <f t="shared" si="54"/>
        <v>100</v>
      </c>
      <c r="L310" s="174">
        <f>VLOOKUP(D310,原始分!$D:$N,6,0)</f>
        <v>55.5</v>
      </c>
      <c r="M310" s="174">
        <f t="shared" si="55"/>
        <v>262</v>
      </c>
      <c r="N310" s="174">
        <f>VLOOKUP(D310,原始分!$D:$N,7,0)</f>
        <v>0</v>
      </c>
      <c r="O310" s="174">
        <f t="shared" si="56"/>
        <v>1</v>
      </c>
      <c r="P310" s="174">
        <f>VLOOKUP(D310,原始分!$D:$N,8,0)</f>
        <v>47.5</v>
      </c>
      <c r="Q310" s="174">
        <f t="shared" si="57"/>
        <v>156</v>
      </c>
      <c r="R310" s="174">
        <f>VLOOKUP(D310,原始分!$D:$N,9,0)</f>
        <v>0</v>
      </c>
      <c r="S310" s="174">
        <f t="shared" si="58"/>
        <v>218</v>
      </c>
      <c r="T310" s="174">
        <f>VLOOKUP(D310,原始分!$D:$N,10,0)</f>
        <v>0</v>
      </c>
      <c r="U310" s="174">
        <f t="shared" si="59"/>
        <v>112</v>
      </c>
      <c r="V310" s="174">
        <f>VLOOKUP(D310,原始分!$D:$N,11,0)</f>
        <v>43</v>
      </c>
      <c r="W310" s="174">
        <f t="shared" si="60"/>
        <v>370</v>
      </c>
      <c r="X310" s="11">
        <f t="shared" si="61"/>
        <v>299.25</v>
      </c>
      <c r="Y310" s="9">
        <f t="shared" si="62"/>
        <v>281</v>
      </c>
      <c r="Z310" s="11">
        <f t="shared" si="63"/>
        <v>445.25</v>
      </c>
      <c r="AA310" s="9">
        <f t="shared" si="64"/>
        <v>308</v>
      </c>
    </row>
    <row r="311" ht="14.25" spans="1:27">
      <c r="A311" s="13">
        <v>474</v>
      </c>
      <c r="B311" s="15">
        <v>10</v>
      </c>
      <c r="C311" s="16">
        <v>35</v>
      </c>
      <c r="D311" s="17" t="s">
        <v>958</v>
      </c>
      <c r="E311" s="17" t="s">
        <v>959</v>
      </c>
      <c r="F311" s="174">
        <f>VLOOKUP(D311,原始分!$D:$N,3,0)</f>
        <v>104.5</v>
      </c>
      <c r="G311" s="174">
        <f t="shared" si="52"/>
        <v>118</v>
      </c>
      <c r="H311" s="174">
        <f>VLOOKUP(D311,原始分!$D:$N,4,0)</f>
        <v>92</v>
      </c>
      <c r="I311" s="174">
        <f t="shared" si="53"/>
        <v>469</v>
      </c>
      <c r="J311" s="174">
        <f>VLOOKUP(D311,原始分!$D:$N,5,0)</f>
        <v>107.5</v>
      </c>
      <c r="K311" s="174">
        <f t="shared" si="54"/>
        <v>130</v>
      </c>
      <c r="L311" s="174">
        <f>VLOOKUP(D311,原始分!$D:$N,6,0)</f>
        <v>42.5</v>
      </c>
      <c r="M311" s="174">
        <f t="shared" si="55"/>
        <v>470</v>
      </c>
      <c r="N311" s="174">
        <f>VLOOKUP(D311,原始分!$D:$N,7,0)</f>
        <v>0</v>
      </c>
      <c r="O311" s="174">
        <f t="shared" si="56"/>
        <v>1</v>
      </c>
      <c r="P311" s="174">
        <f>VLOOKUP(D311,原始分!$D:$N,8,0)</f>
        <v>38</v>
      </c>
      <c r="Q311" s="174">
        <f t="shared" si="57"/>
        <v>360</v>
      </c>
      <c r="R311" s="174">
        <f>VLOOKUP(D311,原始分!$D:$N,9,0)</f>
        <v>0</v>
      </c>
      <c r="S311" s="174">
        <f t="shared" si="58"/>
        <v>218</v>
      </c>
      <c r="T311" s="174">
        <f>VLOOKUP(D311,原始分!$D:$N,10,0)</f>
        <v>0</v>
      </c>
      <c r="U311" s="174">
        <f t="shared" si="59"/>
        <v>112</v>
      </c>
      <c r="V311" s="174">
        <f>VLOOKUP(D311,原始分!$D:$N,11,0)</f>
        <v>60.5</v>
      </c>
      <c r="W311" s="174">
        <f t="shared" si="60"/>
        <v>74</v>
      </c>
      <c r="X311" s="11">
        <f t="shared" si="61"/>
        <v>304</v>
      </c>
      <c r="Y311" s="9">
        <f t="shared" si="62"/>
        <v>245</v>
      </c>
      <c r="Z311" s="11">
        <f t="shared" si="63"/>
        <v>445</v>
      </c>
      <c r="AA311" s="9">
        <f t="shared" si="64"/>
        <v>309</v>
      </c>
    </row>
    <row r="312" ht="14.25" spans="1:27">
      <c r="A312" s="13">
        <v>505</v>
      </c>
      <c r="B312" s="15">
        <v>11</v>
      </c>
      <c r="C312" s="16">
        <v>9</v>
      </c>
      <c r="D312" s="17" t="s">
        <v>1020</v>
      </c>
      <c r="E312" s="17" t="s">
        <v>1021</v>
      </c>
      <c r="F312" s="174">
        <f>VLOOKUP(D312,原始分!$D:$N,3,0)</f>
        <v>92.5</v>
      </c>
      <c r="G312" s="174">
        <f t="shared" si="52"/>
        <v>524</v>
      </c>
      <c r="H312" s="174">
        <f>VLOOKUP(D312,原始分!$D:$N,4,0)</f>
        <v>100</v>
      </c>
      <c r="I312" s="174">
        <f t="shared" si="53"/>
        <v>348</v>
      </c>
      <c r="J312" s="174">
        <f>VLOOKUP(D312,原始分!$D:$N,5,0)</f>
        <v>100</v>
      </c>
      <c r="K312" s="174">
        <f t="shared" si="54"/>
        <v>243</v>
      </c>
      <c r="L312" s="174">
        <f>VLOOKUP(D312,原始分!$D:$N,6,0)</f>
        <v>49.5</v>
      </c>
      <c r="M312" s="174">
        <f t="shared" si="55"/>
        <v>341</v>
      </c>
      <c r="N312" s="174">
        <f>VLOOKUP(D312,原始分!$D:$N,7,0)</f>
        <v>0</v>
      </c>
      <c r="O312" s="174">
        <f t="shared" si="56"/>
        <v>1</v>
      </c>
      <c r="P312" s="174">
        <f>VLOOKUP(D312,原始分!$D:$N,8,0)</f>
        <v>49.5</v>
      </c>
      <c r="Q312" s="174">
        <f t="shared" si="57"/>
        <v>119</v>
      </c>
      <c r="R312" s="174">
        <f>VLOOKUP(D312,原始分!$D:$N,9,0)</f>
        <v>0</v>
      </c>
      <c r="S312" s="174">
        <f t="shared" si="58"/>
        <v>218</v>
      </c>
      <c r="T312" s="174">
        <f>VLOOKUP(D312,原始分!$D:$N,10,0)</f>
        <v>0</v>
      </c>
      <c r="U312" s="174">
        <f t="shared" si="59"/>
        <v>112</v>
      </c>
      <c r="V312" s="174">
        <f>VLOOKUP(D312,原始分!$D:$N,11,0)</f>
        <v>53.5</v>
      </c>
      <c r="W312" s="174">
        <f t="shared" si="60"/>
        <v>171</v>
      </c>
      <c r="X312" s="11">
        <f t="shared" si="61"/>
        <v>292.5</v>
      </c>
      <c r="Y312" s="9">
        <f t="shared" si="62"/>
        <v>345</v>
      </c>
      <c r="Z312" s="11">
        <f t="shared" si="63"/>
        <v>445</v>
      </c>
      <c r="AA312" s="9">
        <f t="shared" si="64"/>
        <v>309</v>
      </c>
    </row>
    <row r="313" ht="14.25" spans="1:27">
      <c r="A313" s="13">
        <v>558</v>
      </c>
      <c r="B313" s="15">
        <v>12</v>
      </c>
      <c r="C313" s="16">
        <v>5</v>
      </c>
      <c r="D313" s="17" t="s">
        <v>1124</v>
      </c>
      <c r="E313" s="17" t="s">
        <v>1125</v>
      </c>
      <c r="F313" s="174">
        <f>VLOOKUP(D313,原始分!$D:$N,3,0)</f>
        <v>100</v>
      </c>
      <c r="G313" s="174">
        <f t="shared" si="52"/>
        <v>274</v>
      </c>
      <c r="H313" s="174">
        <f>VLOOKUP(D313,原始分!$D:$N,4,0)</f>
        <v>101.5</v>
      </c>
      <c r="I313" s="174">
        <f t="shared" si="53"/>
        <v>328</v>
      </c>
      <c r="J313" s="174">
        <f>VLOOKUP(D313,原始分!$D:$N,5,0)</f>
        <v>75.5</v>
      </c>
      <c r="K313" s="174">
        <f t="shared" si="54"/>
        <v>587</v>
      </c>
      <c r="L313" s="174">
        <f>VLOOKUP(D313,原始分!$D:$N,6,0)</f>
        <v>62</v>
      </c>
      <c r="M313" s="174">
        <f t="shared" si="55"/>
        <v>157</v>
      </c>
      <c r="N313" s="174">
        <f>VLOOKUP(D313,原始分!$D:$N,7,0)</f>
        <v>0</v>
      </c>
      <c r="O313" s="174">
        <f t="shared" si="56"/>
        <v>1</v>
      </c>
      <c r="P313" s="174">
        <f>VLOOKUP(D313,原始分!$D:$N,8,0)</f>
        <v>47</v>
      </c>
      <c r="Q313" s="174">
        <f t="shared" si="57"/>
        <v>172</v>
      </c>
      <c r="R313" s="174">
        <f>VLOOKUP(D313,原始分!$D:$N,9,0)</f>
        <v>0</v>
      </c>
      <c r="S313" s="174">
        <f t="shared" si="58"/>
        <v>218</v>
      </c>
      <c r="T313" s="174">
        <f>VLOOKUP(D313,原始分!$D:$N,10,0)</f>
        <v>0</v>
      </c>
      <c r="U313" s="174">
        <f t="shared" si="59"/>
        <v>112</v>
      </c>
      <c r="V313" s="174">
        <f>VLOOKUP(D313,原始分!$D:$N,11,0)</f>
        <v>59</v>
      </c>
      <c r="W313" s="174">
        <f t="shared" si="60"/>
        <v>90</v>
      </c>
      <c r="X313" s="11">
        <f t="shared" si="61"/>
        <v>277</v>
      </c>
      <c r="Y313" s="9">
        <f t="shared" si="62"/>
        <v>485</v>
      </c>
      <c r="Z313" s="11">
        <f t="shared" si="63"/>
        <v>445</v>
      </c>
      <c r="AA313" s="9">
        <f t="shared" si="64"/>
        <v>309</v>
      </c>
    </row>
    <row r="314" ht="14.25" spans="1:27">
      <c r="A314" s="13">
        <v>650</v>
      </c>
      <c r="B314" s="15">
        <v>13</v>
      </c>
      <c r="C314" s="16">
        <v>44</v>
      </c>
      <c r="D314" s="17" t="s">
        <v>1307</v>
      </c>
      <c r="E314" s="17" t="s">
        <v>1308</v>
      </c>
      <c r="F314" s="174">
        <f>VLOOKUP(D314,原始分!$D:$N,3,0)</f>
        <v>95.5</v>
      </c>
      <c r="G314" s="174">
        <f t="shared" si="52"/>
        <v>422</v>
      </c>
      <c r="H314" s="174">
        <f>VLOOKUP(D314,原始分!$D:$N,4,0)</f>
        <v>120.5</v>
      </c>
      <c r="I314" s="174">
        <f t="shared" si="53"/>
        <v>57</v>
      </c>
      <c r="J314" s="174">
        <f>VLOOKUP(D314,原始分!$D:$N,5,0)</f>
        <v>88</v>
      </c>
      <c r="K314" s="174">
        <f t="shared" si="54"/>
        <v>443</v>
      </c>
      <c r="L314" s="174">
        <f>VLOOKUP(D314,原始分!$D:$N,6,0)</f>
        <v>66.5</v>
      </c>
      <c r="M314" s="174">
        <f t="shared" si="55"/>
        <v>88</v>
      </c>
      <c r="N314" s="174">
        <f>VLOOKUP(D314,原始分!$D:$N,7,0)</f>
        <v>0</v>
      </c>
      <c r="O314" s="174">
        <f t="shared" si="56"/>
        <v>1</v>
      </c>
      <c r="P314" s="174">
        <f>VLOOKUP(D314,原始分!$D:$N,8,0)</f>
        <v>29.5</v>
      </c>
      <c r="Q314" s="174">
        <f t="shared" si="57"/>
        <v>478</v>
      </c>
      <c r="R314" s="174">
        <f>VLOOKUP(D314,原始分!$D:$N,9,0)</f>
        <v>0</v>
      </c>
      <c r="S314" s="174">
        <f t="shared" si="58"/>
        <v>218</v>
      </c>
      <c r="T314" s="174">
        <f>VLOOKUP(D314,原始分!$D:$N,10,0)</f>
        <v>0</v>
      </c>
      <c r="U314" s="174">
        <f t="shared" si="59"/>
        <v>112</v>
      </c>
      <c r="V314" s="174">
        <f>VLOOKUP(D314,原始分!$D:$N,11,0)</f>
        <v>45</v>
      </c>
      <c r="W314" s="174">
        <f t="shared" si="60"/>
        <v>332</v>
      </c>
      <c r="X314" s="11">
        <f t="shared" si="61"/>
        <v>304</v>
      </c>
      <c r="Y314" s="9">
        <f t="shared" si="62"/>
        <v>245</v>
      </c>
      <c r="Z314" s="11">
        <f t="shared" si="63"/>
        <v>445</v>
      </c>
      <c r="AA314" s="9">
        <f t="shared" si="64"/>
        <v>309</v>
      </c>
    </row>
    <row r="315" ht="14.25" spans="1:27">
      <c r="A315" s="13">
        <v>9</v>
      </c>
      <c r="B315" s="15">
        <v>1</v>
      </c>
      <c r="C315" s="16">
        <v>10</v>
      </c>
      <c r="D315" s="17" t="s">
        <v>32</v>
      </c>
      <c r="E315" s="17" t="s">
        <v>33</v>
      </c>
      <c r="F315" s="174">
        <f>VLOOKUP(D315,原始分!$D:$N,3,0)</f>
        <v>98.5</v>
      </c>
      <c r="G315" s="174">
        <f t="shared" si="52"/>
        <v>324</v>
      </c>
      <c r="H315" s="174">
        <f>VLOOKUP(D315,原始分!$D:$N,4,0)</f>
        <v>94.5</v>
      </c>
      <c r="I315" s="174">
        <f t="shared" si="53"/>
        <v>431</v>
      </c>
      <c r="J315" s="174">
        <f>VLOOKUP(D315,原始分!$D:$N,5,0)</f>
        <v>98.5</v>
      </c>
      <c r="K315" s="174">
        <f t="shared" si="54"/>
        <v>279</v>
      </c>
      <c r="L315" s="174">
        <f>VLOOKUP(D315,原始分!$D:$N,6,0)</f>
        <v>66.5</v>
      </c>
      <c r="M315" s="174">
        <f t="shared" si="55"/>
        <v>88</v>
      </c>
      <c r="N315" s="174">
        <f>VLOOKUP(D315,原始分!$D:$N,7,0)</f>
        <v>0</v>
      </c>
      <c r="O315" s="174">
        <f t="shared" si="56"/>
        <v>1</v>
      </c>
      <c r="P315" s="174">
        <f>VLOOKUP(D315,原始分!$D:$N,8,0)</f>
        <v>30</v>
      </c>
      <c r="Q315" s="174">
        <f t="shared" si="57"/>
        <v>472</v>
      </c>
      <c r="R315" s="174">
        <f>VLOOKUP(D315,原始分!$D:$N,9,0)</f>
        <v>0</v>
      </c>
      <c r="S315" s="174">
        <f t="shared" si="58"/>
        <v>218</v>
      </c>
      <c r="T315" s="174">
        <f>VLOOKUP(D315,原始分!$D:$N,10,0)</f>
        <v>56.5</v>
      </c>
      <c r="U315" s="174">
        <f t="shared" si="59"/>
        <v>46</v>
      </c>
      <c r="V315" s="174">
        <f>VLOOKUP(D315,原始分!$D:$N,11,0)</f>
        <v>0</v>
      </c>
      <c r="W315" s="174">
        <f t="shared" si="60"/>
        <v>461</v>
      </c>
      <c r="X315" s="11">
        <f t="shared" si="61"/>
        <v>291.5</v>
      </c>
      <c r="Y315" s="9">
        <f t="shared" si="62"/>
        <v>357</v>
      </c>
      <c r="Z315" s="11">
        <f t="shared" si="63"/>
        <v>444.5</v>
      </c>
      <c r="AA315" s="9">
        <f t="shared" si="64"/>
        <v>313</v>
      </c>
    </row>
    <row r="316" ht="14.25" spans="1:27">
      <c r="A316" s="13">
        <v>565</v>
      </c>
      <c r="B316" s="15">
        <v>12</v>
      </c>
      <c r="C316" s="16">
        <v>12</v>
      </c>
      <c r="D316" s="17" t="s">
        <v>1138</v>
      </c>
      <c r="E316" s="17" t="s">
        <v>1139</v>
      </c>
      <c r="F316" s="174">
        <f>VLOOKUP(D316,原始分!$D:$N,3,0)</f>
        <v>98.5</v>
      </c>
      <c r="G316" s="174">
        <f t="shared" si="52"/>
        <v>324</v>
      </c>
      <c r="H316" s="174">
        <f>VLOOKUP(D316,原始分!$D:$N,4,0)</f>
        <v>91.5</v>
      </c>
      <c r="I316" s="174">
        <f t="shared" si="53"/>
        <v>475</v>
      </c>
      <c r="J316" s="174">
        <f>VLOOKUP(D316,原始分!$D:$N,5,0)</f>
        <v>93.5</v>
      </c>
      <c r="K316" s="174">
        <f t="shared" si="54"/>
        <v>364</v>
      </c>
      <c r="L316" s="174">
        <f>VLOOKUP(D316,原始分!$D:$N,6,0)</f>
        <v>57.5</v>
      </c>
      <c r="M316" s="174">
        <f t="shared" si="55"/>
        <v>228</v>
      </c>
      <c r="N316" s="174">
        <f>VLOOKUP(D316,原始分!$D:$N,7,0)</f>
        <v>0</v>
      </c>
      <c r="O316" s="174">
        <f t="shared" si="56"/>
        <v>1</v>
      </c>
      <c r="P316" s="174">
        <f>VLOOKUP(D316,原始分!$D:$N,8,0)</f>
        <v>50</v>
      </c>
      <c r="Q316" s="174">
        <f t="shared" si="57"/>
        <v>108</v>
      </c>
      <c r="R316" s="174">
        <f>VLOOKUP(D316,原始分!$D:$N,9,0)</f>
        <v>0</v>
      </c>
      <c r="S316" s="174">
        <f t="shared" si="58"/>
        <v>218</v>
      </c>
      <c r="T316" s="174">
        <f>VLOOKUP(D316,原始分!$D:$N,10,0)</f>
        <v>0</v>
      </c>
      <c r="U316" s="174">
        <f t="shared" si="59"/>
        <v>112</v>
      </c>
      <c r="V316" s="174">
        <f>VLOOKUP(D316,原始分!$D:$N,11,0)</f>
        <v>53.5</v>
      </c>
      <c r="W316" s="174">
        <f t="shared" si="60"/>
        <v>171</v>
      </c>
      <c r="X316" s="11">
        <f t="shared" si="61"/>
        <v>283.5</v>
      </c>
      <c r="Y316" s="9">
        <f t="shared" si="62"/>
        <v>412</v>
      </c>
      <c r="Z316" s="11">
        <f t="shared" si="63"/>
        <v>444.5</v>
      </c>
      <c r="AA316" s="9">
        <f t="shared" si="64"/>
        <v>313</v>
      </c>
    </row>
    <row r="317" ht="14.25" spans="1:27">
      <c r="A317" s="13">
        <v>17</v>
      </c>
      <c r="B317" s="15">
        <v>1</v>
      </c>
      <c r="C317" s="16">
        <v>19</v>
      </c>
      <c r="D317" s="17" t="s">
        <v>48</v>
      </c>
      <c r="E317" s="17" t="s">
        <v>49</v>
      </c>
      <c r="F317" s="174">
        <f>VLOOKUP(D317,原始分!$D:$N,3,0)</f>
        <v>106</v>
      </c>
      <c r="G317" s="174">
        <f t="shared" si="52"/>
        <v>87</v>
      </c>
      <c r="H317" s="174">
        <f>VLOOKUP(D317,原始分!$D:$N,4,0)</f>
        <v>89</v>
      </c>
      <c r="I317" s="174">
        <f t="shared" si="53"/>
        <v>508</v>
      </c>
      <c r="J317" s="174">
        <f>VLOOKUP(D317,原始分!$D:$N,5,0)</f>
        <v>98.75</v>
      </c>
      <c r="K317" s="174">
        <f t="shared" si="54"/>
        <v>275</v>
      </c>
      <c r="L317" s="174">
        <f>VLOOKUP(D317,原始分!$D:$N,6,0)</f>
        <v>57</v>
      </c>
      <c r="M317" s="174">
        <f t="shared" si="55"/>
        <v>237</v>
      </c>
      <c r="N317" s="174">
        <f>VLOOKUP(D317,原始分!$D:$N,7,0)</f>
        <v>0</v>
      </c>
      <c r="O317" s="174">
        <f t="shared" si="56"/>
        <v>1</v>
      </c>
      <c r="P317" s="174">
        <f>VLOOKUP(D317,原始分!$D:$N,8,0)</f>
        <v>41.5</v>
      </c>
      <c r="Q317" s="174">
        <f t="shared" si="57"/>
        <v>278</v>
      </c>
      <c r="R317" s="174">
        <f>VLOOKUP(D317,原始分!$D:$N,9,0)</f>
        <v>0</v>
      </c>
      <c r="S317" s="174">
        <f t="shared" si="58"/>
        <v>218</v>
      </c>
      <c r="T317" s="174">
        <f>VLOOKUP(D317,原始分!$D:$N,10,0)</f>
        <v>52</v>
      </c>
      <c r="U317" s="174">
        <f t="shared" si="59"/>
        <v>68</v>
      </c>
      <c r="V317" s="174">
        <f>VLOOKUP(D317,原始分!$D:$N,11,0)</f>
        <v>0</v>
      </c>
      <c r="W317" s="174">
        <f t="shared" si="60"/>
        <v>461</v>
      </c>
      <c r="X317" s="11">
        <f t="shared" si="61"/>
        <v>293.75</v>
      </c>
      <c r="Y317" s="9">
        <f t="shared" si="62"/>
        <v>328</v>
      </c>
      <c r="Z317" s="11">
        <f t="shared" si="63"/>
        <v>444.25</v>
      </c>
      <c r="AA317" s="9">
        <f t="shared" si="64"/>
        <v>315</v>
      </c>
    </row>
    <row r="318" ht="14.25" spans="1:27">
      <c r="A318" s="13">
        <v>18</v>
      </c>
      <c r="B318" s="15">
        <v>1</v>
      </c>
      <c r="C318" s="16">
        <v>20</v>
      </c>
      <c r="D318" s="17" t="s">
        <v>50</v>
      </c>
      <c r="E318" s="17" t="s">
        <v>51</v>
      </c>
      <c r="F318" s="174">
        <f>VLOOKUP(D318,原始分!$D:$N,3,0)</f>
        <v>104.5</v>
      </c>
      <c r="G318" s="174">
        <f t="shared" si="52"/>
        <v>118</v>
      </c>
      <c r="H318" s="174">
        <f>VLOOKUP(D318,原始分!$D:$N,4,0)</f>
        <v>94.5</v>
      </c>
      <c r="I318" s="174">
        <f t="shared" si="53"/>
        <v>431</v>
      </c>
      <c r="J318" s="174">
        <f>VLOOKUP(D318,原始分!$D:$N,5,0)</f>
        <v>88.25</v>
      </c>
      <c r="K318" s="174">
        <f t="shared" si="54"/>
        <v>441</v>
      </c>
      <c r="L318" s="174">
        <f>VLOOKUP(D318,原始分!$D:$N,6,0)</f>
        <v>62</v>
      </c>
      <c r="M318" s="174">
        <f t="shared" si="55"/>
        <v>157</v>
      </c>
      <c r="N318" s="174">
        <f>VLOOKUP(D318,原始分!$D:$N,7,0)</f>
        <v>0</v>
      </c>
      <c r="O318" s="174">
        <f t="shared" si="56"/>
        <v>1</v>
      </c>
      <c r="P318" s="174">
        <f>VLOOKUP(D318,原始分!$D:$N,8,0)</f>
        <v>39</v>
      </c>
      <c r="Q318" s="174">
        <f t="shared" si="57"/>
        <v>346</v>
      </c>
      <c r="R318" s="174">
        <f>VLOOKUP(D318,原始分!$D:$N,9,0)</f>
        <v>0</v>
      </c>
      <c r="S318" s="174">
        <f t="shared" si="58"/>
        <v>218</v>
      </c>
      <c r="T318" s="174">
        <f>VLOOKUP(D318,原始分!$D:$N,10,0)</f>
        <v>56</v>
      </c>
      <c r="U318" s="174">
        <f t="shared" si="59"/>
        <v>50</v>
      </c>
      <c r="V318" s="174">
        <f>VLOOKUP(D318,原始分!$D:$N,11,0)</f>
        <v>0</v>
      </c>
      <c r="W318" s="174">
        <f t="shared" si="60"/>
        <v>461</v>
      </c>
      <c r="X318" s="11">
        <f t="shared" si="61"/>
        <v>287.25</v>
      </c>
      <c r="Y318" s="9">
        <f t="shared" si="62"/>
        <v>384</v>
      </c>
      <c r="Z318" s="11">
        <f t="shared" si="63"/>
        <v>444.25</v>
      </c>
      <c r="AA318" s="9">
        <f t="shared" si="64"/>
        <v>315</v>
      </c>
    </row>
    <row r="319" ht="14.25" spans="1:27">
      <c r="A319" s="13">
        <v>36</v>
      </c>
      <c r="B319" s="15">
        <v>1</v>
      </c>
      <c r="C319" s="16">
        <v>38</v>
      </c>
      <c r="D319" s="17" t="s">
        <v>86</v>
      </c>
      <c r="E319" s="17" t="s">
        <v>87</v>
      </c>
      <c r="F319" s="174">
        <f>VLOOKUP(D319,原始分!$D:$N,3,0)</f>
        <v>94.5</v>
      </c>
      <c r="G319" s="174">
        <f t="shared" si="52"/>
        <v>461</v>
      </c>
      <c r="H319" s="174">
        <f>VLOOKUP(D319,原始分!$D:$N,4,0)</f>
        <v>121.5</v>
      </c>
      <c r="I319" s="174">
        <f t="shared" si="53"/>
        <v>49</v>
      </c>
      <c r="J319" s="174">
        <f>VLOOKUP(D319,原始分!$D:$N,5,0)</f>
        <v>87</v>
      </c>
      <c r="K319" s="174">
        <f t="shared" si="54"/>
        <v>457</v>
      </c>
      <c r="L319" s="174">
        <f>VLOOKUP(D319,原始分!$D:$N,6,0)</f>
        <v>37.5</v>
      </c>
      <c r="M319" s="174">
        <f t="shared" si="55"/>
        <v>543</v>
      </c>
      <c r="N319" s="174">
        <f>VLOOKUP(D319,原始分!$D:$N,7,0)</f>
        <v>0</v>
      </c>
      <c r="O319" s="174">
        <f t="shared" si="56"/>
        <v>1</v>
      </c>
      <c r="P319" s="174">
        <f>VLOOKUP(D319,原始分!$D:$N,8,0)</f>
        <v>52.5</v>
      </c>
      <c r="Q319" s="174">
        <f t="shared" si="57"/>
        <v>81</v>
      </c>
      <c r="R319" s="174">
        <f>VLOOKUP(D319,原始分!$D:$N,9,0)</f>
        <v>0</v>
      </c>
      <c r="S319" s="174">
        <f t="shared" si="58"/>
        <v>218</v>
      </c>
      <c r="T319" s="174">
        <f>VLOOKUP(D319,原始分!$D:$N,10,0)</f>
        <v>51</v>
      </c>
      <c r="U319" s="174">
        <f t="shared" si="59"/>
        <v>72</v>
      </c>
      <c r="V319" s="174">
        <f>VLOOKUP(D319,原始分!$D:$N,11,0)</f>
        <v>0</v>
      </c>
      <c r="W319" s="174">
        <f t="shared" si="60"/>
        <v>461</v>
      </c>
      <c r="X319" s="11">
        <f t="shared" si="61"/>
        <v>303</v>
      </c>
      <c r="Y319" s="9">
        <f t="shared" si="62"/>
        <v>251</v>
      </c>
      <c r="Z319" s="11">
        <f t="shared" si="63"/>
        <v>444</v>
      </c>
      <c r="AA319" s="9">
        <f t="shared" si="64"/>
        <v>317</v>
      </c>
    </row>
    <row r="320" ht="14.25" spans="1:27">
      <c r="A320" s="13">
        <v>622</v>
      </c>
      <c r="B320" s="15">
        <v>13</v>
      </c>
      <c r="C320" s="16">
        <v>15</v>
      </c>
      <c r="D320" s="17" t="s">
        <v>1252</v>
      </c>
      <c r="E320" s="17" t="s">
        <v>1253</v>
      </c>
      <c r="F320" s="174">
        <f>VLOOKUP(D320,原始分!$D:$N,3,0)</f>
        <v>90.5</v>
      </c>
      <c r="G320" s="174">
        <f t="shared" si="52"/>
        <v>571</v>
      </c>
      <c r="H320" s="174">
        <f>VLOOKUP(D320,原始分!$D:$N,4,0)</f>
        <v>104.5</v>
      </c>
      <c r="I320" s="174">
        <f t="shared" si="53"/>
        <v>277</v>
      </c>
      <c r="J320" s="174">
        <f>VLOOKUP(D320,原始分!$D:$N,5,0)</f>
        <v>96</v>
      </c>
      <c r="K320" s="174">
        <f t="shared" si="54"/>
        <v>322</v>
      </c>
      <c r="L320" s="174">
        <f>VLOOKUP(D320,原始分!$D:$N,6,0)</f>
        <v>48.5</v>
      </c>
      <c r="M320" s="174">
        <f t="shared" si="55"/>
        <v>364</v>
      </c>
      <c r="N320" s="174">
        <f>VLOOKUP(D320,原始分!$D:$N,7,0)</f>
        <v>0</v>
      </c>
      <c r="O320" s="174">
        <f t="shared" si="56"/>
        <v>1</v>
      </c>
      <c r="P320" s="174">
        <f>VLOOKUP(D320,原始分!$D:$N,8,0)</f>
        <v>60</v>
      </c>
      <c r="Q320" s="174">
        <f t="shared" si="57"/>
        <v>28</v>
      </c>
      <c r="R320" s="174">
        <f>VLOOKUP(D320,原始分!$D:$N,9,0)</f>
        <v>0</v>
      </c>
      <c r="S320" s="174">
        <f t="shared" si="58"/>
        <v>218</v>
      </c>
      <c r="T320" s="174">
        <f>VLOOKUP(D320,原始分!$D:$N,10,0)</f>
        <v>0</v>
      </c>
      <c r="U320" s="174">
        <f t="shared" si="59"/>
        <v>112</v>
      </c>
      <c r="V320" s="174">
        <f>VLOOKUP(D320,原始分!$D:$N,11,0)</f>
        <v>44.5</v>
      </c>
      <c r="W320" s="174">
        <f t="shared" si="60"/>
        <v>343</v>
      </c>
      <c r="X320" s="11">
        <f t="shared" si="61"/>
        <v>291</v>
      </c>
      <c r="Y320" s="9">
        <f t="shared" si="62"/>
        <v>359</v>
      </c>
      <c r="Z320" s="11">
        <f t="shared" si="63"/>
        <v>444</v>
      </c>
      <c r="AA320" s="9">
        <f t="shared" si="64"/>
        <v>317</v>
      </c>
    </row>
    <row r="321" ht="14.25" spans="1:27">
      <c r="A321" s="13">
        <v>31</v>
      </c>
      <c r="B321" s="15">
        <v>1</v>
      </c>
      <c r="C321" s="16">
        <v>33</v>
      </c>
      <c r="D321" s="17" t="s">
        <v>76</v>
      </c>
      <c r="E321" s="17" t="s">
        <v>77</v>
      </c>
      <c r="F321" s="174">
        <f>VLOOKUP(D321,原始分!$D:$N,3,0)</f>
        <v>101.75</v>
      </c>
      <c r="G321" s="174">
        <f t="shared" si="52"/>
        <v>209</v>
      </c>
      <c r="H321" s="174">
        <f>VLOOKUP(D321,原始分!$D:$N,4,0)</f>
        <v>114.5</v>
      </c>
      <c r="I321" s="174">
        <f t="shared" si="53"/>
        <v>122</v>
      </c>
      <c r="J321" s="174">
        <f>VLOOKUP(D321,原始分!$D:$N,5,0)</f>
        <v>94</v>
      </c>
      <c r="K321" s="174">
        <f t="shared" si="54"/>
        <v>358</v>
      </c>
      <c r="L321" s="174">
        <f>VLOOKUP(D321,原始分!$D:$N,6,0)</f>
        <v>41.5</v>
      </c>
      <c r="M321" s="174">
        <f t="shared" si="55"/>
        <v>483</v>
      </c>
      <c r="N321" s="174">
        <f>VLOOKUP(D321,原始分!$D:$N,7,0)</f>
        <v>0</v>
      </c>
      <c r="O321" s="174">
        <f t="shared" si="56"/>
        <v>1</v>
      </c>
      <c r="P321" s="174">
        <f>VLOOKUP(D321,原始分!$D:$N,8,0)</f>
        <v>36</v>
      </c>
      <c r="Q321" s="174">
        <f t="shared" si="57"/>
        <v>384</v>
      </c>
      <c r="R321" s="174">
        <f>VLOOKUP(D321,原始分!$D:$N,9,0)</f>
        <v>0</v>
      </c>
      <c r="S321" s="174">
        <f t="shared" si="58"/>
        <v>218</v>
      </c>
      <c r="T321" s="174">
        <f>VLOOKUP(D321,原始分!$D:$N,10,0)</f>
        <v>56</v>
      </c>
      <c r="U321" s="174">
        <f t="shared" si="59"/>
        <v>50</v>
      </c>
      <c r="V321" s="174">
        <f>VLOOKUP(D321,原始分!$D:$N,11,0)</f>
        <v>0</v>
      </c>
      <c r="W321" s="174">
        <f t="shared" si="60"/>
        <v>461</v>
      </c>
      <c r="X321" s="11">
        <f t="shared" si="61"/>
        <v>310.25</v>
      </c>
      <c r="Y321" s="9">
        <f t="shared" si="62"/>
        <v>189</v>
      </c>
      <c r="Z321" s="11">
        <f t="shared" si="63"/>
        <v>443.75</v>
      </c>
      <c r="AA321" s="9">
        <f t="shared" si="64"/>
        <v>319</v>
      </c>
    </row>
    <row r="322" ht="14.25" spans="1:27">
      <c r="A322" s="13">
        <v>353</v>
      </c>
      <c r="B322" s="15">
        <v>8</v>
      </c>
      <c r="C322" s="16">
        <v>26</v>
      </c>
      <c r="D322" s="17" t="s">
        <v>717</v>
      </c>
      <c r="E322" s="17" t="s">
        <v>718</v>
      </c>
      <c r="F322" s="174">
        <f>VLOOKUP(D322,原始分!$D:$N,3,0)</f>
        <v>91</v>
      </c>
      <c r="G322" s="174">
        <f t="shared" si="52"/>
        <v>555</v>
      </c>
      <c r="H322" s="174">
        <f>VLOOKUP(D322,原始分!$D:$N,4,0)</f>
        <v>107</v>
      </c>
      <c r="I322" s="174">
        <f t="shared" si="53"/>
        <v>239</v>
      </c>
      <c r="J322" s="174">
        <f>VLOOKUP(D322,原始分!$D:$N,5,0)</f>
        <v>82.75</v>
      </c>
      <c r="K322" s="174">
        <f t="shared" si="54"/>
        <v>518</v>
      </c>
      <c r="L322" s="174">
        <f>VLOOKUP(D322,原始分!$D:$N,6,0)</f>
        <v>59</v>
      </c>
      <c r="M322" s="174">
        <f t="shared" si="55"/>
        <v>203</v>
      </c>
      <c r="N322" s="174">
        <f>VLOOKUP(D322,原始分!$D:$N,7,0)</f>
        <v>0</v>
      </c>
      <c r="O322" s="174">
        <f t="shared" si="56"/>
        <v>1</v>
      </c>
      <c r="P322" s="174">
        <f>VLOOKUP(D322,原始分!$D:$N,8,0)</f>
        <v>49.5</v>
      </c>
      <c r="Q322" s="174">
        <f t="shared" si="57"/>
        <v>119</v>
      </c>
      <c r="R322" s="174">
        <f>VLOOKUP(D322,原始分!$D:$N,9,0)</f>
        <v>0</v>
      </c>
      <c r="S322" s="174">
        <f t="shared" si="58"/>
        <v>218</v>
      </c>
      <c r="T322" s="174">
        <f>VLOOKUP(D322,原始分!$D:$N,10,0)</f>
        <v>0</v>
      </c>
      <c r="U322" s="174">
        <f t="shared" si="59"/>
        <v>112</v>
      </c>
      <c r="V322" s="174">
        <f>VLOOKUP(D322,原始分!$D:$N,11,0)</f>
        <v>54.5</v>
      </c>
      <c r="W322" s="174">
        <f t="shared" si="60"/>
        <v>154</v>
      </c>
      <c r="X322" s="11">
        <f t="shared" si="61"/>
        <v>280.75</v>
      </c>
      <c r="Y322" s="9">
        <f t="shared" si="62"/>
        <v>441</v>
      </c>
      <c r="Z322" s="11">
        <f t="shared" si="63"/>
        <v>443.75</v>
      </c>
      <c r="AA322" s="9">
        <f t="shared" si="64"/>
        <v>319</v>
      </c>
    </row>
    <row r="323" ht="14.25" spans="1:27">
      <c r="A323" s="13">
        <v>352</v>
      </c>
      <c r="B323" s="15">
        <v>8</v>
      </c>
      <c r="C323" s="16">
        <v>25</v>
      </c>
      <c r="D323" s="17" t="s">
        <v>715</v>
      </c>
      <c r="E323" s="17" t="s">
        <v>716</v>
      </c>
      <c r="F323" s="174">
        <f>VLOOKUP(D323,原始分!$D:$N,3,0)</f>
        <v>100</v>
      </c>
      <c r="G323" s="174">
        <f t="shared" ref="G323:G386" si="65">RANK(F323,$F$3:$F$723)</f>
        <v>274</v>
      </c>
      <c r="H323" s="174">
        <f>VLOOKUP(D323,原始分!$D:$N,4,0)</f>
        <v>107</v>
      </c>
      <c r="I323" s="174">
        <f t="shared" ref="I323:I386" si="66">RANK(H323,$H$3:$H$723)</f>
        <v>239</v>
      </c>
      <c r="J323" s="174">
        <f>VLOOKUP(D323,原始分!$D:$N,5,0)</f>
        <v>102.5</v>
      </c>
      <c r="K323" s="174">
        <f t="shared" ref="K323:K386" si="67">RANK(J323,$J$3:$J$723)</f>
        <v>206</v>
      </c>
      <c r="L323" s="174">
        <f>VLOOKUP(D323,原始分!$D:$N,6,0)</f>
        <v>47.5</v>
      </c>
      <c r="M323" s="174">
        <f t="shared" ref="M323:M386" si="68">RANK(L323,$L$3:$L$723)</f>
        <v>382</v>
      </c>
      <c r="N323" s="174">
        <f>VLOOKUP(D323,原始分!$D:$N,7,0)</f>
        <v>0</v>
      </c>
      <c r="O323" s="174">
        <f t="shared" ref="O323:O386" si="69">RANK(N323,$N$3:$N$723)</f>
        <v>1</v>
      </c>
      <c r="P323" s="174">
        <f>VLOOKUP(D323,原始分!$D:$N,8,0)</f>
        <v>29.5</v>
      </c>
      <c r="Q323" s="174">
        <f t="shared" ref="Q323:Q386" si="70">RANK(P323,$P$3:$P$723)</f>
        <v>478</v>
      </c>
      <c r="R323" s="174">
        <f>VLOOKUP(D323,原始分!$D:$N,9,0)</f>
        <v>0</v>
      </c>
      <c r="S323" s="174">
        <f t="shared" ref="S323:S386" si="71">RANK(R323,$R$3:$R$723)</f>
        <v>218</v>
      </c>
      <c r="T323" s="174">
        <f>VLOOKUP(D323,原始分!$D:$N,10,0)</f>
        <v>0</v>
      </c>
      <c r="U323" s="174">
        <f t="shared" ref="U323:U386" si="72">RANK(T323,$T$3:$T$723)</f>
        <v>112</v>
      </c>
      <c r="V323" s="174">
        <f>VLOOKUP(D323,原始分!$D:$N,11,0)</f>
        <v>56.5</v>
      </c>
      <c r="W323" s="174">
        <f t="shared" ref="W323:W386" si="73">RANK(V323,$V$3:$V$723)</f>
        <v>125</v>
      </c>
      <c r="X323" s="11">
        <f t="shared" ref="X323:X386" si="74">SUM(F323,H323,J323)</f>
        <v>309.5</v>
      </c>
      <c r="Y323" s="9">
        <f t="shared" ref="Y323:Y386" si="75">RANK(X323,$X$3:$X$723)</f>
        <v>197</v>
      </c>
      <c r="Z323" s="11">
        <f t="shared" ref="Z323:Z386" si="76">SUM(F323,H323,J323,L323,N323,P323,R323,T323,V323)</f>
        <v>443</v>
      </c>
      <c r="AA323" s="9">
        <f t="shared" ref="AA323:AA386" si="77">RANK(Z323,$Z$3:$Z$723)</f>
        <v>321</v>
      </c>
    </row>
    <row r="324" ht="14.25" spans="1:27">
      <c r="A324" s="13">
        <v>463</v>
      </c>
      <c r="B324" s="15">
        <v>10</v>
      </c>
      <c r="C324" s="16">
        <v>24</v>
      </c>
      <c r="D324" s="17" t="s">
        <v>936</v>
      </c>
      <c r="E324" s="17" t="s">
        <v>937</v>
      </c>
      <c r="F324" s="174">
        <f>VLOOKUP(D324,原始分!$D:$N,3,0)</f>
        <v>97.5</v>
      </c>
      <c r="G324" s="174">
        <f t="shared" si="65"/>
        <v>372</v>
      </c>
      <c r="H324" s="174">
        <f>VLOOKUP(D324,原始分!$D:$N,4,0)</f>
        <v>100</v>
      </c>
      <c r="I324" s="174">
        <f t="shared" si="66"/>
        <v>348</v>
      </c>
      <c r="J324" s="174">
        <f>VLOOKUP(D324,原始分!$D:$N,5,0)</f>
        <v>105.5</v>
      </c>
      <c r="K324" s="174">
        <f t="shared" si="67"/>
        <v>162</v>
      </c>
      <c r="L324" s="174">
        <f>VLOOKUP(D324,原始分!$D:$N,6,0)</f>
        <v>49</v>
      </c>
      <c r="M324" s="174">
        <f t="shared" si="68"/>
        <v>354</v>
      </c>
      <c r="N324" s="174">
        <f>VLOOKUP(D324,原始分!$D:$N,7,0)</f>
        <v>0</v>
      </c>
      <c r="O324" s="174">
        <f t="shared" si="69"/>
        <v>1</v>
      </c>
      <c r="P324" s="174">
        <f>VLOOKUP(D324,原始分!$D:$N,8,0)</f>
        <v>38.5</v>
      </c>
      <c r="Q324" s="174">
        <f t="shared" si="70"/>
        <v>353</v>
      </c>
      <c r="R324" s="174">
        <f>VLOOKUP(D324,原始分!$D:$N,9,0)</f>
        <v>0</v>
      </c>
      <c r="S324" s="174">
        <f t="shared" si="71"/>
        <v>218</v>
      </c>
      <c r="T324" s="174">
        <f>VLOOKUP(D324,原始分!$D:$N,10,0)</f>
        <v>0</v>
      </c>
      <c r="U324" s="174">
        <f t="shared" si="72"/>
        <v>112</v>
      </c>
      <c r="V324" s="174">
        <f>VLOOKUP(D324,原始分!$D:$N,11,0)</f>
        <v>52.5</v>
      </c>
      <c r="W324" s="174">
        <f t="shared" si="73"/>
        <v>195</v>
      </c>
      <c r="X324" s="11">
        <f t="shared" si="74"/>
        <v>303</v>
      </c>
      <c r="Y324" s="9">
        <f t="shared" si="75"/>
        <v>251</v>
      </c>
      <c r="Z324" s="11">
        <f t="shared" si="76"/>
        <v>443</v>
      </c>
      <c r="AA324" s="9">
        <f t="shared" si="77"/>
        <v>321</v>
      </c>
    </row>
    <row r="325" ht="14.25" spans="1:27">
      <c r="A325" s="13">
        <v>556</v>
      </c>
      <c r="B325" s="15">
        <v>12</v>
      </c>
      <c r="C325" s="16">
        <v>3</v>
      </c>
      <c r="D325" s="17" t="s">
        <v>1120</v>
      </c>
      <c r="E325" s="17" t="s">
        <v>1121</v>
      </c>
      <c r="F325" s="174">
        <f>VLOOKUP(D325,原始分!$D:$N,3,0)</f>
        <v>108</v>
      </c>
      <c r="G325" s="174">
        <f t="shared" si="65"/>
        <v>44</v>
      </c>
      <c r="H325" s="174">
        <f>VLOOKUP(D325,原始分!$D:$N,4,0)</f>
        <v>85</v>
      </c>
      <c r="I325" s="174">
        <f t="shared" si="66"/>
        <v>556</v>
      </c>
      <c r="J325" s="174">
        <f>VLOOKUP(D325,原始分!$D:$N,5,0)</f>
        <v>100</v>
      </c>
      <c r="K325" s="174">
        <f t="shared" si="67"/>
        <v>243</v>
      </c>
      <c r="L325" s="174">
        <f>VLOOKUP(D325,原始分!$D:$N,6,0)</f>
        <v>49</v>
      </c>
      <c r="M325" s="174">
        <f t="shared" si="68"/>
        <v>354</v>
      </c>
      <c r="N325" s="174">
        <f>VLOOKUP(D325,原始分!$D:$N,7,0)</f>
        <v>0</v>
      </c>
      <c r="O325" s="174">
        <f t="shared" si="69"/>
        <v>1</v>
      </c>
      <c r="P325" s="174">
        <f>VLOOKUP(D325,原始分!$D:$N,8,0)</f>
        <v>51.5</v>
      </c>
      <c r="Q325" s="174">
        <f t="shared" si="70"/>
        <v>90</v>
      </c>
      <c r="R325" s="174">
        <f>VLOOKUP(D325,原始分!$D:$N,9,0)</f>
        <v>0</v>
      </c>
      <c r="S325" s="174">
        <f t="shared" si="71"/>
        <v>218</v>
      </c>
      <c r="T325" s="174">
        <f>VLOOKUP(D325,原始分!$D:$N,10,0)</f>
        <v>0</v>
      </c>
      <c r="U325" s="174">
        <f t="shared" si="72"/>
        <v>112</v>
      </c>
      <c r="V325" s="174">
        <f>VLOOKUP(D325,原始分!$D:$N,11,0)</f>
        <v>49.5</v>
      </c>
      <c r="W325" s="174">
        <f t="shared" si="73"/>
        <v>256</v>
      </c>
      <c r="X325" s="11">
        <f t="shared" si="74"/>
        <v>293</v>
      </c>
      <c r="Y325" s="9">
        <f t="shared" si="75"/>
        <v>335</v>
      </c>
      <c r="Z325" s="11">
        <f t="shared" si="76"/>
        <v>443</v>
      </c>
      <c r="AA325" s="9">
        <f t="shared" si="77"/>
        <v>321</v>
      </c>
    </row>
    <row r="326" ht="14.25" spans="1:27">
      <c r="A326" s="13">
        <v>645</v>
      </c>
      <c r="B326" s="15">
        <v>13</v>
      </c>
      <c r="C326" s="16">
        <v>38</v>
      </c>
      <c r="D326" s="17" t="s">
        <v>1297</v>
      </c>
      <c r="E326" s="17" t="s">
        <v>1298</v>
      </c>
      <c r="F326" s="174">
        <f>VLOOKUP(D326,原始分!$D:$N,3,0)</f>
        <v>95.5</v>
      </c>
      <c r="G326" s="174">
        <f t="shared" si="65"/>
        <v>422</v>
      </c>
      <c r="H326" s="174">
        <f>VLOOKUP(D326,原始分!$D:$N,4,0)</f>
        <v>86.5</v>
      </c>
      <c r="I326" s="174">
        <f t="shared" si="66"/>
        <v>543</v>
      </c>
      <c r="J326" s="174">
        <f>VLOOKUP(D326,原始分!$D:$N,5,0)</f>
        <v>102</v>
      </c>
      <c r="K326" s="174">
        <f t="shared" si="67"/>
        <v>209</v>
      </c>
      <c r="L326" s="174">
        <f>VLOOKUP(D326,原始分!$D:$N,6,0)</f>
        <v>57.5</v>
      </c>
      <c r="M326" s="174">
        <f t="shared" si="68"/>
        <v>228</v>
      </c>
      <c r="N326" s="174">
        <f>VLOOKUP(D326,原始分!$D:$N,7,0)</f>
        <v>0</v>
      </c>
      <c r="O326" s="174">
        <f t="shared" si="69"/>
        <v>1</v>
      </c>
      <c r="P326" s="174">
        <f>VLOOKUP(D326,原始分!$D:$N,8,0)</f>
        <v>51.5</v>
      </c>
      <c r="Q326" s="174">
        <f t="shared" si="70"/>
        <v>90</v>
      </c>
      <c r="R326" s="174">
        <f>VLOOKUP(D326,原始分!$D:$N,9,0)</f>
        <v>0</v>
      </c>
      <c r="S326" s="174">
        <f t="shared" si="71"/>
        <v>218</v>
      </c>
      <c r="T326" s="174">
        <f>VLOOKUP(D326,原始分!$D:$N,10,0)</f>
        <v>0</v>
      </c>
      <c r="U326" s="174">
        <f t="shared" si="72"/>
        <v>112</v>
      </c>
      <c r="V326" s="174">
        <f>VLOOKUP(D326,原始分!$D:$N,11,0)</f>
        <v>50</v>
      </c>
      <c r="W326" s="174">
        <f t="shared" si="73"/>
        <v>247</v>
      </c>
      <c r="X326" s="11">
        <f t="shared" si="74"/>
        <v>284</v>
      </c>
      <c r="Y326" s="9">
        <f t="shared" si="75"/>
        <v>408</v>
      </c>
      <c r="Z326" s="11">
        <f t="shared" si="76"/>
        <v>443</v>
      </c>
      <c r="AA326" s="9">
        <f t="shared" si="77"/>
        <v>321</v>
      </c>
    </row>
    <row r="327" ht="14.25" spans="1:27">
      <c r="A327" s="13">
        <v>224</v>
      </c>
      <c r="B327" s="15">
        <v>5</v>
      </c>
      <c r="C327" s="16">
        <v>21</v>
      </c>
      <c r="D327" s="17" t="s">
        <v>461</v>
      </c>
      <c r="E327" s="17" t="s">
        <v>462</v>
      </c>
      <c r="F327" s="174">
        <f>VLOOKUP(D327,原始分!$D:$N,3,0)</f>
        <v>93</v>
      </c>
      <c r="G327" s="174">
        <f t="shared" si="65"/>
        <v>505</v>
      </c>
      <c r="H327" s="174">
        <f>VLOOKUP(D327,原始分!$D:$N,4,0)</f>
        <v>103.5</v>
      </c>
      <c r="I327" s="174">
        <f t="shared" si="66"/>
        <v>302</v>
      </c>
      <c r="J327" s="174">
        <f>VLOOKUP(D327,原始分!$D:$N,5,0)</f>
        <v>114.75</v>
      </c>
      <c r="K327" s="174">
        <f t="shared" si="67"/>
        <v>56</v>
      </c>
      <c r="L327" s="174">
        <f>VLOOKUP(D327,原始分!$D:$N,6,0)</f>
        <v>46</v>
      </c>
      <c r="M327" s="174">
        <f t="shared" si="68"/>
        <v>411</v>
      </c>
      <c r="N327" s="174">
        <f>VLOOKUP(D327,原始分!$D:$N,7,0)</f>
        <v>0</v>
      </c>
      <c r="O327" s="174">
        <f t="shared" si="69"/>
        <v>1</v>
      </c>
      <c r="P327" s="174">
        <f>VLOOKUP(D327,原始分!$D:$N,8,0)</f>
        <v>40.5</v>
      </c>
      <c r="Q327" s="174">
        <f t="shared" si="70"/>
        <v>301</v>
      </c>
      <c r="R327" s="174">
        <f>VLOOKUP(D327,原始分!$D:$N,9,0)</f>
        <v>45</v>
      </c>
      <c r="S327" s="174">
        <f t="shared" si="71"/>
        <v>155</v>
      </c>
      <c r="T327" s="174">
        <f>VLOOKUP(D327,原始分!$D:$N,10,0)</f>
        <v>0</v>
      </c>
      <c r="U327" s="174">
        <f t="shared" si="72"/>
        <v>112</v>
      </c>
      <c r="V327" s="174">
        <f>VLOOKUP(D327,原始分!$D:$N,11,0)</f>
        <v>0</v>
      </c>
      <c r="W327" s="174">
        <f t="shared" si="73"/>
        <v>461</v>
      </c>
      <c r="X327" s="11">
        <f t="shared" si="74"/>
        <v>311.25</v>
      </c>
      <c r="Y327" s="9">
        <f t="shared" si="75"/>
        <v>176</v>
      </c>
      <c r="Z327" s="11">
        <f t="shared" si="76"/>
        <v>442.75</v>
      </c>
      <c r="AA327" s="9">
        <f t="shared" si="77"/>
        <v>325</v>
      </c>
    </row>
    <row r="328" ht="14.25" spans="1:27">
      <c r="A328" s="13">
        <v>332</v>
      </c>
      <c r="B328" s="15">
        <v>8</v>
      </c>
      <c r="C328" s="16">
        <v>4</v>
      </c>
      <c r="D328" s="17" t="s">
        <v>675</v>
      </c>
      <c r="E328" s="17" t="s">
        <v>676</v>
      </c>
      <c r="F328" s="174">
        <f>VLOOKUP(D328,原始分!$D:$N,3,0)</f>
        <v>103.5</v>
      </c>
      <c r="G328" s="174">
        <f t="shared" si="65"/>
        <v>146</v>
      </c>
      <c r="H328" s="174">
        <f>VLOOKUP(D328,原始分!$D:$N,4,0)</f>
        <v>98.5</v>
      </c>
      <c r="I328" s="174">
        <f t="shared" si="66"/>
        <v>366</v>
      </c>
      <c r="J328" s="174">
        <f>VLOOKUP(D328,原始分!$D:$N,5,0)</f>
        <v>98</v>
      </c>
      <c r="K328" s="174">
        <f t="shared" si="67"/>
        <v>290</v>
      </c>
      <c r="L328" s="174">
        <f>VLOOKUP(D328,原始分!$D:$N,6,0)</f>
        <v>59</v>
      </c>
      <c r="M328" s="174">
        <f t="shared" si="68"/>
        <v>203</v>
      </c>
      <c r="N328" s="174">
        <f>VLOOKUP(D328,原始分!$D:$N,7,0)</f>
        <v>0</v>
      </c>
      <c r="O328" s="174">
        <f t="shared" si="69"/>
        <v>1</v>
      </c>
      <c r="P328" s="174">
        <f>VLOOKUP(D328,原始分!$D:$N,8,0)</f>
        <v>39.5</v>
      </c>
      <c r="Q328" s="174">
        <f t="shared" si="70"/>
        <v>333</v>
      </c>
      <c r="R328" s="174">
        <f>VLOOKUP(D328,原始分!$D:$N,9,0)</f>
        <v>0</v>
      </c>
      <c r="S328" s="174">
        <f t="shared" si="71"/>
        <v>218</v>
      </c>
      <c r="T328" s="174">
        <f>VLOOKUP(D328,原始分!$D:$N,10,0)</f>
        <v>0</v>
      </c>
      <c r="U328" s="174">
        <f t="shared" si="72"/>
        <v>112</v>
      </c>
      <c r="V328" s="174">
        <f>VLOOKUP(D328,原始分!$D:$N,11,0)</f>
        <v>44</v>
      </c>
      <c r="W328" s="174">
        <f t="shared" si="73"/>
        <v>350</v>
      </c>
      <c r="X328" s="11">
        <f t="shared" si="74"/>
        <v>300</v>
      </c>
      <c r="Y328" s="9">
        <f t="shared" si="75"/>
        <v>276</v>
      </c>
      <c r="Z328" s="11">
        <f t="shared" si="76"/>
        <v>442.5</v>
      </c>
      <c r="AA328" s="9">
        <f t="shared" si="77"/>
        <v>326</v>
      </c>
    </row>
    <row r="329" ht="14.25" spans="1:27">
      <c r="A329" s="13">
        <v>567</v>
      </c>
      <c r="B329" s="15">
        <v>12</v>
      </c>
      <c r="C329" s="16">
        <v>14</v>
      </c>
      <c r="D329" s="17" t="s">
        <v>1142</v>
      </c>
      <c r="E329" s="17" t="s">
        <v>1143</v>
      </c>
      <c r="F329" s="174">
        <f>VLOOKUP(D329,原始分!$D:$N,3,0)</f>
        <v>99.5</v>
      </c>
      <c r="G329" s="174">
        <f t="shared" si="65"/>
        <v>286</v>
      </c>
      <c r="H329" s="174">
        <f>VLOOKUP(D329,原始分!$D:$N,4,0)</f>
        <v>97</v>
      </c>
      <c r="I329" s="174">
        <f t="shared" si="66"/>
        <v>393</v>
      </c>
      <c r="J329" s="174">
        <f>VLOOKUP(D329,原始分!$D:$N,5,0)</f>
        <v>111</v>
      </c>
      <c r="K329" s="174">
        <f t="shared" si="67"/>
        <v>94</v>
      </c>
      <c r="L329" s="174">
        <f>VLOOKUP(D329,原始分!$D:$N,6,0)</f>
        <v>54</v>
      </c>
      <c r="M329" s="174">
        <f t="shared" si="68"/>
        <v>289</v>
      </c>
      <c r="N329" s="174">
        <f>VLOOKUP(D329,原始分!$D:$N,7,0)</f>
        <v>0</v>
      </c>
      <c r="O329" s="174">
        <f t="shared" si="69"/>
        <v>1</v>
      </c>
      <c r="P329" s="174">
        <f>VLOOKUP(D329,原始分!$D:$N,8,0)</f>
        <v>34.5</v>
      </c>
      <c r="Q329" s="174">
        <f t="shared" si="70"/>
        <v>407</v>
      </c>
      <c r="R329" s="174">
        <f>VLOOKUP(D329,原始分!$D:$N,9,0)</f>
        <v>0</v>
      </c>
      <c r="S329" s="174">
        <f t="shared" si="71"/>
        <v>218</v>
      </c>
      <c r="T329" s="174">
        <f>VLOOKUP(D329,原始分!$D:$N,10,0)</f>
        <v>0</v>
      </c>
      <c r="U329" s="174">
        <f t="shared" si="72"/>
        <v>112</v>
      </c>
      <c r="V329" s="174">
        <f>VLOOKUP(D329,原始分!$D:$N,11,0)</f>
        <v>46.5</v>
      </c>
      <c r="W329" s="174">
        <f t="shared" si="73"/>
        <v>306</v>
      </c>
      <c r="X329" s="11">
        <f t="shared" si="74"/>
        <v>307.5</v>
      </c>
      <c r="Y329" s="9">
        <f t="shared" si="75"/>
        <v>214</v>
      </c>
      <c r="Z329" s="11">
        <f t="shared" si="76"/>
        <v>442.5</v>
      </c>
      <c r="AA329" s="9">
        <f t="shared" si="77"/>
        <v>326</v>
      </c>
    </row>
    <row r="330" ht="14.25" spans="1:27">
      <c r="A330" s="13">
        <v>657</v>
      </c>
      <c r="B330" s="15">
        <v>13</v>
      </c>
      <c r="C330" s="16">
        <v>51</v>
      </c>
      <c r="D330" s="17" t="s">
        <v>1321</v>
      </c>
      <c r="E330" s="17" t="s">
        <v>1322</v>
      </c>
      <c r="F330" s="174">
        <f>VLOOKUP(D330,原始分!$D:$N,3,0)</f>
        <v>93</v>
      </c>
      <c r="G330" s="174">
        <f t="shared" si="65"/>
        <v>505</v>
      </c>
      <c r="H330" s="174">
        <f>VLOOKUP(D330,原始分!$D:$N,4,0)</f>
        <v>101.5</v>
      </c>
      <c r="I330" s="174">
        <f t="shared" si="66"/>
        <v>328</v>
      </c>
      <c r="J330" s="174">
        <f>VLOOKUP(D330,原始分!$D:$N,5,0)</f>
        <v>97.5</v>
      </c>
      <c r="K330" s="174">
        <f t="shared" si="67"/>
        <v>298</v>
      </c>
      <c r="L330" s="174">
        <f>VLOOKUP(D330,原始分!$D:$N,6,0)</f>
        <v>62</v>
      </c>
      <c r="M330" s="174">
        <f t="shared" si="68"/>
        <v>157</v>
      </c>
      <c r="N330" s="174">
        <f>VLOOKUP(D330,原始分!$D:$N,7,0)</f>
        <v>0</v>
      </c>
      <c r="O330" s="174">
        <f t="shared" si="69"/>
        <v>1</v>
      </c>
      <c r="P330" s="174">
        <f>VLOOKUP(D330,原始分!$D:$N,8,0)</f>
        <v>35.5</v>
      </c>
      <c r="Q330" s="174">
        <f t="shared" si="70"/>
        <v>395</v>
      </c>
      <c r="R330" s="174">
        <f>VLOOKUP(D330,原始分!$D:$N,9,0)</f>
        <v>0</v>
      </c>
      <c r="S330" s="174">
        <f t="shared" si="71"/>
        <v>218</v>
      </c>
      <c r="T330" s="174">
        <f>VLOOKUP(D330,原始分!$D:$N,10,0)</f>
        <v>0</v>
      </c>
      <c r="U330" s="174">
        <f t="shared" si="72"/>
        <v>112</v>
      </c>
      <c r="V330" s="174">
        <f>VLOOKUP(D330,原始分!$D:$N,11,0)</f>
        <v>53</v>
      </c>
      <c r="W330" s="174">
        <f t="shared" si="73"/>
        <v>185</v>
      </c>
      <c r="X330" s="11">
        <f t="shared" si="74"/>
        <v>292</v>
      </c>
      <c r="Y330" s="9">
        <f t="shared" si="75"/>
        <v>350</v>
      </c>
      <c r="Z330" s="11">
        <f t="shared" si="76"/>
        <v>442.5</v>
      </c>
      <c r="AA330" s="9">
        <f t="shared" si="77"/>
        <v>326</v>
      </c>
    </row>
    <row r="331" ht="14.25" spans="1:27">
      <c r="A331" s="13">
        <v>96</v>
      </c>
      <c r="B331" s="15">
        <v>2</v>
      </c>
      <c r="C331" s="16">
        <v>33</v>
      </c>
      <c r="D331" s="17" t="s">
        <v>205</v>
      </c>
      <c r="E331" s="17" t="s">
        <v>206</v>
      </c>
      <c r="F331" s="174">
        <f>VLOOKUP(D331,原始分!$D:$N,3,0)</f>
        <v>91.5</v>
      </c>
      <c r="G331" s="174">
        <f t="shared" si="65"/>
        <v>538</v>
      </c>
      <c r="H331" s="174">
        <f>VLOOKUP(D331,原始分!$D:$N,4,0)</f>
        <v>95</v>
      </c>
      <c r="I331" s="174">
        <f t="shared" si="66"/>
        <v>418</v>
      </c>
      <c r="J331" s="174">
        <f>VLOOKUP(D331,原始分!$D:$N,5,0)</f>
        <v>105.5</v>
      </c>
      <c r="K331" s="174">
        <f t="shared" si="67"/>
        <v>162</v>
      </c>
      <c r="L331" s="174">
        <f>VLOOKUP(D331,原始分!$D:$N,6,0)</f>
        <v>39</v>
      </c>
      <c r="M331" s="174">
        <f t="shared" si="68"/>
        <v>520</v>
      </c>
      <c r="N331" s="174">
        <f>VLOOKUP(D331,原始分!$D:$N,7,0)</f>
        <v>0</v>
      </c>
      <c r="O331" s="174">
        <f t="shared" si="69"/>
        <v>1</v>
      </c>
      <c r="P331" s="174">
        <f>VLOOKUP(D331,原始分!$D:$N,8,0)</f>
        <v>0</v>
      </c>
      <c r="Q331" s="174">
        <f t="shared" si="70"/>
        <v>539</v>
      </c>
      <c r="R331" s="174">
        <f>VLOOKUP(D331,原始分!$D:$N,9,0)</f>
        <v>0</v>
      </c>
      <c r="S331" s="174">
        <f t="shared" si="71"/>
        <v>218</v>
      </c>
      <c r="T331" s="174">
        <f>VLOOKUP(D331,原始分!$D:$N,10,0)</f>
        <v>55</v>
      </c>
      <c r="U331" s="174">
        <f t="shared" si="72"/>
        <v>54</v>
      </c>
      <c r="V331" s="174">
        <f>VLOOKUP(D331,原始分!$D:$N,11,0)</f>
        <v>55.5</v>
      </c>
      <c r="W331" s="174">
        <f t="shared" si="73"/>
        <v>139</v>
      </c>
      <c r="X331" s="11">
        <f t="shared" si="74"/>
        <v>292</v>
      </c>
      <c r="Y331" s="9">
        <f t="shared" si="75"/>
        <v>350</v>
      </c>
      <c r="Z331" s="11">
        <f t="shared" si="76"/>
        <v>441.5</v>
      </c>
      <c r="AA331" s="9">
        <f t="shared" si="77"/>
        <v>329</v>
      </c>
    </row>
    <row r="332" ht="14.25" spans="1:27">
      <c r="A332" s="13">
        <v>196</v>
      </c>
      <c r="B332" s="15">
        <v>4</v>
      </c>
      <c r="C332" s="16">
        <v>39</v>
      </c>
      <c r="D332" s="17" t="s">
        <v>405</v>
      </c>
      <c r="E332" s="17" t="s">
        <v>406</v>
      </c>
      <c r="F332" s="174">
        <f>VLOOKUP(D332,原始分!$D:$N,3,0)</f>
        <v>102.5</v>
      </c>
      <c r="G332" s="174">
        <f t="shared" si="65"/>
        <v>183</v>
      </c>
      <c r="H332" s="174">
        <f>VLOOKUP(D332,原始分!$D:$N,4,0)</f>
        <v>106.5</v>
      </c>
      <c r="I332" s="174">
        <f t="shared" si="66"/>
        <v>246</v>
      </c>
      <c r="J332" s="174">
        <f>VLOOKUP(D332,原始分!$D:$N,5,0)</f>
        <v>104.5</v>
      </c>
      <c r="K332" s="174">
        <f t="shared" si="67"/>
        <v>180</v>
      </c>
      <c r="L332" s="174">
        <f>VLOOKUP(D332,原始分!$D:$N,6,0)</f>
        <v>47.5</v>
      </c>
      <c r="M332" s="174">
        <f t="shared" si="68"/>
        <v>382</v>
      </c>
      <c r="N332" s="174">
        <f>VLOOKUP(D332,原始分!$D:$N,7,0)</f>
        <v>0</v>
      </c>
      <c r="O332" s="174">
        <f t="shared" si="69"/>
        <v>1</v>
      </c>
      <c r="P332" s="174">
        <f>VLOOKUP(D332,原始分!$D:$N,8,0)</f>
        <v>32.5</v>
      </c>
      <c r="Q332" s="174">
        <f t="shared" si="70"/>
        <v>445</v>
      </c>
      <c r="R332" s="174">
        <f>VLOOKUP(D332,原始分!$D:$N,9,0)</f>
        <v>48</v>
      </c>
      <c r="S332" s="174">
        <f t="shared" si="71"/>
        <v>122</v>
      </c>
      <c r="T332" s="174">
        <f>VLOOKUP(D332,原始分!$D:$N,10,0)</f>
        <v>0</v>
      </c>
      <c r="U332" s="174">
        <f t="shared" si="72"/>
        <v>112</v>
      </c>
      <c r="V332" s="174">
        <f>VLOOKUP(D332,原始分!$D:$N,11,0)</f>
        <v>0</v>
      </c>
      <c r="W332" s="174">
        <f t="shared" si="73"/>
        <v>461</v>
      </c>
      <c r="X332" s="11">
        <f t="shared" si="74"/>
        <v>313.5</v>
      </c>
      <c r="Y332" s="9">
        <f t="shared" si="75"/>
        <v>164</v>
      </c>
      <c r="Z332" s="11">
        <f t="shared" si="76"/>
        <v>441.5</v>
      </c>
      <c r="AA332" s="9">
        <f t="shared" si="77"/>
        <v>329</v>
      </c>
    </row>
    <row r="333" ht="14.25" spans="1:27">
      <c r="A333" s="13">
        <v>61</v>
      </c>
      <c r="B333" s="15">
        <v>1</v>
      </c>
      <c r="C333" s="16">
        <v>63</v>
      </c>
      <c r="D333" s="17" t="s">
        <v>136</v>
      </c>
      <c r="E333" s="17" t="s">
        <v>137</v>
      </c>
      <c r="F333" s="174">
        <f>VLOOKUP(D333,原始分!$D:$N,3,0)</f>
        <v>95</v>
      </c>
      <c r="G333" s="174">
        <f t="shared" si="65"/>
        <v>441</v>
      </c>
      <c r="H333" s="174">
        <f>VLOOKUP(D333,原始分!$D:$N,4,0)</f>
        <v>97.5</v>
      </c>
      <c r="I333" s="174">
        <f t="shared" si="66"/>
        <v>383</v>
      </c>
      <c r="J333" s="174">
        <f>VLOOKUP(D333,原始分!$D:$N,5,0)</f>
        <v>93.5</v>
      </c>
      <c r="K333" s="174">
        <f t="shared" si="67"/>
        <v>364</v>
      </c>
      <c r="L333" s="174">
        <f>VLOOKUP(D333,原始分!$D:$N,6,0)</f>
        <v>62</v>
      </c>
      <c r="M333" s="174">
        <f t="shared" si="68"/>
        <v>157</v>
      </c>
      <c r="N333" s="174">
        <f>VLOOKUP(D333,原始分!$D:$N,7,0)</f>
        <v>0</v>
      </c>
      <c r="O333" s="174">
        <f t="shared" si="69"/>
        <v>1</v>
      </c>
      <c r="P333" s="174">
        <f>VLOOKUP(D333,原始分!$D:$N,8,0)</f>
        <v>42</v>
      </c>
      <c r="Q333" s="174">
        <f t="shared" si="70"/>
        <v>265</v>
      </c>
      <c r="R333" s="174">
        <f>VLOOKUP(D333,原始分!$D:$N,9,0)</f>
        <v>0</v>
      </c>
      <c r="S333" s="174">
        <f t="shared" si="71"/>
        <v>218</v>
      </c>
      <c r="T333" s="174">
        <f>VLOOKUP(D333,原始分!$D:$N,10,0)</f>
        <v>50.5</v>
      </c>
      <c r="U333" s="174">
        <f t="shared" si="72"/>
        <v>76</v>
      </c>
      <c r="V333" s="174">
        <f>VLOOKUP(D333,原始分!$D:$N,11,0)</f>
        <v>0</v>
      </c>
      <c r="W333" s="174">
        <f t="shared" si="73"/>
        <v>461</v>
      </c>
      <c r="X333" s="11">
        <f t="shared" si="74"/>
        <v>286</v>
      </c>
      <c r="Y333" s="9">
        <f t="shared" si="75"/>
        <v>392</v>
      </c>
      <c r="Z333" s="11">
        <f t="shared" si="76"/>
        <v>440.5</v>
      </c>
      <c r="AA333" s="9">
        <f t="shared" si="77"/>
        <v>331</v>
      </c>
    </row>
    <row r="334" ht="14.25" spans="1:27">
      <c r="A334" s="13">
        <v>65</v>
      </c>
      <c r="B334" s="15">
        <v>2</v>
      </c>
      <c r="C334" s="16">
        <v>2</v>
      </c>
      <c r="D334" s="17" t="s">
        <v>144</v>
      </c>
      <c r="E334" s="17" t="s">
        <v>145</v>
      </c>
      <c r="F334" s="174">
        <f>VLOOKUP(D334,原始分!$D:$N,3,0)</f>
        <v>99.5</v>
      </c>
      <c r="G334" s="174">
        <f t="shared" si="65"/>
        <v>286</v>
      </c>
      <c r="H334" s="174">
        <f>VLOOKUP(D334,原始分!$D:$N,4,0)</f>
        <v>91</v>
      </c>
      <c r="I334" s="174">
        <f t="shared" si="66"/>
        <v>479</v>
      </c>
      <c r="J334" s="174">
        <f>VLOOKUP(D334,原始分!$D:$N,5,0)</f>
        <v>92.5</v>
      </c>
      <c r="K334" s="174">
        <f t="shared" si="67"/>
        <v>381</v>
      </c>
      <c r="L334" s="174">
        <f>VLOOKUP(D334,原始分!$D:$N,6,0)</f>
        <v>53.5</v>
      </c>
      <c r="M334" s="174">
        <f t="shared" si="68"/>
        <v>292</v>
      </c>
      <c r="N334" s="174">
        <f>VLOOKUP(D334,原始分!$D:$N,7,0)</f>
        <v>0</v>
      </c>
      <c r="O334" s="174">
        <f t="shared" si="69"/>
        <v>1</v>
      </c>
      <c r="P334" s="174">
        <f>VLOOKUP(D334,原始分!$D:$N,8,0)</f>
        <v>0</v>
      </c>
      <c r="Q334" s="174">
        <f t="shared" si="70"/>
        <v>539</v>
      </c>
      <c r="R334" s="174">
        <f>VLOOKUP(D334,原始分!$D:$N,9,0)</f>
        <v>0</v>
      </c>
      <c r="S334" s="174">
        <f t="shared" si="71"/>
        <v>218</v>
      </c>
      <c r="T334" s="174">
        <f>VLOOKUP(D334,原始分!$D:$N,10,0)</f>
        <v>57</v>
      </c>
      <c r="U334" s="174">
        <f t="shared" si="72"/>
        <v>40</v>
      </c>
      <c r="V334" s="174">
        <f>VLOOKUP(D334,原始分!$D:$N,11,0)</f>
        <v>47</v>
      </c>
      <c r="W334" s="174">
        <f t="shared" si="73"/>
        <v>296</v>
      </c>
      <c r="X334" s="11">
        <f t="shared" si="74"/>
        <v>283</v>
      </c>
      <c r="Y334" s="9">
        <f t="shared" si="75"/>
        <v>420</v>
      </c>
      <c r="Z334" s="11">
        <f t="shared" si="76"/>
        <v>440.5</v>
      </c>
      <c r="AA334" s="9">
        <f t="shared" si="77"/>
        <v>331</v>
      </c>
    </row>
    <row r="335" ht="14.25" spans="1:27">
      <c r="A335" s="13">
        <v>129</v>
      </c>
      <c r="B335" s="15">
        <v>3</v>
      </c>
      <c r="C335" s="16">
        <v>18</v>
      </c>
      <c r="D335" s="17" t="s">
        <v>271</v>
      </c>
      <c r="E335" s="17" t="s">
        <v>272</v>
      </c>
      <c r="F335" s="174">
        <f>VLOOKUP(D335,原始分!$D:$N,3,0)</f>
        <v>98</v>
      </c>
      <c r="G335" s="174">
        <f t="shared" si="65"/>
        <v>349</v>
      </c>
      <c r="H335" s="174">
        <f>VLOOKUP(D335,原始分!$D:$N,4,0)</f>
        <v>99</v>
      </c>
      <c r="I335" s="174">
        <f t="shared" si="66"/>
        <v>359</v>
      </c>
      <c r="J335" s="174">
        <f>VLOOKUP(D335,原始分!$D:$N,5,0)</f>
        <v>84</v>
      </c>
      <c r="K335" s="174">
        <f t="shared" si="67"/>
        <v>504</v>
      </c>
      <c r="L335" s="174">
        <f>VLOOKUP(D335,原始分!$D:$N,6,0)</f>
        <v>60.5</v>
      </c>
      <c r="M335" s="174">
        <f t="shared" si="68"/>
        <v>180</v>
      </c>
      <c r="N335" s="174">
        <f>VLOOKUP(D335,原始分!$D:$N,7,0)</f>
        <v>0</v>
      </c>
      <c r="O335" s="174">
        <f t="shared" si="69"/>
        <v>1</v>
      </c>
      <c r="P335" s="174">
        <f>VLOOKUP(D335,原始分!$D:$N,8,0)</f>
        <v>43</v>
      </c>
      <c r="Q335" s="174">
        <f t="shared" si="70"/>
        <v>247</v>
      </c>
      <c r="R335" s="174">
        <f>VLOOKUP(D335,原始分!$D:$N,9,0)</f>
        <v>55.5</v>
      </c>
      <c r="S335" s="174">
        <f t="shared" si="71"/>
        <v>38</v>
      </c>
      <c r="T335" s="174">
        <f>VLOOKUP(D335,原始分!$D:$N,10,0)</f>
        <v>0</v>
      </c>
      <c r="U335" s="174">
        <f t="shared" si="72"/>
        <v>112</v>
      </c>
      <c r="V335" s="174">
        <f>VLOOKUP(D335,原始分!$D:$N,11,0)</f>
        <v>0</v>
      </c>
      <c r="W335" s="174">
        <f t="shared" si="73"/>
        <v>461</v>
      </c>
      <c r="X335" s="11">
        <f t="shared" si="74"/>
        <v>281</v>
      </c>
      <c r="Y335" s="9">
        <f t="shared" si="75"/>
        <v>439</v>
      </c>
      <c r="Z335" s="11">
        <f t="shared" si="76"/>
        <v>440</v>
      </c>
      <c r="AA335" s="9">
        <f t="shared" si="77"/>
        <v>333</v>
      </c>
    </row>
    <row r="336" ht="14.25" spans="1:27">
      <c r="A336" s="13">
        <v>62</v>
      </c>
      <c r="B336" s="15">
        <v>1</v>
      </c>
      <c r="C336" s="16">
        <v>64</v>
      </c>
      <c r="D336" s="17" t="s">
        <v>138</v>
      </c>
      <c r="E336" s="17" t="s">
        <v>139</v>
      </c>
      <c r="F336" s="174">
        <f>VLOOKUP(D336,原始分!$D:$N,3,0)</f>
        <v>98.5</v>
      </c>
      <c r="G336" s="174">
        <f t="shared" si="65"/>
        <v>324</v>
      </c>
      <c r="H336" s="174">
        <f>VLOOKUP(D336,原始分!$D:$N,4,0)</f>
        <v>111.5</v>
      </c>
      <c r="I336" s="174">
        <f t="shared" si="66"/>
        <v>169</v>
      </c>
      <c r="J336" s="174">
        <f>VLOOKUP(D336,原始分!$D:$N,5,0)</f>
        <v>86.5</v>
      </c>
      <c r="K336" s="174">
        <f t="shared" si="67"/>
        <v>469</v>
      </c>
      <c r="L336" s="174">
        <f>VLOOKUP(D336,原始分!$D:$N,6,0)</f>
        <v>58</v>
      </c>
      <c r="M336" s="174">
        <f t="shared" si="68"/>
        <v>220</v>
      </c>
      <c r="N336" s="174">
        <f>VLOOKUP(D336,原始分!$D:$N,7,0)</f>
        <v>0</v>
      </c>
      <c r="O336" s="174">
        <f t="shared" si="69"/>
        <v>1</v>
      </c>
      <c r="P336" s="174">
        <f>VLOOKUP(D336,原始分!$D:$N,8,0)</f>
        <v>46</v>
      </c>
      <c r="Q336" s="174">
        <f t="shared" si="70"/>
        <v>193</v>
      </c>
      <c r="R336" s="174">
        <f>VLOOKUP(D336,原始分!$D:$N,9,0)</f>
        <v>0</v>
      </c>
      <c r="S336" s="174">
        <f t="shared" si="71"/>
        <v>218</v>
      </c>
      <c r="T336" s="174">
        <f>VLOOKUP(D336,原始分!$D:$N,10,0)</f>
        <v>39</v>
      </c>
      <c r="U336" s="174">
        <f t="shared" si="72"/>
        <v>111</v>
      </c>
      <c r="V336" s="174">
        <f>VLOOKUP(D336,原始分!$D:$N,11,0)</f>
        <v>0</v>
      </c>
      <c r="W336" s="174">
        <f t="shared" si="73"/>
        <v>461</v>
      </c>
      <c r="X336" s="11">
        <f t="shared" si="74"/>
        <v>296.5</v>
      </c>
      <c r="Y336" s="9">
        <f t="shared" si="75"/>
        <v>304</v>
      </c>
      <c r="Z336" s="11">
        <f t="shared" si="76"/>
        <v>439.5</v>
      </c>
      <c r="AA336" s="9">
        <f t="shared" si="77"/>
        <v>334</v>
      </c>
    </row>
    <row r="337" ht="14.25" spans="1:27">
      <c r="A337" s="13">
        <v>116</v>
      </c>
      <c r="B337" s="15">
        <v>3</v>
      </c>
      <c r="C337" s="16">
        <v>5</v>
      </c>
      <c r="D337" s="17" t="s">
        <v>245</v>
      </c>
      <c r="E337" s="17" t="s">
        <v>246</v>
      </c>
      <c r="F337" s="174">
        <f>VLOOKUP(D337,原始分!$D:$N,3,0)</f>
        <v>98.5</v>
      </c>
      <c r="G337" s="174">
        <f t="shared" si="65"/>
        <v>324</v>
      </c>
      <c r="H337" s="174">
        <f>VLOOKUP(D337,原始分!$D:$N,4,0)</f>
        <v>79</v>
      </c>
      <c r="I337" s="174">
        <f t="shared" si="66"/>
        <v>602</v>
      </c>
      <c r="J337" s="174">
        <f>VLOOKUP(D337,原始分!$D:$N,5,0)</f>
        <v>100.5</v>
      </c>
      <c r="K337" s="174">
        <f t="shared" si="67"/>
        <v>235</v>
      </c>
      <c r="L337" s="174">
        <f>VLOOKUP(D337,原始分!$D:$N,6,0)</f>
        <v>50.5</v>
      </c>
      <c r="M337" s="174">
        <f t="shared" si="68"/>
        <v>328</v>
      </c>
      <c r="N337" s="174">
        <f>VLOOKUP(D337,原始分!$D:$N,7,0)</f>
        <v>0</v>
      </c>
      <c r="O337" s="174">
        <f t="shared" si="69"/>
        <v>1</v>
      </c>
      <c r="P337" s="174">
        <f>VLOOKUP(D337,原始分!$D:$N,8,0)</f>
        <v>56</v>
      </c>
      <c r="Q337" s="174">
        <f t="shared" si="70"/>
        <v>46</v>
      </c>
      <c r="R337" s="174">
        <f>VLOOKUP(D337,原始分!$D:$N,9,0)</f>
        <v>55</v>
      </c>
      <c r="S337" s="174">
        <f t="shared" si="71"/>
        <v>44</v>
      </c>
      <c r="T337" s="174">
        <f>VLOOKUP(D337,原始分!$D:$N,10,0)</f>
        <v>0</v>
      </c>
      <c r="U337" s="174">
        <f t="shared" si="72"/>
        <v>112</v>
      </c>
      <c r="V337" s="174">
        <f>VLOOKUP(D337,原始分!$D:$N,11,0)</f>
        <v>0</v>
      </c>
      <c r="W337" s="174">
        <f t="shared" si="73"/>
        <v>461</v>
      </c>
      <c r="X337" s="11">
        <f t="shared" si="74"/>
        <v>278</v>
      </c>
      <c r="Y337" s="9">
        <f t="shared" si="75"/>
        <v>469</v>
      </c>
      <c r="Z337" s="11">
        <f t="shared" si="76"/>
        <v>439.5</v>
      </c>
      <c r="AA337" s="9">
        <f t="shared" si="77"/>
        <v>334</v>
      </c>
    </row>
    <row r="338" ht="14.25" spans="1:27">
      <c r="A338" s="13">
        <v>132</v>
      </c>
      <c r="B338" s="15">
        <v>3</v>
      </c>
      <c r="C338" s="16">
        <v>21</v>
      </c>
      <c r="D338" s="17" t="s">
        <v>277</v>
      </c>
      <c r="E338" s="17" t="s">
        <v>278</v>
      </c>
      <c r="F338" s="174">
        <f>VLOOKUP(D338,原始分!$D:$N,3,0)</f>
        <v>94.5</v>
      </c>
      <c r="G338" s="174">
        <f t="shared" si="65"/>
        <v>461</v>
      </c>
      <c r="H338" s="174">
        <f>VLOOKUP(D338,原始分!$D:$N,4,0)</f>
        <v>103.5</v>
      </c>
      <c r="I338" s="174">
        <f t="shared" si="66"/>
        <v>302</v>
      </c>
      <c r="J338" s="174">
        <f>VLOOKUP(D338,原始分!$D:$N,5,0)</f>
        <v>104</v>
      </c>
      <c r="K338" s="174">
        <f t="shared" si="67"/>
        <v>185</v>
      </c>
      <c r="L338" s="174">
        <f>VLOOKUP(D338,原始分!$D:$N,6,0)</f>
        <v>47.5</v>
      </c>
      <c r="M338" s="174">
        <f t="shared" si="68"/>
        <v>382</v>
      </c>
      <c r="N338" s="174">
        <f>VLOOKUP(D338,原始分!$D:$N,7,0)</f>
        <v>0</v>
      </c>
      <c r="O338" s="174">
        <f t="shared" si="69"/>
        <v>1</v>
      </c>
      <c r="P338" s="174">
        <f>VLOOKUP(D338,原始分!$D:$N,8,0)</f>
        <v>44.5</v>
      </c>
      <c r="Q338" s="174">
        <f t="shared" si="70"/>
        <v>218</v>
      </c>
      <c r="R338" s="174">
        <f>VLOOKUP(D338,原始分!$D:$N,9,0)</f>
        <v>45</v>
      </c>
      <c r="S338" s="174">
        <f t="shared" si="71"/>
        <v>155</v>
      </c>
      <c r="T338" s="174">
        <f>VLOOKUP(D338,原始分!$D:$N,10,0)</f>
        <v>0</v>
      </c>
      <c r="U338" s="174">
        <f t="shared" si="72"/>
        <v>112</v>
      </c>
      <c r="V338" s="174">
        <f>VLOOKUP(D338,原始分!$D:$N,11,0)</f>
        <v>0</v>
      </c>
      <c r="W338" s="174">
        <f t="shared" si="73"/>
        <v>461</v>
      </c>
      <c r="X338" s="11">
        <f t="shared" si="74"/>
        <v>302</v>
      </c>
      <c r="Y338" s="9">
        <f t="shared" si="75"/>
        <v>261</v>
      </c>
      <c r="Z338" s="11">
        <f t="shared" si="76"/>
        <v>439</v>
      </c>
      <c r="AA338" s="9">
        <f t="shared" si="77"/>
        <v>336</v>
      </c>
    </row>
    <row r="339" ht="14.25" spans="1:27">
      <c r="A339" s="13">
        <v>266</v>
      </c>
      <c r="B339" s="15">
        <v>6</v>
      </c>
      <c r="C339" s="16">
        <v>18</v>
      </c>
      <c r="D339" s="17" t="s">
        <v>543</v>
      </c>
      <c r="E339" s="17" t="s">
        <v>544</v>
      </c>
      <c r="F339" s="174">
        <f>VLOOKUP(D339,原始分!$D:$N,3,0)</f>
        <v>104</v>
      </c>
      <c r="G339" s="174">
        <f t="shared" si="65"/>
        <v>130</v>
      </c>
      <c r="H339" s="174">
        <f>VLOOKUP(D339,原始分!$D:$N,4,0)</f>
        <v>79.5</v>
      </c>
      <c r="I339" s="174">
        <f t="shared" si="66"/>
        <v>598</v>
      </c>
      <c r="J339" s="174">
        <f>VLOOKUP(D339,原始分!$D:$N,5,0)</f>
        <v>110</v>
      </c>
      <c r="K339" s="174">
        <f t="shared" si="67"/>
        <v>103</v>
      </c>
      <c r="L339" s="174">
        <f>VLOOKUP(D339,原始分!$D:$N,6,0)</f>
        <v>53</v>
      </c>
      <c r="M339" s="174">
        <f t="shared" si="68"/>
        <v>300</v>
      </c>
      <c r="N339" s="174">
        <f>VLOOKUP(D339,原始分!$D:$N,7,0)</f>
        <v>0</v>
      </c>
      <c r="O339" s="174">
        <f t="shared" si="69"/>
        <v>1</v>
      </c>
      <c r="P339" s="174">
        <f>VLOOKUP(D339,原始分!$D:$N,8,0)</f>
        <v>0</v>
      </c>
      <c r="Q339" s="174">
        <f t="shared" si="70"/>
        <v>539</v>
      </c>
      <c r="R339" s="174">
        <f>VLOOKUP(D339,原始分!$D:$N,9,0)</f>
        <v>39.5</v>
      </c>
      <c r="S339" s="174">
        <f t="shared" si="71"/>
        <v>196</v>
      </c>
      <c r="T339" s="174">
        <f>VLOOKUP(D339,原始分!$D:$N,10,0)</f>
        <v>0</v>
      </c>
      <c r="U339" s="174">
        <f t="shared" si="72"/>
        <v>112</v>
      </c>
      <c r="V339" s="174">
        <f>VLOOKUP(D339,原始分!$D:$N,11,0)</f>
        <v>53</v>
      </c>
      <c r="W339" s="174">
        <f t="shared" si="73"/>
        <v>185</v>
      </c>
      <c r="X339" s="11">
        <f t="shared" si="74"/>
        <v>293.5</v>
      </c>
      <c r="Y339" s="9">
        <f t="shared" si="75"/>
        <v>330</v>
      </c>
      <c r="Z339" s="11">
        <f t="shared" si="76"/>
        <v>439</v>
      </c>
      <c r="AA339" s="9">
        <f t="shared" si="77"/>
        <v>336</v>
      </c>
    </row>
    <row r="340" ht="14.25" spans="1:27">
      <c r="A340" s="13">
        <v>183</v>
      </c>
      <c r="B340" s="15">
        <v>4</v>
      </c>
      <c r="C340" s="16">
        <v>24</v>
      </c>
      <c r="D340" s="17" t="s">
        <v>379</v>
      </c>
      <c r="E340" s="17" t="s">
        <v>380</v>
      </c>
      <c r="F340" s="174">
        <f>VLOOKUP(D340,原始分!$D:$N,3,0)</f>
        <v>89.25</v>
      </c>
      <c r="G340" s="174">
        <f t="shared" si="65"/>
        <v>594</v>
      </c>
      <c r="H340" s="174">
        <f>VLOOKUP(D340,原始分!$D:$N,4,0)</f>
        <v>106.5</v>
      </c>
      <c r="I340" s="174">
        <f t="shared" si="66"/>
        <v>246</v>
      </c>
      <c r="J340" s="174">
        <f>VLOOKUP(D340,原始分!$D:$N,5,0)</f>
        <v>99.25</v>
      </c>
      <c r="K340" s="174">
        <f t="shared" si="67"/>
        <v>264</v>
      </c>
      <c r="L340" s="174">
        <f>VLOOKUP(D340,原始分!$D:$N,6,0)</f>
        <v>71</v>
      </c>
      <c r="M340" s="174">
        <f t="shared" si="68"/>
        <v>61</v>
      </c>
      <c r="N340" s="174">
        <f>VLOOKUP(D340,原始分!$D:$N,7,0)</f>
        <v>0</v>
      </c>
      <c r="O340" s="174">
        <f t="shared" si="69"/>
        <v>1</v>
      </c>
      <c r="P340" s="174">
        <f>VLOOKUP(D340,原始分!$D:$N,8,0)</f>
        <v>21</v>
      </c>
      <c r="Q340" s="174">
        <f t="shared" si="70"/>
        <v>528</v>
      </c>
      <c r="R340" s="174">
        <f>VLOOKUP(D340,原始分!$D:$N,9,0)</f>
        <v>51.75</v>
      </c>
      <c r="S340" s="174">
        <f t="shared" si="71"/>
        <v>82</v>
      </c>
      <c r="T340" s="174">
        <f>VLOOKUP(D340,原始分!$D:$N,10,0)</f>
        <v>0</v>
      </c>
      <c r="U340" s="174">
        <f t="shared" si="72"/>
        <v>112</v>
      </c>
      <c r="V340" s="174">
        <f>VLOOKUP(D340,原始分!$D:$N,11,0)</f>
        <v>0</v>
      </c>
      <c r="W340" s="174">
        <f t="shared" si="73"/>
        <v>461</v>
      </c>
      <c r="X340" s="11">
        <f t="shared" si="74"/>
        <v>295</v>
      </c>
      <c r="Y340" s="9">
        <f t="shared" si="75"/>
        <v>314</v>
      </c>
      <c r="Z340" s="11">
        <f t="shared" si="76"/>
        <v>438.75</v>
      </c>
      <c r="AA340" s="9">
        <f t="shared" si="77"/>
        <v>338</v>
      </c>
    </row>
    <row r="341" ht="14.25" spans="1:27">
      <c r="A341" s="13">
        <v>539</v>
      </c>
      <c r="B341" s="15">
        <v>11</v>
      </c>
      <c r="C341" s="16">
        <v>45</v>
      </c>
      <c r="D341" s="17" t="s">
        <v>1086</v>
      </c>
      <c r="E341" s="17" t="s">
        <v>1087</v>
      </c>
      <c r="F341" s="174">
        <f>VLOOKUP(D341,原始分!$D:$N,3,0)</f>
        <v>87</v>
      </c>
      <c r="G341" s="174">
        <f t="shared" si="65"/>
        <v>617</v>
      </c>
      <c r="H341" s="174">
        <f>VLOOKUP(D341,原始分!$D:$N,4,0)</f>
        <v>102</v>
      </c>
      <c r="I341" s="174">
        <f t="shared" si="66"/>
        <v>323</v>
      </c>
      <c r="J341" s="174">
        <f>VLOOKUP(D341,原始分!$D:$N,5,0)</f>
        <v>105.25</v>
      </c>
      <c r="K341" s="174">
        <f t="shared" si="67"/>
        <v>170</v>
      </c>
      <c r="L341" s="174">
        <f>VLOOKUP(D341,原始分!$D:$N,6,0)</f>
        <v>47</v>
      </c>
      <c r="M341" s="174">
        <f t="shared" si="68"/>
        <v>391</v>
      </c>
      <c r="N341" s="174">
        <f>VLOOKUP(D341,原始分!$D:$N,7,0)</f>
        <v>0</v>
      </c>
      <c r="O341" s="174">
        <f t="shared" si="69"/>
        <v>1</v>
      </c>
      <c r="P341" s="174">
        <f>VLOOKUP(D341,原始分!$D:$N,8,0)</f>
        <v>46</v>
      </c>
      <c r="Q341" s="174">
        <f t="shared" si="70"/>
        <v>193</v>
      </c>
      <c r="R341" s="174">
        <f>VLOOKUP(D341,原始分!$D:$N,9,0)</f>
        <v>0</v>
      </c>
      <c r="S341" s="174">
        <f t="shared" si="71"/>
        <v>218</v>
      </c>
      <c r="T341" s="174">
        <f>VLOOKUP(D341,原始分!$D:$N,10,0)</f>
        <v>0</v>
      </c>
      <c r="U341" s="174">
        <f t="shared" si="72"/>
        <v>112</v>
      </c>
      <c r="V341" s="174">
        <f>VLOOKUP(D341,原始分!$D:$N,11,0)</f>
        <v>51.5</v>
      </c>
      <c r="W341" s="174">
        <f t="shared" si="73"/>
        <v>213</v>
      </c>
      <c r="X341" s="11">
        <f t="shared" si="74"/>
        <v>294.25</v>
      </c>
      <c r="Y341" s="9">
        <f t="shared" si="75"/>
        <v>324</v>
      </c>
      <c r="Z341" s="11">
        <f t="shared" si="76"/>
        <v>438.75</v>
      </c>
      <c r="AA341" s="9">
        <f t="shared" si="77"/>
        <v>338</v>
      </c>
    </row>
    <row r="342" ht="14.25" spans="1:27">
      <c r="A342" s="13">
        <v>238</v>
      </c>
      <c r="B342" s="15">
        <v>5</v>
      </c>
      <c r="C342" s="16">
        <v>35</v>
      </c>
      <c r="D342" s="17" t="s">
        <v>489</v>
      </c>
      <c r="E342" s="17" t="s">
        <v>490</v>
      </c>
      <c r="F342" s="174">
        <f>VLOOKUP(D342,原始分!$D:$N,3,0)</f>
        <v>101</v>
      </c>
      <c r="G342" s="174">
        <f t="shared" si="65"/>
        <v>224</v>
      </c>
      <c r="H342" s="174">
        <f>VLOOKUP(D342,原始分!$D:$N,4,0)</f>
        <v>104.5</v>
      </c>
      <c r="I342" s="174">
        <f t="shared" si="66"/>
        <v>277</v>
      </c>
      <c r="J342" s="174">
        <f>VLOOKUP(D342,原始分!$D:$N,5,0)</f>
        <v>96.5</v>
      </c>
      <c r="K342" s="174">
        <f t="shared" si="67"/>
        <v>314</v>
      </c>
      <c r="L342" s="174">
        <f>VLOOKUP(D342,原始分!$D:$N,6,0)</f>
        <v>54.5</v>
      </c>
      <c r="M342" s="174">
        <f t="shared" si="68"/>
        <v>281</v>
      </c>
      <c r="N342" s="174">
        <f>VLOOKUP(D342,原始分!$D:$N,7,0)</f>
        <v>0</v>
      </c>
      <c r="O342" s="174">
        <f t="shared" si="69"/>
        <v>1</v>
      </c>
      <c r="P342" s="174">
        <f>VLOOKUP(D342,原始分!$D:$N,8,0)</f>
        <v>33</v>
      </c>
      <c r="Q342" s="174">
        <f t="shared" si="70"/>
        <v>433</v>
      </c>
      <c r="R342" s="174">
        <f>VLOOKUP(D342,原始分!$D:$N,9,0)</f>
        <v>48.5</v>
      </c>
      <c r="S342" s="174">
        <f t="shared" si="71"/>
        <v>112</v>
      </c>
      <c r="T342" s="174">
        <f>VLOOKUP(D342,原始分!$D:$N,10,0)</f>
        <v>0</v>
      </c>
      <c r="U342" s="174">
        <f t="shared" si="72"/>
        <v>112</v>
      </c>
      <c r="V342" s="174">
        <f>VLOOKUP(D342,原始分!$D:$N,11,0)</f>
        <v>0</v>
      </c>
      <c r="W342" s="174">
        <f t="shared" si="73"/>
        <v>461</v>
      </c>
      <c r="X342" s="11">
        <f t="shared" si="74"/>
        <v>302</v>
      </c>
      <c r="Y342" s="9">
        <f t="shared" si="75"/>
        <v>261</v>
      </c>
      <c r="Z342" s="11">
        <f t="shared" si="76"/>
        <v>438</v>
      </c>
      <c r="AA342" s="9">
        <f t="shared" si="77"/>
        <v>340</v>
      </c>
    </row>
    <row r="343" ht="14.25" spans="1:27">
      <c r="A343" s="13">
        <v>322</v>
      </c>
      <c r="B343" s="15">
        <v>7</v>
      </c>
      <c r="C343" s="16">
        <v>35</v>
      </c>
      <c r="D343" s="17" t="s">
        <v>655</v>
      </c>
      <c r="E343" s="17" t="s">
        <v>656</v>
      </c>
      <c r="F343" s="174">
        <f>VLOOKUP(D343,原始分!$D:$N,3,0)</f>
        <v>101.25</v>
      </c>
      <c r="G343" s="174">
        <f t="shared" si="65"/>
        <v>221</v>
      </c>
      <c r="H343" s="174">
        <f>VLOOKUP(D343,原始分!$D:$N,4,0)</f>
        <v>83.5</v>
      </c>
      <c r="I343" s="174">
        <f t="shared" si="66"/>
        <v>572</v>
      </c>
      <c r="J343" s="174">
        <f>VLOOKUP(D343,原始分!$D:$N,5,0)</f>
        <v>103.75</v>
      </c>
      <c r="K343" s="174">
        <f t="shared" si="67"/>
        <v>191</v>
      </c>
      <c r="L343" s="174">
        <f>VLOOKUP(D343,原始分!$D:$N,6,0)</f>
        <v>48.5</v>
      </c>
      <c r="M343" s="174">
        <f t="shared" si="68"/>
        <v>364</v>
      </c>
      <c r="N343" s="174">
        <f>VLOOKUP(D343,原始分!$D:$N,7,0)</f>
        <v>0</v>
      </c>
      <c r="O343" s="174">
        <f t="shared" si="69"/>
        <v>1</v>
      </c>
      <c r="P343" s="174">
        <f>VLOOKUP(D343,原始分!$D:$N,8,0)</f>
        <v>0</v>
      </c>
      <c r="Q343" s="174">
        <f t="shared" si="70"/>
        <v>539</v>
      </c>
      <c r="R343" s="174">
        <f>VLOOKUP(D343,原始分!$D:$N,9,0)</f>
        <v>55</v>
      </c>
      <c r="S343" s="174">
        <f t="shared" si="71"/>
        <v>44</v>
      </c>
      <c r="T343" s="174">
        <f>VLOOKUP(D343,原始分!$D:$N,10,0)</f>
        <v>0</v>
      </c>
      <c r="U343" s="174">
        <f t="shared" si="72"/>
        <v>112</v>
      </c>
      <c r="V343" s="174">
        <f>VLOOKUP(D343,原始分!$D:$N,11,0)</f>
        <v>46</v>
      </c>
      <c r="W343" s="174">
        <f t="shared" si="73"/>
        <v>316</v>
      </c>
      <c r="X343" s="11">
        <f t="shared" si="74"/>
        <v>288.5</v>
      </c>
      <c r="Y343" s="9">
        <f t="shared" si="75"/>
        <v>376</v>
      </c>
      <c r="Z343" s="11">
        <f t="shared" si="76"/>
        <v>438</v>
      </c>
      <c r="AA343" s="9">
        <f t="shared" si="77"/>
        <v>340</v>
      </c>
    </row>
    <row r="344" ht="14.25" spans="1:27">
      <c r="A344" s="13">
        <v>540</v>
      </c>
      <c r="B344" s="15">
        <v>11</v>
      </c>
      <c r="C344" s="16">
        <v>46</v>
      </c>
      <c r="D344" s="17" t="s">
        <v>1088</v>
      </c>
      <c r="E344" s="17" t="s">
        <v>1089</v>
      </c>
      <c r="F344" s="174">
        <f>VLOOKUP(D344,原始分!$D:$N,3,0)</f>
        <v>107</v>
      </c>
      <c r="G344" s="174">
        <f t="shared" si="65"/>
        <v>64</v>
      </c>
      <c r="H344" s="174">
        <f>VLOOKUP(D344,原始分!$D:$N,4,0)</f>
        <v>86.5</v>
      </c>
      <c r="I344" s="174">
        <f t="shared" si="66"/>
        <v>543</v>
      </c>
      <c r="J344" s="174">
        <f>VLOOKUP(D344,原始分!$D:$N,5,0)</f>
        <v>92.5</v>
      </c>
      <c r="K344" s="174">
        <f t="shared" si="67"/>
        <v>381</v>
      </c>
      <c r="L344" s="174">
        <f>VLOOKUP(D344,原始分!$D:$N,6,0)</f>
        <v>50.5</v>
      </c>
      <c r="M344" s="174">
        <f t="shared" si="68"/>
        <v>328</v>
      </c>
      <c r="N344" s="174">
        <f>VLOOKUP(D344,原始分!$D:$N,7,0)</f>
        <v>0</v>
      </c>
      <c r="O344" s="174">
        <f t="shared" si="69"/>
        <v>1</v>
      </c>
      <c r="P344" s="174">
        <f>VLOOKUP(D344,原始分!$D:$N,8,0)</f>
        <v>45</v>
      </c>
      <c r="Q344" s="174">
        <f t="shared" si="70"/>
        <v>208</v>
      </c>
      <c r="R344" s="174">
        <f>VLOOKUP(D344,原始分!$D:$N,9,0)</f>
        <v>0</v>
      </c>
      <c r="S344" s="174">
        <f t="shared" si="71"/>
        <v>218</v>
      </c>
      <c r="T344" s="174">
        <f>VLOOKUP(D344,原始分!$D:$N,10,0)</f>
        <v>0</v>
      </c>
      <c r="U344" s="174">
        <f t="shared" si="72"/>
        <v>112</v>
      </c>
      <c r="V344" s="174">
        <f>VLOOKUP(D344,原始分!$D:$N,11,0)</f>
        <v>56.5</v>
      </c>
      <c r="W344" s="174">
        <f t="shared" si="73"/>
        <v>125</v>
      </c>
      <c r="X344" s="11">
        <f t="shared" si="74"/>
        <v>286</v>
      </c>
      <c r="Y344" s="9">
        <f t="shared" si="75"/>
        <v>392</v>
      </c>
      <c r="Z344" s="11">
        <f t="shared" si="76"/>
        <v>438</v>
      </c>
      <c r="AA344" s="9">
        <f t="shared" si="77"/>
        <v>340</v>
      </c>
    </row>
    <row r="345" ht="14.25" spans="1:27">
      <c r="A345" s="13">
        <v>99</v>
      </c>
      <c r="B345" s="15">
        <v>2</v>
      </c>
      <c r="C345" s="16">
        <v>36</v>
      </c>
      <c r="D345" s="17" t="s">
        <v>211</v>
      </c>
      <c r="E345" s="17" t="s">
        <v>212</v>
      </c>
      <c r="F345" s="174">
        <f>VLOOKUP(D345,原始分!$D:$N,3,0)</f>
        <v>98</v>
      </c>
      <c r="G345" s="174">
        <f t="shared" si="65"/>
        <v>349</v>
      </c>
      <c r="H345" s="174">
        <f>VLOOKUP(D345,原始分!$D:$N,4,0)</f>
        <v>114</v>
      </c>
      <c r="I345" s="174">
        <f t="shared" si="66"/>
        <v>131</v>
      </c>
      <c r="J345" s="174">
        <f>VLOOKUP(D345,原始分!$D:$N,5,0)</f>
        <v>77.5</v>
      </c>
      <c r="K345" s="174">
        <f t="shared" si="67"/>
        <v>571</v>
      </c>
      <c r="L345" s="174">
        <f>VLOOKUP(D345,原始分!$D:$N,6,0)</f>
        <v>42</v>
      </c>
      <c r="M345" s="174">
        <f t="shared" si="68"/>
        <v>476</v>
      </c>
      <c r="N345" s="174">
        <f>VLOOKUP(D345,原始分!$D:$N,7,0)</f>
        <v>0</v>
      </c>
      <c r="O345" s="174">
        <f t="shared" si="69"/>
        <v>1</v>
      </c>
      <c r="P345" s="174">
        <f>VLOOKUP(D345,原始分!$D:$N,8,0)</f>
        <v>0</v>
      </c>
      <c r="Q345" s="174">
        <f t="shared" si="70"/>
        <v>539</v>
      </c>
      <c r="R345" s="174">
        <f>VLOOKUP(D345,原始分!$D:$N,9,0)</f>
        <v>0</v>
      </c>
      <c r="S345" s="174">
        <f t="shared" si="71"/>
        <v>218</v>
      </c>
      <c r="T345" s="174">
        <f>VLOOKUP(D345,原始分!$D:$N,10,0)</f>
        <v>49.5</v>
      </c>
      <c r="U345" s="174">
        <f t="shared" si="72"/>
        <v>81</v>
      </c>
      <c r="V345" s="174">
        <f>VLOOKUP(D345,原始分!$D:$N,11,0)</f>
        <v>56.5</v>
      </c>
      <c r="W345" s="174">
        <f t="shared" si="73"/>
        <v>125</v>
      </c>
      <c r="X345" s="11">
        <f t="shared" si="74"/>
        <v>289.5</v>
      </c>
      <c r="Y345" s="9">
        <f t="shared" si="75"/>
        <v>371</v>
      </c>
      <c r="Z345" s="11">
        <f t="shared" si="76"/>
        <v>437.5</v>
      </c>
      <c r="AA345" s="9">
        <f t="shared" si="77"/>
        <v>343</v>
      </c>
    </row>
    <row r="346" ht="14.25" spans="1:27">
      <c r="A346" s="13">
        <v>152</v>
      </c>
      <c r="B346" s="15">
        <v>3</v>
      </c>
      <c r="C346" s="16">
        <v>41</v>
      </c>
      <c r="D346" s="17" t="s">
        <v>317</v>
      </c>
      <c r="E346" s="17" t="s">
        <v>318</v>
      </c>
      <c r="F346" s="174">
        <f>VLOOKUP(D346,原始分!$D:$N,3,0)</f>
        <v>94.5</v>
      </c>
      <c r="G346" s="174">
        <f t="shared" si="65"/>
        <v>461</v>
      </c>
      <c r="H346" s="174">
        <f>VLOOKUP(D346,原始分!$D:$N,4,0)</f>
        <v>94</v>
      </c>
      <c r="I346" s="174">
        <f t="shared" si="66"/>
        <v>442</v>
      </c>
      <c r="J346" s="174">
        <f>VLOOKUP(D346,原始分!$D:$N,5,0)</f>
        <v>105</v>
      </c>
      <c r="K346" s="174">
        <f t="shared" si="67"/>
        <v>173</v>
      </c>
      <c r="L346" s="174">
        <f>VLOOKUP(D346,原始分!$D:$N,6,0)</f>
        <v>49</v>
      </c>
      <c r="M346" s="174">
        <f t="shared" si="68"/>
        <v>354</v>
      </c>
      <c r="N346" s="174">
        <f>VLOOKUP(D346,原始分!$D:$N,7,0)</f>
        <v>0</v>
      </c>
      <c r="O346" s="174">
        <f t="shared" si="69"/>
        <v>1</v>
      </c>
      <c r="P346" s="174">
        <f>VLOOKUP(D346,原始分!$D:$N,8,0)</f>
        <v>43</v>
      </c>
      <c r="Q346" s="174">
        <f t="shared" si="70"/>
        <v>247</v>
      </c>
      <c r="R346" s="174">
        <f>VLOOKUP(D346,原始分!$D:$N,9,0)</f>
        <v>52</v>
      </c>
      <c r="S346" s="174">
        <f t="shared" si="71"/>
        <v>75</v>
      </c>
      <c r="T346" s="174">
        <f>VLOOKUP(D346,原始分!$D:$N,10,0)</f>
        <v>0</v>
      </c>
      <c r="U346" s="174">
        <f t="shared" si="72"/>
        <v>112</v>
      </c>
      <c r="V346" s="174">
        <f>VLOOKUP(D346,原始分!$D:$N,11,0)</f>
        <v>0</v>
      </c>
      <c r="W346" s="174">
        <f t="shared" si="73"/>
        <v>461</v>
      </c>
      <c r="X346" s="11">
        <f t="shared" si="74"/>
        <v>293.5</v>
      </c>
      <c r="Y346" s="9">
        <f t="shared" si="75"/>
        <v>330</v>
      </c>
      <c r="Z346" s="11">
        <f t="shared" si="76"/>
        <v>437.5</v>
      </c>
      <c r="AA346" s="9">
        <f t="shared" si="77"/>
        <v>343</v>
      </c>
    </row>
    <row r="347" ht="14.25" spans="1:27">
      <c r="A347" s="13">
        <v>571</v>
      </c>
      <c r="B347" s="15">
        <v>12</v>
      </c>
      <c r="C347" s="16">
        <v>18</v>
      </c>
      <c r="D347" s="17" t="s">
        <v>1150</v>
      </c>
      <c r="E347" s="17" t="s">
        <v>1151</v>
      </c>
      <c r="F347" s="174">
        <f>VLOOKUP(D347,原始分!$D:$N,3,0)</f>
        <v>109.5</v>
      </c>
      <c r="G347" s="174">
        <f t="shared" si="65"/>
        <v>27</v>
      </c>
      <c r="H347" s="174">
        <f>VLOOKUP(D347,原始分!$D:$N,4,0)</f>
        <v>91</v>
      </c>
      <c r="I347" s="174">
        <f t="shared" si="66"/>
        <v>479</v>
      </c>
      <c r="J347" s="174">
        <f>VLOOKUP(D347,原始分!$D:$N,5,0)</f>
        <v>101</v>
      </c>
      <c r="K347" s="174">
        <f t="shared" si="67"/>
        <v>229</v>
      </c>
      <c r="L347" s="174">
        <f>VLOOKUP(D347,原始分!$D:$N,6,0)</f>
        <v>49.5</v>
      </c>
      <c r="M347" s="174">
        <f t="shared" si="68"/>
        <v>341</v>
      </c>
      <c r="N347" s="174">
        <f>VLOOKUP(D347,原始分!$D:$N,7,0)</f>
        <v>0</v>
      </c>
      <c r="O347" s="174">
        <f t="shared" si="69"/>
        <v>1</v>
      </c>
      <c r="P347" s="174">
        <f>VLOOKUP(D347,原始分!$D:$N,8,0)</f>
        <v>43</v>
      </c>
      <c r="Q347" s="174">
        <f t="shared" si="70"/>
        <v>247</v>
      </c>
      <c r="R347" s="174">
        <f>VLOOKUP(D347,原始分!$D:$N,9,0)</f>
        <v>0</v>
      </c>
      <c r="S347" s="174">
        <f t="shared" si="71"/>
        <v>218</v>
      </c>
      <c r="T347" s="174">
        <f>VLOOKUP(D347,原始分!$D:$N,10,0)</f>
        <v>0</v>
      </c>
      <c r="U347" s="174">
        <f t="shared" si="72"/>
        <v>112</v>
      </c>
      <c r="V347" s="174">
        <f>VLOOKUP(D347,原始分!$D:$N,11,0)</f>
        <v>43.5</v>
      </c>
      <c r="W347" s="174">
        <f t="shared" si="73"/>
        <v>359</v>
      </c>
      <c r="X347" s="11">
        <f t="shared" si="74"/>
        <v>301.5</v>
      </c>
      <c r="Y347" s="9">
        <f t="shared" si="75"/>
        <v>265</v>
      </c>
      <c r="Z347" s="11">
        <f t="shared" si="76"/>
        <v>437.5</v>
      </c>
      <c r="AA347" s="9">
        <f t="shared" si="77"/>
        <v>343</v>
      </c>
    </row>
    <row r="348" ht="14.25" spans="1:27">
      <c r="A348" s="13">
        <v>195</v>
      </c>
      <c r="B348" s="15">
        <v>4</v>
      </c>
      <c r="C348" s="16">
        <v>38</v>
      </c>
      <c r="D348" s="17" t="s">
        <v>403</v>
      </c>
      <c r="E348" s="17" t="s">
        <v>404</v>
      </c>
      <c r="F348" s="174">
        <f>VLOOKUP(D348,原始分!$D:$N,3,0)</f>
        <v>89</v>
      </c>
      <c r="G348" s="174">
        <f t="shared" si="65"/>
        <v>595</v>
      </c>
      <c r="H348" s="174">
        <f>VLOOKUP(D348,原始分!$D:$N,4,0)</f>
        <v>95</v>
      </c>
      <c r="I348" s="174">
        <f t="shared" si="66"/>
        <v>418</v>
      </c>
      <c r="J348" s="174">
        <f>VLOOKUP(D348,原始分!$D:$N,5,0)</f>
        <v>92.5</v>
      </c>
      <c r="K348" s="174">
        <f t="shared" si="67"/>
        <v>381</v>
      </c>
      <c r="L348" s="174">
        <f>VLOOKUP(D348,原始分!$D:$N,6,0)</f>
        <v>57.5</v>
      </c>
      <c r="M348" s="174">
        <f t="shared" si="68"/>
        <v>228</v>
      </c>
      <c r="N348" s="174">
        <f>VLOOKUP(D348,原始分!$D:$N,7,0)</f>
        <v>0</v>
      </c>
      <c r="O348" s="174">
        <f t="shared" si="69"/>
        <v>1</v>
      </c>
      <c r="P348" s="174">
        <f>VLOOKUP(D348,原始分!$D:$N,8,0)</f>
        <v>53.5</v>
      </c>
      <c r="Q348" s="174">
        <f t="shared" si="70"/>
        <v>62</v>
      </c>
      <c r="R348" s="174">
        <f>VLOOKUP(D348,原始分!$D:$N,9,0)</f>
        <v>49.75</v>
      </c>
      <c r="S348" s="174">
        <f t="shared" si="71"/>
        <v>98</v>
      </c>
      <c r="T348" s="174">
        <f>VLOOKUP(D348,原始分!$D:$N,10,0)</f>
        <v>0</v>
      </c>
      <c r="U348" s="174">
        <f t="shared" si="72"/>
        <v>112</v>
      </c>
      <c r="V348" s="174">
        <f>VLOOKUP(D348,原始分!$D:$N,11,0)</f>
        <v>0</v>
      </c>
      <c r="W348" s="174">
        <f t="shared" si="73"/>
        <v>461</v>
      </c>
      <c r="X348" s="11">
        <f t="shared" si="74"/>
        <v>276.5</v>
      </c>
      <c r="Y348" s="9">
        <f t="shared" si="75"/>
        <v>488</v>
      </c>
      <c r="Z348" s="11">
        <f t="shared" si="76"/>
        <v>437.25</v>
      </c>
      <c r="AA348" s="9">
        <f t="shared" si="77"/>
        <v>346</v>
      </c>
    </row>
    <row r="349" ht="14.25" spans="1:27">
      <c r="A349" s="13">
        <v>43</v>
      </c>
      <c r="B349" s="15">
        <v>1</v>
      </c>
      <c r="C349" s="16">
        <v>45</v>
      </c>
      <c r="D349" s="17" t="s">
        <v>100</v>
      </c>
      <c r="E349" s="17" t="s">
        <v>101</v>
      </c>
      <c r="F349" s="174">
        <f>VLOOKUP(D349,原始分!$D:$N,3,0)</f>
        <v>89.5</v>
      </c>
      <c r="G349" s="174">
        <f t="shared" si="65"/>
        <v>589</v>
      </c>
      <c r="H349" s="174">
        <f>VLOOKUP(D349,原始分!$D:$N,4,0)</f>
        <v>104</v>
      </c>
      <c r="I349" s="174">
        <f t="shared" si="66"/>
        <v>290</v>
      </c>
      <c r="J349" s="174">
        <f>VLOOKUP(D349,原始分!$D:$N,5,0)</f>
        <v>85.5</v>
      </c>
      <c r="K349" s="174">
        <f t="shared" si="67"/>
        <v>481</v>
      </c>
      <c r="L349" s="174">
        <f>VLOOKUP(D349,原始分!$D:$N,6,0)</f>
        <v>65</v>
      </c>
      <c r="M349" s="174">
        <f t="shared" si="68"/>
        <v>115</v>
      </c>
      <c r="N349" s="174">
        <f>VLOOKUP(D349,原始分!$D:$N,7,0)</f>
        <v>0</v>
      </c>
      <c r="O349" s="174">
        <f t="shared" si="69"/>
        <v>1</v>
      </c>
      <c r="P349" s="174">
        <f>VLOOKUP(D349,原始分!$D:$N,8,0)</f>
        <v>47</v>
      </c>
      <c r="Q349" s="174">
        <f t="shared" si="70"/>
        <v>172</v>
      </c>
      <c r="R349" s="174">
        <f>VLOOKUP(D349,原始分!$D:$N,9,0)</f>
        <v>0</v>
      </c>
      <c r="S349" s="174">
        <f t="shared" si="71"/>
        <v>218</v>
      </c>
      <c r="T349" s="174">
        <f>VLOOKUP(D349,原始分!$D:$N,10,0)</f>
        <v>46</v>
      </c>
      <c r="U349" s="174">
        <f t="shared" si="72"/>
        <v>100</v>
      </c>
      <c r="V349" s="174">
        <f>VLOOKUP(D349,原始分!$D:$N,11,0)</f>
        <v>0</v>
      </c>
      <c r="W349" s="174">
        <f t="shared" si="73"/>
        <v>461</v>
      </c>
      <c r="X349" s="11">
        <f t="shared" si="74"/>
        <v>279</v>
      </c>
      <c r="Y349" s="9">
        <f t="shared" si="75"/>
        <v>456</v>
      </c>
      <c r="Z349" s="11">
        <f t="shared" si="76"/>
        <v>437</v>
      </c>
      <c r="AA349" s="9">
        <f t="shared" si="77"/>
        <v>347</v>
      </c>
    </row>
    <row r="350" ht="14.25" spans="1:27">
      <c r="A350" s="13">
        <v>66</v>
      </c>
      <c r="B350" s="15">
        <v>2</v>
      </c>
      <c r="C350" s="16">
        <v>3</v>
      </c>
      <c r="D350" s="17" t="s">
        <v>146</v>
      </c>
      <c r="E350" s="17" t="s">
        <v>147</v>
      </c>
      <c r="F350" s="174">
        <f>VLOOKUP(D350,原始分!$D:$N,3,0)</f>
        <v>103.5</v>
      </c>
      <c r="G350" s="174">
        <f t="shared" si="65"/>
        <v>146</v>
      </c>
      <c r="H350" s="174">
        <f>VLOOKUP(D350,原始分!$D:$N,4,0)</f>
        <v>84</v>
      </c>
      <c r="I350" s="174">
        <f t="shared" si="66"/>
        <v>567</v>
      </c>
      <c r="J350" s="174">
        <f>VLOOKUP(D350,原始分!$D:$N,5,0)</f>
        <v>100.25</v>
      </c>
      <c r="K350" s="174">
        <f t="shared" si="67"/>
        <v>239</v>
      </c>
      <c r="L350" s="174">
        <f>VLOOKUP(D350,原始分!$D:$N,6,0)</f>
        <v>35</v>
      </c>
      <c r="M350" s="174">
        <f t="shared" si="68"/>
        <v>572</v>
      </c>
      <c r="N350" s="174">
        <f>VLOOKUP(D350,原始分!$D:$N,7,0)</f>
        <v>0</v>
      </c>
      <c r="O350" s="174">
        <f t="shared" si="69"/>
        <v>1</v>
      </c>
      <c r="P350" s="174">
        <f>VLOOKUP(D350,原始分!$D:$N,8,0)</f>
        <v>0</v>
      </c>
      <c r="Q350" s="174">
        <f t="shared" si="70"/>
        <v>539</v>
      </c>
      <c r="R350" s="174">
        <f>VLOOKUP(D350,原始分!$D:$N,9,0)</f>
        <v>0</v>
      </c>
      <c r="S350" s="174">
        <f t="shared" si="71"/>
        <v>218</v>
      </c>
      <c r="T350" s="174">
        <f>VLOOKUP(D350,原始分!$D:$N,10,0)</f>
        <v>61.5</v>
      </c>
      <c r="U350" s="174">
        <f t="shared" si="72"/>
        <v>22</v>
      </c>
      <c r="V350" s="174">
        <f>VLOOKUP(D350,原始分!$D:$N,11,0)</f>
        <v>52.5</v>
      </c>
      <c r="W350" s="174">
        <f t="shared" si="73"/>
        <v>195</v>
      </c>
      <c r="X350" s="11">
        <f t="shared" si="74"/>
        <v>287.75</v>
      </c>
      <c r="Y350" s="9">
        <f t="shared" si="75"/>
        <v>380</v>
      </c>
      <c r="Z350" s="11">
        <f t="shared" si="76"/>
        <v>436.75</v>
      </c>
      <c r="AA350" s="9">
        <f t="shared" si="77"/>
        <v>348</v>
      </c>
    </row>
    <row r="351" ht="14.25" spans="1:27">
      <c r="A351" s="13">
        <v>247</v>
      </c>
      <c r="B351" s="15">
        <v>5</v>
      </c>
      <c r="C351" s="16">
        <v>44</v>
      </c>
      <c r="D351" s="17" t="s">
        <v>506</v>
      </c>
      <c r="E351" s="17" t="s">
        <v>507</v>
      </c>
      <c r="F351" s="174">
        <f>VLOOKUP(D351,原始分!$D:$N,3,0)</f>
        <v>101</v>
      </c>
      <c r="G351" s="174">
        <f t="shared" si="65"/>
        <v>224</v>
      </c>
      <c r="H351" s="174">
        <f>VLOOKUP(D351,原始分!$D:$N,4,0)</f>
        <v>115</v>
      </c>
      <c r="I351" s="174">
        <f t="shared" si="66"/>
        <v>116</v>
      </c>
      <c r="J351" s="174">
        <f>VLOOKUP(D351,原始分!$D:$N,5,0)</f>
        <v>94.75</v>
      </c>
      <c r="K351" s="174">
        <f t="shared" si="67"/>
        <v>345</v>
      </c>
      <c r="L351" s="174">
        <f>VLOOKUP(D351,原始分!$D:$N,6,0)</f>
        <v>38.5</v>
      </c>
      <c r="M351" s="174">
        <f t="shared" si="68"/>
        <v>528</v>
      </c>
      <c r="N351" s="174">
        <f>VLOOKUP(D351,原始分!$D:$N,7,0)</f>
        <v>0</v>
      </c>
      <c r="O351" s="174">
        <f t="shared" si="69"/>
        <v>1</v>
      </c>
      <c r="P351" s="174">
        <f>VLOOKUP(D351,原始分!$D:$N,8,0)</f>
        <v>42</v>
      </c>
      <c r="Q351" s="174">
        <f t="shared" si="70"/>
        <v>265</v>
      </c>
      <c r="R351" s="174">
        <f>VLOOKUP(D351,原始分!$D:$N,9,0)</f>
        <v>45.5</v>
      </c>
      <c r="S351" s="174">
        <f t="shared" si="71"/>
        <v>151</v>
      </c>
      <c r="T351" s="174">
        <f>VLOOKUP(D351,原始分!$D:$N,10,0)</f>
        <v>0</v>
      </c>
      <c r="U351" s="174">
        <f t="shared" si="72"/>
        <v>112</v>
      </c>
      <c r="V351" s="174">
        <f>VLOOKUP(D351,原始分!$D:$N,11,0)</f>
        <v>0</v>
      </c>
      <c r="W351" s="174">
        <f t="shared" si="73"/>
        <v>461</v>
      </c>
      <c r="X351" s="11">
        <f t="shared" si="74"/>
        <v>310.75</v>
      </c>
      <c r="Y351" s="9">
        <f t="shared" si="75"/>
        <v>183</v>
      </c>
      <c r="Z351" s="11">
        <f t="shared" si="76"/>
        <v>436.75</v>
      </c>
      <c r="AA351" s="9">
        <f t="shared" si="77"/>
        <v>348</v>
      </c>
    </row>
    <row r="352" ht="14.25" spans="1:27">
      <c r="A352" s="13">
        <v>632</v>
      </c>
      <c r="B352" s="15">
        <v>13</v>
      </c>
      <c r="C352" s="16">
        <v>25</v>
      </c>
      <c r="D352" s="17" t="s">
        <v>1272</v>
      </c>
      <c r="E352" s="17" t="s">
        <v>1273</v>
      </c>
      <c r="F352" s="174">
        <f>VLOOKUP(D352,原始分!$D:$N,3,0)</f>
        <v>95</v>
      </c>
      <c r="G352" s="174">
        <f t="shared" si="65"/>
        <v>441</v>
      </c>
      <c r="H352" s="174">
        <f>VLOOKUP(D352,原始分!$D:$N,4,0)</f>
        <v>91</v>
      </c>
      <c r="I352" s="174">
        <f t="shared" si="66"/>
        <v>479</v>
      </c>
      <c r="J352" s="174">
        <f>VLOOKUP(D352,原始分!$D:$N,5,0)</f>
        <v>79</v>
      </c>
      <c r="K352" s="174">
        <f t="shared" si="67"/>
        <v>561</v>
      </c>
      <c r="L352" s="174">
        <f>VLOOKUP(D352,原始分!$D:$N,6,0)</f>
        <v>61</v>
      </c>
      <c r="M352" s="174">
        <f t="shared" si="68"/>
        <v>168</v>
      </c>
      <c r="N352" s="174">
        <f>VLOOKUP(D352,原始分!$D:$N,7,0)</f>
        <v>0</v>
      </c>
      <c r="O352" s="174">
        <f t="shared" si="69"/>
        <v>1</v>
      </c>
      <c r="P352" s="174">
        <f>VLOOKUP(D352,原始分!$D:$N,8,0)</f>
        <v>57.5</v>
      </c>
      <c r="Q352" s="174">
        <f t="shared" si="70"/>
        <v>38</v>
      </c>
      <c r="R352" s="174">
        <f>VLOOKUP(D352,原始分!$D:$N,9,0)</f>
        <v>0</v>
      </c>
      <c r="S352" s="174">
        <f t="shared" si="71"/>
        <v>218</v>
      </c>
      <c r="T352" s="174">
        <f>VLOOKUP(D352,原始分!$D:$N,10,0)</f>
        <v>0</v>
      </c>
      <c r="U352" s="174">
        <f t="shared" si="72"/>
        <v>112</v>
      </c>
      <c r="V352" s="174">
        <f>VLOOKUP(D352,原始分!$D:$N,11,0)</f>
        <v>53</v>
      </c>
      <c r="W352" s="174">
        <f t="shared" si="73"/>
        <v>185</v>
      </c>
      <c r="X352" s="11">
        <f t="shared" si="74"/>
        <v>265</v>
      </c>
      <c r="Y352" s="9">
        <f t="shared" si="75"/>
        <v>556</v>
      </c>
      <c r="Z352" s="11">
        <f t="shared" si="76"/>
        <v>436.5</v>
      </c>
      <c r="AA352" s="9">
        <f t="shared" si="77"/>
        <v>350</v>
      </c>
    </row>
    <row r="353" ht="14.25" spans="1:27">
      <c r="A353" s="13">
        <v>260</v>
      </c>
      <c r="B353" s="15">
        <v>6</v>
      </c>
      <c r="C353" s="16">
        <v>12</v>
      </c>
      <c r="D353" s="17" t="s">
        <v>531</v>
      </c>
      <c r="E353" s="17" t="s">
        <v>532</v>
      </c>
      <c r="F353" s="174">
        <f>VLOOKUP(D353,原始分!$D:$N,3,0)</f>
        <v>101</v>
      </c>
      <c r="G353" s="174">
        <f t="shared" si="65"/>
        <v>224</v>
      </c>
      <c r="H353" s="174">
        <f>VLOOKUP(D353,原始分!$D:$N,4,0)</f>
        <v>87</v>
      </c>
      <c r="I353" s="174">
        <f t="shared" si="66"/>
        <v>540</v>
      </c>
      <c r="J353" s="174">
        <f>VLOOKUP(D353,原始分!$D:$N,5,0)</f>
        <v>108.25</v>
      </c>
      <c r="K353" s="174">
        <f t="shared" si="67"/>
        <v>124</v>
      </c>
      <c r="L353" s="174">
        <f>VLOOKUP(D353,原始分!$D:$N,6,0)</f>
        <v>46.5</v>
      </c>
      <c r="M353" s="174">
        <f t="shared" si="68"/>
        <v>404</v>
      </c>
      <c r="N353" s="174">
        <f>VLOOKUP(D353,原始分!$D:$N,7,0)</f>
        <v>0</v>
      </c>
      <c r="O353" s="174">
        <f t="shared" si="69"/>
        <v>1</v>
      </c>
      <c r="P353" s="174">
        <f>VLOOKUP(D353,原始分!$D:$N,8,0)</f>
        <v>0</v>
      </c>
      <c r="Q353" s="174">
        <f t="shared" si="70"/>
        <v>539</v>
      </c>
      <c r="R353" s="174">
        <f>VLOOKUP(D353,原始分!$D:$N,9,0)</f>
        <v>45.5</v>
      </c>
      <c r="S353" s="174">
        <f t="shared" si="71"/>
        <v>151</v>
      </c>
      <c r="T353" s="174">
        <f>VLOOKUP(D353,原始分!$D:$N,10,0)</f>
        <v>0</v>
      </c>
      <c r="U353" s="174">
        <f t="shared" si="72"/>
        <v>112</v>
      </c>
      <c r="V353" s="174">
        <f>VLOOKUP(D353,原始分!$D:$N,11,0)</f>
        <v>48</v>
      </c>
      <c r="W353" s="174">
        <f t="shared" si="73"/>
        <v>277</v>
      </c>
      <c r="X353" s="11">
        <f t="shared" si="74"/>
        <v>296.25</v>
      </c>
      <c r="Y353" s="9">
        <f t="shared" si="75"/>
        <v>305</v>
      </c>
      <c r="Z353" s="11">
        <f t="shared" si="76"/>
        <v>436.25</v>
      </c>
      <c r="AA353" s="9">
        <f t="shared" si="77"/>
        <v>351</v>
      </c>
    </row>
    <row r="354" ht="14.25" spans="1:27">
      <c r="A354" s="13">
        <v>167</v>
      </c>
      <c r="B354" s="15">
        <v>4</v>
      </c>
      <c r="C354" s="16">
        <v>8</v>
      </c>
      <c r="D354" s="17" t="s">
        <v>347</v>
      </c>
      <c r="E354" s="17" t="s">
        <v>348</v>
      </c>
      <c r="F354" s="174">
        <f>VLOOKUP(D354,原始分!$D:$N,3,0)</f>
        <v>87.5</v>
      </c>
      <c r="G354" s="174">
        <f t="shared" si="65"/>
        <v>613</v>
      </c>
      <c r="H354" s="174">
        <f>VLOOKUP(D354,原始分!$D:$N,4,0)</f>
        <v>101.5</v>
      </c>
      <c r="I354" s="174">
        <f t="shared" si="66"/>
        <v>328</v>
      </c>
      <c r="J354" s="174">
        <f>VLOOKUP(D354,原始分!$D:$N,5,0)</f>
        <v>101.5</v>
      </c>
      <c r="K354" s="174">
        <f t="shared" si="67"/>
        <v>217</v>
      </c>
      <c r="L354" s="174">
        <f>VLOOKUP(D354,原始分!$D:$N,6,0)</f>
        <v>44</v>
      </c>
      <c r="M354" s="174">
        <f t="shared" si="68"/>
        <v>441</v>
      </c>
      <c r="N354" s="174">
        <f>VLOOKUP(D354,原始分!$D:$N,7,0)</f>
        <v>0</v>
      </c>
      <c r="O354" s="174">
        <f t="shared" si="69"/>
        <v>1</v>
      </c>
      <c r="P354" s="174">
        <f>VLOOKUP(D354,原始分!$D:$N,8,0)</f>
        <v>40</v>
      </c>
      <c r="Q354" s="174">
        <f t="shared" si="70"/>
        <v>314</v>
      </c>
      <c r="R354" s="174">
        <f>VLOOKUP(D354,原始分!$D:$N,9,0)</f>
        <v>61.5</v>
      </c>
      <c r="S354" s="174">
        <f t="shared" si="71"/>
        <v>10</v>
      </c>
      <c r="T354" s="174">
        <f>VLOOKUP(D354,原始分!$D:$N,10,0)</f>
        <v>0</v>
      </c>
      <c r="U354" s="174">
        <f t="shared" si="72"/>
        <v>112</v>
      </c>
      <c r="V354" s="174">
        <f>VLOOKUP(D354,原始分!$D:$N,11,0)</f>
        <v>0</v>
      </c>
      <c r="W354" s="174">
        <f t="shared" si="73"/>
        <v>461</v>
      </c>
      <c r="X354" s="11">
        <f t="shared" si="74"/>
        <v>290.5</v>
      </c>
      <c r="Y354" s="9">
        <f t="shared" si="75"/>
        <v>364</v>
      </c>
      <c r="Z354" s="11">
        <f t="shared" si="76"/>
        <v>436</v>
      </c>
      <c r="AA354" s="9">
        <f t="shared" si="77"/>
        <v>352</v>
      </c>
    </row>
    <row r="355" ht="14.25" spans="1:27">
      <c r="A355" s="13">
        <v>235</v>
      </c>
      <c r="B355" s="15">
        <v>5</v>
      </c>
      <c r="C355" s="16">
        <v>32</v>
      </c>
      <c r="D355" s="17" t="s">
        <v>483</v>
      </c>
      <c r="E355" s="17" t="s">
        <v>484</v>
      </c>
      <c r="F355" s="174">
        <f>VLOOKUP(D355,原始分!$D:$N,3,0)</f>
        <v>88</v>
      </c>
      <c r="G355" s="174">
        <f t="shared" si="65"/>
        <v>607</v>
      </c>
      <c r="H355" s="174">
        <f>VLOOKUP(D355,原始分!$D:$N,4,0)</f>
        <v>117.5</v>
      </c>
      <c r="I355" s="174">
        <f t="shared" si="66"/>
        <v>83</v>
      </c>
      <c r="J355" s="174">
        <f>VLOOKUP(D355,原始分!$D:$N,5,0)</f>
        <v>95.5</v>
      </c>
      <c r="K355" s="174">
        <f t="shared" si="67"/>
        <v>332</v>
      </c>
      <c r="L355" s="174">
        <f>VLOOKUP(D355,原始分!$D:$N,6,0)</f>
        <v>45</v>
      </c>
      <c r="M355" s="174">
        <f t="shared" si="68"/>
        <v>424</v>
      </c>
      <c r="N355" s="174">
        <f>VLOOKUP(D355,原始分!$D:$N,7,0)</f>
        <v>0</v>
      </c>
      <c r="O355" s="174">
        <f t="shared" si="69"/>
        <v>1</v>
      </c>
      <c r="P355" s="174">
        <f>VLOOKUP(D355,原始分!$D:$N,8,0)</f>
        <v>40.5</v>
      </c>
      <c r="Q355" s="174">
        <f t="shared" si="70"/>
        <v>301</v>
      </c>
      <c r="R355" s="174">
        <f>VLOOKUP(D355,原始分!$D:$N,9,0)</f>
        <v>49.5</v>
      </c>
      <c r="S355" s="174">
        <f t="shared" si="71"/>
        <v>99</v>
      </c>
      <c r="T355" s="174">
        <f>VLOOKUP(D355,原始分!$D:$N,10,0)</f>
        <v>0</v>
      </c>
      <c r="U355" s="174">
        <f t="shared" si="72"/>
        <v>112</v>
      </c>
      <c r="V355" s="174">
        <f>VLOOKUP(D355,原始分!$D:$N,11,0)</f>
        <v>0</v>
      </c>
      <c r="W355" s="174">
        <f t="shared" si="73"/>
        <v>461</v>
      </c>
      <c r="X355" s="11">
        <f t="shared" si="74"/>
        <v>301</v>
      </c>
      <c r="Y355" s="9">
        <f t="shared" si="75"/>
        <v>271</v>
      </c>
      <c r="Z355" s="11">
        <f t="shared" si="76"/>
        <v>436</v>
      </c>
      <c r="AA355" s="9">
        <f t="shared" si="77"/>
        <v>352</v>
      </c>
    </row>
    <row r="356" ht="14.25" spans="1:27">
      <c r="A356" s="13">
        <v>473</v>
      </c>
      <c r="B356" s="15">
        <v>10</v>
      </c>
      <c r="C356" s="16">
        <v>34</v>
      </c>
      <c r="D356" s="17" t="s">
        <v>956</v>
      </c>
      <c r="E356" s="17" t="s">
        <v>957</v>
      </c>
      <c r="F356" s="174">
        <f>VLOOKUP(D356,原始分!$D:$N,3,0)</f>
        <v>88.5</v>
      </c>
      <c r="G356" s="174">
        <f t="shared" si="65"/>
        <v>603</v>
      </c>
      <c r="H356" s="174">
        <f>VLOOKUP(D356,原始分!$D:$N,4,0)</f>
        <v>100.5</v>
      </c>
      <c r="I356" s="174">
        <f t="shared" si="66"/>
        <v>343</v>
      </c>
      <c r="J356" s="174">
        <f>VLOOKUP(D356,原始分!$D:$N,5,0)</f>
        <v>98</v>
      </c>
      <c r="K356" s="174">
        <f t="shared" si="67"/>
        <v>290</v>
      </c>
      <c r="L356" s="174">
        <f>VLOOKUP(D356,原始分!$D:$N,6,0)</f>
        <v>61</v>
      </c>
      <c r="M356" s="174">
        <f t="shared" si="68"/>
        <v>168</v>
      </c>
      <c r="N356" s="174">
        <f>VLOOKUP(D356,原始分!$D:$N,7,0)</f>
        <v>0</v>
      </c>
      <c r="O356" s="174">
        <f t="shared" si="69"/>
        <v>1</v>
      </c>
      <c r="P356" s="174">
        <f>VLOOKUP(D356,原始分!$D:$N,8,0)</f>
        <v>42</v>
      </c>
      <c r="Q356" s="174">
        <f t="shared" si="70"/>
        <v>265</v>
      </c>
      <c r="R356" s="174">
        <f>VLOOKUP(D356,原始分!$D:$N,9,0)</f>
        <v>0</v>
      </c>
      <c r="S356" s="174">
        <f t="shared" si="71"/>
        <v>218</v>
      </c>
      <c r="T356" s="174">
        <f>VLOOKUP(D356,原始分!$D:$N,10,0)</f>
        <v>0</v>
      </c>
      <c r="U356" s="174">
        <f t="shared" si="72"/>
        <v>112</v>
      </c>
      <c r="V356" s="174">
        <f>VLOOKUP(D356,原始分!$D:$N,11,0)</f>
        <v>46</v>
      </c>
      <c r="W356" s="174">
        <f t="shared" si="73"/>
        <v>316</v>
      </c>
      <c r="X356" s="11">
        <f t="shared" si="74"/>
        <v>287</v>
      </c>
      <c r="Y356" s="9">
        <f t="shared" si="75"/>
        <v>386</v>
      </c>
      <c r="Z356" s="11">
        <f t="shared" si="76"/>
        <v>436</v>
      </c>
      <c r="AA356" s="9">
        <f t="shared" si="77"/>
        <v>352</v>
      </c>
    </row>
    <row r="357" ht="14.25" spans="1:27">
      <c r="A357" s="13">
        <v>513</v>
      </c>
      <c r="B357" s="15">
        <v>11</v>
      </c>
      <c r="C357" s="16">
        <v>17</v>
      </c>
      <c r="D357" s="17" t="s">
        <v>1036</v>
      </c>
      <c r="E357" s="17" t="s">
        <v>1037</v>
      </c>
      <c r="F357" s="174">
        <f>VLOOKUP(D357,原始分!$D:$N,3,0)</f>
        <v>102</v>
      </c>
      <c r="G357" s="174">
        <f t="shared" si="65"/>
        <v>199</v>
      </c>
      <c r="H357" s="174">
        <f>VLOOKUP(D357,原始分!$D:$N,4,0)</f>
        <v>104</v>
      </c>
      <c r="I357" s="174">
        <f t="shared" si="66"/>
        <v>290</v>
      </c>
      <c r="J357" s="174">
        <f>VLOOKUP(D357,原始分!$D:$N,5,0)</f>
        <v>113</v>
      </c>
      <c r="K357" s="174">
        <f t="shared" si="67"/>
        <v>72</v>
      </c>
      <c r="L357" s="174">
        <f>VLOOKUP(D357,原始分!$D:$N,6,0)</f>
        <v>24</v>
      </c>
      <c r="M357" s="174">
        <f t="shared" si="68"/>
        <v>641</v>
      </c>
      <c r="N357" s="174">
        <f>VLOOKUP(D357,原始分!$D:$N,7,0)</f>
        <v>0</v>
      </c>
      <c r="O357" s="174">
        <f t="shared" si="69"/>
        <v>1</v>
      </c>
      <c r="P357" s="174">
        <f>VLOOKUP(D357,原始分!$D:$N,8,0)</f>
        <v>47.5</v>
      </c>
      <c r="Q357" s="174">
        <f t="shared" si="70"/>
        <v>156</v>
      </c>
      <c r="R357" s="174">
        <f>VLOOKUP(D357,原始分!$D:$N,9,0)</f>
        <v>0</v>
      </c>
      <c r="S357" s="174">
        <f t="shared" si="71"/>
        <v>218</v>
      </c>
      <c r="T357" s="174">
        <f>VLOOKUP(D357,原始分!$D:$N,10,0)</f>
        <v>0</v>
      </c>
      <c r="U357" s="174">
        <f t="shared" si="72"/>
        <v>112</v>
      </c>
      <c r="V357" s="174">
        <f>VLOOKUP(D357,原始分!$D:$N,11,0)</f>
        <v>45.5</v>
      </c>
      <c r="W357" s="174">
        <f t="shared" si="73"/>
        <v>326</v>
      </c>
      <c r="X357" s="11">
        <f t="shared" si="74"/>
        <v>319</v>
      </c>
      <c r="Y357" s="9">
        <f t="shared" si="75"/>
        <v>124</v>
      </c>
      <c r="Z357" s="11">
        <f t="shared" si="76"/>
        <v>436</v>
      </c>
      <c r="AA357" s="9">
        <f t="shared" si="77"/>
        <v>352</v>
      </c>
    </row>
    <row r="358" ht="14.25" spans="1:27">
      <c r="A358" s="13">
        <v>117</v>
      </c>
      <c r="B358" s="15">
        <v>3</v>
      </c>
      <c r="C358" s="16">
        <v>6</v>
      </c>
      <c r="D358" s="17" t="s">
        <v>247</v>
      </c>
      <c r="E358" s="17" t="s">
        <v>248</v>
      </c>
      <c r="F358" s="174">
        <f>VLOOKUP(D358,原始分!$D:$N,3,0)</f>
        <v>99</v>
      </c>
      <c r="G358" s="174">
        <f t="shared" si="65"/>
        <v>304</v>
      </c>
      <c r="H358" s="174">
        <f>VLOOKUP(D358,原始分!$D:$N,4,0)</f>
        <v>82.5</v>
      </c>
      <c r="I358" s="174">
        <f t="shared" si="66"/>
        <v>581</v>
      </c>
      <c r="J358" s="174">
        <f>VLOOKUP(D358,原始分!$D:$N,5,0)</f>
        <v>100.75</v>
      </c>
      <c r="K358" s="174">
        <f t="shared" si="67"/>
        <v>232</v>
      </c>
      <c r="L358" s="174">
        <f>VLOOKUP(D358,原始分!$D:$N,6,0)</f>
        <v>53</v>
      </c>
      <c r="M358" s="174">
        <f t="shared" si="68"/>
        <v>300</v>
      </c>
      <c r="N358" s="174">
        <f>VLOOKUP(D358,原始分!$D:$N,7,0)</f>
        <v>0</v>
      </c>
      <c r="O358" s="174">
        <f t="shared" si="69"/>
        <v>1</v>
      </c>
      <c r="P358" s="174">
        <f>VLOOKUP(D358,原始分!$D:$N,8,0)</f>
        <v>47</v>
      </c>
      <c r="Q358" s="174">
        <f t="shared" si="70"/>
        <v>172</v>
      </c>
      <c r="R358" s="174">
        <f>VLOOKUP(D358,原始分!$D:$N,9,0)</f>
        <v>53.5</v>
      </c>
      <c r="S358" s="174">
        <f t="shared" si="71"/>
        <v>58</v>
      </c>
      <c r="T358" s="174">
        <f>VLOOKUP(D358,原始分!$D:$N,10,0)</f>
        <v>0</v>
      </c>
      <c r="U358" s="174">
        <f t="shared" si="72"/>
        <v>112</v>
      </c>
      <c r="V358" s="174">
        <f>VLOOKUP(D358,原始分!$D:$N,11,0)</f>
        <v>0</v>
      </c>
      <c r="W358" s="174">
        <f t="shared" si="73"/>
        <v>461</v>
      </c>
      <c r="X358" s="11">
        <f t="shared" si="74"/>
        <v>282.25</v>
      </c>
      <c r="Y358" s="9">
        <f t="shared" si="75"/>
        <v>430</v>
      </c>
      <c r="Z358" s="11">
        <f t="shared" si="76"/>
        <v>435.75</v>
      </c>
      <c r="AA358" s="9">
        <f t="shared" si="77"/>
        <v>356</v>
      </c>
    </row>
    <row r="359" ht="14.25" spans="1:27">
      <c r="A359" s="13">
        <v>337</v>
      </c>
      <c r="B359" s="15">
        <v>8</v>
      </c>
      <c r="C359" s="16">
        <v>9</v>
      </c>
      <c r="D359" s="17" t="s">
        <v>685</v>
      </c>
      <c r="E359" s="17" t="s">
        <v>686</v>
      </c>
      <c r="F359" s="174">
        <f>VLOOKUP(D359,原始分!$D:$N,3,0)</f>
        <v>100.5</v>
      </c>
      <c r="G359" s="174">
        <f t="shared" si="65"/>
        <v>252</v>
      </c>
      <c r="H359" s="174">
        <f>VLOOKUP(D359,原始分!$D:$N,4,0)</f>
        <v>108.5</v>
      </c>
      <c r="I359" s="174">
        <f t="shared" si="66"/>
        <v>215</v>
      </c>
      <c r="J359" s="174">
        <f>VLOOKUP(D359,原始分!$D:$N,5,0)</f>
        <v>87.25</v>
      </c>
      <c r="K359" s="174">
        <f t="shared" si="67"/>
        <v>454</v>
      </c>
      <c r="L359" s="174">
        <f>VLOOKUP(D359,原始分!$D:$N,6,0)</f>
        <v>43.5</v>
      </c>
      <c r="M359" s="174">
        <f t="shared" si="68"/>
        <v>452</v>
      </c>
      <c r="N359" s="174">
        <f>VLOOKUP(D359,原始分!$D:$N,7,0)</f>
        <v>0</v>
      </c>
      <c r="O359" s="174">
        <f t="shared" si="69"/>
        <v>1</v>
      </c>
      <c r="P359" s="174">
        <f>VLOOKUP(D359,原始分!$D:$N,8,0)</f>
        <v>44</v>
      </c>
      <c r="Q359" s="174">
        <f t="shared" si="70"/>
        <v>226</v>
      </c>
      <c r="R359" s="174">
        <f>VLOOKUP(D359,原始分!$D:$N,9,0)</f>
        <v>0</v>
      </c>
      <c r="S359" s="174">
        <f t="shared" si="71"/>
        <v>218</v>
      </c>
      <c r="T359" s="174">
        <f>VLOOKUP(D359,原始分!$D:$N,10,0)</f>
        <v>0</v>
      </c>
      <c r="U359" s="174">
        <f t="shared" si="72"/>
        <v>112</v>
      </c>
      <c r="V359" s="174">
        <f>VLOOKUP(D359,原始分!$D:$N,11,0)</f>
        <v>52</v>
      </c>
      <c r="W359" s="174">
        <f t="shared" si="73"/>
        <v>204</v>
      </c>
      <c r="X359" s="11">
        <f t="shared" si="74"/>
        <v>296.25</v>
      </c>
      <c r="Y359" s="9">
        <f t="shared" si="75"/>
        <v>305</v>
      </c>
      <c r="Z359" s="11">
        <f t="shared" si="76"/>
        <v>435.75</v>
      </c>
      <c r="AA359" s="9">
        <f t="shared" si="77"/>
        <v>356</v>
      </c>
    </row>
    <row r="360" ht="14.25" spans="1:27">
      <c r="A360" s="13">
        <v>88</v>
      </c>
      <c r="B360" s="15">
        <v>2</v>
      </c>
      <c r="C360" s="16">
        <v>25</v>
      </c>
      <c r="D360" s="17" t="s">
        <v>189</v>
      </c>
      <c r="E360" s="17" t="s">
        <v>190</v>
      </c>
      <c r="F360" s="174">
        <f>VLOOKUP(D360,原始分!$D:$N,3,0)</f>
        <v>103.5</v>
      </c>
      <c r="G360" s="174">
        <f t="shared" si="65"/>
        <v>146</v>
      </c>
      <c r="H360" s="174">
        <f>VLOOKUP(D360,原始分!$D:$N,4,0)</f>
        <v>88</v>
      </c>
      <c r="I360" s="174">
        <f t="shared" si="66"/>
        <v>522</v>
      </c>
      <c r="J360" s="174">
        <f>VLOOKUP(D360,原始分!$D:$N,5,0)</f>
        <v>75.5</v>
      </c>
      <c r="K360" s="174">
        <f t="shared" si="67"/>
        <v>587</v>
      </c>
      <c r="L360" s="174">
        <f>VLOOKUP(D360,原始分!$D:$N,6,0)</f>
        <v>61</v>
      </c>
      <c r="M360" s="174">
        <f t="shared" si="68"/>
        <v>168</v>
      </c>
      <c r="N360" s="174">
        <f>VLOOKUP(D360,原始分!$D:$N,7,0)</f>
        <v>0</v>
      </c>
      <c r="O360" s="174">
        <f t="shared" si="69"/>
        <v>1</v>
      </c>
      <c r="P360" s="174">
        <f>VLOOKUP(D360,原始分!$D:$N,8,0)</f>
        <v>0</v>
      </c>
      <c r="Q360" s="174">
        <f t="shared" si="70"/>
        <v>539</v>
      </c>
      <c r="R360" s="174">
        <f>VLOOKUP(D360,原始分!$D:$N,9,0)</f>
        <v>0</v>
      </c>
      <c r="S360" s="174">
        <f t="shared" si="71"/>
        <v>218</v>
      </c>
      <c r="T360" s="174">
        <f>VLOOKUP(D360,原始分!$D:$N,10,0)</f>
        <v>47.75</v>
      </c>
      <c r="U360" s="174">
        <f t="shared" si="72"/>
        <v>91</v>
      </c>
      <c r="V360" s="174">
        <f>VLOOKUP(D360,原始分!$D:$N,11,0)</f>
        <v>59.75</v>
      </c>
      <c r="W360" s="174">
        <f t="shared" si="73"/>
        <v>84</v>
      </c>
      <c r="X360" s="11">
        <f t="shared" si="74"/>
        <v>267</v>
      </c>
      <c r="Y360" s="9">
        <f t="shared" si="75"/>
        <v>545</v>
      </c>
      <c r="Z360" s="11">
        <f t="shared" si="76"/>
        <v>435.5</v>
      </c>
      <c r="AA360" s="9">
        <f t="shared" si="77"/>
        <v>358</v>
      </c>
    </row>
    <row r="361" ht="14.25" spans="1:27">
      <c r="A361" s="13">
        <v>361</v>
      </c>
      <c r="B361" s="15">
        <v>8</v>
      </c>
      <c r="C361" s="16">
        <v>35</v>
      </c>
      <c r="D361" s="17" t="s">
        <v>732</v>
      </c>
      <c r="E361" s="17" t="s">
        <v>733</v>
      </c>
      <c r="F361" s="174">
        <f>VLOOKUP(D361,原始分!$D:$N,3,0)</f>
        <v>108</v>
      </c>
      <c r="G361" s="174">
        <f t="shared" si="65"/>
        <v>44</v>
      </c>
      <c r="H361" s="174">
        <f>VLOOKUP(D361,原始分!$D:$N,4,0)</f>
        <v>95</v>
      </c>
      <c r="I361" s="174">
        <f t="shared" si="66"/>
        <v>418</v>
      </c>
      <c r="J361" s="174">
        <f>VLOOKUP(D361,原始分!$D:$N,5,0)</f>
        <v>92</v>
      </c>
      <c r="K361" s="174">
        <f t="shared" si="67"/>
        <v>392</v>
      </c>
      <c r="L361" s="174">
        <f>VLOOKUP(D361,原始分!$D:$N,6,0)</f>
        <v>42</v>
      </c>
      <c r="M361" s="174">
        <f t="shared" si="68"/>
        <v>476</v>
      </c>
      <c r="N361" s="174">
        <f>VLOOKUP(D361,原始分!$D:$N,7,0)</f>
        <v>0</v>
      </c>
      <c r="O361" s="174">
        <f t="shared" si="69"/>
        <v>1</v>
      </c>
      <c r="P361" s="174">
        <f>VLOOKUP(D361,原始分!$D:$N,8,0)</f>
        <v>48</v>
      </c>
      <c r="Q361" s="174">
        <f t="shared" si="70"/>
        <v>145</v>
      </c>
      <c r="R361" s="174">
        <f>VLOOKUP(D361,原始分!$D:$N,9,0)</f>
        <v>0</v>
      </c>
      <c r="S361" s="174">
        <f t="shared" si="71"/>
        <v>218</v>
      </c>
      <c r="T361" s="174">
        <f>VLOOKUP(D361,原始分!$D:$N,10,0)</f>
        <v>0</v>
      </c>
      <c r="U361" s="174">
        <f t="shared" si="72"/>
        <v>112</v>
      </c>
      <c r="V361" s="174">
        <f>VLOOKUP(D361,原始分!$D:$N,11,0)</f>
        <v>50.5</v>
      </c>
      <c r="W361" s="174">
        <f t="shared" si="73"/>
        <v>239</v>
      </c>
      <c r="X361" s="11">
        <f t="shared" si="74"/>
        <v>295</v>
      </c>
      <c r="Y361" s="9">
        <f t="shared" si="75"/>
        <v>314</v>
      </c>
      <c r="Z361" s="11">
        <f t="shared" si="76"/>
        <v>435.5</v>
      </c>
      <c r="AA361" s="9">
        <f t="shared" si="77"/>
        <v>358</v>
      </c>
    </row>
    <row r="362" ht="14.25" spans="1:27">
      <c r="A362" s="13">
        <v>538</v>
      </c>
      <c r="B362" s="15">
        <v>11</v>
      </c>
      <c r="C362" s="16">
        <v>44</v>
      </c>
      <c r="D362" s="17" t="s">
        <v>1085</v>
      </c>
      <c r="E362" s="17" t="s">
        <v>1029</v>
      </c>
      <c r="F362" s="174">
        <f>VLOOKUP(D362,原始分!$D:$N,3,0)</f>
        <v>105</v>
      </c>
      <c r="G362" s="174">
        <f t="shared" si="65"/>
        <v>107</v>
      </c>
      <c r="H362" s="174">
        <f>VLOOKUP(D362,原始分!$D:$N,4,0)</f>
        <v>97</v>
      </c>
      <c r="I362" s="174">
        <f t="shared" si="66"/>
        <v>393</v>
      </c>
      <c r="J362" s="174">
        <f>VLOOKUP(D362,原始分!$D:$N,5,0)</f>
        <v>105.5</v>
      </c>
      <c r="K362" s="174">
        <f t="shared" si="67"/>
        <v>162</v>
      </c>
      <c r="L362" s="174">
        <f>VLOOKUP(D362,原始分!$D:$N,6,0)</f>
        <v>23</v>
      </c>
      <c r="M362" s="174">
        <f t="shared" si="68"/>
        <v>645</v>
      </c>
      <c r="N362" s="174">
        <f>VLOOKUP(D362,原始分!$D:$N,7,0)</f>
        <v>0</v>
      </c>
      <c r="O362" s="174">
        <f t="shared" si="69"/>
        <v>1</v>
      </c>
      <c r="P362" s="174">
        <f>VLOOKUP(D362,原始分!$D:$N,8,0)</f>
        <v>53.5</v>
      </c>
      <c r="Q362" s="174">
        <f t="shared" si="70"/>
        <v>62</v>
      </c>
      <c r="R362" s="174">
        <f>VLOOKUP(D362,原始分!$D:$N,9,0)</f>
        <v>0</v>
      </c>
      <c r="S362" s="174">
        <f t="shared" si="71"/>
        <v>218</v>
      </c>
      <c r="T362" s="174">
        <f>VLOOKUP(D362,原始分!$D:$N,10,0)</f>
        <v>0</v>
      </c>
      <c r="U362" s="174">
        <f t="shared" si="72"/>
        <v>112</v>
      </c>
      <c r="V362" s="174">
        <f>VLOOKUP(D362,原始分!$D:$N,11,0)</f>
        <v>51.5</v>
      </c>
      <c r="W362" s="174">
        <f t="shared" si="73"/>
        <v>213</v>
      </c>
      <c r="X362" s="11">
        <f t="shared" si="74"/>
        <v>307.5</v>
      </c>
      <c r="Y362" s="9">
        <f t="shared" si="75"/>
        <v>214</v>
      </c>
      <c r="Z362" s="11">
        <f t="shared" si="76"/>
        <v>435.5</v>
      </c>
      <c r="AA362" s="9">
        <f t="shared" si="77"/>
        <v>358</v>
      </c>
    </row>
    <row r="363" ht="14.25" spans="1:27">
      <c r="A363" s="13">
        <v>552</v>
      </c>
      <c r="B363" s="15">
        <v>11</v>
      </c>
      <c r="C363" s="16">
        <v>58</v>
      </c>
      <c r="D363" s="17" t="s">
        <v>1112</v>
      </c>
      <c r="E363" s="17" t="s">
        <v>1113</v>
      </c>
      <c r="F363" s="174">
        <f>VLOOKUP(D363,原始分!$D:$N,3,0)</f>
        <v>87</v>
      </c>
      <c r="G363" s="174">
        <f t="shared" si="65"/>
        <v>617</v>
      </c>
      <c r="H363" s="174">
        <f>VLOOKUP(D363,原始分!$D:$N,4,0)</f>
        <v>126.5</v>
      </c>
      <c r="I363" s="174">
        <f t="shared" si="66"/>
        <v>24</v>
      </c>
      <c r="J363" s="174">
        <f>VLOOKUP(D363,原始分!$D:$N,5,0)</f>
        <v>80</v>
      </c>
      <c r="K363" s="174">
        <f t="shared" si="67"/>
        <v>550</v>
      </c>
      <c r="L363" s="174">
        <f>VLOOKUP(D363,原始分!$D:$N,6,0)</f>
        <v>51.5</v>
      </c>
      <c r="M363" s="174">
        <f t="shared" si="68"/>
        <v>313</v>
      </c>
      <c r="N363" s="174">
        <f>VLOOKUP(D363,原始分!$D:$N,7,0)</f>
        <v>0</v>
      </c>
      <c r="O363" s="174">
        <f t="shared" si="69"/>
        <v>1</v>
      </c>
      <c r="P363" s="174">
        <f>VLOOKUP(D363,原始分!$D:$N,8,0)</f>
        <v>42</v>
      </c>
      <c r="Q363" s="174">
        <f t="shared" si="70"/>
        <v>265</v>
      </c>
      <c r="R363" s="174">
        <f>VLOOKUP(D363,原始分!$D:$N,9,0)</f>
        <v>0</v>
      </c>
      <c r="S363" s="174">
        <f t="shared" si="71"/>
        <v>218</v>
      </c>
      <c r="T363" s="174">
        <f>VLOOKUP(D363,原始分!$D:$N,10,0)</f>
        <v>0</v>
      </c>
      <c r="U363" s="174">
        <f t="shared" si="72"/>
        <v>112</v>
      </c>
      <c r="V363" s="174">
        <f>VLOOKUP(D363,原始分!$D:$N,11,0)</f>
        <v>48.5</v>
      </c>
      <c r="W363" s="174">
        <f t="shared" si="73"/>
        <v>267</v>
      </c>
      <c r="X363" s="11">
        <f t="shared" si="74"/>
        <v>293.5</v>
      </c>
      <c r="Y363" s="9">
        <f t="shared" si="75"/>
        <v>330</v>
      </c>
      <c r="Z363" s="11">
        <f t="shared" si="76"/>
        <v>435.5</v>
      </c>
      <c r="AA363" s="9">
        <f t="shared" si="77"/>
        <v>358</v>
      </c>
    </row>
    <row r="364" ht="14.25" spans="1:27">
      <c r="A364" s="13">
        <v>191</v>
      </c>
      <c r="B364" s="15">
        <v>4</v>
      </c>
      <c r="C364" s="16">
        <v>33</v>
      </c>
      <c r="D364" s="17" t="s">
        <v>395</v>
      </c>
      <c r="E364" s="17" t="s">
        <v>396</v>
      </c>
      <c r="F364" s="174">
        <f>VLOOKUP(D364,原始分!$D:$N,3,0)</f>
        <v>95.5</v>
      </c>
      <c r="G364" s="174">
        <f t="shared" si="65"/>
        <v>422</v>
      </c>
      <c r="H364" s="174">
        <f>VLOOKUP(D364,原始分!$D:$N,4,0)</f>
        <v>103.5</v>
      </c>
      <c r="I364" s="174">
        <f t="shared" si="66"/>
        <v>302</v>
      </c>
      <c r="J364" s="174">
        <f>VLOOKUP(D364,原始分!$D:$N,5,0)</f>
        <v>98.75</v>
      </c>
      <c r="K364" s="174">
        <f t="shared" si="67"/>
        <v>275</v>
      </c>
      <c r="L364" s="174">
        <f>VLOOKUP(D364,原始分!$D:$N,6,0)</f>
        <v>46.5</v>
      </c>
      <c r="M364" s="174">
        <f t="shared" si="68"/>
        <v>404</v>
      </c>
      <c r="N364" s="174">
        <f>VLOOKUP(D364,原始分!$D:$N,7,0)</f>
        <v>0</v>
      </c>
      <c r="O364" s="174">
        <f t="shared" si="69"/>
        <v>1</v>
      </c>
      <c r="P364" s="174">
        <f>VLOOKUP(D364,原始分!$D:$N,8,0)</f>
        <v>34</v>
      </c>
      <c r="Q364" s="174">
        <f t="shared" si="70"/>
        <v>412</v>
      </c>
      <c r="R364" s="174">
        <f>VLOOKUP(D364,原始分!$D:$N,9,0)</f>
        <v>57</v>
      </c>
      <c r="S364" s="174">
        <f t="shared" si="71"/>
        <v>29</v>
      </c>
      <c r="T364" s="174">
        <f>VLOOKUP(D364,原始分!$D:$N,10,0)</f>
        <v>0</v>
      </c>
      <c r="U364" s="174">
        <f t="shared" si="72"/>
        <v>112</v>
      </c>
      <c r="V364" s="174">
        <f>VLOOKUP(D364,原始分!$D:$N,11,0)</f>
        <v>0</v>
      </c>
      <c r="W364" s="174">
        <f t="shared" si="73"/>
        <v>461</v>
      </c>
      <c r="X364" s="11">
        <f t="shared" si="74"/>
        <v>297.75</v>
      </c>
      <c r="Y364" s="9">
        <f t="shared" si="75"/>
        <v>297</v>
      </c>
      <c r="Z364" s="11">
        <f t="shared" si="76"/>
        <v>435.25</v>
      </c>
      <c r="AA364" s="9">
        <f t="shared" si="77"/>
        <v>362</v>
      </c>
    </row>
    <row r="365" ht="14.25" spans="1:27">
      <c r="A365" s="13">
        <v>351</v>
      </c>
      <c r="B365" s="15">
        <v>8</v>
      </c>
      <c r="C365" s="16">
        <v>23</v>
      </c>
      <c r="D365" s="17" t="s">
        <v>713</v>
      </c>
      <c r="E365" s="17" t="s">
        <v>714</v>
      </c>
      <c r="F365" s="174">
        <f>VLOOKUP(D365,原始分!$D:$N,3,0)</f>
        <v>107.5</v>
      </c>
      <c r="G365" s="174">
        <f t="shared" si="65"/>
        <v>54</v>
      </c>
      <c r="H365" s="174">
        <f>VLOOKUP(D365,原始分!$D:$N,4,0)</f>
        <v>94</v>
      </c>
      <c r="I365" s="174">
        <f t="shared" si="66"/>
        <v>442</v>
      </c>
      <c r="J365" s="174">
        <f>VLOOKUP(D365,原始分!$D:$N,5,0)</f>
        <v>106</v>
      </c>
      <c r="K365" s="174">
        <f t="shared" si="67"/>
        <v>153</v>
      </c>
      <c r="L365" s="174">
        <f>VLOOKUP(D365,原始分!$D:$N,6,0)</f>
        <v>41</v>
      </c>
      <c r="M365" s="174">
        <f t="shared" si="68"/>
        <v>490</v>
      </c>
      <c r="N365" s="174">
        <f>VLOOKUP(D365,原始分!$D:$N,7,0)</f>
        <v>0</v>
      </c>
      <c r="O365" s="174">
        <f t="shared" si="69"/>
        <v>1</v>
      </c>
      <c r="P365" s="174">
        <f>VLOOKUP(D365,原始分!$D:$N,8,0)</f>
        <v>33.5</v>
      </c>
      <c r="Q365" s="174">
        <f t="shared" si="70"/>
        <v>420</v>
      </c>
      <c r="R365" s="174">
        <f>VLOOKUP(D365,原始分!$D:$N,9,0)</f>
        <v>0</v>
      </c>
      <c r="S365" s="174">
        <f t="shared" si="71"/>
        <v>218</v>
      </c>
      <c r="T365" s="174">
        <f>VLOOKUP(D365,原始分!$D:$N,10,0)</f>
        <v>0</v>
      </c>
      <c r="U365" s="174">
        <f t="shared" si="72"/>
        <v>112</v>
      </c>
      <c r="V365" s="174">
        <f>VLOOKUP(D365,原始分!$D:$N,11,0)</f>
        <v>53</v>
      </c>
      <c r="W365" s="174">
        <f t="shared" si="73"/>
        <v>185</v>
      </c>
      <c r="X365" s="11">
        <f t="shared" si="74"/>
        <v>307.5</v>
      </c>
      <c r="Y365" s="9">
        <f t="shared" si="75"/>
        <v>214</v>
      </c>
      <c r="Z365" s="11">
        <f t="shared" si="76"/>
        <v>435</v>
      </c>
      <c r="AA365" s="9">
        <f t="shared" si="77"/>
        <v>363</v>
      </c>
    </row>
    <row r="366" ht="14.25" spans="1:27">
      <c r="A366" s="13">
        <v>219</v>
      </c>
      <c r="B366" s="15">
        <v>5</v>
      </c>
      <c r="C366" s="16">
        <v>16</v>
      </c>
      <c r="D366" s="17" t="s">
        <v>451</v>
      </c>
      <c r="E366" s="17" t="s">
        <v>452</v>
      </c>
      <c r="F366" s="174">
        <f>VLOOKUP(D366,原始分!$D:$N,3,0)</f>
        <v>82</v>
      </c>
      <c r="G366" s="174">
        <f t="shared" si="65"/>
        <v>650</v>
      </c>
      <c r="H366" s="174">
        <f>VLOOKUP(D366,原始分!$D:$N,4,0)</f>
        <v>114.5</v>
      </c>
      <c r="I366" s="174">
        <f t="shared" si="66"/>
        <v>122</v>
      </c>
      <c r="J366" s="174">
        <f>VLOOKUP(D366,原始分!$D:$N,5,0)</f>
        <v>92.5</v>
      </c>
      <c r="K366" s="174">
        <f t="shared" si="67"/>
        <v>381</v>
      </c>
      <c r="L366" s="174">
        <f>VLOOKUP(D366,原始分!$D:$N,6,0)</f>
        <v>63</v>
      </c>
      <c r="M366" s="174">
        <f t="shared" si="68"/>
        <v>147</v>
      </c>
      <c r="N366" s="174">
        <f>VLOOKUP(D366,原始分!$D:$N,7,0)</f>
        <v>0</v>
      </c>
      <c r="O366" s="174">
        <f t="shared" si="69"/>
        <v>1</v>
      </c>
      <c r="P366" s="174">
        <f>VLOOKUP(D366,原始分!$D:$N,8,0)</f>
        <v>35.5</v>
      </c>
      <c r="Q366" s="174">
        <f t="shared" si="70"/>
        <v>395</v>
      </c>
      <c r="R366" s="174">
        <f>VLOOKUP(D366,原始分!$D:$N,9,0)</f>
        <v>46.5</v>
      </c>
      <c r="S366" s="174">
        <f t="shared" si="71"/>
        <v>137</v>
      </c>
      <c r="T366" s="174">
        <f>VLOOKUP(D366,原始分!$D:$N,10,0)</f>
        <v>0</v>
      </c>
      <c r="U366" s="174">
        <f t="shared" si="72"/>
        <v>112</v>
      </c>
      <c r="V366" s="174">
        <f>VLOOKUP(D366,原始分!$D:$N,11,0)</f>
        <v>0</v>
      </c>
      <c r="W366" s="174">
        <f t="shared" si="73"/>
        <v>461</v>
      </c>
      <c r="X366" s="11">
        <f t="shared" si="74"/>
        <v>289</v>
      </c>
      <c r="Y366" s="9">
        <f t="shared" si="75"/>
        <v>373</v>
      </c>
      <c r="Z366" s="11">
        <f t="shared" si="76"/>
        <v>434</v>
      </c>
      <c r="AA366" s="9">
        <f t="shared" si="77"/>
        <v>364</v>
      </c>
    </row>
    <row r="367" ht="14.25" spans="1:27">
      <c r="A367" s="13">
        <v>335</v>
      </c>
      <c r="B367" s="15">
        <v>8</v>
      </c>
      <c r="C367" s="16">
        <v>7</v>
      </c>
      <c r="D367" s="17" t="s">
        <v>681</v>
      </c>
      <c r="E367" s="17" t="s">
        <v>682</v>
      </c>
      <c r="F367" s="174">
        <f>VLOOKUP(D367,原始分!$D:$N,3,0)</f>
        <v>98</v>
      </c>
      <c r="G367" s="174">
        <f t="shared" si="65"/>
        <v>349</v>
      </c>
      <c r="H367" s="174">
        <f>VLOOKUP(D367,原始分!$D:$N,4,0)</f>
        <v>112</v>
      </c>
      <c r="I367" s="174">
        <f t="shared" si="66"/>
        <v>160</v>
      </c>
      <c r="J367" s="174">
        <f>VLOOKUP(D367,原始分!$D:$N,5,0)</f>
        <v>71.75</v>
      </c>
      <c r="K367" s="174">
        <f t="shared" si="67"/>
        <v>614</v>
      </c>
      <c r="L367" s="174">
        <f>VLOOKUP(D367,原始分!$D:$N,6,0)</f>
        <v>76.5</v>
      </c>
      <c r="M367" s="174">
        <f t="shared" si="68"/>
        <v>22</v>
      </c>
      <c r="N367" s="174">
        <f>VLOOKUP(D367,原始分!$D:$N,7,0)</f>
        <v>0</v>
      </c>
      <c r="O367" s="174">
        <f t="shared" si="69"/>
        <v>1</v>
      </c>
      <c r="P367" s="174">
        <f>VLOOKUP(D367,原始分!$D:$N,8,0)</f>
        <v>40</v>
      </c>
      <c r="Q367" s="174">
        <f t="shared" si="70"/>
        <v>314</v>
      </c>
      <c r="R367" s="174">
        <f>VLOOKUP(D367,原始分!$D:$N,9,0)</f>
        <v>0</v>
      </c>
      <c r="S367" s="174">
        <f t="shared" si="71"/>
        <v>218</v>
      </c>
      <c r="T367" s="174">
        <f>VLOOKUP(D367,原始分!$D:$N,10,0)</f>
        <v>0</v>
      </c>
      <c r="U367" s="174">
        <f t="shared" si="72"/>
        <v>112</v>
      </c>
      <c r="V367" s="174">
        <f>VLOOKUP(D367,原始分!$D:$N,11,0)</f>
        <v>35</v>
      </c>
      <c r="W367" s="174">
        <f t="shared" si="73"/>
        <v>430</v>
      </c>
      <c r="X367" s="11">
        <f t="shared" si="74"/>
        <v>281.75</v>
      </c>
      <c r="Y367" s="9">
        <f t="shared" si="75"/>
        <v>437</v>
      </c>
      <c r="Z367" s="11">
        <f t="shared" si="76"/>
        <v>433.25</v>
      </c>
      <c r="AA367" s="9">
        <f t="shared" si="77"/>
        <v>365</v>
      </c>
    </row>
    <row r="368" ht="14.25" spans="1:27">
      <c r="A368" s="13">
        <v>168</v>
      </c>
      <c r="B368" s="15">
        <v>4</v>
      </c>
      <c r="C368" s="16">
        <v>9</v>
      </c>
      <c r="D368" s="17" t="s">
        <v>349</v>
      </c>
      <c r="E368" s="17" t="s">
        <v>350</v>
      </c>
      <c r="F368" s="174">
        <f>VLOOKUP(D368,原始分!$D:$N,3,0)</f>
        <v>95.25</v>
      </c>
      <c r="G368" s="174">
        <f t="shared" si="65"/>
        <v>440</v>
      </c>
      <c r="H368" s="174">
        <f>VLOOKUP(D368,原始分!$D:$N,4,0)</f>
        <v>89.5</v>
      </c>
      <c r="I368" s="174">
        <f t="shared" si="66"/>
        <v>499</v>
      </c>
      <c r="J368" s="174">
        <f>VLOOKUP(D368,原始分!$D:$N,5,0)</f>
        <v>80.75</v>
      </c>
      <c r="K368" s="174">
        <f t="shared" si="67"/>
        <v>545</v>
      </c>
      <c r="L368" s="174">
        <f>VLOOKUP(D368,原始分!$D:$N,6,0)</f>
        <v>54.5</v>
      </c>
      <c r="M368" s="174">
        <f t="shared" si="68"/>
        <v>281</v>
      </c>
      <c r="N368" s="174">
        <f>VLOOKUP(D368,原始分!$D:$N,7,0)</f>
        <v>0</v>
      </c>
      <c r="O368" s="174">
        <f t="shared" si="69"/>
        <v>1</v>
      </c>
      <c r="P368" s="174">
        <f>VLOOKUP(D368,原始分!$D:$N,8,0)</f>
        <v>48.5</v>
      </c>
      <c r="Q368" s="174">
        <f t="shared" si="70"/>
        <v>138</v>
      </c>
      <c r="R368" s="174">
        <f>VLOOKUP(D368,原始分!$D:$N,9,0)</f>
        <v>64.5</v>
      </c>
      <c r="S368" s="174">
        <f t="shared" si="71"/>
        <v>2</v>
      </c>
      <c r="T368" s="174">
        <f>VLOOKUP(D368,原始分!$D:$N,10,0)</f>
        <v>0</v>
      </c>
      <c r="U368" s="174">
        <f t="shared" si="72"/>
        <v>112</v>
      </c>
      <c r="V368" s="174">
        <f>VLOOKUP(D368,原始分!$D:$N,11,0)</f>
        <v>0</v>
      </c>
      <c r="W368" s="174">
        <f t="shared" si="73"/>
        <v>461</v>
      </c>
      <c r="X368" s="11">
        <f t="shared" si="74"/>
        <v>265.5</v>
      </c>
      <c r="Y368" s="9">
        <f t="shared" si="75"/>
        <v>552</v>
      </c>
      <c r="Z368" s="11">
        <f t="shared" si="76"/>
        <v>433</v>
      </c>
      <c r="AA368" s="9">
        <f t="shared" si="77"/>
        <v>366</v>
      </c>
    </row>
    <row r="369" ht="14.25" spans="1:27">
      <c r="A369" s="13">
        <v>214</v>
      </c>
      <c r="B369" s="15">
        <v>5</v>
      </c>
      <c r="C369" s="16">
        <v>11</v>
      </c>
      <c r="D369" s="17" t="s">
        <v>441</v>
      </c>
      <c r="E369" s="17" t="s">
        <v>442</v>
      </c>
      <c r="F369" s="174">
        <f>VLOOKUP(D369,原始分!$D:$N,3,0)</f>
        <v>94.5</v>
      </c>
      <c r="G369" s="174">
        <f t="shared" si="65"/>
        <v>461</v>
      </c>
      <c r="H369" s="174">
        <f>VLOOKUP(D369,原始分!$D:$N,4,0)</f>
        <v>104</v>
      </c>
      <c r="I369" s="174">
        <f t="shared" si="66"/>
        <v>290</v>
      </c>
      <c r="J369" s="174">
        <f>VLOOKUP(D369,原始分!$D:$N,5,0)</f>
        <v>110</v>
      </c>
      <c r="K369" s="174">
        <f t="shared" si="67"/>
        <v>103</v>
      </c>
      <c r="L369" s="174">
        <f>VLOOKUP(D369,原始分!$D:$N,6,0)</f>
        <v>40.5</v>
      </c>
      <c r="M369" s="174">
        <f t="shared" si="68"/>
        <v>497</v>
      </c>
      <c r="N369" s="174">
        <f>VLOOKUP(D369,原始分!$D:$N,7,0)</f>
        <v>0</v>
      </c>
      <c r="O369" s="174">
        <f t="shared" si="69"/>
        <v>1</v>
      </c>
      <c r="P369" s="174">
        <f>VLOOKUP(D369,原始分!$D:$N,8,0)</f>
        <v>28.5</v>
      </c>
      <c r="Q369" s="174">
        <f t="shared" si="70"/>
        <v>486</v>
      </c>
      <c r="R369" s="174">
        <f>VLOOKUP(D369,原始分!$D:$N,9,0)</f>
        <v>55.5</v>
      </c>
      <c r="S369" s="174">
        <f t="shared" si="71"/>
        <v>38</v>
      </c>
      <c r="T369" s="174">
        <f>VLOOKUP(D369,原始分!$D:$N,10,0)</f>
        <v>0</v>
      </c>
      <c r="U369" s="174">
        <f t="shared" si="72"/>
        <v>112</v>
      </c>
      <c r="V369" s="174">
        <f>VLOOKUP(D369,原始分!$D:$N,11,0)</f>
        <v>0</v>
      </c>
      <c r="W369" s="174">
        <f t="shared" si="73"/>
        <v>461</v>
      </c>
      <c r="X369" s="11">
        <f t="shared" si="74"/>
        <v>308.5</v>
      </c>
      <c r="Y369" s="9">
        <f t="shared" si="75"/>
        <v>210</v>
      </c>
      <c r="Z369" s="11">
        <f t="shared" si="76"/>
        <v>433</v>
      </c>
      <c r="AA369" s="9">
        <f t="shared" si="77"/>
        <v>366</v>
      </c>
    </row>
    <row r="370" ht="14.25" spans="1:27">
      <c r="A370" s="13">
        <v>162</v>
      </c>
      <c r="B370" s="15">
        <v>4</v>
      </c>
      <c r="C370" s="16">
        <v>3</v>
      </c>
      <c r="D370" s="17" t="s">
        <v>337</v>
      </c>
      <c r="E370" s="17" t="s">
        <v>338</v>
      </c>
      <c r="F370" s="174">
        <f>VLOOKUP(D370,原始分!$D:$N,3,0)</f>
        <v>106.5</v>
      </c>
      <c r="G370" s="174">
        <f t="shared" si="65"/>
        <v>76</v>
      </c>
      <c r="H370" s="174">
        <f>VLOOKUP(D370,原始分!$D:$N,4,0)</f>
        <v>94</v>
      </c>
      <c r="I370" s="174">
        <f t="shared" si="66"/>
        <v>442</v>
      </c>
      <c r="J370" s="174">
        <f>VLOOKUP(D370,原始分!$D:$N,5,0)</f>
        <v>91.75</v>
      </c>
      <c r="K370" s="174">
        <f t="shared" si="67"/>
        <v>402</v>
      </c>
      <c r="L370" s="174">
        <f>VLOOKUP(D370,原始分!$D:$N,6,0)</f>
        <v>52</v>
      </c>
      <c r="M370" s="174">
        <f t="shared" si="68"/>
        <v>310</v>
      </c>
      <c r="N370" s="174">
        <f>VLOOKUP(D370,原始分!$D:$N,7,0)</f>
        <v>0</v>
      </c>
      <c r="O370" s="174">
        <f t="shared" si="69"/>
        <v>1</v>
      </c>
      <c r="P370" s="174">
        <f>VLOOKUP(D370,原始分!$D:$N,8,0)</f>
        <v>39.5</v>
      </c>
      <c r="Q370" s="174">
        <f t="shared" si="70"/>
        <v>333</v>
      </c>
      <c r="R370" s="174">
        <f>VLOOKUP(D370,原始分!$D:$N,9,0)</f>
        <v>49</v>
      </c>
      <c r="S370" s="174">
        <f t="shared" si="71"/>
        <v>107</v>
      </c>
      <c r="T370" s="174">
        <f>VLOOKUP(D370,原始分!$D:$N,10,0)</f>
        <v>0</v>
      </c>
      <c r="U370" s="174">
        <f t="shared" si="72"/>
        <v>112</v>
      </c>
      <c r="V370" s="174">
        <f>VLOOKUP(D370,原始分!$D:$N,11,0)</f>
        <v>0</v>
      </c>
      <c r="W370" s="174">
        <f t="shared" si="73"/>
        <v>461</v>
      </c>
      <c r="X370" s="11">
        <f t="shared" si="74"/>
        <v>292.25</v>
      </c>
      <c r="Y370" s="9">
        <f t="shared" si="75"/>
        <v>347</v>
      </c>
      <c r="Z370" s="11">
        <f t="shared" si="76"/>
        <v>432.75</v>
      </c>
      <c r="AA370" s="9">
        <f t="shared" si="77"/>
        <v>368</v>
      </c>
    </row>
    <row r="371" ht="14.25" spans="1:27">
      <c r="A371" s="13">
        <v>249</v>
      </c>
      <c r="B371" s="15">
        <v>5</v>
      </c>
      <c r="C371" s="16">
        <v>47</v>
      </c>
      <c r="D371" s="17" t="s">
        <v>509</v>
      </c>
      <c r="E371" s="17" t="s">
        <v>510</v>
      </c>
      <c r="F371" s="174">
        <f>VLOOKUP(D371,原始分!$D:$N,3,0)</f>
        <v>99</v>
      </c>
      <c r="G371" s="174">
        <f t="shared" si="65"/>
        <v>304</v>
      </c>
      <c r="H371" s="174">
        <f>VLOOKUP(D371,原始分!$D:$N,4,0)</f>
        <v>95.5</v>
      </c>
      <c r="I371" s="174">
        <f t="shared" si="66"/>
        <v>415</v>
      </c>
      <c r="J371" s="174">
        <f>VLOOKUP(D371,原始分!$D:$N,5,0)</f>
        <v>81.5</v>
      </c>
      <c r="K371" s="174">
        <f t="shared" si="67"/>
        <v>535</v>
      </c>
      <c r="L371" s="174">
        <f>VLOOKUP(D371,原始分!$D:$N,6,0)</f>
        <v>48</v>
      </c>
      <c r="M371" s="174">
        <f t="shared" si="68"/>
        <v>375</v>
      </c>
      <c r="N371" s="174">
        <f>VLOOKUP(D371,原始分!$D:$N,7,0)</f>
        <v>0</v>
      </c>
      <c r="O371" s="174">
        <f t="shared" si="69"/>
        <v>1</v>
      </c>
      <c r="P371" s="174">
        <f>VLOOKUP(D371,原始分!$D:$N,8,0)</f>
        <v>47.5</v>
      </c>
      <c r="Q371" s="174">
        <f t="shared" si="70"/>
        <v>156</v>
      </c>
      <c r="R371" s="174">
        <f>VLOOKUP(D371,原始分!$D:$N,9,0)</f>
        <v>61</v>
      </c>
      <c r="S371" s="174">
        <f t="shared" si="71"/>
        <v>11</v>
      </c>
      <c r="T371" s="174">
        <f>VLOOKUP(D371,原始分!$D:$N,10,0)</f>
        <v>0</v>
      </c>
      <c r="U371" s="174">
        <f t="shared" si="72"/>
        <v>112</v>
      </c>
      <c r="V371" s="174">
        <f>VLOOKUP(D371,原始分!$D:$N,11,0)</f>
        <v>0</v>
      </c>
      <c r="W371" s="174">
        <f t="shared" si="73"/>
        <v>461</v>
      </c>
      <c r="X371" s="11">
        <f t="shared" si="74"/>
        <v>276</v>
      </c>
      <c r="Y371" s="9">
        <f t="shared" si="75"/>
        <v>490</v>
      </c>
      <c r="Z371" s="11">
        <f t="shared" si="76"/>
        <v>432.5</v>
      </c>
      <c r="AA371" s="9">
        <f t="shared" si="77"/>
        <v>369</v>
      </c>
    </row>
    <row r="372" ht="14.25" spans="1:27">
      <c r="A372" s="13">
        <v>343</v>
      </c>
      <c r="B372" s="15">
        <v>8</v>
      </c>
      <c r="C372" s="16">
        <v>15</v>
      </c>
      <c r="D372" s="17" t="s">
        <v>697</v>
      </c>
      <c r="E372" s="17" t="s">
        <v>698</v>
      </c>
      <c r="F372" s="174">
        <f>VLOOKUP(D372,原始分!$D:$N,3,0)</f>
        <v>98.5</v>
      </c>
      <c r="G372" s="174">
        <f t="shared" si="65"/>
        <v>324</v>
      </c>
      <c r="H372" s="174">
        <f>VLOOKUP(D372,原始分!$D:$N,4,0)</f>
        <v>104.5</v>
      </c>
      <c r="I372" s="174">
        <f t="shared" si="66"/>
        <v>277</v>
      </c>
      <c r="J372" s="174">
        <f>VLOOKUP(D372,原始分!$D:$N,5,0)</f>
        <v>91</v>
      </c>
      <c r="K372" s="174">
        <f t="shared" si="67"/>
        <v>410</v>
      </c>
      <c r="L372" s="174">
        <f>VLOOKUP(D372,原始分!$D:$N,6,0)</f>
        <v>56</v>
      </c>
      <c r="M372" s="174">
        <f t="shared" si="68"/>
        <v>252</v>
      </c>
      <c r="N372" s="174">
        <f>VLOOKUP(D372,原始分!$D:$N,7,0)</f>
        <v>0</v>
      </c>
      <c r="O372" s="174">
        <f t="shared" si="69"/>
        <v>1</v>
      </c>
      <c r="P372" s="174">
        <f>VLOOKUP(D372,原始分!$D:$N,8,0)</f>
        <v>32</v>
      </c>
      <c r="Q372" s="174">
        <f t="shared" si="70"/>
        <v>453</v>
      </c>
      <c r="R372" s="174">
        <f>VLOOKUP(D372,原始分!$D:$N,9,0)</f>
        <v>0</v>
      </c>
      <c r="S372" s="174">
        <f t="shared" si="71"/>
        <v>218</v>
      </c>
      <c r="T372" s="174">
        <f>VLOOKUP(D372,原始分!$D:$N,10,0)</f>
        <v>0</v>
      </c>
      <c r="U372" s="174">
        <f t="shared" si="72"/>
        <v>112</v>
      </c>
      <c r="V372" s="174">
        <f>VLOOKUP(D372,原始分!$D:$N,11,0)</f>
        <v>50.5</v>
      </c>
      <c r="W372" s="174">
        <f t="shared" si="73"/>
        <v>239</v>
      </c>
      <c r="X372" s="11">
        <f t="shared" si="74"/>
        <v>294</v>
      </c>
      <c r="Y372" s="9">
        <f t="shared" si="75"/>
        <v>327</v>
      </c>
      <c r="Z372" s="11">
        <f t="shared" si="76"/>
        <v>432.5</v>
      </c>
      <c r="AA372" s="9">
        <f t="shared" si="77"/>
        <v>369</v>
      </c>
    </row>
    <row r="373" ht="14.25" spans="1:27">
      <c r="A373" s="13">
        <v>294</v>
      </c>
      <c r="B373" s="15">
        <v>7</v>
      </c>
      <c r="C373" s="16">
        <v>4</v>
      </c>
      <c r="D373" s="17" t="s">
        <v>599</v>
      </c>
      <c r="E373" s="17" t="s">
        <v>600</v>
      </c>
      <c r="F373" s="174">
        <f>VLOOKUP(D373,原始分!$D:$N,3,0)</f>
        <v>91.5</v>
      </c>
      <c r="G373" s="174">
        <f t="shared" si="65"/>
        <v>538</v>
      </c>
      <c r="H373" s="174">
        <f>VLOOKUP(D373,原始分!$D:$N,4,0)</f>
        <v>106</v>
      </c>
      <c r="I373" s="174">
        <f t="shared" si="66"/>
        <v>255</v>
      </c>
      <c r="J373" s="174">
        <f>VLOOKUP(D373,原始分!$D:$N,5,0)</f>
        <v>98</v>
      </c>
      <c r="K373" s="174">
        <f t="shared" si="67"/>
        <v>290</v>
      </c>
      <c r="L373" s="174">
        <f>VLOOKUP(D373,原始分!$D:$N,6,0)</f>
        <v>43</v>
      </c>
      <c r="M373" s="174">
        <f t="shared" si="68"/>
        <v>461</v>
      </c>
      <c r="N373" s="174">
        <f>VLOOKUP(D373,原始分!$D:$N,7,0)</f>
        <v>0</v>
      </c>
      <c r="O373" s="174">
        <f t="shared" si="69"/>
        <v>1</v>
      </c>
      <c r="P373" s="174">
        <f>VLOOKUP(D373,原始分!$D:$N,8,0)</f>
        <v>0</v>
      </c>
      <c r="Q373" s="174">
        <f t="shared" si="70"/>
        <v>539</v>
      </c>
      <c r="R373" s="174">
        <f>VLOOKUP(D373,原始分!$D:$N,9,0)</f>
        <v>53</v>
      </c>
      <c r="S373" s="174">
        <f t="shared" si="71"/>
        <v>66</v>
      </c>
      <c r="T373" s="174">
        <f>VLOOKUP(D373,原始分!$D:$N,10,0)</f>
        <v>0</v>
      </c>
      <c r="U373" s="174">
        <f t="shared" si="72"/>
        <v>112</v>
      </c>
      <c r="V373" s="174">
        <f>VLOOKUP(D373,原始分!$D:$N,11,0)</f>
        <v>40.5</v>
      </c>
      <c r="W373" s="174">
        <f t="shared" si="73"/>
        <v>395</v>
      </c>
      <c r="X373" s="11">
        <f t="shared" si="74"/>
        <v>295.5</v>
      </c>
      <c r="Y373" s="9">
        <f t="shared" si="75"/>
        <v>312</v>
      </c>
      <c r="Z373" s="11">
        <f t="shared" si="76"/>
        <v>432</v>
      </c>
      <c r="AA373" s="9">
        <f t="shared" si="77"/>
        <v>371</v>
      </c>
    </row>
    <row r="374" ht="14.25" spans="1:27">
      <c r="A374" s="13">
        <v>256</v>
      </c>
      <c r="B374" s="15">
        <v>6</v>
      </c>
      <c r="C374" s="16">
        <v>7</v>
      </c>
      <c r="D374" s="17" t="s">
        <v>523</v>
      </c>
      <c r="E374" s="17" t="s">
        <v>524</v>
      </c>
      <c r="F374" s="174">
        <f>VLOOKUP(D374,原始分!$D:$N,3,0)</f>
        <v>102.5</v>
      </c>
      <c r="G374" s="174">
        <f t="shared" si="65"/>
        <v>183</v>
      </c>
      <c r="H374" s="174">
        <f>VLOOKUP(D374,原始分!$D:$N,4,0)</f>
        <v>95</v>
      </c>
      <c r="I374" s="174">
        <f t="shared" si="66"/>
        <v>418</v>
      </c>
      <c r="J374" s="174">
        <f>VLOOKUP(D374,原始分!$D:$N,5,0)</f>
        <v>105.75</v>
      </c>
      <c r="K374" s="174">
        <f t="shared" si="67"/>
        <v>156</v>
      </c>
      <c r="L374" s="174">
        <f>VLOOKUP(D374,原始分!$D:$N,6,0)</f>
        <v>33</v>
      </c>
      <c r="M374" s="174">
        <f t="shared" si="68"/>
        <v>596</v>
      </c>
      <c r="N374" s="174">
        <f>VLOOKUP(D374,原始分!$D:$N,7,0)</f>
        <v>0</v>
      </c>
      <c r="O374" s="174">
        <f t="shared" si="69"/>
        <v>1</v>
      </c>
      <c r="P374" s="174">
        <f>VLOOKUP(D374,原始分!$D:$N,8,0)</f>
        <v>0</v>
      </c>
      <c r="Q374" s="174">
        <f t="shared" si="70"/>
        <v>539</v>
      </c>
      <c r="R374" s="174">
        <f>VLOOKUP(D374,原始分!$D:$N,9,0)</f>
        <v>47.5</v>
      </c>
      <c r="S374" s="174">
        <f t="shared" si="71"/>
        <v>130</v>
      </c>
      <c r="T374" s="174">
        <f>VLOOKUP(D374,原始分!$D:$N,10,0)</f>
        <v>0</v>
      </c>
      <c r="U374" s="174">
        <f t="shared" si="72"/>
        <v>112</v>
      </c>
      <c r="V374" s="174">
        <f>VLOOKUP(D374,原始分!$D:$N,11,0)</f>
        <v>48</v>
      </c>
      <c r="W374" s="174">
        <f t="shared" si="73"/>
        <v>277</v>
      </c>
      <c r="X374" s="11">
        <f t="shared" si="74"/>
        <v>303.25</v>
      </c>
      <c r="Y374" s="9">
        <f t="shared" si="75"/>
        <v>249</v>
      </c>
      <c r="Z374" s="11">
        <f t="shared" si="76"/>
        <v>431.75</v>
      </c>
      <c r="AA374" s="9">
        <f t="shared" si="77"/>
        <v>372</v>
      </c>
    </row>
    <row r="375" ht="14.25" spans="1:27">
      <c r="A375" s="13">
        <v>81</v>
      </c>
      <c r="B375" s="15">
        <v>2</v>
      </c>
      <c r="C375" s="16">
        <v>18</v>
      </c>
      <c r="D375" s="17" t="s">
        <v>175</v>
      </c>
      <c r="E375" s="17" t="s">
        <v>176</v>
      </c>
      <c r="F375" s="174">
        <f>VLOOKUP(D375,原始分!$D:$N,3,0)</f>
        <v>93.75</v>
      </c>
      <c r="G375" s="174">
        <f t="shared" si="65"/>
        <v>490</v>
      </c>
      <c r="H375" s="174">
        <f>VLOOKUP(D375,原始分!$D:$N,4,0)</f>
        <v>89.5</v>
      </c>
      <c r="I375" s="174">
        <f t="shared" si="66"/>
        <v>499</v>
      </c>
      <c r="J375" s="174">
        <f>VLOOKUP(D375,原始分!$D:$N,5,0)</f>
        <v>98.75</v>
      </c>
      <c r="K375" s="174">
        <f t="shared" si="67"/>
        <v>275</v>
      </c>
      <c r="L375" s="174">
        <f>VLOOKUP(D375,原始分!$D:$N,6,0)</f>
        <v>53.5</v>
      </c>
      <c r="M375" s="174">
        <f t="shared" si="68"/>
        <v>292</v>
      </c>
      <c r="N375" s="174">
        <f>VLOOKUP(D375,原始分!$D:$N,7,0)</f>
        <v>0</v>
      </c>
      <c r="O375" s="174">
        <f t="shared" si="69"/>
        <v>1</v>
      </c>
      <c r="P375" s="174">
        <f>VLOOKUP(D375,原始分!$D:$N,8,0)</f>
        <v>0</v>
      </c>
      <c r="Q375" s="174">
        <f t="shared" si="70"/>
        <v>539</v>
      </c>
      <c r="R375" s="174">
        <f>VLOOKUP(D375,原始分!$D:$N,9,0)</f>
        <v>0</v>
      </c>
      <c r="S375" s="174">
        <f t="shared" si="71"/>
        <v>218</v>
      </c>
      <c r="T375" s="174">
        <f>VLOOKUP(D375,原始分!$D:$N,10,0)</f>
        <v>49.5</v>
      </c>
      <c r="U375" s="174">
        <f t="shared" si="72"/>
        <v>81</v>
      </c>
      <c r="V375" s="174">
        <f>VLOOKUP(D375,原始分!$D:$N,11,0)</f>
        <v>46.5</v>
      </c>
      <c r="W375" s="174">
        <f t="shared" si="73"/>
        <v>306</v>
      </c>
      <c r="X375" s="11">
        <f t="shared" si="74"/>
        <v>282</v>
      </c>
      <c r="Y375" s="9">
        <f t="shared" si="75"/>
        <v>432</v>
      </c>
      <c r="Z375" s="11">
        <f t="shared" si="76"/>
        <v>431.5</v>
      </c>
      <c r="AA375" s="9">
        <f t="shared" si="77"/>
        <v>373</v>
      </c>
    </row>
    <row r="376" ht="14.25" spans="1:27">
      <c r="A376" s="13">
        <v>198</v>
      </c>
      <c r="B376" s="15">
        <v>4</v>
      </c>
      <c r="C376" s="16">
        <v>41</v>
      </c>
      <c r="D376" s="17" t="s">
        <v>409</v>
      </c>
      <c r="E376" s="17" t="s">
        <v>410</v>
      </c>
      <c r="F376" s="174">
        <f>VLOOKUP(D376,原始分!$D:$N,3,0)</f>
        <v>89</v>
      </c>
      <c r="G376" s="174">
        <f t="shared" si="65"/>
        <v>595</v>
      </c>
      <c r="H376" s="174">
        <f>VLOOKUP(D376,原始分!$D:$N,4,0)</f>
        <v>106.5</v>
      </c>
      <c r="I376" s="174">
        <f t="shared" si="66"/>
        <v>246</v>
      </c>
      <c r="J376" s="174">
        <f>VLOOKUP(D376,原始分!$D:$N,5,0)</f>
        <v>88.5</v>
      </c>
      <c r="K376" s="174">
        <f t="shared" si="67"/>
        <v>435</v>
      </c>
      <c r="L376" s="174">
        <f>VLOOKUP(D376,原始分!$D:$N,6,0)</f>
        <v>58.5</v>
      </c>
      <c r="M376" s="174">
        <f t="shared" si="68"/>
        <v>209</v>
      </c>
      <c r="N376" s="174">
        <f>VLOOKUP(D376,原始分!$D:$N,7,0)</f>
        <v>0</v>
      </c>
      <c r="O376" s="174">
        <f t="shared" si="69"/>
        <v>1</v>
      </c>
      <c r="P376" s="174">
        <f>VLOOKUP(D376,原始分!$D:$N,8,0)</f>
        <v>47.5</v>
      </c>
      <c r="Q376" s="174">
        <f t="shared" si="70"/>
        <v>156</v>
      </c>
      <c r="R376" s="174">
        <f>VLOOKUP(D376,原始分!$D:$N,9,0)</f>
        <v>41.5</v>
      </c>
      <c r="S376" s="174">
        <f t="shared" si="71"/>
        <v>185</v>
      </c>
      <c r="T376" s="174">
        <f>VLOOKUP(D376,原始分!$D:$N,10,0)</f>
        <v>0</v>
      </c>
      <c r="U376" s="174">
        <f t="shared" si="72"/>
        <v>112</v>
      </c>
      <c r="V376" s="174">
        <f>VLOOKUP(D376,原始分!$D:$N,11,0)</f>
        <v>0</v>
      </c>
      <c r="W376" s="174">
        <f t="shared" si="73"/>
        <v>461</v>
      </c>
      <c r="X376" s="11">
        <f t="shared" si="74"/>
        <v>284</v>
      </c>
      <c r="Y376" s="9">
        <f t="shared" si="75"/>
        <v>408</v>
      </c>
      <c r="Z376" s="11">
        <f t="shared" si="76"/>
        <v>431.5</v>
      </c>
      <c r="AA376" s="9">
        <f t="shared" si="77"/>
        <v>373</v>
      </c>
    </row>
    <row r="377" ht="14.25" spans="1:27">
      <c r="A377" s="13">
        <v>201</v>
      </c>
      <c r="B377" s="15">
        <v>4</v>
      </c>
      <c r="C377" s="16">
        <v>44</v>
      </c>
      <c r="D377" s="17" t="s">
        <v>415</v>
      </c>
      <c r="E377" s="17" t="s">
        <v>416</v>
      </c>
      <c r="F377" s="174">
        <f>VLOOKUP(D377,原始分!$D:$N,3,0)</f>
        <v>106.5</v>
      </c>
      <c r="G377" s="174">
        <f t="shared" si="65"/>
        <v>76</v>
      </c>
      <c r="H377" s="174">
        <f>VLOOKUP(D377,原始分!$D:$N,4,0)</f>
        <v>106.5</v>
      </c>
      <c r="I377" s="174">
        <f t="shared" si="66"/>
        <v>246</v>
      </c>
      <c r="J377" s="174">
        <f>VLOOKUP(D377,原始分!$D:$N,5,0)</f>
        <v>103</v>
      </c>
      <c r="K377" s="174">
        <f t="shared" si="67"/>
        <v>199</v>
      </c>
      <c r="L377" s="174">
        <f>VLOOKUP(D377,原始分!$D:$N,6,0)</f>
        <v>36</v>
      </c>
      <c r="M377" s="174">
        <f t="shared" si="68"/>
        <v>561</v>
      </c>
      <c r="N377" s="174">
        <f>VLOOKUP(D377,原始分!$D:$N,7,0)</f>
        <v>0</v>
      </c>
      <c r="O377" s="174">
        <f t="shared" si="69"/>
        <v>1</v>
      </c>
      <c r="P377" s="174">
        <f>VLOOKUP(D377,原始分!$D:$N,8,0)</f>
        <v>35.5</v>
      </c>
      <c r="Q377" s="174">
        <f t="shared" si="70"/>
        <v>395</v>
      </c>
      <c r="R377" s="174">
        <f>VLOOKUP(D377,原始分!$D:$N,9,0)</f>
        <v>44</v>
      </c>
      <c r="S377" s="174">
        <f t="shared" si="71"/>
        <v>169</v>
      </c>
      <c r="T377" s="174">
        <f>VLOOKUP(D377,原始分!$D:$N,10,0)</f>
        <v>0</v>
      </c>
      <c r="U377" s="174">
        <f t="shared" si="72"/>
        <v>112</v>
      </c>
      <c r="V377" s="174">
        <f>VLOOKUP(D377,原始分!$D:$N,11,0)</f>
        <v>0</v>
      </c>
      <c r="W377" s="174">
        <f t="shared" si="73"/>
        <v>461</v>
      </c>
      <c r="X377" s="11">
        <f t="shared" si="74"/>
        <v>316</v>
      </c>
      <c r="Y377" s="9">
        <f t="shared" si="75"/>
        <v>144</v>
      </c>
      <c r="Z377" s="11">
        <f t="shared" si="76"/>
        <v>431.5</v>
      </c>
      <c r="AA377" s="9">
        <f t="shared" si="77"/>
        <v>373</v>
      </c>
    </row>
    <row r="378" ht="14.25" spans="1:27">
      <c r="A378" s="13">
        <v>356</v>
      </c>
      <c r="B378" s="15">
        <v>8</v>
      </c>
      <c r="C378" s="16">
        <v>29</v>
      </c>
      <c r="D378" s="17" t="s">
        <v>723</v>
      </c>
      <c r="E378" s="17" t="s">
        <v>724</v>
      </c>
      <c r="F378" s="174">
        <f>VLOOKUP(D378,原始分!$D:$N,3,0)</f>
        <v>101</v>
      </c>
      <c r="G378" s="174">
        <f t="shared" si="65"/>
        <v>224</v>
      </c>
      <c r="H378" s="174">
        <f>VLOOKUP(D378,原始分!$D:$N,4,0)</f>
        <v>107</v>
      </c>
      <c r="I378" s="174">
        <f t="shared" si="66"/>
        <v>239</v>
      </c>
      <c r="J378" s="174">
        <f>VLOOKUP(D378,原始分!$D:$N,5,0)</f>
        <v>85.5</v>
      </c>
      <c r="K378" s="174">
        <f t="shared" si="67"/>
        <v>481</v>
      </c>
      <c r="L378" s="174">
        <f>VLOOKUP(D378,原始分!$D:$N,6,0)</f>
        <v>52.5</v>
      </c>
      <c r="M378" s="174">
        <f t="shared" si="68"/>
        <v>307</v>
      </c>
      <c r="N378" s="174">
        <f>VLOOKUP(D378,原始分!$D:$N,7,0)</f>
        <v>0</v>
      </c>
      <c r="O378" s="174">
        <f t="shared" si="69"/>
        <v>1</v>
      </c>
      <c r="P378" s="174">
        <f>VLOOKUP(D378,原始分!$D:$N,8,0)</f>
        <v>31.5</v>
      </c>
      <c r="Q378" s="174">
        <f t="shared" si="70"/>
        <v>459</v>
      </c>
      <c r="R378" s="174">
        <f>VLOOKUP(D378,原始分!$D:$N,9,0)</f>
        <v>0</v>
      </c>
      <c r="S378" s="174">
        <f t="shared" si="71"/>
        <v>218</v>
      </c>
      <c r="T378" s="174">
        <f>VLOOKUP(D378,原始分!$D:$N,10,0)</f>
        <v>0</v>
      </c>
      <c r="U378" s="174">
        <f t="shared" si="72"/>
        <v>112</v>
      </c>
      <c r="V378" s="174">
        <f>VLOOKUP(D378,原始分!$D:$N,11,0)</f>
        <v>53.5</v>
      </c>
      <c r="W378" s="174">
        <f t="shared" si="73"/>
        <v>171</v>
      </c>
      <c r="X378" s="11">
        <f t="shared" si="74"/>
        <v>293.5</v>
      </c>
      <c r="Y378" s="9">
        <f t="shared" si="75"/>
        <v>330</v>
      </c>
      <c r="Z378" s="11">
        <f t="shared" si="76"/>
        <v>431</v>
      </c>
      <c r="AA378" s="9">
        <f t="shared" si="77"/>
        <v>376</v>
      </c>
    </row>
    <row r="379" ht="14.25" spans="1:27">
      <c r="A379" s="13">
        <v>498</v>
      </c>
      <c r="B379" s="15">
        <v>11</v>
      </c>
      <c r="C379" s="16">
        <v>2</v>
      </c>
      <c r="D379" s="17" t="s">
        <v>1006</v>
      </c>
      <c r="E379" s="17" t="s">
        <v>1007</v>
      </c>
      <c r="F379" s="174">
        <f>VLOOKUP(D379,原始分!$D:$N,3,0)</f>
        <v>103.5</v>
      </c>
      <c r="G379" s="174">
        <f t="shared" si="65"/>
        <v>146</v>
      </c>
      <c r="H379" s="174">
        <f>VLOOKUP(D379,原始分!$D:$N,4,0)</f>
        <v>105.5</v>
      </c>
      <c r="I379" s="174">
        <f t="shared" si="66"/>
        <v>265</v>
      </c>
      <c r="J379" s="174">
        <f>VLOOKUP(D379,原始分!$D:$N,5,0)</f>
        <v>92.5</v>
      </c>
      <c r="K379" s="174">
        <f t="shared" si="67"/>
        <v>381</v>
      </c>
      <c r="L379" s="174">
        <f>VLOOKUP(D379,原始分!$D:$N,6,0)</f>
        <v>37.5</v>
      </c>
      <c r="M379" s="174">
        <f t="shared" si="68"/>
        <v>543</v>
      </c>
      <c r="N379" s="174">
        <f>VLOOKUP(D379,原始分!$D:$N,7,0)</f>
        <v>0</v>
      </c>
      <c r="O379" s="174">
        <f t="shared" si="69"/>
        <v>1</v>
      </c>
      <c r="P379" s="174">
        <f>VLOOKUP(D379,原始分!$D:$N,8,0)</f>
        <v>44</v>
      </c>
      <c r="Q379" s="174">
        <f t="shared" si="70"/>
        <v>226</v>
      </c>
      <c r="R379" s="174">
        <f>VLOOKUP(D379,原始分!$D:$N,9,0)</f>
        <v>0</v>
      </c>
      <c r="S379" s="174">
        <f t="shared" si="71"/>
        <v>218</v>
      </c>
      <c r="T379" s="174">
        <f>VLOOKUP(D379,原始分!$D:$N,10,0)</f>
        <v>0</v>
      </c>
      <c r="U379" s="174">
        <f t="shared" si="72"/>
        <v>112</v>
      </c>
      <c r="V379" s="174">
        <f>VLOOKUP(D379,原始分!$D:$N,11,0)</f>
        <v>48</v>
      </c>
      <c r="W379" s="174">
        <f t="shared" si="73"/>
        <v>277</v>
      </c>
      <c r="X379" s="11">
        <f t="shared" si="74"/>
        <v>301.5</v>
      </c>
      <c r="Y379" s="9">
        <f t="shared" si="75"/>
        <v>265</v>
      </c>
      <c r="Z379" s="11">
        <f t="shared" si="76"/>
        <v>431</v>
      </c>
      <c r="AA379" s="9">
        <f t="shared" si="77"/>
        <v>376</v>
      </c>
    </row>
    <row r="380" ht="14.25" spans="1:27">
      <c r="A380" s="13">
        <v>269</v>
      </c>
      <c r="B380" s="15">
        <v>6</v>
      </c>
      <c r="C380" s="16">
        <v>21</v>
      </c>
      <c r="D380" s="17" t="s">
        <v>549</v>
      </c>
      <c r="E380" s="17" t="s">
        <v>550</v>
      </c>
      <c r="F380" s="174">
        <f>VLOOKUP(D380,原始分!$D:$N,3,0)</f>
        <v>93</v>
      </c>
      <c r="G380" s="174">
        <f t="shared" si="65"/>
        <v>505</v>
      </c>
      <c r="H380" s="174">
        <f>VLOOKUP(D380,原始分!$D:$N,4,0)</f>
        <v>86.5</v>
      </c>
      <c r="I380" s="174">
        <f t="shared" si="66"/>
        <v>543</v>
      </c>
      <c r="J380" s="174">
        <f>VLOOKUP(D380,原始分!$D:$N,5,0)</f>
        <v>81.75</v>
      </c>
      <c r="K380" s="174">
        <f t="shared" si="67"/>
        <v>533</v>
      </c>
      <c r="L380" s="174">
        <f>VLOOKUP(D380,原始分!$D:$N,6,0)</f>
        <v>55</v>
      </c>
      <c r="M380" s="174">
        <f t="shared" si="68"/>
        <v>269</v>
      </c>
      <c r="N380" s="174">
        <f>VLOOKUP(D380,原始分!$D:$N,7,0)</f>
        <v>0</v>
      </c>
      <c r="O380" s="174">
        <f t="shared" si="69"/>
        <v>1</v>
      </c>
      <c r="P380" s="174">
        <f>VLOOKUP(D380,原始分!$D:$N,8,0)</f>
        <v>0</v>
      </c>
      <c r="Q380" s="174">
        <f t="shared" si="70"/>
        <v>539</v>
      </c>
      <c r="R380" s="174">
        <f>VLOOKUP(D380,原始分!$D:$N,9,0)</f>
        <v>57.5</v>
      </c>
      <c r="S380" s="174">
        <f t="shared" si="71"/>
        <v>25</v>
      </c>
      <c r="T380" s="174">
        <f>VLOOKUP(D380,原始分!$D:$N,10,0)</f>
        <v>0</v>
      </c>
      <c r="U380" s="174">
        <f t="shared" si="72"/>
        <v>112</v>
      </c>
      <c r="V380" s="174">
        <f>VLOOKUP(D380,原始分!$D:$N,11,0)</f>
        <v>57</v>
      </c>
      <c r="W380" s="174">
        <f t="shared" si="73"/>
        <v>112</v>
      </c>
      <c r="X380" s="11">
        <f t="shared" si="74"/>
        <v>261.25</v>
      </c>
      <c r="Y380" s="9">
        <f t="shared" si="75"/>
        <v>576</v>
      </c>
      <c r="Z380" s="11">
        <f t="shared" si="76"/>
        <v>430.75</v>
      </c>
      <c r="AA380" s="9">
        <f t="shared" si="77"/>
        <v>378</v>
      </c>
    </row>
    <row r="381" ht="14.25" spans="1:27">
      <c r="A381" s="13">
        <v>250</v>
      </c>
      <c r="B381" s="15">
        <v>5</v>
      </c>
      <c r="C381" s="16">
        <v>48</v>
      </c>
      <c r="D381" s="17" t="s">
        <v>511</v>
      </c>
      <c r="E381" s="17" t="s">
        <v>512</v>
      </c>
      <c r="F381" s="174">
        <f>VLOOKUP(D381,原始分!$D:$N,3,0)</f>
        <v>86.25</v>
      </c>
      <c r="G381" s="174">
        <f t="shared" si="65"/>
        <v>625</v>
      </c>
      <c r="H381" s="174">
        <f>VLOOKUP(D381,原始分!$D:$N,4,0)</f>
        <v>104</v>
      </c>
      <c r="I381" s="174">
        <f t="shared" si="66"/>
        <v>290</v>
      </c>
      <c r="J381" s="174">
        <f>VLOOKUP(D381,原始分!$D:$N,5,0)</f>
        <v>104.25</v>
      </c>
      <c r="K381" s="174">
        <f t="shared" si="67"/>
        <v>182</v>
      </c>
      <c r="L381" s="174">
        <f>VLOOKUP(D381,原始分!$D:$N,6,0)</f>
        <v>37</v>
      </c>
      <c r="M381" s="174">
        <f t="shared" si="68"/>
        <v>552</v>
      </c>
      <c r="N381" s="174">
        <f>VLOOKUP(D381,原始分!$D:$N,7,0)</f>
        <v>0</v>
      </c>
      <c r="O381" s="174">
        <f t="shared" si="69"/>
        <v>1</v>
      </c>
      <c r="P381" s="174">
        <f>VLOOKUP(D381,原始分!$D:$N,8,0)</f>
        <v>40</v>
      </c>
      <c r="Q381" s="174">
        <f t="shared" si="70"/>
        <v>314</v>
      </c>
      <c r="R381" s="174">
        <f>VLOOKUP(D381,原始分!$D:$N,9,0)</f>
        <v>59</v>
      </c>
      <c r="S381" s="174">
        <f t="shared" si="71"/>
        <v>18</v>
      </c>
      <c r="T381" s="174">
        <f>VLOOKUP(D381,原始分!$D:$N,10,0)</f>
        <v>0</v>
      </c>
      <c r="U381" s="174">
        <f t="shared" si="72"/>
        <v>112</v>
      </c>
      <c r="V381" s="174">
        <f>VLOOKUP(D381,原始分!$D:$N,11,0)</f>
        <v>0</v>
      </c>
      <c r="W381" s="174">
        <f t="shared" si="73"/>
        <v>461</v>
      </c>
      <c r="X381" s="11">
        <f t="shared" si="74"/>
        <v>294.5</v>
      </c>
      <c r="Y381" s="9">
        <f t="shared" si="75"/>
        <v>321</v>
      </c>
      <c r="Z381" s="11">
        <f t="shared" si="76"/>
        <v>430.5</v>
      </c>
      <c r="AA381" s="9">
        <f t="shared" si="77"/>
        <v>379</v>
      </c>
    </row>
    <row r="382" ht="14.25" spans="1:27">
      <c r="A382" s="13">
        <v>179</v>
      </c>
      <c r="B382" s="15">
        <v>4</v>
      </c>
      <c r="C382" s="16">
        <v>20</v>
      </c>
      <c r="D382" s="17" t="s">
        <v>371</v>
      </c>
      <c r="E382" s="17" t="s">
        <v>372</v>
      </c>
      <c r="F382" s="174">
        <f>VLOOKUP(D382,原始分!$D:$N,3,0)</f>
        <v>104</v>
      </c>
      <c r="G382" s="174">
        <f t="shared" si="65"/>
        <v>130</v>
      </c>
      <c r="H382" s="174">
        <f>VLOOKUP(D382,原始分!$D:$N,4,0)</f>
        <v>101.5</v>
      </c>
      <c r="I382" s="174">
        <f t="shared" si="66"/>
        <v>328</v>
      </c>
      <c r="J382" s="174">
        <f>VLOOKUP(D382,原始分!$D:$N,5,0)</f>
        <v>96.75</v>
      </c>
      <c r="K382" s="174">
        <f t="shared" si="67"/>
        <v>309</v>
      </c>
      <c r="L382" s="174">
        <f>VLOOKUP(D382,原始分!$D:$N,6,0)</f>
        <v>44</v>
      </c>
      <c r="M382" s="174">
        <f t="shared" si="68"/>
        <v>441</v>
      </c>
      <c r="N382" s="174">
        <f>VLOOKUP(D382,原始分!$D:$N,7,0)</f>
        <v>0</v>
      </c>
      <c r="O382" s="174">
        <f t="shared" si="69"/>
        <v>1</v>
      </c>
      <c r="P382" s="174">
        <f>VLOOKUP(D382,原始分!$D:$N,8,0)</f>
        <v>40.5</v>
      </c>
      <c r="Q382" s="174">
        <f t="shared" si="70"/>
        <v>301</v>
      </c>
      <c r="R382" s="174">
        <f>VLOOKUP(D382,原始分!$D:$N,9,0)</f>
        <v>43.5</v>
      </c>
      <c r="S382" s="174">
        <f t="shared" si="71"/>
        <v>171</v>
      </c>
      <c r="T382" s="174">
        <f>VLOOKUP(D382,原始分!$D:$N,10,0)</f>
        <v>0</v>
      </c>
      <c r="U382" s="174">
        <f t="shared" si="72"/>
        <v>112</v>
      </c>
      <c r="V382" s="174">
        <f>VLOOKUP(D382,原始分!$D:$N,11,0)</f>
        <v>0</v>
      </c>
      <c r="W382" s="174">
        <f t="shared" si="73"/>
        <v>461</v>
      </c>
      <c r="X382" s="11">
        <f t="shared" si="74"/>
        <v>302.25</v>
      </c>
      <c r="Y382" s="9">
        <f t="shared" si="75"/>
        <v>260</v>
      </c>
      <c r="Z382" s="11">
        <f t="shared" si="76"/>
        <v>430.25</v>
      </c>
      <c r="AA382" s="9">
        <f t="shared" si="77"/>
        <v>380</v>
      </c>
    </row>
    <row r="383" ht="14.25" spans="1:27">
      <c r="A383" s="13">
        <v>180</v>
      </c>
      <c r="B383" s="15">
        <v>4</v>
      </c>
      <c r="C383" s="16">
        <v>21</v>
      </c>
      <c r="D383" s="17" t="s">
        <v>373</v>
      </c>
      <c r="E383" s="17" t="s">
        <v>374</v>
      </c>
      <c r="F383" s="174">
        <f>VLOOKUP(D383,原始分!$D:$N,3,0)</f>
        <v>100.5</v>
      </c>
      <c r="G383" s="174">
        <f t="shared" si="65"/>
        <v>252</v>
      </c>
      <c r="H383" s="174">
        <f>VLOOKUP(D383,原始分!$D:$N,4,0)</f>
        <v>111.5</v>
      </c>
      <c r="I383" s="174">
        <f t="shared" si="66"/>
        <v>169</v>
      </c>
      <c r="J383" s="174">
        <f>VLOOKUP(D383,原始分!$D:$N,5,0)</f>
        <v>91</v>
      </c>
      <c r="K383" s="174">
        <f t="shared" si="67"/>
        <v>410</v>
      </c>
      <c r="L383" s="174">
        <f>VLOOKUP(D383,原始分!$D:$N,6,0)</f>
        <v>47</v>
      </c>
      <c r="M383" s="174">
        <f t="shared" si="68"/>
        <v>391</v>
      </c>
      <c r="N383" s="174">
        <f>VLOOKUP(D383,原始分!$D:$N,7,0)</f>
        <v>0</v>
      </c>
      <c r="O383" s="174">
        <f t="shared" si="69"/>
        <v>1</v>
      </c>
      <c r="P383" s="174">
        <f>VLOOKUP(D383,原始分!$D:$N,8,0)</f>
        <v>39.5</v>
      </c>
      <c r="Q383" s="174">
        <f t="shared" si="70"/>
        <v>333</v>
      </c>
      <c r="R383" s="174">
        <f>VLOOKUP(D383,原始分!$D:$N,9,0)</f>
        <v>40.5</v>
      </c>
      <c r="S383" s="174">
        <f t="shared" si="71"/>
        <v>192</v>
      </c>
      <c r="T383" s="174">
        <f>VLOOKUP(D383,原始分!$D:$N,10,0)</f>
        <v>0</v>
      </c>
      <c r="U383" s="174">
        <f t="shared" si="72"/>
        <v>112</v>
      </c>
      <c r="V383" s="174">
        <f>VLOOKUP(D383,原始分!$D:$N,11,0)</f>
        <v>0</v>
      </c>
      <c r="W383" s="174">
        <f t="shared" si="73"/>
        <v>461</v>
      </c>
      <c r="X383" s="11">
        <f t="shared" si="74"/>
        <v>303</v>
      </c>
      <c r="Y383" s="9">
        <f t="shared" si="75"/>
        <v>251</v>
      </c>
      <c r="Z383" s="11">
        <f t="shared" si="76"/>
        <v>430</v>
      </c>
      <c r="AA383" s="9">
        <f t="shared" si="77"/>
        <v>381</v>
      </c>
    </row>
    <row r="384" ht="14.25" spans="1:27">
      <c r="A384" s="13">
        <v>97</v>
      </c>
      <c r="B384" s="15">
        <v>2</v>
      </c>
      <c r="C384" s="16">
        <v>34</v>
      </c>
      <c r="D384" s="17" t="s">
        <v>207</v>
      </c>
      <c r="E384" s="17" t="s">
        <v>208</v>
      </c>
      <c r="F384" s="174">
        <f>VLOOKUP(D384,原始分!$D:$N,3,0)</f>
        <v>104</v>
      </c>
      <c r="G384" s="174">
        <f t="shared" si="65"/>
        <v>130</v>
      </c>
      <c r="H384" s="174">
        <f>VLOOKUP(D384,原始分!$D:$N,4,0)</f>
        <v>88.5</v>
      </c>
      <c r="I384" s="174">
        <f t="shared" si="66"/>
        <v>514</v>
      </c>
      <c r="J384" s="174">
        <f>VLOOKUP(D384,原始分!$D:$N,5,0)</f>
        <v>100.25</v>
      </c>
      <c r="K384" s="174">
        <f t="shared" si="67"/>
        <v>239</v>
      </c>
      <c r="L384" s="174">
        <f>VLOOKUP(D384,原始分!$D:$N,6,0)</f>
        <v>47</v>
      </c>
      <c r="M384" s="174">
        <f t="shared" si="68"/>
        <v>391</v>
      </c>
      <c r="N384" s="174">
        <f>VLOOKUP(D384,原始分!$D:$N,7,0)</f>
        <v>0</v>
      </c>
      <c r="O384" s="174">
        <f t="shared" si="69"/>
        <v>1</v>
      </c>
      <c r="P384" s="174">
        <f>VLOOKUP(D384,原始分!$D:$N,8,0)</f>
        <v>0</v>
      </c>
      <c r="Q384" s="174">
        <f t="shared" si="70"/>
        <v>539</v>
      </c>
      <c r="R384" s="174">
        <f>VLOOKUP(D384,原始分!$D:$N,9,0)</f>
        <v>0</v>
      </c>
      <c r="S384" s="174">
        <f t="shared" si="71"/>
        <v>218</v>
      </c>
      <c r="T384" s="174">
        <f>VLOOKUP(D384,原始分!$D:$N,10,0)</f>
        <v>48</v>
      </c>
      <c r="U384" s="174">
        <f t="shared" si="72"/>
        <v>89</v>
      </c>
      <c r="V384" s="174">
        <f>VLOOKUP(D384,原始分!$D:$N,11,0)</f>
        <v>42</v>
      </c>
      <c r="W384" s="174">
        <f t="shared" si="73"/>
        <v>383</v>
      </c>
      <c r="X384" s="11">
        <f t="shared" si="74"/>
        <v>292.75</v>
      </c>
      <c r="Y384" s="9">
        <f t="shared" si="75"/>
        <v>343</v>
      </c>
      <c r="Z384" s="11">
        <f t="shared" si="76"/>
        <v>429.75</v>
      </c>
      <c r="AA384" s="9">
        <f t="shared" si="77"/>
        <v>382</v>
      </c>
    </row>
    <row r="385" ht="14.25" spans="1:27">
      <c r="A385" s="13">
        <v>548</v>
      </c>
      <c r="B385" s="15">
        <v>11</v>
      </c>
      <c r="C385" s="16">
        <v>54</v>
      </c>
      <c r="D385" s="17" t="s">
        <v>1104</v>
      </c>
      <c r="E385" s="17" t="s">
        <v>1105</v>
      </c>
      <c r="F385" s="174">
        <f>VLOOKUP(D385,原始分!$D:$N,3,0)</f>
        <v>91.5</v>
      </c>
      <c r="G385" s="174">
        <f t="shared" si="65"/>
        <v>538</v>
      </c>
      <c r="H385" s="174">
        <f>VLOOKUP(D385,原始分!$D:$N,4,0)</f>
        <v>109.5</v>
      </c>
      <c r="I385" s="174">
        <f t="shared" si="66"/>
        <v>198</v>
      </c>
      <c r="J385" s="174">
        <f>VLOOKUP(D385,原始分!$D:$N,5,0)</f>
        <v>87</v>
      </c>
      <c r="K385" s="174">
        <f t="shared" si="67"/>
        <v>457</v>
      </c>
      <c r="L385" s="174">
        <f>VLOOKUP(D385,原始分!$D:$N,6,0)</f>
        <v>55</v>
      </c>
      <c r="M385" s="174">
        <f t="shared" si="68"/>
        <v>269</v>
      </c>
      <c r="N385" s="174">
        <f>VLOOKUP(D385,原始分!$D:$N,7,0)</f>
        <v>0</v>
      </c>
      <c r="O385" s="174">
        <f t="shared" si="69"/>
        <v>1</v>
      </c>
      <c r="P385" s="174">
        <f>VLOOKUP(D385,原始分!$D:$N,8,0)</f>
        <v>35</v>
      </c>
      <c r="Q385" s="174">
        <f t="shared" si="70"/>
        <v>401</v>
      </c>
      <c r="R385" s="174">
        <f>VLOOKUP(D385,原始分!$D:$N,9,0)</f>
        <v>0</v>
      </c>
      <c r="S385" s="174">
        <f t="shared" si="71"/>
        <v>218</v>
      </c>
      <c r="T385" s="174">
        <f>VLOOKUP(D385,原始分!$D:$N,10,0)</f>
        <v>0</v>
      </c>
      <c r="U385" s="174">
        <f t="shared" si="72"/>
        <v>112</v>
      </c>
      <c r="V385" s="174">
        <f>VLOOKUP(D385,原始分!$D:$N,11,0)</f>
        <v>51.5</v>
      </c>
      <c r="W385" s="174">
        <f t="shared" si="73"/>
        <v>213</v>
      </c>
      <c r="X385" s="11">
        <f t="shared" si="74"/>
        <v>288</v>
      </c>
      <c r="Y385" s="9">
        <f t="shared" si="75"/>
        <v>378</v>
      </c>
      <c r="Z385" s="11">
        <f t="shared" si="76"/>
        <v>429.5</v>
      </c>
      <c r="AA385" s="9">
        <f t="shared" si="77"/>
        <v>383</v>
      </c>
    </row>
    <row r="386" ht="14.25" spans="1:27">
      <c r="A386" s="13">
        <v>590</v>
      </c>
      <c r="B386" s="15">
        <v>12</v>
      </c>
      <c r="C386" s="16">
        <v>40</v>
      </c>
      <c r="D386" s="17" t="s">
        <v>1188</v>
      </c>
      <c r="E386" s="17" t="s">
        <v>1189</v>
      </c>
      <c r="F386" s="174">
        <f>VLOOKUP(D386,原始分!$D:$N,3,0)</f>
        <v>105</v>
      </c>
      <c r="G386" s="174">
        <f t="shared" si="65"/>
        <v>107</v>
      </c>
      <c r="H386" s="174">
        <f>VLOOKUP(D386,原始分!$D:$N,4,0)</f>
        <v>89.5</v>
      </c>
      <c r="I386" s="174">
        <f t="shared" si="66"/>
        <v>499</v>
      </c>
      <c r="J386" s="174">
        <f>VLOOKUP(D386,原始分!$D:$N,5,0)</f>
        <v>105.5</v>
      </c>
      <c r="K386" s="174">
        <f t="shared" si="67"/>
        <v>162</v>
      </c>
      <c r="L386" s="174">
        <f>VLOOKUP(D386,原始分!$D:$N,6,0)</f>
        <v>48.5</v>
      </c>
      <c r="M386" s="174">
        <f t="shared" si="68"/>
        <v>364</v>
      </c>
      <c r="N386" s="174">
        <f>VLOOKUP(D386,原始分!$D:$N,7,0)</f>
        <v>0</v>
      </c>
      <c r="O386" s="174">
        <f t="shared" si="69"/>
        <v>1</v>
      </c>
      <c r="P386" s="174">
        <f>VLOOKUP(D386,原始分!$D:$N,8,0)</f>
        <v>41.5</v>
      </c>
      <c r="Q386" s="174">
        <f t="shared" si="70"/>
        <v>278</v>
      </c>
      <c r="R386" s="174">
        <f>VLOOKUP(D386,原始分!$D:$N,9,0)</f>
        <v>0</v>
      </c>
      <c r="S386" s="174">
        <f t="shared" si="71"/>
        <v>218</v>
      </c>
      <c r="T386" s="174">
        <f>VLOOKUP(D386,原始分!$D:$N,10,0)</f>
        <v>0</v>
      </c>
      <c r="U386" s="174">
        <f t="shared" si="72"/>
        <v>112</v>
      </c>
      <c r="V386" s="174">
        <f>VLOOKUP(D386,原始分!$D:$N,11,0)</f>
        <v>39.5</v>
      </c>
      <c r="W386" s="174">
        <f t="shared" si="73"/>
        <v>406</v>
      </c>
      <c r="X386" s="11">
        <f t="shared" si="74"/>
        <v>300</v>
      </c>
      <c r="Y386" s="9">
        <f t="shared" si="75"/>
        <v>276</v>
      </c>
      <c r="Z386" s="11">
        <f t="shared" si="76"/>
        <v>429.5</v>
      </c>
      <c r="AA386" s="9">
        <f t="shared" si="77"/>
        <v>383</v>
      </c>
    </row>
    <row r="387" ht="14.25" spans="1:27">
      <c r="A387" s="13">
        <v>578</v>
      </c>
      <c r="B387" s="15">
        <v>12</v>
      </c>
      <c r="C387" s="16">
        <v>26</v>
      </c>
      <c r="D387" s="17" t="s">
        <v>1164</v>
      </c>
      <c r="E387" s="17" t="s">
        <v>1165</v>
      </c>
      <c r="F387" s="174">
        <f>VLOOKUP(D387,原始分!$D:$N,3,0)</f>
        <v>91.25</v>
      </c>
      <c r="G387" s="174">
        <f t="shared" ref="G387:G450" si="78">RANK(F387,$F$3:$F$723)</f>
        <v>551</v>
      </c>
      <c r="H387" s="174">
        <f>VLOOKUP(D387,原始分!$D:$N,4,0)</f>
        <v>101</v>
      </c>
      <c r="I387" s="174">
        <f t="shared" ref="I387:I450" si="79">RANK(H387,$H$3:$H$723)</f>
        <v>339</v>
      </c>
      <c r="J387" s="174">
        <f>VLOOKUP(D387,原始分!$D:$N,5,0)</f>
        <v>92</v>
      </c>
      <c r="K387" s="174">
        <f t="shared" ref="K387:K450" si="80">RANK(J387,$J$3:$J$723)</f>
        <v>392</v>
      </c>
      <c r="L387" s="174">
        <f>VLOOKUP(D387,原始分!$D:$N,6,0)</f>
        <v>58.5</v>
      </c>
      <c r="M387" s="174">
        <f t="shared" ref="M387:M450" si="81">RANK(L387,$L$3:$L$723)</f>
        <v>209</v>
      </c>
      <c r="N387" s="174">
        <f>VLOOKUP(D387,原始分!$D:$N,7,0)</f>
        <v>0</v>
      </c>
      <c r="O387" s="174">
        <f t="shared" ref="O387:O450" si="82">RANK(N387,$N$3:$N$723)</f>
        <v>1</v>
      </c>
      <c r="P387" s="174">
        <f>VLOOKUP(D387,原始分!$D:$N,8,0)</f>
        <v>45.5</v>
      </c>
      <c r="Q387" s="174">
        <f t="shared" ref="Q387:Q450" si="83">RANK(P387,$P$3:$P$723)</f>
        <v>202</v>
      </c>
      <c r="R387" s="174">
        <f>VLOOKUP(D387,原始分!$D:$N,9,0)</f>
        <v>0</v>
      </c>
      <c r="S387" s="174">
        <f t="shared" ref="S387:S450" si="84">RANK(R387,$R$3:$R$723)</f>
        <v>218</v>
      </c>
      <c r="T387" s="174">
        <f>VLOOKUP(D387,原始分!$D:$N,10,0)</f>
        <v>0</v>
      </c>
      <c r="U387" s="174">
        <f t="shared" ref="U387:U450" si="85">RANK(T387,$T$3:$T$723)</f>
        <v>112</v>
      </c>
      <c r="V387" s="174">
        <f>VLOOKUP(D387,原始分!$D:$N,11,0)</f>
        <v>41</v>
      </c>
      <c r="W387" s="174">
        <f t="shared" ref="W387:W450" si="86">RANK(V387,$V$3:$V$723)</f>
        <v>391</v>
      </c>
      <c r="X387" s="11">
        <f t="shared" ref="X387:X450" si="87">SUM(F387,H387,J387)</f>
        <v>284.25</v>
      </c>
      <c r="Y387" s="9">
        <f t="shared" ref="Y387:Y450" si="88">RANK(X387,$X$3:$X$723)</f>
        <v>407</v>
      </c>
      <c r="Z387" s="11">
        <f t="shared" ref="Z387:Z450" si="89">SUM(F387,H387,J387,L387,N387,P387,R387,T387,V387)</f>
        <v>429.25</v>
      </c>
      <c r="AA387" s="9">
        <f t="shared" ref="AA387:AA450" si="90">RANK(Z387,$Z$3:$Z$723)</f>
        <v>385</v>
      </c>
    </row>
    <row r="388" ht="14.25" spans="1:27">
      <c r="A388" s="13">
        <v>141</v>
      </c>
      <c r="B388" s="15">
        <v>3</v>
      </c>
      <c r="C388" s="16">
        <v>30</v>
      </c>
      <c r="D388" s="17" t="s">
        <v>295</v>
      </c>
      <c r="E388" s="17" t="s">
        <v>296</v>
      </c>
      <c r="F388" s="174">
        <f>VLOOKUP(D388,原始分!$D:$N,3,0)</f>
        <v>98.5</v>
      </c>
      <c r="G388" s="174">
        <f t="shared" si="78"/>
        <v>324</v>
      </c>
      <c r="H388" s="174">
        <f>VLOOKUP(D388,原始分!$D:$N,4,0)</f>
        <v>82.5</v>
      </c>
      <c r="I388" s="174">
        <f t="shared" si="79"/>
        <v>581</v>
      </c>
      <c r="J388" s="174">
        <f>VLOOKUP(D388,原始分!$D:$N,5,0)</f>
        <v>114</v>
      </c>
      <c r="K388" s="174">
        <f t="shared" si="80"/>
        <v>66</v>
      </c>
      <c r="L388" s="174">
        <f>VLOOKUP(D388,原始分!$D:$N,6,0)</f>
        <v>37.5</v>
      </c>
      <c r="M388" s="174">
        <f t="shared" si="81"/>
        <v>543</v>
      </c>
      <c r="N388" s="174">
        <f>VLOOKUP(D388,原始分!$D:$N,7,0)</f>
        <v>0</v>
      </c>
      <c r="O388" s="174">
        <f t="shared" si="82"/>
        <v>1</v>
      </c>
      <c r="P388" s="174">
        <f>VLOOKUP(D388,原始分!$D:$N,8,0)</f>
        <v>40</v>
      </c>
      <c r="Q388" s="174">
        <f t="shared" si="83"/>
        <v>314</v>
      </c>
      <c r="R388" s="174">
        <f>VLOOKUP(D388,原始分!$D:$N,9,0)</f>
        <v>56.5</v>
      </c>
      <c r="S388" s="174">
        <f t="shared" si="84"/>
        <v>34</v>
      </c>
      <c r="T388" s="174">
        <f>VLOOKUP(D388,原始分!$D:$N,10,0)</f>
        <v>0</v>
      </c>
      <c r="U388" s="174">
        <f t="shared" si="85"/>
        <v>112</v>
      </c>
      <c r="V388" s="174">
        <f>VLOOKUP(D388,原始分!$D:$N,11,0)</f>
        <v>0</v>
      </c>
      <c r="W388" s="174">
        <f t="shared" si="86"/>
        <v>461</v>
      </c>
      <c r="X388" s="11">
        <f t="shared" si="87"/>
        <v>295</v>
      </c>
      <c r="Y388" s="9">
        <f t="shared" si="88"/>
        <v>314</v>
      </c>
      <c r="Z388" s="11">
        <f t="shared" si="89"/>
        <v>429</v>
      </c>
      <c r="AA388" s="9">
        <f t="shared" si="90"/>
        <v>386</v>
      </c>
    </row>
    <row r="389" ht="14.25" spans="1:27">
      <c r="A389" s="13">
        <v>283</v>
      </c>
      <c r="B389" s="15">
        <v>6</v>
      </c>
      <c r="C389" s="16">
        <v>35</v>
      </c>
      <c r="D389" s="17" t="s">
        <v>577</v>
      </c>
      <c r="E389" s="17" t="s">
        <v>578</v>
      </c>
      <c r="F389" s="174">
        <f>VLOOKUP(D389,原始分!$D:$N,3,0)</f>
        <v>94.5</v>
      </c>
      <c r="G389" s="174">
        <f t="shared" si="78"/>
        <v>461</v>
      </c>
      <c r="H389" s="174">
        <f>VLOOKUP(D389,原始分!$D:$N,4,0)</f>
        <v>94.5</v>
      </c>
      <c r="I389" s="174">
        <f t="shared" si="79"/>
        <v>431</v>
      </c>
      <c r="J389" s="174">
        <f>VLOOKUP(D389,原始分!$D:$N,5,0)</f>
        <v>93</v>
      </c>
      <c r="K389" s="174">
        <f t="shared" si="80"/>
        <v>372</v>
      </c>
      <c r="L389" s="174">
        <f>VLOOKUP(D389,原始分!$D:$N,6,0)</f>
        <v>51</v>
      </c>
      <c r="M389" s="174">
        <f t="shared" si="81"/>
        <v>320</v>
      </c>
      <c r="N389" s="174">
        <f>VLOOKUP(D389,原始分!$D:$N,7,0)</f>
        <v>0</v>
      </c>
      <c r="O389" s="174">
        <f t="shared" si="82"/>
        <v>1</v>
      </c>
      <c r="P389" s="174">
        <f>VLOOKUP(D389,原始分!$D:$N,8,0)</f>
        <v>0</v>
      </c>
      <c r="Q389" s="174">
        <f t="shared" si="83"/>
        <v>539</v>
      </c>
      <c r="R389" s="174">
        <f>VLOOKUP(D389,原始分!$D:$N,9,0)</f>
        <v>41.5</v>
      </c>
      <c r="S389" s="174">
        <f t="shared" si="84"/>
        <v>185</v>
      </c>
      <c r="T389" s="174">
        <f>VLOOKUP(D389,原始分!$D:$N,10,0)</f>
        <v>0</v>
      </c>
      <c r="U389" s="174">
        <f t="shared" si="85"/>
        <v>112</v>
      </c>
      <c r="V389" s="174">
        <f>VLOOKUP(D389,原始分!$D:$N,11,0)</f>
        <v>54.5</v>
      </c>
      <c r="W389" s="174">
        <f t="shared" si="86"/>
        <v>154</v>
      </c>
      <c r="X389" s="11">
        <f t="shared" si="87"/>
        <v>282</v>
      </c>
      <c r="Y389" s="9">
        <f t="shared" si="88"/>
        <v>432</v>
      </c>
      <c r="Z389" s="11">
        <f t="shared" si="89"/>
        <v>429</v>
      </c>
      <c r="AA389" s="9">
        <f t="shared" si="90"/>
        <v>386</v>
      </c>
    </row>
    <row r="390" ht="14.25" spans="1:27">
      <c r="A390" s="13">
        <v>306</v>
      </c>
      <c r="B390" s="15">
        <v>7</v>
      </c>
      <c r="C390" s="16">
        <v>17</v>
      </c>
      <c r="D390" s="17" t="s">
        <v>623</v>
      </c>
      <c r="E390" s="17" t="s">
        <v>624</v>
      </c>
      <c r="F390" s="174">
        <f>VLOOKUP(D390,原始分!$D:$N,3,0)</f>
        <v>99</v>
      </c>
      <c r="G390" s="174">
        <f t="shared" si="78"/>
        <v>304</v>
      </c>
      <c r="H390" s="174">
        <f>VLOOKUP(D390,原始分!$D:$N,4,0)</f>
        <v>108</v>
      </c>
      <c r="I390" s="174">
        <f t="shared" si="79"/>
        <v>221</v>
      </c>
      <c r="J390" s="174">
        <f>VLOOKUP(D390,原始分!$D:$N,5,0)</f>
        <v>90.5</v>
      </c>
      <c r="K390" s="174">
        <f t="shared" si="80"/>
        <v>416</v>
      </c>
      <c r="L390" s="174">
        <f>VLOOKUP(D390,原始分!$D:$N,6,0)</f>
        <v>45.5</v>
      </c>
      <c r="M390" s="174">
        <f t="shared" si="81"/>
        <v>417</v>
      </c>
      <c r="N390" s="174">
        <f>VLOOKUP(D390,原始分!$D:$N,7,0)</f>
        <v>0</v>
      </c>
      <c r="O390" s="174">
        <f t="shared" si="82"/>
        <v>1</v>
      </c>
      <c r="P390" s="174">
        <f>VLOOKUP(D390,原始分!$D:$N,8,0)</f>
        <v>0</v>
      </c>
      <c r="Q390" s="174">
        <f t="shared" si="83"/>
        <v>539</v>
      </c>
      <c r="R390" s="174">
        <f>VLOOKUP(D390,原始分!$D:$N,9,0)</f>
        <v>41</v>
      </c>
      <c r="S390" s="174">
        <f t="shared" si="84"/>
        <v>190</v>
      </c>
      <c r="T390" s="174">
        <f>VLOOKUP(D390,原始分!$D:$N,10,0)</f>
        <v>0</v>
      </c>
      <c r="U390" s="174">
        <f t="shared" si="85"/>
        <v>112</v>
      </c>
      <c r="V390" s="174">
        <f>VLOOKUP(D390,原始分!$D:$N,11,0)</f>
        <v>45</v>
      </c>
      <c r="W390" s="174">
        <f t="shared" si="86"/>
        <v>332</v>
      </c>
      <c r="X390" s="11">
        <f t="shared" si="87"/>
        <v>297.5</v>
      </c>
      <c r="Y390" s="9">
        <f t="shared" si="88"/>
        <v>299</v>
      </c>
      <c r="Z390" s="11">
        <f t="shared" si="89"/>
        <v>429</v>
      </c>
      <c r="AA390" s="9">
        <f t="shared" si="90"/>
        <v>386</v>
      </c>
    </row>
    <row r="391" ht="14.25" spans="1:27">
      <c r="A391" s="13">
        <v>644</v>
      </c>
      <c r="B391" s="15">
        <v>13</v>
      </c>
      <c r="C391" s="16">
        <v>37</v>
      </c>
      <c r="D391" s="17" t="s">
        <v>1295</v>
      </c>
      <c r="E391" s="17" t="s">
        <v>1296</v>
      </c>
      <c r="F391" s="174">
        <f>VLOOKUP(D391,原始分!$D:$N,3,0)</f>
        <v>96.5</v>
      </c>
      <c r="G391" s="174">
        <f t="shared" si="78"/>
        <v>398</v>
      </c>
      <c r="H391" s="174">
        <f>VLOOKUP(D391,原始分!$D:$N,4,0)</f>
        <v>88</v>
      </c>
      <c r="I391" s="174">
        <f t="shared" si="79"/>
        <v>522</v>
      </c>
      <c r="J391" s="174">
        <f>VLOOKUP(D391,原始分!$D:$N,5,0)</f>
        <v>91.5</v>
      </c>
      <c r="K391" s="174">
        <f t="shared" si="80"/>
        <v>403</v>
      </c>
      <c r="L391" s="174">
        <f>VLOOKUP(D391,原始分!$D:$N,6,0)</f>
        <v>59.5</v>
      </c>
      <c r="M391" s="174">
        <f t="shared" si="81"/>
        <v>195</v>
      </c>
      <c r="N391" s="174">
        <f>VLOOKUP(D391,原始分!$D:$N,7,0)</f>
        <v>0</v>
      </c>
      <c r="O391" s="174">
        <f t="shared" si="82"/>
        <v>1</v>
      </c>
      <c r="P391" s="174">
        <f>VLOOKUP(D391,原始分!$D:$N,8,0)</f>
        <v>42.5</v>
      </c>
      <c r="Q391" s="174">
        <f t="shared" si="83"/>
        <v>256</v>
      </c>
      <c r="R391" s="174">
        <f>VLOOKUP(D391,原始分!$D:$N,9,0)</f>
        <v>0</v>
      </c>
      <c r="S391" s="174">
        <f t="shared" si="84"/>
        <v>218</v>
      </c>
      <c r="T391" s="174">
        <f>VLOOKUP(D391,原始分!$D:$N,10,0)</f>
        <v>0</v>
      </c>
      <c r="U391" s="174">
        <f t="shared" si="85"/>
        <v>112</v>
      </c>
      <c r="V391" s="174">
        <f>VLOOKUP(D391,原始分!$D:$N,11,0)</f>
        <v>51</v>
      </c>
      <c r="W391" s="174">
        <f t="shared" si="86"/>
        <v>227</v>
      </c>
      <c r="X391" s="11">
        <f t="shared" si="87"/>
        <v>276</v>
      </c>
      <c r="Y391" s="9">
        <f t="shared" si="88"/>
        <v>490</v>
      </c>
      <c r="Z391" s="11">
        <f t="shared" si="89"/>
        <v>429</v>
      </c>
      <c r="AA391" s="9">
        <f t="shared" si="90"/>
        <v>386</v>
      </c>
    </row>
    <row r="392" ht="14.25" spans="1:27">
      <c r="A392" s="13">
        <v>74</v>
      </c>
      <c r="B392" s="15">
        <v>2</v>
      </c>
      <c r="C392" s="16">
        <v>11</v>
      </c>
      <c r="D392" s="17" t="s">
        <v>162</v>
      </c>
      <c r="E392" s="17" t="s">
        <v>121</v>
      </c>
      <c r="F392" s="174">
        <f>VLOOKUP(D392,原始分!$D:$N,3,0)</f>
        <v>92.5</v>
      </c>
      <c r="G392" s="174">
        <f t="shared" si="78"/>
        <v>524</v>
      </c>
      <c r="H392" s="174">
        <f>VLOOKUP(D392,原始分!$D:$N,4,0)</f>
        <v>96</v>
      </c>
      <c r="I392" s="174">
        <f t="shared" si="79"/>
        <v>406</v>
      </c>
      <c r="J392" s="174">
        <f>VLOOKUP(D392,原始分!$D:$N,5,0)</f>
        <v>92</v>
      </c>
      <c r="K392" s="174">
        <f t="shared" si="80"/>
        <v>392</v>
      </c>
      <c r="L392" s="174">
        <f>VLOOKUP(D392,原始分!$D:$N,6,0)</f>
        <v>47.5</v>
      </c>
      <c r="M392" s="174">
        <f t="shared" si="81"/>
        <v>382</v>
      </c>
      <c r="N392" s="174">
        <f>VLOOKUP(D392,原始分!$D:$N,7,0)</f>
        <v>0</v>
      </c>
      <c r="O392" s="174">
        <f t="shared" si="82"/>
        <v>1</v>
      </c>
      <c r="P392" s="174">
        <f>VLOOKUP(D392,原始分!$D:$N,8,0)</f>
        <v>0</v>
      </c>
      <c r="Q392" s="174">
        <f t="shared" si="83"/>
        <v>539</v>
      </c>
      <c r="R392" s="174">
        <f>VLOOKUP(D392,原始分!$D:$N,9,0)</f>
        <v>0</v>
      </c>
      <c r="S392" s="174">
        <f t="shared" si="84"/>
        <v>218</v>
      </c>
      <c r="T392" s="174">
        <f>VLOOKUP(D392,原始分!$D:$N,10,0)</f>
        <v>53</v>
      </c>
      <c r="U392" s="174">
        <f t="shared" si="85"/>
        <v>64</v>
      </c>
      <c r="V392" s="174">
        <f>VLOOKUP(D392,原始分!$D:$N,11,0)</f>
        <v>47.5</v>
      </c>
      <c r="W392" s="174">
        <f t="shared" si="86"/>
        <v>287</v>
      </c>
      <c r="X392" s="11">
        <f t="shared" si="87"/>
        <v>280.5</v>
      </c>
      <c r="Y392" s="9">
        <f t="shared" si="88"/>
        <v>443</v>
      </c>
      <c r="Z392" s="11">
        <f t="shared" si="89"/>
        <v>428.5</v>
      </c>
      <c r="AA392" s="9">
        <f t="shared" si="90"/>
        <v>390</v>
      </c>
    </row>
    <row r="393" ht="14.25" spans="1:27">
      <c r="A393" s="13">
        <v>111</v>
      </c>
      <c r="B393" s="15">
        <v>2</v>
      </c>
      <c r="C393" s="16">
        <v>50</v>
      </c>
      <c r="D393" s="17" t="s">
        <v>235</v>
      </c>
      <c r="E393" s="17" t="s">
        <v>236</v>
      </c>
      <c r="F393" s="174">
        <f>VLOOKUP(D393,原始分!$D:$N,3,0)</f>
        <v>99</v>
      </c>
      <c r="G393" s="174">
        <f t="shared" si="78"/>
        <v>304</v>
      </c>
      <c r="H393" s="174">
        <f>VLOOKUP(D393,原始分!$D:$N,4,0)</f>
        <v>98</v>
      </c>
      <c r="I393" s="174">
        <f t="shared" si="79"/>
        <v>375</v>
      </c>
      <c r="J393" s="174">
        <f>VLOOKUP(D393,原始分!$D:$N,5,0)</f>
        <v>86.25</v>
      </c>
      <c r="K393" s="174">
        <f t="shared" si="80"/>
        <v>472</v>
      </c>
      <c r="L393" s="174">
        <f>VLOOKUP(D393,原始分!$D:$N,6,0)</f>
        <v>43</v>
      </c>
      <c r="M393" s="174">
        <f t="shared" si="81"/>
        <v>461</v>
      </c>
      <c r="N393" s="174">
        <f>VLOOKUP(D393,原始分!$D:$N,7,0)</f>
        <v>0</v>
      </c>
      <c r="O393" s="174">
        <f t="shared" si="82"/>
        <v>1</v>
      </c>
      <c r="P393" s="174">
        <f>VLOOKUP(D393,原始分!$D:$N,8,0)</f>
        <v>0</v>
      </c>
      <c r="Q393" s="174">
        <f t="shared" si="83"/>
        <v>539</v>
      </c>
      <c r="R393" s="174">
        <f>VLOOKUP(D393,原始分!$D:$N,9,0)</f>
        <v>0</v>
      </c>
      <c r="S393" s="174">
        <f t="shared" si="84"/>
        <v>218</v>
      </c>
      <c r="T393" s="174">
        <f>VLOOKUP(D393,原始分!$D:$N,10,0)</f>
        <v>63</v>
      </c>
      <c r="U393" s="174">
        <f t="shared" si="85"/>
        <v>17</v>
      </c>
      <c r="V393" s="174">
        <f>VLOOKUP(D393,原始分!$D:$N,11,0)</f>
        <v>39</v>
      </c>
      <c r="W393" s="174">
        <f t="shared" si="86"/>
        <v>409</v>
      </c>
      <c r="X393" s="11">
        <f t="shared" si="87"/>
        <v>283.25</v>
      </c>
      <c r="Y393" s="9">
        <f t="shared" si="88"/>
        <v>416</v>
      </c>
      <c r="Z393" s="11">
        <f t="shared" si="89"/>
        <v>428.25</v>
      </c>
      <c r="AA393" s="9">
        <f t="shared" si="90"/>
        <v>391</v>
      </c>
    </row>
    <row r="394" ht="14.25" spans="1:27">
      <c r="A394" s="13">
        <v>609</v>
      </c>
      <c r="B394" s="20">
        <v>12</v>
      </c>
      <c r="C394" s="16">
        <v>59</v>
      </c>
      <c r="D394" s="19" t="s">
        <v>1226</v>
      </c>
      <c r="E394" s="17" t="s">
        <v>1227</v>
      </c>
      <c r="F394" s="174">
        <f>VLOOKUP(D394,原始分!$D:$N,3,0)</f>
        <v>96.25</v>
      </c>
      <c r="G394" s="174">
        <f t="shared" si="78"/>
        <v>405</v>
      </c>
      <c r="H394" s="174">
        <f>VLOOKUP(D394,原始分!$D:$N,4,0)</f>
        <v>110</v>
      </c>
      <c r="I394" s="174">
        <f t="shared" si="79"/>
        <v>191</v>
      </c>
      <c r="J394" s="174">
        <f>VLOOKUP(D394,原始分!$D:$N,5,0)</f>
        <v>93</v>
      </c>
      <c r="K394" s="174">
        <f t="shared" si="80"/>
        <v>372</v>
      </c>
      <c r="L394" s="174">
        <f>VLOOKUP(D394,原始分!$D:$N,6,0)</f>
        <v>36</v>
      </c>
      <c r="M394" s="174">
        <f t="shared" si="81"/>
        <v>561</v>
      </c>
      <c r="N394" s="174">
        <f>VLOOKUP(D394,原始分!$D:$N,7,0)</f>
        <v>0</v>
      </c>
      <c r="O394" s="174">
        <f t="shared" si="82"/>
        <v>1</v>
      </c>
      <c r="P394" s="174">
        <f>VLOOKUP(D394,原始分!$D:$N,8,0)</f>
        <v>52.5</v>
      </c>
      <c r="Q394" s="174">
        <f t="shared" si="83"/>
        <v>81</v>
      </c>
      <c r="R394" s="174">
        <f>VLOOKUP(D394,原始分!$D:$N,9,0)</f>
        <v>0</v>
      </c>
      <c r="S394" s="174">
        <f t="shared" si="84"/>
        <v>218</v>
      </c>
      <c r="T394" s="174">
        <f>VLOOKUP(D394,原始分!$D:$N,10,0)</f>
        <v>0</v>
      </c>
      <c r="U394" s="174">
        <f t="shared" si="85"/>
        <v>112</v>
      </c>
      <c r="V394" s="174">
        <f>VLOOKUP(D394,原始分!$D:$N,11,0)</f>
        <v>40.5</v>
      </c>
      <c r="W394" s="174">
        <f t="shared" si="86"/>
        <v>395</v>
      </c>
      <c r="X394" s="11">
        <f t="shared" si="87"/>
        <v>299.25</v>
      </c>
      <c r="Y394" s="9">
        <f t="shared" si="88"/>
        <v>281</v>
      </c>
      <c r="Z394" s="11">
        <f t="shared" si="89"/>
        <v>428.25</v>
      </c>
      <c r="AA394" s="9">
        <f t="shared" si="90"/>
        <v>391</v>
      </c>
    </row>
    <row r="395" ht="14.25" spans="1:27">
      <c r="A395" s="13">
        <v>374</v>
      </c>
      <c r="B395" s="15">
        <v>8</v>
      </c>
      <c r="C395" s="16">
        <v>48</v>
      </c>
      <c r="D395" s="17" t="s">
        <v>758</v>
      </c>
      <c r="E395" s="17" t="s">
        <v>759</v>
      </c>
      <c r="F395" s="174">
        <f>VLOOKUP(D395,原始分!$D:$N,3,0)</f>
        <v>100.5</v>
      </c>
      <c r="G395" s="174">
        <f t="shared" si="78"/>
        <v>252</v>
      </c>
      <c r="H395" s="174">
        <f>VLOOKUP(D395,原始分!$D:$N,4,0)</f>
        <v>85.5</v>
      </c>
      <c r="I395" s="174">
        <f t="shared" si="79"/>
        <v>555</v>
      </c>
      <c r="J395" s="174">
        <f>VLOOKUP(D395,原始分!$D:$N,5,0)</f>
        <v>115</v>
      </c>
      <c r="K395" s="174">
        <f t="shared" si="80"/>
        <v>55</v>
      </c>
      <c r="L395" s="174">
        <f>VLOOKUP(D395,原始分!$D:$N,6,0)</f>
        <v>43</v>
      </c>
      <c r="M395" s="174">
        <f t="shared" si="81"/>
        <v>461</v>
      </c>
      <c r="N395" s="174">
        <f>VLOOKUP(D395,原始分!$D:$N,7,0)</f>
        <v>0</v>
      </c>
      <c r="O395" s="174">
        <f t="shared" si="82"/>
        <v>1</v>
      </c>
      <c r="P395" s="174">
        <f>VLOOKUP(D395,原始分!$D:$N,8,0)</f>
        <v>46</v>
      </c>
      <c r="Q395" s="174">
        <f t="shared" si="83"/>
        <v>193</v>
      </c>
      <c r="R395" s="174">
        <f>VLOOKUP(D395,原始分!$D:$N,9,0)</f>
        <v>0</v>
      </c>
      <c r="S395" s="174">
        <f t="shared" si="84"/>
        <v>218</v>
      </c>
      <c r="T395" s="174">
        <f>VLOOKUP(D395,原始分!$D:$N,10,0)</f>
        <v>0</v>
      </c>
      <c r="U395" s="174">
        <f t="shared" si="85"/>
        <v>112</v>
      </c>
      <c r="V395" s="174">
        <f>VLOOKUP(D395,原始分!$D:$N,11,0)</f>
        <v>38</v>
      </c>
      <c r="W395" s="174">
        <f t="shared" si="86"/>
        <v>415</v>
      </c>
      <c r="X395" s="11">
        <f t="shared" si="87"/>
        <v>301</v>
      </c>
      <c r="Y395" s="9">
        <f t="shared" si="88"/>
        <v>271</v>
      </c>
      <c r="Z395" s="11">
        <f t="shared" si="89"/>
        <v>428</v>
      </c>
      <c r="AA395" s="9">
        <f t="shared" si="90"/>
        <v>393</v>
      </c>
    </row>
    <row r="396" ht="14.25" spans="1:27">
      <c r="A396" s="13">
        <v>653</v>
      </c>
      <c r="B396" s="15">
        <v>13</v>
      </c>
      <c r="C396" s="16">
        <v>47</v>
      </c>
      <c r="D396" s="17" t="s">
        <v>1313</v>
      </c>
      <c r="E396" s="17" t="s">
        <v>1314</v>
      </c>
      <c r="F396" s="174">
        <f>VLOOKUP(D396,原始分!$D:$N,3,0)</f>
        <v>99.5</v>
      </c>
      <c r="G396" s="174">
        <f t="shared" si="78"/>
        <v>286</v>
      </c>
      <c r="H396" s="174">
        <f>VLOOKUP(D396,原始分!$D:$N,4,0)</f>
        <v>107.5</v>
      </c>
      <c r="I396" s="174">
        <f t="shared" si="79"/>
        <v>230</v>
      </c>
      <c r="J396" s="174">
        <f>VLOOKUP(D396,原始分!$D:$N,5,0)</f>
        <v>85.5</v>
      </c>
      <c r="K396" s="174">
        <f t="shared" si="80"/>
        <v>481</v>
      </c>
      <c r="L396" s="174">
        <f>VLOOKUP(D396,原始分!$D:$N,6,0)</f>
        <v>47</v>
      </c>
      <c r="M396" s="174">
        <f t="shared" si="81"/>
        <v>391</v>
      </c>
      <c r="N396" s="174">
        <f>VLOOKUP(D396,原始分!$D:$N,7,0)</f>
        <v>0</v>
      </c>
      <c r="O396" s="174">
        <f t="shared" si="82"/>
        <v>1</v>
      </c>
      <c r="P396" s="174">
        <f>VLOOKUP(D396,原始分!$D:$N,8,0)</f>
        <v>41.5</v>
      </c>
      <c r="Q396" s="174">
        <f t="shared" si="83"/>
        <v>278</v>
      </c>
      <c r="R396" s="174">
        <f>VLOOKUP(D396,原始分!$D:$N,9,0)</f>
        <v>0</v>
      </c>
      <c r="S396" s="174">
        <f t="shared" si="84"/>
        <v>218</v>
      </c>
      <c r="T396" s="174">
        <f>VLOOKUP(D396,原始分!$D:$N,10,0)</f>
        <v>0</v>
      </c>
      <c r="U396" s="174">
        <f t="shared" si="85"/>
        <v>112</v>
      </c>
      <c r="V396" s="174">
        <f>VLOOKUP(D396,原始分!$D:$N,11,0)</f>
        <v>47</v>
      </c>
      <c r="W396" s="174">
        <f t="shared" si="86"/>
        <v>296</v>
      </c>
      <c r="X396" s="11">
        <f t="shared" si="87"/>
        <v>292.5</v>
      </c>
      <c r="Y396" s="9">
        <f t="shared" si="88"/>
        <v>345</v>
      </c>
      <c r="Z396" s="11">
        <f t="shared" si="89"/>
        <v>428</v>
      </c>
      <c r="AA396" s="9">
        <f t="shared" si="90"/>
        <v>393</v>
      </c>
    </row>
    <row r="397" ht="14.25" spans="1:27">
      <c r="A397" s="13">
        <v>331</v>
      </c>
      <c r="B397" s="15">
        <v>8</v>
      </c>
      <c r="C397" s="16">
        <v>3</v>
      </c>
      <c r="D397" s="17" t="s">
        <v>673</v>
      </c>
      <c r="E397" s="17" t="s">
        <v>674</v>
      </c>
      <c r="F397" s="174">
        <f>VLOOKUP(D397,原始分!$D:$N,3,0)</f>
        <v>98</v>
      </c>
      <c r="G397" s="174">
        <f t="shared" si="78"/>
        <v>349</v>
      </c>
      <c r="H397" s="174">
        <f>VLOOKUP(D397,原始分!$D:$N,4,0)</f>
        <v>92.5</v>
      </c>
      <c r="I397" s="174">
        <f t="shared" si="79"/>
        <v>462</v>
      </c>
      <c r="J397" s="174">
        <f>VLOOKUP(D397,原始分!$D:$N,5,0)</f>
        <v>103.25</v>
      </c>
      <c r="K397" s="174">
        <f t="shared" si="80"/>
        <v>197</v>
      </c>
      <c r="L397" s="174">
        <f>VLOOKUP(D397,原始分!$D:$N,6,0)</f>
        <v>38</v>
      </c>
      <c r="M397" s="174">
        <f t="shared" si="81"/>
        <v>537</v>
      </c>
      <c r="N397" s="174">
        <f>VLOOKUP(D397,原始分!$D:$N,7,0)</f>
        <v>0</v>
      </c>
      <c r="O397" s="174">
        <f t="shared" si="82"/>
        <v>1</v>
      </c>
      <c r="P397" s="174">
        <f>VLOOKUP(D397,原始分!$D:$N,8,0)</f>
        <v>44</v>
      </c>
      <c r="Q397" s="174">
        <f t="shared" si="83"/>
        <v>226</v>
      </c>
      <c r="R397" s="174">
        <f>VLOOKUP(D397,原始分!$D:$N,9,0)</f>
        <v>0</v>
      </c>
      <c r="S397" s="174">
        <f t="shared" si="84"/>
        <v>218</v>
      </c>
      <c r="T397" s="174">
        <f>VLOOKUP(D397,原始分!$D:$N,10,0)</f>
        <v>0</v>
      </c>
      <c r="U397" s="174">
        <f t="shared" si="85"/>
        <v>112</v>
      </c>
      <c r="V397" s="174">
        <f>VLOOKUP(D397,原始分!$D:$N,11,0)</f>
        <v>52</v>
      </c>
      <c r="W397" s="174">
        <f t="shared" si="86"/>
        <v>204</v>
      </c>
      <c r="X397" s="11">
        <f t="shared" si="87"/>
        <v>293.75</v>
      </c>
      <c r="Y397" s="9">
        <f t="shared" si="88"/>
        <v>328</v>
      </c>
      <c r="Z397" s="11">
        <f t="shared" si="89"/>
        <v>427.75</v>
      </c>
      <c r="AA397" s="9">
        <f t="shared" si="90"/>
        <v>395</v>
      </c>
    </row>
    <row r="398" ht="14.25" spans="1:27">
      <c r="A398" s="13">
        <v>652</v>
      </c>
      <c r="B398" s="15">
        <v>13</v>
      </c>
      <c r="C398" s="16">
        <v>46</v>
      </c>
      <c r="D398" s="17" t="s">
        <v>1311</v>
      </c>
      <c r="E398" s="17" t="s">
        <v>1312</v>
      </c>
      <c r="F398" s="174">
        <f>VLOOKUP(D398,原始分!$D:$N,3,0)</f>
        <v>98.25</v>
      </c>
      <c r="G398" s="174">
        <f t="shared" si="78"/>
        <v>343</v>
      </c>
      <c r="H398" s="174">
        <f>VLOOKUP(D398,原始分!$D:$N,4,0)</f>
        <v>84</v>
      </c>
      <c r="I398" s="174">
        <f t="shared" si="79"/>
        <v>567</v>
      </c>
      <c r="J398" s="174">
        <f>VLOOKUP(D398,原始分!$D:$N,5,0)</f>
        <v>90</v>
      </c>
      <c r="K398" s="174">
        <f t="shared" si="80"/>
        <v>422</v>
      </c>
      <c r="L398" s="174">
        <f>VLOOKUP(D398,原始分!$D:$N,6,0)</f>
        <v>56</v>
      </c>
      <c r="M398" s="174">
        <f t="shared" si="81"/>
        <v>252</v>
      </c>
      <c r="N398" s="174">
        <f>VLOOKUP(D398,原始分!$D:$N,7,0)</f>
        <v>0</v>
      </c>
      <c r="O398" s="174">
        <f t="shared" si="82"/>
        <v>1</v>
      </c>
      <c r="P398" s="174">
        <f>VLOOKUP(D398,原始分!$D:$N,8,0)</f>
        <v>49.5</v>
      </c>
      <c r="Q398" s="174">
        <f t="shared" si="83"/>
        <v>119</v>
      </c>
      <c r="R398" s="174">
        <f>VLOOKUP(D398,原始分!$D:$N,9,0)</f>
        <v>0</v>
      </c>
      <c r="S398" s="174">
        <f t="shared" si="84"/>
        <v>218</v>
      </c>
      <c r="T398" s="174">
        <f>VLOOKUP(D398,原始分!$D:$N,10,0)</f>
        <v>0</v>
      </c>
      <c r="U398" s="174">
        <f t="shared" si="85"/>
        <v>112</v>
      </c>
      <c r="V398" s="174">
        <f>VLOOKUP(D398,原始分!$D:$N,11,0)</f>
        <v>50</v>
      </c>
      <c r="W398" s="174">
        <f t="shared" si="86"/>
        <v>247</v>
      </c>
      <c r="X398" s="11">
        <f t="shared" si="87"/>
        <v>272.25</v>
      </c>
      <c r="Y398" s="9">
        <f t="shared" si="88"/>
        <v>513</v>
      </c>
      <c r="Z398" s="11">
        <f t="shared" si="89"/>
        <v>427.75</v>
      </c>
      <c r="AA398" s="9">
        <f t="shared" si="90"/>
        <v>395</v>
      </c>
    </row>
    <row r="399" ht="14.25" spans="1:27">
      <c r="A399" s="13">
        <v>11</v>
      </c>
      <c r="B399" s="15">
        <v>1</v>
      </c>
      <c r="C399" s="16">
        <v>12</v>
      </c>
      <c r="D399" s="17" t="s">
        <v>36</v>
      </c>
      <c r="E399" s="17" t="s">
        <v>37</v>
      </c>
      <c r="F399" s="174">
        <f>VLOOKUP(D399,原始分!$D:$N,3,0)</f>
        <v>87.5</v>
      </c>
      <c r="G399" s="174">
        <f t="shared" si="78"/>
        <v>613</v>
      </c>
      <c r="H399" s="174">
        <f>VLOOKUP(D399,原始分!$D:$N,4,0)</f>
        <v>98.5</v>
      </c>
      <c r="I399" s="174">
        <f t="shared" si="79"/>
        <v>366</v>
      </c>
      <c r="J399" s="174">
        <f>VLOOKUP(D399,原始分!$D:$N,5,0)</f>
        <v>85.5</v>
      </c>
      <c r="K399" s="174">
        <f t="shared" si="80"/>
        <v>481</v>
      </c>
      <c r="L399" s="174">
        <f>VLOOKUP(D399,原始分!$D:$N,6,0)</f>
        <v>55</v>
      </c>
      <c r="M399" s="174">
        <f t="shared" si="81"/>
        <v>269</v>
      </c>
      <c r="N399" s="174">
        <f>VLOOKUP(D399,原始分!$D:$N,7,0)</f>
        <v>0</v>
      </c>
      <c r="O399" s="174">
        <f t="shared" si="82"/>
        <v>1</v>
      </c>
      <c r="P399" s="174">
        <f>VLOOKUP(D399,原始分!$D:$N,8,0)</f>
        <v>44</v>
      </c>
      <c r="Q399" s="174">
        <f t="shared" si="83"/>
        <v>226</v>
      </c>
      <c r="R399" s="174">
        <f>VLOOKUP(D399,原始分!$D:$N,9,0)</f>
        <v>0</v>
      </c>
      <c r="S399" s="174">
        <f t="shared" si="84"/>
        <v>218</v>
      </c>
      <c r="T399" s="174">
        <f>VLOOKUP(D399,原始分!$D:$N,10,0)</f>
        <v>57</v>
      </c>
      <c r="U399" s="174">
        <f t="shared" si="85"/>
        <v>40</v>
      </c>
      <c r="V399" s="174">
        <f>VLOOKUP(D399,原始分!$D:$N,11,0)</f>
        <v>0</v>
      </c>
      <c r="W399" s="174">
        <f t="shared" si="86"/>
        <v>461</v>
      </c>
      <c r="X399" s="11">
        <f t="shared" si="87"/>
        <v>271.5</v>
      </c>
      <c r="Y399" s="9">
        <f t="shared" si="88"/>
        <v>518</v>
      </c>
      <c r="Z399" s="11">
        <f t="shared" si="89"/>
        <v>427.5</v>
      </c>
      <c r="AA399" s="9">
        <f t="shared" si="90"/>
        <v>397</v>
      </c>
    </row>
    <row r="400" ht="14.25" spans="1:27">
      <c r="A400" s="13">
        <v>563</v>
      </c>
      <c r="B400" s="15">
        <v>12</v>
      </c>
      <c r="C400" s="16">
        <v>10</v>
      </c>
      <c r="D400" s="17" t="s">
        <v>1134</v>
      </c>
      <c r="E400" s="17" t="s">
        <v>1135</v>
      </c>
      <c r="F400" s="174">
        <f>VLOOKUP(D400,原始分!$D:$N,3,0)</f>
        <v>91</v>
      </c>
      <c r="G400" s="174">
        <f t="shared" si="78"/>
        <v>555</v>
      </c>
      <c r="H400" s="174">
        <f>VLOOKUP(D400,原始分!$D:$N,4,0)</f>
        <v>111</v>
      </c>
      <c r="I400" s="174">
        <f t="shared" si="79"/>
        <v>176</v>
      </c>
      <c r="J400" s="174">
        <f>VLOOKUP(D400,原始分!$D:$N,5,0)</f>
        <v>73.5</v>
      </c>
      <c r="K400" s="174">
        <f t="shared" si="80"/>
        <v>602</v>
      </c>
      <c r="L400" s="174">
        <f>VLOOKUP(D400,原始分!$D:$N,6,0)</f>
        <v>48.5</v>
      </c>
      <c r="M400" s="174">
        <f t="shared" si="81"/>
        <v>364</v>
      </c>
      <c r="N400" s="174">
        <f>VLOOKUP(D400,原始分!$D:$N,7,0)</f>
        <v>0</v>
      </c>
      <c r="O400" s="174">
        <f t="shared" si="82"/>
        <v>1</v>
      </c>
      <c r="P400" s="174">
        <f>VLOOKUP(D400,原始分!$D:$N,8,0)</f>
        <v>53</v>
      </c>
      <c r="Q400" s="174">
        <f t="shared" si="83"/>
        <v>69</v>
      </c>
      <c r="R400" s="174">
        <f>VLOOKUP(D400,原始分!$D:$N,9,0)</f>
        <v>0</v>
      </c>
      <c r="S400" s="174">
        <f t="shared" si="84"/>
        <v>218</v>
      </c>
      <c r="T400" s="174">
        <f>VLOOKUP(D400,原始分!$D:$N,10,0)</f>
        <v>0</v>
      </c>
      <c r="U400" s="174">
        <f t="shared" si="85"/>
        <v>112</v>
      </c>
      <c r="V400" s="174">
        <f>VLOOKUP(D400,原始分!$D:$N,11,0)</f>
        <v>50.5</v>
      </c>
      <c r="W400" s="174">
        <f t="shared" si="86"/>
        <v>239</v>
      </c>
      <c r="X400" s="11">
        <f t="shared" si="87"/>
        <v>275.5</v>
      </c>
      <c r="Y400" s="9">
        <f t="shared" si="88"/>
        <v>494</v>
      </c>
      <c r="Z400" s="11">
        <f t="shared" si="89"/>
        <v>427.5</v>
      </c>
      <c r="AA400" s="9">
        <f t="shared" si="90"/>
        <v>397</v>
      </c>
    </row>
    <row r="401" ht="14.25" spans="1:27">
      <c r="A401" s="13">
        <v>73</v>
      </c>
      <c r="B401" s="15">
        <v>2</v>
      </c>
      <c r="C401" s="16">
        <v>10</v>
      </c>
      <c r="D401" s="17" t="s">
        <v>160</v>
      </c>
      <c r="E401" s="17" t="s">
        <v>161</v>
      </c>
      <c r="F401" s="174">
        <f>VLOOKUP(D401,原始分!$D:$N,3,0)</f>
        <v>99</v>
      </c>
      <c r="G401" s="174">
        <f t="shared" si="78"/>
        <v>304</v>
      </c>
      <c r="H401" s="174">
        <f>VLOOKUP(D401,原始分!$D:$N,4,0)</f>
        <v>95</v>
      </c>
      <c r="I401" s="174">
        <f t="shared" si="79"/>
        <v>418</v>
      </c>
      <c r="J401" s="174">
        <f>VLOOKUP(D401,原始分!$D:$N,5,0)</f>
        <v>92.5</v>
      </c>
      <c r="K401" s="174">
        <f t="shared" si="80"/>
        <v>381</v>
      </c>
      <c r="L401" s="174">
        <f>VLOOKUP(D401,原始分!$D:$N,6,0)</f>
        <v>41.5</v>
      </c>
      <c r="M401" s="174">
        <f t="shared" si="81"/>
        <v>483</v>
      </c>
      <c r="N401" s="174">
        <f>VLOOKUP(D401,原始分!$D:$N,7,0)</f>
        <v>0</v>
      </c>
      <c r="O401" s="174">
        <f t="shared" si="82"/>
        <v>1</v>
      </c>
      <c r="P401" s="174">
        <f>VLOOKUP(D401,原始分!$D:$N,8,0)</f>
        <v>0</v>
      </c>
      <c r="Q401" s="174">
        <f t="shared" si="83"/>
        <v>539</v>
      </c>
      <c r="R401" s="174">
        <f>VLOOKUP(D401,原始分!$D:$N,9,0)</f>
        <v>0</v>
      </c>
      <c r="S401" s="174">
        <f t="shared" si="84"/>
        <v>218</v>
      </c>
      <c r="T401" s="174">
        <f>VLOOKUP(D401,原始分!$D:$N,10,0)</f>
        <v>58</v>
      </c>
      <c r="U401" s="174">
        <f t="shared" si="85"/>
        <v>34</v>
      </c>
      <c r="V401" s="174">
        <f>VLOOKUP(D401,原始分!$D:$N,11,0)</f>
        <v>40.5</v>
      </c>
      <c r="W401" s="174">
        <f t="shared" si="86"/>
        <v>395</v>
      </c>
      <c r="X401" s="11">
        <f t="shared" si="87"/>
        <v>286.5</v>
      </c>
      <c r="Y401" s="9">
        <f t="shared" si="88"/>
        <v>388</v>
      </c>
      <c r="Z401" s="11">
        <f t="shared" si="89"/>
        <v>426.5</v>
      </c>
      <c r="AA401" s="9">
        <f t="shared" si="90"/>
        <v>399</v>
      </c>
    </row>
    <row r="402" ht="14.25" spans="1:27">
      <c r="A402" s="13">
        <v>379</v>
      </c>
      <c r="B402" s="15">
        <v>8</v>
      </c>
      <c r="C402" s="16">
        <v>53</v>
      </c>
      <c r="D402" s="17" t="s">
        <v>768</v>
      </c>
      <c r="E402" s="17" t="s">
        <v>769</v>
      </c>
      <c r="F402" s="174">
        <f>VLOOKUP(D402,原始分!$D:$N,3,0)</f>
        <v>101.5</v>
      </c>
      <c r="G402" s="174">
        <f t="shared" si="78"/>
        <v>210</v>
      </c>
      <c r="H402" s="174">
        <f>VLOOKUP(D402,原始分!$D:$N,4,0)</f>
        <v>101.5</v>
      </c>
      <c r="I402" s="174">
        <f t="shared" si="79"/>
        <v>328</v>
      </c>
      <c r="J402" s="174">
        <f>VLOOKUP(D402,原始分!$D:$N,5,0)</f>
        <v>96</v>
      </c>
      <c r="K402" s="174">
        <f t="shared" si="80"/>
        <v>322</v>
      </c>
      <c r="L402" s="174">
        <f>VLOOKUP(D402,原始分!$D:$N,6,0)</f>
        <v>39</v>
      </c>
      <c r="M402" s="174">
        <f t="shared" si="81"/>
        <v>520</v>
      </c>
      <c r="N402" s="174">
        <f>VLOOKUP(D402,原始分!$D:$N,7,0)</f>
        <v>0</v>
      </c>
      <c r="O402" s="174">
        <f t="shared" si="82"/>
        <v>1</v>
      </c>
      <c r="P402" s="174">
        <f>VLOOKUP(D402,原始分!$D:$N,8,0)</f>
        <v>36</v>
      </c>
      <c r="Q402" s="174">
        <f t="shared" si="83"/>
        <v>384</v>
      </c>
      <c r="R402" s="174">
        <f>VLOOKUP(D402,原始分!$D:$N,9,0)</f>
        <v>0</v>
      </c>
      <c r="S402" s="174">
        <f t="shared" si="84"/>
        <v>218</v>
      </c>
      <c r="T402" s="174">
        <f>VLOOKUP(D402,原始分!$D:$N,10,0)</f>
        <v>0</v>
      </c>
      <c r="U402" s="174">
        <f t="shared" si="85"/>
        <v>112</v>
      </c>
      <c r="V402" s="174">
        <f>VLOOKUP(D402,原始分!$D:$N,11,0)</f>
        <v>51.5</v>
      </c>
      <c r="W402" s="174">
        <f t="shared" si="86"/>
        <v>213</v>
      </c>
      <c r="X402" s="11">
        <f t="shared" si="87"/>
        <v>299</v>
      </c>
      <c r="Y402" s="9">
        <f t="shared" si="88"/>
        <v>284</v>
      </c>
      <c r="Z402" s="11">
        <f t="shared" si="89"/>
        <v>425.5</v>
      </c>
      <c r="AA402" s="9">
        <f t="shared" si="90"/>
        <v>400</v>
      </c>
    </row>
    <row r="403" ht="14.25" spans="1:27">
      <c r="A403" s="13">
        <v>112</v>
      </c>
      <c r="B403" s="15">
        <v>3</v>
      </c>
      <c r="C403" s="16">
        <v>1</v>
      </c>
      <c r="D403" s="17" t="s">
        <v>237</v>
      </c>
      <c r="E403" s="17" t="s">
        <v>238</v>
      </c>
      <c r="F403" s="174">
        <f>VLOOKUP(D403,原始分!$D:$N,3,0)</f>
        <v>93</v>
      </c>
      <c r="G403" s="174">
        <f t="shared" si="78"/>
        <v>505</v>
      </c>
      <c r="H403" s="174">
        <f>VLOOKUP(D403,原始分!$D:$N,4,0)</f>
        <v>103</v>
      </c>
      <c r="I403" s="174">
        <f t="shared" si="79"/>
        <v>312</v>
      </c>
      <c r="J403" s="174">
        <f>VLOOKUP(D403,原始分!$D:$N,5,0)</f>
        <v>118.25</v>
      </c>
      <c r="K403" s="174">
        <f t="shared" si="80"/>
        <v>32</v>
      </c>
      <c r="L403" s="174">
        <f>VLOOKUP(D403,原始分!$D:$N,6,0)</f>
        <v>50</v>
      </c>
      <c r="M403" s="174">
        <f t="shared" si="81"/>
        <v>337</v>
      </c>
      <c r="N403" s="174">
        <f>VLOOKUP(D403,原始分!$D:$N,7,0)</f>
        <v>0</v>
      </c>
      <c r="O403" s="174">
        <f t="shared" si="82"/>
        <v>1</v>
      </c>
      <c r="P403" s="174">
        <f>VLOOKUP(D403,原始分!$D:$N,8,0)</f>
        <v>21.5</v>
      </c>
      <c r="Q403" s="174">
        <f t="shared" si="83"/>
        <v>525</v>
      </c>
      <c r="R403" s="174">
        <f>VLOOKUP(D403,原始分!$D:$N,9,0)</f>
        <v>39.5</v>
      </c>
      <c r="S403" s="174">
        <f t="shared" si="84"/>
        <v>196</v>
      </c>
      <c r="T403" s="174">
        <f>VLOOKUP(D403,原始分!$D:$N,10,0)</f>
        <v>0</v>
      </c>
      <c r="U403" s="174">
        <f t="shared" si="85"/>
        <v>112</v>
      </c>
      <c r="V403" s="174">
        <f>VLOOKUP(D403,原始分!$D:$N,11,0)</f>
        <v>0</v>
      </c>
      <c r="W403" s="174">
        <f t="shared" si="86"/>
        <v>461</v>
      </c>
      <c r="X403" s="11">
        <f t="shared" si="87"/>
        <v>314.25</v>
      </c>
      <c r="Y403" s="9">
        <f t="shared" si="88"/>
        <v>154</v>
      </c>
      <c r="Z403" s="11">
        <f t="shared" si="89"/>
        <v>425.25</v>
      </c>
      <c r="AA403" s="9">
        <f t="shared" si="90"/>
        <v>401</v>
      </c>
    </row>
    <row r="404" ht="14.25" spans="1:27">
      <c r="A404" s="13">
        <v>130</v>
      </c>
      <c r="B404" s="15">
        <v>3</v>
      </c>
      <c r="C404" s="16">
        <v>19</v>
      </c>
      <c r="D404" s="17" t="s">
        <v>273</v>
      </c>
      <c r="E404" s="17" t="s">
        <v>274</v>
      </c>
      <c r="F404" s="174">
        <f>VLOOKUP(D404,原始分!$D:$N,3,0)</f>
        <v>87.5</v>
      </c>
      <c r="G404" s="174">
        <f t="shared" si="78"/>
        <v>613</v>
      </c>
      <c r="H404" s="174">
        <f>VLOOKUP(D404,原始分!$D:$N,4,0)</f>
        <v>123.5</v>
      </c>
      <c r="I404" s="174">
        <f t="shared" si="79"/>
        <v>40</v>
      </c>
      <c r="J404" s="174">
        <f>VLOOKUP(D404,原始分!$D:$N,5,0)</f>
        <v>84.25</v>
      </c>
      <c r="K404" s="174">
        <f t="shared" si="80"/>
        <v>500</v>
      </c>
      <c r="L404" s="174">
        <f>VLOOKUP(D404,原始分!$D:$N,6,0)</f>
        <v>48.5</v>
      </c>
      <c r="M404" s="174">
        <f t="shared" si="81"/>
        <v>364</v>
      </c>
      <c r="N404" s="174">
        <f>VLOOKUP(D404,原始分!$D:$N,7,0)</f>
        <v>0</v>
      </c>
      <c r="O404" s="174">
        <f t="shared" si="82"/>
        <v>1</v>
      </c>
      <c r="P404" s="174">
        <f>VLOOKUP(D404,原始分!$D:$N,8,0)</f>
        <v>33.5</v>
      </c>
      <c r="Q404" s="174">
        <f t="shared" si="83"/>
        <v>420</v>
      </c>
      <c r="R404" s="174">
        <f>VLOOKUP(D404,原始分!$D:$N,9,0)</f>
        <v>47.5</v>
      </c>
      <c r="S404" s="174">
        <f t="shared" si="84"/>
        <v>130</v>
      </c>
      <c r="T404" s="174">
        <f>VLOOKUP(D404,原始分!$D:$N,10,0)</f>
        <v>0</v>
      </c>
      <c r="U404" s="174">
        <f t="shared" si="85"/>
        <v>112</v>
      </c>
      <c r="V404" s="174">
        <f>VLOOKUP(D404,原始分!$D:$N,11,0)</f>
        <v>0</v>
      </c>
      <c r="W404" s="174">
        <f t="shared" si="86"/>
        <v>461</v>
      </c>
      <c r="X404" s="11">
        <f t="shared" si="87"/>
        <v>295.25</v>
      </c>
      <c r="Y404" s="9">
        <f t="shared" si="88"/>
        <v>313</v>
      </c>
      <c r="Z404" s="11">
        <f t="shared" si="89"/>
        <v>424.75</v>
      </c>
      <c r="AA404" s="9">
        <f t="shared" si="90"/>
        <v>402</v>
      </c>
    </row>
    <row r="405" ht="14.25" spans="1:27">
      <c r="A405" s="13">
        <v>143</v>
      </c>
      <c r="B405" s="15">
        <v>3</v>
      </c>
      <c r="C405" s="16">
        <v>32</v>
      </c>
      <c r="D405" s="17" t="s">
        <v>299</v>
      </c>
      <c r="E405" s="17" t="s">
        <v>300</v>
      </c>
      <c r="F405" s="174">
        <f>VLOOKUP(D405,原始分!$D:$N,3,0)</f>
        <v>100.5</v>
      </c>
      <c r="G405" s="174">
        <f t="shared" si="78"/>
        <v>252</v>
      </c>
      <c r="H405" s="174">
        <f>VLOOKUP(D405,原始分!$D:$N,4,0)</f>
        <v>86.5</v>
      </c>
      <c r="I405" s="174">
        <f t="shared" si="79"/>
        <v>543</v>
      </c>
      <c r="J405" s="174">
        <f>VLOOKUP(D405,原始分!$D:$N,5,0)</f>
        <v>84</v>
      </c>
      <c r="K405" s="174">
        <f t="shared" si="80"/>
        <v>504</v>
      </c>
      <c r="L405" s="174">
        <f>VLOOKUP(D405,原始分!$D:$N,6,0)</f>
        <v>65.5</v>
      </c>
      <c r="M405" s="174">
        <f t="shared" si="81"/>
        <v>105</v>
      </c>
      <c r="N405" s="174">
        <f>VLOOKUP(D405,原始分!$D:$N,7,0)</f>
        <v>0</v>
      </c>
      <c r="O405" s="174">
        <f t="shared" si="82"/>
        <v>1</v>
      </c>
      <c r="P405" s="174">
        <f>VLOOKUP(D405,原始分!$D:$N,8,0)</f>
        <v>40.5</v>
      </c>
      <c r="Q405" s="174">
        <f t="shared" si="83"/>
        <v>301</v>
      </c>
      <c r="R405" s="174">
        <f>VLOOKUP(D405,原始分!$D:$N,9,0)</f>
        <v>47.5</v>
      </c>
      <c r="S405" s="174">
        <f t="shared" si="84"/>
        <v>130</v>
      </c>
      <c r="T405" s="174">
        <f>VLOOKUP(D405,原始分!$D:$N,10,0)</f>
        <v>0</v>
      </c>
      <c r="U405" s="174">
        <f t="shared" si="85"/>
        <v>112</v>
      </c>
      <c r="V405" s="174">
        <f>VLOOKUP(D405,原始分!$D:$N,11,0)</f>
        <v>0</v>
      </c>
      <c r="W405" s="174">
        <f t="shared" si="86"/>
        <v>461</v>
      </c>
      <c r="X405" s="11">
        <f t="shared" si="87"/>
        <v>271</v>
      </c>
      <c r="Y405" s="9">
        <f t="shared" si="88"/>
        <v>522</v>
      </c>
      <c r="Z405" s="11">
        <f t="shared" si="89"/>
        <v>424.5</v>
      </c>
      <c r="AA405" s="9">
        <f t="shared" si="90"/>
        <v>403</v>
      </c>
    </row>
    <row r="406" ht="14.25" spans="1:27">
      <c r="A406" s="13">
        <v>245</v>
      </c>
      <c r="B406" s="15">
        <v>5</v>
      </c>
      <c r="C406" s="16">
        <v>42</v>
      </c>
      <c r="D406" s="17" t="s">
        <v>503</v>
      </c>
      <c r="E406" s="17" t="s">
        <v>288</v>
      </c>
      <c r="F406" s="174">
        <f>VLOOKUP(D406,原始分!$D:$N,3,0)</f>
        <v>93.5</v>
      </c>
      <c r="G406" s="174">
        <f t="shared" si="78"/>
        <v>491</v>
      </c>
      <c r="H406" s="174">
        <f>VLOOKUP(D406,原始分!$D:$N,4,0)</f>
        <v>108.25</v>
      </c>
      <c r="I406" s="174">
        <f t="shared" si="79"/>
        <v>220</v>
      </c>
      <c r="J406" s="174">
        <f>VLOOKUP(D406,原始分!$D:$N,5,0)</f>
        <v>81.75</v>
      </c>
      <c r="K406" s="174">
        <f t="shared" si="80"/>
        <v>533</v>
      </c>
      <c r="L406" s="174">
        <f>VLOOKUP(D406,原始分!$D:$N,6,0)</f>
        <v>45.5</v>
      </c>
      <c r="M406" s="174">
        <f t="shared" si="81"/>
        <v>417</v>
      </c>
      <c r="N406" s="174">
        <f>VLOOKUP(D406,原始分!$D:$N,7,0)</f>
        <v>0</v>
      </c>
      <c r="O406" s="174">
        <f t="shared" si="82"/>
        <v>1</v>
      </c>
      <c r="P406" s="174">
        <f>VLOOKUP(D406,原始分!$D:$N,8,0)</f>
        <v>49</v>
      </c>
      <c r="Q406" s="174">
        <f t="shared" si="83"/>
        <v>131</v>
      </c>
      <c r="R406" s="174">
        <f>VLOOKUP(D406,原始分!$D:$N,9,0)</f>
        <v>46.5</v>
      </c>
      <c r="S406" s="174">
        <f t="shared" si="84"/>
        <v>137</v>
      </c>
      <c r="T406" s="174">
        <f>VLOOKUP(D406,原始分!$D:$N,10,0)</f>
        <v>0</v>
      </c>
      <c r="U406" s="174">
        <f t="shared" si="85"/>
        <v>112</v>
      </c>
      <c r="V406" s="174">
        <f>VLOOKUP(D406,原始分!$D:$N,11,0)</f>
        <v>0</v>
      </c>
      <c r="W406" s="174">
        <f t="shared" si="86"/>
        <v>461</v>
      </c>
      <c r="X406" s="11">
        <f t="shared" si="87"/>
        <v>283.5</v>
      </c>
      <c r="Y406" s="9">
        <f t="shared" si="88"/>
        <v>412</v>
      </c>
      <c r="Z406" s="11">
        <f t="shared" si="89"/>
        <v>424.5</v>
      </c>
      <c r="AA406" s="9">
        <f t="shared" si="90"/>
        <v>403</v>
      </c>
    </row>
    <row r="407" ht="14.25" spans="1:27">
      <c r="A407" s="13">
        <v>554</v>
      </c>
      <c r="B407" s="15">
        <v>12</v>
      </c>
      <c r="C407" s="16">
        <v>1</v>
      </c>
      <c r="D407" s="17" t="s">
        <v>1116</v>
      </c>
      <c r="E407" s="17" t="s">
        <v>1117</v>
      </c>
      <c r="F407" s="174">
        <f>VLOOKUP(D407,原始分!$D:$N,3,0)</f>
        <v>98</v>
      </c>
      <c r="G407" s="174">
        <f t="shared" si="78"/>
        <v>349</v>
      </c>
      <c r="H407" s="174">
        <f>VLOOKUP(D407,原始分!$D:$N,4,0)</f>
        <v>95</v>
      </c>
      <c r="I407" s="174">
        <f t="shared" si="79"/>
        <v>418</v>
      </c>
      <c r="J407" s="174">
        <f>VLOOKUP(D407,原始分!$D:$N,5,0)</f>
        <v>111.5</v>
      </c>
      <c r="K407" s="174">
        <f t="shared" si="80"/>
        <v>90</v>
      </c>
      <c r="L407" s="174">
        <f>VLOOKUP(D407,原始分!$D:$N,6,0)</f>
        <v>44.5</v>
      </c>
      <c r="M407" s="174">
        <f t="shared" si="81"/>
        <v>432</v>
      </c>
      <c r="N407" s="174">
        <f>VLOOKUP(D407,原始分!$D:$N,7,0)</f>
        <v>0</v>
      </c>
      <c r="O407" s="174">
        <f t="shared" si="82"/>
        <v>1</v>
      </c>
      <c r="P407" s="174">
        <f>VLOOKUP(D407,原始分!$D:$N,8,0)</f>
        <v>29</v>
      </c>
      <c r="Q407" s="174">
        <f t="shared" si="83"/>
        <v>482</v>
      </c>
      <c r="R407" s="174">
        <f>VLOOKUP(D407,原始分!$D:$N,9,0)</f>
        <v>0</v>
      </c>
      <c r="S407" s="174">
        <f t="shared" si="84"/>
        <v>218</v>
      </c>
      <c r="T407" s="174">
        <f>VLOOKUP(D407,原始分!$D:$N,10,0)</f>
        <v>0</v>
      </c>
      <c r="U407" s="174">
        <f t="shared" si="85"/>
        <v>112</v>
      </c>
      <c r="V407" s="174">
        <f>VLOOKUP(D407,原始分!$D:$N,11,0)</f>
        <v>46.5</v>
      </c>
      <c r="W407" s="174">
        <f t="shared" si="86"/>
        <v>306</v>
      </c>
      <c r="X407" s="11">
        <f t="shared" si="87"/>
        <v>304.5</v>
      </c>
      <c r="Y407" s="9">
        <f t="shared" si="88"/>
        <v>239</v>
      </c>
      <c r="Z407" s="11">
        <f t="shared" si="89"/>
        <v>424.5</v>
      </c>
      <c r="AA407" s="9">
        <f t="shared" si="90"/>
        <v>403</v>
      </c>
    </row>
    <row r="408" ht="14.25" spans="1:27">
      <c r="A408" s="13">
        <v>655</v>
      </c>
      <c r="B408" s="15">
        <v>13</v>
      </c>
      <c r="C408" s="16">
        <v>49</v>
      </c>
      <c r="D408" s="17" t="s">
        <v>1317</v>
      </c>
      <c r="E408" s="17" t="s">
        <v>1318</v>
      </c>
      <c r="F408" s="174">
        <f>VLOOKUP(D408,原始分!$D:$N,3,0)</f>
        <v>91.5</v>
      </c>
      <c r="G408" s="174">
        <f t="shared" si="78"/>
        <v>538</v>
      </c>
      <c r="H408" s="174">
        <f>VLOOKUP(D408,原始分!$D:$N,4,0)</f>
        <v>114.5</v>
      </c>
      <c r="I408" s="174">
        <f t="shared" si="79"/>
        <v>122</v>
      </c>
      <c r="J408" s="174">
        <f>VLOOKUP(D408,原始分!$D:$N,5,0)</f>
        <v>88.5</v>
      </c>
      <c r="K408" s="174">
        <f t="shared" si="80"/>
        <v>435</v>
      </c>
      <c r="L408" s="174">
        <f>VLOOKUP(D408,原始分!$D:$N,6,0)</f>
        <v>33</v>
      </c>
      <c r="M408" s="174">
        <f t="shared" si="81"/>
        <v>596</v>
      </c>
      <c r="N408" s="174">
        <f>VLOOKUP(D408,原始分!$D:$N,7,0)</f>
        <v>0</v>
      </c>
      <c r="O408" s="174">
        <f t="shared" si="82"/>
        <v>1</v>
      </c>
      <c r="P408" s="174">
        <f>VLOOKUP(D408,原始分!$D:$N,8,0)</f>
        <v>54</v>
      </c>
      <c r="Q408" s="174">
        <f t="shared" si="83"/>
        <v>59</v>
      </c>
      <c r="R408" s="174">
        <f>VLOOKUP(D408,原始分!$D:$N,9,0)</f>
        <v>0</v>
      </c>
      <c r="S408" s="174">
        <f t="shared" si="84"/>
        <v>218</v>
      </c>
      <c r="T408" s="174">
        <f>VLOOKUP(D408,原始分!$D:$N,10,0)</f>
        <v>0</v>
      </c>
      <c r="U408" s="174">
        <f t="shared" si="85"/>
        <v>112</v>
      </c>
      <c r="V408" s="174">
        <f>VLOOKUP(D408,原始分!$D:$N,11,0)</f>
        <v>43</v>
      </c>
      <c r="W408" s="174">
        <f t="shared" si="86"/>
        <v>370</v>
      </c>
      <c r="X408" s="11">
        <f t="shared" si="87"/>
        <v>294.5</v>
      </c>
      <c r="Y408" s="9">
        <f t="shared" si="88"/>
        <v>321</v>
      </c>
      <c r="Z408" s="11">
        <f t="shared" si="89"/>
        <v>424.5</v>
      </c>
      <c r="AA408" s="9">
        <f t="shared" si="90"/>
        <v>403</v>
      </c>
    </row>
    <row r="409" ht="14.25" spans="1:27">
      <c r="A409" s="13">
        <v>620</v>
      </c>
      <c r="B409" s="15">
        <v>13</v>
      </c>
      <c r="C409" s="16">
        <v>12</v>
      </c>
      <c r="D409" s="17" t="s">
        <v>1248</v>
      </c>
      <c r="E409" s="17" t="s">
        <v>1249</v>
      </c>
      <c r="F409" s="174">
        <f>VLOOKUP(D409,原始分!$D:$N,3,0)</f>
        <v>98.25</v>
      </c>
      <c r="G409" s="174">
        <f t="shared" si="78"/>
        <v>343</v>
      </c>
      <c r="H409" s="174">
        <f>VLOOKUP(D409,原始分!$D:$N,4,0)</f>
        <v>113.5</v>
      </c>
      <c r="I409" s="174">
        <f t="shared" si="79"/>
        <v>135</v>
      </c>
      <c r="J409" s="174">
        <f>VLOOKUP(D409,原始分!$D:$N,5,0)</f>
        <v>82.5</v>
      </c>
      <c r="K409" s="174">
        <f t="shared" si="80"/>
        <v>524</v>
      </c>
      <c r="L409" s="174">
        <f>VLOOKUP(D409,原始分!$D:$N,6,0)</f>
        <v>39.5</v>
      </c>
      <c r="M409" s="174">
        <f t="shared" si="81"/>
        <v>514</v>
      </c>
      <c r="N409" s="174">
        <f>VLOOKUP(D409,原始分!$D:$N,7,0)</f>
        <v>0</v>
      </c>
      <c r="O409" s="174">
        <f t="shared" si="82"/>
        <v>1</v>
      </c>
      <c r="P409" s="174">
        <f>VLOOKUP(D409,原始分!$D:$N,8,0)</f>
        <v>50</v>
      </c>
      <c r="Q409" s="174">
        <f t="shared" si="83"/>
        <v>108</v>
      </c>
      <c r="R409" s="174">
        <f>VLOOKUP(D409,原始分!$D:$N,9,0)</f>
        <v>0</v>
      </c>
      <c r="S409" s="174">
        <f t="shared" si="84"/>
        <v>218</v>
      </c>
      <c r="T409" s="174">
        <f>VLOOKUP(D409,原始分!$D:$N,10,0)</f>
        <v>0</v>
      </c>
      <c r="U409" s="174">
        <f t="shared" si="85"/>
        <v>112</v>
      </c>
      <c r="V409" s="174">
        <f>VLOOKUP(D409,原始分!$D:$N,11,0)</f>
        <v>40.5</v>
      </c>
      <c r="W409" s="174">
        <f t="shared" si="86"/>
        <v>395</v>
      </c>
      <c r="X409" s="11">
        <f t="shared" si="87"/>
        <v>294.25</v>
      </c>
      <c r="Y409" s="9">
        <f t="shared" si="88"/>
        <v>324</v>
      </c>
      <c r="Z409" s="11">
        <f t="shared" si="89"/>
        <v>424.25</v>
      </c>
      <c r="AA409" s="9">
        <f t="shared" si="90"/>
        <v>407</v>
      </c>
    </row>
    <row r="410" ht="14.25" spans="1:27">
      <c r="A410" s="13">
        <v>80</v>
      </c>
      <c r="B410" s="15">
        <v>2</v>
      </c>
      <c r="C410" s="16">
        <v>17</v>
      </c>
      <c r="D410" s="17" t="s">
        <v>173</v>
      </c>
      <c r="E410" s="17" t="s">
        <v>174</v>
      </c>
      <c r="F410" s="174">
        <f>VLOOKUP(D410,原始分!$D:$N,3,0)</f>
        <v>102.5</v>
      </c>
      <c r="G410" s="174">
        <f t="shared" si="78"/>
        <v>183</v>
      </c>
      <c r="H410" s="174">
        <f>VLOOKUP(D410,原始分!$D:$N,4,0)</f>
        <v>96</v>
      </c>
      <c r="I410" s="174">
        <f t="shared" si="79"/>
        <v>406</v>
      </c>
      <c r="J410" s="174">
        <f>VLOOKUP(D410,原始分!$D:$N,5,0)</f>
        <v>92.5</v>
      </c>
      <c r="K410" s="174">
        <f t="shared" si="80"/>
        <v>381</v>
      </c>
      <c r="L410" s="174">
        <f>VLOOKUP(D410,原始分!$D:$N,6,0)</f>
        <v>31.5</v>
      </c>
      <c r="M410" s="174">
        <f t="shared" si="81"/>
        <v>608</v>
      </c>
      <c r="N410" s="174">
        <f>VLOOKUP(D410,原始分!$D:$N,7,0)</f>
        <v>0</v>
      </c>
      <c r="O410" s="174">
        <f t="shared" si="82"/>
        <v>1</v>
      </c>
      <c r="P410" s="174">
        <f>VLOOKUP(D410,原始分!$D:$N,8,0)</f>
        <v>0</v>
      </c>
      <c r="Q410" s="174">
        <f t="shared" si="83"/>
        <v>539</v>
      </c>
      <c r="R410" s="174">
        <f>VLOOKUP(D410,原始分!$D:$N,9,0)</f>
        <v>0</v>
      </c>
      <c r="S410" s="174">
        <f t="shared" si="84"/>
        <v>218</v>
      </c>
      <c r="T410" s="174">
        <f>VLOOKUP(D410,原始分!$D:$N,10,0)</f>
        <v>58</v>
      </c>
      <c r="U410" s="174">
        <f t="shared" si="85"/>
        <v>34</v>
      </c>
      <c r="V410" s="174">
        <f>VLOOKUP(D410,原始分!$D:$N,11,0)</f>
        <v>43.5</v>
      </c>
      <c r="W410" s="174">
        <f t="shared" si="86"/>
        <v>359</v>
      </c>
      <c r="X410" s="11">
        <f t="shared" si="87"/>
        <v>291</v>
      </c>
      <c r="Y410" s="9">
        <f t="shared" si="88"/>
        <v>359</v>
      </c>
      <c r="Z410" s="11">
        <f t="shared" si="89"/>
        <v>424</v>
      </c>
      <c r="AA410" s="9">
        <f t="shared" si="90"/>
        <v>408</v>
      </c>
    </row>
    <row r="411" ht="14.25" spans="1:27">
      <c r="A411" s="13">
        <v>377</v>
      </c>
      <c r="B411" s="15">
        <v>8</v>
      </c>
      <c r="C411" s="16">
        <v>51</v>
      </c>
      <c r="D411" s="17" t="s">
        <v>764</v>
      </c>
      <c r="E411" s="17" t="s">
        <v>765</v>
      </c>
      <c r="F411" s="174">
        <f>VLOOKUP(D411,原始分!$D:$N,3,0)</f>
        <v>110.5</v>
      </c>
      <c r="G411" s="174">
        <f t="shared" si="78"/>
        <v>20</v>
      </c>
      <c r="H411" s="174">
        <f>VLOOKUP(D411,原始分!$D:$N,4,0)</f>
        <v>102.5</v>
      </c>
      <c r="I411" s="174">
        <f t="shared" si="79"/>
        <v>317</v>
      </c>
      <c r="J411" s="174">
        <f>VLOOKUP(D411,原始分!$D:$N,5,0)</f>
        <v>96.5</v>
      </c>
      <c r="K411" s="174">
        <f t="shared" si="80"/>
        <v>314</v>
      </c>
      <c r="L411" s="174">
        <f>VLOOKUP(D411,原始分!$D:$N,6,0)</f>
        <v>39.5</v>
      </c>
      <c r="M411" s="174">
        <f t="shared" si="81"/>
        <v>514</v>
      </c>
      <c r="N411" s="174">
        <f>VLOOKUP(D411,原始分!$D:$N,7,0)</f>
        <v>0</v>
      </c>
      <c r="O411" s="174">
        <f t="shared" si="82"/>
        <v>1</v>
      </c>
      <c r="P411" s="174">
        <f>VLOOKUP(D411,原始分!$D:$N,8,0)</f>
        <v>41.5</v>
      </c>
      <c r="Q411" s="174">
        <f t="shared" si="83"/>
        <v>278</v>
      </c>
      <c r="R411" s="174">
        <f>VLOOKUP(D411,原始分!$D:$N,9,0)</f>
        <v>0</v>
      </c>
      <c r="S411" s="174">
        <f t="shared" si="84"/>
        <v>218</v>
      </c>
      <c r="T411" s="174">
        <f>VLOOKUP(D411,原始分!$D:$N,10,0)</f>
        <v>0</v>
      </c>
      <c r="U411" s="174">
        <f t="shared" si="85"/>
        <v>112</v>
      </c>
      <c r="V411" s="174">
        <f>VLOOKUP(D411,原始分!$D:$N,11,0)</f>
        <v>33.5</v>
      </c>
      <c r="W411" s="174">
        <f t="shared" si="86"/>
        <v>436</v>
      </c>
      <c r="X411" s="11">
        <f t="shared" si="87"/>
        <v>309.5</v>
      </c>
      <c r="Y411" s="9">
        <f t="shared" si="88"/>
        <v>197</v>
      </c>
      <c r="Z411" s="11">
        <f t="shared" si="89"/>
        <v>424</v>
      </c>
      <c r="AA411" s="9">
        <f t="shared" si="90"/>
        <v>408</v>
      </c>
    </row>
    <row r="412" ht="14.25" spans="1:27">
      <c r="A412" s="13">
        <v>147</v>
      </c>
      <c r="B412" s="15">
        <v>3</v>
      </c>
      <c r="C412" s="16">
        <v>36</v>
      </c>
      <c r="D412" s="17" t="s">
        <v>307</v>
      </c>
      <c r="E412" s="17" t="s">
        <v>308</v>
      </c>
      <c r="F412" s="174">
        <f>VLOOKUP(D412,原始分!$D:$N,3,0)</f>
        <v>100</v>
      </c>
      <c r="G412" s="174">
        <f t="shared" si="78"/>
        <v>274</v>
      </c>
      <c r="H412" s="174">
        <f>VLOOKUP(D412,原始分!$D:$N,4,0)</f>
        <v>107</v>
      </c>
      <c r="I412" s="174">
        <f t="shared" si="79"/>
        <v>239</v>
      </c>
      <c r="J412" s="174">
        <f>VLOOKUP(D412,原始分!$D:$N,5,0)</f>
        <v>75.5</v>
      </c>
      <c r="K412" s="174">
        <f t="shared" si="80"/>
        <v>587</v>
      </c>
      <c r="L412" s="174">
        <f>VLOOKUP(D412,原始分!$D:$N,6,0)</f>
        <v>42.5</v>
      </c>
      <c r="M412" s="174">
        <f t="shared" si="81"/>
        <v>470</v>
      </c>
      <c r="N412" s="174">
        <f>VLOOKUP(D412,原始分!$D:$N,7,0)</f>
        <v>0</v>
      </c>
      <c r="O412" s="174">
        <f t="shared" si="82"/>
        <v>1</v>
      </c>
      <c r="P412" s="174">
        <f>VLOOKUP(D412,原始分!$D:$N,8,0)</f>
        <v>42.5</v>
      </c>
      <c r="Q412" s="174">
        <f t="shared" si="83"/>
        <v>256</v>
      </c>
      <c r="R412" s="174">
        <f>VLOOKUP(D412,原始分!$D:$N,9,0)</f>
        <v>56</v>
      </c>
      <c r="S412" s="174">
        <f t="shared" si="84"/>
        <v>35</v>
      </c>
      <c r="T412" s="174">
        <f>VLOOKUP(D412,原始分!$D:$N,10,0)</f>
        <v>0</v>
      </c>
      <c r="U412" s="174">
        <f t="shared" si="85"/>
        <v>112</v>
      </c>
      <c r="V412" s="174">
        <f>VLOOKUP(D412,原始分!$D:$N,11,0)</f>
        <v>0</v>
      </c>
      <c r="W412" s="174">
        <f t="shared" si="86"/>
        <v>461</v>
      </c>
      <c r="X412" s="11">
        <f t="shared" si="87"/>
        <v>282.5</v>
      </c>
      <c r="Y412" s="9">
        <f t="shared" si="88"/>
        <v>425</v>
      </c>
      <c r="Z412" s="11">
        <f t="shared" si="89"/>
        <v>423.5</v>
      </c>
      <c r="AA412" s="9">
        <f t="shared" si="90"/>
        <v>410</v>
      </c>
    </row>
    <row r="413" ht="14.25" spans="1:27">
      <c r="A413" s="13">
        <v>174</v>
      </c>
      <c r="B413" s="15">
        <v>4</v>
      </c>
      <c r="C413" s="16">
        <v>15</v>
      </c>
      <c r="D413" s="17" t="s">
        <v>361</v>
      </c>
      <c r="E413" s="17" t="s">
        <v>362</v>
      </c>
      <c r="F413" s="174">
        <f>VLOOKUP(D413,原始分!$D:$N,3,0)</f>
        <v>98</v>
      </c>
      <c r="G413" s="174">
        <f t="shared" si="78"/>
        <v>349</v>
      </c>
      <c r="H413" s="174">
        <f>VLOOKUP(D413,原始分!$D:$N,4,0)</f>
        <v>94</v>
      </c>
      <c r="I413" s="174">
        <f t="shared" si="79"/>
        <v>442</v>
      </c>
      <c r="J413" s="174">
        <f>VLOOKUP(D413,原始分!$D:$N,5,0)</f>
        <v>94.5</v>
      </c>
      <c r="K413" s="174">
        <f t="shared" si="80"/>
        <v>349</v>
      </c>
      <c r="L413" s="174">
        <f>VLOOKUP(D413,原始分!$D:$N,6,0)</f>
        <v>52</v>
      </c>
      <c r="M413" s="174">
        <f t="shared" si="81"/>
        <v>310</v>
      </c>
      <c r="N413" s="174">
        <f>VLOOKUP(D413,原始分!$D:$N,7,0)</f>
        <v>0</v>
      </c>
      <c r="O413" s="174">
        <f t="shared" si="82"/>
        <v>1</v>
      </c>
      <c r="P413" s="174">
        <f>VLOOKUP(D413,原始分!$D:$N,8,0)</f>
        <v>33.5</v>
      </c>
      <c r="Q413" s="174">
        <f t="shared" si="83"/>
        <v>420</v>
      </c>
      <c r="R413" s="174">
        <f>VLOOKUP(D413,原始分!$D:$N,9,0)</f>
        <v>51.5</v>
      </c>
      <c r="S413" s="174">
        <f t="shared" si="84"/>
        <v>83</v>
      </c>
      <c r="T413" s="174">
        <f>VLOOKUP(D413,原始分!$D:$N,10,0)</f>
        <v>0</v>
      </c>
      <c r="U413" s="174">
        <f t="shared" si="85"/>
        <v>112</v>
      </c>
      <c r="V413" s="174">
        <f>VLOOKUP(D413,原始分!$D:$N,11,0)</f>
        <v>0</v>
      </c>
      <c r="W413" s="174">
        <f t="shared" si="86"/>
        <v>461</v>
      </c>
      <c r="X413" s="11">
        <f t="shared" si="87"/>
        <v>286.5</v>
      </c>
      <c r="Y413" s="9">
        <f t="shared" si="88"/>
        <v>388</v>
      </c>
      <c r="Z413" s="11">
        <f t="shared" si="89"/>
        <v>423.5</v>
      </c>
      <c r="AA413" s="9">
        <f t="shared" si="90"/>
        <v>410</v>
      </c>
    </row>
    <row r="414" ht="14.25" spans="1:27">
      <c r="A414" s="13">
        <v>47</v>
      </c>
      <c r="B414" s="15">
        <v>1</v>
      </c>
      <c r="C414" s="16">
        <v>49</v>
      </c>
      <c r="D414" s="17" t="s">
        <v>108</v>
      </c>
      <c r="E414" s="17" t="s">
        <v>109</v>
      </c>
      <c r="F414" s="174">
        <f>VLOOKUP(D414,原始分!$D:$N,3,0)</f>
        <v>99.5</v>
      </c>
      <c r="G414" s="174">
        <f t="shared" si="78"/>
        <v>286</v>
      </c>
      <c r="H414" s="174">
        <f>VLOOKUP(D414,原始分!$D:$N,4,0)</f>
        <v>108.5</v>
      </c>
      <c r="I414" s="174">
        <f t="shared" si="79"/>
        <v>215</v>
      </c>
      <c r="J414" s="174">
        <f>VLOOKUP(D414,原始分!$D:$N,5,0)</f>
        <v>77.5</v>
      </c>
      <c r="K414" s="174">
        <f t="shared" si="80"/>
        <v>571</v>
      </c>
      <c r="L414" s="174">
        <f>VLOOKUP(D414,原始分!$D:$N,6,0)</f>
        <v>44</v>
      </c>
      <c r="M414" s="174">
        <f t="shared" si="81"/>
        <v>441</v>
      </c>
      <c r="N414" s="174">
        <f>VLOOKUP(D414,原始分!$D:$N,7,0)</f>
        <v>0</v>
      </c>
      <c r="O414" s="174">
        <f t="shared" si="82"/>
        <v>1</v>
      </c>
      <c r="P414" s="174">
        <f>VLOOKUP(D414,原始分!$D:$N,8,0)</f>
        <v>42.5</v>
      </c>
      <c r="Q414" s="174">
        <f t="shared" si="83"/>
        <v>256</v>
      </c>
      <c r="R414" s="174">
        <f>VLOOKUP(D414,原始分!$D:$N,9,0)</f>
        <v>0</v>
      </c>
      <c r="S414" s="174">
        <f t="shared" si="84"/>
        <v>218</v>
      </c>
      <c r="T414" s="174">
        <f>VLOOKUP(D414,原始分!$D:$N,10,0)</f>
        <v>51.25</v>
      </c>
      <c r="U414" s="174">
        <f t="shared" si="85"/>
        <v>71</v>
      </c>
      <c r="V414" s="174">
        <f>VLOOKUP(D414,原始分!$D:$N,11,0)</f>
        <v>0</v>
      </c>
      <c r="W414" s="174">
        <f t="shared" si="86"/>
        <v>461</v>
      </c>
      <c r="X414" s="11">
        <f t="shared" si="87"/>
        <v>285.5</v>
      </c>
      <c r="Y414" s="9">
        <f t="shared" si="88"/>
        <v>397</v>
      </c>
      <c r="Z414" s="11">
        <f t="shared" si="89"/>
        <v>423.25</v>
      </c>
      <c r="AA414" s="9">
        <f t="shared" si="90"/>
        <v>412</v>
      </c>
    </row>
    <row r="415" ht="14.25" spans="1:27">
      <c r="A415" s="13">
        <v>362</v>
      </c>
      <c r="B415" s="15">
        <v>8</v>
      </c>
      <c r="C415" s="16">
        <v>36</v>
      </c>
      <c r="D415" s="17" t="s">
        <v>734</v>
      </c>
      <c r="E415" s="17" t="s">
        <v>735</v>
      </c>
      <c r="F415" s="174">
        <f>VLOOKUP(D415,原始分!$D:$N,3,0)</f>
        <v>93.5</v>
      </c>
      <c r="G415" s="174">
        <f t="shared" si="78"/>
        <v>491</v>
      </c>
      <c r="H415" s="174">
        <f>VLOOKUP(D415,原始分!$D:$N,4,0)</f>
        <v>98</v>
      </c>
      <c r="I415" s="174">
        <f t="shared" si="79"/>
        <v>375</v>
      </c>
      <c r="J415" s="174">
        <f>VLOOKUP(D415,原始分!$D:$N,5,0)</f>
        <v>97.25</v>
      </c>
      <c r="K415" s="174">
        <f t="shared" si="80"/>
        <v>302</v>
      </c>
      <c r="L415" s="174">
        <f>VLOOKUP(D415,原始分!$D:$N,6,0)</f>
        <v>56</v>
      </c>
      <c r="M415" s="174">
        <f t="shared" si="81"/>
        <v>252</v>
      </c>
      <c r="N415" s="174">
        <f>VLOOKUP(D415,原始分!$D:$N,7,0)</f>
        <v>0</v>
      </c>
      <c r="O415" s="174">
        <f t="shared" si="82"/>
        <v>1</v>
      </c>
      <c r="P415" s="174">
        <f>VLOOKUP(D415,原始分!$D:$N,8,0)</f>
        <v>36.5</v>
      </c>
      <c r="Q415" s="174">
        <f t="shared" si="83"/>
        <v>378</v>
      </c>
      <c r="R415" s="174">
        <f>VLOOKUP(D415,原始分!$D:$N,9,0)</f>
        <v>0</v>
      </c>
      <c r="S415" s="174">
        <f t="shared" si="84"/>
        <v>218</v>
      </c>
      <c r="T415" s="174">
        <f>VLOOKUP(D415,原始分!$D:$N,10,0)</f>
        <v>0</v>
      </c>
      <c r="U415" s="174">
        <f t="shared" si="85"/>
        <v>112</v>
      </c>
      <c r="V415" s="174">
        <f>VLOOKUP(D415,原始分!$D:$N,11,0)</f>
        <v>42</v>
      </c>
      <c r="W415" s="174">
        <f t="shared" si="86"/>
        <v>383</v>
      </c>
      <c r="X415" s="11">
        <f t="shared" si="87"/>
        <v>288.75</v>
      </c>
      <c r="Y415" s="9">
        <f t="shared" si="88"/>
        <v>375</v>
      </c>
      <c r="Z415" s="11">
        <f t="shared" si="89"/>
        <v>423.25</v>
      </c>
      <c r="AA415" s="9">
        <f t="shared" si="90"/>
        <v>412</v>
      </c>
    </row>
    <row r="416" ht="14.25" spans="1:27">
      <c r="A416" s="13">
        <v>595</v>
      </c>
      <c r="B416" s="15">
        <v>12</v>
      </c>
      <c r="C416" s="16">
        <v>45</v>
      </c>
      <c r="D416" s="17" t="s">
        <v>1198</v>
      </c>
      <c r="E416" s="17" t="s">
        <v>1199</v>
      </c>
      <c r="F416" s="174">
        <f>VLOOKUP(D416,原始分!$D:$N,3,0)</f>
        <v>98</v>
      </c>
      <c r="G416" s="174">
        <f t="shared" si="78"/>
        <v>349</v>
      </c>
      <c r="H416" s="174">
        <f>VLOOKUP(D416,原始分!$D:$N,4,0)</f>
        <v>110</v>
      </c>
      <c r="I416" s="174">
        <f t="shared" si="79"/>
        <v>191</v>
      </c>
      <c r="J416" s="174">
        <f>VLOOKUP(D416,原始分!$D:$N,5,0)</f>
        <v>99.25</v>
      </c>
      <c r="K416" s="174">
        <f t="shared" si="80"/>
        <v>264</v>
      </c>
      <c r="L416" s="174">
        <f>VLOOKUP(D416,原始分!$D:$N,6,0)</f>
        <v>39.5</v>
      </c>
      <c r="M416" s="174">
        <f t="shared" si="81"/>
        <v>514</v>
      </c>
      <c r="N416" s="174">
        <f>VLOOKUP(D416,原始分!$D:$N,7,0)</f>
        <v>0</v>
      </c>
      <c r="O416" s="174">
        <f t="shared" si="82"/>
        <v>1</v>
      </c>
      <c r="P416" s="174">
        <f>VLOOKUP(D416,原始分!$D:$N,8,0)</f>
        <v>35.5</v>
      </c>
      <c r="Q416" s="174">
        <f t="shared" si="83"/>
        <v>395</v>
      </c>
      <c r="R416" s="174">
        <f>VLOOKUP(D416,原始分!$D:$N,9,0)</f>
        <v>0</v>
      </c>
      <c r="S416" s="174">
        <f t="shared" si="84"/>
        <v>218</v>
      </c>
      <c r="T416" s="174">
        <f>VLOOKUP(D416,原始分!$D:$N,10,0)</f>
        <v>0</v>
      </c>
      <c r="U416" s="174">
        <f t="shared" si="85"/>
        <v>112</v>
      </c>
      <c r="V416" s="174">
        <f>VLOOKUP(D416,原始分!$D:$N,11,0)</f>
        <v>41</v>
      </c>
      <c r="W416" s="174">
        <f t="shared" si="86"/>
        <v>391</v>
      </c>
      <c r="X416" s="11">
        <f t="shared" si="87"/>
        <v>307.25</v>
      </c>
      <c r="Y416" s="9">
        <f t="shared" si="88"/>
        <v>219</v>
      </c>
      <c r="Z416" s="11">
        <f t="shared" si="89"/>
        <v>423.25</v>
      </c>
      <c r="AA416" s="9">
        <f t="shared" si="90"/>
        <v>412</v>
      </c>
    </row>
    <row r="417" ht="14.25" spans="1:27">
      <c r="A417" s="13">
        <v>50</v>
      </c>
      <c r="B417" s="15">
        <v>1</v>
      </c>
      <c r="C417" s="16">
        <v>52</v>
      </c>
      <c r="D417" s="17" t="s">
        <v>114</v>
      </c>
      <c r="E417" s="17" t="s">
        <v>115</v>
      </c>
      <c r="F417" s="174">
        <f>VLOOKUP(D417,原始分!$D:$N,3,0)</f>
        <v>95</v>
      </c>
      <c r="G417" s="174">
        <f t="shared" si="78"/>
        <v>441</v>
      </c>
      <c r="H417" s="174">
        <f>VLOOKUP(D417,原始分!$D:$N,4,0)</f>
        <v>77</v>
      </c>
      <c r="I417" s="174">
        <f t="shared" si="79"/>
        <v>613</v>
      </c>
      <c r="J417" s="174">
        <f>VLOOKUP(D417,原始分!$D:$N,5,0)</f>
        <v>105.5</v>
      </c>
      <c r="K417" s="174">
        <f t="shared" si="80"/>
        <v>162</v>
      </c>
      <c r="L417" s="174">
        <f>VLOOKUP(D417,原始分!$D:$N,6,0)</f>
        <v>47</v>
      </c>
      <c r="M417" s="174">
        <f t="shared" si="81"/>
        <v>391</v>
      </c>
      <c r="N417" s="174">
        <f>VLOOKUP(D417,原始分!$D:$N,7,0)</f>
        <v>0</v>
      </c>
      <c r="O417" s="174">
        <f t="shared" si="82"/>
        <v>1</v>
      </c>
      <c r="P417" s="174">
        <f>VLOOKUP(D417,原始分!$D:$N,8,0)</f>
        <v>47</v>
      </c>
      <c r="Q417" s="174">
        <f t="shared" si="83"/>
        <v>172</v>
      </c>
      <c r="R417" s="174">
        <f>VLOOKUP(D417,原始分!$D:$N,9,0)</f>
        <v>0</v>
      </c>
      <c r="S417" s="174">
        <f t="shared" si="84"/>
        <v>218</v>
      </c>
      <c r="T417" s="174">
        <f>VLOOKUP(D417,原始分!$D:$N,10,0)</f>
        <v>51.5</v>
      </c>
      <c r="U417" s="174">
        <f t="shared" si="85"/>
        <v>70</v>
      </c>
      <c r="V417" s="174">
        <f>VLOOKUP(D417,原始分!$D:$N,11,0)</f>
        <v>0</v>
      </c>
      <c r="W417" s="174">
        <f t="shared" si="86"/>
        <v>461</v>
      </c>
      <c r="X417" s="11">
        <f t="shared" si="87"/>
        <v>277.5</v>
      </c>
      <c r="Y417" s="9">
        <f t="shared" si="88"/>
        <v>480</v>
      </c>
      <c r="Z417" s="11">
        <f t="shared" si="89"/>
        <v>423</v>
      </c>
      <c r="AA417" s="9">
        <f t="shared" si="90"/>
        <v>415</v>
      </c>
    </row>
    <row r="418" ht="14.25" spans="1:27">
      <c r="A418" s="13">
        <v>340</v>
      </c>
      <c r="B418" s="15">
        <v>8</v>
      </c>
      <c r="C418" s="16">
        <v>12</v>
      </c>
      <c r="D418" s="17" t="s">
        <v>691</v>
      </c>
      <c r="E418" s="17" t="s">
        <v>692</v>
      </c>
      <c r="F418" s="174">
        <f>VLOOKUP(D418,原始分!$D:$N,3,0)</f>
        <v>87.5</v>
      </c>
      <c r="G418" s="174">
        <f t="shared" si="78"/>
        <v>613</v>
      </c>
      <c r="H418" s="174">
        <f>VLOOKUP(D418,原始分!$D:$N,4,0)</f>
        <v>88.5</v>
      </c>
      <c r="I418" s="174">
        <f t="shared" si="79"/>
        <v>514</v>
      </c>
      <c r="J418" s="174">
        <f>VLOOKUP(D418,原始分!$D:$N,5,0)</f>
        <v>83</v>
      </c>
      <c r="K418" s="174">
        <f t="shared" si="80"/>
        <v>512</v>
      </c>
      <c r="L418" s="174">
        <f>VLOOKUP(D418,原始分!$D:$N,6,0)</f>
        <v>67</v>
      </c>
      <c r="M418" s="174">
        <f t="shared" si="81"/>
        <v>82</v>
      </c>
      <c r="N418" s="174">
        <f>VLOOKUP(D418,原始分!$D:$N,7,0)</f>
        <v>0</v>
      </c>
      <c r="O418" s="174">
        <f t="shared" si="82"/>
        <v>1</v>
      </c>
      <c r="P418" s="174">
        <f>VLOOKUP(D418,原始分!$D:$N,8,0)</f>
        <v>40</v>
      </c>
      <c r="Q418" s="174">
        <f t="shared" si="83"/>
        <v>314</v>
      </c>
      <c r="R418" s="174">
        <f>VLOOKUP(D418,原始分!$D:$N,9,0)</f>
        <v>0</v>
      </c>
      <c r="S418" s="174">
        <f t="shared" si="84"/>
        <v>218</v>
      </c>
      <c r="T418" s="174">
        <f>VLOOKUP(D418,原始分!$D:$N,10,0)</f>
        <v>0</v>
      </c>
      <c r="U418" s="174">
        <f t="shared" si="85"/>
        <v>112</v>
      </c>
      <c r="V418" s="174">
        <f>VLOOKUP(D418,原始分!$D:$N,11,0)</f>
        <v>57</v>
      </c>
      <c r="W418" s="174">
        <f t="shared" si="86"/>
        <v>112</v>
      </c>
      <c r="X418" s="11">
        <f t="shared" si="87"/>
        <v>259</v>
      </c>
      <c r="Y418" s="9">
        <f t="shared" si="88"/>
        <v>585</v>
      </c>
      <c r="Z418" s="11">
        <f t="shared" si="89"/>
        <v>423</v>
      </c>
      <c r="AA418" s="9">
        <f t="shared" si="90"/>
        <v>415</v>
      </c>
    </row>
    <row r="419" ht="14.25" spans="1:27">
      <c r="A419" s="13">
        <v>341</v>
      </c>
      <c r="B419" s="15">
        <v>8</v>
      </c>
      <c r="C419" s="16">
        <v>13</v>
      </c>
      <c r="D419" s="17" t="s">
        <v>693</v>
      </c>
      <c r="E419" s="17" t="s">
        <v>694</v>
      </c>
      <c r="F419" s="174">
        <f>VLOOKUP(D419,原始分!$D:$N,3,0)</f>
        <v>101.5</v>
      </c>
      <c r="G419" s="174">
        <f t="shared" si="78"/>
        <v>210</v>
      </c>
      <c r="H419" s="174">
        <f>VLOOKUP(D419,原始分!$D:$N,4,0)</f>
        <v>94</v>
      </c>
      <c r="I419" s="174">
        <f t="shared" si="79"/>
        <v>442</v>
      </c>
      <c r="J419" s="174">
        <f>VLOOKUP(D419,原始分!$D:$N,5,0)</f>
        <v>85.5</v>
      </c>
      <c r="K419" s="174">
        <f t="shared" si="80"/>
        <v>481</v>
      </c>
      <c r="L419" s="174">
        <f>VLOOKUP(D419,原始分!$D:$N,6,0)</f>
        <v>55</v>
      </c>
      <c r="M419" s="174">
        <f t="shared" si="81"/>
        <v>269</v>
      </c>
      <c r="N419" s="174">
        <f>VLOOKUP(D419,原始分!$D:$N,7,0)</f>
        <v>0</v>
      </c>
      <c r="O419" s="174">
        <f t="shared" si="82"/>
        <v>1</v>
      </c>
      <c r="P419" s="174">
        <f>VLOOKUP(D419,原始分!$D:$N,8,0)</f>
        <v>43.5</v>
      </c>
      <c r="Q419" s="174">
        <f t="shared" si="83"/>
        <v>241</v>
      </c>
      <c r="R419" s="174">
        <f>VLOOKUP(D419,原始分!$D:$N,9,0)</f>
        <v>0</v>
      </c>
      <c r="S419" s="174">
        <f t="shared" si="84"/>
        <v>218</v>
      </c>
      <c r="T419" s="174">
        <f>VLOOKUP(D419,原始分!$D:$N,10,0)</f>
        <v>0</v>
      </c>
      <c r="U419" s="174">
        <f t="shared" si="85"/>
        <v>112</v>
      </c>
      <c r="V419" s="174">
        <f>VLOOKUP(D419,原始分!$D:$N,11,0)</f>
        <v>43.5</v>
      </c>
      <c r="W419" s="174">
        <f t="shared" si="86"/>
        <v>359</v>
      </c>
      <c r="X419" s="11">
        <f t="shared" si="87"/>
        <v>281</v>
      </c>
      <c r="Y419" s="9">
        <f t="shared" si="88"/>
        <v>439</v>
      </c>
      <c r="Z419" s="11">
        <f t="shared" si="89"/>
        <v>423</v>
      </c>
      <c r="AA419" s="9">
        <f t="shared" si="90"/>
        <v>415</v>
      </c>
    </row>
    <row r="420" ht="14.25" spans="1:27">
      <c r="A420" s="13">
        <v>598</v>
      </c>
      <c r="B420" s="15">
        <v>12</v>
      </c>
      <c r="C420" s="16">
        <v>48</v>
      </c>
      <c r="D420" s="17" t="s">
        <v>1204</v>
      </c>
      <c r="E420" s="17" t="s">
        <v>1205</v>
      </c>
      <c r="F420" s="174">
        <f>VLOOKUP(D420,原始分!$D:$N,3,0)</f>
        <v>97.5</v>
      </c>
      <c r="G420" s="174">
        <f t="shared" si="78"/>
        <v>372</v>
      </c>
      <c r="H420" s="174">
        <f>VLOOKUP(D420,原始分!$D:$N,4,0)</f>
        <v>104</v>
      </c>
      <c r="I420" s="174">
        <f t="shared" si="79"/>
        <v>290</v>
      </c>
      <c r="J420" s="174">
        <f>VLOOKUP(D420,原始分!$D:$N,5,0)</f>
        <v>76</v>
      </c>
      <c r="K420" s="174">
        <f t="shared" si="80"/>
        <v>582</v>
      </c>
      <c r="L420" s="174">
        <f>VLOOKUP(D420,原始分!$D:$N,6,0)</f>
        <v>58.5</v>
      </c>
      <c r="M420" s="174">
        <f t="shared" si="81"/>
        <v>209</v>
      </c>
      <c r="N420" s="174">
        <f>VLOOKUP(D420,原始分!$D:$N,7,0)</f>
        <v>0</v>
      </c>
      <c r="O420" s="174">
        <f t="shared" si="82"/>
        <v>1</v>
      </c>
      <c r="P420" s="174">
        <f>VLOOKUP(D420,原始分!$D:$N,8,0)</f>
        <v>42</v>
      </c>
      <c r="Q420" s="174">
        <f t="shared" si="83"/>
        <v>265</v>
      </c>
      <c r="R420" s="174">
        <f>VLOOKUP(D420,原始分!$D:$N,9,0)</f>
        <v>0</v>
      </c>
      <c r="S420" s="174">
        <f t="shared" si="84"/>
        <v>218</v>
      </c>
      <c r="T420" s="174">
        <f>VLOOKUP(D420,原始分!$D:$N,10,0)</f>
        <v>0</v>
      </c>
      <c r="U420" s="174">
        <f t="shared" si="85"/>
        <v>112</v>
      </c>
      <c r="V420" s="174">
        <f>VLOOKUP(D420,原始分!$D:$N,11,0)</f>
        <v>45</v>
      </c>
      <c r="W420" s="174">
        <f t="shared" si="86"/>
        <v>332</v>
      </c>
      <c r="X420" s="11">
        <f t="shared" si="87"/>
        <v>277.5</v>
      </c>
      <c r="Y420" s="9">
        <f t="shared" si="88"/>
        <v>480</v>
      </c>
      <c r="Z420" s="11">
        <f t="shared" si="89"/>
        <v>423</v>
      </c>
      <c r="AA420" s="9">
        <f t="shared" si="90"/>
        <v>415</v>
      </c>
    </row>
    <row r="421" ht="14.25" spans="1:27">
      <c r="A421" s="13">
        <v>125</v>
      </c>
      <c r="B421" s="15">
        <v>3</v>
      </c>
      <c r="C421" s="16">
        <v>14</v>
      </c>
      <c r="D421" s="17" t="s">
        <v>263</v>
      </c>
      <c r="E421" s="17" t="s">
        <v>264</v>
      </c>
      <c r="F421" s="174">
        <f>VLOOKUP(D421,原始分!$D:$N,3,0)</f>
        <v>100</v>
      </c>
      <c r="G421" s="174">
        <f t="shared" si="78"/>
        <v>274</v>
      </c>
      <c r="H421" s="174">
        <f>VLOOKUP(D421,原始分!$D:$N,4,0)</f>
        <v>97.5</v>
      </c>
      <c r="I421" s="174">
        <f t="shared" si="79"/>
        <v>383</v>
      </c>
      <c r="J421" s="174">
        <f>VLOOKUP(D421,原始分!$D:$N,5,0)</f>
        <v>85.75</v>
      </c>
      <c r="K421" s="174">
        <f t="shared" si="80"/>
        <v>478</v>
      </c>
      <c r="L421" s="174">
        <f>VLOOKUP(D421,原始分!$D:$N,6,0)</f>
        <v>47.5</v>
      </c>
      <c r="M421" s="174">
        <f t="shared" si="81"/>
        <v>382</v>
      </c>
      <c r="N421" s="174">
        <f>VLOOKUP(D421,原始分!$D:$N,7,0)</f>
        <v>0</v>
      </c>
      <c r="O421" s="174">
        <f t="shared" si="82"/>
        <v>1</v>
      </c>
      <c r="P421" s="174">
        <f>VLOOKUP(D421,原始分!$D:$N,8,0)</f>
        <v>45</v>
      </c>
      <c r="Q421" s="174">
        <f t="shared" si="83"/>
        <v>208</v>
      </c>
      <c r="R421" s="174">
        <f>VLOOKUP(D421,原始分!$D:$N,9,0)</f>
        <v>47</v>
      </c>
      <c r="S421" s="174">
        <f t="shared" si="84"/>
        <v>134</v>
      </c>
      <c r="T421" s="174">
        <f>VLOOKUP(D421,原始分!$D:$N,10,0)</f>
        <v>0</v>
      </c>
      <c r="U421" s="174">
        <f t="shared" si="85"/>
        <v>112</v>
      </c>
      <c r="V421" s="174">
        <f>VLOOKUP(D421,原始分!$D:$N,11,0)</f>
        <v>0</v>
      </c>
      <c r="W421" s="174">
        <f t="shared" si="86"/>
        <v>461</v>
      </c>
      <c r="X421" s="11">
        <f t="shared" si="87"/>
        <v>283.25</v>
      </c>
      <c r="Y421" s="9">
        <f t="shared" si="88"/>
        <v>416</v>
      </c>
      <c r="Z421" s="11">
        <f t="shared" si="89"/>
        <v>422.75</v>
      </c>
      <c r="AA421" s="9">
        <f t="shared" si="90"/>
        <v>419</v>
      </c>
    </row>
    <row r="422" ht="14.25" spans="1:27">
      <c r="A422" s="13">
        <v>193</v>
      </c>
      <c r="B422" s="15">
        <v>4</v>
      </c>
      <c r="C422" s="16">
        <v>35</v>
      </c>
      <c r="D422" s="17" t="s">
        <v>399</v>
      </c>
      <c r="E422" s="17" t="s">
        <v>400</v>
      </c>
      <c r="F422" s="174">
        <f>VLOOKUP(D422,原始分!$D:$N,3,0)</f>
        <v>102.75</v>
      </c>
      <c r="G422" s="174">
        <f t="shared" si="78"/>
        <v>181</v>
      </c>
      <c r="H422" s="174">
        <f>VLOOKUP(D422,原始分!$D:$N,4,0)</f>
        <v>96</v>
      </c>
      <c r="I422" s="174">
        <f t="shared" si="79"/>
        <v>406</v>
      </c>
      <c r="J422" s="174">
        <f>VLOOKUP(D422,原始分!$D:$N,5,0)</f>
        <v>92</v>
      </c>
      <c r="K422" s="174">
        <f t="shared" si="80"/>
        <v>392</v>
      </c>
      <c r="L422" s="174">
        <f>VLOOKUP(D422,原始分!$D:$N,6,0)</f>
        <v>44</v>
      </c>
      <c r="M422" s="174">
        <f t="shared" si="81"/>
        <v>441</v>
      </c>
      <c r="N422" s="174">
        <f>VLOOKUP(D422,原始分!$D:$N,7,0)</f>
        <v>0</v>
      </c>
      <c r="O422" s="174">
        <f t="shared" si="82"/>
        <v>1</v>
      </c>
      <c r="P422" s="174">
        <f>VLOOKUP(D422,原始分!$D:$N,8,0)</f>
        <v>34</v>
      </c>
      <c r="Q422" s="174">
        <f t="shared" si="83"/>
        <v>412</v>
      </c>
      <c r="R422" s="174">
        <f>VLOOKUP(D422,原始分!$D:$N,9,0)</f>
        <v>54</v>
      </c>
      <c r="S422" s="174">
        <f t="shared" si="84"/>
        <v>54</v>
      </c>
      <c r="T422" s="174">
        <f>VLOOKUP(D422,原始分!$D:$N,10,0)</f>
        <v>0</v>
      </c>
      <c r="U422" s="174">
        <f t="shared" si="85"/>
        <v>112</v>
      </c>
      <c r="V422" s="174">
        <f>VLOOKUP(D422,原始分!$D:$N,11,0)</f>
        <v>0</v>
      </c>
      <c r="W422" s="174">
        <f t="shared" si="86"/>
        <v>461</v>
      </c>
      <c r="X422" s="11">
        <f t="shared" si="87"/>
        <v>290.75</v>
      </c>
      <c r="Y422" s="9">
        <f t="shared" si="88"/>
        <v>361</v>
      </c>
      <c r="Z422" s="11">
        <f t="shared" si="89"/>
        <v>422.75</v>
      </c>
      <c r="AA422" s="9">
        <f t="shared" si="90"/>
        <v>419</v>
      </c>
    </row>
    <row r="423" ht="14.25" spans="1:27">
      <c r="A423" s="13">
        <v>241</v>
      </c>
      <c r="B423" s="15">
        <v>5</v>
      </c>
      <c r="C423" s="16">
        <v>38</v>
      </c>
      <c r="D423" s="17" t="s">
        <v>495</v>
      </c>
      <c r="E423" s="17" t="s">
        <v>496</v>
      </c>
      <c r="F423" s="174">
        <f>VLOOKUP(D423,原始分!$D:$N,3,0)</f>
        <v>90.5</v>
      </c>
      <c r="G423" s="174">
        <f t="shared" si="78"/>
        <v>571</v>
      </c>
      <c r="H423" s="174">
        <f>VLOOKUP(D423,原始分!$D:$N,4,0)</f>
        <v>88</v>
      </c>
      <c r="I423" s="174">
        <f t="shared" si="79"/>
        <v>522</v>
      </c>
      <c r="J423" s="174">
        <f>VLOOKUP(D423,原始分!$D:$N,5,0)</f>
        <v>93.5</v>
      </c>
      <c r="K423" s="174">
        <f t="shared" si="80"/>
        <v>364</v>
      </c>
      <c r="L423" s="174">
        <f>VLOOKUP(D423,原始分!$D:$N,6,0)</f>
        <v>49</v>
      </c>
      <c r="M423" s="174">
        <f t="shared" si="81"/>
        <v>354</v>
      </c>
      <c r="N423" s="174">
        <f>VLOOKUP(D423,原始分!$D:$N,7,0)</f>
        <v>0</v>
      </c>
      <c r="O423" s="174">
        <f t="shared" si="82"/>
        <v>1</v>
      </c>
      <c r="P423" s="174">
        <f>VLOOKUP(D423,原始分!$D:$N,8,0)</f>
        <v>47.5</v>
      </c>
      <c r="Q423" s="174">
        <f t="shared" si="83"/>
        <v>156</v>
      </c>
      <c r="R423" s="174">
        <f>VLOOKUP(D423,原始分!$D:$N,9,0)</f>
        <v>54</v>
      </c>
      <c r="S423" s="174">
        <f t="shared" si="84"/>
        <v>54</v>
      </c>
      <c r="T423" s="174">
        <f>VLOOKUP(D423,原始分!$D:$N,10,0)</f>
        <v>0</v>
      </c>
      <c r="U423" s="174">
        <f t="shared" si="85"/>
        <v>112</v>
      </c>
      <c r="V423" s="174">
        <f>VLOOKUP(D423,原始分!$D:$N,11,0)</f>
        <v>0</v>
      </c>
      <c r="W423" s="174">
        <f t="shared" si="86"/>
        <v>461</v>
      </c>
      <c r="X423" s="11">
        <f t="shared" si="87"/>
        <v>272</v>
      </c>
      <c r="Y423" s="9">
        <f t="shared" si="88"/>
        <v>514</v>
      </c>
      <c r="Z423" s="11">
        <f t="shared" si="89"/>
        <v>422.5</v>
      </c>
      <c r="AA423" s="9">
        <f t="shared" si="90"/>
        <v>421</v>
      </c>
    </row>
    <row r="424" ht="14.25" spans="1:27">
      <c r="A424" s="13">
        <v>383</v>
      </c>
      <c r="B424" s="15">
        <v>8</v>
      </c>
      <c r="C424" s="16">
        <v>59</v>
      </c>
      <c r="D424" s="17" t="s">
        <v>776</v>
      </c>
      <c r="E424" s="17" t="s">
        <v>777</v>
      </c>
      <c r="F424" s="174">
        <f>VLOOKUP(D424,原始分!$D:$N,3,0)</f>
        <v>100.5</v>
      </c>
      <c r="G424" s="174">
        <f t="shared" si="78"/>
        <v>252</v>
      </c>
      <c r="H424" s="174">
        <f>VLOOKUP(D424,原始分!$D:$N,4,0)</f>
        <v>97.5</v>
      </c>
      <c r="I424" s="174">
        <f t="shared" si="79"/>
        <v>383</v>
      </c>
      <c r="J424" s="174">
        <f>VLOOKUP(D424,原始分!$D:$N,5,0)</f>
        <v>89.75</v>
      </c>
      <c r="K424" s="174">
        <f t="shared" si="80"/>
        <v>424</v>
      </c>
      <c r="L424" s="174">
        <f>VLOOKUP(D424,原始分!$D:$N,6,0)</f>
        <v>53.5</v>
      </c>
      <c r="M424" s="174">
        <f t="shared" si="81"/>
        <v>292</v>
      </c>
      <c r="N424" s="174">
        <f>VLOOKUP(D424,原始分!$D:$N,7,0)</f>
        <v>0</v>
      </c>
      <c r="O424" s="174">
        <f t="shared" si="82"/>
        <v>1</v>
      </c>
      <c r="P424" s="174">
        <f>VLOOKUP(D424,原始分!$D:$N,8,0)</f>
        <v>36</v>
      </c>
      <c r="Q424" s="174">
        <f t="shared" si="83"/>
        <v>384</v>
      </c>
      <c r="R424" s="174">
        <f>VLOOKUP(D424,原始分!$D:$N,9,0)</f>
        <v>0</v>
      </c>
      <c r="S424" s="174">
        <f t="shared" si="84"/>
        <v>218</v>
      </c>
      <c r="T424" s="174">
        <f>VLOOKUP(D424,原始分!$D:$N,10,0)</f>
        <v>0</v>
      </c>
      <c r="U424" s="174">
        <f t="shared" si="85"/>
        <v>112</v>
      </c>
      <c r="V424" s="174">
        <f>VLOOKUP(D424,原始分!$D:$N,11,0)</f>
        <v>45</v>
      </c>
      <c r="W424" s="174">
        <f t="shared" si="86"/>
        <v>332</v>
      </c>
      <c r="X424" s="11">
        <f t="shared" si="87"/>
        <v>287.75</v>
      </c>
      <c r="Y424" s="9">
        <f t="shared" si="88"/>
        <v>380</v>
      </c>
      <c r="Z424" s="11">
        <f t="shared" si="89"/>
        <v>422.25</v>
      </c>
      <c r="AA424" s="9">
        <f t="shared" si="90"/>
        <v>422</v>
      </c>
    </row>
    <row r="425" ht="14.25" spans="1:27">
      <c r="A425" s="13">
        <v>588</v>
      </c>
      <c r="B425" s="15">
        <v>12</v>
      </c>
      <c r="C425" s="16">
        <v>38</v>
      </c>
      <c r="D425" s="17" t="s">
        <v>1184</v>
      </c>
      <c r="E425" s="17" t="s">
        <v>1185</v>
      </c>
      <c r="F425" s="174">
        <f>VLOOKUP(D425,原始分!$D:$N,3,0)</f>
        <v>93</v>
      </c>
      <c r="G425" s="174">
        <f t="shared" si="78"/>
        <v>505</v>
      </c>
      <c r="H425" s="174">
        <f>VLOOKUP(D425,原始分!$D:$N,4,0)</f>
        <v>89.5</v>
      </c>
      <c r="I425" s="174">
        <f t="shared" si="79"/>
        <v>499</v>
      </c>
      <c r="J425" s="174">
        <f>VLOOKUP(D425,原始分!$D:$N,5,0)</f>
        <v>95</v>
      </c>
      <c r="K425" s="174">
        <f t="shared" si="80"/>
        <v>338</v>
      </c>
      <c r="L425" s="174">
        <f>VLOOKUP(D425,原始分!$D:$N,6,0)</f>
        <v>64.5</v>
      </c>
      <c r="M425" s="174">
        <f t="shared" si="81"/>
        <v>120</v>
      </c>
      <c r="N425" s="174">
        <f>VLOOKUP(D425,原始分!$D:$N,7,0)</f>
        <v>0</v>
      </c>
      <c r="O425" s="174">
        <f t="shared" si="82"/>
        <v>1</v>
      </c>
      <c r="P425" s="174">
        <f>VLOOKUP(D425,原始分!$D:$N,8,0)</f>
        <v>33</v>
      </c>
      <c r="Q425" s="174">
        <f t="shared" si="83"/>
        <v>433</v>
      </c>
      <c r="R425" s="174">
        <f>VLOOKUP(D425,原始分!$D:$N,9,0)</f>
        <v>0</v>
      </c>
      <c r="S425" s="174">
        <f t="shared" si="84"/>
        <v>218</v>
      </c>
      <c r="T425" s="174">
        <f>VLOOKUP(D425,原始分!$D:$N,10,0)</f>
        <v>0</v>
      </c>
      <c r="U425" s="174">
        <f t="shared" si="85"/>
        <v>112</v>
      </c>
      <c r="V425" s="174">
        <f>VLOOKUP(D425,原始分!$D:$N,11,0)</f>
        <v>47</v>
      </c>
      <c r="W425" s="174">
        <f t="shared" si="86"/>
        <v>296</v>
      </c>
      <c r="X425" s="11">
        <f t="shared" si="87"/>
        <v>277.5</v>
      </c>
      <c r="Y425" s="9">
        <f t="shared" si="88"/>
        <v>480</v>
      </c>
      <c r="Z425" s="11">
        <f t="shared" si="89"/>
        <v>422</v>
      </c>
      <c r="AA425" s="9">
        <f t="shared" si="90"/>
        <v>423</v>
      </c>
    </row>
    <row r="426" ht="14.25" spans="1:27">
      <c r="A426" s="13">
        <v>329</v>
      </c>
      <c r="B426" s="15">
        <v>8</v>
      </c>
      <c r="C426" s="16">
        <v>1</v>
      </c>
      <c r="D426" s="17" t="s">
        <v>669</v>
      </c>
      <c r="E426" s="17" t="s">
        <v>670</v>
      </c>
      <c r="F426" s="174">
        <f>VLOOKUP(D426,原始分!$D:$N,3,0)</f>
        <v>92</v>
      </c>
      <c r="G426" s="174">
        <f t="shared" si="78"/>
        <v>534</v>
      </c>
      <c r="H426" s="174">
        <f>VLOOKUP(D426,原始分!$D:$N,4,0)</f>
        <v>112</v>
      </c>
      <c r="I426" s="174">
        <f t="shared" si="79"/>
        <v>160</v>
      </c>
      <c r="J426" s="174">
        <f>VLOOKUP(D426,原始分!$D:$N,5,0)</f>
        <v>74.25</v>
      </c>
      <c r="K426" s="174">
        <f t="shared" si="80"/>
        <v>598</v>
      </c>
      <c r="L426" s="174">
        <f>VLOOKUP(D426,原始分!$D:$N,6,0)</f>
        <v>49.5</v>
      </c>
      <c r="M426" s="174">
        <f t="shared" si="81"/>
        <v>341</v>
      </c>
      <c r="N426" s="174">
        <f>VLOOKUP(D426,原始分!$D:$N,7,0)</f>
        <v>0</v>
      </c>
      <c r="O426" s="174">
        <f t="shared" si="82"/>
        <v>1</v>
      </c>
      <c r="P426" s="174">
        <f>VLOOKUP(D426,原始分!$D:$N,8,0)</f>
        <v>42.5</v>
      </c>
      <c r="Q426" s="174">
        <f t="shared" si="83"/>
        <v>256</v>
      </c>
      <c r="R426" s="174">
        <f>VLOOKUP(D426,原始分!$D:$N,9,0)</f>
        <v>0</v>
      </c>
      <c r="S426" s="174">
        <f t="shared" si="84"/>
        <v>218</v>
      </c>
      <c r="T426" s="174">
        <f>VLOOKUP(D426,原始分!$D:$N,10,0)</f>
        <v>0</v>
      </c>
      <c r="U426" s="174">
        <f t="shared" si="85"/>
        <v>112</v>
      </c>
      <c r="V426" s="174">
        <f>VLOOKUP(D426,原始分!$D:$N,11,0)</f>
        <v>51.5</v>
      </c>
      <c r="W426" s="174">
        <f t="shared" si="86"/>
        <v>213</v>
      </c>
      <c r="X426" s="11">
        <f t="shared" si="87"/>
        <v>278.25</v>
      </c>
      <c r="Y426" s="9">
        <f t="shared" si="88"/>
        <v>465</v>
      </c>
      <c r="Z426" s="11">
        <f t="shared" si="89"/>
        <v>421.75</v>
      </c>
      <c r="AA426" s="9">
        <f t="shared" si="90"/>
        <v>424</v>
      </c>
    </row>
    <row r="427" ht="14.25" spans="1:27">
      <c r="A427" s="13">
        <v>12</v>
      </c>
      <c r="B427" s="15">
        <v>1</v>
      </c>
      <c r="C427" s="16">
        <v>13</v>
      </c>
      <c r="D427" s="17" t="s">
        <v>38</v>
      </c>
      <c r="E427" s="17" t="s">
        <v>39</v>
      </c>
      <c r="F427" s="174">
        <f>VLOOKUP(D427,原始分!$D:$N,3,0)</f>
        <v>98</v>
      </c>
      <c r="G427" s="174">
        <f t="shared" si="78"/>
        <v>349</v>
      </c>
      <c r="H427" s="174">
        <f>VLOOKUP(D427,原始分!$D:$N,4,0)</f>
        <v>85</v>
      </c>
      <c r="I427" s="174">
        <f t="shared" si="79"/>
        <v>556</v>
      </c>
      <c r="J427" s="174">
        <f>VLOOKUP(D427,原始分!$D:$N,5,0)</f>
        <v>104</v>
      </c>
      <c r="K427" s="174">
        <f t="shared" si="80"/>
        <v>185</v>
      </c>
      <c r="L427" s="174">
        <f>VLOOKUP(D427,原始分!$D:$N,6,0)</f>
        <v>39</v>
      </c>
      <c r="M427" s="174">
        <f t="shared" si="81"/>
        <v>520</v>
      </c>
      <c r="N427" s="174">
        <f>VLOOKUP(D427,原始分!$D:$N,7,0)</f>
        <v>0</v>
      </c>
      <c r="O427" s="174">
        <f t="shared" si="82"/>
        <v>1</v>
      </c>
      <c r="P427" s="174">
        <f>VLOOKUP(D427,原始分!$D:$N,8,0)</f>
        <v>48.5</v>
      </c>
      <c r="Q427" s="174">
        <f t="shared" si="83"/>
        <v>138</v>
      </c>
      <c r="R427" s="174">
        <f>VLOOKUP(D427,原始分!$D:$N,9,0)</f>
        <v>0</v>
      </c>
      <c r="S427" s="174">
        <f t="shared" si="84"/>
        <v>218</v>
      </c>
      <c r="T427" s="174">
        <f>VLOOKUP(D427,原始分!$D:$N,10,0)</f>
        <v>46.5</v>
      </c>
      <c r="U427" s="174">
        <f t="shared" si="85"/>
        <v>97</v>
      </c>
      <c r="V427" s="174">
        <f>VLOOKUP(D427,原始分!$D:$N,11,0)</f>
        <v>0</v>
      </c>
      <c r="W427" s="174">
        <f t="shared" si="86"/>
        <v>461</v>
      </c>
      <c r="X427" s="11">
        <f t="shared" si="87"/>
        <v>287</v>
      </c>
      <c r="Y427" s="9">
        <f t="shared" si="88"/>
        <v>386</v>
      </c>
      <c r="Z427" s="11">
        <f t="shared" si="89"/>
        <v>421</v>
      </c>
      <c r="AA427" s="9">
        <f t="shared" si="90"/>
        <v>425</v>
      </c>
    </row>
    <row r="428" ht="14.25" spans="1:27">
      <c r="A428" s="13">
        <v>253</v>
      </c>
      <c r="B428" s="15">
        <v>6</v>
      </c>
      <c r="C428" s="16">
        <v>4</v>
      </c>
      <c r="D428" s="17" t="s">
        <v>517</v>
      </c>
      <c r="E428" s="17" t="s">
        <v>518</v>
      </c>
      <c r="F428" s="174">
        <f>VLOOKUP(D428,原始分!$D:$N,3,0)</f>
        <v>86.5</v>
      </c>
      <c r="G428" s="174">
        <f t="shared" si="78"/>
        <v>622</v>
      </c>
      <c r="H428" s="174">
        <f>VLOOKUP(D428,原始分!$D:$N,4,0)</f>
        <v>87.5</v>
      </c>
      <c r="I428" s="174">
        <f t="shared" si="79"/>
        <v>530</v>
      </c>
      <c r="J428" s="174">
        <f>VLOOKUP(D428,原始分!$D:$N,5,0)</f>
        <v>104.5</v>
      </c>
      <c r="K428" s="174">
        <f t="shared" si="80"/>
        <v>180</v>
      </c>
      <c r="L428" s="174">
        <f>VLOOKUP(D428,原始分!$D:$N,6,0)</f>
        <v>40.5</v>
      </c>
      <c r="M428" s="174">
        <f t="shared" si="81"/>
        <v>497</v>
      </c>
      <c r="N428" s="174">
        <f>VLOOKUP(D428,原始分!$D:$N,7,0)</f>
        <v>0</v>
      </c>
      <c r="O428" s="174">
        <f t="shared" si="82"/>
        <v>1</v>
      </c>
      <c r="P428" s="174">
        <f>VLOOKUP(D428,原始分!$D:$N,8,0)</f>
        <v>0</v>
      </c>
      <c r="Q428" s="174">
        <f t="shared" si="83"/>
        <v>539</v>
      </c>
      <c r="R428" s="174">
        <f>VLOOKUP(D428,原始分!$D:$N,9,0)</f>
        <v>48</v>
      </c>
      <c r="S428" s="174">
        <f t="shared" si="84"/>
        <v>122</v>
      </c>
      <c r="T428" s="174">
        <f>VLOOKUP(D428,原始分!$D:$N,10,0)</f>
        <v>0</v>
      </c>
      <c r="U428" s="174">
        <f t="shared" si="85"/>
        <v>112</v>
      </c>
      <c r="V428" s="174">
        <f>VLOOKUP(D428,原始分!$D:$N,11,0)</f>
        <v>53.5</v>
      </c>
      <c r="W428" s="174">
        <f t="shared" si="86"/>
        <v>171</v>
      </c>
      <c r="X428" s="11">
        <f t="shared" si="87"/>
        <v>278.5</v>
      </c>
      <c r="Y428" s="9">
        <f t="shared" si="88"/>
        <v>462</v>
      </c>
      <c r="Z428" s="11">
        <f t="shared" si="89"/>
        <v>420.5</v>
      </c>
      <c r="AA428" s="9">
        <f t="shared" si="90"/>
        <v>426</v>
      </c>
    </row>
    <row r="429" ht="14.25" spans="1:27">
      <c r="A429" s="13">
        <v>616</v>
      </c>
      <c r="B429" s="15">
        <v>13</v>
      </c>
      <c r="C429" s="16">
        <v>7</v>
      </c>
      <c r="D429" s="17" t="s">
        <v>1240</v>
      </c>
      <c r="E429" s="17" t="s">
        <v>1241</v>
      </c>
      <c r="F429" s="174">
        <f>VLOOKUP(D429,原始分!$D:$N,3,0)</f>
        <v>71.5</v>
      </c>
      <c r="G429" s="174">
        <f t="shared" si="78"/>
        <v>662</v>
      </c>
      <c r="H429" s="174">
        <f>VLOOKUP(D429,原始分!$D:$N,4,0)</f>
        <v>91.5</v>
      </c>
      <c r="I429" s="174">
        <f t="shared" si="79"/>
        <v>475</v>
      </c>
      <c r="J429" s="174">
        <f>VLOOKUP(D429,原始分!$D:$N,5,0)</f>
        <v>103.75</v>
      </c>
      <c r="K429" s="174">
        <f t="shared" si="80"/>
        <v>191</v>
      </c>
      <c r="L429" s="174">
        <f>VLOOKUP(D429,原始分!$D:$N,6,0)</f>
        <v>56.5</v>
      </c>
      <c r="M429" s="174">
        <f t="shared" si="81"/>
        <v>244</v>
      </c>
      <c r="N429" s="174">
        <f>VLOOKUP(D429,原始分!$D:$N,7,0)</f>
        <v>0</v>
      </c>
      <c r="O429" s="174">
        <f t="shared" si="82"/>
        <v>1</v>
      </c>
      <c r="P429" s="174">
        <f>VLOOKUP(D429,原始分!$D:$N,8,0)</f>
        <v>47</v>
      </c>
      <c r="Q429" s="174">
        <f t="shared" si="83"/>
        <v>172</v>
      </c>
      <c r="R429" s="174">
        <f>VLOOKUP(D429,原始分!$D:$N,9,0)</f>
        <v>0</v>
      </c>
      <c r="S429" s="174">
        <f t="shared" si="84"/>
        <v>218</v>
      </c>
      <c r="T429" s="174">
        <f>VLOOKUP(D429,原始分!$D:$N,10,0)</f>
        <v>0</v>
      </c>
      <c r="U429" s="174">
        <f t="shared" si="85"/>
        <v>112</v>
      </c>
      <c r="V429" s="174">
        <f>VLOOKUP(D429,原始分!$D:$N,11,0)</f>
        <v>50</v>
      </c>
      <c r="W429" s="174">
        <f t="shared" si="86"/>
        <v>247</v>
      </c>
      <c r="X429" s="11">
        <f t="shared" si="87"/>
        <v>266.75</v>
      </c>
      <c r="Y429" s="9">
        <f t="shared" si="88"/>
        <v>547</v>
      </c>
      <c r="Z429" s="11">
        <f t="shared" si="89"/>
        <v>420.25</v>
      </c>
      <c r="AA429" s="9">
        <f t="shared" si="90"/>
        <v>427</v>
      </c>
    </row>
    <row r="430" ht="14.25" spans="1:27">
      <c r="A430" s="13">
        <v>215</v>
      </c>
      <c r="B430" s="15">
        <v>5</v>
      </c>
      <c r="C430" s="16">
        <v>12</v>
      </c>
      <c r="D430" s="17" t="s">
        <v>443</v>
      </c>
      <c r="E430" s="17" t="s">
        <v>444</v>
      </c>
      <c r="F430" s="174">
        <f>VLOOKUP(D430,原始分!$D:$N,3,0)</f>
        <v>97.5</v>
      </c>
      <c r="G430" s="174">
        <f t="shared" si="78"/>
        <v>372</v>
      </c>
      <c r="H430" s="174">
        <f>VLOOKUP(D430,原始分!$D:$N,4,0)</f>
        <v>116</v>
      </c>
      <c r="I430" s="174">
        <f t="shared" si="79"/>
        <v>99</v>
      </c>
      <c r="J430" s="174">
        <f>VLOOKUP(D430,原始分!$D:$N,5,0)</f>
        <v>74.5</v>
      </c>
      <c r="K430" s="174">
        <f t="shared" si="80"/>
        <v>597</v>
      </c>
      <c r="L430" s="174">
        <f>VLOOKUP(D430,原始分!$D:$N,6,0)</f>
        <v>47.5</v>
      </c>
      <c r="M430" s="174">
        <f t="shared" si="81"/>
        <v>382</v>
      </c>
      <c r="N430" s="174">
        <f>VLOOKUP(D430,原始分!$D:$N,7,0)</f>
        <v>0</v>
      </c>
      <c r="O430" s="174">
        <f t="shared" si="82"/>
        <v>1</v>
      </c>
      <c r="P430" s="174">
        <f>VLOOKUP(D430,原始分!$D:$N,8,0)</f>
        <v>40</v>
      </c>
      <c r="Q430" s="174">
        <f t="shared" si="83"/>
        <v>314</v>
      </c>
      <c r="R430" s="174">
        <f>VLOOKUP(D430,原始分!$D:$N,9,0)</f>
        <v>44.5</v>
      </c>
      <c r="S430" s="174">
        <f t="shared" si="84"/>
        <v>161</v>
      </c>
      <c r="T430" s="174">
        <f>VLOOKUP(D430,原始分!$D:$N,10,0)</f>
        <v>0</v>
      </c>
      <c r="U430" s="174">
        <f t="shared" si="85"/>
        <v>112</v>
      </c>
      <c r="V430" s="174">
        <f>VLOOKUP(D430,原始分!$D:$N,11,0)</f>
        <v>0</v>
      </c>
      <c r="W430" s="174">
        <f t="shared" si="86"/>
        <v>461</v>
      </c>
      <c r="X430" s="11">
        <f t="shared" si="87"/>
        <v>288</v>
      </c>
      <c r="Y430" s="9">
        <f t="shared" si="88"/>
        <v>378</v>
      </c>
      <c r="Z430" s="11">
        <f t="shared" si="89"/>
        <v>420</v>
      </c>
      <c r="AA430" s="9">
        <f t="shared" si="90"/>
        <v>428</v>
      </c>
    </row>
    <row r="431" ht="14.25" spans="1:27">
      <c r="A431" s="13">
        <v>469</v>
      </c>
      <c r="B431" s="15">
        <v>10</v>
      </c>
      <c r="C431" s="16">
        <v>30</v>
      </c>
      <c r="D431" s="17" t="s">
        <v>948</v>
      </c>
      <c r="E431" s="17" t="s">
        <v>949</v>
      </c>
      <c r="F431" s="174">
        <f>VLOOKUP(D431,原始分!$D:$N,3,0)</f>
        <v>99.5</v>
      </c>
      <c r="G431" s="174">
        <f t="shared" si="78"/>
        <v>286</v>
      </c>
      <c r="H431" s="174">
        <f>VLOOKUP(D431,原始分!$D:$N,4,0)</f>
        <v>111.5</v>
      </c>
      <c r="I431" s="174">
        <f t="shared" si="79"/>
        <v>169</v>
      </c>
      <c r="J431" s="174">
        <f>VLOOKUP(D431,原始分!$D:$N,5,0)</f>
        <v>93.5</v>
      </c>
      <c r="K431" s="174">
        <f t="shared" si="80"/>
        <v>364</v>
      </c>
      <c r="L431" s="174">
        <f>VLOOKUP(D431,原始分!$D:$N,6,0)</f>
        <v>45.5</v>
      </c>
      <c r="M431" s="174">
        <f t="shared" si="81"/>
        <v>417</v>
      </c>
      <c r="N431" s="174">
        <f>VLOOKUP(D431,原始分!$D:$N,7,0)</f>
        <v>0</v>
      </c>
      <c r="O431" s="174">
        <f t="shared" si="82"/>
        <v>1</v>
      </c>
      <c r="P431" s="174">
        <f>VLOOKUP(D431,原始分!$D:$N,8,0)</f>
        <v>26.5</v>
      </c>
      <c r="Q431" s="174">
        <f t="shared" si="83"/>
        <v>502</v>
      </c>
      <c r="R431" s="174">
        <f>VLOOKUP(D431,原始分!$D:$N,9,0)</f>
        <v>0</v>
      </c>
      <c r="S431" s="174">
        <f t="shared" si="84"/>
        <v>218</v>
      </c>
      <c r="T431" s="174">
        <f>VLOOKUP(D431,原始分!$D:$N,10,0)</f>
        <v>0</v>
      </c>
      <c r="U431" s="174">
        <f t="shared" si="85"/>
        <v>112</v>
      </c>
      <c r="V431" s="174">
        <f>VLOOKUP(D431,原始分!$D:$N,11,0)</f>
        <v>43.5</v>
      </c>
      <c r="W431" s="174">
        <f t="shared" si="86"/>
        <v>359</v>
      </c>
      <c r="X431" s="11">
        <f t="shared" si="87"/>
        <v>304.5</v>
      </c>
      <c r="Y431" s="9">
        <f t="shared" si="88"/>
        <v>239</v>
      </c>
      <c r="Z431" s="11">
        <f t="shared" si="89"/>
        <v>420</v>
      </c>
      <c r="AA431" s="9">
        <f t="shared" si="90"/>
        <v>428</v>
      </c>
    </row>
    <row r="432" ht="14.25" spans="1:27">
      <c r="A432" s="13">
        <v>23</v>
      </c>
      <c r="B432" s="15">
        <v>1</v>
      </c>
      <c r="C432" s="16">
        <v>25</v>
      </c>
      <c r="D432" s="17" t="s">
        <v>60</v>
      </c>
      <c r="E432" s="17" t="s">
        <v>61</v>
      </c>
      <c r="F432" s="174">
        <f>VLOOKUP(D432,原始分!$D:$N,3,0)</f>
        <v>102</v>
      </c>
      <c r="G432" s="174">
        <f t="shared" si="78"/>
        <v>199</v>
      </c>
      <c r="H432" s="174">
        <f>VLOOKUP(D432,原始分!$D:$N,4,0)</f>
        <v>103</v>
      </c>
      <c r="I432" s="174">
        <f t="shared" si="79"/>
        <v>312</v>
      </c>
      <c r="J432" s="174">
        <f>VLOOKUP(D432,原始分!$D:$N,5,0)</f>
        <v>95</v>
      </c>
      <c r="K432" s="174">
        <f t="shared" si="80"/>
        <v>338</v>
      </c>
      <c r="L432" s="174">
        <f>VLOOKUP(D432,原始分!$D:$N,6,0)</f>
        <v>32.5</v>
      </c>
      <c r="M432" s="174">
        <f t="shared" si="81"/>
        <v>599</v>
      </c>
      <c r="N432" s="174">
        <f>VLOOKUP(D432,原始分!$D:$N,7,0)</f>
        <v>0</v>
      </c>
      <c r="O432" s="174">
        <f t="shared" si="82"/>
        <v>1</v>
      </c>
      <c r="P432" s="174">
        <f>VLOOKUP(D432,原始分!$D:$N,8,0)</f>
        <v>29</v>
      </c>
      <c r="Q432" s="174">
        <f t="shared" si="83"/>
        <v>482</v>
      </c>
      <c r="R432" s="174">
        <f>VLOOKUP(D432,原始分!$D:$N,9,0)</f>
        <v>0</v>
      </c>
      <c r="S432" s="174">
        <f t="shared" si="84"/>
        <v>218</v>
      </c>
      <c r="T432" s="174">
        <f>VLOOKUP(D432,原始分!$D:$N,10,0)</f>
        <v>58</v>
      </c>
      <c r="U432" s="174">
        <f t="shared" si="85"/>
        <v>34</v>
      </c>
      <c r="V432" s="174">
        <f>VLOOKUP(D432,原始分!$D:$N,11,0)</f>
        <v>0</v>
      </c>
      <c r="W432" s="174">
        <f t="shared" si="86"/>
        <v>461</v>
      </c>
      <c r="X432" s="11">
        <f t="shared" si="87"/>
        <v>300</v>
      </c>
      <c r="Y432" s="9">
        <f t="shared" si="88"/>
        <v>276</v>
      </c>
      <c r="Z432" s="11">
        <f t="shared" si="89"/>
        <v>419.5</v>
      </c>
      <c r="AA432" s="9">
        <f t="shared" si="90"/>
        <v>430</v>
      </c>
    </row>
    <row r="433" ht="14.25" spans="1:27">
      <c r="A433" s="13">
        <v>273</v>
      </c>
      <c r="B433" s="15">
        <v>6</v>
      </c>
      <c r="C433" s="16">
        <v>25</v>
      </c>
      <c r="D433" s="17" t="s">
        <v>557</v>
      </c>
      <c r="E433" s="17" t="s">
        <v>558</v>
      </c>
      <c r="F433" s="174">
        <f>VLOOKUP(D433,原始分!$D:$N,3,0)</f>
        <v>95</v>
      </c>
      <c r="G433" s="174">
        <f t="shared" si="78"/>
        <v>441</v>
      </c>
      <c r="H433" s="174">
        <f>VLOOKUP(D433,原始分!$D:$N,4,0)</f>
        <v>78</v>
      </c>
      <c r="I433" s="174">
        <f t="shared" si="79"/>
        <v>606</v>
      </c>
      <c r="J433" s="174">
        <f>VLOOKUP(D433,原始分!$D:$N,5,0)</f>
        <v>110</v>
      </c>
      <c r="K433" s="174">
        <f t="shared" si="80"/>
        <v>103</v>
      </c>
      <c r="L433" s="174">
        <f>VLOOKUP(D433,原始分!$D:$N,6,0)</f>
        <v>42.5</v>
      </c>
      <c r="M433" s="174">
        <f t="shared" si="81"/>
        <v>470</v>
      </c>
      <c r="N433" s="174">
        <f>VLOOKUP(D433,原始分!$D:$N,7,0)</f>
        <v>0</v>
      </c>
      <c r="O433" s="174">
        <f t="shared" si="82"/>
        <v>1</v>
      </c>
      <c r="P433" s="174">
        <f>VLOOKUP(D433,原始分!$D:$N,8,0)</f>
        <v>0</v>
      </c>
      <c r="Q433" s="174">
        <f t="shared" si="83"/>
        <v>539</v>
      </c>
      <c r="R433" s="174">
        <f>VLOOKUP(D433,原始分!$D:$N,9,0)</f>
        <v>48</v>
      </c>
      <c r="S433" s="174">
        <f t="shared" si="84"/>
        <v>122</v>
      </c>
      <c r="T433" s="174">
        <f>VLOOKUP(D433,原始分!$D:$N,10,0)</f>
        <v>0</v>
      </c>
      <c r="U433" s="174">
        <f t="shared" si="85"/>
        <v>112</v>
      </c>
      <c r="V433" s="174">
        <f>VLOOKUP(D433,原始分!$D:$N,11,0)</f>
        <v>46</v>
      </c>
      <c r="W433" s="174">
        <f t="shared" si="86"/>
        <v>316</v>
      </c>
      <c r="X433" s="11">
        <f t="shared" si="87"/>
        <v>283</v>
      </c>
      <c r="Y433" s="9">
        <f t="shared" si="88"/>
        <v>420</v>
      </c>
      <c r="Z433" s="11">
        <f t="shared" si="89"/>
        <v>419.5</v>
      </c>
      <c r="AA433" s="9">
        <f t="shared" si="90"/>
        <v>430</v>
      </c>
    </row>
    <row r="434" ht="14.25" spans="1:27">
      <c r="A434" s="13">
        <v>314</v>
      </c>
      <c r="B434" s="15">
        <v>7</v>
      </c>
      <c r="C434" s="16">
        <v>25</v>
      </c>
      <c r="D434" s="17" t="s">
        <v>639</v>
      </c>
      <c r="E434" s="17" t="s">
        <v>640</v>
      </c>
      <c r="F434" s="174">
        <f>VLOOKUP(D434,原始分!$D:$N,3,0)</f>
        <v>88.5</v>
      </c>
      <c r="G434" s="174">
        <f t="shared" si="78"/>
        <v>603</v>
      </c>
      <c r="H434" s="174">
        <f>VLOOKUP(D434,原始分!$D:$N,4,0)</f>
        <v>103.5</v>
      </c>
      <c r="I434" s="174">
        <f t="shared" si="79"/>
        <v>302</v>
      </c>
      <c r="J434" s="174">
        <f>VLOOKUP(D434,原始分!$D:$N,5,0)</f>
        <v>78.75</v>
      </c>
      <c r="K434" s="174">
        <f t="shared" si="80"/>
        <v>565</v>
      </c>
      <c r="L434" s="174">
        <f>VLOOKUP(D434,原始分!$D:$N,6,0)</f>
        <v>51</v>
      </c>
      <c r="M434" s="174">
        <f t="shared" si="81"/>
        <v>320</v>
      </c>
      <c r="N434" s="174">
        <f>VLOOKUP(D434,原始分!$D:$N,7,0)</f>
        <v>0</v>
      </c>
      <c r="O434" s="174">
        <f t="shared" si="82"/>
        <v>1</v>
      </c>
      <c r="P434" s="174">
        <f>VLOOKUP(D434,原始分!$D:$N,8,0)</f>
        <v>0</v>
      </c>
      <c r="Q434" s="174">
        <f t="shared" si="83"/>
        <v>539</v>
      </c>
      <c r="R434" s="174">
        <f>VLOOKUP(D434,原始分!$D:$N,9,0)</f>
        <v>43.5</v>
      </c>
      <c r="S434" s="174">
        <f t="shared" si="84"/>
        <v>171</v>
      </c>
      <c r="T434" s="174">
        <f>VLOOKUP(D434,原始分!$D:$N,10,0)</f>
        <v>0</v>
      </c>
      <c r="U434" s="174">
        <f t="shared" si="85"/>
        <v>112</v>
      </c>
      <c r="V434" s="174">
        <f>VLOOKUP(D434,原始分!$D:$N,11,0)</f>
        <v>54</v>
      </c>
      <c r="W434" s="174">
        <f t="shared" si="86"/>
        <v>164</v>
      </c>
      <c r="X434" s="11">
        <f t="shared" si="87"/>
        <v>270.75</v>
      </c>
      <c r="Y434" s="9">
        <f t="shared" si="88"/>
        <v>525</v>
      </c>
      <c r="Z434" s="11">
        <f t="shared" si="89"/>
        <v>419.25</v>
      </c>
      <c r="AA434" s="9">
        <f t="shared" si="90"/>
        <v>432</v>
      </c>
    </row>
    <row r="435" ht="14.25" spans="1:27">
      <c r="A435" s="13">
        <v>623</v>
      </c>
      <c r="B435" s="15">
        <v>13</v>
      </c>
      <c r="C435" s="16">
        <v>16</v>
      </c>
      <c r="D435" s="17" t="s">
        <v>1254</v>
      </c>
      <c r="E435" s="17" t="s">
        <v>1255</v>
      </c>
      <c r="F435" s="174">
        <f>VLOOKUP(D435,原始分!$D:$N,3,0)</f>
        <v>95</v>
      </c>
      <c r="G435" s="174">
        <f t="shared" si="78"/>
        <v>441</v>
      </c>
      <c r="H435" s="174">
        <f>VLOOKUP(D435,原始分!$D:$N,4,0)</f>
        <v>93.5</v>
      </c>
      <c r="I435" s="174">
        <f t="shared" si="79"/>
        <v>448</v>
      </c>
      <c r="J435" s="174">
        <f>VLOOKUP(D435,原始分!$D:$N,5,0)</f>
        <v>100</v>
      </c>
      <c r="K435" s="174">
        <f t="shared" si="80"/>
        <v>243</v>
      </c>
      <c r="L435" s="174">
        <f>VLOOKUP(D435,原始分!$D:$N,6,0)</f>
        <v>45</v>
      </c>
      <c r="M435" s="174">
        <f t="shared" si="81"/>
        <v>424</v>
      </c>
      <c r="N435" s="174">
        <f>VLOOKUP(D435,原始分!$D:$N,7,0)</f>
        <v>0</v>
      </c>
      <c r="O435" s="174">
        <f t="shared" si="82"/>
        <v>1</v>
      </c>
      <c r="P435" s="174">
        <f>VLOOKUP(D435,原始分!$D:$N,8,0)</f>
        <v>40.5</v>
      </c>
      <c r="Q435" s="174">
        <f t="shared" si="83"/>
        <v>301</v>
      </c>
      <c r="R435" s="174">
        <f>VLOOKUP(D435,原始分!$D:$N,9,0)</f>
        <v>0</v>
      </c>
      <c r="S435" s="174">
        <f t="shared" si="84"/>
        <v>218</v>
      </c>
      <c r="T435" s="174">
        <f>VLOOKUP(D435,原始分!$D:$N,10,0)</f>
        <v>0</v>
      </c>
      <c r="U435" s="174">
        <f t="shared" si="85"/>
        <v>112</v>
      </c>
      <c r="V435" s="174">
        <f>VLOOKUP(D435,原始分!$D:$N,11,0)</f>
        <v>45</v>
      </c>
      <c r="W435" s="174">
        <f t="shared" si="86"/>
        <v>332</v>
      </c>
      <c r="X435" s="11">
        <f t="shared" si="87"/>
        <v>288.5</v>
      </c>
      <c r="Y435" s="9">
        <f t="shared" si="88"/>
        <v>376</v>
      </c>
      <c r="Z435" s="11">
        <f t="shared" si="89"/>
        <v>419</v>
      </c>
      <c r="AA435" s="9">
        <f t="shared" si="90"/>
        <v>433</v>
      </c>
    </row>
    <row r="436" ht="14.25" spans="1:27">
      <c r="A436" s="13">
        <v>107</v>
      </c>
      <c r="B436" s="15">
        <v>2</v>
      </c>
      <c r="C436" s="16">
        <v>46</v>
      </c>
      <c r="D436" s="17" t="s">
        <v>227</v>
      </c>
      <c r="E436" s="17" t="s">
        <v>228</v>
      </c>
      <c r="F436" s="174">
        <f>VLOOKUP(D436,原始分!$D:$N,3,0)</f>
        <v>98.25</v>
      </c>
      <c r="G436" s="174">
        <f t="shared" si="78"/>
        <v>343</v>
      </c>
      <c r="H436" s="174">
        <f>VLOOKUP(D436,原始分!$D:$N,4,0)</f>
        <v>71.5</v>
      </c>
      <c r="I436" s="174">
        <f t="shared" si="79"/>
        <v>630</v>
      </c>
      <c r="J436" s="174">
        <f>VLOOKUP(D436,原始分!$D:$N,5,0)</f>
        <v>122</v>
      </c>
      <c r="K436" s="174">
        <f t="shared" si="80"/>
        <v>8</v>
      </c>
      <c r="L436" s="174">
        <f>VLOOKUP(D436,原始分!$D:$N,6,0)</f>
        <v>33.5</v>
      </c>
      <c r="M436" s="174">
        <f t="shared" si="81"/>
        <v>592</v>
      </c>
      <c r="N436" s="174">
        <f>VLOOKUP(D436,原始分!$D:$N,7,0)</f>
        <v>0</v>
      </c>
      <c r="O436" s="174">
        <f t="shared" si="82"/>
        <v>1</v>
      </c>
      <c r="P436" s="174">
        <f>VLOOKUP(D436,原始分!$D:$N,8,0)</f>
        <v>0</v>
      </c>
      <c r="Q436" s="174">
        <f t="shared" si="83"/>
        <v>539</v>
      </c>
      <c r="R436" s="174">
        <f>VLOOKUP(D436,原始分!$D:$N,9,0)</f>
        <v>0</v>
      </c>
      <c r="S436" s="174">
        <f t="shared" si="84"/>
        <v>218</v>
      </c>
      <c r="T436" s="174">
        <f>VLOOKUP(D436,原始分!$D:$N,10,0)</f>
        <v>53</v>
      </c>
      <c r="U436" s="174">
        <f t="shared" si="85"/>
        <v>64</v>
      </c>
      <c r="V436" s="174">
        <f>VLOOKUP(D436,原始分!$D:$N,11,0)</f>
        <v>40</v>
      </c>
      <c r="W436" s="174">
        <f t="shared" si="86"/>
        <v>403</v>
      </c>
      <c r="X436" s="11">
        <f t="shared" si="87"/>
        <v>291.75</v>
      </c>
      <c r="Y436" s="9">
        <f t="shared" si="88"/>
        <v>355</v>
      </c>
      <c r="Z436" s="11">
        <f t="shared" si="89"/>
        <v>418.25</v>
      </c>
      <c r="AA436" s="9">
        <f t="shared" si="90"/>
        <v>434</v>
      </c>
    </row>
    <row r="437" ht="14.25" spans="1:27">
      <c r="A437" s="13">
        <v>233</v>
      </c>
      <c r="B437" s="15">
        <v>5</v>
      </c>
      <c r="C437" s="16">
        <v>30</v>
      </c>
      <c r="D437" s="17" t="s">
        <v>479</v>
      </c>
      <c r="E437" s="17" t="s">
        <v>480</v>
      </c>
      <c r="F437" s="174">
        <f>VLOOKUP(D437,原始分!$D:$N,3,0)</f>
        <v>100.75</v>
      </c>
      <c r="G437" s="174">
        <f t="shared" si="78"/>
        <v>248</v>
      </c>
      <c r="H437" s="174">
        <f>VLOOKUP(D437,原始分!$D:$N,4,0)</f>
        <v>77.5</v>
      </c>
      <c r="I437" s="174">
        <f t="shared" si="79"/>
        <v>609</v>
      </c>
      <c r="J437" s="174">
        <f>VLOOKUP(D437,原始分!$D:$N,5,0)</f>
        <v>88</v>
      </c>
      <c r="K437" s="174">
        <f t="shared" si="80"/>
        <v>443</v>
      </c>
      <c r="L437" s="174">
        <f>VLOOKUP(D437,原始分!$D:$N,6,0)</f>
        <v>43.5</v>
      </c>
      <c r="M437" s="174">
        <f t="shared" si="81"/>
        <v>452</v>
      </c>
      <c r="N437" s="174">
        <f>VLOOKUP(D437,原始分!$D:$N,7,0)</f>
        <v>0</v>
      </c>
      <c r="O437" s="174">
        <f t="shared" si="82"/>
        <v>1</v>
      </c>
      <c r="P437" s="174">
        <f>VLOOKUP(D437,原始分!$D:$N,8,0)</f>
        <v>53</v>
      </c>
      <c r="Q437" s="174">
        <f t="shared" si="83"/>
        <v>69</v>
      </c>
      <c r="R437" s="174">
        <f>VLOOKUP(D437,原始分!$D:$N,9,0)</f>
        <v>55</v>
      </c>
      <c r="S437" s="174">
        <f t="shared" si="84"/>
        <v>44</v>
      </c>
      <c r="T437" s="174">
        <f>VLOOKUP(D437,原始分!$D:$N,10,0)</f>
        <v>0</v>
      </c>
      <c r="U437" s="174">
        <f t="shared" si="85"/>
        <v>112</v>
      </c>
      <c r="V437" s="174">
        <f>VLOOKUP(D437,原始分!$D:$N,11,0)</f>
        <v>0</v>
      </c>
      <c r="W437" s="174">
        <f t="shared" si="86"/>
        <v>461</v>
      </c>
      <c r="X437" s="11">
        <f t="shared" si="87"/>
        <v>266.25</v>
      </c>
      <c r="Y437" s="9">
        <f t="shared" si="88"/>
        <v>548</v>
      </c>
      <c r="Z437" s="11">
        <f t="shared" si="89"/>
        <v>417.75</v>
      </c>
      <c r="AA437" s="9">
        <f t="shared" si="90"/>
        <v>435</v>
      </c>
    </row>
    <row r="438" ht="14.25" spans="1:27">
      <c r="A438" s="13">
        <v>305</v>
      </c>
      <c r="B438" s="15">
        <v>7</v>
      </c>
      <c r="C438" s="16">
        <v>16</v>
      </c>
      <c r="D438" s="17" t="s">
        <v>621</v>
      </c>
      <c r="E438" s="17" t="s">
        <v>622</v>
      </c>
      <c r="F438" s="174">
        <f>VLOOKUP(D438,原始分!$D:$N,3,0)</f>
        <v>100.5</v>
      </c>
      <c r="G438" s="174">
        <f t="shared" si="78"/>
        <v>252</v>
      </c>
      <c r="H438" s="174">
        <f>VLOOKUP(D438,原始分!$D:$N,4,0)</f>
        <v>96.5</v>
      </c>
      <c r="I438" s="174">
        <f t="shared" si="79"/>
        <v>399</v>
      </c>
      <c r="J438" s="174">
        <f>VLOOKUP(D438,原始分!$D:$N,5,0)</f>
        <v>80.75</v>
      </c>
      <c r="K438" s="174">
        <f t="shared" si="80"/>
        <v>545</v>
      </c>
      <c r="L438" s="174">
        <f>VLOOKUP(D438,原始分!$D:$N,6,0)</f>
        <v>40</v>
      </c>
      <c r="M438" s="174">
        <f t="shared" si="81"/>
        <v>506</v>
      </c>
      <c r="N438" s="174">
        <f>VLOOKUP(D438,原始分!$D:$N,7,0)</f>
        <v>0</v>
      </c>
      <c r="O438" s="174">
        <f t="shared" si="82"/>
        <v>1</v>
      </c>
      <c r="P438" s="174">
        <f>VLOOKUP(D438,原始分!$D:$N,8,0)</f>
        <v>0</v>
      </c>
      <c r="Q438" s="174">
        <f t="shared" si="83"/>
        <v>539</v>
      </c>
      <c r="R438" s="174">
        <f>VLOOKUP(D438,原始分!$D:$N,9,0)</f>
        <v>49.5</v>
      </c>
      <c r="S438" s="174">
        <f t="shared" si="84"/>
        <v>99</v>
      </c>
      <c r="T438" s="174">
        <f>VLOOKUP(D438,原始分!$D:$N,10,0)</f>
        <v>0</v>
      </c>
      <c r="U438" s="174">
        <f t="shared" si="85"/>
        <v>112</v>
      </c>
      <c r="V438" s="174">
        <f>VLOOKUP(D438,原始分!$D:$N,11,0)</f>
        <v>50.5</v>
      </c>
      <c r="W438" s="174">
        <f t="shared" si="86"/>
        <v>239</v>
      </c>
      <c r="X438" s="11">
        <f t="shared" si="87"/>
        <v>277.75</v>
      </c>
      <c r="Y438" s="9">
        <f t="shared" si="88"/>
        <v>477</v>
      </c>
      <c r="Z438" s="11">
        <f t="shared" si="89"/>
        <v>417.75</v>
      </c>
      <c r="AA438" s="9">
        <f t="shared" si="90"/>
        <v>435</v>
      </c>
    </row>
    <row r="439" ht="14.25" spans="1:27">
      <c r="A439" s="13">
        <v>16</v>
      </c>
      <c r="B439" s="15">
        <v>1</v>
      </c>
      <c r="C439" s="16">
        <v>18</v>
      </c>
      <c r="D439" s="17" t="s">
        <v>46</v>
      </c>
      <c r="E439" s="17" t="s">
        <v>47</v>
      </c>
      <c r="F439" s="174">
        <f>VLOOKUP(D439,原始分!$D:$N,3,0)</f>
        <v>97.5</v>
      </c>
      <c r="G439" s="174">
        <f t="shared" si="78"/>
        <v>372</v>
      </c>
      <c r="H439" s="174">
        <f>VLOOKUP(D439,原始分!$D:$N,4,0)</f>
        <v>87</v>
      </c>
      <c r="I439" s="174">
        <f t="shared" si="79"/>
        <v>540</v>
      </c>
      <c r="J439" s="174">
        <f>VLOOKUP(D439,原始分!$D:$N,5,0)</f>
        <v>86</v>
      </c>
      <c r="K439" s="174">
        <f t="shared" si="80"/>
        <v>474</v>
      </c>
      <c r="L439" s="174">
        <f>VLOOKUP(D439,原始分!$D:$N,6,0)</f>
        <v>52</v>
      </c>
      <c r="M439" s="174">
        <f t="shared" si="81"/>
        <v>310</v>
      </c>
      <c r="N439" s="174">
        <f>VLOOKUP(D439,原始分!$D:$N,7,0)</f>
        <v>0</v>
      </c>
      <c r="O439" s="174">
        <f t="shared" si="82"/>
        <v>1</v>
      </c>
      <c r="P439" s="174">
        <f>VLOOKUP(D439,原始分!$D:$N,8,0)</f>
        <v>40.5</v>
      </c>
      <c r="Q439" s="174">
        <f t="shared" si="83"/>
        <v>301</v>
      </c>
      <c r="R439" s="174">
        <f>VLOOKUP(D439,原始分!$D:$N,9,0)</f>
        <v>0</v>
      </c>
      <c r="S439" s="174">
        <f t="shared" si="84"/>
        <v>218</v>
      </c>
      <c r="T439" s="174">
        <f>VLOOKUP(D439,原始分!$D:$N,10,0)</f>
        <v>54.5</v>
      </c>
      <c r="U439" s="174">
        <f t="shared" si="85"/>
        <v>58</v>
      </c>
      <c r="V439" s="174">
        <f>VLOOKUP(D439,原始分!$D:$N,11,0)</f>
        <v>0</v>
      </c>
      <c r="W439" s="174">
        <f t="shared" si="86"/>
        <v>461</v>
      </c>
      <c r="X439" s="11">
        <f t="shared" si="87"/>
        <v>270.5</v>
      </c>
      <c r="Y439" s="9">
        <f t="shared" si="88"/>
        <v>526</v>
      </c>
      <c r="Z439" s="11">
        <f t="shared" si="89"/>
        <v>417.5</v>
      </c>
      <c r="AA439" s="9">
        <f t="shared" si="90"/>
        <v>437</v>
      </c>
    </row>
    <row r="440" ht="14.25" spans="1:27">
      <c r="A440" s="13">
        <v>37</v>
      </c>
      <c r="B440" s="15">
        <v>1</v>
      </c>
      <c r="C440" s="16">
        <v>39</v>
      </c>
      <c r="D440" s="17" t="s">
        <v>88</v>
      </c>
      <c r="E440" s="17" t="s">
        <v>89</v>
      </c>
      <c r="F440" s="174">
        <f>VLOOKUP(D440,原始分!$D:$N,3,0)</f>
        <v>103.5</v>
      </c>
      <c r="G440" s="174">
        <f t="shared" si="78"/>
        <v>146</v>
      </c>
      <c r="H440" s="174">
        <f>VLOOKUP(D440,原始分!$D:$N,4,0)</f>
        <v>99</v>
      </c>
      <c r="I440" s="174">
        <f t="shared" si="79"/>
        <v>359</v>
      </c>
      <c r="J440" s="174">
        <f>VLOOKUP(D440,原始分!$D:$N,5,0)</f>
        <v>53</v>
      </c>
      <c r="K440" s="174">
        <f t="shared" si="80"/>
        <v>655</v>
      </c>
      <c r="L440" s="174">
        <f>VLOOKUP(D440,原始分!$D:$N,6,0)</f>
        <v>60.5</v>
      </c>
      <c r="M440" s="174">
        <f t="shared" si="81"/>
        <v>180</v>
      </c>
      <c r="N440" s="174">
        <f>VLOOKUP(D440,原始分!$D:$N,7,0)</f>
        <v>0</v>
      </c>
      <c r="O440" s="174">
        <f t="shared" si="82"/>
        <v>1</v>
      </c>
      <c r="P440" s="174">
        <f>VLOOKUP(D440,原始分!$D:$N,8,0)</f>
        <v>44</v>
      </c>
      <c r="Q440" s="174">
        <f t="shared" si="83"/>
        <v>226</v>
      </c>
      <c r="R440" s="174">
        <f>VLOOKUP(D440,原始分!$D:$N,9,0)</f>
        <v>0</v>
      </c>
      <c r="S440" s="174">
        <f t="shared" si="84"/>
        <v>218</v>
      </c>
      <c r="T440" s="174">
        <f>VLOOKUP(D440,原始分!$D:$N,10,0)</f>
        <v>57.5</v>
      </c>
      <c r="U440" s="174">
        <f t="shared" si="85"/>
        <v>37</v>
      </c>
      <c r="V440" s="174">
        <f>VLOOKUP(D440,原始分!$D:$N,11,0)</f>
        <v>0</v>
      </c>
      <c r="W440" s="174">
        <f t="shared" si="86"/>
        <v>461</v>
      </c>
      <c r="X440" s="11">
        <f t="shared" si="87"/>
        <v>255.5</v>
      </c>
      <c r="Y440" s="9">
        <f t="shared" si="88"/>
        <v>595</v>
      </c>
      <c r="Z440" s="11">
        <f t="shared" si="89"/>
        <v>417.5</v>
      </c>
      <c r="AA440" s="9">
        <f t="shared" si="90"/>
        <v>437</v>
      </c>
    </row>
    <row r="441" ht="14.25" spans="1:27">
      <c r="A441" s="13">
        <v>83</v>
      </c>
      <c r="B441" s="15">
        <v>2</v>
      </c>
      <c r="C441" s="16">
        <v>20</v>
      </c>
      <c r="D441" s="17" t="s">
        <v>179</v>
      </c>
      <c r="E441" s="17" t="s">
        <v>180</v>
      </c>
      <c r="F441" s="174">
        <f>VLOOKUP(D441,原始分!$D:$N,3,0)</f>
        <v>103.5</v>
      </c>
      <c r="G441" s="174">
        <f t="shared" si="78"/>
        <v>146</v>
      </c>
      <c r="H441" s="174">
        <f>VLOOKUP(D441,原始分!$D:$N,4,0)</f>
        <v>87.5</v>
      </c>
      <c r="I441" s="174">
        <f t="shared" si="79"/>
        <v>530</v>
      </c>
      <c r="J441" s="174">
        <f>VLOOKUP(D441,原始分!$D:$N,5,0)</f>
        <v>87.25</v>
      </c>
      <c r="K441" s="174">
        <f t="shared" si="80"/>
        <v>454</v>
      </c>
      <c r="L441" s="174">
        <f>VLOOKUP(D441,原始分!$D:$N,6,0)</f>
        <v>41</v>
      </c>
      <c r="M441" s="174">
        <f t="shared" si="81"/>
        <v>490</v>
      </c>
      <c r="N441" s="174">
        <f>VLOOKUP(D441,原始分!$D:$N,7,0)</f>
        <v>0</v>
      </c>
      <c r="O441" s="174">
        <f t="shared" si="82"/>
        <v>1</v>
      </c>
      <c r="P441" s="174">
        <f>VLOOKUP(D441,原始分!$D:$N,8,0)</f>
        <v>0</v>
      </c>
      <c r="Q441" s="174">
        <f t="shared" si="83"/>
        <v>539</v>
      </c>
      <c r="R441" s="174">
        <f>VLOOKUP(D441,原始分!$D:$N,9,0)</f>
        <v>0</v>
      </c>
      <c r="S441" s="174">
        <f t="shared" si="84"/>
        <v>218</v>
      </c>
      <c r="T441" s="174">
        <f>VLOOKUP(D441,原始分!$D:$N,10,0)</f>
        <v>45</v>
      </c>
      <c r="U441" s="174">
        <f t="shared" si="85"/>
        <v>105</v>
      </c>
      <c r="V441" s="174">
        <f>VLOOKUP(D441,原始分!$D:$N,11,0)</f>
        <v>53</v>
      </c>
      <c r="W441" s="174">
        <f t="shared" si="86"/>
        <v>185</v>
      </c>
      <c r="X441" s="11">
        <f t="shared" si="87"/>
        <v>278.25</v>
      </c>
      <c r="Y441" s="9">
        <f t="shared" si="88"/>
        <v>465</v>
      </c>
      <c r="Z441" s="11">
        <f t="shared" si="89"/>
        <v>417.25</v>
      </c>
      <c r="AA441" s="9">
        <f t="shared" si="90"/>
        <v>439</v>
      </c>
    </row>
    <row r="442" ht="14.25" spans="1:27">
      <c r="A442" s="13">
        <v>212</v>
      </c>
      <c r="B442" s="15">
        <v>5</v>
      </c>
      <c r="C442" s="16">
        <v>9</v>
      </c>
      <c r="D442" s="17" t="s">
        <v>437</v>
      </c>
      <c r="E442" s="17" t="s">
        <v>438</v>
      </c>
      <c r="F442" s="174">
        <f>VLOOKUP(D442,原始分!$D:$N,3,0)</f>
        <v>91.5</v>
      </c>
      <c r="G442" s="174">
        <f t="shared" si="78"/>
        <v>538</v>
      </c>
      <c r="H442" s="174">
        <f>VLOOKUP(D442,原始分!$D:$N,4,0)</f>
        <v>98</v>
      </c>
      <c r="I442" s="174">
        <f t="shared" si="79"/>
        <v>375</v>
      </c>
      <c r="J442" s="174">
        <f>VLOOKUP(D442,原始分!$D:$N,5,0)</f>
        <v>100.5</v>
      </c>
      <c r="K442" s="174">
        <f t="shared" si="80"/>
        <v>235</v>
      </c>
      <c r="L442" s="174">
        <f>VLOOKUP(D442,原始分!$D:$N,6,0)</f>
        <v>35.5</v>
      </c>
      <c r="M442" s="174">
        <f t="shared" si="81"/>
        <v>566</v>
      </c>
      <c r="N442" s="174">
        <f>VLOOKUP(D442,原始分!$D:$N,7,0)</f>
        <v>0</v>
      </c>
      <c r="O442" s="174">
        <f t="shared" si="82"/>
        <v>1</v>
      </c>
      <c r="P442" s="174">
        <f>VLOOKUP(D442,原始分!$D:$N,8,0)</f>
        <v>50</v>
      </c>
      <c r="Q442" s="174">
        <f t="shared" si="83"/>
        <v>108</v>
      </c>
      <c r="R442" s="174">
        <f>VLOOKUP(D442,原始分!$D:$N,9,0)</f>
        <v>41.5</v>
      </c>
      <c r="S442" s="174">
        <f t="shared" si="84"/>
        <v>185</v>
      </c>
      <c r="T442" s="174">
        <f>VLOOKUP(D442,原始分!$D:$N,10,0)</f>
        <v>0</v>
      </c>
      <c r="U442" s="174">
        <f t="shared" si="85"/>
        <v>112</v>
      </c>
      <c r="V442" s="174">
        <f>VLOOKUP(D442,原始分!$D:$N,11,0)</f>
        <v>0</v>
      </c>
      <c r="W442" s="174">
        <f t="shared" si="86"/>
        <v>461</v>
      </c>
      <c r="X442" s="11">
        <f t="shared" si="87"/>
        <v>290</v>
      </c>
      <c r="Y442" s="9">
        <f t="shared" si="88"/>
        <v>369</v>
      </c>
      <c r="Z442" s="11">
        <f t="shared" si="89"/>
        <v>417</v>
      </c>
      <c r="AA442" s="9">
        <f t="shared" si="90"/>
        <v>440</v>
      </c>
    </row>
    <row r="443" ht="14.25" spans="1:27">
      <c r="A443" s="13">
        <v>63</v>
      </c>
      <c r="B443" s="15">
        <v>1</v>
      </c>
      <c r="C443" s="16">
        <v>65</v>
      </c>
      <c r="D443" s="17" t="s">
        <v>140</v>
      </c>
      <c r="E443" s="17" t="s">
        <v>141</v>
      </c>
      <c r="F443" s="174">
        <f>VLOOKUP(D443,原始分!$D:$N,3,0)</f>
        <v>101</v>
      </c>
      <c r="G443" s="174">
        <f t="shared" si="78"/>
        <v>224</v>
      </c>
      <c r="H443" s="174">
        <f>VLOOKUP(D443,原始分!$D:$N,4,0)</f>
        <v>91</v>
      </c>
      <c r="I443" s="174">
        <f t="shared" si="79"/>
        <v>479</v>
      </c>
      <c r="J443" s="174">
        <f>VLOOKUP(D443,原始分!$D:$N,5,0)</f>
        <v>90.75</v>
      </c>
      <c r="K443" s="174">
        <f t="shared" si="80"/>
        <v>415</v>
      </c>
      <c r="L443" s="174">
        <f>VLOOKUP(D443,原始分!$D:$N,6,0)</f>
        <v>34.5</v>
      </c>
      <c r="M443" s="174">
        <f t="shared" si="81"/>
        <v>582</v>
      </c>
      <c r="N443" s="174">
        <f>VLOOKUP(D443,原始分!$D:$N,7,0)</f>
        <v>0</v>
      </c>
      <c r="O443" s="174">
        <f t="shared" si="82"/>
        <v>1</v>
      </c>
      <c r="P443" s="174">
        <f>VLOOKUP(D443,原始分!$D:$N,8,0)</f>
        <v>42.5</v>
      </c>
      <c r="Q443" s="174">
        <f t="shared" si="83"/>
        <v>256</v>
      </c>
      <c r="R443" s="174">
        <f>VLOOKUP(D443,原始分!$D:$N,9,0)</f>
        <v>0</v>
      </c>
      <c r="S443" s="174">
        <f t="shared" si="84"/>
        <v>218</v>
      </c>
      <c r="T443" s="174">
        <f>VLOOKUP(D443,原始分!$D:$N,10,0)</f>
        <v>56.75</v>
      </c>
      <c r="U443" s="174">
        <f t="shared" si="85"/>
        <v>45</v>
      </c>
      <c r="V443" s="174">
        <f>VLOOKUP(D443,原始分!$D:$N,11,0)</f>
        <v>0</v>
      </c>
      <c r="W443" s="174">
        <f t="shared" si="86"/>
        <v>461</v>
      </c>
      <c r="X443" s="11">
        <f t="shared" si="87"/>
        <v>282.75</v>
      </c>
      <c r="Y443" s="9">
        <f t="shared" si="88"/>
        <v>424</v>
      </c>
      <c r="Z443" s="11">
        <f t="shared" si="89"/>
        <v>416.5</v>
      </c>
      <c r="AA443" s="9">
        <f t="shared" si="90"/>
        <v>441</v>
      </c>
    </row>
    <row r="444" ht="14.25" spans="1:27">
      <c r="A444" s="13">
        <v>187</v>
      </c>
      <c r="B444" s="15">
        <v>4</v>
      </c>
      <c r="C444" s="16">
        <v>29</v>
      </c>
      <c r="D444" s="17" t="s">
        <v>387</v>
      </c>
      <c r="E444" s="17" t="s">
        <v>388</v>
      </c>
      <c r="F444" s="174">
        <f>VLOOKUP(D444,原始分!$D:$N,3,0)</f>
        <v>99</v>
      </c>
      <c r="G444" s="174">
        <f t="shared" si="78"/>
        <v>304</v>
      </c>
      <c r="H444" s="174">
        <f>VLOOKUP(D444,原始分!$D:$N,4,0)</f>
        <v>106</v>
      </c>
      <c r="I444" s="174">
        <f t="shared" si="79"/>
        <v>255</v>
      </c>
      <c r="J444" s="174">
        <f>VLOOKUP(D444,原始分!$D:$N,5,0)</f>
        <v>69.5</v>
      </c>
      <c r="K444" s="174">
        <f t="shared" si="80"/>
        <v>626</v>
      </c>
      <c r="L444" s="174">
        <f>VLOOKUP(D444,原始分!$D:$N,6,0)</f>
        <v>51</v>
      </c>
      <c r="M444" s="174">
        <f t="shared" si="81"/>
        <v>320</v>
      </c>
      <c r="N444" s="174">
        <f>VLOOKUP(D444,原始分!$D:$N,7,0)</f>
        <v>0</v>
      </c>
      <c r="O444" s="174">
        <f t="shared" si="82"/>
        <v>1</v>
      </c>
      <c r="P444" s="174">
        <f>VLOOKUP(D444,原始分!$D:$N,8,0)</f>
        <v>35.5</v>
      </c>
      <c r="Q444" s="174">
        <f t="shared" si="83"/>
        <v>395</v>
      </c>
      <c r="R444" s="174">
        <f>VLOOKUP(D444,原始分!$D:$N,9,0)</f>
        <v>55.5</v>
      </c>
      <c r="S444" s="174">
        <f t="shared" si="84"/>
        <v>38</v>
      </c>
      <c r="T444" s="174">
        <f>VLOOKUP(D444,原始分!$D:$N,10,0)</f>
        <v>0</v>
      </c>
      <c r="U444" s="174">
        <f t="shared" si="85"/>
        <v>112</v>
      </c>
      <c r="V444" s="174">
        <f>VLOOKUP(D444,原始分!$D:$N,11,0)</f>
        <v>0</v>
      </c>
      <c r="W444" s="174">
        <f t="shared" si="86"/>
        <v>461</v>
      </c>
      <c r="X444" s="11">
        <f t="shared" si="87"/>
        <v>274.5</v>
      </c>
      <c r="Y444" s="9">
        <f t="shared" si="88"/>
        <v>502</v>
      </c>
      <c r="Z444" s="11">
        <f t="shared" si="89"/>
        <v>416.5</v>
      </c>
      <c r="AA444" s="9">
        <f t="shared" si="90"/>
        <v>441</v>
      </c>
    </row>
    <row r="445" ht="14.25" spans="1:27">
      <c r="A445" s="13">
        <v>108</v>
      </c>
      <c r="B445" s="15">
        <v>2</v>
      </c>
      <c r="C445" s="16">
        <v>47</v>
      </c>
      <c r="D445" s="17" t="s">
        <v>229</v>
      </c>
      <c r="E445" s="17" t="s">
        <v>230</v>
      </c>
      <c r="F445" s="174">
        <f>VLOOKUP(D445,原始分!$D:$N,3,0)</f>
        <v>98.5</v>
      </c>
      <c r="G445" s="174">
        <f t="shared" si="78"/>
        <v>324</v>
      </c>
      <c r="H445" s="174">
        <f>VLOOKUP(D445,原始分!$D:$N,4,0)</f>
        <v>63</v>
      </c>
      <c r="I445" s="174">
        <f t="shared" si="79"/>
        <v>645</v>
      </c>
      <c r="J445" s="174">
        <f>VLOOKUP(D445,原始分!$D:$N,5,0)</f>
        <v>116.25</v>
      </c>
      <c r="K445" s="174">
        <f t="shared" si="80"/>
        <v>44</v>
      </c>
      <c r="L445" s="174">
        <f>VLOOKUP(D445,原始分!$D:$N,6,0)</f>
        <v>35</v>
      </c>
      <c r="M445" s="174">
        <f t="shared" si="81"/>
        <v>572</v>
      </c>
      <c r="N445" s="174">
        <f>VLOOKUP(D445,原始分!$D:$N,7,0)</f>
        <v>0</v>
      </c>
      <c r="O445" s="174">
        <f t="shared" si="82"/>
        <v>1</v>
      </c>
      <c r="P445" s="174">
        <f>VLOOKUP(D445,原始分!$D:$N,8,0)</f>
        <v>0</v>
      </c>
      <c r="Q445" s="174">
        <f t="shared" si="83"/>
        <v>539</v>
      </c>
      <c r="R445" s="174">
        <f>VLOOKUP(D445,原始分!$D:$N,9,0)</f>
        <v>0</v>
      </c>
      <c r="S445" s="174">
        <f t="shared" si="84"/>
        <v>218</v>
      </c>
      <c r="T445" s="174">
        <f>VLOOKUP(D445,原始分!$D:$N,10,0)</f>
        <v>55.5</v>
      </c>
      <c r="U445" s="174">
        <f t="shared" si="85"/>
        <v>52</v>
      </c>
      <c r="V445" s="174">
        <f>VLOOKUP(D445,原始分!$D:$N,11,0)</f>
        <v>47.5</v>
      </c>
      <c r="W445" s="174">
        <f t="shared" si="86"/>
        <v>287</v>
      </c>
      <c r="X445" s="11">
        <f t="shared" si="87"/>
        <v>277.75</v>
      </c>
      <c r="Y445" s="9">
        <f t="shared" si="88"/>
        <v>477</v>
      </c>
      <c r="Z445" s="11">
        <f t="shared" si="89"/>
        <v>415.75</v>
      </c>
      <c r="AA445" s="9">
        <f t="shared" si="90"/>
        <v>443</v>
      </c>
    </row>
    <row r="446" ht="14.25" spans="1:27">
      <c r="A446" s="13">
        <v>603</v>
      </c>
      <c r="B446" s="15">
        <v>12</v>
      </c>
      <c r="C446" s="16">
        <v>53</v>
      </c>
      <c r="D446" s="17" t="s">
        <v>1214</v>
      </c>
      <c r="E446" s="17" t="s">
        <v>1215</v>
      </c>
      <c r="F446" s="174">
        <f>VLOOKUP(D446,原始分!$D:$N,3,0)</f>
        <v>94</v>
      </c>
      <c r="G446" s="174">
        <f t="shared" si="78"/>
        <v>478</v>
      </c>
      <c r="H446" s="174">
        <f>VLOOKUP(D446,原始分!$D:$N,4,0)</f>
        <v>104.5</v>
      </c>
      <c r="I446" s="174">
        <f t="shared" si="79"/>
        <v>277</v>
      </c>
      <c r="J446" s="174">
        <f>VLOOKUP(D446,原始分!$D:$N,5,0)</f>
        <v>82.25</v>
      </c>
      <c r="K446" s="174">
        <f t="shared" si="80"/>
        <v>527</v>
      </c>
      <c r="L446" s="174">
        <f>VLOOKUP(D446,原始分!$D:$N,6,0)</f>
        <v>59.5</v>
      </c>
      <c r="M446" s="174">
        <f t="shared" si="81"/>
        <v>195</v>
      </c>
      <c r="N446" s="174">
        <f>VLOOKUP(D446,原始分!$D:$N,7,0)</f>
        <v>0</v>
      </c>
      <c r="O446" s="174">
        <f t="shared" si="82"/>
        <v>1</v>
      </c>
      <c r="P446" s="174">
        <f>VLOOKUP(D446,原始分!$D:$N,8,0)</f>
        <v>40</v>
      </c>
      <c r="Q446" s="174">
        <f t="shared" si="83"/>
        <v>314</v>
      </c>
      <c r="R446" s="174">
        <f>VLOOKUP(D446,原始分!$D:$N,9,0)</f>
        <v>0</v>
      </c>
      <c r="S446" s="174">
        <f t="shared" si="84"/>
        <v>218</v>
      </c>
      <c r="T446" s="174">
        <f>VLOOKUP(D446,原始分!$D:$N,10,0)</f>
        <v>0</v>
      </c>
      <c r="U446" s="174">
        <f t="shared" si="85"/>
        <v>112</v>
      </c>
      <c r="V446" s="174">
        <f>VLOOKUP(D446,原始分!$D:$N,11,0)</f>
        <v>35.5</v>
      </c>
      <c r="W446" s="174">
        <f t="shared" si="86"/>
        <v>425</v>
      </c>
      <c r="X446" s="11">
        <f t="shared" si="87"/>
        <v>280.75</v>
      </c>
      <c r="Y446" s="9">
        <f t="shared" si="88"/>
        <v>441</v>
      </c>
      <c r="Z446" s="11">
        <f t="shared" si="89"/>
        <v>415.75</v>
      </c>
      <c r="AA446" s="9">
        <f t="shared" si="90"/>
        <v>443</v>
      </c>
    </row>
    <row r="447" ht="14.25" spans="1:27">
      <c r="A447" s="13">
        <v>30</v>
      </c>
      <c r="B447" s="15">
        <v>1</v>
      </c>
      <c r="C447" s="16">
        <v>32</v>
      </c>
      <c r="D447" s="17" t="s">
        <v>74</v>
      </c>
      <c r="E447" s="17" t="s">
        <v>75</v>
      </c>
      <c r="F447" s="174">
        <f>VLOOKUP(D447,原始分!$D:$N,3,0)</f>
        <v>94</v>
      </c>
      <c r="G447" s="174">
        <f t="shared" si="78"/>
        <v>478</v>
      </c>
      <c r="H447" s="174">
        <f>VLOOKUP(D447,原始分!$D:$N,4,0)</f>
        <v>95</v>
      </c>
      <c r="I447" s="174">
        <f t="shared" si="79"/>
        <v>418</v>
      </c>
      <c r="J447" s="174">
        <f>VLOOKUP(D447,原始分!$D:$N,5,0)</f>
        <v>81</v>
      </c>
      <c r="K447" s="174">
        <f t="shared" si="80"/>
        <v>541</v>
      </c>
      <c r="L447" s="174">
        <f>VLOOKUP(D447,原始分!$D:$N,6,0)</f>
        <v>64.5</v>
      </c>
      <c r="M447" s="174">
        <f t="shared" si="81"/>
        <v>120</v>
      </c>
      <c r="N447" s="174">
        <f>VLOOKUP(D447,原始分!$D:$N,7,0)</f>
        <v>0</v>
      </c>
      <c r="O447" s="174">
        <f t="shared" si="82"/>
        <v>1</v>
      </c>
      <c r="P447" s="174">
        <f>VLOOKUP(D447,原始分!$D:$N,8,0)</f>
        <v>32</v>
      </c>
      <c r="Q447" s="174">
        <f t="shared" si="83"/>
        <v>453</v>
      </c>
      <c r="R447" s="174">
        <f>VLOOKUP(D447,原始分!$D:$N,9,0)</f>
        <v>0</v>
      </c>
      <c r="S447" s="174">
        <f t="shared" si="84"/>
        <v>218</v>
      </c>
      <c r="T447" s="174">
        <f>VLOOKUP(D447,原始分!$D:$N,10,0)</f>
        <v>49</v>
      </c>
      <c r="U447" s="174">
        <f t="shared" si="85"/>
        <v>86</v>
      </c>
      <c r="V447" s="174">
        <f>VLOOKUP(D447,原始分!$D:$N,11,0)</f>
        <v>0</v>
      </c>
      <c r="W447" s="174">
        <f t="shared" si="86"/>
        <v>461</v>
      </c>
      <c r="X447" s="11">
        <f t="shared" si="87"/>
        <v>270</v>
      </c>
      <c r="Y447" s="9">
        <f t="shared" si="88"/>
        <v>531</v>
      </c>
      <c r="Z447" s="11">
        <f t="shared" si="89"/>
        <v>415.5</v>
      </c>
      <c r="AA447" s="9">
        <f t="shared" si="90"/>
        <v>445</v>
      </c>
    </row>
    <row r="448" ht="14.25" spans="1:27">
      <c r="A448" s="13">
        <v>58</v>
      </c>
      <c r="B448" s="15">
        <v>1</v>
      </c>
      <c r="C448" s="16">
        <v>60</v>
      </c>
      <c r="D448" s="17" t="s">
        <v>130</v>
      </c>
      <c r="E448" s="17" t="s">
        <v>131</v>
      </c>
      <c r="F448" s="174">
        <f>VLOOKUP(D448,原始分!$D:$N,3,0)</f>
        <v>101</v>
      </c>
      <c r="G448" s="174">
        <f t="shared" si="78"/>
        <v>224</v>
      </c>
      <c r="H448" s="174">
        <f>VLOOKUP(D448,原始分!$D:$N,4,0)</f>
        <v>106</v>
      </c>
      <c r="I448" s="174">
        <f t="shared" si="79"/>
        <v>255</v>
      </c>
      <c r="J448" s="174">
        <f>VLOOKUP(D448,原始分!$D:$N,5,0)</f>
        <v>77.5</v>
      </c>
      <c r="K448" s="174">
        <f t="shared" si="80"/>
        <v>571</v>
      </c>
      <c r="L448" s="174">
        <f>VLOOKUP(D448,原始分!$D:$N,6,0)</f>
        <v>35</v>
      </c>
      <c r="M448" s="174">
        <f t="shared" si="81"/>
        <v>572</v>
      </c>
      <c r="N448" s="174">
        <f>VLOOKUP(D448,原始分!$D:$N,7,0)</f>
        <v>0</v>
      </c>
      <c r="O448" s="174">
        <f t="shared" si="82"/>
        <v>1</v>
      </c>
      <c r="P448" s="174">
        <f>VLOOKUP(D448,原始分!$D:$N,8,0)</f>
        <v>47.5</v>
      </c>
      <c r="Q448" s="174">
        <f t="shared" si="83"/>
        <v>156</v>
      </c>
      <c r="R448" s="174">
        <f>VLOOKUP(D448,原始分!$D:$N,9,0)</f>
        <v>0</v>
      </c>
      <c r="S448" s="174">
        <f t="shared" si="84"/>
        <v>218</v>
      </c>
      <c r="T448" s="174">
        <f>VLOOKUP(D448,原始分!$D:$N,10,0)</f>
        <v>48.5</v>
      </c>
      <c r="U448" s="174">
        <f t="shared" si="85"/>
        <v>87</v>
      </c>
      <c r="V448" s="174">
        <f>VLOOKUP(D448,原始分!$D:$N,11,0)</f>
        <v>0</v>
      </c>
      <c r="W448" s="174">
        <f t="shared" si="86"/>
        <v>461</v>
      </c>
      <c r="X448" s="11">
        <f t="shared" si="87"/>
        <v>284.5</v>
      </c>
      <c r="Y448" s="9">
        <f t="shared" si="88"/>
        <v>405</v>
      </c>
      <c r="Z448" s="11">
        <f t="shared" si="89"/>
        <v>415.5</v>
      </c>
      <c r="AA448" s="9">
        <f t="shared" si="90"/>
        <v>445</v>
      </c>
    </row>
    <row r="449" ht="14.25" spans="1:27">
      <c r="A449" s="13">
        <v>378</v>
      </c>
      <c r="B449" s="15">
        <v>8</v>
      </c>
      <c r="C449" s="16">
        <v>52</v>
      </c>
      <c r="D449" s="19" t="s">
        <v>766</v>
      </c>
      <c r="E449" s="17" t="s">
        <v>767</v>
      </c>
      <c r="F449" s="174">
        <f>VLOOKUP(D449,原始分!$D:$N,3,0)</f>
        <v>96</v>
      </c>
      <c r="G449" s="174">
        <f t="shared" si="78"/>
        <v>407</v>
      </c>
      <c r="H449" s="174">
        <f>VLOOKUP(D449,原始分!$D:$N,4,0)</f>
        <v>98</v>
      </c>
      <c r="I449" s="174">
        <f t="shared" si="79"/>
        <v>375</v>
      </c>
      <c r="J449" s="174">
        <f>VLOOKUP(D449,原始分!$D:$N,5,0)</f>
        <v>82.75</v>
      </c>
      <c r="K449" s="174">
        <f t="shared" si="80"/>
        <v>518</v>
      </c>
      <c r="L449" s="174">
        <f>VLOOKUP(D449,原始分!$D:$N,6,0)</f>
        <v>57.5</v>
      </c>
      <c r="M449" s="174">
        <f t="shared" si="81"/>
        <v>228</v>
      </c>
      <c r="N449" s="174">
        <f>VLOOKUP(D449,原始分!$D:$N,7,0)</f>
        <v>0</v>
      </c>
      <c r="O449" s="174">
        <f t="shared" si="82"/>
        <v>1</v>
      </c>
      <c r="P449" s="174">
        <f>VLOOKUP(D449,原始分!$D:$N,8,0)</f>
        <v>37.5</v>
      </c>
      <c r="Q449" s="174">
        <f t="shared" si="83"/>
        <v>367</v>
      </c>
      <c r="R449" s="174">
        <f>VLOOKUP(D449,原始分!$D:$N,9,0)</f>
        <v>0</v>
      </c>
      <c r="S449" s="174">
        <f t="shared" si="84"/>
        <v>218</v>
      </c>
      <c r="T449" s="174">
        <f>VLOOKUP(D449,原始分!$D:$N,10,0)</f>
        <v>0</v>
      </c>
      <c r="U449" s="174">
        <f t="shared" si="85"/>
        <v>112</v>
      </c>
      <c r="V449" s="174">
        <f>VLOOKUP(D449,原始分!$D:$N,11,0)</f>
        <v>43.5</v>
      </c>
      <c r="W449" s="174">
        <f t="shared" si="86"/>
        <v>359</v>
      </c>
      <c r="X449" s="11">
        <f t="shared" si="87"/>
        <v>276.75</v>
      </c>
      <c r="Y449" s="9">
        <f t="shared" si="88"/>
        <v>487</v>
      </c>
      <c r="Z449" s="11">
        <f t="shared" si="89"/>
        <v>415.25</v>
      </c>
      <c r="AA449" s="9">
        <f t="shared" si="90"/>
        <v>447</v>
      </c>
    </row>
    <row r="450" ht="14.25" spans="1:27">
      <c r="A450" s="13">
        <v>155</v>
      </c>
      <c r="B450" s="15">
        <v>3</v>
      </c>
      <c r="C450" s="16">
        <v>44</v>
      </c>
      <c r="D450" s="17" t="s">
        <v>323</v>
      </c>
      <c r="E450" s="17" t="s">
        <v>324</v>
      </c>
      <c r="F450" s="174">
        <f>VLOOKUP(D450,原始分!$D:$N,3,0)</f>
        <v>97</v>
      </c>
      <c r="G450" s="174">
        <f t="shared" si="78"/>
        <v>386</v>
      </c>
      <c r="H450" s="174">
        <f>VLOOKUP(D450,原始分!$D:$N,4,0)</f>
        <v>95</v>
      </c>
      <c r="I450" s="174">
        <f t="shared" si="79"/>
        <v>418</v>
      </c>
      <c r="J450" s="174">
        <f>VLOOKUP(D450,原始分!$D:$N,5,0)</f>
        <v>98.5</v>
      </c>
      <c r="K450" s="174">
        <f t="shared" si="80"/>
        <v>279</v>
      </c>
      <c r="L450" s="174">
        <f>VLOOKUP(D450,原始分!$D:$N,6,0)</f>
        <v>36</v>
      </c>
      <c r="M450" s="174">
        <f t="shared" si="81"/>
        <v>561</v>
      </c>
      <c r="N450" s="174">
        <f>VLOOKUP(D450,原始分!$D:$N,7,0)</f>
        <v>0</v>
      </c>
      <c r="O450" s="174">
        <f t="shared" si="82"/>
        <v>1</v>
      </c>
      <c r="P450" s="174">
        <f>VLOOKUP(D450,原始分!$D:$N,8,0)</f>
        <v>28</v>
      </c>
      <c r="Q450" s="174">
        <f t="shared" si="83"/>
        <v>491</v>
      </c>
      <c r="R450" s="174">
        <f>VLOOKUP(D450,原始分!$D:$N,9,0)</f>
        <v>60.5</v>
      </c>
      <c r="S450" s="174">
        <f t="shared" si="84"/>
        <v>14</v>
      </c>
      <c r="T450" s="174">
        <f>VLOOKUP(D450,原始分!$D:$N,10,0)</f>
        <v>0</v>
      </c>
      <c r="U450" s="174">
        <f t="shared" si="85"/>
        <v>112</v>
      </c>
      <c r="V450" s="174">
        <f>VLOOKUP(D450,原始分!$D:$N,11,0)</f>
        <v>0</v>
      </c>
      <c r="W450" s="174">
        <f t="shared" si="86"/>
        <v>461</v>
      </c>
      <c r="X450" s="11">
        <f t="shared" si="87"/>
        <v>290.5</v>
      </c>
      <c r="Y450" s="9">
        <f t="shared" si="88"/>
        <v>364</v>
      </c>
      <c r="Z450" s="11">
        <f t="shared" si="89"/>
        <v>415</v>
      </c>
      <c r="AA450" s="9">
        <f t="shared" si="90"/>
        <v>448</v>
      </c>
    </row>
    <row r="451" ht="14.25" spans="1:27">
      <c r="A451" s="13">
        <v>67</v>
      </c>
      <c r="B451" s="15">
        <v>2</v>
      </c>
      <c r="C451" s="16">
        <v>4</v>
      </c>
      <c r="D451" s="17" t="s">
        <v>148</v>
      </c>
      <c r="E451" s="17" t="s">
        <v>149</v>
      </c>
      <c r="F451" s="174">
        <f>VLOOKUP(D451,原始分!$D:$N,3,0)</f>
        <v>103.5</v>
      </c>
      <c r="G451" s="174">
        <f t="shared" ref="G451:G514" si="91">RANK(F451,$F$3:$F$723)</f>
        <v>146</v>
      </c>
      <c r="H451" s="174">
        <f>VLOOKUP(D451,原始分!$D:$N,4,0)</f>
        <v>100</v>
      </c>
      <c r="I451" s="174">
        <f t="shared" ref="I451:I514" si="92">RANK(H451,$H$3:$H$723)</f>
        <v>348</v>
      </c>
      <c r="J451" s="174">
        <f>VLOOKUP(D451,原始分!$D:$N,5,0)</f>
        <v>89.5</v>
      </c>
      <c r="K451" s="174">
        <f t="shared" ref="K451:K514" si="93">RANK(J451,$J$3:$J$723)</f>
        <v>426</v>
      </c>
      <c r="L451" s="174">
        <f>VLOOKUP(D451,原始分!$D:$N,6,0)</f>
        <v>28.5</v>
      </c>
      <c r="M451" s="174">
        <f t="shared" ref="M451:M514" si="94">RANK(L451,$L$3:$L$723)</f>
        <v>621</v>
      </c>
      <c r="N451" s="174">
        <f>VLOOKUP(D451,原始分!$D:$N,7,0)</f>
        <v>0</v>
      </c>
      <c r="O451" s="174">
        <f t="shared" ref="O451:O514" si="95">RANK(N451,$N$3:$N$723)</f>
        <v>1</v>
      </c>
      <c r="P451" s="174">
        <f>VLOOKUP(D451,原始分!$D:$N,8,0)</f>
        <v>0</v>
      </c>
      <c r="Q451" s="174">
        <f t="shared" ref="Q451:Q514" si="96">RANK(P451,$P$3:$P$723)</f>
        <v>539</v>
      </c>
      <c r="R451" s="174">
        <f>VLOOKUP(D451,原始分!$D:$N,9,0)</f>
        <v>0</v>
      </c>
      <c r="S451" s="174">
        <f t="shared" ref="S451:S514" si="97">RANK(R451,$R$3:$R$723)</f>
        <v>218</v>
      </c>
      <c r="T451" s="174">
        <f>VLOOKUP(D451,原始分!$D:$N,10,0)</f>
        <v>50.5</v>
      </c>
      <c r="U451" s="174">
        <f t="shared" ref="U451:U514" si="98">RANK(T451,$T$3:$T$723)</f>
        <v>76</v>
      </c>
      <c r="V451" s="174">
        <f>VLOOKUP(D451,原始分!$D:$N,11,0)</f>
        <v>42.5</v>
      </c>
      <c r="W451" s="174">
        <f t="shared" ref="W451:W514" si="99">RANK(V451,$V$3:$V$723)</f>
        <v>379</v>
      </c>
      <c r="X451" s="11">
        <f t="shared" ref="X451:X514" si="100">SUM(F451,H451,J451)</f>
        <v>293</v>
      </c>
      <c r="Y451" s="9">
        <f t="shared" ref="Y451:Y514" si="101">RANK(X451,$X$3:$X$723)</f>
        <v>335</v>
      </c>
      <c r="Z451" s="11">
        <f t="shared" ref="Z451:Z514" si="102">SUM(F451,H451,J451,L451,N451,P451,R451,T451,V451)</f>
        <v>414.5</v>
      </c>
      <c r="AA451" s="9">
        <f t="shared" ref="AA451:AA514" si="103">RANK(Z451,$Z$3:$Z$723)</f>
        <v>449</v>
      </c>
    </row>
    <row r="452" ht="14.25" spans="1:27">
      <c r="A452" s="13">
        <v>320</v>
      </c>
      <c r="B452" s="15">
        <v>7</v>
      </c>
      <c r="C452" s="16">
        <v>33</v>
      </c>
      <c r="D452" s="17" t="s">
        <v>651</v>
      </c>
      <c r="E452" s="17" t="s">
        <v>652</v>
      </c>
      <c r="F452" s="174">
        <f>VLOOKUP(D452,原始分!$D:$N,3,0)</f>
        <v>92.5</v>
      </c>
      <c r="G452" s="174">
        <f t="shared" si="91"/>
        <v>524</v>
      </c>
      <c r="H452" s="174">
        <f>VLOOKUP(D452,原始分!$D:$N,4,0)</f>
        <v>104</v>
      </c>
      <c r="I452" s="174">
        <f t="shared" si="92"/>
        <v>290</v>
      </c>
      <c r="J452" s="174">
        <f>VLOOKUP(D452,原始分!$D:$N,5,0)</f>
        <v>101.5</v>
      </c>
      <c r="K452" s="174">
        <f t="shared" si="93"/>
        <v>217</v>
      </c>
      <c r="L452" s="174">
        <f>VLOOKUP(D452,原始分!$D:$N,6,0)</f>
        <v>38.5</v>
      </c>
      <c r="M452" s="174">
        <f t="shared" si="94"/>
        <v>528</v>
      </c>
      <c r="N452" s="174">
        <f>VLOOKUP(D452,原始分!$D:$N,7,0)</f>
        <v>0</v>
      </c>
      <c r="O452" s="174">
        <f t="shared" si="95"/>
        <v>1</v>
      </c>
      <c r="P452" s="174">
        <f>VLOOKUP(D452,原始分!$D:$N,8,0)</f>
        <v>0</v>
      </c>
      <c r="Q452" s="174">
        <f t="shared" si="96"/>
        <v>539</v>
      </c>
      <c r="R452" s="174">
        <f>VLOOKUP(D452,原始分!$D:$N,9,0)</f>
        <v>36</v>
      </c>
      <c r="S452" s="174">
        <f t="shared" si="97"/>
        <v>209</v>
      </c>
      <c r="T452" s="174">
        <f>VLOOKUP(D452,原始分!$D:$N,10,0)</f>
        <v>0</v>
      </c>
      <c r="U452" s="174">
        <f t="shared" si="98"/>
        <v>112</v>
      </c>
      <c r="V452" s="174">
        <f>VLOOKUP(D452,原始分!$D:$N,11,0)</f>
        <v>42</v>
      </c>
      <c r="W452" s="174">
        <f t="shared" si="99"/>
        <v>383</v>
      </c>
      <c r="X452" s="11">
        <f t="shared" si="100"/>
        <v>298</v>
      </c>
      <c r="Y452" s="9">
        <f t="shared" si="101"/>
        <v>293</v>
      </c>
      <c r="Z452" s="11">
        <f t="shared" si="102"/>
        <v>414.5</v>
      </c>
      <c r="AA452" s="9">
        <f t="shared" si="103"/>
        <v>449</v>
      </c>
    </row>
    <row r="453" ht="14.25" spans="1:27">
      <c r="A453" s="13">
        <v>358</v>
      </c>
      <c r="B453" s="15">
        <v>8</v>
      </c>
      <c r="C453" s="16">
        <v>32</v>
      </c>
      <c r="D453" s="17" t="s">
        <v>727</v>
      </c>
      <c r="E453" s="17" t="s">
        <v>526</v>
      </c>
      <c r="F453" s="174">
        <f>VLOOKUP(D453,原始分!$D:$N,3,0)</f>
        <v>92.5</v>
      </c>
      <c r="G453" s="174">
        <f t="shared" si="91"/>
        <v>524</v>
      </c>
      <c r="H453" s="174">
        <f>VLOOKUP(D453,原始分!$D:$N,4,0)</f>
        <v>93.5</v>
      </c>
      <c r="I453" s="174">
        <f t="shared" si="92"/>
        <v>448</v>
      </c>
      <c r="J453" s="174">
        <f>VLOOKUP(D453,原始分!$D:$N,5,0)</f>
        <v>77.5</v>
      </c>
      <c r="K453" s="174">
        <f t="shared" si="93"/>
        <v>571</v>
      </c>
      <c r="L453" s="174">
        <f>VLOOKUP(D453,原始分!$D:$N,6,0)</f>
        <v>58.5</v>
      </c>
      <c r="M453" s="174">
        <f t="shared" si="94"/>
        <v>209</v>
      </c>
      <c r="N453" s="174">
        <f>VLOOKUP(D453,原始分!$D:$N,7,0)</f>
        <v>0</v>
      </c>
      <c r="O453" s="174">
        <f t="shared" si="95"/>
        <v>1</v>
      </c>
      <c r="P453" s="174">
        <f>VLOOKUP(D453,原始分!$D:$N,8,0)</f>
        <v>40</v>
      </c>
      <c r="Q453" s="174">
        <f t="shared" si="96"/>
        <v>314</v>
      </c>
      <c r="R453" s="174">
        <f>VLOOKUP(D453,原始分!$D:$N,9,0)</f>
        <v>0</v>
      </c>
      <c r="S453" s="174">
        <f t="shared" si="97"/>
        <v>218</v>
      </c>
      <c r="T453" s="174">
        <f>VLOOKUP(D453,原始分!$D:$N,10,0)</f>
        <v>0</v>
      </c>
      <c r="U453" s="174">
        <f t="shared" si="98"/>
        <v>112</v>
      </c>
      <c r="V453" s="174">
        <f>VLOOKUP(D453,原始分!$D:$N,11,0)</f>
        <v>52.5</v>
      </c>
      <c r="W453" s="174">
        <f t="shared" si="99"/>
        <v>195</v>
      </c>
      <c r="X453" s="11">
        <f t="shared" si="100"/>
        <v>263.5</v>
      </c>
      <c r="Y453" s="9">
        <f t="shared" si="101"/>
        <v>563</v>
      </c>
      <c r="Z453" s="11">
        <f t="shared" si="102"/>
        <v>414.5</v>
      </c>
      <c r="AA453" s="9">
        <f t="shared" si="103"/>
        <v>449</v>
      </c>
    </row>
    <row r="454" ht="14.25" spans="1:27">
      <c r="A454" s="13">
        <v>641</v>
      </c>
      <c r="B454" s="15">
        <v>13</v>
      </c>
      <c r="C454" s="16">
        <v>34</v>
      </c>
      <c r="D454" s="17" t="s">
        <v>1289</v>
      </c>
      <c r="E454" s="17" t="s">
        <v>1290</v>
      </c>
      <c r="F454" s="174">
        <f>VLOOKUP(D454,原始分!$D:$N,3,0)</f>
        <v>90.5</v>
      </c>
      <c r="G454" s="174">
        <f t="shared" si="91"/>
        <v>571</v>
      </c>
      <c r="H454" s="174">
        <f>VLOOKUP(D454,原始分!$D:$N,4,0)</f>
        <v>110</v>
      </c>
      <c r="I454" s="174">
        <f t="shared" si="92"/>
        <v>191</v>
      </c>
      <c r="J454" s="174">
        <f>VLOOKUP(D454,原始分!$D:$N,5,0)</f>
        <v>80</v>
      </c>
      <c r="K454" s="174">
        <f t="shared" si="93"/>
        <v>550</v>
      </c>
      <c r="L454" s="174">
        <f>VLOOKUP(D454,原始分!$D:$N,6,0)</f>
        <v>42</v>
      </c>
      <c r="M454" s="174">
        <f t="shared" si="94"/>
        <v>476</v>
      </c>
      <c r="N454" s="174">
        <f>VLOOKUP(D454,原始分!$D:$N,7,0)</f>
        <v>0</v>
      </c>
      <c r="O454" s="174">
        <f t="shared" si="95"/>
        <v>1</v>
      </c>
      <c r="P454" s="174">
        <f>VLOOKUP(D454,原始分!$D:$N,8,0)</f>
        <v>35</v>
      </c>
      <c r="Q454" s="174">
        <f t="shared" si="96"/>
        <v>401</v>
      </c>
      <c r="R454" s="174">
        <f>VLOOKUP(D454,原始分!$D:$N,9,0)</f>
        <v>0</v>
      </c>
      <c r="S454" s="174">
        <f t="shared" si="97"/>
        <v>218</v>
      </c>
      <c r="T454" s="174">
        <f>VLOOKUP(D454,原始分!$D:$N,10,0)</f>
        <v>0</v>
      </c>
      <c r="U454" s="174">
        <f t="shared" si="98"/>
        <v>112</v>
      </c>
      <c r="V454" s="174">
        <f>VLOOKUP(D454,原始分!$D:$N,11,0)</f>
        <v>57</v>
      </c>
      <c r="W454" s="174">
        <f t="shared" si="99"/>
        <v>112</v>
      </c>
      <c r="X454" s="11">
        <f t="shared" si="100"/>
        <v>280.5</v>
      </c>
      <c r="Y454" s="9">
        <f t="shared" si="101"/>
        <v>443</v>
      </c>
      <c r="Z454" s="11">
        <f t="shared" si="102"/>
        <v>414.5</v>
      </c>
      <c r="AA454" s="9">
        <f t="shared" si="103"/>
        <v>449</v>
      </c>
    </row>
    <row r="455" ht="14.25" spans="1:27">
      <c r="A455" s="13">
        <v>203</v>
      </c>
      <c r="B455" s="15">
        <v>4</v>
      </c>
      <c r="C455" s="16">
        <v>46</v>
      </c>
      <c r="D455" s="17" t="s">
        <v>419</v>
      </c>
      <c r="E455" s="17" t="s">
        <v>420</v>
      </c>
      <c r="F455" s="174">
        <f>VLOOKUP(D455,原始分!$D:$N,3,0)</f>
        <v>89.5</v>
      </c>
      <c r="G455" s="174">
        <f t="shared" si="91"/>
        <v>589</v>
      </c>
      <c r="H455" s="174">
        <f>VLOOKUP(D455,原始分!$D:$N,4,0)</f>
        <v>111</v>
      </c>
      <c r="I455" s="174">
        <f t="shared" si="92"/>
        <v>176</v>
      </c>
      <c r="J455" s="174">
        <f>VLOOKUP(D455,原始分!$D:$N,5,0)</f>
        <v>77.5</v>
      </c>
      <c r="K455" s="174">
        <f t="shared" si="93"/>
        <v>571</v>
      </c>
      <c r="L455" s="174">
        <f>VLOOKUP(D455,原始分!$D:$N,6,0)</f>
        <v>44.5</v>
      </c>
      <c r="M455" s="174">
        <f t="shared" si="94"/>
        <v>432</v>
      </c>
      <c r="N455" s="174">
        <f>VLOOKUP(D455,原始分!$D:$N,7,0)</f>
        <v>0</v>
      </c>
      <c r="O455" s="174">
        <f t="shared" si="95"/>
        <v>1</v>
      </c>
      <c r="P455" s="174">
        <f>VLOOKUP(D455,原始分!$D:$N,8,0)</f>
        <v>41.5</v>
      </c>
      <c r="Q455" s="174">
        <f t="shared" si="96"/>
        <v>278</v>
      </c>
      <c r="R455" s="174">
        <f>VLOOKUP(D455,原始分!$D:$N,9,0)</f>
        <v>50</v>
      </c>
      <c r="S455" s="174">
        <f t="shared" si="97"/>
        <v>95</v>
      </c>
      <c r="T455" s="174">
        <f>VLOOKUP(D455,原始分!$D:$N,10,0)</f>
        <v>0</v>
      </c>
      <c r="U455" s="174">
        <f t="shared" si="98"/>
        <v>112</v>
      </c>
      <c r="V455" s="174">
        <f>VLOOKUP(D455,原始分!$D:$N,11,0)</f>
        <v>0</v>
      </c>
      <c r="W455" s="174">
        <f t="shared" si="99"/>
        <v>461</v>
      </c>
      <c r="X455" s="11">
        <f t="shared" si="100"/>
        <v>278</v>
      </c>
      <c r="Y455" s="9">
        <f t="shared" si="101"/>
        <v>469</v>
      </c>
      <c r="Z455" s="11">
        <f t="shared" si="102"/>
        <v>414</v>
      </c>
      <c r="AA455" s="9">
        <f t="shared" si="103"/>
        <v>453</v>
      </c>
    </row>
    <row r="456" ht="14.25" spans="1:27">
      <c r="A456" s="13">
        <v>561</v>
      </c>
      <c r="B456" s="15">
        <v>12</v>
      </c>
      <c r="C456" s="16">
        <v>8</v>
      </c>
      <c r="D456" s="17" t="s">
        <v>1130</v>
      </c>
      <c r="E456" s="17" t="s">
        <v>1131</v>
      </c>
      <c r="F456" s="174">
        <f>VLOOKUP(D456,原始分!$D:$N,3,0)</f>
        <v>102.5</v>
      </c>
      <c r="G456" s="174">
        <f t="shared" si="91"/>
        <v>183</v>
      </c>
      <c r="H456" s="174">
        <f>VLOOKUP(D456,原始分!$D:$N,4,0)</f>
        <v>108</v>
      </c>
      <c r="I456" s="174">
        <f t="shared" si="92"/>
        <v>221</v>
      </c>
      <c r="J456" s="174">
        <f>VLOOKUP(D456,原始分!$D:$N,5,0)</f>
        <v>64.5</v>
      </c>
      <c r="K456" s="174">
        <f t="shared" si="93"/>
        <v>637</v>
      </c>
      <c r="L456" s="174">
        <f>VLOOKUP(D456,原始分!$D:$N,6,0)</f>
        <v>52.5</v>
      </c>
      <c r="M456" s="174">
        <f t="shared" si="94"/>
        <v>307</v>
      </c>
      <c r="N456" s="174">
        <f>VLOOKUP(D456,原始分!$D:$N,7,0)</f>
        <v>0</v>
      </c>
      <c r="O456" s="174">
        <f t="shared" si="95"/>
        <v>1</v>
      </c>
      <c r="P456" s="174">
        <f>VLOOKUP(D456,原始分!$D:$N,8,0)</f>
        <v>37</v>
      </c>
      <c r="Q456" s="174">
        <f t="shared" si="96"/>
        <v>374</v>
      </c>
      <c r="R456" s="174">
        <f>VLOOKUP(D456,原始分!$D:$N,9,0)</f>
        <v>0</v>
      </c>
      <c r="S456" s="174">
        <f t="shared" si="97"/>
        <v>218</v>
      </c>
      <c r="T456" s="174">
        <f>VLOOKUP(D456,原始分!$D:$N,10,0)</f>
        <v>0</v>
      </c>
      <c r="U456" s="174">
        <f t="shared" si="98"/>
        <v>112</v>
      </c>
      <c r="V456" s="174">
        <f>VLOOKUP(D456,原始分!$D:$N,11,0)</f>
        <v>49.5</v>
      </c>
      <c r="W456" s="174">
        <f t="shared" si="99"/>
        <v>256</v>
      </c>
      <c r="X456" s="11">
        <f t="shared" si="100"/>
        <v>275</v>
      </c>
      <c r="Y456" s="9">
        <f t="shared" si="101"/>
        <v>497</v>
      </c>
      <c r="Z456" s="11">
        <f t="shared" si="102"/>
        <v>414</v>
      </c>
      <c r="AA456" s="9">
        <f t="shared" si="103"/>
        <v>453</v>
      </c>
    </row>
    <row r="457" ht="14.25" spans="1:27">
      <c r="A457" s="13">
        <v>4</v>
      </c>
      <c r="B457" s="15">
        <v>1</v>
      </c>
      <c r="C457" s="16">
        <v>5</v>
      </c>
      <c r="D457" s="17" t="s">
        <v>22</v>
      </c>
      <c r="E457" s="17" t="s">
        <v>23</v>
      </c>
      <c r="F457" s="174">
        <f>VLOOKUP(D457,原始分!$D:$N,3,0)</f>
        <v>92.5</v>
      </c>
      <c r="G457" s="174">
        <f t="shared" si="91"/>
        <v>524</v>
      </c>
      <c r="H457" s="174">
        <f>VLOOKUP(D457,原始分!$D:$N,4,0)</f>
        <v>114.5</v>
      </c>
      <c r="I457" s="174">
        <f t="shared" si="92"/>
        <v>122</v>
      </c>
      <c r="J457" s="174">
        <f>VLOOKUP(D457,原始分!$D:$N,5,0)</f>
        <v>71.75</v>
      </c>
      <c r="K457" s="174">
        <f t="shared" si="93"/>
        <v>614</v>
      </c>
      <c r="L457" s="174">
        <f>VLOOKUP(D457,原始分!$D:$N,6,0)</f>
        <v>48.5</v>
      </c>
      <c r="M457" s="174">
        <f t="shared" si="94"/>
        <v>364</v>
      </c>
      <c r="N457" s="174">
        <f>VLOOKUP(D457,原始分!$D:$N,7,0)</f>
        <v>0</v>
      </c>
      <c r="O457" s="174">
        <f t="shared" si="95"/>
        <v>1</v>
      </c>
      <c r="P457" s="174">
        <f>VLOOKUP(D457,原始分!$D:$N,8,0)</f>
        <v>39.5</v>
      </c>
      <c r="Q457" s="174">
        <f t="shared" si="96"/>
        <v>333</v>
      </c>
      <c r="R457" s="174">
        <f>VLOOKUP(D457,原始分!$D:$N,9,0)</f>
        <v>0</v>
      </c>
      <c r="S457" s="174">
        <f t="shared" si="97"/>
        <v>218</v>
      </c>
      <c r="T457" s="174">
        <f>VLOOKUP(D457,原始分!$D:$N,10,0)</f>
        <v>47</v>
      </c>
      <c r="U457" s="174">
        <f t="shared" si="98"/>
        <v>95</v>
      </c>
      <c r="V457" s="174">
        <f>VLOOKUP(D457,原始分!$D:$N,11,0)</f>
        <v>0</v>
      </c>
      <c r="W457" s="174">
        <f t="shared" si="99"/>
        <v>461</v>
      </c>
      <c r="X457" s="11">
        <f t="shared" si="100"/>
        <v>278.75</v>
      </c>
      <c r="Y457" s="9">
        <f t="shared" si="101"/>
        <v>459</v>
      </c>
      <c r="Z457" s="11">
        <f t="shared" si="102"/>
        <v>413.75</v>
      </c>
      <c r="AA457" s="9">
        <f t="shared" si="103"/>
        <v>455</v>
      </c>
    </row>
    <row r="458" ht="14.25" spans="1:27">
      <c r="A458" s="13">
        <v>48</v>
      </c>
      <c r="B458" s="15">
        <v>1</v>
      </c>
      <c r="C458" s="16">
        <v>50</v>
      </c>
      <c r="D458" s="17" t="s">
        <v>110</v>
      </c>
      <c r="E458" s="17" t="s">
        <v>111</v>
      </c>
      <c r="F458" s="174">
        <f>VLOOKUP(D458,原始分!$D:$N,3,0)</f>
        <v>90</v>
      </c>
      <c r="G458" s="174">
        <f t="shared" si="91"/>
        <v>581</v>
      </c>
      <c r="H458" s="174">
        <f>VLOOKUP(D458,原始分!$D:$N,4,0)</f>
        <v>85</v>
      </c>
      <c r="I458" s="174">
        <f t="shared" si="92"/>
        <v>556</v>
      </c>
      <c r="J458" s="174">
        <f>VLOOKUP(D458,原始分!$D:$N,5,0)</f>
        <v>97</v>
      </c>
      <c r="K458" s="174">
        <f t="shared" si="93"/>
        <v>305</v>
      </c>
      <c r="L458" s="174">
        <f>VLOOKUP(D458,原始分!$D:$N,6,0)</f>
        <v>38.5</v>
      </c>
      <c r="M458" s="174">
        <f t="shared" si="94"/>
        <v>528</v>
      </c>
      <c r="N458" s="174">
        <f>VLOOKUP(D458,原始分!$D:$N,7,0)</f>
        <v>0</v>
      </c>
      <c r="O458" s="174">
        <f t="shared" si="95"/>
        <v>1</v>
      </c>
      <c r="P458" s="174">
        <f>VLOOKUP(D458,原始分!$D:$N,8,0)</f>
        <v>44</v>
      </c>
      <c r="Q458" s="174">
        <f t="shared" si="96"/>
        <v>226</v>
      </c>
      <c r="R458" s="174">
        <f>VLOOKUP(D458,原始分!$D:$N,9,0)</f>
        <v>0</v>
      </c>
      <c r="S458" s="174">
        <f t="shared" si="97"/>
        <v>218</v>
      </c>
      <c r="T458" s="174">
        <f>VLOOKUP(D458,原始分!$D:$N,10,0)</f>
        <v>59</v>
      </c>
      <c r="U458" s="174">
        <f t="shared" si="98"/>
        <v>30</v>
      </c>
      <c r="V458" s="174">
        <f>VLOOKUP(D458,原始分!$D:$N,11,0)</f>
        <v>0</v>
      </c>
      <c r="W458" s="174">
        <f t="shared" si="99"/>
        <v>461</v>
      </c>
      <c r="X458" s="11">
        <f t="shared" si="100"/>
        <v>272</v>
      </c>
      <c r="Y458" s="9">
        <f t="shared" si="101"/>
        <v>514</v>
      </c>
      <c r="Z458" s="11">
        <f t="shared" si="102"/>
        <v>413.5</v>
      </c>
      <c r="AA458" s="9">
        <f t="shared" si="103"/>
        <v>456</v>
      </c>
    </row>
    <row r="459" ht="14.25" spans="1:27">
      <c r="A459" s="13">
        <v>596</v>
      </c>
      <c r="B459" s="15">
        <v>12</v>
      </c>
      <c r="C459" s="16">
        <v>46</v>
      </c>
      <c r="D459" s="17" t="s">
        <v>1200</v>
      </c>
      <c r="E459" s="17" t="s">
        <v>1201</v>
      </c>
      <c r="F459" s="174">
        <f>VLOOKUP(D459,原始分!$D:$N,3,0)</f>
        <v>97</v>
      </c>
      <c r="G459" s="174">
        <f t="shared" si="91"/>
        <v>386</v>
      </c>
      <c r="H459" s="174">
        <f>VLOOKUP(D459,原始分!$D:$N,4,0)</f>
        <v>90</v>
      </c>
      <c r="I459" s="174">
        <f t="shared" si="92"/>
        <v>494</v>
      </c>
      <c r="J459" s="174">
        <f>VLOOKUP(D459,原始分!$D:$N,5,0)</f>
        <v>105.75</v>
      </c>
      <c r="K459" s="174">
        <f t="shared" si="93"/>
        <v>156</v>
      </c>
      <c r="L459" s="174">
        <f>VLOOKUP(D459,原始分!$D:$N,6,0)</f>
        <v>34</v>
      </c>
      <c r="M459" s="174">
        <f t="shared" si="94"/>
        <v>588</v>
      </c>
      <c r="N459" s="174">
        <f>VLOOKUP(D459,原始分!$D:$N,7,0)</f>
        <v>0</v>
      </c>
      <c r="O459" s="174">
        <f t="shared" si="95"/>
        <v>1</v>
      </c>
      <c r="P459" s="174">
        <f>VLOOKUP(D459,原始分!$D:$N,8,0)</f>
        <v>42.5</v>
      </c>
      <c r="Q459" s="174">
        <f t="shared" si="96"/>
        <v>256</v>
      </c>
      <c r="R459" s="174">
        <f>VLOOKUP(D459,原始分!$D:$N,9,0)</f>
        <v>0</v>
      </c>
      <c r="S459" s="174">
        <f t="shared" si="97"/>
        <v>218</v>
      </c>
      <c r="T459" s="174">
        <f>VLOOKUP(D459,原始分!$D:$N,10,0)</f>
        <v>0</v>
      </c>
      <c r="U459" s="174">
        <f t="shared" si="98"/>
        <v>112</v>
      </c>
      <c r="V459" s="174">
        <f>VLOOKUP(D459,原始分!$D:$N,11,0)</f>
        <v>44</v>
      </c>
      <c r="W459" s="174">
        <f t="shared" si="99"/>
        <v>350</v>
      </c>
      <c r="X459" s="11">
        <f t="shared" si="100"/>
        <v>292.75</v>
      </c>
      <c r="Y459" s="9">
        <f t="shared" si="101"/>
        <v>343</v>
      </c>
      <c r="Z459" s="11">
        <f t="shared" si="102"/>
        <v>413.25</v>
      </c>
      <c r="AA459" s="9">
        <f t="shared" si="103"/>
        <v>457</v>
      </c>
    </row>
    <row r="460" ht="14.25" spans="1:27">
      <c r="A460" s="13">
        <v>22</v>
      </c>
      <c r="B460" s="15">
        <v>1</v>
      </c>
      <c r="C460" s="16">
        <v>24</v>
      </c>
      <c r="D460" s="17" t="s">
        <v>58</v>
      </c>
      <c r="E460" s="17" t="s">
        <v>59</v>
      </c>
      <c r="F460" s="174">
        <f>VLOOKUP(D460,原始分!$D:$N,3,0)</f>
        <v>91.25</v>
      </c>
      <c r="G460" s="174">
        <f t="shared" si="91"/>
        <v>551</v>
      </c>
      <c r="H460" s="174">
        <f>VLOOKUP(D460,原始分!$D:$N,4,0)</f>
        <v>102</v>
      </c>
      <c r="I460" s="174">
        <f t="shared" si="92"/>
        <v>323</v>
      </c>
      <c r="J460" s="174">
        <f>VLOOKUP(D460,原始分!$D:$N,5,0)</f>
        <v>87</v>
      </c>
      <c r="K460" s="174">
        <f t="shared" si="93"/>
        <v>457</v>
      </c>
      <c r="L460" s="174">
        <f>VLOOKUP(D460,原始分!$D:$N,6,0)</f>
        <v>43</v>
      </c>
      <c r="M460" s="174">
        <f t="shared" si="94"/>
        <v>461</v>
      </c>
      <c r="N460" s="174">
        <f>VLOOKUP(D460,原始分!$D:$N,7,0)</f>
        <v>0</v>
      </c>
      <c r="O460" s="174">
        <f t="shared" si="95"/>
        <v>1</v>
      </c>
      <c r="P460" s="174">
        <f>VLOOKUP(D460,原始分!$D:$N,8,0)</f>
        <v>38.5</v>
      </c>
      <c r="Q460" s="174">
        <f t="shared" si="96"/>
        <v>353</v>
      </c>
      <c r="R460" s="174">
        <f>VLOOKUP(D460,原始分!$D:$N,9,0)</f>
        <v>0</v>
      </c>
      <c r="S460" s="174">
        <f t="shared" si="97"/>
        <v>218</v>
      </c>
      <c r="T460" s="174">
        <f>VLOOKUP(D460,原始分!$D:$N,10,0)</f>
        <v>51</v>
      </c>
      <c r="U460" s="174">
        <f t="shared" si="98"/>
        <v>72</v>
      </c>
      <c r="V460" s="174">
        <f>VLOOKUP(D460,原始分!$D:$N,11,0)</f>
        <v>0</v>
      </c>
      <c r="W460" s="174">
        <f t="shared" si="99"/>
        <v>461</v>
      </c>
      <c r="X460" s="11">
        <f t="shared" si="100"/>
        <v>280.25</v>
      </c>
      <c r="Y460" s="9">
        <f t="shared" si="101"/>
        <v>447</v>
      </c>
      <c r="Z460" s="11">
        <f t="shared" si="102"/>
        <v>412.75</v>
      </c>
      <c r="AA460" s="9">
        <f t="shared" si="103"/>
        <v>458</v>
      </c>
    </row>
    <row r="461" ht="14.25" spans="1:27">
      <c r="A461" s="13">
        <v>523</v>
      </c>
      <c r="B461" s="15">
        <v>11</v>
      </c>
      <c r="C461" s="16">
        <v>28</v>
      </c>
      <c r="D461" s="17" t="s">
        <v>1056</v>
      </c>
      <c r="E461" s="17" t="s">
        <v>1057</v>
      </c>
      <c r="F461" s="174">
        <f>VLOOKUP(D461,原始分!$D:$N,3,0)</f>
        <v>99</v>
      </c>
      <c r="G461" s="174">
        <f t="shared" si="91"/>
        <v>304</v>
      </c>
      <c r="H461" s="174">
        <f>VLOOKUP(D461,原始分!$D:$N,4,0)</f>
        <v>86.5</v>
      </c>
      <c r="I461" s="174">
        <f t="shared" si="92"/>
        <v>543</v>
      </c>
      <c r="J461" s="174">
        <f>VLOOKUP(D461,原始分!$D:$N,5,0)</f>
        <v>106.25</v>
      </c>
      <c r="K461" s="174">
        <f t="shared" si="93"/>
        <v>151</v>
      </c>
      <c r="L461" s="174">
        <f>VLOOKUP(D461,原始分!$D:$N,6,0)</f>
        <v>51.5</v>
      </c>
      <c r="M461" s="174">
        <f t="shared" si="94"/>
        <v>313</v>
      </c>
      <c r="N461" s="174">
        <f>VLOOKUP(D461,原始分!$D:$N,7,0)</f>
        <v>0</v>
      </c>
      <c r="O461" s="174">
        <f t="shared" si="95"/>
        <v>1</v>
      </c>
      <c r="P461" s="174">
        <f>VLOOKUP(D461,原始分!$D:$N,8,0)</f>
        <v>33.5</v>
      </c>
      <c r="Q461" s="174">
        <f t="shared" si="96"/>
        <v>420</v>
      </c>
      <c r="R461" s="174">
        <f>VLOOKUP(D461,原始分!$D:$N,9,0)</f>
        <v>0</v>
      </c>
      <c r="S461" s="174">
        <f t="shared" si="97"/>
        <v>218</v>
      </c>
      <c r="T461" s="174">
        <f>VLOOKUP(D461,原始分!$D:$N,10,0)</f>
        <v>0</v>
      </c>
      <c r="U461" s="174">
        <f t="shared" si="98"/>
        <v>112</v>
      </c>
      <c r="V461" s="174">
        <f>VLOOKUP(D461,原始分!$D:$N,11,0)</f>
        <v>35.5</v>
      </c>
      <c r="W461" s="174">
        <f t="shared" si="99"/>
        <v>425</v>
      </c>
      <c r="X461" s="11">
        <f t="shared" si="100"/>
        <v>291.75</v>
      </c>
      <c r="Y461" s="9">
        <f t="shared" si="101"/>
        <v>355</v>
      </c>
      <c r="Z461" s="11">
        <f t="shared" si="102"/>
        <v>412.25</v>
      </c>
      <c r="AA461" s="9">
        <f t="shared" si="103"/>
        <v>459</v>
      </c>
    </row>
    <row r="462" ht="14.25" spans="1:27">
      <c r="A462" s="13">
        <v>550</v>
      </c>
      <c r="B462" s="15">
        <v>11</v>
      </c>
      <c r="C462" s="16">
        <v>56</v>
      </c>
      <c r="D462" s="17" t="s">
        <v>1108</v>
      </c>
      <c r="E462" s="17" t="s">
        <v>1109</v>
      </c>
      <c r="F462" s="174">
        <f>VLOOKUP(D462,原始分!$D:$N,3,0)</f>
        <v>98</v>
      </c>
      <c r="G462" s="174">
        <f t="shared" si="91"/>
        <v>349</v>
      </c>
      <c r="H462" s="174">
        <f>VLOOKUP(D462,原始分!$D:$N,4,0)</f>
        <v>96</v>
      </c>
      <c r="I462" s="174">
        <f t="shared" si="92"/>
        <v>406</v>
      </c>
      <c r="J462" s="174">
        <f>VLOOKUP(D462,原始分!$D:$N,5,0)</f>
        <v>71.25</v>
      </c>
      <c r="K462" s="174">
        <f t="shared" si="93"/>
        <v>617</v>
      </c>
      <c r="L462" s="174">
        <f>VLOOKUP(D462,原始分!$D:$N,6,0)</f>
        <v>41.5</v>
      </c>
      <c r="M462" s="174">
        <f t="shared" si="94"/>
        <v>483</v>
      </c>
      <c r="N462" s="174">
        <f>VLOOKUP(D462,原始分!$D:$N,7,0)</f>
        <v>0</v>
      </c>
      <c r="O462" s="174">
        <f t="shared" si="95"/>
        <v>1</v>
      </c>
      <c r="P462" s="174">
        <f>VLOOKUP(D462,原始分!$D:$N,8,0)</f>
        <v>53</v>
      </c>
      <c r="Q462" s="174">
        <f t="shared" si="96"/>
        <v>69</v>
      </c>
      <c r="R462" s="174">
        <f>VLOOKUP(D462,原始分!$D:$N,9,0)</f>
        <v>0</v>
      </c>
      <c r="S462" s="174">
        <f t="shared" si="97"/>
        <v>218</v>
      </c>
      <c r="T462" s="174">
        <f>VLOOKUP(D462,原始分!$D:$N,10,0)</f>
        <v>0</v>
      </c>
      <c r="U462" s="174">
        <f t="shared" si="98"/>
        <v>112</v>
      </c>
      <c r="V462" s="174">
        <f>VLOOKUP(D462,原始分!$D:$N,11,0)</f>
        <v>52.5</v>
      </c>
      <c r="W462" s="174">
        <f t="shared" si="99"/>
        <v>195</v>
      </c>
      <c r="X462" s="11">
        <f t="shared" si="100"/>
        <v>265.25</v>
      </c>
      <c r="Y462" s="9">
        <f t="shared" si="101"/>
        <v>553</v>
      </c>
      <c r="Z462" s="11">
        <f t="shared" si="102"/>
        <v>412.25</v>
      </c>
      <c r="AA462" s="9">
        <f t="shared" si="103"/>
        <v>459</v>
      </c>
    </row>
    <row r="463" ht="14.25" spans="1:27">
      <c r="A463" s="13">
        <v>624</v>
      </c>
      <c r="B463" s="15">
        <v>13</v>
      </c>
      <c r="C463" s="16">
        <v>17</v>
      </c>
      <c r="D463" s="17" t="s">
        <v>1256</v>
      </c>
      <c r="E463" s="17" t="s">
        <v>1257</v>
      </c>
      <c r="F463" s="174">
        <f>VLOOKUP(D463,原始分!$D:$N,3,0)</f>
        <v>97.5</v>
      </c>
      <c r="G463" s="174">
        <f t="shared" si="91"/>
        <v>372</v>
      </c>
      <c r="H463" s="174">
        <f>VLOOKUP(D463,原始分!$D:$N,4,0)</f>
        <v>106</v>
      </c>
      <c r="I463" s="174">
        <f t="shared" si="92"/>
        <v>255</v>
      </c>
      <c r="J463" s="174">
        <f>VLOOKUP(D463,原始分!$D:$N,5,0)</f>
        <v>82.75</v>
      </c>
      <c r="K463" s="174">
        <f t="shared" si="93"/>
        <v>518</v>
      </c>
      <c r="L463" s="174">
        <f>VLOOKUP(D463,原始分!$D:$N,6,0)</f>
        <v>40.5</v>
      </c>
      <c r="M463" s="174">
        <f t="shared" si="94"/>
        <v>497</v>
      </c>
      <c r="N463" s="174">
        <f>VLOOKUP(D463,原始分!$D:$N,7,0)</f>
        <v>0</v>
      </c>
      <c r="O463" s="174">
        <f t="shared" si="95"/>
        <v>1</v>
      </c>
      <c r="P463" s="174">
        <f>VLOOKUP(D463,原始分!$D:$N,8,0)</f>
        <v>30.5</v>
      </c>
      <c r="Q463" s="174">
        <f t="shared" si="96"/>
        <v>468</v>
      </c>
      <c r="R463" s="174">
        <f>VLOOKUP(D463,原始分!$D:$N,9,0)</f>
        <v>0</v>
      </c>
      <c r="S463" s="174">
        <f t="shared" si="97"/>
        <v>218</v>
      </c>
      <c r="T463" s="174">
        <f>VLOOKUP(D463,原始分!$D:$N,10,0)</f>
        <v>0</v>
      </c>
      <c r="U463" s="174">
        <f t="shared" si="98"/>
        <v>112</v>
      </c>
      <c r="V463" s="174">
        <f>VLOOKUP(D463,原始分!$D:$N,11,0)</f>
        <v>55</v>
      </c>
      <c r="W463" s="174">
        <f t="shared" si="99"/>
        <v>149</v>
      </c>
      <c r="X463" s="11">
        <f t="shared" si="100"/>
        <v>286.25</v>
      </c>
      <c r="Y463" s="9">
        <f t="shared" si="101"/>
        <v>390</v>
      </c>
      <c r="Z463" s="11">
        <f t="shared" si="102"/>
        <v>412.25</v>
      </c>
      <c r="AA463" s="9">
        <f t="shared" si="103"/>
        <v>459</v>
      </c>
    </row>
    <row r="464" ht="14.25" spans="1:27">
      <c r="A464" s="13">
        <v>350</v>
      </c>
      <c r="B464" s="15">
        <v>8</v>
      </c>
      <c r="C464" s="16">
        <v>22</v>
      </c>
      <c r="D464" s="17" t="s">
        <v>711</v>
      </c>
      <c r="E464" s="17" t="s">
        <v>712</v>
      </c>
      <c r="F464" s="174">
        <f>VLOOKUP(D464,原始分!$D:$N,3,0)</f>
        <v>105</v>
      </c>
      <c r="G464" s="174">
        <f t="shared" si="91"/>
        <v>107</v>
      </c>
      <c r="H464" s="174">
        <f>VLOOKUP(D464,原始分!$D:$N,4,0)</f>
        <v>88.5</v>
      </c>
      <c r="I464" s="174">
        <f t="shared" si="92"/>
        <v>514</v>
      </c>
      <c r="J464" s="174">
        <f>VLOOKUP(D464,原始分!$D:$N,5,0)</f>
        <v>101.5</v>
      </c>
      <c r="K464" s="174">
        <f t="shared" si="93"/>
        <v>217</v>
      </c>
      <c r="L464" s="174">
        <f>VLOOKUP(D464,原始分!$D:$N,6,0)</f>
        <v>33.5</v>
      </c>
      <c r="M464" s="174">
        <f t="shared" si="94"/>
        <v>592</v>
      </c>
      <c r="N464" s="174">
        <f>VLOOKUP(D464,原始分!$D:$N,7,0)</f>
        <v>0</v>
      </c>
      <c r="O464" s="174">
        <f t="shared" si="95"/>
        <v>1</v>
      </c>
      <c r="P464" s="174">
        <f>VLOOKUP(D464,原始分!$D:$N,8,0)</f>
        <v>33</v>
      </c>
      <c r="Q464" s="174">
        <f t="shared" si="96"/>
        <v>433</v>
      </c>
      <c r="R464" s="174">
        <f>VLOOKUP(D464,原始分!$D:$N,9,0)</f>
        <v>0</v>
      </c>
      <c r="S464" s="174">
        <f t="shared" si="97"/>
        <v>218</v>
      </c>
      <c r="T464" s="174">
        <f>VLOOKUP(D464,原始分!$D:$N,10,0)</f>
        <v>0</v>
      </c>
      <c r="U464" s="174">
        <f t="shared" si="98"/>
        <v>112</v>
      </c>
      <c r="V464" s="174">
        <f>VLOOKUP(D464,原始分!$D:$N,11,0)</f>
        <v>50.5</v>
      </c>
      <c r="W464" s="174">
        <f t="shared" si="99"/>
        <v>239</v>
      </c>
      <c r="X464" s="11">
        <f t="shared" si="100"/>
        <v>295</v>
      </c>
      <c r="Y464" s="9">
        <f t="shared" si="101"/>
        <v>314</v>
      </c>
      <c r="Z464" s="11">
        <f t="shared" si="102"/>
        <v>412</v>
      </c>
      <c r="AA464" s="9">
        <f t="shared" si="103"/>
        <v>462</v>
      </c>
    </row>
    <row r="465" ht="14.25" spans="1:27">
      <c r="A465" s="13">
        <v>553</v>
      </c>
      <c r="B465" s="15">
        <v>11</v>
      </c>
      <c r="C465" s="16">
        <v>59</v>
      </c>
      <c r="D465" s="17" t="s">
        <v>1114</v>
      </c>
      <c r="E465" s="17" t="s">
        <v>1115</v>
      </c>
      <c r="F465" s="174">
        <f>VLOOKUP(D465,原始分!$D:$N,3,0)</f>
        <v>91</v>
      </c>
      <c r="G465" s="174">
        <f t="shared" si="91"/>
        <v>555</v>
      </c>
      <c r="H465" s="174">
        <f>VLOOKUP(D465,原始分!$D:$N,4,0)</f>
        <v>98</v>
      </c>
      <c r="I465" s="174">
        <f t="shared" si="92"/>
        <v>375</v>
      </c>
      <c r="J465" s="174">
        <f>VLOOKUP(D465,原始分!$D:$N,5,0)</f>
        <v>96</v>
      </c>
      <c r="K465" s="174">
        <f t="shared" si="93"/>
        <v>322</v>
      </c>
      <c r="L465" s="174">
        <f>VLOOKUP(D465,原始分!$D:$N,6,0)</f>
        <v>37.5</v>
      </c>
      <c r="M465" s="174">
        <f t="shared" si="94"/>
        <v>543</v>
      </c>
      <c r="N465" s="174">
        <f>VLOOKUP(D465,原始分!$D:$N,7,0)</f>
        <v>0</v>
      </c>
      <c r="O465" s="174">
        <f t="shared" si="95"/>
        <v>1</v>
      </c>
      <c r="P465" s="174">
        <f>VLOOKUP(D465,原始分!$D:$N,8,0)</f>
        <v>28.5</v>
      </c>
      <c r="Q465" s="174">
        <f t="shared" si="96"/>
        <v>486</v>
      </c>
      <c r="R465" s="174">
        <f>VLOOKUP(D465,原始分!$D:$N,9,0)</f>
        <v>0</v>
      </c>
      <c r="S465" s="174">
        <f t="shared" si="97"/>
        <v>218</v>
      </c>
      <c r="T465" s="174">
        <f>VLOOKUP(D465,原始分!$D:$N,10,0)</f>
        <v>0</v>
      </c>
      <c r="U465" s="174">
        <f t="shared" si="98"/>
        <v>112</v>
      </c>
      <c r="V465" s="174">
        <f>VLOOKUP(D465,原始分!$D:$N,11,0)</f>
        <v>61</v>
      </c>
      <c r="W465" s="174">
        <f t="shared" si="99"/>
        <v>67</v>
      </c>
      <c r="X465" s="11">
        <f t="shared" si="100"/>
        <v>285</v>
      </c>
      <c r="Y465" s="9">
        <f t="shared" si="101"/>
        <v>401</v>
      </c>
      <c r="Z465" s="11">
        <f t="shared" si="102"/>
        <v>412</v>
      </c>
      <c r="AA465" s="9">
        <f t="shared" si="103"/>
        <v>462</v>
      </c>
    </row>
    <row r="466" ht="14.25" spans="1:27">
      <c r="A466" s="13">
        <v>583</v>
      </c>
      <c r="B466" s="15">
        <v>12</v>
      </c>
      <c r="C466" s="16">
        <v>31</v>
      </c>
      <c r="D466" s="17" t="s">
        <v>1174</v>
      </c>
      <c r="E466" s="17" t="s">
        <v>1175</v>
      </c>
      <c r="F466" s="174">
        <f>VLOOKUP(D466,原始分!$D:$N,3,0)</f>
        <v>103</v>
      </c>
      <c r="G466" s="174">
        <f t="shared" si="91"/>
        <v>168</v>
      </c>
      <c r="H466" s="174">
        <f>VLOOKUP(D466,原始分!$D:$N,4,0)</f>
        <v>97</v>
      </c>
      <c r="I466" s="174">
        <f t="shared" si="92"/>
        <v>393</v>
      </c>
      <c r="J466" s="174">
        <f>VLOOKUP(D466,原始分!$D:$N,5,0)</f>
        <v>92</v>
      </c>
      <c r="K466" s="174">
        <f t="shared" si="93"/>
        <v>392</v>
      </c>
      <c r="L466" s="174">
        <f>VLOOKUP(D466,原始分!$D:$N,6,0)</f>
        <v>40</v>
      </c>
      <c r="M466" s="174">
        <f t="shared" si="94"/>
        <v>506</v>
      </c>
      <c r="N466" s="174">
        <f>VLOOKUP(D466,原始分!$D:$N,7,0)</f>
        <v>0</v>
      </c>
      <c r="O466" s="174">
        <f t="shared" si="95"/>
        <v>1</v>
      </c>
      <c r="P466" s="174">
        <f>VLOOKUP(D466,原始分!$D:$N,8,0)</f>
        <v>22</v>
      </c>
      <c r="Q466" s="174">
        <f t="shared" si="96"/>
        <v>521</v>
      </c>
      <c r="R466" s="174">
        <f>VLOOKUP(D466,原始分!$D:$N,9,0)</f>
        <v>0</v>
      </c>
      <c r="S466" s="174">
        <f t="shared" si="97"/>
        <v>218</v>
      </c>
      <c r="T466" s="174">
        <f>VLOOKUP(D466,原始分!$D:$N,10,0)</f>
        <v>0</v>
      </c>
      <c r="U466" s="174">
        <f t="shared" si="98"/>
        <v>112</v>
      </c>
      <c r="V466" s="174">
        <f>VLOOKUP(D466,原始分!$D:$N,11,0)</f>
        <v>58</v>
      </c>
      <c r="W466" s="174">
        <f t="shared" si="99"/>
        <v>103</v>
      </c>
      <c r="X466" s="11">
        <f t="shared" si="100"/>
        <v>292</v>
      </c>
      <c r="Y466" s="9">
        <f t="shared" si="101"/>
        <v>350</v>
      </c>
      <c r="Z466" s="11">
        <f t="shared" si="102"/>
        <v>412</v>
      </c>
      <c r="AA466" s="9">
        <f t="shared" si="103"/>
        <v>462</v>
      </c>
    </row>
    <row r="467" ht="14.25" spans="1:27">
      <c r="A467" s="13">
        <v>3</v>
      </c>
      <c r="B467" s="15">
        <v>1</v>
      </c>
      <c r="C467" s="16">
        <v>4</v>
      </c>
      <c r="D467" s="17" t="s">
        <v>20</v>
      </c>
      <c r="E467" s="17" t="s">
        <v>21</v>
      </c>
      <c r="F467" s="174">
        <f>VLOOKUP(D467,原始分!$D:$N,3,0)</f>
        <v>83</v>
      </c>
      <c r="G467" s="174">
        <f t="shared" si="91"/>
        <v>646</v>
      </c>
      <c r="H467" s="174">
        <f>VLOOKUP(D467,原始分!$D:$N,4,0)</f>
        <v>96.5</v>
      </c>
      <c r="I467" s="174">
        <f t="shared" si="92"/>
        <v>399</v>
      </c>
      <c r="J467" s="174">
        <f>VLOOKUP(D467,原始分!$D:$N,5,0)</f>
        <v>90.5</v>
      </c>
      <c r="K467" s="174">
        <f t="shared" si="93"/>
        <v>416</v>
      </c>
      <c r="L467" s="174">
        <f>VLOOKUP(D467,原始分!$D:$N,6,0)</f>
        <v>56.5</v>
      </c>
      <c r="M467" s="174">
        <f t="shared" si="94"/>
        <v>244</v>
      </c>
      <c r="N467" s="174">
        <f>VLOOKUP(D467,原始分!$D:$N,7,0)</f>
        <v>0</v>
      </c>
      <c r="O467" s="174">
        <f t="shared" si="95"/>
        <v>1</v>
      </c>
      <c r="P467" s="174">
        <f>VLOOKUP(D467,原始分!$D:$N,8,0)</f>
        <v>34</v>
      </c>
      <c r="Q467" s="174">
        <f t="shared" si="96"/>
        <v>412</v>
      </c>
      <c r="R467" s="174">
        <f>VLOOKUP(D467,原始分!$D:$N,9,0)</f>
        <v>0</v>
      </c>
      <c r="S467" s="174">
        <f t="shared" si="97"/>
        <v>218</v>
      </c>
      <c r="T467" s="174">
        <f>VLOOKUP(D467,原始分!$D:$N,10,0)</f>
        <v>51</v>
      </c>
      <c r="U467" s="174">
        <f t="shared" si="98"/>
        <v>72</v>
      </c>
      <c r="V467" s="174">
        <f>VLOOKUP(D467,原始分!$D:$N,11,0)</f>
        <v>0</v>
      </c>
      <c r="W467" s="174">
        <f t="shared" si="99"/>
        <v>461</v>
      </c>
      <c r="X467" s="11">
        <f t="shared" si="100"/>
        <v>270</v>
      </c>
      <c r="Y467" s="9">
        <f t="shared" si="101"/>
        <v>531</v>
      </c>
      <c r="Z467" s="11">
        <f t="shared" si="102"/>
        <v>411.5</v>
      </c>
      <c r="AA467" s="9">
        <f t="shared" si="103"/>
        <v>465</v>
      </c>
    </row>
    <row r="468" ht="14.25" spans="1:27">
      <c r="A468" s="13">
        <v>42</v>
      </c>
      <c r="B468" s="15">
        <v>1</v>
      </c>
      <c r="C468" s="16">
        <v>44</v>
      </c>
      <c r="D468" s="17" t="s">
        <v>98</v>
      </c>
      <c r="E468" s="17" t="s">
        <v>99</v>
      </c>
      <c r="F468" s="174">
        <f>VLOOKUP(D468,原始分!$D:$N,3,0)</f>
        <v>95.5</v>
      </c>
      <c r="G468" s="174">
        <f t="shared" si="91"/>
        <v>422</v>
      </c>
      <c r="H468" s="174">
        <f>VLOOKUP(D468,原始分!$D:$N,4,0)</f>
        <v>84.5</v>
      </c>
      <c r="I468" s="174">
        <f t="shared" si="92"/>
        <v>562</v>
      </c>
      <c r="J468" s="174">
        <f>VLOOKUP(D468,原始分!$D:$N,5,0)</f>
        <v>83.5</v>
      </c>
      <c r="K468" s="174">
        <f t="shared" si="93"/>
        <v>508</v>
      </c>
      <c r="L468" s="174">
        <f>VLOOKUP(D468,原始分!$D:$N,6,0)</f>
        <v>50.5</v>
      </c>
      <c r="M468" s="174">
        <f t="shared" si="94"/>
        <v>328</v>
      </c>
      <c r="N468" s="174">
        <f>VLOOKUP(D468,原始分!$D:$N,7,0)</f>
        <v>0</v>
      </c>
      <c r="O468" s="174">
        <f t="shared" si="95"/>
        <v>1</v>
      </c>
      <c r="P468" s="174">
        <f>VLOOKUP(D468,原始分!$D:$N,8,0)</f>
        <v>53</v>
      </c>
      <c r="Q468" s="174">
        <f t="shared" si="96"/>
        <v>69</v>
      </c>
      <c r="R468" s="174">
        <f>VLOOKUP(D468,原始分!$D:$N,9,0)</f>
        <v>0</v>
      </c>
      <c r="S468" s="174">
        <f t="shared" si="97"/>
        <v>218</v>
      </c>
      <c r="T468" s="174">
        <f>VLOOKUP(D468,原始分!$D:$N,10,0)</f>
        <v>44.5</v>
      </c>
      <c r="U468" s="174">
        <f t="shared" si="98"/>
        <v>106</v>
      </c>
      <c r="V468" s="174">
        <f>VLOOKUP(D468,原始分!$D:$N,11,0)</f>
        <v>0</v>
      </c>
      <c r="W468" s="174">
        <f t="shared" si="99"/>
        <v>461</v>
      </c>
      <c r="X468" s="11">
        <f t="shared" si="100"/>
        <v>263.5</v>
      </c>
      <c r="Y468" s="9">
        <f t="shared" si="101"/>
        <v>563</v>
      </c>
      <c r="Z468" s="11">
        <f t="shared" si="102"/>
        <v>411.5</v>
      </c>
      <c r="AA468" s="9">
        <f t="shared" si="103"/>
        <v>465</v>
      </c>
    </row>
    <row r="469" ht="14.25" spans="1:27">
      <c r="A469" s="13">
        <v>382</v>
      </c>
      <c r="B469" s="15">
        <v>8</v>
      </c>
      <c r="C469" s="16">
        <v>58</v>
      </c>
      <c r="D469" s="17" t="s">
        <v>774</v>
      </c>
      <c r="E469" s="17" t="s">
        <v>775</v>
      </c>
      <c r="F469" s="174">
        <f>VLOOKUP(D469,原始分!$D:$N,3,0)</f>
        <v>102.5</v>
      </c>
      <c r="G469" s="174">
        <f t="shared" si="91"/>
        <v>183</v>
      </c>
      <c r="H469" s="174">
        <f>VLOOKUP(D469,原始分!$D:$N,4,0)</f>
        <v>99.5</v>
      </c>
      <c r="I469" s="174">
        <f t="shared" si="92"/>
        <v>354</v>
      </c>
      <c r="J469" s="174">
        <f>VLOOKUP(D469,原始分!$D:$N,5,0)</f>
        <v>87</v>
      </c>
      <c r="K469" s="174">
        <f t="shared" si="93"/>
        <v>457</v>
      </c>
      <c r="L469" s="174">
        <f>VLOOKUP(D469,原始分!$D:$N,6,0)</f>
        <v>56</v>
      </c>
      <c r="M469" s="174">
        <f t="shared" si="94"/>
        <v>252</v>
      </c>
      <c r="N469" s="174">
        <f>VLOOKUP(D469,原始分!$D:$N,7,0)</f>
        <v>0</v>
      </c>
      <c r="O469" s="174">
        <f t="shared" si="95"/>
        <v>1</v>
      </c>
      <c r="P469" s="174">
        <f>VLOOKUP(D469,原始分!$D:$N,8,0)</f>
        <v>33</v>
      </c>
      <c r="Q469" s="174">
        <f t="shared" si="96"/>
        <v>433</v>
      </c>
      <c r="R469" s="174">
        <f>VLOOKUP(D469,原始分!$D:$N,9,0)</f>
        <v>0</v>
      </c>
      <c r="S469" s="174">
        <f t="shared" si="97"/>
        <v>218</v>
      </c>
      <c r="T469" s="174">
        <f>VLOOKUP(D469,原始分!$D:$N,10,0)</f>
        <v>0</v>
      </c>
      <c r="U469" s="174">
        <f t="shared" si="98"/>
        <v>112</v>
      </c>
      <c r="V469" s="174">
        <f>VLOOKUP(D469,原始分!$D:$N,11,0)</f>
        <v>33.5</v>
      </c>
      <c r="W469" s="174">
        <f t="shared" si="99"/>
        <v>436</v>
      </c>
      <c r="X469" s="11">
        <f t="shared" si="100"/>
        <v>289</v>
      </c>
      <c r="Y469" s="9">
        <f t="shared" si="101"/>
        <v>373</v>
      </c>
      <c r="Z469" s="11">
        <f t="shared" si="102"/>
        <v>411.5</v>
      </c>
      <c r="AA469" s="9">
        <f t="shared" si="103"/>
        <v>465</v>
      </c>
    </row>
    <row r="470" ht="14.25" spans="1:27">
      <c r="A470" s="13">
        <v>597</v>
      </c>
      <c r="B470" s="15">
        <v>12</v>
      </c>
      <c r="C470" s="16">
        <v>47</v>
      </c>
      <c r="D470" s="17" t="s">
        <v>1202</v>
      </c>
      <c r="E470" s="17" t="s">
        <v>1203</v>
      </c>
      <c r="F470" s="174">
        <f>VLOOKUP(D470,原始分!$D:$N,3,0)</f>
        <v>100.5</v>
      </c>
      <c r="G470" s="174">
        <f t="shared" si="91"/>
        <v>252</v>
      </c>
      <c r="H470" s="174">
        <f>VLOOKUP(D470,原始分!$D:$N,4,0)</f>
        <v>91</v>
      </c>
      <c r="I470" s="174">
        <f t="shared" si="92"/>
        <v>479</v>
      </c>
      <c r="J470" s="174">
        <f>VLOOKUP(D470,原始分!$D:$N,5,0)</f>
        <v>94.5</v>
      </c>
      <c r="K470" s="174">
        <f t="shared" si="93"/>
        <v>349</v>
      </c>
      <c r="L470" s="174">
        <f>VLOOKUP(D470,原始分!$D:$N,6,0)</f>
        <v>39</v>
      </c>
      <c r="M470" s="174">
        <f t="shared" si="94"/>
        <v>520</v>
      </c>
      <c r="N470" s="174">
        <f>VLOOKUP(D470,原始分!$D:$N,7,0)</f>
        <v>0</v>
      </c>
      <c r="O470" s="174">
        <f t="shared" si="95"/>
        <v>1</v>
      </c>
      <c r="P470" s="174">
        <f>VLOOKUP(D470,原始分!$D:$N,8,0)</f>
        <v>40.5</v>
      </c>
      <c r="Q470" s="174">
        <f t="shared" si="96"/>
        <v>301</v>
      </c>
      <c r="R470" s="174">
        <f>VLOOKUP(D470,原始分!$D:$N,9,0)</f>
        <v>0</v>
      </c>
      <c r="S470" s="174">
        <f t="shared" si="97"/>
        <v>218</v>
      </c>
      <c r="T470" s="174">
        <f>VLOOKUP(D470,原始分!$D:$N,10,0)</f>
        <v>0</v>
      </c>
      <c r="U470" s="174">
        <f t="shared" si="98"/>
        <v>112</v>
      </c>
      <c r="V470" s="174">
        <f>VLOOKUP(D470,原始分!$D:$N,11,0)</f>
        <v>46</v>
      </c>
      <c r="W470" s="174">
        <f t="shared" si="99"/>
        <v>316</v>
      </c>
      <c r="X470" s="11">
        <f t="shared" si="100"/>
        <v>286</v>
      </c>
      <c r="Y470" s="9">
        <f t="shared" si="101"/>
        <v>392</v>
      </c>
      <c r="Z470" s="11">
        <f t="shared" si="102"/>
        <v>411.5</v>
      </c>
      <c r="AA470" s="9">
        <f t="shared" si="103"/>
        <v>465</v>
      </c>
    </row>
    <row r="471" ht="14.25" spans="1:27">
      <c r="A471" s="13">
        <v>643</v>
      </c>
      <c r="B471" s="15">
        <v>13</v>
      </c>
      <c r="C471" s="16">
        <v>36</v>
      </c>
      <c r="D471" s="17" t="s">
        <v>1293</v>
      </c>
      <c r="E471" s="17" t="s">
        <v>1294</v>
      </c>
      <c r="F471" s="174">
        <f>VLOOKUP(D471,原始分!$D:$N,3,0)</f>
        <v>99.5</v>
      </c>
      <c r="G471" s="174">
        <f t="shared" si="91"/>
        <v>286</v>
      </c>
      <c r="H471" s="174">
        <f>VLOOKUP(D471,原始分!$D:$N,4,0)</f>
        <v>89</v>
      </c>
      <c r="I471" s="174">
        <f t="shared" si="92"/>
        <v>508</v>
      </c>
      <c r="J471" s="174">
        <f>VLOOKUP(D471,原始分!$D:$N,5,0)</f>
        <v>86.75</v>
      </c>
      <c r="K471" s="174">
        <f t="shared" si="93"/>
        <v>467</v>
      </c>
      <c r="L471" s="174">
        <f>VLOOKUP(D471,原始分!$D:$N,6,0)</f>
        <v>49</v>
      </c>
      <c r="M471" s="174">
        <f t="shared" si="94"/>
        <v>354</v>
      </c>
      <c r="N471" s="174">
        <f>VLOOKUP(D471,原始分!$D:$N,7,0)</f>
        <v>0</v>
      </c>
      <c r="O471" s="174">
        <f t="shared" si="95"/>
        <v>1</v>
      </c>
      <c r="P471" s="174">
        <f>VLOOKUP(D471,原始分!$D:$N,8,0)</f>
        <v>41.5</v>
      </c>
      <c r="Q471" s="174">
        <f t="shared" si="96"/>
        <v>278</v>
      </c>
      <c r="R471" s="174">
        <f>VLOOKUP(D471,原始分!$D:$N,9,0)</f>
        <v>0</v>
      </c>
      <c r="S471" s="174">
        <f t="shared" si="97"/>
        <v>218</v>
      </c>
      <c r="T471" s="174">
        <f>VLOOKUP(D471,原始分!$D:$N,10,0)</f>
        <v>0</v>
      </c>
      <c r="U471" s="174">
        <f t="shared" si="98"/>
        <v>112</v>
      </c>
      <c r="V471" s="174">
        <f>VLOOKUP(D471,原始分!$D:$N,11,0)</f>
        <v>45.5</v>
      </c>
      <c r="W471" s="174">
        <f t="shared" si="99"/>
        <v>326</v>
      </c>
      <c r="X471" s="11">
        <f t="shared" si="100"/>
        <v>275.25</v>
      </c>
      <c r="Y471" s="9">
        <f t="shared" si="101"/>
        <v>495</v>
      </c>
      <c r="Z471" s="11">
        <f t="shared" si="102"/>
        <v>411.25</v>
      </c>
      <c r="AA471" s="9">
        <f t="shared" si="103"/>
        <v>469</v>
      </c>
    </row>
    <row r="472" ht="14.25" spans="1:27">
      <c r="A472" s="13">
        <v>511</v>
      </c>
      <c r="B472" s="15">
        <v>11</v>
      </c>
      <c r="C472" s="16">
        <v>15</v>
      </c>
      <c r="D472" s="17" t="s">
        <v>1032</v>
      </c>
      <c r="E472" s="17" t="s">
        <v>1033</v>
      </c>
      <c r="F472" s="174">
        <f>VLOOKUP(D472,原始分!$D:$N,3,0)</f>
        <v>96</v>
      </c>
      <c r="G472" s="174">
        <f t="shared" si="91"/>
        <v>407</v>
      </c>
      <c r="H472" s="174">
        <f>VLOOKUP(D472,原始分!$D:$N,4,0)</f>
        <v>87.5</v>
      </c>
      <c r="I472" s="174">
        <f t="shared" si="92"/>
        <v>530</v>
      </c>
      <c r="J472" s="174">
        <f>VLOOKUP(D472,原始分!$D:$N,5,0)</f>
        <v>96.25</v>
      </c>
      <c r="K472" s="174">
        <f t="shared" si="93"/>
        <v>321</v>
      </c>
      <c r="L472" s="174">
        <f>VLOOKUP(D472,原始分!$D:$N,6,0)</f>
        <v>40.5</v>
      </c>
      <c r="M472" s="174">
        <f t="shared" si="94"/>
        <v>497</v>
      </c>
      <c r="N472" s="174">
        <f>VLOOKUP(D472,原始分!$D:$N,7,0)</f>
        <v>0</v>
      </c>
      <c r="O472" s="174">
        <f t="shared" si="95"/>
        <v>1</v>
      </c>
      <c r="P472" s="174">
        <f>VLOOKUP(D472,原始分!$D:$N,8,0)</f>
        <v>41.5</v>
      </c>
      <c r="Q472" s="174">
        <f t="shared" si="96"/>
        <v>278</v>
      </c>
      <c r="R472" s="174">
        <f>VLOOKUP(D472,原始分!$D:$N,9,0)</f>
        <v>0</v>
      </c>
      <c r="S472" s="174">
        <f t="shared" si="97"/>
        <v>218</v>
      </c>
      <c r="T472" s="174">
        <f>VLOOKUP(D472,原始分!$D:$N,10,0)</f>
        <v>0</v>
      </c>
      <c r="U472" s="174">
        <f t="shared" si="98"/>
        <v>112</v>
      </c>
      <c r="V472" s="174">
        <f>VLOOKUP(D472,原始分!$D:$N,11,0)</f>
        <v>49</v>
      </c>
      <c r="W472" s="174">
        <f t="shared" si="99"/>
        <v>262</v>
      </c>
      <c r="X472" s="11">
        <f t="shared" si="100"/>
        <v>279.75</v>
      </c>
      <c r="Y472" s="9">
        <f t="shared" si="101"/>
        <v>450</v>
      </c>
      <c r="Z472" s="11">
        <f t="shared" si="102"/>
        <v>410.75</v>
      </c>
      <c r="AA472" s="9">
        <f t="shared" si="103"/>
        <v>470</v>
      </c>
    </row>
    <row r="473" ht="14.25" spans="1:27">
      <c r="A473" s="13">
        <v>244</v>
      </c>
      <c r="B473" s="15">
        <v>5</v>
      </c>
      <c r="C473" s="16">
        <v>41</v>
      </c>
      <c r="D473" s="17" t="s">
        <v>501</v>
      </c>
      <c r="E473" s="17" t="s">
        <v>502</v>
      </c>
      <c r="F473" s="174">
        <f>VLOOKUP(D473,原始分!$D:$N,3,0)</f>
        <v>101</v>
      </c>
      <c r="G473" s="174">
        <f t="shared" si="91"/>
        <v>224</v>
      </c>
      <c r="H473" s="174">
        <f>VLOOKUP(D473,原始分!$D:$N,4,0)</f>
        <v>91</v>
      </c>
      <c r="I473" s="174">
        <f t="shared" si="92"/>
        <v>479</v>
      </c>
      <c r="J473" s="174">
        <f>VLOOKUP(D473,原始分!$D:$N,5,0)</f>
        <v>91</v>
      </c>
      <c r="K473" s="174">
        <f t="shared" si="93"/>
        <v>410</v>
      </c>
      <c r="L473" s="174">
        <f>VLOOKUP(D473,原始分!$D:$N,6,0)</f>
        <v>40.5</v>
      </c>
      <c r="M473" s="174">
        <f t="shared" si="94"/>
        <v>497</v>
      </c>
      <c r="N473" s="174">
        <f>VLOOKUP(D473,原始分!$D:$N,7,0)</f>
        <v>0</v>
      </c>
      <c r="O473" s="174">
        <f t="shared" si="95"/>
        <v>1</v>
      </c>
      <c r="P473" s="174">
        <f>VLOOKUP(D473,原始分!$D:$N,8,0)</f>
        <v>46</v>
      </c>
      <c r="Q473" s="174">
        <f t="shared" si="96"/>
        <v>193</v>
      </c>
      <c r="R473" s="174">
        <f>VLOOKUP(D473,原始分!$D:$N,9,0)</f>
        <v>41</v>
      </c>
      <c r="S473" s="174">
        <f t="shared" si="97"/>
        <v>190</v>
      </c>
      <c r="T473" s="174">
        <f>VLOOKUP(D473,原始分!$D:$N,10,0)</f>
        <v>0</v>
      </c>
      <c r="U473" s="174">
        <f t="shared" si="98"/>
        <v>112</v>
      </c>
      <c r="V473" s="174">
        <f>VLOOKUP(D473,原始分!$D:$N,11,0)</f>
        <v>0</v>
      </c>
      <c r="W473" s="174">
        <f t="shared" si="99"/>
        <v>461</v>
      </c>
      <c r="X473" s="11">
        <f t="shared" si="100"/>
        <v>283</v>
      </c>
      <c r="Y473" s="9">
        <f t="shared" si="101"/>
        <v>420</v>
      </c>
      <c r="Z473" s="11">
        <f t="shared" si="102"/>
        <v>410.5</v>
      </c>
      <c r="AA473" s="9">
        <f t="shared" si="103"/>
        <v>471</v>
      </c>
    </row>
    <row r="474" ht="14.25" spans="1:27">
      <c r="A474" s="13">
        <v>610</v>
      </c>
      <c r="B474" s="15">
        <v>13</v>
      </c>
      <c r="C474" s="16">
        <v>1</v>
      </c>
      <c r="D474" s="17" t="s">
        <v>1228</v>
      </c>
      <c r="E474" s="17" t="s">
        <v>1229</v>
      </c>
      <c r="F474" s="174">
        <f>VLOOKUP(D474,原始分!$D:$N,3,0)</f>
        <v>104</v>
      </c>
      <c r="G474" s="174">
        <f t="shared" si="91"/>
        <v>130</v>
      </c>
      <c r="H474" s="174">
        <f>VLOOKUP(D474,原始分!$D:$N,4,0)</f>
        <v>94.5</v>
      </c>
      <c r="I474" s="174">
        <f t="shared" si="92"/>
        <v>431</v>
      </c>
      <c r="J474" s="174">
        <f>VLOOKUP(D474,原始分!$D:$N,5,0)</f>
        <v>87</v>
      </c>
      <c r="K474" s="174">
        <f t="shared" si="93"/>
        <v>457</v>
      </c>
      <c r="L474" s="174">
        <f>VLOOKUP(D474,原始分!$D:$N,6,0)</f>
        <v>44.5</v>
      </c>
      <c r="M474" s="174">
        <f t="shared" si="94"/>
        <v>432</v>
      </c>
      <c r="N474" s="174">
        <f>VLOOKUP(D474,原始分!$D:$N,7,0)</f>
        <v>0</v>
      </c>
      <c r="O474" s="174">
        <f t="shared" si="95"/>
        <v>1</v>
      </c>
      <c r="P474" s="174">
        <f>VLOOKUP(D474,原始分!$D:$N,8,0)</f>
        <v>33.5</v>
      </c>
      <c r="Q474" s="174">
        <f t="shared" si="96"/>
        <v>420</v>
      </c>
      <c r="R474" s="174">
        <f>VLOOKUP(D474,原始分!$D:$N,9,0)</f>
        <v>0</v>
      </c>
      <c r="S474" s="174">
        <f t="shared" si="97"/>
        <v>218</v>
      </c>
      <c r="T474" s="174">
        <f>VLOOKUP(D474,原始分!$D:$N,10,0)</f>
        <v>0</v>
      </c>
      <c r="U474" s="174">
        <f t="shared" si="98"/>
        <v>112</v>
      </c>
      <c r="V474" s="174">
        <f>VLOOKUP(D474,原始分!$D:$N,11,0)</f>
        <v>47</v>
      </c>
      <c r="W474" s="174">
        <f t="shared" si="99"/>
        <v>296</v>
      </c>
      <c r="X474" s="11">
        <f t="shared" si="100"/>
        <v>285.5</v>
      </c>
      <c r="Y474" s="9">
        <f t="shared" si="101"/>
        <v>397</v>
      </c>
      <c r="Z474" s="11">
        <f t="shared" si="102"/>
        <v>410.5</v>
      </c>
      <c r="AA474" s="9">
        <f t="shared" si="103"/>
        <v>471</v>
      </c>
    </row>
    <row r="475" ht="14.25" spans="1:27">
      <c r="A475" s="13">
        <v>659</v>
      </c>
      <c r="B475" s="15">
        <v>13</v>
      </c>
      <c r="C475" s="16">
        <v>53</v>
      </c>
      <c r="D475" s="17" t="s">
        <v>1325</v>
      </c>
      <c r="E475" s="17" t="s">
        <v>49</v>
      </c>
      <c r="F475" s="174">
        <f>VLOOKUP(D475,原始分!$D:$N,3,0)</f>
        <v>83</v>
      </c>
      <c r="G475" s="174">
        <f t="shared" si="91"/>
        <v>646</v>
      </c>
      <c r="H475" s="174">
        <f>VLOOKUP(D475,原始分!$D:$N,4,0)</f>
        <v>104</v>
      </c>
      <c r="I475" s="174">
        <f t="shared" si="92"/>
        <v>290</v>
      </c>
      <c r="J475" s="174">
        <f>VLOOKUP(D475,原始分!$D:$N,5,0)</f>
        <v>70.5</v>
      </c>
      <c r="K475" s="174">
        <f t="shared" si="93"/>
        <v>622</v>
      </c>
      <c r="L475" s="174">
        <f>VLOOKUP(D475,原始分!$D:$N,6,0)</f>
        <v>60</v>
      </c>
      <c r="M475" s="174">
        <f t="shared" si="94"/>
        <v>187</v>
      </c>
      <c r="N475" s="174">
        <f>VLOOKUP(D475,原始分!$D:$N,7,0)</f>
        <v>0</v>
      </c>
      <c r="O475" s="174">
        <f t="shared" si="95"/>
        <v>1</v>
      </c>
      <c r="P475" s="174">
        <f>VLOOKUP(D475,原始分!$D:$N,8,0)</f>
        <v>41.5</v>
      </c>
      <c r="Q475" s="174">
        <f t="shared" si="96"/>
        <v>278</v>
      </c>
      <c r="R475" s="174">
        <f>VLOOKUP(D475,原始分!$D:$N,9,0)</f>
        <v>0</v>
      </c>
      <c r="S475" s="174">
        <f t="shared" si="97"/>
        <v>218</v>
      </c>
      <c r="T475" s="174">
        <f>VLOOKUP(D475,原始分!$D:$N,10,0)</f>
        <v>0</v>
      </c>
      <c r="U475" s="174">
        <f t="shared" si="98"/>
        <v>112</v>
      </c>
      <c r="V475" s="174">
        <f>VLOOKUP(D475,原始分!$D:$N,11,0)</f>
        <v>51.5</v>
      </c>
      <c r="W475" s="174">
        <f t="shared" si="99"/>
        <v>213</v>
      </c>
      <c r="X475" s="11">
        <f t="shared" si="100"/>
        <v>257.5</v>
      </c>
      <c r="Y475" s="9">
        <f t="shared" si="101"/>
        <v>590</v>
      </c>
      <c r="Z475" s="11">
        <f t="shared" si="102"/>
        <v>410.5</v>
      </c>
      <c r="AA475" s="9">
        <f t="shared" si="103"/>
        <v>471</v>
      </c>
    </row>
    <row r="476" ht="14.25" spans="1:27">
      <c r="A476" s="13">
        <v>2</v>
      </c>
      <c r="B476" s="15">
        <v>1</v>
      </c>
      <c r="C476" s="16">
        <v>2</v>
      </c>
      <c r="D476" s="17" t="s">
        <v>18</v>
      </c>
      <c r="E476" s="17" t="s">
        <v>19</v>
      </c>
      <c r="F476" s="174">
        <f>VLOOKUP(D476,原始分!$D:$N,3,0)</f>
        <v>97.5</v>
      </c>
      <c r="G476" s="174">
        <f t="shared" si="91"/>
        <v>372</v>
      </c>
      <c r="H476" s="174">
        <f>VLOOKUP(D476,原始分!$D:$N,4,0)</f>
        <v>101.5</v>
      </c>
      <c r="I476" s="174">
        <f t="shared" si="92"/>
        <v>328</v>
      </c>
      <c r="J476" s="174">
        <f>VLOOKUP(D476,原始分!$D:$N,5,0)</f>
        <v>83.5</v>
      </c>
      <c r="K476" s="174">
        <f t="shared" si="93"/>
        <v>508</v>
      </c>
      <c r="L476" s="174">
        <f>VLOOKUP(D476,原始分!$D:$N,6,0)</f>
        <v>32</v>
      </c>
      <c r="M476" s="174">
        <f t="shared" si="94"/>
        <v>603</v>
      </c>
      <c r="N476" s="174">
        <f>VLOOKUP(D476,原始分!$D:$N,7,0)</f>
        <v>0</v>
      </c>
      <c r="O476" s="174">
        <f t="shared" si="95"/>
        <v>1</v>
      </c>
      <c r="P476" s="174">
        <f>VLOOKUP(D476,原始分!$D:$N,8,0)</f>
        <v>36</v>
      </c>
      <c r="Q476" s="174">
        <f t="shared" si="96"/>
        <v>384</v>
      </c>
      <c r="R476" s="174">
        <f>VLOOKUP(D476,原始分!$D:$N,9,0)</f>
        <v>0</v>
      </c>
      <c r="S476" s="174">
        <f t="shared" si="97"/>
        <v>218</v>
      </c>
      <c r="T476" s="174">
        <f>VLOOKUP(D476,原始分!$D:$N,10,0)</f>
        <v>59.5</v>
      </c>
      <c r="U476" s="174">
        <f t="shared" si="98"/>
        <v>28</v>
      </c>
      <c r="V476" s="174">
        <f>VLOOKUP(D476,原始分!$D:$N,11,0)</f>
        <v>0</v>
      </c>
      <c r="W476" s="174">
        <f t="shared" si="99"/>
        <v>461</v>
      </c>
      <c r="X476" s="11">
        <f t="shared" si="100"/>
        <v>282.5</v>
      </c>
      <c r="Y476" s="9">
        <f t="shared" si="101"/>
        <v>425</v>
      </c>
      <c r="Z476" s="11">
        <f t="shared" si="102"/>
        <v>410</v>
      </c>
      <c r="AA476" s="9">
        <f t="shared" si="103"/>
        <v>474</v>
      </c>
    </row>
    <row r="477" ht="14.25" spans="1:27">
      <c r="A477" s="13">
        <v>38</v>
      </c>
      <c r="B477" s="15">
        <v>1</v>
      </c>
      <c r="C477" s="16">
        <v>40</v>
      </c>
      <c r="D477" s="17" t="s">
        <v>90</v>
      </c>
      <c r="E477" s="17" t="s">
        <v>91</v>
      </c>
      <c r="F477" s="174">
        <f>VLOOKUP(D477,原始分!$D:$N,3,0)</f>
        <v>102.5</v>
      </c>
      <c r="G477" s="174">
        <f t="shared" si="91"/>
        <v>183</v>
      </c>
      <c r="H477" s="174">
        <f>VLOOKUP(D477,原始分!$D:$N,4,0)</f>
        <v>92</v>
      </c>
      <c r="I477" s="174">
        <f t="shared" si="92"/>
        <v>469</v>
      </c>
      <c r="J477" s="174">
        <f>VLOOKUP(D477,原始分!$D:$N,5,0)</f>
        <v>80</v>
      </c>
      <c r="K477" s="174">
        <f t="shared" si="93"/>
        <v>550</v>
      </c>
      <c r="L477" s="174">
        <f>VLOOKUP(D477,原始分!$D:$N,6,0)</f>
        <v>46</v>
      </c>
      <c r="M477" s="174">
        <f t="shared" si="94"/>
        <v>411</v>
      </c>
      <c r="N477" s="174">
        <f>VLOOKUP(D477,原始分!$D:$N,7,0)</f>
        <v>0</v>
      </c>
      <c r="O477" s="174">
        <f t="shared" si="95"/>
        <v>1</v>
      </c>
      <c r="P477" s="174">
        <f>VLOOKUP(D477,原始分!$D:$N,8,0)</f>
        <v>41.5</v>
      </c>
      <c r="Q477" s="174">
        <f t="shared" si="96"/>
        <v>278</v>
      </c>
      <c r="R477" s="174">
        <f>VLOOKUP(D477,原始分!$D:$N,9,0)</f>
        <v>0</v>
      </c>
      <c r="S477" s="174">
        <f t="shared" si="97"/>
        <v>218</v>
      </c>
      <c r="T477" s="174">
        <f>VLOOKUP(D477,原始分!$D:$N,10,0)</f>
        <v>48</v>
      </c>
      <c r="U477" s="174">
        <f t="shared" si="98"/>
        <v>89</v>
      </c>
      <c r="V477" s="174">
        <f>VLOOKUP(D477,原始分!$D:$N,11,0)</f>
        <v>0</v>
      </c>
      <c r="W477" s="174">
        <f t="shared" si="99"/>
        <v>461</v>
      </c>
      <c r="X477" s="11">
        <f t="shared" si="100"/>
        <v>274.5</v>
      </c>
      <c r="Y477" s="9">
        <f t="shared" si="101"/>
        <v>502</v>
      </c>
      <c r="Z477" s="11">
        <f t="shared" si="102"/>
        <v>410</v>
      </c>
      <c r="AA477" s="9">
        <f t="shared" si="103"/>
        <v>474</v>
      </c>
    </row>
    <row r="478" ht="14.25" spans="1:27">
      <c r="A478" s="13">
        <v>629</v>
      </c>
      <c r="B478" s="15">
        <v>13</v>
      </c>
      <c r="C478" s="16">
        <v>22</v>
      </c>
      <c r="D478" s="17" t="s">
        <v>1266</v>
      </c>
      <c r="E478" s="17" t="s">
        <v>1267</v>
      </c>
      <c r="F478" s="174">
        <f>VLOOKUP(D478,原始分!$D:$N,3,0)</f>
        <v>101.5</v>
      </c>
      <c r="G478" s="174">
        <f t="shared" si="91"/>
        <v>210</v>
      </c>
      <c r="H478" s="174">
        <f>VLOOKUP(D478,原始分!$D:$N,4,0)</f>
        <v>84.5</v>
      </c>
      <c r="I478" s="174">
        <f t="shared" si="92"/>
        <v>562</v>
      </c>
      <c r="J478" s="174">
        <f>VLOOKUP(D478,原始分!$D:$N,5,0)</f>
        <v>92</v>
      </c>
      <c r="K478" s="174">
        <f t="shared" si="93"/>
        <v>392</v>
      </c>
      <c r="L478" s="174">
        <f>VLOOKUP(D478,原始分!$D:$N,6,0)</f>
        <v>42.5</v>
      </c>
      <c r="M478" s="174">
        <f t="shared" si="94"/>
        <v>470</v>
      </c>
      <c r="N478" s="174">
        <f>VLOOKUP(D478,原始分!$D:$N,7,0)</f>
        <v>0</v>
      </c>
      <c r="O478" s="174">
        <f t="shared" si="95"/>
        <v>1</v>
      </c>
      <c r="P478" s="174">
        <f>VLOOKUP(D478,原始分!$D:$N,8,0)</f>
        <v>41.5</v>
      </c>
      <c r="Q478" s="174">
        <f t="shared" si="96"/>
        <v>278</v>
      </c>
      <c r="R478" s="174">
        <f>VLOOKUP(D478,原始分!$D:$N,9,0)</f>
        <v>0</v>
      </c>
      <c r="S478" s="174">
        <f t="shared" si="97"/>
        <v>218</v>
      </c>
      <c r="T478" s="174">
        <f>VLOOKUP(D478,原始分!$D:$N,10,0)</f>
        <v>0</v>
      </c>
      <c r="U478" s="174">
        <f t="shared" si="98"/>
        <v>112</v>
      </c>
      <c r="V478" s="174">
        <f>VLOOKUP(D478,原始分!$D:$N,11,0)</f>
        <v>47.5</v>
      </c>
      <c r="W478" s="174">
        <f t="shared" si="99"/>
        <v>287</v>
      </c>
      <c r="X478" s="11">
        <f t="shared" si="100"/>
        <v>278</v>
      </c>
      <c r="Y478" s="9">
        <f t="shared" si="101"/>
        <v>469</v>
      </c>
      <c r="Z478" s="11">
        <f t="shared" si="102"/>
        <v>409.5</v>
      </c>
      <c r="AA478" s="9">
        <f t="shared" si="103"/>
        <v>476</v>
      </c>
    </row>
    <row r="479" ht="14.25" spans="1:27">
      <c r="A479" s="13">
        <v>591</v>
      </c>
      <c r="B479" s="15">
        <v>12</v>
      </c>
      <c r="C479" s="16">
        <v>41</v>
      </c>
      <c r="D479" s="17" t="s">
        <v>1190</v>
      </c>
      <c r="E479" s="17" t="s">
        <v>1191</v>
      </c>
      <c r="F479" s="174">
        <f>VLOOKUP(D479,原始分!$D:$N,3,0)</f>
        <v>91.75</v>
      </c>
      <c r="G479" s="174">
        <f t="shared" si="91"/>
        <v>537</v>
      </c>
      <c r="H479" s="174">
        <f>VLOOKUP(D479,原始分!$D:$N,4,0)</f>
        <v>91.5</v>
      </c>
      <c r="I479" s="174">
        <f t="shared" si="92"/>
        <v>475</v>
      </c>
      <c r="J479" s="174">
        <f>VLOOKUP(D479,原始分!$D:$N,5,0)</f>
        <v>94.75</v>
      </c>
      <c r="K479" s="174">
        <f t="shared" si="93"/>
        <v>345</v>
      </c>
      <c r="L479" s="174">
        <f>VLOOKUP(D479,原始分!$D:$N,6,0)</f>
        <v>35</v>
      </c>
      <c r="M479" s="174">
        <f t="shared" si="94"/>
        <v>572</v>
      </c>
      <c r="N479" s="174">
        <f>VLOOKUP(D479,原始分!$D:$N,7,0)</f>
        <v>0</v>
      </c>
      <c r="O479" s="174">
        <f t="shared" si="95"/>
        <v>1</v>
      </c>
      <c r="P479" s="174">
        <f>VLOOKUP(D479,原始分!$D:$N,8,0)</f>
        <v>37</v>
      </c>
      <c r="Q479" s="174">
        <f t="shared" si="96"/>
        <v>374</v>
      </c>
      <c r="R479" s="174">
        <f>VLOOKUP(D479,原始分!$D:$N,9,0)</f>
        <v>0</v>
      </c>
      <c r="S479" s="174">
        <f t="shared" si="97"/>
        <v>218</v>
      </c>
      <c r="T479" s="174">
        <f>VLOOKUP(D479,原始分!$D:$N,10,0)</f>
        <v>0</v>
      </c>
      <c r="U479" s="174">
        <f t="shared" si="98"/>
        <v>112</v>
      </c>
      <c r="V479" s="174">
        <f>VLOOKUP(D479,原始分!$D:$N,11,0)</f>
        <v>59</v>
      </c>
      <c r="W479" s="174">
        <f t="shared" si="99"/>
        <v>90</v>
      </c>
      <c r="X479" s="11">
        <f t="shared" si="100"/>
        <v>278</v>
      </c>
      <c r="Y479" s="9">
        <f t="shared" si="101"/>
        <v>469</v>
      </c>
      <c r="Z479" s="11">
        <f t="shared" si="102"/>
        <v>409</v>
      </c>
      <c r="AA479" s="9">
        <f t="shared" si="103"/>
        <v>477</v>
      </c>
    </row>
    <row r="480" ht="14.25" spans="1:27">
      <c r="A480" s="13">
        <v>500</v>
      </c>
      <c r="B480" s="15">
        <v>11</v>
      </c>
      <c r="C480" s="16">
        <v>4</v>
      </c>
      <c r="D480" s="17" t="s">
        <v>1010</v>
      </c>
      <c r="E480" s="17" t="s">
        <v>1011</v>
      </c>
      <c r="F480" s="174">
        <f>VLOOKUP(D480,原始分!$D:$N,3,0)</f>
        <v>99.5</v>
      </c>
      <c r="G480" s="174">
        <f t="shared" si="91"/>
        <v>286</v>
      </c>
      <c r="H480" s="174">
        <f>VLOOKUP(D480,原始分!$D:$N,4,0)</f>
        <v>83.5</v>
      </c>
      <c r="I480" s="174">
        <f t="shared" si="92"/>
        <v>572</v>
      </c>
      <c r="J480" s="174">
        <f>VLOOKUP(D480,原始分!$D:$N,5,0)</f>
        <v>86</v>
      </c>
      <c r="K480" s="174">
        <f t="shared" si="93"/>
        <v>474</v>
      </c>
      <c r="L480" s="174">
        <f>VLOOKUP(D480,原始分!$D:$N,6,0)</f>
        <v>47</v>
      </c>
      <c r="M480" s="174">
        <f t="shared" si="94"/>
        <v>391</v>
      </c>
      <c r="N480" s="174">
        <f>VLOOKUP(D480,原始分!$D:$N,7,0)</f>
        <v>0</v>
      </c>
      <c r="O480" s="174">
        <f t="shared" si="95"/>
        <v>1</v>
      </c>
      <c r="P480" s="174">
        <f>VLOOKUP(D480,原始分!$D:$N,8,0)</f>
        <v>52.5</v>
      </c>
      <c r="Q480" s="174">
        <f t="shared" si="96"/>
        <v>81</v>
      </c>
      <c r="R480" s="174">
        <f>VLOOKUP(D480,原始分!$D:$N,9,0)</f>
        <v>0</v>
      </c>
      <c r="S480" s="174">
        <f t="shared" si="97"/>
        <v>218</v>
      </c>
      <c r="T480" s="174">
        <f>VLOOKUP(D480,原始分!$D:$N,10,0)</f>
        <v>0</v>
      </c>
      <c r="U480" s="174">
        <f t="shared" si="98"/>
        <v>112</v>
      </c>
      <c r="V480" s="174">
        <f>VLOOKUP(D480,原始分!$D:$N,11,0)</f>
        <v>40</v>
      </c>
      <c r="W480" s="174">
        <f t="shared" si="99"/>
        <v>403</v>
      </c>
      <c r="X480" s="11">
        <f t="shared" si="100"/>
        <v>269</v>
      </c>
      <c r="Y480" s="9">
        <f t="shared" si="101"/>
        <v>538</v>
      </c>
      <c r="Z480" s="11">
        <f t="shared" si="102"/>
        <v>408.5</v>
      </c>
      <c r="AA480" s="9">
        <f t="shared" si="103"/>
        <v>478</v>
      </c>
    </row>
    <row r="481" ht="14.25" spans="1:27">
      <c r="A481" s="13">
        <v>109</v>
      </c>
      <c r="B481" s="15">
        <v>2</v>
      </c>
      <c r="C481" s="16">
        <v>48</v>
      </c>
      <c r="D481" s="17" t="s">
        <v>231</v>
      </c>
      <c r="E481" s="17" t="s">
        <v>232</v>
      </c>
      <c r="F481" s="174">
        <f>VLOOKUP(D481,原始分!$D:$N,3,0)</f>
        <v>103.5</v>
      </c>
      <c r="G481" s="174">
        <f t="shared" si="91"/>
        <v>146</v>
      </c>
      <c r="H481" s="174">
        <f>VLOOKUP(D481,原始分!$D:$N,4,0)</f>
        <v>92.5</v>
      </c>
      <c r="I481" s="174">
        <f t="shared" si="92"/>
        <v>462</v>
      </c>
      <c r="J481" s="174">
        <f>VLOOKUP(D481,原始分!$D:$N,5,0)</f>
        <v>77.5</v>
      </c>
      <c r="K481" s="174">
        <f t="shared" si="93"/>
        <v>571</v>
      </c>
      <c r="L481" s="174">
        <f>VLOOKUP(D481,原始分!$D:$N,6,0)</f>
        <v>38</v>
      </c>
      <c r="M481" s="174">
        <f t="shared" si="94"/>
        <v>537</v>
      </c>
      <c r="N481" s="174">
        <f>VLOOKUP(D481,原始分!$D:$N,7,0)</f>
        <v>0</v>
      </c>
      <c r="O481" s="174">
        <f t="shared" si="95"/>
        <v>1</v>
      </c>
      <c r="P481" s="174">
        <f>VLOOKUP(D481,原始分!$D:$N,8,0)</f>
        <v>0</v>
      </c>
      <c r="Q481" s="174">
        <f t="shared" si="96"/>
        <v>539</v>
      </c>
      <c r="R481" s="174">
        <f>VLOOKUP(D481,原始分!$D:$N,9,0)</f>
        <v>0</v>
      </c>
      <c r="S481" s="174">
        <f t="shared" si="97"/>
        <v>218</v>
      </c>
      <c r="T481" s="174">
        <f>VLOOKUP(D481,原始分!$D:$N,10,0)</f>
        <v>53.5</v>
      </c>
      <c r="U481" s="174">
        <f t="shared" si="98"/>
        <v>63</v>
      </c>
      <c r="V481" s="174">
        <f>VLOOKUP(D481,原始分!$D:$N,11,0)</f>
        <v>43</v>
      </c>
      <c r="W481" s="174">
        <f t="shared" si="99"/>
        <v>370</v>
      </c>
      <c r="X481" s="11">
        <f t="shared" si="100"/>
        <v>273.5</v>
      </c>
      <c r="Y481" s="9">
        <f t="shared" si="101"/>
        <v>505</v>
      </c>
      <c r="Z481" s="11">
        <f t="shared" si="102"/>
        <v>408</v>
      </c>
      <c r="AA481" s="9">
        <f t="shared" si="103"/>
        <v>479</v>
      </c>
    </row>
    <row r="482" ht="14.25" spans="1:27">
      <c r="A482" s="13">
        <v>239</v>
      </c>
      <c r="B482" s="15">
        <v>5</v>
      </c>
      <c r="C482" s="16">
        <v>36</v>
      </c>
      <c r="D482" s="17" t="s">
        <v>491</v>
      </c>
      <c r="E482" s="17" t="s">
        <v>492</v>
      </c>
      <c r="F482" s="174">
        <f>VLOOKUP(D482,原始分!$D:$N,3,0)</f>
        <v>94</v>
      </c>
      <c r="G482" s="174">
        <f t="shared" si="91"/>
        <v>478</v>
      </c>
      <c r="H482" s="174">
        <f>VLOOKUP(D482,原始分!$D:$N,4,0)</f>
        <v>93</v>
      </c>
      <c r="I482" s="174">
        <f t="shared" si="92"/>
        <v>457</v>
      </c>
      <c r="J482" s="174">
        <f>VLOOKUP(D482,原始分!$D:$N,5,0)</f>
        <v>111.5</v>
      </c>
      <c r="K482" s="174">
        <f t="shared" si="93"/>
        <v>90</v>
      </c>
      <c r="L482" s="174">
        <f>VLOOKUP(D482,原始分!$D:$N,6,0)</f>
        <v>30</v>
      </c>
      <c r="M482" s="174">
        <f t="shared" si="94"/>
        <v>611</v>
      </c>
      <c r="N482" s="174">
        <f>VLOOKUP(D482,原始分!$D:$N,7,0)</f>
        <v>0</v>
      </c>
      <c r="O482" s="174">
        <f t="shared" si="95"/>
        <v>1</v>
      </c>
      <c r="P482" s="174">
        <f>VLOOKUP(D482,原始分!$D:$N,8,0)</f>
        <v>34.5</v>
      </c>
      <c r="Q482" s="174">
        <f t="shared" si="96"/>
        <v>407</v>
      </c>
      <c r="R482" s="174">
        <f>VLOOKUP(D482,原始分!$D:$N,9,0)</f>
        <v>45</v>
      </c>
      <c r="S482" s="174">
        <f t="shared" si="97"/>
        <v>155</v>
      </c>
      <c r="T482" s="174">
        <f>VLOOKUP(D482,原始分!$D:$N,10,0)</f>
        <v>0</v>
      </c>
      <c r="U482" s="174">
        <f t="shared" si="98"/>
        <v>112</v>
      </c>
      <c r="V482" s="174">
        <f>VLOOKUP(D482,原始分!$D:$N,11,0)</f>
        <v>0</v>
      </c>
      <c r="W482" s="174">
        <f t="shared" si="99"/>
        <v>461</v>
      </c>
      <c r="X482" s="11">
        <f t="shared" si="100"/>
        <v>298.5</v>
      </c>
      <c r="Y482" s="9">
        <f t="shared" si="101"/>
        <v>289</v>
      </c>
      <c r="Z482" s="11">
        <f t="shared" si="102"/>
        <v>408</v>
      </c>
      <c r="AA482" s="9">
        <f t="shared" si="103"/>
        <v>479</v>
      </c>
    </row>
    <row r="483" ht="14.25" spans="1:27">
      <c r="A483" s="13">
        <v>268</v>
      </c>
      <c r="B483" s="15">
        <v>6</v>
      </c>
      <c r="C483" s="16">
        <v>20</v>
      </c>
      <c r="D483" s="17" t="s">
        <v>547</v>
      </c>
      <c r="E483" s="17" t="s">
        <v>548</v>
      </c>
      <c r="F483" s="174">
        <f>VLOOKUP(D483,原始分!$D:$N,3,0)</f>
        <v>90</v>
      </c>
      <c r="G483" s="174">
        <f t="shared" si="91"/>
        <v>581</v>
      </c>
      <c r="H483" s="174">
        <f>VLOOKUP(D483,原始分!$D:$N,4,0)</f>
        <v>88</v>
      </c>
      <c r="I483" s="174">
        <f t="shared" si="92"/>
        <v>522</v>
      </c>
      <c r="J483" s="174">
        <f>VLOOKUP(D483,原始分!$D:$N,5,0)</f>
        <v>106.5</v>
      </c>
      <c r="K483" s="174">
        <f t="shared" si="93"/>
        <v>145</v>
      </c>
      <c r="L483" s="174">
        <f>VLOOKUP(D483,原始分!$D:$N,6,0)</f>
        <v>33.5</v>
      </c>
      <c r="M483" s="174">
        <f t="shared" si="94"/>
        <v>592</v>
      </c>
      <c r="N483" s="174">
        <f>VLOOKUP(D483,原始分!$D:$N,7,0)</f>
        <v>0</v>
      </c>
      <c r="O483" s="174">
        <f t="shared" si="95"/>
        <v>1</v>
      </c>
      <c r="P483" s="174">
        <f>VLOOKUP(D483,原始分!$D:$N,8,0)</f>
        <v>0</v>
      </c>
      <c r="Q483" s="174">
        <f t="shared" si="96"/>
        <v>539</v>
      </c>
      <c r="R483" s="174">
        <f>VLOOKUP(D483,原始分!$D:$N,9,0)</f>
        <v>44.5</v>
      </c>
      <c r="S483" s="174">
        <f t="shared" si="97"/>
        <v>161</v>
      </c>
      <c r="T483" s="174">
        <f>VLOOKUP(D483,原始分!$D:$N,10,0)</f>
        <v>0</v>
      </c>
      <c r="U483" s="174">
        <f t="shared" si="98"/>
        <v>112</v>
      </c>
      <c r="V483" s="174">
        <f>VLOOKUP(D483,原始分!$D:$N,11,0)</f>
        <v>45.5</v>
      </c>
      <c r="W483" s="174">
        <f t="shared" si="99"/>
        <v>326</v>
      </c>
      <c r="X483" s="11">
        <f t="shared" si="100"/>
        <v>284.5</v>
      </c>
      <c r="Y483" s="9">
        <f t="shared" si="101"/>
        <v>405</v>
      </c>
      <c r="Z483" s="11">
        <f t="shared" si="102"/>
        <v>408</v>
      </c>
      <c r="AA483" s="9">
        <f t="shared" si="103"/>
        <v>479</v>
      </c>
    </row>
    <row r="484" ht="14.25" spans="1:27">
      <c r="A484" s="13">
        <v>587</v>
      </c>
      <c r="B484" s="15">
        <v>12</v>
      </c>
      <c r="C484" s="16">
        <v>37</v>
      </c>
      <c r="D484" s="17" t="s">
        <v>1182</v>
      </c>
      <c r="E484" s="17" t="s">
        <v>1183</v>
      </c>
      <c r="F484" s="174">
        <f>VLOOKUP(D484,原始分!$D:$N,3,0)</f>
        <v>91.5</v>
      </c>
      <c r="G484" s="174">
        <f t="shared" si="91"/>
        <v>538</v>
      </c>
      <c r="H484" s="174">
        <f>VLOOKUP(D484,原始分!$D:$N,4,0)</f>
        <v>98.5</v>
      </c>
      <c r="I484" s="174">
        <f t="shared" si="92"/>
        <v>366</v>
      </c>
      <c r="J484" s="174">
        <f>VLOOKUP(D484,原始分!$D:$N,5,0)</f>
        <v>105</v>
      </c>
      <c r="K484" s="174">
        <f t="shared" si="93"/>
        <v>173</v>
      </c>
      <c r="L484" s="174">
        <f>VLOOKUP(D484,原始分!$D:$N,6,0)</f>
        <v>33</v>
      </c>
      <c r="M484" s="174">
        <f t="shared" si="94"/>
        <v>596</v>
      </c>
      <c r="N484" s="174">
        <f>VLOOKUP(D484,原始分!$D:$N,7,0)</f>
        <v>0</v>
      </c>
      <c r="O484" s="174">
        <f t="shared" si="95"/>
        <v>1</v>
      </c>
      <c r="P484" s="174">
        <f>VLOOKUP(D484,原始分!$D:$N,8,0)</f>
        <v>42</v>
      </c>
      <c r="Q484" s="174">
        <f t="shared" si="96"/>
        <v>265</v>
      </c>
      <c r="R484" s="174">
        <f>VLOOKUP(D484,原始分!$D:$N,9,0)</f>
        <v>0</v>
      </c>
      <c r="S484" s="174">
        <f t="shared" si="97"/>
        <v>218</v>
      </c>
      <c r="T484" s="174">
        <f>VLOOKUP(D484,原始分!$D:$N,10,0)</f>
        <v>0</v>
      </c>
      <c r="U484" s="174">
        <f t="shared" si="98"/>
        <v>112</v>
      </c>
      <c r="V484" s="174">
        <f>VLOOKUP(D484,原始分!$D:$N,11,0)</f>
        <v>38</v>
      </c>
      <c r="W484" s="174">
        <f t="shared" si="99"/>
        <v>415</v>
      </c>
      <c r="X484" s="11">
        <f t="shared" si="100"/>
        <v>295</v>
      </c>
      <c r="Y484" s="9">
        <f t="shared" si="101"/>
        <v>314</v>
      </c>
      <c r="Z484" s="11">
        <f t="shared" si="102"/>
        <v>408</v>
      </c>
      <c r="AA484" s="9">
        <f t="shared" si="103"/>
        <v>479</v>
      </c>
    </row>
    <row r="485" ht="14.25" spans="1:27">
      <c r="A485" s="13">
        <v>637</v>
      </c>
      <c r="B485" s="15">
        <v>13</v>
      </c>
      <c r="C485" s="16">
        <v>30</v>
      </c>
      <c r="D485" s="17" t="s">
        <v>1282</v>
      </c>
      <c r="E485" s="17" t="s">
        <v>1283</v>
      </c>
      <c r="F485" s="174">
        <f>VLOOKUP(D485,原始分!$D:$N,3,0)</f>
        <v>104</v>
      </c>
      <c r="G485" s="174">
        <f t="shared" si="91"/>
        <v>130</v>
      </c>
      <c r="H485" s="174">
        <f>VLOOKUP(D485,原始分!$D:$N,4,0)</f>
        <v>92.5</v>
      </c>
      <c r="I485" s="174">
        <f t="shared" si="92"/>
        <v>462</v>
      </c>
      <c r="J485" s="174">
        <f>VLOOKUP(D485,原始分!$D:$N,5,0)</f>
        <v>79.5</v>
      </c>
      <c r="K485" s="174">
        <f t="shared" si="93"/>
        <v>558</v>
      </c>
      <c r="L485" s="174">
        <f>VLOOKUP(D485,原始分!$D:$N,6,0)</f>
        <v>47.5</v>
      </c>
      <c r="M485" s="174">
        <f t="shared" si="94"/>
        <v>382</v>
      </c>
      <c r="N485" s="174">
        <f>VLOOKUP(D485,原始分!$D:$N,7,0)</f>
        <v>0</v>
      </c>
      <c r="O485" s="174">
        <f t="shared" si="95"/>
        <v>1</v>
      </c>
      <c r="P485" s="174">
        <f>VLOOKUP(D485,原始分!$D:$N,8,0)</f>
        <v>32.5</v>
      </c>
      <c r="Q485" s="174">
        <f t="shared" si="96"/>
        <v>445</v>
      </c>
      <c r="R485" s="174">
        <f>VLOOKUP(D485,原始分!$D:$N,9,0)</f>
        <v>0</v>
      </c>
      <c r="S485" s="174">
        <f t="shared" si="97"/>
        <v>218</v>
      </c>
      <c r="T485" s="174">
        <f>VLOOKUP(D485,原始分!$D:$N,10,0)</f>
        <v>0</v>
      </c>
      <c r="U485" s="174">
        <f t="shared" si="98"/>
        <v>112</v>
      </c>
      <c r="V485" s="174">
        <f>VLOOKUP(D485,原始分!$D:$N,11,0)</f>
        <v>52</v>
      </c>
      <c r="W485" s="174">
        <f t="shared" si="99"/>
        <v>204</v>
      </c>
      <c r="X485" s="11">
        <f t="shared" si="100"/>
        <v>276</v>
      </c>
      <c r="Y485" s="9">
        <f t="shared" si="101"/>
        <v>490</v>
      </c>
      <c r="Z485" s="11">
        <f t="shared" si="102"/>
        <v>408</v>
      </c>
      <c r="AA485" s="9">
        <f t="shared" si="103"/>
        <v>479</v>
      </c>
    </row>
    <row r="486" ht="14.25" spans="1:27">
      <c r="A486" s="13">
        <v>661</v>
      </c>
      <c r="B486" s="15">
        <v>13</v>
      </c>
      <c r="C486" s="16">
        <v>55</v>
      </c>
      <c r="D486" s="17" t="s">
        <v>1328</v>
      </c>
      <c r="E486" s="17" t="s">
        <v>1329</v>
      </c>
      <c r="F486" s="174">
        <f>VLOOKUP(D486,原始分!$D:$N,3,0)</f>
        <v>97.5</v>
      </c>
      <c r="G486" s="174">
        <f t="shared" si="91"/>
        <v>372</v>
      </c>
      <c r="H486" s="174">
        <f>VLOOKUP(D486,原始分!$D:$N,4,0)</f>
        <v>103.5</v>
      </c>
      <c r="I486" s="174">
        <f t="shared" si="92"/>
        <v>302</v>
      </c>
      <c r="J486" s="174">
        <f>VLOOKUP(D486,原始分!$D:$N,5,0)</f>
        <v>72</v>
      </c>
      <c r="K486" s="174">
        <f t="shared" si="93"/>
        <v>610</v>
      </c>
      <c r="L486" s="174">
        <f>VLOOKUP(D486,原始分!$D:$N,6,0)</f>
        <v>49.5</v>
      </c>
      <c r="M486" s="174">
        <f t="shared" si="94"/>
        <v>341</v>
      </c>
      <c r="N486" s="174">
        <f>VLOOKUP(D486,原始分!$D:$N,7,0)</f>
        <v>0</v>
      </c>
      <c r="O486" s="174">
        <f t="shared" si="95"/>
        <v>1</v>
      </c>
      <c r="P486" s="174">
        <f>VLOOKUP(D486,原始分!$D:$N,8,0)</f>
        <v>36.5</v>
      </c>
      <c r="Q486" s="174">
        <f t="shared" si="96"/>
        <v>378</v>
      </c>
      <c r="R486" s="174">
        <f>VLOOKUP(D486,原始分!$D:$N,9,0)</f>
        <v>0</v>
      </c>
      <c r="S486" s="174">
        <f t="shared" si="97"/>
        <v>218</v>
      </c>
      <c r="T486" s="174">
        <f>VLOOKUP(D486,原始分!$D:$N,10,0)</f>
        <v>0</v>
      </c>
      <c r="U486" s="174">
        <f t="shared" si="98"/>
        <v>112</v>
      </c>
      <c r="V486" s="174">
        <f>VLOOKUP(D486,原始分!$D:$N,11,0)</f>
        <v>49</v>
      </c>
      <c r="W486" s="174">
        <f t="shared" si="99"/>
        <v>262</v>
      </c>
      <c r="X486" s="11">
        <f t="shared" si="100"/>
        <v>273</v>
      </c>
      <c r="Y486" s="9">
        <f t="shared" si="101"/>
        <v>508</v>
      </c>
      <c r="Z486" s="11">
        <f t="shared" si="102"/>
        <v>408</v>
      </c>
      <c r="AA486" s="9">
        <f t="shared" si="103"/>
        <v>479</v>
      </c>
    </row>
    <row r="487" ht="14.25" spans="1:27">
      <c r="A487" s="13">
        <v>20</v>
      </c>
      <c r="B487" s="15">
        <v>1</v>
      </c>
      <c r="C487" s="16">
        <v>22</v>
      </c>
      <c r="D487" s="17" t="s">
        <v>54</v>
      </c>
      <c r="E487" s="17" t="s">
        <v>55</v>
      </c>
      <c r="F487" s="174">
        <f>VLOOKUP(D487,原始分!$D:$N,3,0)</f>
        <v>93.5</v>
      </c>
      <c r="G487" s="174">
        <f t="shared" si="91"/>
        <v>491</v>
      </c>
      <c r="H487" s="174">
        <f>VLOOKUP(D487,原始分!$D:$N,4,0)</f>
        <v>96.5</v>
      </c>
      <c r="I487" s="174">
        <f t="shared" si="92"/>
        <v>399</v>
      </c>
      <c r="J487" s="174">
        <f>VLOOKUP(D487,原始分!$D:$N,5,0)</f>
        <v>93.25</v>
      </c>
      <c r="K487" s="174">
        <f t="shared" si="93"/>
        <v>371</v>
      </c>
      <c r="L487" s="174">
        <f>VLOOKUP(D487,原始分!$D:$N,6,0)</f>
        <v>46.5</v>
      </c>
      <c r="M487" s="174">
        <f t="shared" si="94"/>
        <v>404</v>
      </c>
      <c r="N487" s="174">
        <f>VLOOKUP(D487,原始分!$D:$N,7,0)</f>
        <v>0</v>
      </c>
      <c r="O487" s="174">
        <f t="shared" si="95"/>
        <v>1</v>
      </c>
      <c r="P487" s="174">
        <f>VLOOKUP(D487,原始分!$D:$N,8,0)</f>
        <v>27.5</v>
      </c>
      <c r="Q487" s="174">
        <f t="shared" si="96"/>
        <v>495</v>
      </c>
      <c r="R487" s="174">
        <f>VLOOKUP(D487,原始分!$D:$N,9,0)</f>
        <v>0</v>
      </c>
      <c r="S487" s="174">
        <f t="shared" si="97"/>
        <v>218</v>
      </c>
      <c r="T487" s="174">
        <f>VLOOKUP(D487,原始分!$D:$N,10,0)</f>
        <v>50.5</v>
      </c>
      <c r="U487" s="174">
        <f t="shared" si="98"/>
        <v>76</v>
      </c>
      <c r="V487" s="174">
        <f>VLOOKUP(D487,原始分!$D:$N,11,0)</f>
        <v>0</v>
      </c>
      <c r="W487" s="174">
        <f t="shared" si="99"/>
        <v>461</v>
      </c>
      <c r="X487" s="11">
        <f t="shared" si="100"/>
        <v>283.25</v>
      </c>
      <c r="Y487" s="9">
        <f t="shared" si="101"/>
        <v>416</v>
      </c>
      <c r="Z487" s="11">
        <f t="shared" si="102"/>
        <v>407.75</v>
      </c>
      <c r="AA487" s="9">
        <f t="shared" si="103"/>
        <v>485</v>
      </c>
    </row>
    <row r="488" ht="14.25" spans="1:27">
      <c r="A488" s="13">
        <v>60</v>
      </c>
      <c r="B488" s="15">
        <v>1</v>
      </c>
      <c r="C488" s="16">
        <v>62</v>
      </c>
      <c r="D488" s="17" t="s">
        <v>134</v>
      </c>
      <c r="E488" s="17" t="s">
        <v>135</v>
      </c>
      <c r="F488" s="174">
        <f>VLOOKUP(D488,原始分!$D:$N,3,0)</f>
        <v>99</v>
      </c>
      <c r="G488" s="174">
        <f t="shared" si="91"/>
        <v>304</v>
      </c>
      <c r="H488" s="174">
        <f>VLOOKUP(D488,原始分!$D:$N,4,0)</f>
        <v>86</v>
      </c>
      <c r="I488" s="174">
        <f t="shared" si="92"/>
        <v>550</v>
      </c>
      <c r="J488" s="174">
        <f>VLOOKUP(D488,原始分!$D:$N,5,0)</f>
        <v>90</v>
      </c>
      <c r="K488" s="174">
        <f t="shared" si="93"/>
        <v>422</v>
      </c>
      <c r="L488" s="174">
        <f>VLOOKUP(D488,原始分!$D:$N,6,0)</f>
        <v>34.5</v>
      </c>
      <c r="M488" s="174">
        <f t="shared" si="94"/>
        <v>582</v>
      </c>
      <c r="N488" s="174">
        <f>VLOOKUP(D488,原始分!$D:$N,7,0)</f>
        <v>0</v>
      </c>
      <c r="O488" s="174">
        <f t="shared" si="95"/>
        <v>1</v>
      </c>
      <c r="P488" s="174">
        <f>VLOOKUP(D488,原始分!$D:$N,8,0)</f>
        <v>41.5</v>
      </c>
      <c r="Q488" s="174">
        <f t="shared" si="96"/>
        <v>278</v>
      </c>
      <c r="R488" s="174">
        <f>VLOOKUP(D488,原始分!$D:$N,9,0)</f>
        <v>0</v>
      </c>
      <c r="S488" s="174">
        <f t="shared" si="97"/>
        <v>218</v>
      </c>
      <c r="T488" s="174">
        <f>VLOOKUP(D488,原始分!$D:$N,10,0)</f>
        <v>56.5</v>
      </c>
      <c r="U488" s="174">
        <f t="shared" si="98"/>
        <v>46</v>
      </c>
      <c r="V488" s="174">
        <f>VLOOKUP(D488,原始分!$D:$N,11,0)</f>
        <v>0</v>
      </c>
      <c r="W488" s="174">
        <f t="shared" si="99"/>
        <v>461</v>
      </c>
      <c r="X488" s="11">
        <f t="shared" si="100"/>
        <v>275</v>
      </c>
      <c r="Y488" s="9">
        <f t="shared" si="101"/>
        <v>497</v>
      </c>
      <c r="Z488" s="11">
        <f t="shared" si="102"/>
        <v>407.5</v>
      </c>
      <c r="AA488" s="9">
        <f t="shared" si="103"/>
        <v>486</v>
      </c>
    </row>
    <row r="489" ht="14.25" spans="1:27">
      <c r="A489" s="13">
        <v>631</v>
      </c>
      <c r="B489" s="15">
        <v>13</v>
      </c>
      <c r="C489" s="16">
        <v>24</v>
      </c>
      <c r="D489" s="17" t="s">
        <v>1270</v>
      </c>
      <c r="E489" s="17" t="s">
        <v>1271</v>
      </c>
      <c r="F489" s="174">
        <f>VLOOKUP(D489,原始分!$D:$N,3,0)</f>
        <v>108</v>
      </c>
      <c r="G489" s="174">
        <f t="shared" si="91"/>
        <v>44</v>
      </c>
      <c r="H489" s="174">
        <f>VLOOKUP(D489,原始分!$D:$N,4,0)</f>
        <v>82</v>
      </c>
      <c r="I489" s="174">
        <f t="shared" si="92"/>
        <v>585</v>
      </c>
      <c r="J489" s="174">
        <f>VLOOKUP(D489,原始分!$D:$N,5,0)</f>
        <v>95</v>
      </c>
      <c r="K489" s="174">
        <f t="shared" si="93"/>
        <v>338</v>
      </c>
      <c r="L489" s="174">
        <f>VLOOKUP(D489,原始分!$D:$N,6,0)</f>
        <v>34</v>
      </c>
      <c r="M489" s="174">
        <f t="shared" si="94"/>
        <v>588</v>
      </c>
      <c r="N489" s="174">
        <f>VLOOKUP(D489,原始分!$D:$N,7,0)</f>
        <v>0</v>
      </c>
      <c r="O489" s="174">
        <f t="shared" si="95"/>
        <v>1</v>
      </c>
      <c r="P489" s="174">
        <f>VLOOKUP(D489,原始分!$D:$N,8,0)</f>
        <v>33</v>
      </c>
      <c r="Q489" s="174">
        <f t="shared" si="96"/>
        <v>433</v>
      </c>
      <c r="R489" s="174">
        <f>VLOOKUP(D489,原始分!$D:$N,9,0)</f>
        <v>0</v>
      </c>
      <c r="S489" s="174">
        <f t="shared" si="97"/>
        <v>218</v>
      </c>
      <c r="T489" s="174">
        <f>VLOOKUP(D489,原始分!$D:$N,10,0)</f>
        <v>0</v>
      </c>
      <c r="U489" s="174">
        <f t="shared" si="98"/>
        <v>112</v>
      </c>
      <c r="V489" s="174">
        <f>VLOOKUP(D489,原始分!$D:$N,11,0)</f>
        <v>55.5</v>
      </c>
      <c r="W489" s="174">
        <f t="shared" si="99"/>
        <v>139</v>
      </c>
      <c r="X489" s="11">
        <f t="shared" si="100"/>
        <v>285</v>
      </c>
      <c r="Y489" s="9">
        <f t="shared" si="101"/>
        <v>401</v>
      </c>
      <c r="Z489" s="11">
        <f t="shared" si="102"/>
        <v>407.5</v>
      </c>
      <c r="AA489" s="9">
        <f t="shared" si="103"/>
        <v>486</v>
      </c>
    </row>
    <row r="490" ht="14.25" spans="1:27">
      <c r="A490" s="13">
        <v>373</v>
      </c>
      <c r="B490" s="15">
        <v>8</v>
      </c>
      <c r="C490" s="16">
        <v>47</v>
      </c>
      <c r="D490" s="17" t="s">
        <v>756</v>
      </c>
      <c r="E490" s="17" t="s">
        <v>757</v>
      </c>
      <c r="F490" s="174">
        <f>VLOOKUP(D490,原始分!$D:$N,3,0)</f>
        <v>94.5</v>
      </c>
      <c r="G490" s="174">
        <f t="shared" si="91"/>
        <v>461</v>
      </c>
      <c r="H490" s="174">
        <f>VLOOKUP(D490,原始分!$D:$N,4,0)</f>
        <v>89</v>
      </c>
      <c r="I490" s="174">
        <f t="shared" si="92"/>
        <v>508</v>
      </c>
      <c r="J490" s="174">
        <f>VLOOKUP(D490,原始分!$D:$N,5,0)</f>
        <v>91.25</v>
      </c>
      <c r="K490" s="174">
        <f t="shared" si="93"/>
        <v>407</v>
      </c>
      <c r="L490" s="174">
        <f>VLOOKUP(D490,原始分!$D:$N,6,0)</f>
        <v>55.5</v>
      </c>
      <c r="M490" s="174">
        <f t="shared" si="94"/>
        <v>262</v>
      </c>
      <c r="N490" s="174">
        <f>VLOOKUP(D490,原始分!$D:$N,7,0)</f>
        <v>0</v>
      </c>
      <c r="O490" s="174">
        <f t="shared" si="95"/>
        <v>1</v>
      </c>
      <c r="P490" s="174">
        <f>VLOOKUP(D490,原始分!$D:$N,8,0)</f>
        <v>38</v>
      </c>
      <c r="Q490" s="174">
        <f t="shared" si="96"/>
        <v>360</v>
      </c>
      <c r="R490" s="174">
        <f>VLOOKUP(D490,原始分!$D:$N,9,0)</f>
        <v>0</v>
      </c>
      <c r="S490" s="174">
        <f t="shared" si="97"/>
        <v>218</v>
      </c>
      <c r="T490" s="174">
        <f>VLOOKUP(D490,原始分!$D:$N,10,0)</f>
        <v>0</v>
      </c>
      <c r="U490" s="174">
        <f t="shared" si="98"/>
        <v>112</v>
      </c>
      <c r="V490" s="174">
        <f>VLOOKUP(D490,原始分!$D:$N,11,0)</f>
        <v>39</v>
      </c>
      <c r="W490" s="174">
        <f t="shared" si="99"/>
        <v>409</v>
      </c>
      <c r="X490" s="11">
        <f t="shared" si="100"/>
        <v>274.75</v>
      </c>
      <c r="Y490" s="9">
        <f t="shared" si="101"/>
        <v>501</v>
      </c>
      <c r="Z490" s="11">
        <f t="shared" si="102"/>
        <v>407.25</v>
      </c>
      <c r="AA490" s="9">
        <f t="shared" si="103"/>
        <v>488</v>
      </c>
    </row>
    <row r="491" ht="14.25" spans="1:27">
      <c r="A491" s="13">
        <v>615</v>
      </c>
      <c r="B491" s="15">
        <v>13</v>
      </c>
      <c r="C491" s="16">
        <v>6</v>
      </c>
      <c r="D491" s="17" t="s">
        <v>1238</v>
      </c>
      <c r="E491" s="17" t="s">
        <v>1239</v>
      </c>
      <c r="F491" s="174">
        <f>VLOOKUP(D491,原始分!$D:$N,3,0)</f>
        <v>91</v>
      </c>
      <c r="G491" s="174">
        <f t="shared" si="91"/>
        <v>555</v>
      </c>
      <c r="H491" s="174">
        <f>VLOOKUP(D491,原始分!$D:$N,4,0)</f>
        <v>114</v>
      </c>
      <c r="I491" s="174">
        <f t="shared" si="92"/>
        <v>131</v>
      </c>
      <c r="J491" s="174">
        <f>VLOOKUP(D491,原始分!$D:$N,5,0)</f>
        <v>81.25</v>
      </c>
      <c r="K491" s="174">
        <f t="shared" si="93"/>
        <v>540</v>
      </c>
      <c r="L491" s="174">
        <f>VLOOKUP(D491,原始分!$D:$N,6,0)</f>
        <v>51.5</v>
      </c>
      <c r="M491" s="174">
        <f t="shared" si="94"/>
        <v>313</v>
      </c>
      <c r="N491" s="174">
        <f>VLOOKUP(D491,原始分!$D:$N,7,0)</f>
        <v>0</v>
      </c>
      <c r="O491" s="174">
        <f t="shared" si="95"/>
        <v>1</v>
      </c>
      <c r="P491" s="174">
        <f>VLOOKUP(D491,原始分!$D:$N,8,0)</f>
        <v>30.5</v>
      </c>
      <c r="Q491" s="174">
        <f t="shared" si="96"/>
        <v>468</v>
      </c>
      <c r="R491" s="174">
        <f>VLOOKUP(D491,原始分!$D:$N,9,0)</f>
        <v>0</v>
      </c>
      <c r="S491" s="174">
        <f t="shared" si="97"/>
        <v>218</v>
      </c>
      <c r="T491" s="174">
        <f>VLOOKUP(D491,原始分!$D:$N,10,0)</f>
        <v>0</v>
      </c>
      <c r="U491" s="174">
        <f t="shared" si="98"/>
        <v>112</v>
      </c>
      <c r="V491" s="174">
        <f>VLOOKUP(D491,原始分!$D:$N,11,0)</f>
        <v>38.5</v>
      </c>
      <c r="W491" s="174">
        <f t="shared" si="99"/>
        <v>412</v>
      </c>
      <c r="X491" s="11">
        <f t="shared" si="100"/>
        <v>286.25</v>
      </c>
      <c r="Y491" s="9">
        <f t="shared" si="101"/>
        <v>390</v>
      </c>
      <c r="Z491" s="11">
        <f t="shared" si="102"/>
        <v>406.75</v>
      </c>
      <c r="AA491" s="9">
        <f t="shared" si="103"/>
        <v>489</v>
      </c>
    </row>
    <row r="492" ht="14.25" spans="1:27">
      <c r="A492" s="13">
        <v>136</v>
      </c>
      <c r="B492" s="15">
        <v>3</v>
      </c>
      <c r="C492" s="16">
        <v>25</v>
      </c>
      <c r="D492" s="17" t="s">
        <v>285</v>
      </c>
      <c r="E492" s="17" t="s">
        <v>286</v>
      </c>
      <c r="F492" s="174">
        <f>VLOOKUP(D492,原始分!$D:$N,3,0)</f>
        <v>97.5</v>
      </c>
      <c r="G492" s="174">
        <f t="shared" si="91"/>
        <v>372</v>
      </c>
      <c r="H492" s="174">
        <f>VLOOKUP(D492,原始分!$D:$N,4,0)</f>
        <v>92.5</v>
      </c>
      <c r="I492" s="174">
        <f t="shared" si="92"/>
        <v>462</v>
      </c>
      <c r="J492" s="174">
        <f>VLOOKUP(D492,原始分!$D:$N,5,0)</f>
        <v>95</v>
      </c>
      <c r="K492" s="174">
        <f t="shared" si="93"/>
        <v>338</v>
      </c>
      <c r="L492" s="174">
        <f>VLOOKUP(D492,原始分!$D:$N,6,0)</f>
        <v>35.5</v>
      </c>
      <c r="M492" s="174">
        <f t="shared" si="94"/>
        <v>566</v>
      </c>
      <c r="N492" s="174">
        <f>VLOOKUP(D492,原始分!$D:$N,7,0)</f>
        <v>0</v>
      </c>
      <c r="O492" s="174">
        <f t="shared" si="95"/>
        <v>1</v>
      </c>
      <c r="P492" s="174">
        <f>VLOOKUP(D492,原始分!$D:$N,8,0)</f>
        <v>32.5</v>
      </c>
      <c r="Q492" s="174">
        <f t="shared" si="96"/>
        <v>445</v>
      </c>
      <c r="R492" s="174">
        <f>VLOOKUP(D492,原始分!$D:$N,9,0)</f>
        <v>53.5</v>
      </c>
      <c r="S492" s="174">
        <f t="shared" si="97"/>
        <v>58</v>
      </c>
      <c r="T492" s="174">
        <f>VLOOKUP(D492,原始分!$D:$N,10,0)</f>
        <v>0</v>
      </c>
      <c r="U492" s="174">
        <f t="shared" si="98"/>
        <v>112</v>
      </c>
      <c r="V492" s="174">
        <f>VLOOKUP(D492,原始分!$D:$N,11,0)</f>
        <v>0</v>
      </c>
      <c r="W492" s="174">
        <f t="shared" si="99"/>
        <v>461</v>
      </c>
      <c r="X492" s="11">
        <f t="shared" si="100"/>
        <v>285</v>
      </c>
      <c r="Y492" s="9">
        <f t="shared" si="101"/>
        <v>401</v>
      </c>
      <c r="Z492" s="11">
        <f t="shared" si="102"/>
        <v>406.5</v>
      </c>
      <c r="AA492" s="9">
        <f t="shared" si="103"/>
        <v>490</v>
      </c>
    </row>
    <row r="493" ht="14.25" spans="1:27">
      <c r="A493" s="13">
        <v>647</v>
      </c>
      <c r="B493" s="15">
        <v>13</v>
      </c>
      <c r="C493" s="16">
        <v>41</v>
      </c>
      <c r="D493" s="17" t="s">
        <v>1301</v>
      </c>
      <c r="E493" s="17" t="s">
        <v>1302</v>
      </c>
      <c r="F493" s="174">
        <f>VLOOKUP(D493,原始分!$D:$N,3,0)</f>
        <v>104</v>
      </c>
      <c r="G493" s="174">
        <f t="shared" si="91"/>
        <v>130</v>
      </c>
      <c r="H493" s="174">
        <f>VLOOKUP(D493,原始分!$D:$N,4,0)</f>
        <v>94.5</v>
      </c>
      <c r="I493" s="174">
        <f t="shared" si="92"/>
        <v>431</v>
      </c>
      <c r="J493" s="174">
        <f>VLOOKUP(D493,原始分!$D:$N,5,0)</f>
        <v>70.5</v>
      </c>
      <c r="K493" s="174">
        <f t="shared" si="93"/>
        <v>622</v>
      </c>
      <c r="L493" s="174">
        <f>VLOOKUP(D493,原始分!$D:$N,6,0)</f>
        <v>49</v>
      </c>
      <c r="M493" s="174">
        <f t="shared" si="94"/>
        <v>354</v>
      </c>
      <c r="N493" s="174">
        <f>VLOOKUP(D493,原始分!$D:$N,7,0)</f>
        <v>0</v>
      </c>
      <c r="O493" s="174">
        <f t="shared" si="95"/>
        <v>1</v>
      </c>
      <c r="P493" s="174">
        <f>VLOOKUP(D493,原始分!$D:$N,8,0)</f>
        <v>39</v>
      </c>
      <c r="Q493" s="174">
        <f t="shared" si="96"/>
        <v>346</v>
      </c>
      <c r="R493" s="174">
        <f>VLOOKUP(D493,原始分!$D:$N,9,0)</f>
        <v>0</v>
      </c>
      <c r="S493" s="174">
        <f t="shared" si="97"/>
        <v>218</v>
      </c>
      <c r="T493" s="174">
        <f>VLOOKUP(D493,原始分!$D:$N,10,0)</f>
        <v>0</v>
      </c>
      <c r="U493" s="174">
        <f t="shared" si="98"/>
        <v>112</v>
      </c>
      <c r="V493" s="174">
        <f>VLOOKUP(D493,原始分!$D:$N,11,0)</f>
        <v>49.5</v>
      </c>
      <c r="W493" s="174">
        <f t="shared" si="99"/>
        <v>256</v>
      </c>
      <c r="X493" s="11">
        <f t="shared" si="100"/>
        <v>269</v>
      </c>
      <c r="Y493" s="9">
        <f t="shared" si="101"/>
        <v>538</v>
      </c>
      <c r="Z493" s="11">
        <f t="shared" si="102"/>
        <v>406.5</v>
      </c>
      <c r="AA493" s="9">
        <f t="shared" si="103"/>
        <v>490</v>
      </c>
    </row>
    <row r="494" ht="14.25" spans="1:27">
      <c r="A494" s="13">
        <v>520</v>
      </c>
      <c r="B494" s="15">
        <v>11</v>
      </c>
      <c r="C494" s="16">
        <v>25</v>
      </c>
      <c r="D494" s="17" t="s">
        <v>1050</v>
      </c>
      <c r="E494" s="17" t="s">
        <v>1051</v>
      </c>
      <c r="F494" s="174">
        <f>VLOOKUP(D494,原始分!$D:$N,3,0)</f>
        <v>99</v>
      </c>
      <c r="G494" s="174">
        <f t="shared" si="91"/>
        <v>304</v>
      </c>
      <c r="H494" s="174">
        <f>VLOOKUP(D494,原始分!$D:$N,4,0)</f>
        <v>102.5</v>
      </c>
      <c r="I494" s="174">
        <f t="shared" si="92"/>
        <v>317</v>
      </c>
      <c r="J494" s="174">
        <f>VLOOKUP(D494,原始分!$D:$N,5,0)</f>
        <v>101.25</v>
      </c>
      <c r="K494" s="174">
        <f t="shared" si="93"/>
        <v>226</v>
      </c>
      <c r="L494" s="174">
        <f>VLOOKUP(D494,原始分!$D:$N,6,0)</f>
        <v>23</v>
      </c>
      <c r="M494" s="174">
        <f t="shared" si="94"/>
        <v>645</v>
      </c>
      <c r="N494" s="174">
        <f>VLOOKUP(D494,原始分!$D:$N,7,0)</f>
        <v>0</v>
      </c>
      <c r="O494" s="174">
        <f t="shared" si="95"/>
        <v>1</v>
      </c>
      <c r="P494" s="174">
        <f>VLOOKUP(D494,原始分!$D:$N,8,0)</f>
        <v>36.5</v>
      </c>
      <c r="Q494" s="174">
        <f t="shared" si="96"/>
        <v>378</v>
      </c>
      <c r="R494" s="174">
        <f>VLOOKUP(D494,原始分!$D:$N,9,0)</f>
        <v>0</v>
      </c>
      <c r="S494" s="174">
        <f t="shared" si="97"/>
        <v>218</v>
      </c>
      <c r="T494" s="174">
        <f>VLOOKUP(D494,原始分!$D:$N,10,0)</f>
        <v>0</v>
      </c>
      <c r="U494" s="174">
        <f t="shared" si="98"/>
        <v>112</v>
      </c>
      <c r="V494" s="174">
        <f>VLOOKUP(D494,原始分!$D:$N,11,0)</f>
        <v>44</v>
      </c>
      <c r="W494" s="174">
        <f t="shared" si="99"/>
        <v>350</v>
      </c>
      <c r="X494" s="11">
        <f t="shared" si="100"/>
        <v>302.75</v>
      </c>
      <c r="Y494" s="9">
        <f t="shared" si="101"/>
        <v>259</v>
      </c>
      <c r="Z494" s="11">
        <f t="shared" si="102"/>
        <v>406.25</v>
      </c>
      <c r="AA494" s="9">
        <f t="shared" si="103"/>
        <v>492</v>
      </c>
    </row>
    <row r="495" ht="14.25" spans="1:27">
      <c r="A495" s="13">
        <v>103</v>
      </c>
      <c r="B495" s="15">
        <v>2</v>
      </c>
      <c r="C495" s="16">
        <v>40</v>
      </c>
      <c r="D495" s="17" t="s">
        <v>219</v>
      </c>
      <c r="E495" s="17" t="s">
        <v>220</v>
      </c>
      <c r="F495" s="174">
        <f>VLOOKUP(D495,原始分!$D:$N,3,0)</f>
        <v>104</v>
      </c>
      <c r="G495" s="174">
        <f t="shared" si="91"/>
        <v>130</v>
      </c>
      <c r="H495" s="174">
        <f>VLOOKUP(D495,原始分!$D:$N,4,0)</f>
        <v>75</v>
      </c>
      <c r="I495" s="174">
        <f t="shared" si="92"/>
        <v>616</v>
      </c>
      <c r="J495" s="174">
        <f>VLOOKUP(D495,原始分!$D:$N,5,0)</f>
        <v>93</v>
      </c>
      <c r="K495" s="174">
        <f t="shared" si="93"/>
        <v>372</v>
      </c>
      <c r="L495" s="174">
        <f>VLOOKUP(D495,原始分!$D:$N,6,0)</f>
        <v>41</v>
      </c>
      <c r="M495" s="174">
        <f t="shared" si="94"/>
        <v>490</v>
      </c>
      <c r="N495" s="174">
        <f>VLOOKUP(D495,原始分!$D:$N,7,0)</f>
        <v>0</v>
      </c>
      <c r="O495" s="174">
        <f t="shared" si="95"/>
        <v>1</v>
      </c>
      <c r="P495" s="174">
        <f>VLOOKUP(D495,原始分!$D:$N,8,0)</f>
        <v>0</v>
      </c>
      <c r="Q495" s="174">
        <f t="shared" si="96"/>
        <v>539</v>
      </c>
      <c r="R495" s="174">
        <f>VLOOKUP(D495,原始分!$D:$N,9,0)</f>
        <v>0</v>
      </c>
      <c r="S495" s="174">
        <f t="shared" si="97"/>
        <v>218</v>
      </c>
      <c r="T495" s="174">
        <f>VLOOKUP(D495,原始分!$D:$N,10,0)</f>
        <v>49.5</v>
      </c>
      <c r="U495" s="174">
        <f t="shared" si="98"/>
        <v>81</v>
      </c>
      <c r="V495" s="174">
        <f>VLOOKUP(D495,原始分!$D:$N,11,0)</f>
        <v>43.5</v>
      </c>
      <c r="W495" s="174">
        <f t="shared" si="99"/>
        <v>359</v>
      </c>
      <c r="X495" s="11">
        <f t="shared" si="100"/>
        <v>272</v>
      </c>
      <c r="Y495" s="9">
        <f t="shared" si="101"/>
        <v>514</v>
      </c>
      <c r="Z495" s="11">
        <f t="shared" si="102"/>
        <v>406</v>
      </c>
      <c r="AA495" s="9">
        <f t="shared" si="103"/>
        <v>493</v>
      </c>
    </row>
    <row r="496" ht="14.25" spans="1:27">
      <c r="A496" s="13">
        <v>124</v>
      </c>
      <c r="B496" s="15">
        <v>3</v>
      </c>
      <c r="C496" s="16">
        <v>13</v>
      </c>
      <c r="D496" s="17" t="s">
        <v>261</v>
      </c>
      <c r="E496" s="17" t="s">
        <v>262</v>
      </c>
      <c r="F496" s="174">
        <f>VLOOKUP(D496,原始分!$D:$N,3,0)</f>
        <v>92.75</v>
      </c>
      <c r="G496" s="174">
        <f t="shared" si="91"/>
        <v>520</v>
      </c>
      <c r="H496" s="174">
        <f>VLOOKUP(D496,原始分!$D:$N,4,0)</f>
        <v>76</v>
      </c>
      <c r="I496" s="174">
        <f t="shared" si="92"/>
        <v>614</v>
      </c>
      <c r="J496" s="174">
        <f>VLOOKUP(D496,原始分!$D:$N,5,0)</f>
        <v>113.25</v>
      </c>
      <c r="K496" s="174">
        <f t="shared" si="93"/>
        <v>70</v>
      </c>
      <c r="L496" s="174">
        <f>VLOOKUP(D496,原始分!$D:$N,6,0)</f>
        <v>48</v>
      </c>
      <c r="M496" s="174">
        <f t="shared" si="94"/>
        <v>375</v>
      </c>
      <c r="N496" s="174">
        <f>VLOOKUP(D496,原始分!$D:$N,7,0)</f>
        <v>0</v>
      </c>
      <c r="O496" s="174">
        <f t="shared" si="95"/>
        <v>1</v>
      </c>
      <c r="P496" s="174">
        <f>VLOOKUP(D496,原始分!$D:$N,8,0)</f>
        <v>41</v>
      </c>
      <c r="Q496" s="174">
        <f t="shared" si="96"/>
        <v>294</v>
      </c>
      <c r="R496" s="174">
        <f>VLOOKUP(D496,原始分!$D:$N,9,0)</f>
        <v>34.5</v>
      </c>
      <c r="S496" s="174">
        <f t="shared" si="97"/>
        <v>212</v>
      </c>
      <c r="T496" s="174">
        <f>VLOOKUP(D496,原始分!$D:$N,10,0)</f>
        <v>0</v>
      </c>
      <c r="U496" s="174">
        <f t="shared" si="98"/>
        <v>112</v>
      </c>
      <c r="V496" s="174">
        <f>VLOOKUP(D496,原始分!$D:$N,11,0)</f>
        <v>0</v>
      </c>
      <c r="W496" s="174">
        <f t="shared" si="99"/>
        <v>461</v>
      </c>
      <c r="X496" s="11">
        <f t="shared" si="100"/>
        <v>282</v>
      </c>
      <c r="Y496" s="9">
        <f t="shared" si="101"/>
        <v>432</v>
      </c>
      <c r="Z496" s="11">
        <f t="shared" si="102"/>
        <v>405.5</v>
      </c>
      <c r="AA496" s="9">
        <f t="shared" si="103"/>
        <v>494</v>
      </c>
    </row>
    <row r="497" ht="14.25" spans="1:27">
      <c r="A497" s="13">
        <v>236</v>
      </c>
      <c r="B497" s="15">
        <v>5</v>
      </c>
      <c r="C497" s="16">
        <v>33</v>
      </c>
      <c r="D497" s="17" t="s">
        <v>485</v>
      </c>
      <c r="E497" s="17" t="s">
        <v>486</v>
      </c>
      <c r="F497" s="174">
        <f>VLOOKUP(D497,原始分!$D:$N,3,0)</f>
        <v>93</v>
      </c>
      <c r="G497" s="174">
        <f t="shared" si="91"/>
        <v>505</v>
      </c>
      <c r="H497" s="174">
        <f>VLOOKUP(D497,原始分!$D:$N,4,0)</f>
        <v>110</v>
      </c>
      <c r="I497" s="174">
        <f t="shared" si="92"/>
        <v>191</v>
      </c>
      <c r="J497" s="174">
        <f>VLOOKUP(D497,原始分!$D:$N,5,0)</f>
        <v>79.5</v>
      </c>
      <c r="K497" s="174">
        <f t="shared" si="93"/>
        <v>558</v>
      </c>
      <c r="L497" s="174">
        <f>VLOOKUP(D497,原始分!$D:$N,6,0)</f>
        <v>34</v>
      </c>
      <c r="M497" s="174">
        <f t="shared" si="94"/>
        <v>588</v>
      </c>
      <c r="N497" s="174">
        <f>VLOOKUP(D497,原始分!$D:$N,7,0)</f>
        <v>0</v>
      </c>
      <c r="O497" s="174">
        <f t="shared" si="95"/>
        <v>1</v>
      </c>
      <c r="P497" s="174">
        <f>VLOOKUP(D497,原始分!$D:$N,8,0)</f>
        <v>41</v>
      </c>
      <c r="Q497" s="174">
        <f t="shared" si="96"/>
        <v>294</v>
      </c>
      <c r="R497" s="174">
        <f>VLOOKUP(D497,原始分!$D:$N,9,0)</f>
        <v>48</v>
      </c>
      <c r="S497" s="174">
        <f t="shared" si="97"/>
        <v>122</v>
      </c>
      <c r="T497" s="174">
        <f>VLOOKUP(D497,原始分!$D:$N,10,0)</f>
        <v>0</v>
      </c>
      <c r="U497" s="174">
        <f t="shared" si="98"/>
        <v>112</v>
      </c>
      <c r="V497" s="174">
        <f>VLOOKUP(D497,原始分!$D:$N,11,0)</f>
        <v>0</v>
      </c>
      <c r="W497" s="174">
        <f t="shared" si="99"/>
        <v>461</v>
      </c>
      <c r="X497" s="11">
        <f t="shared" si="100"/>
        <v>282.5</v>
      </c>
      <c r="Y497" s="9">
        <f t="shared" si="101"/>
        <v>425</v>
      </c>
      <c r="Z497" s="11">
        <f t="shared" si="102"/>
        <v>405.5</v>
      </c>
      <c r="AA497" s="9">
        <f t="shared" si="103"/>
        <v>494</v>
      </c>
    </row>
    <row r="498" ht="14.25" spans="1:27">
      <c r="A498" s="13">
        <v>506</v>
      </c>
      <c r="B498" s="15">
        <v>11</v>
      </c>
      <c r="C498" s="16">
        <v>10</v>
      </c>
      <c r="D498" s="17" t="s">
        <v>1022</v>
      </c>
      <c r="E498" s="17" t="s">
        <v>1023</v>
      </c>
      <c r="F498" s="174">
        <f>VLOOKUP(D498,原始分!$D:$N,3,0)</f>
        <v>98.5</v>
      </c>
      <c r="G498" s="174">
        <f t="shared" si="91"/>
        <v>324</v>
      </c>
      <c r="H498" s="174">
        <f>VLOOKUP(D498,原始分!$D:$N,4,0)</f>
        <v>82</v>
      </c>
      <c r="I498" s="174">
        <f t="shared" si="92"/>
        <v>585</v>
      </c>
      <c r="J498" s="174">
        <f>VLOOKUP(D498,原始分!$D:$N,5,0)</f>
        <v>99.5</v>
      </c>
      <c r="K498" s="174">
        <f t="shared" si="93"/>
        <v>256</v>
      </c>
      <c r="L498" s="174">
        <f>VLOOKUP(D498,原始分!$D:$N,6,0)</f>
        <v>48.5</v>
      </c>
      <c r="M498" s="174">
        <f t="shared" si="94"/>
        <v>364</v>
      </c>
      <c r="N498" s="174">
        <f>VLOOKUP(D498,原始分!$D:$N,7,0)</f>
        <v>0</v>
      </c>
      <c r="O498" s="174">
        <f t="shared" si="95"/>
        <v>1</v>
      </c>
      <c r="P498" s="174">
        <f>VLOOKUP(D498,原始分!$D:$N,8,0)</f>
        <v>31</v>
      </c>
      <c r="Q498" s="174">
        <f t="shared" si="96"/>
        <v>463</v>
      </c>
      <c r="R498" s="174">
        <f>VLOOKUP(D498,原始分!$D:$N,9,0)</f>
        <v>0</v>
      </c>
      <c r="S498" s="174">
        <f t="shared" si="97"/>
        <v>218</v>
      </c>
      <c r="T498" s="174">
        <f>VLOOKUP(D498,原始分!$D:$N,10,0)</f>
        <v>0</v>
      </c>
      <c r="U498" s="174">
        <f t="shared" si="98"/>
        <v>112</v>
      </c>
      <c r="V498" s="174">
        <f>VLOOKUP(D498,原始分!$D:$N,11,0)</f>
        <v>46</v>
      </c>
      <c r="W498" s="174">
        <f t="shared" si="99"/>
        <v>316</v>
      </c>
      <c r="X498" s="11">
        <f t="shared" si="100"/>
        <v>280</v>
      </c>
      <c r="Y498" s="9">
        <f t="shared" si="101"/>
        <v>448</v>
      </c>
      <c r="Z498" s="11">
        <f t="shared" si="102"/>
        <v>405.5</v>
      </c>
      <c r="AA498" s="9">
        <f t="shared" si="103"/>
        <v>494</v>
      </c>
    </row>
    <row r="499" ht="14.25" spans="1:27">
      <c r="A499" s="13">
        <v>21</v>
      </c>
      <c r="B499" s="15">
        <v>1</v>
      </c>
      <c r="C499" s="16">
        <v>23</v>
      </c>
      <c r="D499" s="17" t="s">
        <v>56</v>
      </c>
      <c r="E499" s="17" t="s">
        <v>57</v>
      </c>
      <c r="F499" s="174">
        <f>VLOOKUP(D499,原始分!$D:$N,3,0)</f>
        <v>91</v>
      </c>
      <c r="G499" s="174">
        <f t="shared" si="91"/>
        <v>555</v>
      </c>
      <c r="H499" s="174">
        <f>VLOOKUP(D499,原始分!$D:$N,4,0)</f>
        <v>64</v>
      </c>
      <c r="I499" s="174">
        <f t="shared" si="92"/>
        <v>643</v>
      </c>
      <c r="J499" s="174">
        <f>VLOOKUP(D499,原始分!$D:$N,5,0)</f>
        <v>113.25</v>
      </c>
      <c r="K499" s="174">
        <f t="shared" si="93"/>
        <v>70</v>
      </c>
      <c r="L499" s="174">
        <f>VLOOKUP(D499,原始分!$D:$N,6,0)</f>
        <v>43</v>
      </c>
      <c r="M499" s="174">
        <f t="shared" si="94"/>
        <v>461</v>
      </c>
      <c r="N499" s="174">
        <f>VLOOKUP(D499,原始分!$D:$N,7,0)</f>
        <v>0</v>
      </c>
      <c r="O499" s="174">
        <f t="shared" si="95"/>
        <v>1</v>
      </c>
      <c r="P499" s="174">
        <f>VLOOKUP(D499,原始分!$D:$N,8,0)</f>
        <v>39</v>
      </c>
      <c r="Q499" s="174">
        <f t="shared" si="96"/>
        <v>346</v>
      </c>
      <c r="R499" s="174">
        <f>VLOOKUP(D499,原始分!$D:$N,9,0)</f>
        <v>0</v>
      </c>
      <c r="S499" s="174">
        <f t="shared" si="97"/>
        <v>218</v>
      </c>
      <c r="T499" s="174">
        <f>VLOOKUP(D499,原始分!$D:$N,10,0)</f>
        <v>55</v>
      </c>
      <c r="U499" s="174">
        <f t="shared" si="98"/>
        <v>54</v>
      </c>
      <c r="V499" s="174">
        <f>VLOOKUP(D499,原始分!$D:$N,11,0)</f>
        <v>0</v>
      </c>
      <c r="W499" s="174">
        <f t="shared" si="99"/>
        <v>461</v>
      </c>
      <c r="X499" s="11">
        <f t="shared" si="100"/>
        <v>268.25</v>
      </c>
      <c r="Y499" s="9">
        <f t="shared" si="101"/>
        <v>540</v>
      </c>
      <c r="Z499" s="11">
        <f t="shared" si="102"/>
        <v>405.25</v>
      </c>
      <c r="AA499" s="9">
        <f t="shared" si="103"/>
        <v>497</v>
      </c>
    </row>
    <row r="500" ht="14.25" spans="1:27">
      <c r="A500" s="13">
        <v>194</v>
      </c>
      <c r="B500" s="15">
        <v>4</v>
      </c>
      <c r="C500" s="16">
        <v>37</v>
      </c>
      <c r="D500" s="17" t="s">
        <v>401</v>
      </c>
      <c r="E500" s="17" t="s">
        <v>402</v>
      </c>
      <c r="F500" s="174">
        <f>VLOOKUP(D500,原始分!$D:$N,3,0)</f>
        <v>104.75</v>
      </c>
      <c r="G500" s="174">
        <f t="shared" si="91"/>
        <v>117</v>
      </c>
      <c r="H500" s="174">
        <f>VLOOKUP(D500,原始分!$D:$N,4,0)</f>
        <v>74.5</v>
      </c>
      <c r="I500" s="174">
        <f t="shared" si="92"/>
        <v>619</v>
      </c>
      <c r="J500" s="174">
        <f>VLOOKUP(D500,原始分!$D:$N,5,0)</f>
        <v>104</v>
      </c>
      <c r="K500" s="174">
        <f t="shared" si="93"/>
        <v>185</v>
      </c>
      <c r="L500" s="174">
        <f>VLOOKUP(D500,原始分!$D:$N,6,0)</f>
        <v>41.5</v>
      </c>
      <c r="M500" s="174">
        <f t="shared" si="94"/>
        <v>483</v>
      </c>
      <c r="N500" s="174">
        <f>VLOOKUP(D500,原始分!$D:$N,7,0)</f>
        <v>0</v>
      </c>
      <c r="O500" s="174">
        <f t="shared" si="95"/>
        <v>1</v>
      </c>
      <c r="P500" s="174">
        <f>VLOOKUP(D500,原始分!$D:$N,8,0)</f>
        <v>27</v>
      </c>
      <c r="Q500" s="174">
        <f t="shared" si="96"/>
        <v>496</v>
      </c>
      <c r="R500" s="174">
        <f>VLOOKUP(D500,原始分!$D:$N,9,0)</f>
        <v>53.5</v>
      </c>
      <c r="S500" s="174">
        <f t="shared" si="97"/>
        <v>58</v>
      </c>
      <c r="T500" s="174">
        <f>VLOOKUP(D500,原始分!$D:$N,10,0)</f>
        <v>0</v>
      </c>
      <c r="U500" s="174">
        <f t="shared" si="98"/>
        <v>112</v>
      </c>
      <c r="V500" s="174">
        <f>VLOOKUP(D500,原始分!$D:$N,11,0)</f>
        <v>0</v>
      </c>
      <c r="W500" s="174">
        <f t="shared" si="99"/>
        <v>461</v>
      </c>
      <c r="X500" s="11">
        <f t="shared" si="100"/>
        <v>283.25</v>
      </c>
      <c r="Y500" s="9">
        <f t="shared" si="101"/>
        <v>416</v>
      </c>
      <c r="Z500" s="11">
        <f t="shared" si="102"/>
        <v>405.25</v>
      </c>
      <c r="AA500" s="9">
        <f t="shared" si="103"/>
        <v>497</v>
      </c>
    </row>
    <row r="501" ht="14.25" spans="1:27">
      <c r="A501" s="13">
        <v>277</v>
      </c>
      <c r="B501" s="15">
        <v>6</v>
      </c>
      <c r="C501" s="16">
        <v>29</v>
      </c>
      <c r="D501" s="17" t="s">
        <v>565</v>
      </c>
      <c r="E501" s="17" t="s">
        <v>566</v>
      </c>
      <c r="F501" s="174">
        <f>VLOOKUP(D501,原始分!$D:$N,3,0)</f>
        <v>100</v>
      </c>
      <c r="G501" s="174">
        <f t="shared" si="91"/>
        <v>274</v>
      </c>
      <c r="H501" s="174">
        <f>VLOOKUP(D501,原始分!$D:$N,4,0)</f>
        <v>58</v>
      </c>
      <c r="I501" s="174">
        <f t="shared" si="92"/>
        <v>652</v>
      </c>
      <c r="J501" s="174">
        <f>VLOOKUP(D501,原始分!$D:$N,5,0)</f>
        <v>94</v>
      </c>
      <c r="K501" s="174">
        <f t="shared" si="93"/>
        <v>358</v>
      </c>
      <c r="L501" s="174">
        <f>VLOOKUP(D501,原始分!$D:$N,6,0)</f>
        <v>45.5</v>
      </c>
      <c r="M501" s="174">
        <f t="shared" si="94"/>
        <v>417</v>
      </c>
      <c r="N501" s="174">
        <f>VLOOKUP(D501,原始分!$D:$N,7,0)</f>
        <v>0</v>
      </c>
      <c r="O501" s="174">
        <f t="shared" si="95"/>
        <v>1</v>
      </c>
      <c r="P501" s="174">
        <f>VLOOKUP(D501,原始分!$D:$N,8,0)</f>
        <v>0</v>
      </c>
      <c r="Q501" s="174">
        <f t="shared" si="96"/>
        <v>539</v>
      </c>
      <c r="R501" s="174">
        <f>VLOOKUP(D501,原始分!$D:$N,9,0)</f>
        <v>51</v>
      </c>
      <c r="S501" s="174">
        <f t="shared" si="97"/>
        <v>86</v>
      </c>
      <c r="T501" s="174">
        <f>VLOOKUP(D501,原始分!$D:$N,10,0)</f>
        <v>0</v>
      </c>
      <c r="U501" s="174">
        <f t="shared" si="98"/>
        <v>112</v>
      </c>
      <c r="V501" s="174">
        <f>VLOOKUP(D501,原始分!$D:$N,11,0)</f>
        <v>56.5</v>
      </c>
      <c r="W501" s="174">
        <f t="shared" si="99"/>
        <v>125</v>
      </c>
      <c r="X501" s="11">
        <f t="shared" si="100"/>
        <v>252</v>
      </c>
      <c r="Y501" s="9">
        <f t="shared" si="101"/>
        <v>607</v>
      </c>
      <c r="Z501" s="11">
        <f t="shared" si="102"/>
        <v>405</v>
      </c>
      <c r="AA501" s="9">
        <f t="shared" si="103"/>
        <v>499</v>
      </c>
    </row>
    <row r="502" ht="14.25" spans="1:27">
      <c r="A502" s="13">
        <v>364</v>
      </c>
      <c r="B502" s="15">
        <v>8</v>
      </c>
      <c r="C502" s="16">
        <v>38</v>
      </c>
      <c r="D502" s="17" t="s">
        <v>738</v>
      </c>
      <c r="E502" s="17" t="s">
        <v>739</v>
      </c>
      <c r="F502" s="174">
        <f>VLOOKUP(D502,原始分!$D:$N,3,0)</f>
        <v>88</v>
      </c>
      <c r="G502" s="174">
        <f t="shared" si="91"/>
        <v>607</v>
      </c>
      <c r="H502" s="174">
        <f>VLOOKUP(D502,原始分!$D:$N,4,0)</f>
        <v>93</v>
      </c>
      <c r="I502" s="174">
        <f t="shared" si="92"/>
        <v>457</v>
      </c>
      <c r="J502" s="174">
        <f>VLOOKUP(D502,原始分!$D:$N,5,0)</f>
        <v>79</v>
      </c>
      <c r="K502" s="174">
        <f t="shared" si="93"/>
        <v>561</v>
      </c>
      <c r="L502" s="174">
        <f>VLOOKUP(D502,原始分!$D:$N,6,0)</f>
        <v>44</v>
      </c>
      <c r="M502" s="174">
        <f t="shared" si="94"/>
        <v>441</v>
      </c>
      <c r="N502" s="174">
        <f>VLOOKUP(D502,原始分!$D:$N,7,0)</f>
        <v>0</v>
      </c>
      <c r="O502" s="174">
        <f t="shared" si="95"/>
        <v>1</v>
      </c>
      <c r="P502" s="174">
        <f>VLOOKUP(D502,原始分!$D:$N,8,0)</f>
        <v>47.5</v>
      </c>
      <c r="Q502" s="174">
        <f t="shared" si="96"/>
        <v>156</v>
      </c>
      <c r="R502" s="174">
        <f>VLOOKUP(D502,原始分!$D:$N,9,0)</f>
        <v>0</v>
      </c>
      <c r="S502" s="174">
        <f t="shared" si="97"/>
        <v>218</v>
      </c>
      <c r="T502" s="174">
        <f>VLOOKUP(D502,原始分!$D:$N,10,0)</f>
        <v>0</v>
      </c>
      <c r="U502" s="174">
        <f t="shared" si="98"/>
        <v>112</v>
      </c>
      <c r="V502" s="174">
        <f>VLOOKUP(D502,原始分!$D:$N,11,0)</f>
        <v>53.5</v>
      </c>
      <c r="W502" s="174">
        <f t="shared" si="99"/>
        <v>171</v>
      </c>
      <c r="X502" s="11">
        <f t="shared" si="100"/>
        <v>260</v>
      </c>
      <c r="Y502" s="9">
        <f t="shared" si="101"/>
        <v>583</v>
      </c>
      <c r="Z502" s="11">
        <f t="shared" si="102"/>
        <v>405</v>
      </c>
      <c r="AA502" s="9">
        <f t="shared" si="103"/>
        <v>499</v>
      </c>
    </row>
    <row r="503" ht="14.25" spans="1:27">
      <c r="A503" s="13">
        <v>69</v>
      </c>
      <c r="B503" s="15">
        <v>2</v>
      </c>
      <c r="C503" s="16">
        <v>6</v>
      </c>
      <c r="D503" s="17" t="s">
        <v>152</v>
      </c>
      <c r="E503" s="17" t="s">
        <v>153</v>
      </c>
      <c r="F503" s="174">
        <f>VLOOKUP(D503,原始分!$D:$N,3,0)</f>
        <v>95.5</v>
      </c>
      <c r="G503" s="174">
        <f t="shared" si="91"/>
        <v>422</v>
      </c>
      <c r="H503" s="174">
        <f>VLOOKUP(D503,原始分!$D:$N,4,0)</f>
        <v>80</v>
      </c>
      <c r="I503" s="174">
        <f t="shared" si="92"/>
        <v>594</v>
      </c>
      <c r="J503" s="174">
        <f>VLOOKUP(D503,原始分!$D:$N,5,0)</f>
        <v>94.25</v>
      </c>
      <c r="K503" s="174">
        <f t="shared" si="93"/>
        <v>355</v>
      </c>
      <c r="L503" s="174">
        <f>VLOOKUP(D503,原始分!$D:$N,6,0)</f>
        <v>38</v>
      </c>
      <c r="M503" s="174">
        <f t="shared" si="94"/>
        <v>537</v>
      </c>
      <c r="N503" s="174">
        <f>VLOOKUP(D503,原始分!$D:$N,7,0)</f>
        <v>0</v>
      </c>
      <c r="O503" s="174">
        <f t="shared" si="95"/>
        <v>1</v>
      </c>
      <c r="P503" s="174">
        <f>VLOOKUP(D503,原始分!$D:$N,8,0)</f>
        <v>0</v>
      </c>
      <c r="Q503" s="174">
        <f t="shared" si="96"/>
        <v>539</v>
      </c>
      <c r="R503" s="174">
        <f>VLOOKUP(D503,原始分!$D:$N,9,0)</f>
        <v>0</v>
      </c>
      <c r="S503" s="174">
        <f t="shared" si="97"/>
        <v>218</v>
      </c>
      <c r="T503" s="174">
        <f>VLOOKUP(D503,原始分!$D:$N,10,0)</f>
        <v>59.5</v>
      </c>
      <c r="U503" s="174">
        <f t="shared" si="98"/>
        <v>28</v>
      </c>
      <c r="V503" s="174">
        <f>VLOOKUP(D503,原始分!$D:$N,11,0)</f>
        <v>37.5</v>
      </c>
      <c r="W503" s="174">
        <f t="shared" si="99"/>
        <v>419</v>
      </c>
      <c r="X503" s="11">
        <f t="shared" si="100"/>
        <v>269.75</v>
      </c>
      <c r="Y503" s="9">
        <f t="shared" si="101"/>
        <v>535</v>
      </c>
      <c r="Z503" s="11">
        <f t="shared" si="102"/>
        <v>404.75</v>
      </c>
      <c r="AA503" s="9">
        <f t="shared" si="103"/>
        <v>501</v>
      </c>
    </row>
    <row r="504" ht="14.25" spans="1:27">
      <c r="A504" s="13">
        <v>509</v>
      </c>
      <c r="B504" s="15">
        <v>11</v>
      </c>
      <c r="C504" s="16">
        <v>13</v>
      </c>
      <c r="D504" s="17" t="s">
        <v>1028</v>
      </c>
      <c r="E504" s="17" t="s">
        <v>1029</v>
      </c>
      <c r="F504" s="174">
        <f>VLOOKUP(D504,原始分!$D:$N,3,0)</f>
        <v>99.5</v>
      </c>
      <c r="G504" s="174">
        <f t="shared" si="91"/>
        <v>286</v>
      </c>
      <c r="H504" s="174">
        <f>VLOOKUP(D504,原始分!$D:$N,4,0)</f>
        <v>92.5</v>
      </c>
      <c r="I504" s="174">
        <f t="shared" si="92"/>
        <v>462</v>
      </c>
      <c r="J504" s="174">
        <f>VLOOKUP(D504,原始分!$D:$N,5,0)</f>
        <v>86.75</v>
      </c>
      <c r="K504" s="174">
        <f t="shared" si="93"/>
        <v>467</v>
      </c>
      <c r="L504" s="174">
        <f>VLOOKUP(D504,原始分!$D:$N,6,0)</f>
        <v>40</v>
      </c>
      <c r="M504" s="174">
        <f t="shared" si="94"/>
        <v>506</v>
      </c>
      <c r="N504" s="174">
        <f>VLOOKUP(D504,原始分!$D:$N,7,0)</f>
        <v>0</v>
      </c>
      <c r="O504" s="174">
        <f t="shared" si="95"/>
        <v>1</v>
      </c>
      <c r="P504" s="174">
        <f>VLOOKUP(D504,原始分!$D:$N,8,0)</f>
        <v>31</v>
      </c>
      <c r="Q504" s="174">
        <f t="shared" si="96"/>
        <v>463</v>
      </c>
      <c r="R504" s="174">
        <f>VLOOKUP(D504,原始分!$D:$N,9,0)</f>
        <v>0</v>
      </c>
      <c r="S504" s="174">
        <f t="shared" si="97"/>
        <v>218</v>
      </c>
      <c r="T504" s="174">
        <f>VLOOKUP(D504,原始分!$D:$N,10,0)</f>
        <v>0</v>
      </c>
      <c r="U504" s="174">
        <f t="shared" si="98"/>
        <v>112</v>
      </c>
      <c r="V504" s="174">
        <f>VLOOKUP(D504,原始分!$D:$N,11,0)</f>
        <v>55</v>
      </c>
      <c r="W504" s="174">
        <f t="shared" si="99"/>
        <v>149</v>
      </c>
      <c r="X504" s="11">
        <f t="shared" si="100"/>
        <v>278.75</v>
      </c>
      <c r="Y504" s="9">
        <f t="shared" si="101"/>
        <v>459</v>
      </c>
      <c r="Z504" s="11">
        <f t="shared" si="102"/>
        <v>404.75</v>
      </c>
      <c r="AA504" s="9">
        <f t="shared" si="103"/>
        <v>501</v>
      </c>
    </row>
    <row r="505" ht="14.25" spans="1:27">
      <c r="A505" s="13">
        <v>299</v>
      </c>
      <c r="B505" s="15">
        <v>7</v>
      </c>
      <c r="C505" s="16">
        <v>10</v>
      </c>
      <c r="D505" s="17" t="s">
        <v>609</v>
      </c>
      <c r="E505" s="17" t="s">
        <v>610</v>
      </c>
      <c r="F505" s="174">
        <f>VLOOKUP(D505,原始分!$D:$N,3,0)</f>
        <v>98.5</v>
      </c>
      <c r="G505" s="174">
        <f t="shared" si="91"/>
        <v>324</v>
      </c>
      <c r="H505" s="174">
        <f>VLOOKUP(D505,原始分!$D:$N,4,0)</f>
        <v>87.5</v>
      </c>
      <c r="I505" s="174">
        <f t="shared" si="92"/>
        <v>530</v>
      </c>
      <c r="J505" s="174">
        <f>VLOOKUP(D505,原始分!$D:$N,5,0)</f>
        <v>96.5</v>
      </c>
      <c r="K505" s="174">
        <f t="shared" si="93"/>
        <v>314</v>
      </c>
      <c r="L505" s="174">
        <f>VLOOKUP(D505,原始分!$D:$N,6,0)</f>
        <v>27.5</v>
      </c>
      <c r="M505" s="174">
        <f t="shared" si="94"/>
        <v>627</v>
      </c>
      <c r="N505" s="174">
        <f>VLOOKUP(D505,原始分!$D:$N,7,0)</f>
        <v>0</v>
      </c>
      <c r="O505" s="174">
        <f t="shared" si="95"/>
        <v>1</v>
      </c>
      <c r="P505" s="174">
        <f>VLOOKUP(D505,原始分!$D:$N,8,0)</f>
        <v>0</v>
      </c>
      <c r="Q505" s="174">
        <f t="shared" si="96"/>
        <v>539</v>
      </c>
      <c r="R505" s="174">
        <f>VLOOKUP(D505,原始分!$D:$N,9,0)</f>
        <v>50.5</v>
      </c>
      <c r="S505" s="174">
        <f t="shared" si="97"/>
        <v>90</v>
      </c>
      <c r="T505" s="174">
        <f>VLOOKUP(D505,原始分!$D:$N,10,0)</f>
        <v>0</v>
      </c>
      <c r="U505" s="174">
        <f t="shared" si="98"/>
        <v>112</v>
      </c>
      <c r="V505" s="174">
        <f>VLOOKUP(D505,原始分!$D:$N,11,0)</f>
        <v>44</v>
      </c>
      <c r="W505" s="174">
        <f t="shared" si="99"/>
        <v>350</v>
      </c>
      <c r="X505" s="11">
        <f t="shared" si="100"/>
        <v>282.5</v>
      </c>
      <c r="Y505" s="9">
        <f t="shared" si="101"/>
        <v>425</v>
      </c>
      <c r="Z505" s="11">
        <f t="shared" si="102"/>
        <v>404.5</v>
      </c>
      <c r="AA505" s="9">
        <f t="shared" si="103"/>
        <v>503</v>
      </c>
    </row>
    <row r="506" ht="14.25" spans="1:27">
      <c r="A506" s="13">
        <v>54</v>
      </c>
      <c r="B506" s="15">
        <v>1</v>
      </c>
      <c r="C506" s="16">
        <v>56</v>
      </c>
      <c r="D506" s="17" t="s">
        <v>122</v>
      </c>
      <c r="E506" s="17" t="s">
        <v>123</v>
      </c>
      <c r="F506" s="174">
        <f>VLOOKUP(D506,原始分!$D:$N,3,0)</f>
        <v>85</v>
      </c>
      <c r="G506" s="174">
        <f t="shared" si="91"/>
        <v>633</v>
      </c>
      <c r="H506" s="174">
        <f>VLOOKUP(D506,原始分!$D:$N,4,0)</f>
        <v>98.5</v>
      </c>
      <c r="I506" s="174">
        <f t="shared" si="92"/>
        <v>366</v>
      </c>
      <c r="J506" s="174">
        <f>VLOOKUP(D506,原始分!$D:$N,5,0)</f>
        <v>88</v>
      </c>
      <c r="K506" s="174">
        <f t="shared" si="93"/>
        <v>443</v>
      </c>
      <c r="L506" s="174">
        <f>VLOOKUP(D506,原始分!$D:$N,6,0)</f>
        <v>35</v>
      </c>
      <c r="M506" s="174">
        <f t="shared" si="94"/>
        <v>572</v>
      </c>
      <c r="N506" s="174">
        <f>VLOOKUP(D506,原始分!$D:$N,7,0)</f>
        <v>0</v>
      </c>
      <c r="O506" s="174">
        <f t="shared" si="95"/>
        <v>1</v>
      </c>
      <c r="P506" s="174">
        <f>VLOOKUP(D506,原始分!$D:$N,8,0)</f>
        <v>42</v>
      </c>
      <c r="Q506" s="174">
        <f t="shared" si="96"/>
        <v>265</v>
      </c>
      <c r="R506" s="174">
        <f>VLOOKUP(D506,原始分!$D:$N,9,0)</f>
        <v>0</v>
      </c>
      <c r="S506" s="174">
        <f t="shared" si="97"/>
        <v>218</v>
      </c>
      <c r="T506" s="174">
        <f>VLOOKUP(D506,原始分!$D:$N,10,0)</f>
        <v>55.5</v>
      </c>
      <c r="U506" s="174">
        <f t="shared" si="98"/>
        <v>52</v>
      </c>
      <c r="V506" s="174">
        <f>VLOOKUP(D506,原始分!$D:$N,11,0)</f>
        <v>0</v>
      </c>
      <c r="W506" s="174">
        <f t="shared" si="99"/>
        <v>461</v>
      </c>
      <c r="X506" s="11">
        <f t="shared" si="100"/>
        <v>271.5</v>
      </c>
      <c r="Y506" s="9">
        <f t="shared" si="101"/>
        <v>518</v>
      </c>
      <c r="Z506" s="11">
        <f t="shared" si="102"/>
        <v>404</v>
      </c>
      <c r="AA506" s="9">
        <f t="shared" si="103"/>
        <v>504</v>
      </c>
    </row>
    <row r="507" ht="14.25" spans="1:27">
      <c r="A507" s="13">
        <v>619</v>
      </c>
      <c r="B507" s="15">
        <v>13</v>
      </c>
      <c r="C507" s="16">
        <v>10</v>
      </c>
      <c r="D507" s="17" t="s">
        <v>1246</v>
      </c>
      <c r="E507" s="17" t="s">
        <v>1247</v>
      </c>
      <c r="F507" s="174">
        <f>VLOOKUP(D507,原始分!$D:$N,3,0)</f>
        <v>98</v>
      </c>
      <c r="G507" s="174">
        <f t="shared" si="91"/>
        <v>349</v>
      </c>
      <c r="H507" s="174">
        <f>VLOOKUP(D507,原始分!$D:$N,4,0)</f>
        <v>103.5</v>
      </c>
      <c r="I507" s="174">
        <f t="shared" si="92"/>
        <v>302</v>
      </c>
      <c r="J507" s="174">
        <f>VLOOKUP(D507,原始分!$D:$N,5,0)</f>
        <v>69.5</v>
      </c>
      <c r="K507" s="174">
        <f t="shared" si="93"/>
        <v>626</v>
      </c>
      <c r="L507" s="174">
        <f>VLOOKUP(D507,原始分!$D:$N,6,0)</f>
        <v>45.5</v>
      </c>
      <c r="M507" s="174">
        <f t="shared" si="94"/>
        <v>417</v>
      </c>
      <c r="N507" s="174">
        <f>VLOOKUP(D507,原始分!$D:$N,7,0)</f>
        <v>0</v>
      </c>
      <c r="O507" s="174">
        <f t="shared" si="95"/>
        <v>1</v>
      </c>
      <c r="P507" s="174">
        <f>VLOOKUP(D507,原始分!$D:$N,8,0)</f>
        <v>41</v>
      </c>
      <c r="Q507" s="174">
        <f t="shared" si="96"/>
        <v>294</v>
      </c>
      <c r="R507" s="174">
        <f>VLOOKUP(D507,原始分!$D:$N,9,0)</f>
        <v>0</v>
      </c>
      <c r="S507" s="174">
        <f t="shared" si="97"/>
        <v>218</v>
      </c>
      <c r="T507" s="174">
        <f>VLOOKUP(D507,原始分!$D:$N,10,0)</f>
        <v>0</v>
      </c>
      <c r="U507" s="174">
        <f t="shared" si="98"/>
        <v>112</v>
      </c>
      <c r="V507" s="174">
        <f>VLOOKUP(D507,原始分!$D:$N,11,0)</f>
        <v>46.5</v>
      </c>
      <c r="W507" s="174">
        <f t="shared" si="99"/>
        <v>306</v>
      </c>
      <c r="X507" s="11">
        <f t="shared" si="100"/>
        <v>271</v>
      </c>
      <c r="Y507" s="9">
        <f t="shared" si="101"/>
        <v>522</v>
      </c>
      <c r="Z507" s="11">
        <f t="shared" si="102"/>
        <v>404</v>
      </c>
      <c r="AA507" s="9">
        <f t="shared" si="103"/>
        <v>504</v>
      </c>
    </row>
    <row r="508" ht="14.25" spans="1:27">
      <c r="A508" s="13">
        <v>276</v>
      </c>
      <c r="B508" s="15">
        <v>6</v>
      </c>
      <c r="C508" s="16">
        <v>28</v>
      </c>
      <c r="D508" s="17" t="s">
        <v>563</v>
      </c>
      <c r="E508" s="17" t="s">
        <v>564</v>
      </c>
      <c r="F508" s="174">
        <f>VLOOKUP(D508,原始分!$D:$N,3,0)</f>
        <v>88.75</v>
      </c>
      <c r="G508" s="174">
        <f t="shared" si="91"/>
        <v>601</v>
      </c>
      <c r="H508" s="174">
        <f>VLOOKUP(D508,原始分!$D:$N,4,0)</f>
        <v>91</v>
      </c>
      <c r="I508" s="174">
        <f t="shared" si="92"/>
        <v>479</v>
      </c>
      <c r="J508" s="174">
        <f>VLOOKUP(D508,原始分!$D:$N,5,0)</f>
        <v>80.5</v>
      </c>
      <c r="K508" s="174">
        <f t="shared" si="93"/>
        <v>548</v>
      </c>
      <c r="L508" s="174">
        <f>VLOOKUP(D508,原始分!$D:$N,6,0)</f>
        <v>55</v>
      </c>
      <c r="M508" s="174">
        <f t="shared" si="94"/>
        <v>269</v>
      </c>
      <c r="N508" s="174">
        <f>VLOOKUP(D508,原始分!$D:$N,7,0)</f>
        <v>0</v>
      </c>
      <c r="O508" s="174">
        <f t="shared" si="95"/>
        <v>1</v>
      </c>
      <c r="P508" s="174">
        <f>VLOOKUP(D508,原始分!$D:$N,8,0)</f>
        <v>0</v>
      </c>
      <c r="Q508" s="174">
        <f t="shared" si="96"/>
        <v>539</v>
      </c>
      <c r="R508" s="174">
        <f>VLOOKUP(D508,原始分!$D:$N,9,0)</f>
        <v>46.5</v>
      </c>
      <c r="S508" s="174">
        <f t="shared" si="97"/>
        <v>137</v>
      </c>
      <c r="T508" s="174">
        <f>VLOOKUP(D508,原始分!$D:$N,10,0)</f>
        <v>0</v>
      </c>
      <c r="U508" s="174">
        <f t="shared" si="98"/>
        <v>112</v>
      </c>
      <c r="V508" s="174">
        <f>VLOOKUP(D508,原始分!$D:$N,11,0)</f>
        <v>41.5</v>
      </c>
      <c r="W508" s="174">
        <f t="shared" si="99"/>
        <v>389</v>
      </c>
      <c r="X508" s="11">
        <f t="shared" si="100"/>
        <v>260.25</v>
      </c>
      <c r="Y508" s="9">
        <f t="shared" si="101"/>
        <v>582</v>
      </c>
      <c r="Z508" s="11">
        <f t="shared" si="102"/>
        <v>403.25</v>
      </c>
      <c r="AA508" s="9">
        <f t="shared" si="103"/>
        <v>506</v>
      </c>
    </row>
    <row r="509" ht="14.25" spans="1:27">
      <c r="A509" s="13">
        <v>636</v>
      </c>
      <c r="B509" s="15">
        <v>13</v>
      </c>
      <c r="C509" s="16">
        <v>29</v>
      </c>
      <c r="D509" s="17" t="s">
        <v>1280</v>
      </c>
      <c r="E509" s="17" t="s">
        <v>1281</v>
      </c>
      <c r="F509" s="174">
        <f>VLOOKUP(D509,原始分!$D:$N,3,0)</f>
        <v>91</v>
      </c>
      <c r="G509" s="174">
        <f t="shared" si="91"/>
        <v>555</v>
      </c>
      <c r="H509" s="174">
        <f>VLOOKUP(D509,原始分!$D:$N,4,0)</f>
        <v>87.5</v>
      </c>
      <c r="I509" s="174">
        <f t="shared" si="92"/>
        <v>530</v>
      </c>
      <c r="J509" s="174">
        <f>VLOOKUP(D509,原始分!$D:$N,5,0)</f>
        <v>82.75</v>
      </c>
      <c r="K509" s="174">
        <f t="shared" si="93"/>
        <v>518</v>
      </c>
      <c r="L509" s="174">
        <f>VLOOKUP(D509,原始分!$D:$N,6,0)</f>
        <v>45</v>
      </c>
      <c r="M509" s="174">
        <f t="shared" si="94"/>
        <v>424</v>
      </c>
      <c r="N509" s="174">
        <f>VLOOKUP(D509,原始分!$D:$N,7,0)</f>
        <v>0</v>
      </c>
      <c r="O509" s="174">
        <f t="shared" si="95"/>
        <v>1</v>
      </c>
      <c r="P509" s="174">
        <f>VLOOKUP(D509,原始分!$D:$N,8,0)</f>
        <v>38</v>
      </c>
      <c r="Q509" s="174">
        <f t="shared" si="96"/>
        <v>360</v>
      </c>
      <c r="R509" s="174">
        <f>VLOOKUP(D509,原始分!$D:$N,9,0)</f>
        <v>0</v>
      </c>
      <c r="S509" s="174">
        <f t="shared" si="97"/>
        <v>218</v>
      </c>
      <c r="T509" s="174">
        <f>VLOOKUP(D509,原始分!$D:$N,10,0)</f>
        <v>0</v>
      </c>
      <c r="U509" s="174">
        <f t="shared" si="98"/>
        <v>112</v>
      </c>
      <c r="V509" s="174">
        <f>VLOOKUP(D509,原始分!$D:$N,11,0)</f>
        <v>59</v>
      </c>
      <c r="W509" s="174">
        <f t="shared" si="99"/>
        <v>90</v>
      </c>
      <c r="X509" s="11">
        <f t="shared" si="100"/>
        <v>261.25</v>
      </c>
      <c r="Y509" s="9">
        <f t="shared" si="101"/>
        <v>576</v>
      </c>
      <c r="Z509" s="11">
        <f t="shared" si="102"/>
        <v>403.25</v>
      </c>
      <c r="AA509" s="9">
        <f t="shared" si="103"/>
        <v>506</v>
      </c>
    </row>
    <row r="510" ht="14.25" spans="1:27">
      <c r="A510" s="13">
        <v>204</v>
      </c>
      <c r="B510" s="15">
        <v>4</v>
      </c>
      <c r="C510" s="16">
        <v>47</v>
      </c>
      <c r="D510" s="17" t="s">
        <v>421</v>
      </c>
      <c r="E510" s="17" t="s">
        <v>422</v>
      </c>
      <c r="F510" s="174">
        <f>VLOOKUP(D510,原始分!$D:$N,3,0)</f>
        <v>106</v>
      </c>
      <c r="G510" s="174">
        <f t="shared" si="91"/>
        <v>87</v>
      </c>
      <c r="H510" s="174">
        <f>VLOOKUP(D510,原始分!$D:$N,4,0)</f>
        <v>90</v>
      </c>
      <c r="I510" s="174">
        <f t="shared" si="92"/>
        <v>494</v>
      </c>
      <c r="J510" s="174">
        <f>VLOOKUP(D510,原始分!$D:$N,5,0)</f>
        <v>94.5</v>
      </c>
      <c r="K510" s="174">
        <f t="shared" si="93"/>
        <v>349</v>
      </c>
      <c r="L510" s="174">
        <f>VLOOKUP(D510,原始分!$D:$N,6,0)</f>
        <v>40</v>
      </c>
      <c r="M510" s="174">
        <f t="shared" si="94"/>
        <v>506</v>
      </c>
      <c r="N510" s="174">
        <f>VLOOKUP(D510,原始分!$D:$N,7,0)</f>
        <v>0</v>
      </c>
      <c r="O510" s="174">
        <f t="shared" si="95"/>
        <v>1</v>
      </c>
      <c r="P510" s="174">
        <f>VLOOKUP(D510,原始分!$D:$N,8,0)</f>
        <v>27</v>
      </c>
      <c r="Q510" s="174">
        <f t="shared" si="96"/>
        <v>496</v>
      </c>
      <c r="R510" s="174">
        <f>VLOOKUP(D510,原始分!$D:$N,9,0)</f>
        <v>45.5</v>
      </c>
      <c r="S510" s="174">
        <f t="shared" si="97"/>
        <v>151</v>
      </c>
      <c r="T510" s="174">
        <f>VLOOKUP(D510,原始分!$D:$N,10,0)</f>
        <v>0</v>
      </c>
      <c r="U510" s="174">
        <f t="shared" si="98"/>
        <v>112</v>
      </c>
      <c r="V510" s="174">
        <f>VLOOKUP(D510,原始分!$D:$N,11,0)</f>
        <v>0</v>
      </c>
      <c r="W510" s="174">
        <f t="shared" si="99"/>
        <v>461</v>
      </c>
      <c r="X510" s="11">
        <f t="shared" si="100"/>
        <v>290.5</v>
      </c>
      <c r="Y510" s="9">
        <f t="shared" si="101"/>
        <v>364</v>
      </c>
      <c r="Z510" s="11">
        <f t="shared" si="102"/>
        <v>403</v>
      </c>
      <c r="AA510" s="9">
        <f t="shared" si="103"/>
        <v>508</v>
      </c>
    </row>
    <row r="511" ht="14.25" spans="1:27">
      <c r="A511" s="13">
        <v>328</v>
      </c>
      <c r="B511" s="15">
        <v>7</v>
      </c>
      <c r="C511" s="16">
        <v>41</v>
      </c>
      <c r="D511" s="17" t="s">
        <v>667</v>
      </c>
      <c r="E511" s="17" t="s">
        <v>668</v>
      </c>
      <c r="F511" s="174">
        <f>VLOOKUP(D511,原始分!$D:$N,3,0)</f>
        <v>99.5</v>
      </c>
      <c r="G511" s="174">
        <f t="shared" si="91"/>
        <v>286</v>
      </c>
      <c r="H511" s="174">
        <f>VLOOKUP(D511,原始分!$D:$N,4,0)</f>
        <v>117</v>
      </c>
      <c r="I511" s="174">
        <f t="shared" si="92"/>
        <v>85</v>
      </c>
      <c r="J511" s="174">
        <f>VLOOKUP(D511,原始分!$D:$N,5,0)</f>
        <v>66.5</v>
      </c>
      <c r="K511" s="174">
        <f t="shared" si="93"/>
        <v>634</v>
      </c>
      <c r="L511" s="174">
        <f>VLOOKUP(D511,原始分!$D:$N,6,0)</f>
        <v>32</v>
      </c>
      <c r="M511" s="174">
        <f t="shared" si="94"/>
        <v>603</v>
      </c>
      <c r="N511" s="174">
        <f>VLOOKUP(D511,原始分!$D:$N,7,0)</f>
        <v>0</v>
      </c>
      <c r="O511" s="174">
        <f t="shared" si="95"/>
        <v>1</v>
      </c>
      <c r="P511" s="174">
        <f>VLOOKUP(D511,原始分!$D:$N,8,0)</f>
        <v>0</v>
      </c>
      <c r="Q511" s="174">
        <f t="shared" si="96"/>
        <v>539</v>
      </c>
      <c r="R511" s="174">
        <f>VLOOKUP(D511,原始分!$D:$N,9,0)</f>
        <v>43</v>
      </c>
      <c r="S511" s="174">
        <f t="shared" si="97"/>
        <v>176</v>
      </c>
      <c r="T511" s="174">
        <f>VLOOKUP(D511,原始分!$D:$N,10,0)</f>
        <v>0</v>
      </c>
      <c r="U511" s="174">
        <f t="shared" si="98"/>
        <v>112</v>
      </c>
      <c r="V511" s="174">
        <f>VLOOKUP(D511,原始分!$D:$N,11,0)</f>
        <v>44.5</v>
      </c>
      <c r="W511" s="174">
        <f t="shared" si="99"/>
        <v>343</v>
      </c>
      <c r="X511" s="11">
        <f t="shared" si="100"/>
        <v>283</v>
      </c>
      <c r="Y511" s="9">
        <f t="shared" si="101"/>
        <v>420</v>
      </c>
      <c r="Z511" s="11">
        <f t="shared" si="102"/>
        <v>402.5</v>
      </c>
      <c r="AA511" s="9">
        <f t="shared" si="103"/>
        <v>509</v>
      </c>
    </row>
    <row r="512" ht="14.25" spans="1:27">
      <c r="A512" s="13">
        <v>146</v>
      </c>
      <c r="B512" s="15">
        <v>3</v>
      </c>
      <c r="C512" s="16">
        <v>35</v>
      </c>
      <c r="D512" s="17" t="s">
        <v>305</v>
      </c>
      <c r="E512" s="17" t="s">
        <v>306</v>
      </c>
      <c r="F512" s="174">
        <f>VLOOKUP(D512,原始分!$D:$N,3,0)</f>
        <v>84.25</v>
      </c>
      <c r="G512" s="174">
        <f t="shared" si="91"/>
        <v>640</v>
      </c>
      <c r="H512" s="174">
        <f>VLOOKUP(D512,原始分!$D:$N,4,0)</f>
        <v>101</v>
      </c>
      <c r="I512" s="174">
        <f t="shared" si="92"/>
        <v>339</v>
      </c>
      <c r="J512" s="174">
        <f>VLOOKUP(D512,原始分!$D:$N,5,0)</f>
        <v>93</v>
      </c>
      <c r="K512" s="174">
        <f t="shared" si="93"/>
        <v>372</v>
      </c>
      <c r="L512" s="174">
        <f>VLOOKUP(D512,原始分!$D:$N,6,0)</f>
        <v>43.5</v>
      </c>
      <c r="M512" s="174">
        <f t="shared" si="94"/>
        <v>452</v>
      </c>
      <c r="N512" s="174">
        <f>VLOOKUP(D512,原始分!$D:$N,7,0)</f>
        <v>0</v>
      </c>
      <c r="O512" s="174">
        <f t="shared" si="95"/>
        <v>1</v>
      </c>
      <c r="P512" s="174">
        <f>VLOOKUP(D512,原始分!$D:$N,8,0)</f>
        <v>37.5</v>
      </c>
      <c r="Q512" s="174">
        <f t="shared" si="96"/>
        <v>367</v>
      </c>
      <c r="R512" s="174">
        <f>VLOOKUP(D512,原始分!$D:$N,9,0)</f>
        <v>43</v>
      </c>
      <c r="S512" s="174">
        <f t="shared" si="97"/>
        <v>176</v>
      </c>
      <c r="T512" s="174">
        <f>VLOOKUP(D512,原始分!$D:$N,10,0)</f>
        <v>0</v>
      </c>
      <c r="U512" s="174">
        <f t="shared" si="98"/>
        <v>112</v>
      </c>
      <c r="V512" s="174">
        <f>VLOOKUP(D512,原始分!$D:$N,11,0)</f>
        <v>0</v>
      </c>
      <c r="W512" s="174">
        <f t="shared" si="99"/>
        <v>461</v>
      </c>
      <c r="X512" s="11">
        <f t="shared" si="100"/>
        <v>278.25</v>
      </c>
      <c r="Y512" s="9">
        <f t="shared" si="101"/>
        <v>465</v>
      </c>
      <c r="Z512" s="11">
        <f t="shared" si="102"/>
        <v>402.25</v>
      </c>
      <c r="AA512" s="9">
        <f t="shared" si="103"/>
        <v>510</v>
      </c>
    </row>
    <row r="513" ht="14.25" spans="1:27">
      <c r="A513" s="13">
        <v>151</v>
      </c>
      <c r="B513" s="15">
        <v>3</v>
      </c>
      <c r="C513" s="16">
        <v>40</v>
      </c>
      <c r="D513" s="17" t="s">
        <v>315</v>
      </c>
      <c r="E513" s="17" t="s">
        <v>316</v>
      </c>
      <c r="F513" s="174">
        <f>VLOOKUP(D513,原始分!$D:$N,3,0)</f>
        <v>92.75</v>
      </c>
      <c r="G513" s="174">
        <f t="shared" si="91"/>
        <v>520</v>
      </c>
      <c r="H513" s="174">
        <f>VLOOKUP(D513,原始分!$D:$N,4,0)</f>
        <v>96.5</v>
      </c>
      <c r="I513" s="174">
        <f t="shared" si="92"/>
        <v>399</v>
      </c>
      <c r="J513" s="174">
        <f>VLOOKUP(D513,原始分!$D:$N,5,0)</f>
        <v>98.5</v>
      </c>
      <c r="K513" s="174">
        <f t="shared" si="93"/>
        <v>279</v>
      </c>
      <c r="L513" s="174">
        <f>VLOOKUP(D513,原始分!$D:$N,6,0)</f>
        <v>46.5</v>
      </c>
      <c r="M513" s="174">
        <f t="shared" si="94"/>
        <v>404</v>
      </c>
      <c r="N513" s="174">
        <f>VLOOKUP(D513,原始分!$D:$N,7,0)</f>
        <v>0</v>
      </c>
      <c r="O513" s="174">
        <f t="shared" si="95"/>
        <v>1</v>
      </c>
      <c r="P513" s="174">
        <f>VLOOKUP(D513,原始分!$D:$N,8,0)</f>
        <v>31.5</v>
      </c>
      <c r="Q513" s="174">
        <f t="shared" si="96"/>
        <v>459</v>
      </c>
      <c r="R513" s="174">
        <f>VLOOKUP(D513,原始分!$D:$N,9,0)</f>
        <v>36.5</v>
      </c>
      <c r="S513" s="174">
        <f t="shared" si="97"/>
        <v>207</v>
      </c>
      <c r="T513" s="174">
        <f>VLOOKUP(D513,原始分!$D:$N,10,0)</f>
        <v>0</v>
      </c>
      <c r="U513" s="174">
        <f t="shared" si="98"/>
        <v>112</v>
      </c>
      <c r="V513" s="174">
        <f>VLOOKUP(D513,原始分!$D:$N,11,0)</f>
        <v>0</v>
      </c>
      <c r="W513" s="174">
        <f t="shared" si="99"/>
        <v>461</v>
      </c>
      <c r="X513" s="11">
        <f t="shared" si="100"/>
        <v>287.75</v>
      </c>
      <c r="Y513" s="9">
        <f t="shared" si="101"/>
        <v>380</v>
      </c>
      <c r="Z513" s="11">
        <f t="shared" si="102"/>
        <v>402.25</v>
      </c>
      <c r="AA513" s="9">
        <f t="shared" si="103"/>
        <v>510</v>
      </c>
    </row>
    <row r="514" ht="14.25" spans="1:27">
      <c r="A514" s="13">
        <v>613</v>
      </c>
      <c r="B514" s="15">
        <v>13</v>
      </c>
      <c r="C514" s="16">
        <v>4</v>
      </c>
      <c r="D514" s="17" t="s">
        <v>1234</v>
      </c>
      <c r="E514" s="17" t="s">
        <v>1235</v>
      </c>
      <c r="F514" s="174">
        <f>VLOOKUP(D514,原始分!$D:$N,3,0)</f>
        <v>97</v>
      </c>
      <c r="G514" s="174">
        <f t="shared" si="91"/>
        <v>386</v>
      </c>
      <c r="H514" s="174">
        <f>VLOOKUP(D514,原始分!$D:$N,4,0)</f>
        <v>88</v>
      </c>
      <c r="I514" s="174">
        <f t="shared" si="92"/>
        <v>522</v>
      </c>
      <c r="J514" s="174">
        <f>VLOOKUP(D514,原始分!$D:$N,5,0)</f>
        <v>85.5</v>
      </c>
      <c r="K514" s="174">
        <f t="shared" si="93"/>
        <v>481</v>
      </c>
      <c r="L514" s="174">
        <f>VLOOKUP(D514,原始分!$D:$N,6,0)</f>
        <v>50</v>
      </c>
      <c r="M514" s="174">
        <f t="shared" si="94"/>
        <v>337</v>
      </c>
      <c r="N514" s="174">
        <f>VLOOKUP(D514,原始分!$D:$N,7,0)</f>
        <v>0</v>
      </c>
      <c r="O514" s="174">
        <f t="shared" si="95"/>
        <v>1</v>
      </c>
      <c r="P514" s="174">
        <f>VLOOKUP(D514,原始分!$D:$N,8,0)</f>
        <v>30</v>
      </c>
      <c r="Q514" s="174">
        <f t="shared" si="96"/>
        <v>472</v>
      </c>
      <c r="R514" s="174">
        <f>VLOOKUP(D514,原始分!$D:$N,9,0)</f>
        <v>0</v>
      </c>
      <c r="S514" s="174">
        <f t="shared" si="97"/>
        <v>218</v>
      </c>
      <c r="T514" s="174">
        <f>VLOOKUP(D514,原始分!$D:$N,10,0)</f>
        <v>0</v>
      </c>
      <c r="U514" s="174">
        <f t="shared" si="98"/>
        <v>112</v>
      </c>
      <c r="V514" s="174">
        <f>VLOOKUP(D514,原始分!$D:$N,11,0)</f>
        <v>51.5</v>
      </c>
      <c r="W514" s="174">
        <f t="shared" si="99"/>
        <v>213</v>
      </c>
      <c r="X514" s="11">
        <f t="shared" si="100"/>
        <v>270.5</v>
      </c>
      <c r="Y514" s="9">
        <f t="shared" si="101"/>
        <v>526</v>
      </c>
      <c r="Z514" s="11">
        <f t="shared" si="102"/>
        <v>402</v>
      </c>
      <c r="AA514" s="9">
        <f t="shared" si="103"/>
        <v>512</v>
      </c>
    </row>
    <row r="515" ht="14.25" spans="1:27">
      <c r="A515" s="13">
        <v>529</v>
      </c>
      <c r="B515" s="15">
        <v>11</v>
      </c>
      <c r="C515" s="16">
        <v>34</v>
      </c>
      <c r="D515" s="17" t="s">
        <v>1067</v>
      </c>
      <c r="E515" s="17" t="s">
        <v>1068</v>
      </c>
      <c r="F515" s="174">
        <f>VLOOKUP(D515,原始分!$D:$N,3,0)</f>
        <v>91</v>
      </c>
      <c r="G515" s="174">
        <f t="shared" ref="G515:G578" si="104">RANK(F515,$F$3:$F$723)</f>
        <v>555</v>
      </c>
      <c r="H515" s="174">
        <f>VLOOKUP(D515,原始分!$D:$N,4,0)</f>
        <v>91</v>
      </c>
      <c r="I515" s="174">
        <f t="shared" ref="I515:I578" si="105">RANK(H515,$H$3:$H$723)</f>
        <v>479</v>
      </c>
      <c r="J515" s="174">
        <f>VLOOKUP(D515,原始分!$D:$N,5,0)</f>
        <v>84</v>
      </c>
      <c r="K515" s="174">
        <f t="shared" ref="K515:K578" si="106">RANK(J515,$J$3:$J$723)</f>
        <v>504</v>
      </c>
      <c r="L515" s="174">
        <f>VLOOKUP(D515,原始分!$D:$N,6,0)</f>
        <v>42.5</v>
      </c>
      <c r="M515" s="174">
        <f t="shared" ref="M515:M578" si="107">RANK(L515,$L$3:$L$723)</f>
        <v>470</v>
      </c>
      <c r="N515" s="174">
        <f>VLOOKUP(D515,原始分!$D:$N,7,0)</f>
        <v>0</v>
      </c>
      <c r="O515" s="174">
        <f t="shared" ref="O515:O578" si="108">RANK(N515,$N$3:$N$723)</f>
        <v>1</v>
      </c>
      <c r="P515" s="174">
        <f>VLOOKUP(D515,原始分!$D:$N,8,0)</f>
        <v>44.25</v>
      </c>
      <c r="Q515" s="174">
        <f t="shared" ref="Q515:Q578" si="109">RANK(P515,$P$3:$P$723)</f>
        <v>225</v>
      </c>
      <c r="R515" s="174">
        <f>VLOOKUP(D515,原始分!$D:$N,9,0)</f>
        <v>0</v>
      </c>
      <c r="S515" s="174">
        <f t="shared" ref="S515:S578" si="110">RANK(R515,$R$3:$R$723)</f>
        <v>218</v>
      </c>
      <c r="T515" s="174">
        <f>VLOOKUP(D515,原始分!$D:$N,10,0)</f>
        <v>0</v>
      </c>
      <c r="U515" s="174">
        <f t="shared" ref="U515:U578" si="111">RANK(T515,$T$3:$T$723)</f>
        <v>112</v>
      </c>
      <c r="V515" s="174">
        <f>VLOOKUP(D515,原始分!$D:$N,11,0)</f>
        <v>49</v>
      </c>
      <c r="W515" s="174">
        <f t="shared" ref="W515:W578" si="112">RANK(V515,$V$3:$V$723)</f>
        <v>262</v>
      </c>
      <c r="X515" s="11">
        <f t="shared" ref="X515:X578" si="113">SUM(F515,H515,J515)</f>
        <v>266</v>
      </c>
      <c r="Y515" s="9">
        <f t="shared" ref="Y515:Y578" si="114">RANK(X515,$X$3:$X$723)</f>
        <v>549</v>
      </c>
      <c r="Z515" s="11">
        <f t="shared" ref="Z515:Z578" si="115">SUM(F515,H515,J515,L515,N515,P515,R515,T515,V515)</f>
        <v>401.75</v>
      </c>
      <c r="AA515" s="9">
        <f t="shared" ref="AA515:AA578" si="116">RANK(Z515,$Z$3:$Z$723)</f>
        <v>513</v>
      </c>
    </row>
    <row r="516" ht="14.25" spans="1:27">
      <c r="A516" s="13">
        <v>291</v>
      </c>
      <c r="B516" s="15">
        <v>7</v>
      </c>
      <c r="C516" s="16">
        <v>1</v>
      </c>
      <c r="D516" s="17" t="s">
        <v>593</v>
      </c>
      <c r="E516" s="17" t="s">
        <v>594</v>
      </c>
      <c r="F516" s="174">
        <f>VLOOKUP(D516,原始分!$D:$N,3,0)</f>
        <v>96</v>
      </c>
      <c r="G516" s="174">
        <f t="shared" si="104"/>
        <v>407</v>
      </c>
      <c r="H516" s="174">
        <f>VLOOKUP(D516,原始分!$D:$N,4,0)</f>
        <v>89</v>
      </c>
      <c r="I516" s="174">
        <f t="shared" si="105"/>
        <v>508</v>
      </c>
      <c r="J516" s="174">
        <f>VLOOKUP(D516,原始分!$D:$N,5,0)</f>
        <v>92.5</v>
      </c>
      <c r="K516" s="174">
        <f t="shared" si="106"/>
        <v>381</v>
      </c>
      <c r="L516" s="174">
        <f>VLOOKUP(D516,原始分!$D:$N,6,0)</f>
        <v>37.5</v>
      </c>
      <c r="M516" s="174">
        <f t="shared" si="107"/>
        <v>543</v>
      </c>
      <c r="N516" s="174">
        <f>VLOOKUP(D516,原始分!$D:$N,7,0)</f>
        <v>0</v>
      </c>
      <c r="O516" s="174">
        <f t="shared" si="108"/>
        <v>1</v>
      </c>
      <c r="P516" s="174">
        <f>VLOOKUP(D516,原始分!$D:$N,8,0)</f>
        <v>0</v>
      </c>
      <c r="Q516" s="174">
        <f t="shared" si="109"/>
        <v>539</v>
      </c>
      <c r="R516" s="174">
        <f>VLOOKUP(D516,原始分!$D:$N,9,0)</f>
        <v>44</v>
      </c>
      <c r="S516" s="174">
        <f t="shared" si="110"/>
        <v>169</v>
      </c>
      <c r="T516" s="174">
        <f>VLOOKUP(D516,原始分!$D:$N,10,0)</f>
        <v>0</v>
      </c>
      <c r="U516" s="174">
        <f t="shared" si="111"/>
        <v>112</v>
      </c>
      <c r="V516" s="174">
        <f>VLOOKUP(D516,原始分!$D:$N,11,0)</f>
        <v>42.5</v>
      </c>
      <c r="W516" s="174">
        <f t="shared" si="112"/>
        <v>379</v>
      </c>
      <c r="X516" s="11">
        <f t="shared" si="113"/>
        <v>277.5</v>
      </c>
      <c r="Y516" s="9">
        <f t="shared" si="114"/>
        <v>480</v>
      </c>
      <c r="Z516" s="11">
        <f t="shared" si="115"/>
        <v>401.5</v>
      </c>
      <c r="AA516" s="9">
        <f t="shared" si="116"/>
        <v>514</v>
      </c>
    </row>
    <row r="517" ht="14.25" spans="1:27">
      <c r="A517" s="13">
        <v>313</v>
      </c>
      <c r="B517" s="15">
        <v>7</v>
      </c>
      <c r="C517" s="16">
        <v>24</v>
      </c>
      <c r="D517" s="17" t="s">
        <v>637</v>
      </c>
      <c r="E517" s="17" t="s">
        <v>638</v>
      </c>
      <c r="F517" s="174">
        <f>VLOOKUP(D517,原始分!$D:$N,3,0)</f>
        <v>88</v>
      </c>
      <c r="G517" s="174">
        <f t="shared" si="104"/>
        <v>607</v>
      </c>
      <c r="H517" s="174">
        <f>VLOOKUP(D517,原始分!$D:$N,4,0)</f>
        <v>74.5</v>
      </c>
      <c r="I517" s="174">
        <f t="shared" si="105"/>
        <v>619</v>
      </c>
      <c r="J517" s="174">
        <f>VLOOKUP(D517,原始分!$D:$N,5,0)</f>
        <v>100</v>
      </c>
      <c r="K517" s="174">
        <f t="shared" si="106"/>
        <v>243</v>
      </c>
      <c r="L517" s="174">
        <f>VLOOKUP(D517,原始分!$D:$N,6,0)</f>
        <v>53</v>
      </c>
      <c r="M517" s="174">
        <f t="shared" si="107"/>
        <v>300</v>
      </c>
      <c r="N517" s="174">
        <f>VLOOKUP(D517,原始分!$D:$N,7,0)</f>
        <v>0</v>
      </c>
      <c r="O517" s="174">
        <f t="shared" si="108"/>
        <v>1</v>
      </c>
      <c r="P517" s="174">
        <f>VLOOKUP(D517,原始分!$D:$N,8,0)</f>
        <v>0</v>
      </c>
      <c r="Q517" s="174">
        <f t="shared" si="109"/>
        <v>539</v>
      </c>
      <c r="R517" s="174">
        <f>VLOOKUP(D517,原始分!$D:$N,9,0)</f>
        <v>39</v>
      </c>
      <c r="S517" s="174">
        <f t="shared" si="110"/>
        <v>201</v>
      </c>
      <c r="T517" s="174">
        <f>VLOOKUP(D517,原始分!$D:$N,10,0)</f>
        <v>0</v>
      </c>
      <c r="U517" s="174">
        <f t="shared" si="111"/>
        <v>112</v>
      </c>
      <c r="V517" s="174">
        <f>VLOOKUP(D517,原始分!$D:$N,11,0)</f>
        <v>47</v>
      </c>
      <c r="W517" s="174">
        <f t="shared" si="112"/>
        <v>296</v>
      </c>
      <c r="X517" s="11">
        <f t="shared" si="113"/>
        <v>262.5</v>
      </c>
      <c r="Y517" s="9">
        <f t="shared" si="114"/>
        <v>573</v>
      </c>
      <c r="Z517" s="11">
        <f t="shared" si="115"/>
        <v>401.5</v>
      </c>
      <c r="AA517" s="9">
        <f t="shared" si="116"/>
        <v>514</v>
      </c>
    </row>
    <row r="518" ht="14.25" spans="1:27">
      <c r="A518" s="13">
        <v>526</v>
      </c>
      <c r="B518" s="15">
        <v>11</v>
      </c>
      <c r="C518" s="16">
        <v>31</v>
      </c>
      <c r="D518" s="17" t="s">
        <v>1062</v>
      </c>
      <c r="E518" s="17" t="s">
        <v>630</v>
      </c>
      <c r="F518" s="174">
        <f>VLOOKUP(D518,原始分!$D:$N,3,0)</f>
        <v>88.5</v>
      </c>
      <c r="G518" s="174">
        <f t="shared" si="104"/>
        <v>603</v>
      </c>
      <c r="H518" s="174">
        <f>VLOOKUP(D518,原始分!$D:$N,4,0)</f>
        <v>101</v>
      </c>
      <c r="I518" s="174">
        <f t="shared" si="105"/>
        <v>339</v>
      </c>
      <c r="J518" s="174">
        <f>VLOOKUP(D518,原始分!$D:$N,5,0)</f>
        <v>54.5</v>
      </c>
      <c r="K518" s="174">
        <f t="shared" si="106"/>
        <v>652</v>
      </c>
      <c r="L518" s="174">
        <f>VLOOKUP(D518,原始分!$D:$N,6,0)</f>
        <v>57</v>
      </c>
      <c r="M518" s="174">
        <f t="shared" si="107"/>
        <v>237</v>
      </c>
      <c r="N518" s="174">
        <f>VLOOKUP(D518,原始分!$D:$N,7,0)</f>
        <v>0</v>
      </c>
      <c r="O518" s="174">
        <f t="shared" si="108"/>
        <v>1</v>
      </c>
      <c r="P518" s="174">
        <f>VLOOKUP(D518,原始分!$D:$N,8,0)</f>
        <v>49.5</v>
      </c>
      <c r="Q518" s="174">
        <f t="shared" si="109"/>
        <v>119</v>
      </c>
      <c r="R518" s="174">
        <f>VLOOKUP(D518,原始分!$D:$N,9,0)</f>
        <v>0</v>
      </c>
      <c r="S518" s="174">
        <f t="shared" si="110"/>
        <v>218</v>
      </c>
      <c r="T518" s="174">
        <f>VLOOKUP(D518,原始分!$D:$N,10,0)</f>
        <v>0</v>
      </c>
      <c r="U518" s="174">
        <f t="shared" si="111"/>
        <v>112</v>
      </c>
      <c r="V518" s="174">
        <f>VLOOKUP(D518,原始分!$D:$N,11,0)</f>
        <v>51</v>
      </c>
      <c r="W518" s="174">
        <f t="shared" si="112"/>
        <v>227</v>
      </c>
      <c r="X518" s="11">
        <f t="shared" si="113"/>
        <v>244</v>
      </c>
      <c r="Y518" s="9">
        <f t="shared" si="114"/>
        <v>620</v>
      </c>
      <c r="Z518" s="11">
        <f t="shared" si="115"/>
        <v>401.5</v>
      </c>
      <c r="AA518" s="9">
        <f t="shared" si="116"/>
        <v>514</v>
      </c>
    </row>
    <row r="519" ht="14.25" spans="1:27">
      <c r="A519" s="13">
        <v>189</v>
      </c>
      <c r="B519" s="15">
        <v>4</v>
      </c>
      <c r="C519" s="16">
        <v>31</v>
      </c>
      <c r="D519" s="17" t="s">
        <v>391</v>
      </c>
      <c r="E519" s="17" t="s">
        <v>392</v>
      </c>
      <c r="F519" s="174">
        <f>VLOOKUP(D519,原始分!$D:$N,3,0)</f>
        <v>91</v>
      </c>
      <c r="G519" s="174">
        <f t="shared" si="104"/>
        <v>555</v>
      </c>
      <c r="H519" s="174">
        <f>VLOOKUP(D519,原始分!$D:$N,4,0)</f>
        <v>106</v>
      </c>
      <c r="I519" s="174">
        <f t="shared" si="105"/>
        <v>255</v>
      </c>
      <c r="J519" s="174">
        <f>VLOOKUP(D519,原始分!$D:$N,5,0)</f>
        <v>100.75</v>
      </c>
      <c r="K519" s="174">
        <f t="shared" si="106"/>
        <v>232</v>
      </c>
      <c r="L519" s="174">
        <f>VLOOKUP(D519,原始分!$D:$N,6,0)</f>
        <v>32</v>
      </c>
      <c r="M519" s="174">
        <f t="shared" si="107"/>
        <v>603</v>
      </c>
      <c r="N519" s="174">
        <f>VLOOKUP(D519,原始分!$D:$N,7,0)</f>
        <v>0</v>
      </c>
      <c r="O519" s="174">
        <f t="shared" si="108"/>
        <v>1</v>
      </c>
      <c r="P519" s="174">
        <f>VLOOKUP(D519,原始分!$D:$N,8,0)</f>
        <v>39.5</v>
      </c>
      <c r="Q519" s="174">
        <f t="shared" si="109"/>
        <v>333</v>
      </c>
      <c r="R519" s="174">
        <f>VLOOKUP(D519,原始分!$D:$N,9,0)</f>
        <v>32</v>
      </c>
      <c r="S519" s="174">
        <f t="shared" si="110"/>
        <v>214</v>
      </c>
      <c r="T519" s="174">
        <f>VLOOKUP(D519,原始分!$D:$N,10,0)</f>
        <v>0</v>
      </c>
      <c r="U519" s="174">
        <f t="shared" si="111"/>
        <v>112</v>
      </c>
      <c r="V519" s="174">
        <f>VLOOKUP(D519,原始分!$D:$N,11,0)</f>
        <v>0</v>
      </c>
      <c r="W519" s="174">
        <f t="shared" si="112"/>
        <v>461</v>
      </c>
      <c r="X519" s="11">
        <f t="shared" si="113"/>
        <v>297.75</v>
      </c>
      <c r="Y519" s="9">
        <f t="shared" si="114"/>
        <v>297</v>
      </c>
      <c r="Z519" s="11">
        <f t="shared" si="115"/>
        <v>401.25</v>
      </c>
      <c r="AA519" s="9">
        <f t="shared" si="116"/>
        <v>517</v>
      </c>
    </row>
    <row r="520" ht="14.25" spans="1:27">
      <c r="A520" s="13">
        <v>630</v>
      </c>
      <c r="B520" s="15">
        <v>13</v>
      </c>
      <c r="C520" s="16">
        <v>23</v>
      </c>
      <c r="D520" s="17" t="s">
        <v>1268</v>
      </c>
      <c r="E520" s="17" t="s">
        <v>1269</v>
      </c>
      <c r="F520" s="174">
        <f>VLOOKUP(D520,原始分!$D:$N,3,0)</f>
        <v>102.25</v>
      </c>
      <c r="G520" s="174">
        <f t="shared" si="104"/>
        <v>197</v>
      </c>
      <c r="H520" s="174">
        <f>VLOOKUP(D520,原始分!$D:$N,4,0)</f>
        <v>88.5</v>
      </c>
      <c r="I520" s="174">
        <f t="shared" si="105"/>
        <v>514</v>
      </c>
      <c r="J520" s="174">
        <f>VLOOKUP(D520,原始分!$D:$N,5,0)</f>
        <v>87</v>
      </c>
      <c r="K520" s="174">
        <f t="shared" si="106"/>
        <v>457</v>
      </c>
      <c r="L520" s="174">
        <f>VLOOKUP(D520,原始分!$D:$N,6,0)</f>
        <v>35.5</v>
      </c>
      <c r="M520" s="174">
        <f t="shared" si="107"/>
        <v>566</v>
      </c>
      <c r="N520" s="174">
        <f>VLOOKUP(D520,原始分!$D:$N,7,0)</f>
        <v>0</v>
      </c>
      <c r="O520" s="174">
        <f t="shared" si="108"/>
        <v>1</v>
      </c>
      <c r="P520" s="174">
        <f>VLOOKUP(D520,原始分!$D:$N,8,0)</f>
        <v>36.5</v>
      </c>
      <c r="Q520" s="174">
        <f t="shared" si="109"/>
        <v>378</v>
      </c>
      <c r="R520" s="174">
        <f>VLOOKUP(D520,原始分!$D:$N,9,0)</f>
        <v>0</v>
      </c>
      <c r="S520" s="174">
        <f t="shared" si="110"/>
        <v>218</v>
      </c>
      <c r="T520" s="174">
        <f>VLOOKUP(D520,原始分!$D:$N,10,0)</f>
        <v>0</v>
      </c>
      <c r="U520" s="174">
        <f t="shared" si="111"/>
        <v>112</v>
      </c>
      <c r="V520" s="174">
        <f>VLOOKUP(D520,原始分!$D:$N,11,0)</f>
        <v>51.5</v>
      </c>
      <c r="W520" s="174">
        <f t="shared" si="112"/>
        <v>213</v>
      </c>
      <c r="X520" s="11">
        <f t="shared" si="113"/>
        <v>277.75</v>
      </c>
      <c r="Y520" s="9">
        <f t="shared" si="114"/>
        <v>477</v>
      </c>
      <c r="Z520" s="11">
        <f t="shared" si="115"/>
        <v>401.25</v>
      </c>
      <c r="AA520" s="9">
        <f t="shared" si="116"/>
        <v>517</v>
      </c>
    </row>
    <row r="521" ht="14.25" spans="1:27">
      <c r="A521" s="13">
        <v>270</v>
      </c>
      <c r="B521" s="15">
        <v>6</v>
      </c>
      <c r="C521" s="16">
        <v>22</v>
      </c>
      <c r="D521" s="17" t="s">
        <v>551</v>
      </c>
      <c r="E521" s="17" t="s">
        <v>552</v>
      </c>
      <c r="F521" s="174">
        <f>VLOOKUP(D521,原始分!$D:$N,3,0)</f>
        <v>95</v>
      </c>
      <c r="G521" s="174">
        <f t="shared" si="104"/>
        <v>441</v>
      </c>
      <c r="H521" s="174">
        <f>VLOOKUP(D521,原始分!$D:$N,4,0)</f>
        <v>74</v>
      </c>
      <c r="I521" s="174">
        <f t="shared" si="105"/>
        <v>622</v>
      </c>
      <c r="J521" s="174">
        <f>VLOOKUP(D521,原始分!$D:$N,5,0)</f>
        <v>109</v>
      </c>
      <c r="K521" s="174">
        <f t="shared" si="106"/>
        <v>116</v>
      </c>
      <c r="L521" s="174">
        <f>VLOOKUP(D521,原始分!$D:$N,6,0)</f>
        <v>27.5</v>
      </c>
      <c r="M521" s="174">
        <f t="shared" si="107"/>
        <v>627</v>
      </c>
      <c r="N521" s="174">
        <f>VLOOKUP(D521,原始分!$D:$N,7,0)</f>
        <v>0</v>
      </c>
      <c r="O521" s="174">
        <f t="shared" si="108"/>
        <v>1</v>
      </c>
      <c r="P521" s="174">
        <f>VLOOKUP(D521,原始分!$D:$N,8,0)</f>
        <v>0</v>
      </c>
      <c r="Q521" s="174">
        <f t="shared" si="109"/>
        <v>539</v>
      </c>
      <c r="R521" s="174">
        <f>VLOOKUP(D521,原始分!$D:$N,9,0)</f>
        <v>50.5</v>
      </c>
      <c r="S521" s="174">
        <f t="shared" si="110"/>
        <v>90</v>
      </c>
      <c r="T521" s="174">
        <f>VLOOKUP(D521,原始分!$D:$N,10,0)</f>
        <v>0</v>
      </c>
      <c r="U521" s="174">
        <f t="shared" si="111"/>
        <v>112</v>
      </c>
      <c r="V521" s="174">
        <f>VLOOKUP(D521,原始分!$D:$N,11,0)</f>
        <v>45</v>
      </c>
      <c r="W521" s="174">
        <f t="shared" si="112"/>
        <v>332</v>
      </c>
      <c r="X521" s="11">
        <f t="shared" si="113"/>
        <v>278</v>
      </c>
      <c r="Y521" s="9">
        <f t="shared" si="114"/>
        <v>469</v>
      </c>
      <c r="Z521" s="11">
        <f t="shared" si="115"/>
        <v>401</v>
      </c>
      <c r="AA521" s="9">
        <f t="shared" si="116"/>
        <v>519</v>
      </c>
    </row>
    <row r="522" ht="14.25" spans="1:27">
      <c r="A522" s="13">
        <v>348</v>
      </c>
      <c r="B522" s="15">
        <v>8</v>
      </c>
      <c r="C522" s="16">
        <v>20</v>
      </c>
      <c r="D522" s="17" t="s">
        <v>707</v>
      </c>
      <c r="E522" s="17" t="s">
        <v>708</v>
      </c>
      <c r="F522" s="174">
        <f>VLOOKUP(D522,原始分!$D:$N,3,0)</f>
        <v>98.5</v>
      </c>
      <c r="G522" s="174">
        <f t="shared" si="104"/>
        <v>324</v>
      </c>
      <c r="H522" s="174">
        <f>VLOOKUP(D522,原始分!$D:$N,4,0)</f>
        <v>104</v>
      </c>
      <c r="I522" s="174">
        <f t="shared" si="105"/>
        <v>290</v>
      </c>
      <c r="J522" s="174">
        <f>VLOOKUP(D522,原始分!$D:$N,5,0)</f>
        <v>77.5</v>
      </c>
      <c r="K522" s="174">
        <f t="shared" si="106"/>
        <v>571</v>
      </c>
      <c r="L522" s="174">
        <f>VLOOKUP(D522,原始分!$D:$N,6,0)</f>
        <v>36</v>
      </c>
      <c r="M522" s="174">
        <f t="shared" si="107"/>
        <v>561</v>
      </c>
      <c r="N522" s="174">
        <f>VLOOKUP(D522,原始分!$D:$N,7,0)</f>
        <v>0</v>
      </c>
      <c r="O522" s="174">
        <f t="shared" si="108"/>
        <v>1</v>
      </c>
      <c r="P522" s="174">
        <f>VLOOKUP(D522,原始分!$D:$N,8,0)</f>
        <v>41</v>
      </c>
      <c r="Q522" s="174">
        <f t="shared" si="109"/>
        <v>294</v>
      </c>
      <c r="R522" s="174">
        <f>VLOOKUP(D522,原始分!$D:$N,9,0)</f>
        <v>0</v>
      </c>
      <c r="S522" s="174">
        <f t="shared" si="110"/>
        <v>218</v>
      </c>
      <c r="T522" s="174">
        <f>VLOOKUP(D522,原始分!$D:$N,10,0)</f>
        <v>0</v>
      </c>
      <c r="U522" s="174">
        <f t="shared" si="111"/>
        <v>112</v>
      </c>
      <c r="V522" s="174">
        <f>VLOOKUP(D522,原始分!$D:$N,11,0)</f>
        <v>43.5</v>
      </c>
      <c r="W522" s="174">
        <f t="shared" si="112"/>
        <v>359</v>
      </c>
      <c r="X522" s="11">
        <f t="shared" si="113"/>
        <v>280</v>
      </c>
      <c r="Y522" s="9">
        <f t="shared" si="114"/>
        <v>448</v>
      </c>
      <c r="Z522" s="11">
        <f t="shared" si="115"/>
        <v>400.5</v>
      </c>
      <c r="AA522" s="9">
        <f t="shared" si="116"/>
        <v>520</v>
      </c>
    </row>
    <row r="523" ht="14.25" spans="1:27">
      <c r="A523" s="13">
        <v>535</v>
      </c>
      <c r="B523" s="15">
        <v>11</v>
      </c>
      <c r="C523" s="16">
        <v>41</v>
      </c>
      <c r="D523" s="17" t="s">
        <v>1079</v>
      </c>
      <c r="E523" s="17" t="s">
        <v>1080</v>
      </c>
      <c r="F523" s="174">
        <f>VLOOKUP(D523,原始分!$D:$N,3,0)</f>
        <v>101</v>
      </c>
      <c r="G523" s="174">
        <f t="shared" si="104"/>
        <v>224</v>
      </c>
      <c r="H523" s="174">
        <f>VLOOKUP(D523,原始分!$D:$N,4,0)</f>
        <v>91</v>
      </c>
      <c r="I523" s="174">
        <f t="shared" si="105"/>
        <v>479</v>
      </c>
      <c r="J523" s="174">
        <f>VLOOKUP(D523,原始分!$D:$N,5,0)</f>
        <v>88.5</v>
      </c>
      <c r="K523" s="174">
        <f t="shared" si="106"/>
        <v>435</v>
      </c>
      <c r="L523" s="174">
        <f>VLOOKUP(D523,原始分!$D:$N,6,0)</f>
        <v>44</v>
      </c>
      <c r="M523" s="174">
        <f t="shared" si="107"/>
        <v>441</v>
      </c>
      <c r="N523" s="174">
        <f>VLOOKUP(D523,原始分!$D:$N,7,0)</f>
        <v>0</v>
      </c>
      <c r="O523" s="174">
        <f t="shared" si="108"/>
        <v>1</v>
      </c>
      <c r="P523" s="174">
        <f>VLOOKUP(D523,原始分!$D:$N,8,0)</f>
        <v>33</v>
      </c>
      <c r="Q523" s="174">
        <f t="shared" si="109"/>
        <v>433</v>
      </c>
      <c r="R523" s="174">
        <f>VLOOKUP(D523,原始分!$D:$N,9,0)</f>
        <v>0</v>
      </c>
      <c r="S523" s="174">
        <f t="shared" si="110"/>
        <v>218</v>
      </c>
      <c r="T523" s="174">
        <f>VLOOKUP(D523,原始分!$D:$N,10,0)</f>
        <v>0</v>
      </c>
      <c r="U523" s="174">
        <f t="shared" si="111"/>
        <v>112</v>
      </c>
      <c r="V523" s="174">
        <f>VLOOKUP(D523,原始分!$D:$N,11,0)</f>
        <v>43</v>
      </c>
      <c r="W523" s="174">
        <f t="shared" si="112"/>
        <v>370</v>
      </c>
      <c r="X523" s="11">
        <f t="shared" si="113"/>
        <v>280.5</v>
      </c>
      <c r="Y523" s="9">
        <f t="shared" si="114"/>
        <v>443</v>
      </c>
      <c r="Z523" s="11">
        <f t="shared" si="115"/>
        <v>400.5</v>
      </c>
      <c r="AA523" s="9">
        <f t="shared" si="116"/>
        <v>520</v>
      </c>
    </row>
    <row r="524" ht="14.25" spans="1:27">
      <c r="A524" s="13">
        <v>85</v>
      </c>
      <c r="B524" s="15">
        <v>2</v>
      </c>
      <c r="C524" s="16">
        <v>22</v>
      </c>
      <c r="D524" s="17" t="s">
        <v>183</v>
      </c>
      <c r="E524" s="17" t="s">
        <v>184</v>
      </c>
      <c r="F524" s="174">
        <f>VLOOKUP(D524,原始分!$D:$N,3,0)</f>
        <v>94.5</v>
      </c>
      <c r="G524" s="174">
        <f t="shared" si="104"/>
        <v>461</v>
      </c>
      <c r="H524" s="174">
        <f>VLOOKUP(D524,原始分!$D:$N,4,0)</f>
        <v>88.5</v>
      </c>
      <c r="I524" s="174">
        <f t="shared" si="105"/>
        <v>514</v>
      </c>
      <c r="J524" s="174">
        <f>VLOOKUP(D524,原始分!$D:$N,5,0)</f>
        <v>74.25</v>
      </c>
      <c r="K524" s="174">
        <f t="shared" si="106"/>
        <v>598</v>
      </c>
      <c r="L524" s="174">
        <f>VLOOKUP(D524,原始分!$D:$N,6,0)</f>
        <v>38.5</v>
      </c>
      <c r="M524" s="174">
        <f t="shared" si="107"/>
        <v>528</v>
      </c>
      <c r="N524" s="174">
        <f>VLOOKUP(D524,原始分!$D:$N,7,0)</f>
        <v>0</v>
      </c>
      <c r="O524" s="174">
        <f t="shared" si="108"/>
        <v>1</v>
      </c>
      <c r="P524" s="174">
        <f>VLOOKUP(D524,原始分!$D:$N,8,0)</f>
        <v>0</v>
      </c>
      <c r="Q524" s="174">
        <f t="shared" si="109"/>
        <v>539</v>
      </c>
      <c r="R524" s="174">
        <f>VLOOKUP(D524,原始分!$D:$N,9,0)</f>
        <v>0</v>
      </c>
      <c r="S524" s="174">
        <f t="shared" si="110"/>
        <v>218</v>
      </c>
      <c r="T524" s="174">
        <f>VLOOKUP(D524,原始分!$D:$N,10,0)</f>
        <v>47.5</v>
      </c>
      <c r="U524" s="174">
        <f t="shared" si="111"/>
        <v>93</v>
      </c>
      <c r="V524" s="174">
        <f>VLOOKUP(D524,原始分!$D:$N,11,0)</f>
        <v>57</v>
      </c>
      <c r="W524" s="174">
        <f t="shared" si="112"/>
        <v>112</v>
      </c>
      <c r="X524" s="11">
        <f t="shared" si="113"/>
        <v>257.25</v>
      </c>
      <c r="Y524" s="9">
        <f t="shared" si="114"/>
        <v>591</v>
      </c>
      <c r="Z524" s="11">
        <f t="shared" si="115"/>
        <v>400.25</v>
      </c>
      <c r="AA524" s="9">
        <f t="shared" si="116"/>
        <v>522</v>
      </c>
    </row>
    <row r="525" ht="14.25" spans="1:27">
      <c r="A525" s="13">
        <v>1</v>
      </c>
      <c r="B525" s="15">
        <v>1</v>
      </c>
      <c r="C525" s="16">
        <v>1</v>
      </c>
      <c r="D525" s="17" t="s">
        <v>16</v>
      </c>
      <c r="E525" s="17" t="s">
        <v>17</v>
      </c>
      <c r="F525" s="174">
        <f>VLOOKUP(D525,原始分!$D:$N,3,0)</f>
        <v>95.5</v>
      </c>
      <c r="G525" s="174">
        <f t="shared" si="104"/>
        <v>422</v>
      </c>
      <c r="H525" s="174">
        <f>VLOOKUP(D525,原始分!$D:$N,4,0)</f>
        <v>86.5</v>
      </c>
      <c r="I525" s="174">
        <f t="shared" si="105"/>
        <v>543</v>
      </c>
      <c r="J525" s="174">
        <f>VLOOKUP(D525,原始分!$D:$N,5,0)</f>
        <v>96.5</v>
      </c>
      <c r="K525" s="174">
        <f t="shared" si="106"/>
        <v>314</v>
      </c>
      <c r="L525" s="174">
        <f>VLOOKUP(D525,原始分!$D:$N,6,0)</f>
        <v>39.5</v>
      </c>
      <c r="M525" s="174">
        <f t="shared" si="107"/>
        <v>514</v>
      </c>
      <c r="N525" s="174">
        <f>VLOOKUP(D525,原始分!$D:$N,7,0)</f>
        <v>0</v>
      </c>
      <c r="O525" s="174">
        <f t="shared" si="108"/>
        <v>1</v>
      </c>
      <c r="P525" s="174">
        <f>VLOOKUP(D525,原始分!$D:$N,8,0)</f>
        <v>31</v>
      </c>
      <c r="Q525" s="174">
        <f t="shared" si="109"/>
        <v>463</v>
      </c>
      <c r="R525" s="174">
        <f>VLOOKUP(D525,原始分!$D:$N,9,0)</f>
        <v>0</v>
      </c>
      <c r="S525" s="174">
        <f t="shared" si="110"/>
        <v>218</v>
      </c>
      <c r="T525" s="174">
        <f>VLOOKUP(D525,原始分!$D:$N,10,0)</f>
        <v>51</v>
      </c>
      <c r="U525" s="174">
        <f t="shared" si="111"/>
        <v>72</v>
      </c>
      <c r="V525" s="174">
        <f>VLOOKUP(D525,原始分!$D:$N,11,0)</f>
        <v>0</v>
      </c>
      <c r="W525" s="174">
        <f t="shared" si="112"/>
        <v>461</v>
      </c>
      <c r="X525" s="11">
        <f t="shared" si="113"/>
        <v>278.5</v>
      </c>
      <c r="Y525" s="9">
        <f t="shared" si="114"/>
        <v>462</v>
      </c>
      <c r="Z525" s="11">
        <f t="shared" si="115"/>
        <v>400</v>
      </c>
      <c r="AA525" s="9">
        <f t="shared" si="116"/>
        <v>523</v>
      </c>
    </row>
    <row r="526" ht="14.25" spans="1:27">
      <c r="A526" s="13">
        <v>599</v>
      </c>
      <c r="B526" s="15">
        <v>12</v>
      </c>
      <c r="C526" s="16">
        <v>49</v>
      </c>
      <c r="D526" s="17" t="s">
        <v>1206</v>
      </c>
      <c r="E526" s="17" t="s">
        <v>1207</v>
      </c>
      <c r="F526" s="174">
        <f>VLOOKUP(D526,原始分!$D:$N,3,0)</f>
        <v>100.5</v>
      </c>
      <c r="G526" s="174">
        <f t="shared" si="104"/>
        <v>252</v>
      </c>
      <c r="H526" s="174">
        <f>VLOOKUP(D526,原始分!$D:$N,4,0)</f>
        <v>93.5</v>
      </c>
      <c r="I526" s="174">
        <f t="shared" si="105"/>
        <v>448</v>
      </c>
      <c r="J526" s="174">
        <f>VLOOKUP(D526,原始分!$D:$N,5,0)</f>
        <v>85.25</v>
      </c>
      <c r="K526" s="174">
        <f t="shared" si="106"/>
        <v>489</v>
      </c>
      <c r="L526" s="174">
        <f>VLOOKUP(D526,原始分!$D:$N,6,0)</f>
        <v>43</v>
      </c>
      <c r="M526" s="174">
        <f t="shared" si="107"/>
        <v>461</v>
      </c>
      <c r="N526" s="174">
        <f>VLOOKUP(D526,原始分!$D:$N,7,0)</f>
        <v>0</v>
      </c>
      <c r="O526" s="174">
        <f t="shared" si="108"/>
        <v>1</v>
      </c>
      <c r="P526" s="174">
        <f>VLOOKUP(D526,原始分!$D:$N,8,0)</f>
        <v>33.5</v>
      </c>
      <c r="Q526" s="174">
        <f t="shared" si="109"/>
        <v>420</v>
      </c>
      <c r="R526" s="174">
        <f>VLOOKUP(D526,原始分!$D:$N,9,0)</f>
        <v>0</v>
      </c>
      <c r="S526" s="174">
        <f t="shared" si="110"/>
        <v>218</v>
      </c>
      <c r="T526" s="174">
        <f>VLOOKUP(D526,原始分!$D:$N,10,0)</f>
        <v>0</v>
      </c>
      <c r="U526" s="174">
        <f t="shared" si="111"/>
        <v>112</v>
      </c>
      <c r="V526" s="174">
        <f>VLOOKUP(D526,原始分!$D:$N,11,0)</f>
        <v>44</v>
      </c>
      <c r="W526" s="174">
        <f t="shared" si="112"/>
        <v>350</v>
      </c>
      <c r="X526" s="11">
        <f t="shared" si="113"/>
        <v>279.25</v>
      </c>
      <c r="Y526" s="9">
        <f t="shared" si="114"/>
        <v>453</v>
      </c>
      <c r="Z526" s="11">
        <f t="shared" si="115"/>
        <v>399.75</v>
      </c>
      <c r="AA526" s="9">
        <f t="shared" si="116"/>
        <v>524</v>
      </c>
    </row>
    <row r="527" ht="14.25" spans="1:27">
      <c r="A527" s="13">
        <v>226</v>
      </c>
      <c r="B527" s="15">
        <v>5</v>
      </c>
      <c r="C527" s="16">
        <v>23</v>
      </c>
      <c r="D527" s="17" t="s">
        <v>465</v>
      </c>
      <c r="E527" s="17" t="s">
        <v>466</v>
      </c>
      <c r="F527" s="174">
        <f>VLOOKUP(D527,原始分!$D:$N,3,0)</f>
        <v>84</v>
      </c>
      <c r="G527" s="174">
        <f t="shared" si="104"/>
        <v>641</v>
      </c>
      <c r="H527" s="174">
        <f>VLOOKUP(D527,原始分!$D:$N,4,0)</f>
        <v>104.5</v>
      </c>
      <c r="I527" s="174">
        <f t="shared" si="105"/>
        <v>277</v>
      </c>
      <c r="J527" s="174">
        <f>VLOOKUP(D527,原始分!$D:$N,5,0)</f>
        <v>84.5</v>
      </c>
      <c r="K527" s="174">
        <f t="shared" si="106"/>
        <v>496</v>
      </c>
      <c r="L527" s="174">
        <f>VLOOKUP(D527,原始分!$D:$N,6,0)</f>
        <v>43.5</v>
      </c>
      <c r="M527" s="174">
        <f t="shared" si="107"/>
        <v>452</v>
      </c>
      <c r="N527" s="174">
        <f>VLOOKUP(D527,原始分!$D:$N,7,0)</f>
        <v>0</v>
      </c>
      <c r="O527" s="174">
        <f t="shared" si="108"/>
        <v>1</v>
      </c>
      <c r="P527" s="174">
        <f>VLOOKUP(D527,原始分!$D:$N,8,0)</f>
        <v>36.5</v>
      </c>
      <c r="Q527" s="174">
        <f t="shared" si="109"/>
        <v>378</v>
      </c>
      <c r="R527" s="174">
        <f>VLOOKUP(D527,原始分!$D:$N,9,0)</f>
        <v>46</v>
      </c>
      <c r="S527" s="174">
        <f t="shared" si="110"/>
        <v>144</v>
      </c>
      <c r="T527" s="174">
        <f>VLOOKUP(D527,原始分!$D:$N,10,0)</f>
        <v>0</v>
      </c>
      <c r="U527" s="174">
        <f t="shared" si="111"/>
        <v>112</v>
      </c>
      <c r="V527" s="174">
        <f>VLOOKUP(D527,原始分!$D:$N,11,0)</f>
        <v>0</v>
      </c>
      <c r="W527" s="174">
        <f t="shared" si="112"/>
        <v>461</v>
      </c>
      <c r="X527" s="11">
        <f t="shared" si="113"/>
        <v>273</v>
      </c>
      <c r="Y527" s="9">
        <f t="shared" si="114"/>
        <v>508</v>
      </c>
      <c r="Z527" s="11">
        <f t="shared" si="115"/>
        <v>399</v>
      </c>
      <c r="AA527" s="9">
        <f t="shared" si="116"/>
        <v>525</v>
      </c>
    </row>
    <row r="528" ht="14.25" spans="1:27">
      <c r="A528" s="13">
        <v>287</v>
      </c>
      <c r="B528" s="15">
        <v>6</v>
      </c>
      <c r="C528" s="16">
        <v>39</v>
      </c>
      <c r="D528" s="17" t="s">
        <v>585</v>
      </c>
      <c r="E528" s="17" t="s">
        <v>586</v>
      </c>
      <c r="F528" s="174">
        <f>VLOOKUP(D528,原始分!$D:$N,3,0)</f>
        <v>88.25</v>
      </c>
      <c r="G528" s="174">
        <f t="shared" si="104"/>
        <v>606</v>
      </c>
      <c r="H528" s="174">
        <f>VLOOKUP(D528,原始分!$D:$N,4,0)</f>
        <v>95</v>
      </c>
      <c r="I528" s="174">
        <f t="shared" si="105"/>
        <v>418</v>
      </c>
      <c r="J528" s="174">
        <f>VLOOKUP(D528,原始分!$D:$N,5,0)</f>
        <v>95.5</v>
      </c>
      <c r="K528" s="174">
        <f t="shared" si="106"/>
        <v>332</v>
      </c>
      <c r="L528" s="174">
        <f>VLOOKUP(D528,原始分!$D:$N,6,0)</f>
        <v>46.5</v>
      </c>
      <c r="M528" s="174">
        <f t="shared" si="107"/>
        <v>404</v>
      </c>
      <c r="N528" s="174">
        <f>VLOOKUP(D528,原始分!$D:$N,7,0)</f>
        <v>0</v>
      </c>
      <c r="O528" s="174">
        <f t="shared" si="108"/>
        <v>1</v>
      </c>
      <c r="P528" s="174">
        <f>VLOOKUP(D528,原始分!$D:$N,8,0)</f>
        <v>0</v>
      </c>
      <c r="Q528" s="174">
        <f t="shared" si="109"/>
        <v>539</v>
      </c>
      <c r="R528" s="174">
        <f>VLOOKUP(D528,原始分!$D:$N,9,0)</f>
        <v>38.5</v>
      </c>
      <c r="S528" s="174">
        <f t="shared" si="110"/>
        <v>203</v>
      </c>
      <c r="T528" s="174">
        <f>VLOOKUP(D528,原始分!$D:$N,10,0)</f>
        <v>0</v>
      </c>
      <c r="U528" s="174">
        <f t="shared" si="111"/>
        <v>112</v>
      </c>
      <c r="V528" s="174">
        <f>VLOOKUP(D528,原始分!$D:$N,11,0)</f>
        <v>35</v>
      </c>
      <c r="W528" s="174">
        <f t="shared" si="112"/>
        <v>430</v>
      </c>
      <c r="X528" s="11">
        <f t="shared" si="113"/>
        <v>278.75</v>
      </c>
      <c r="Y528" s="9">
        <f t="shared" si="114"/>
        <v>459</v>
      </c>
      <c r="Z528" s="11">
        <f t="shared" si="115"/>
        <v>398.75</v>
      </c>
      <c r="AA528" s="9">
        <f t="shared" si="116"/>
        <v>526</v>
      </c>
    </row>
    <row r="529" ht="14.25" spans="1:27">
      <c r="A529" s="13">
        <v>311</v>
      </c>
      <c r="B529" s="15">
        <v>7</v>
      </c>
      <c r="C529" s="16">
        <v>22</v>
      </c>
      <c r="D529" s="17" t="s">
        <v>633</v>
      </c>
      <c r="E529" s="17" t="s">
        <v>634</v>
      </c>
      <c r="F529" s="174">
        <f>VLOOKUP(D529,原始分!$D:$N,3,0)</f>
        <v>89</v>
      </c>
      <c r="G529" s="174">
        <f t="shared" si="104"/>
        <v>595</v>
      </c>
      <c r="H529" s="174">
        <f>VLOOKUP(D529,原始分!$D:$N,4,0)</f>
        <v>84</v>
      </c>
      <c r="I529" s="174">
        <f t="shared" si="105"/>
        <v>567</v>
      </c>
      <c r="J529" s="174">
        <f>VLOOKUP(D529,原始分!$D:$N,5,0)</f>
        <v>90.5</v>
      </c>
      <c r="K529" s="174">
        <f t="shared" si="106"/>
        <v>416</v>
      </c>
      <c r="L529" s="174">
        <f>VLOOKUP(D529,原始分!$D:$N,6,0)</f>
        <v>37.5</v>
      </c>
      <c r="M529" s="174">
        <f t="shared" si="107"/>
        <v>543</v>
      </c>
      <c r="N529" s="174">
        <f>VLOOKUP(D529,原始分!$D:$N,7,0)</f>
        <v>0</v>
      </c>
      <c r="O529" s="174">
        <f t="shared" si="108"/>
        <v>1</v>
      </c>
      <c r="P529" s="174">
        <f>VLOOKUP(D529,原始分!$D:$N,8,0)</f>
        <v>0</v>
      </c>
      <c r="Q529" s="174">
        <f t="shared" si="109"/>
        <v>539</v>
      </c>
      <c r="R529" s="174">
        <f>VLOOKUP(D529,原始分!$D:$N,9,0)</f>
        <v>55</v>
      </c>
      <c r="S529" s="174">
        <f t="shared" si="110"/>
        <v>44</v>
      </c>
      <c r="T529" s="174">
        <f>VLOOKUP(D529,原始分!$D:$N,10,0)</f>
        <v>0</v>
      </c>
      <c r="U529" s="174">
        <f t="shared" si="111"/>
        <v>112</v>
      </c>
      <c r="V529" s="174">
        <f>VLOOKUP(D529,原始分!$D:$N,11,0)</f>
        <v>42.5</v>
      </c>
      <c r="W529" s="174">
        <f t="shared" si="112"/>
        <v>379</v>
      </c>
      <c r="X529" s="11">
        <f t="shared" si="113"/>
        <v>263.5</v>
      </c>
      <c r="Y529" s="9">
        <f t="shared" si="114"/>
        <v>563</v>
      </c>
      <c r="Z529" s="11">
        <f t="shared" si="115"/>
        <v>398.5</v>
      </c>
      <c r="AA529" s="9">
        <f t="shared" si="116"/>
        <v>527</v>
      </c>
    </row>
    <row r="530" ht="14.25" spans="1:27">
      <c r="A530" s="13">
        <v>577</v>
      </c>
      <c r="B530" s="15">
        <v>12</v>
      </c>
      <c r="C530" s="16">
        <v>25</v>
      </c>
      <c r="D530" s="17" t="s">
        <v>1162</v>
      </c>
      <c r="E530" s="17" t="s">
        <v>1163</v>
      </c>
      <c r="F530" s="174">
        <f>VLOOKUP(D530,原始分!$D:$N,3,0)</f>
        <v>103</v>
      </c>
      <c r="G530" s="174">
        <f t="shared" si="104"/>
        <v>168</v>
      </c>
      <c r="H530" s="174">
        <f>VLOOKUP(D530,原始分!$D:$N,4,0)</f>
        <v>97.5</v>
      </c>
      <c r="I530" s="174">
        <f t="shared" si="105"/>
        <v>383</v>
      </c>
      <c r="J530" s="174">
        <f>VLOOKUP(D530,原始分!$D:$N,5,0)</f>
        <v>82</v>
      </c>
      <c r="K530" s="174">
        <f t="shared" si="106"/>
        <v>530</v>
      </c>
      <c r="L530" s="174">
        <f>VLOOKUP(D530,原始分!$D:$N,6,0)</f>
        <v>48</v>
      </c>
      <c r="M530" s="174">
        <f t="shared" si="107"/>
        <v>375</v>
      </c>
      <c r="N530" s="174">
        <f>VLOOKUP(D530,原始分!$D:$N,7,0)</f>
        <v>0</v>
      </c>
      <c r="O530" s="174">
        <f t="shared" si="108"/>
        <v>1</v>
      </c>
      <c r="P530" s="174">
        <f>VLOOKUP(D530,原始分!$D:$N,8,0)</f>
        <v>21.5</v>
      </c>
      <c r="Q530" s="174">
        <f t="shared" si="109"/>
        <v>525</v>
      </c>
      <c r="R530" s="174">
        <f>VLOOKUP(D530,原始分!$D:$N,9,0)</f>
        <v>0</v>
      </c>
      <c r="S530" s="174">
        <f t="shared" si="110"/>
        <v>218</v>
      </c>
      <c r="T530" s="174">
        <f>VLOOKUP(D530,原始分!$D:$N,10,0)</f>
        <v>0</v>
      </c>
      <c r="U530" s="174">
        <f t="shared" si="111"/>
        <v>112</v>
      </c>
      <c r="V530" s="174">
        <f>VLOOKUP(D530,原始分!$D:$N,11,0)</f>
        <v>46.5</v>
      </c>
      <c r="W530" s="174">
        <f t="shared" si="112"/>
        <v>306</v>
      </c>
      <c r="X530" s="11">
        <f t="shared" si="113"/>
        <v>282.5</v>
      </c>
      <c r="Y530" s="9">
        <f t="shared" si="114"/>
        <v>425</v>
      </c>
      <c r="Z530" s="11">
        <f t="shared" si="115"/>
        <v>398.5</v>
      </c>
      <c r="AA530" s="9">
        <f t="shared" si="116"/>
        <v>527</v>
      </c>
    </row>
    <row r="531" ht="14.25" spans="1:27">
      <c r="A531" s="13">
        <v>91</v>
      </c>
      <c r="B531" s="15">
        <v>2</v>
      </c>
      <c r="C531" s="16">
        <v>28</v>
      </c>
      <c r="D531" s="17" t="s">
        <v>195</v>
      </c>
      <c r="E531" s="17" t="s">
        <v>196</v>
      </c>
      <c r="F531" s="174">
        <f>VLOOKUP(D531,原始分!$D:$N,3,0)</f>
        <v>81.5</v>
      </c>
      <c r="G531" s="174">
        <f t="shared" si="104"/>
        <v>652</v>
      </c>
      <c r="H531" s="174">
        <f>VLOOKUP(D531,原始分!$D:$N,4,0)</f>
        <v>90.5</v>
      </c>
      <c r="I531" s="174">
        <f t="shared" si="105"/>
        <v>492</v>
      </c>
      <c r="J531" s="174">
        <f>VLOOKUP(D531,原始分!$D:$N,5,0)</f>
        <v>98</v>
      </c>
      <c r="K531" s="174">
        <f t="shared" si="106"/>
        <v>290</v>
      </c>
      <c r="L531" s="174">
        <f>VLOOKUP(D531,原始分!$D:$N,6,0)</f>
        <v>39</v>
      </c>
      <c r="M531" s="174">
        <f t="shared" si="107"/>
        <v>520</v>
      </c>
      <c r="N531" s="174">
        <f>VLOOKUP(D531,原始分!$D:$N,7,0)</f>
        <v>0</v>
      </c>
      <c r="O531" s="174">
        <f t="shared" si="108"/>
        <v>1</v>
      </c>
      <c r="P531" s="174">
        <f>VLOOKUP(D531,原始分!$D:$N,8,0)</f>
        <v>0</v>
      </c>
      <c r="Q531" s="174">
        <f t="shared" si="109"/>
        <v>539</v>
      </c>
      <c r="R531" s="174">
        <f>VLOOKUP(D531,原始分!$D:$N,9,0)</f>
        <v>0</v>
      </c>
      <c r="S531" s="174">
        <f t="shared" si="110"/>
        <v>218</v>
      </c>
      <c r="T531" s="174">
        <f>VLOOKUP(D531,原始分!$D:$N,10,0)</f>
        <v>44.5</v>
      </c>
      <c r="U531" s="174">
        <f t="shared" si="111"/>
        <v>106</v>
      </c>
      <c r="V531" s="174">
        <f>VLOOKUP(D531,原始分!$D:$N,11,0)</f>
        <v>44.5</v>
      </c>
      <c r="W531" s="174">
        <f t="shared" si="112"/>
        <v>343</v>
      </c>
      <c r="X531" s="11">
        <f t="shared" si="113"/>
        <v>270</v>
      </c>
      <c r="Y531" s="9">
        <f t="shared" si="114"/>
        <v>531</v>
      </c>
      <c r="Z531" s="11">
        <f t="shared" si="115"/>
        <v>398</v>
      </c>
      <c r="AA531" s="9">
        <f t="shared" si="116"/>
        <v>529</v>
      </c>
    </row>
    <row r="532" ht="14.25" spans="1:27">
      <c r="A532" s="13">
        <v>325</v>
      </c>
      <c r="B532" s="15">
        <v>7</v>
      </c>
      <c r="C532" s="16">
        <v>38</v>
      </c>
      <c r="D532" s="17" t="s">
        <v>661</v>
      </c>
      <c r="E532" s="17" t="s">
        <v>662</v>
      </c>
      <c r="F532" s="174">
        <f>VLOOKUP(D532,原始分!$D:$N,3,0)</f>
        <v>101.25</v>
      </c>
      <c r="G532" s="174">
        <f t="shared" si="104"/>
        <v>221</v>
      </c>
      <c r="H532" s="174">
        <f>VLOOKUP(D532,原始分!$D:$N,4,0)</f>
        <v>93</v>
      </c>
      <c r="I532" s="174">
        <f t="shared" si="105"/>
        <v>457</v>
      </c>
      <c r="J532" s="174">
        <f>VLOOKUP(D532,原始分!$D:$N,5,0)</f>
        <v>76</v>
      </c>
      <c r="K532" s="174">
        <f t="shared" si="106"/>
        <v>582</v>
      </c>
      <c r="L532" s="174">
        <f>VLOOKUP(D532,原始分!$D:$N,6,0)</f>
        <v>41.5</v>
      </c>
      <c r="M532" s="174">
        <f t="shared" si="107"/>
        <v>483</v>
      </c>
      <c r="N532" s="174">
        <f>VLOOKUP(D532,原始分!$D:$N,7,0)</f>
        <v>0</v>
      </c>
      <c r="O532" s="174">
        <f t="shared" si="108"/>
        <v>1</v>
      </c>
      <c r="P532" s="174">
        <f>VLOOKUP(D532,原始分!$D:$N,8,0)</f>
        <v>0</v>
      </c>
      <c r="Q532" s="174">
        <f t="shared" si="109"/>
        <v>539</v>
      </c>
      <c r="R532" s="174">
        <f>VLOOKUP(D532,原始分!$D:$N,9,0)</f>
        <v>48</v>
      </c>
      <c r="S532" s="174">
        <f t="shared" si="110"/>
        <v>122</v>
      </c>
      <c r="T532" s="174">
        <f>VLOOKUP(D532,原始分!$D:$N,10,0)</f>
        <v>0</v>
      </c>
      <c r="U532" s="174">
        <f t="shared" si="111"/>
        <v>112</v>
      </c>
      <c r="V532" s="174">
        <f>VLOOKUP(D532,原始分!$D:$N,11,0)</f>
        <v>38</v>
      </c>
      <c r="W532" s="174">
        <f t="shared" si="112"/>
        <v>415</v>
      </c>
      <c r="X532" s="11">
        <f t="shared" si="113"/>
        <v>270.25</v>
      </c>
      <c r="Y532" s="9">
        <f t="shared" si="114"/>
        <v>529</v>
      </c>
      <c r="Z532" s="11">
        <f t="shared" si="115"/>
        <v>397.75</v>
      </c>
      <c r="AA532" s="9">
        <f t="shared" si="116"/>
        <v>530</v>
      </c>
    </row>
    <row r="533" ht="14.25" spans="1:27">
      <c r="A533" s="13">
        <v>123</v>
      </c>
      <c r="B533" s="15">
        <v>3</v>
      </c>
      <c r="C533" s="16">
        <v>12</v>
      </c>
      <c r="D533" s="17" t="s">
        <v>259</v>
      </c>
      <c r="E533" s="17" t="s">
        <v>260</v>
      </c>
      <c r="F533" s="174">
        <f>VLOOKUP(D533,原始分!$D:$N,3,0)</f>
        <v>93.5</v>
      </c>
      <c r="G533" s="174">
        <f t="shared" si="104"/>
        <v>491</v>
      </c>
      <c r="H533" s="174">
        <f>VLOOKUP(D533,原始分!$D:$N,4,0)</f>
        <v>90</v>
      </c>
      <c r="I533" s="174">
        <f t="shared" si="105"/>
        <v>494</v>
      </c>
      <c r="J533" s="174">
        <f>VLOOKUP(D533,原始分!$D:$N,5,0)</f>
        <v>102</v>
      </c>
      <c r="K533" s="174">
        <f t="shared" si="106"/>
        <v>209</v>
      </c>
      <c r="L533" s="174">
        <f>VLOOKUP(D533,原始分!$D:$N,6,0)</f>
        <v>38</v>
      </c>
      <c r="M533" s="174">
        <f t="shared" si="107"/>
        <v>537</v>
      </c>
      <c r="N533" s="174">
        <f>VLOOKUP(D533,原始分!$D:$N,7,0)</f>
        <v>0</v>
      </c>
      <c r="O533" s="174">
        <f t="shared" si="108"/>
        <v>1</v>
      </c>
      <c r="P533" s="174">
        <f>VLOOKUP(D533,原始分!$D:$N,8,0)</f>
        <v>33.5</v>
      </c>
      <c r="Q533" s="174">
        <f t="shared" si="109"/>
        <v>420</v>
      </c>
      <c r="R533" s="174">
        <f>VLOOKUP(D533,原始分!$D:$N,9,0)</f>
        <v>40</v>
      </c>
      <c r="S533" s="174">
        <f t="shared" si="110"/>
        <v>194</v>
      </c>
      <c r="T533" s="174">
        <f>VLOOKUP(D533,原始分!$D:$N,10,0)</f>
        <v>0</v>
      </c>
      <c r="U533" s="174">
        <f t="shared" si="111"/>
        <v>112</v>
      </c>
      <c r="V533" s="174">
        <f>VLOOKUP(D533,原始分!$D:$N,11,0)</f>
        <v>0</v>
      </c>
      <c r="W533" s="174">
        <f t="shared" si="112"/>
        <v>461</v>
      </c>
      <c r="X533" s="11">
        <f t="shared" si="113"/>
        <v>285.5</v>
      </c>
      <c r="Y533" s="9">
        <f t="shared" si="114"/>
        <v>397</v>
      </c>
      <c r="Z533" s="11">
        <f t="shared" si="115"/>
        <v>397</v>
      </c>
      <c r="AA533" s="9">
        <f t="shared" si="116"/>
        <v>531</v>
      </c>
    </row>
    <row r="534" ht="14.25" spans="1:27">
      <c r="A534" s="13">
        <v>555</v>
      </c>
      <c r="B534" s="15">
        <v>12</v>
      </c>
      <c r="C534" s="16">
        <v>2</v>
      </c>
      <c r="D534" s="17" t="s">
        <v>1118</v>
      </c>
      <c r="E534" s="17" t="s">
        <v>1119</v>
      </c>
      <c r="F534" s="174">
        <f>VLOOKUP(D534,原始分!$D:$N,3,0)</f>
        <v>88</v>
      </c>
      <c r="G534" s="174">
        <f t="shared" si="104"/>
        <v>607</v>
      </c>
      <c r="H534" s="174">
        <f>VLOOKUP(D534,原始分!$D:$N,4,0)</f>
        <v>96</v>
      </c>
      <c r="I534" s="174">
        <f t="shared" si="105"/>
        <v>406</v>
      </c>
      <c r="J534" s="174">
        <f>VLOOKUP(D534,原始分!$D:$N,5,0)</f>
        <v>94</v>
      </c>
      <c r="K534" s="174">
        <f t="shared" si="106"/>
        <v>358</v>
      </c>
      <c r="L534" s="174">
        <f>VLOOKUP(D534,原始分!$D:$N,6,0)</f>
        <v>39</v>
      </c>
      <c r="M534" s="174">
        <f t="shared" si="107"/>
        <v>520</v>
      </c>
      <c r="N534" s="174">
        <f>VLOOKUP(D534,原始分!$D:$N,7,0)</f>
        <v>0</v>
      </c>
      <c r="O534" s="174">
        <f t="shared" si="108"/>
        <v>1</v>
      </c>
      <c r="P534" s="174">
        <f>VLOOKUP(D534,原始分!$D:$N,8,0)</f>
        <v>36</v>
      </c>
      <c r="Q534" s="174">
        <f t="shared" si="109"/>
        <v>384</v>
      </c>
      <c r="R534" s="174">
        <f>VLOOKUP(D534,原始分!$D:$N,9,0)</f>
        <v>0</v>
      </c>
      <c r="S534" s="174">
        <f t="shared" si="110"/>
        <v>218</v>
      </c>
      <c r="T534" s="174">
        <f>VLOOKUP(D534,原始分!$D:$N,10,0)</f>
        <v>0</v>
      </c>
      <c r="U534" s="174">
        <f t="shared" si="111"/>
        <v>112</v>
      </c>
      <c r="V534" s="174">
        <f>VLOOKUP(D534,原始分!$D:$N,11,0)</f>
        <v>44</v>
      </c>
      <c r="W534" s="174">
        <f t="shared" si="112"/>
        <v>350</v>
      </c>
      <c r="X534" s="11">
        <f t="shared" si="113"/>
        <v>278</v>
      </c>
      <c r="Y534" s="9">
        <f t="shared" si="114"/>
        <v>469</v>
      </c>
      <c r="Z534" s="11">
        <f t="shared" si="115"/>
        <v>397</v>
      </c>
      <c r="AA534" s="9">
        <f t="shared" si="116"/>
        <v>531</v>
      </c>
    </row>
    <row r="535" ht="14.25" spans="1:27">
      <c r="A535" s="13">
        <v>576</v>
      </c>
      <c r="B535" s="15">
        <v>12</v>
      </c>
      <c r="C535" s="16">
        <v>23</v>
      </c>
      <c r="D535" s="17" t="s">
        <v>1160</v>
      </c>
      <c r="E535" s="17" t="s">
        <v>1161</v>
      </c>
      <c r="F535" s="174">
        <f>VLOOKUP(D535,原始分!$D:$N,3,0)</f>
        <v>92</v>
      </c>
      <c r="G535" s="174">
        <f t="shared" si="104"/>
        <v>534</v>
      </c>
      <c r="H535" s="174">
        <f>VLOOKUP(D535,原始分!$D:$N,4,0)</f>
        <v>93.5</v>
      </c>
      <c r="I535" s="174">
        <f t="shared" si="105"/>
        <v>448</v>
      </c>
      <c r="J535" s="174">
        <f>VLOOKUP(D535,原始分!$D:$N,5,0)</f>
        <v>78</v>
      </c>
      <c r="K535" s="174">
        <f t="shared" si="106"/>
        <v>567</v>
      </c>
      <c r="L535" s="174">
        <f>VLOOKUP(D535,原始分!$D:$N,6,0)</f>
        <v>63.5</v>
      </c>
      <c r="M535" s="174">
        <f t="shared" si="107"/>
        <v>138</v>
      </c>
      <c r="N535" s="174">
        <f>VLOOKUP(D535,原始分!$D:$N,7,0)</f>
        <v>0</v>
      </c>
      <c r="O535" s="174">
        <f t="shared" si="108"/>
        <v>1</v>
      </c>
      <c r="P535" s="174">
        <f>VLOOKUP(D535,原始分!$D:$N,8,0)</f>
        <v>25</v>
      </c>
      <c r="Q535" s="174">
        <f t="shared" si="109"/>
        <v>508</v>
      </c>
      <c r="R535" s="174">
        <f>VLOOKUP(D535,原始分!$D:$N,9,0)</f>
        <v>0</v>
      </c>
      <c r="S535" s="174">
        <f t="shared" si="110"/>
        <v>218</v>
      </c>
      <c r="T535" s="174">
        <f>VLOOKUP(D535,原始分!$D:$N,10,0)</f>
        <v>0</v>
      </c>
      <c r="U535" s="174">
        <f t="shared" si="111"/>
        <v>112</v>
      </c>
      <c r="V535" s="174">
        <f>VLOOKUP(D535,原始分!$D:$N,11,0)</f>
        <v>45</v>
      </c>
      <c r="W535" s="174">
        <f t="shared" si="112"/>
        <v>332</v>
      </c>
      <c r="X535" s="11">
        <f t="shared" si="113"/>
        <v>263.5</v>
      </c>
      <c r="Y535" s="9">
        <f t="shared" si="114"/>
        <v>563</v>
      </c>
      <c r="Z535" s="11">
        <f t="shared" si="115"/>
        <v>397</v>
      </c>
      <c r="AA535" s="9">
        <f t="shared" si="116"/>
        <v>531</v>
      </c>
    </row>
    <row r="536" ht="14.25" spans="1:27">
      <c r="A536" s="13">
        <v>145</v>
      </c>
      <c r="B536" s="15">
        <v>3</v>
      </c>
      <c r="C536" s="16">
        <v>34</v>
      </c>
      <c r="D536" s="17" t="s">
        <v>303</v>
      </c>
      <c r="E536" s="17" t="s">
        <v>304</v>
      </c>
      <c r="F536" s="174">
        <f>VLOOKUP(D536,原始分!$D:$N,3,0)</f>
        <v>96</v>
      </c>
      <c r="G536" s="174">
        <f t="shared" si="104"/>
        <v>407</v>
      </c>
      <c r="H536" s="174">
        <f>VLOOKUP(D536,原始分!$D:$N,4,0)</f>
        <v>82</v>
      </c>
      <c r="I536" s="174">
        <f t="shared" si="105"/>
        <v>585</v>
      </c>
      <c r="J536" s="174">
        <f>VLOOKUP(D536,原始分!$D:$N,5,0)</f>
        <v>97.25</v>
      </c>
      <c r="K536" s="174">
        <f t="shared" si="106"/>
        <v>302</v>
      </c>
      <c r="L536" s="174">
        <f>VLOOKUP(D536,原始分!$D:$N,6,0)</f>
        <v>39</v>
      </c>
      <c r="M536" s="174">
        <f t="shared" si="107"/>
        <v>520</v>
      </c>
      <c r="N536" s="174">
        <f>VLOOKUP(D536,原始分!$D:$N,7,0)</f>
        <v>0</v>
      </c>
      <c r="O536" s="174">
        <f t="shared" si="108"/>
        <v>1</v>
      </c>
      <c r="P536" s="174">
        <f>VLOOKUP(D536,原始分!$D:$N,8,0)</f>
        <v>34</v>
      </c>
      <c r="Q536" s="174">
        <f t="shared" si="109"/>
        <v>412</v>
      </c>
      <c r="R536" s="174">
        <f>VLOOKUP(D536,原始分!$D:$N,9,0)</f>
        <v>48.5</v>
      </c>
      <c r="S536" s="174">
        <f t="shared" si="110"/>
        <v>112</v>
      </c>
      <c r="T536" s="174">
        <f>VLOOKUP(D536,原始分!$D:$N,10,0)</f>
        <v>0</v>
      </c>
      <c r="U536" s="174">
        <f t="shared" si="111"/>
        <v>112</v>
      </c>
      <c r="V536" s="174">
        <f>VLOOKUP(D536,原始分!$D:$N,11,0)</f>
        <v>0</v>
      </c>
      <c r="W536" s="174">
        <f t="shared" si="112"/>
        <v>461</v>
      </c>
      <c r="X536" s="11">
        <f t="shared" si="113"/>
        <v>275.25</v>
      </c>
      <c r="Y536" s="9">
        <f t="shared" si="114"/>
        <v>495</v>
      </c>
      <c r="Z536" s="11">
        <f t="shared" si="115"/>
        <v>396.75</v>
      </c>
      <c r="AA536" s="9">
        <f t="shared" si="116"/>
        <v>534</v>
      </c>
    </row>
    <row r="537" ht="14.25" spans="1:27">
      <c r="A537" s="13">
        <v>119</v>
      </c>
      <c r="B537" s="15">
        <v>3</v>
      </c>
      <c r="C537" s="16">
        <v>8</v>
      </c>
      <c r="D537" s="17" t="s">
        <v>251</v>
      </c>
      <c r="E537" s="17" t="s">
        <v>252</v>
      </c>
      <c r="F537" s="174">
        <f>VLOOKUP(D537,原始分!$D:$N,3,0)</f>
        <v>92.25</v>
      </c>
      <c r="G537" s="174">
        <f t="shared" si="104"/>
        <v>533</v>
      </c>
      <c r="H537" s="174">
        <f>VLOOKUP(D537,原始分!$D:$N,4,0)</f>
        <v>104.5</v>
      </c>
      <c r="I537" s="174">
        <f t="shared" si="105"/>
        <v>277</v>
      </c>
      <c r="J537" s="174">
        <f>VLOOKUP(D537,原始分!$D:$N,5,0)</f>
        <v>69.25</v>
      </c>
      <c r="K537" s="174">
        <f t="shared" si="106"/>
        <v>629</v>
      </c>
      <c r="L537" s="174">
        <f>VLOOKUP(D537,原始分!$D:$N,6,0)</f>
        <v>48.5</v>
      </c>
      <c r="M537" s="174">
        <f t="shared" si="107"/>
        <v>364</v>
      </c>
      <c r="N537" s="174">
        <f>VLOOKUP(D537,原始分!$D:$N,7,0)</f>
        <v>0</v>
      </c>
      <c r="O537" s="174">
        <f t="shared" si="108"/>
        <v>1</v>
      </c>
      <c r="P537" s="174">
        <f>VLOOKUP(D537,原始分!$D:$N,8,0)</f>
        <v>30</v>
      </c>
      <c r="Q537" s="174">
        <f t="shared" si="109"/>
        <v>472</v>
      </c>
      <c r="R537" s="174">
        <f>VLOOKUP(D537,原始分!$D:$N,9,0)</f>
        <v>52</v>
      </c>
      <c r="S537" s="174">
        <f t="shared" si="110"/>
        <v>75</v>
      </c>
      <c r="T537" s="174">
        <f>VLOOKUP(D537,原始分!$D:$N,10,0)</f>
        <v>0</v>
      </c>
      <c r="U537" s="174">
        <f t="shared" si="111"/>
        <v>112</v>
      </c>
      <c r="V537" s="174">
        <f>VLOOKUP(D537,原始分!$D:$N,11,0)</f>
        <v>0</v>
      </c>
      <c r="W537" s="174">
        <f t="shared" si="112"/>
        <v>461</v>
      </c>
      <c r="X537" s="11">
        <f t="shared" si="113"/>
        <v>266</v>
      </c>
      <c r="Y537" s="9">
        <f t="shared" si="114"/>
        <v>549</v>
      </c>
      <c r="Z537" s="11">
        <f t="shared" si="115"/>
        <v>396.5</v>
      </c>
      <c r="AA537" s="9">
        <f t="shared" si="116"/>
        <v>535</v>
      </c>
    </row>
    <row r="538" ht="14.25" spans="1:27">
      <c r="A538" s="13">
        <v>307</v>
      </c>
      <c r="B538" s="15">
        <v>7</v>
      </c>
      <c r="C538" s="16">
        <v>18</v>
      </c>
      <c r="D538" s="17" t="s">
        <v>625</v>
      </c>
      <c r="E538" s="17" t="s">
        <v>626</v>
      </c>
      <c r="F538" s="174">
        <f>VLOOKUP(D538,原始分!$D:$N,3,0)</f>
        <v>106</v>
      </c>
      <c r="G538" s="174">
        <f t="shared" si="104"/>
        <v>87</v>
      </c>
      <c r="H538" s="174">
        <f>VLOOKUP(D538,原始分!$D:$N,4,0)</f>
        <v>74</v>
      </c>
      <c r="I538" s="174">
        <f t="shared" si="105"/>
        <v>622</v>
      </c>
      <c r="J538" s="174">
        <f>VLOOKUP(D538,原始分!$D:$N,5,0)</f>
        <v>99</v>
      </c>
      <c r="K538" s="174">
        <f t="shared" si="106"/>
        <v>270</v>
      </c>
      <c r="L538" s="174">
        <f>VLOOKUP(D538,原始分!$D:$N,6,0)</f>
        <v>39.5</v>
      </c>
      <c r="M538" s="174">
        <f t="shared" si="107"/>
        <v>514</v>
      </c>
      <c r="N538" s="174">
        <f>VLOOKUP(D538,原始分!$D:$N,7,0)</f>
        <v>0</v>
      </c>
      <c r="O538" s="174">
        <f t="shared" si="108"/>
        <v>1</v>
      </c>
      <c r="P538" s="174">
        <f>VLOOKUP(D538,原始分!$D:$N,8,0)</f>
        <v>0</v>
      </c>
      <c r="Q538" s="174">
        <f t="shared" si="109"/>
        <v>539</v>
      </c>
      <c r="R538" s="174">
        <f>VLOOKUP(D538,原始分!$D:$N,9,0)</f>
        <v>41.5</v>
      </c>
      <c r="S538" s="174">
        <f t="shared" si="110"/>
        <v>185</v>
      </c>
      <c r="T538" s="174">
        <f>VLOOKUP(D538,原始分!$D:$N,10,0)</f>
        <v>0</v>
      </c>
      <c r="U538" s="174">
        <f t="shared" si="111"/>
        <v>112</v>
      </c>
      <c r="V538" s="174">
        <f>VLOOKUP(D538,原始分!$D:$N,11,0)</f>
        <v>36.5</v>
      </c>
      <c r="W538" s="174">
        <f t="shared" si="112"/>
        <v>423</v>
      </c>
      <c r="X538" s="11">
        <f t="shared" si="113"/>
        <v>279</v>
      </c>
      <c r="Y538" s="9">
        <f t="shared" si="114"/>
        <v>456</v>
      </c>
      <c r="Z538" s="11">
        <f t="shared" si="115"/>
        <v>396.5</v>
      </c>
      <c r="AA538" s="9">
        <f t="shared" si="116"/>
        <v>535</v>
      </c>
    </row>
    <row r="539" ht="14.25" spans="1:27">
      <c r="A539" s="13">
        <v>606</v>
      </c>
      <c r="B539" s="15">
        <v>12</v>
      </c>
      <c r="C539" s="16">
        <v>56</v>
      </c>
      <c r="D539" s="17" t="s">
        <v>1220</v>
      </c>
      <c r="E539" s="17" t="s">
        <v>1221</v>
      </c>
      <c r="F539" s="174">
        <f>VLOOKUP(D539,原始分!$D:$N,3,0)</f>
        <v>95</v>
      </c>
      <c r="G539" s="174">
        <f t="shared" si="104"/>
        <v>441</v>
      </c>
      <c r="H539" s="174">
        <f>VLOOKUP(D539,原始分!$D:$N,4,0)</f>
        <v>88</v>
      </c>
      <c r="I539" s="174">
        <f t="shared" si="105"/>
        <v>522</v>
      </c>
      <c r="J539" s="174">
        <f>VLOOKUP(D539,原始分!$D:$N,5,0)</f>
        <v>93</v>
      </c>
      <c r="K539" s="174">
        <f t="shared" si="106"/>
        <v>372</v>
      </c>
      <c r="L539" s="174">
        <f>VLOOKUP(D539,原始分!$D:$N,6,0)</f>
        <v>46</v>
      </c>
      <c r="M539" s="174">
        <f t="shared" si="107"/>
        <v>411</v>
      </c>
      <c r="N539" s="174">
        <f>VLOOKUP(D539,原始分!$D:$N,7,0)</f>
        <v>0</v>
      </c>
      <c r="O539" s="174">
        <f t="shared" si="108"/>
        <v>1</v>
      </c>
      <c r="P539" s="174">
        <f>VLOOKUP(D539,原始分!$D:$N,8,0)</f>
        <v>28.5</v>
      </c>
      <c r="Q539" s="174">
        <f t="shared" si="109"/>
        <v>486</v>
      </c>
      <c r="R539" s="174">
        <f>VLOOKUP(D539,原始分!$D:$N,9,0)</f>
        <v>0</v>
      </c>
      <c r="S539" s="174">
        <f t="shared" si="110"/>
        <v>218</v>
      </c>
      <c r="T539" s="174">
        <f>VLOOKUP(D539,原始分!$D:$N,10,0)</f>
        <v>0</v>
      </c>
      <c r="U539" s="174">
        <f t="shared" si="111"/>
        <v>112</v>
      </c>
      <c r="V539" s="174">
        <f>VLOOKUP(D539,原始分!$D:$N,11,0)</f>
        <v>46</v>
      </c>
      <c r="W539" s="174">
        <f t="shared" si="112"/>
        <v>316</v>
      </c>
      <c r="X539" s="11">
        <f t="shared" si="113"/>
        <v>276</v>
      </c>
      <c r="Y539" s="9">
        <f t="shared" si="114"/>
        <v>490</v>
      </c>
      <c r="Z539" s="11">
        <f t="shared" si="115"/>
        <v>396.5</v>
      </c>
      <c r="AA539" s="9">
        <f t="shared" si="116"/>
        <v>535</v>
      </c>
    </row>
    <row r="540" ht="14.25" spans="1:27">
      <c r="A540" s="13">
        <v>288</v>
      </c>
      <c r="B540" s="15">
        <v>6</v>
      </c>
      <c r="C540" s="16">
        <v>40</v>
      </c>
      <c r="D540" s="17" t="s">
        <v>587</v>
      </c>
      <c r="E540" s="17" t="s">
        <v>588</v>
      </c>
      <c r="F540" s="174">
        <f>VLOOKUP(D540,原始分!$D:$N,3,0)</f>
        <v>100.25</v>
      </c>
      <c r="G540" s="174">
        <f t="shared" si="104"/>
        <v>272</v>
      </c>
      <c r="H540" s="174">
        <f>VLOOKUP(D540,原始分!$D:$N,4,0)</f>
        <v>87.5</v>
      </c>
      <c r="I540" s="174">
        <f t="shared" si="105"/>
        <v>530</v>
      </c>
      <c r="J540" s="174">
        <f>VLOOKUP(D540,原始分!$D:$N,5,0)</f>
        <v>91.5</v>
      </c>
      <c r="K540" s="174">
        <f t="shared" si="106"/>
        <v>403</v>
      </c>
      <c r="L540" s="174">
        <f>VLOOKUP(D540,原始分!$D:$N,6,0)</f>
        <v>25</v>
      </c>
      <c r="M540" s="174">
        <f t="shared" si="107"/>
        <v>638</v>
      </c>
      <c r="N540" s="174">
        <f>VLOOKUP(D540,原始分!$D:$N,7,0)</f>
        <v>0</v>
      </c>
      <c r="O540" s="174">
        <f t="shared" si="108"/>
        <v>1</v>
      </c>
      <c r="P540" s="174">
        <f>VLOOKUP(D540,原始分!$D:$N,8,0)</f>
        <v>0</v>
      </c>
      <c r="Q540" s="174">
        <f t="shared" si="109"/>
        <v>539</v>
      </c>
      <c r="R540" s="174">
        <f>VLOOKUP(D540,原始分!$D:$N,9,0)</f>
        <v>43.5</v>
      </c>
      <c r="S540" s="174">
        <f t="shared" si="110"/>
        <v>171</v>
      </c>
      <c r="T540" s="174">
        <f>VLOOKUP(D540,原始分!$D:$N,10,0)</f>
        <v>0</v>
      </c>
      <c r="U540" s="174">
        <f t="shared" si="111"/>
        <v>112</v>
      </c>
      <c r="V540" s="174">
        <f>VLOOKUP(D540,原始分!$D:$N,11,0)</f>
        <v>48</v>
      </c>
      <c r="W540" s="174">
        <f t="shared" si="112"/>
        <v>277</v>
      </c>
      <c r="X540" s="11">
        <f t="shared" si="113"/>
        <v>279.25</v>
      </c>
      <c r="Y540" s="9">
        <f t="shared" si="114"/>
        <v>453</v>
      </c>
      <c r="Z540" s="11">
        <f t="shared" si="115"/>
        <v>395.75</v>
      </c>
      <c r="AA540" s="9">
        <f t="shared" si="116"/>
        <v>538</v>
      </c>
    </row>
    <row r="541" ht="14.25" spans="1:27">
      <c r="A541" s="13">
        <v>248</v>
      </c>
      <c r="B541" s="15">
        <v>5</v>
      </c>
      <c r="C541" s="16">
        <v>45</v>
      </c>
      <c r="D541" s="17" t="s">
        <v>508</v>
      </c>
      <c r="E541" s="17" t="s">
        <v>362</v>
      </c>
      <c r="F541" s="174">
        <f>VLOOKUP(D541,原始分!$D:$N,3,0)</f>
        <v>91</v>
      </c>
      <c r="G541" s="174">
        <f t="shared" si="104"/>
        <v>555</v>
      </c>
      <c r="H541" s="174">
        <f>VLOOKUP(D541,原始分!$D:$N,4,0)</f>
        <v>89.5</v>
      </c>
      <c r="I541" s="174">
        <f t="shared" si="105"/>
        <v>499</v>
      </c>
      <c r="J541" s="174">
        <f>VLOOKUP(D541,原始分!$D:$N,5,0)</f>
        <v>82.75</v>
      </c>
      <c r="K541" s="174">
        <f t="shared" si="106"/>
        <v>518</v>
      </c>
      <c r="L541" s="174">
        <f>VLOOKUP(D541,原始分!$D:$N,6,0)</f>
        <v>48</v>
      </c>
      <c r="M541" s="174">
        <f t="shared" si="107"/>
        <v>375</v>
      </c>
      <c r="N541" s="174">
        <f>VLOOKUP(D541,原始分!$D:$N,7,0)</f>
        <v>0</v>
      </c>
      <c r="O541" s="174">
        <f t="shared" si="108"/>
        <v>1</v>
      </c>
      <c r="P541" s="174">
        <f>VLOOKUP(D541,原始分!$D:$N,8,0)</f>
        <v>30.5</v>
      </c>
      <c r="Q541" s="174">
        <f t="shared" si="109"/>
        <v>468</v>
      </c>
      <c r="R541" s="174">
        <f>VLOOKUP(D541,原始分!$D:$N,9,0)</f>
        <v>53.5</v>
      </c>
      <c r="S541" s="174">
        <f t="shared" si="110"/>
        <v>58</v>
      </c>
      <c r="T541" s="174">
        <f>VLOOKUP(D541,原始分!$D:$N,10,0)</f>
        <v>0</v>
      </c>
      <c r="U541" s="174">
        <f t="shared" si="111"/>
        <v>112</v>
      </c>
      <c r="V541" s="174">
        <f>VLOOKUP(D541,原始分!$D:$N,11,0)</f>
        <v>0</v>
      </c>
      <c r="W541" s="174">
        <f t="shared" si="112"/>
        <v>461</v>
      </c>
      <c r="X541" s="11">
        <f t="shared" si="113"/>
        <v>263.25</v>
      </c>
      <c r="Y541" s="9">
        <f t="shared" si="114"/>
        <v>568</v>
      </c>
      <c r="Z541" s="11">
        <f t="shared" si="115"/>
        <v>395.25</v>
      </c>
      <c r="AA541" s="9">
        <f t="shared" si="116"/>
        <v>539</v>
      </c>
    </row>
    <row r="542" ht="14.25" spans="1:27">
      <c r="A542" s="13">
        <v>640</v>
      </c>
      <c r="B542" s="15">
        <v>13</v>
      </c>
      <c r="C542" s="16">
        <v>33</v>
      </c>
      <c r="D542" s="17" t="s">
        <v>1287</v>
      </c>
      <c r="E542" s="17" t="s">
        <v>1288</v>
      </c>
      <c r="F542" s="174">
        <f>VLOOKUP(D542,原始分!$D:$N,3,0)</f>
        <v>101</v>
      </c>
      <c r="G542" s="174">
        <f t="shared" si="104"/>
        <v>224</v>
      </c>
      <c r="H542" s="174">
        <f>VLOOKUP(D542,原始分!$D:$N,4,0)</f>
        <v>87.5</v>
      </c>
      <c r="I542" s="174">
        <f t="shared" si="105"/>
        <v>530</v>
      </c>
      <c r="J542" s="174">
        <f>VLOOKUP(D542,原始分!$D:$N,5,0)</f>
        <v>89</v>
      </c>
      <c r="K542" s="174">
        <f t="shared" si="106"/>
        <v>430</v>
      </c>
      <c r="L542" s="174">
        <f>VLOOKUP(D542,原始分!$D:$N,6,0)</f>
        <v>45</v>
      </c>
      <c r="M542" s="174">
        <f t="shared" si="107"/>
        <v>424</v>
      </c>
      <c r="N542" s="174">
        <f>VLOOKUP(D542,原始分!$D:$N,7,0)</f>
        <v>0</v>
      </c>
      <c r="O542" s="174">
        <f t="shared" si="108"/>
        <v>1</v>
      </c>
      <c r="P542" s="174">
        <f>VLOOKUP(D542,原始分!$D:$N,8,0)</f>
        <v>26</v>
      </c>
      <c r="Q542" s="174">
        <f t="shared" si="109"/>
        <v>505</v>
      </c>
      <c r="R542" s="174">
        <f>VLOOKUP(D542,原始分!$D:$N,9,0)</f>
        <v>0</v>
      </c>
      <c r="S542" s="174">
        <f t="shared" si="110"/>
        <v>218</v>
      </c>
      <c r="T542" s="174">
        <f>VLOOKUP(D542,原始分!$D:$N,10,0)</f>
        <v>0</v>
      </c>
      <c r="U542" s="174">
        <f t="shared" si="111"/>
        <v>112</v>
      </c>
      <c r="V542" s="174">
        <f>VLOOKUP(D542,原始分!$D:$N,11,0)</f>
        <v>46</v>
      </c>
      <c r="W542" s="174">
        <f t="shared" si="112"/>
        <v>316</v>
      </c>
      <c r="X542" s="11">
        <f t="shared" si="113"/>
        <v>277.5</v>
      </c>
      <c r="Y542" s="9">
        <f t="shared" si="114"/>
        <v>480</v>
      </c>
      <c r="Z542" s="11">
        <f t="shared" si="115"/>
        <v>394.5</v>
      </c>
      <c r="AA542" s="9">
        <f t="shared" si="116"/>
        <v>540</v>
      </c>
    </row>
    <row r="543" ht="14.25" spans="1:27">
      <c r="A543" s="13">
        <v>49</v>
      </c>
      <c r="B543" s="15">
        <v>1</v>
      </c>
      <c r="C543" s="16">
        <v>51</v>
      </c>
      <c r="D543" s="17" t="s">
        <v>112</v>
      </c>
      <c r="E543" s="17" t="s">
        <v>113</v>
      </c>
      <c r="F543" s="174">
        <f>VLOOKUP(D543,原始分!$D:$N,3,0)</f>
        <v>101.5</v>
      </c>
      <c r="G543" s="174">
        <f t="shared" si="104"/>
        <v>210</v>
      </c>
      <c r="H543" s="174">
        <f>VLOOKUP(D543,原始分!$D:$N,4,0)</f>
        <v>85</v>
      </c>
      <c r="I543" s="174">
        <f t="shared" si="105"/>
        <v>556</v>
      </c>
      <c r="J543" s="174">
        <f>VLOOKUP(D543,原始分!$D:$N,5,0)</f>
        <v>93</v>
      </c>
      <c r="K543" s="174">
        <f t="shared" si="106"/>
        <v>372</v>
      </c>
      <c r="L543" s="174">
        <f>VLOOKUP(D543,原始分!$D:$N,6,0)</f>
        <v>30</v>
      </c>
      <c r="M543" s="174">
        <f t="shared" si="107"/>
        <v>611</v>
      </c>
      <c r="N543" s="174">
        <f>VLOOKUP(D543,原始分!$D:$N,7,0)</f>
        <v>0</v>
      </c>
      <c r="O543" s="174">
        <f t="shared" si="108"/>
        <v>1</v>
      </c>
      <c r="P543" s="174">
        <f>VLOOKUP(D543,原始分!$D:$N,8,0)</f>
        <v>38.5</v>
      </c>
      <c r="Q543" s="174">
        <f t="shared" si="109"/>
        <v>353</v>
      </c>
      <c r="R543" s="174">
        <f>VLOOKUP(D543,原始分!$D:$N,9,0)</f>
        <v>0</v>
      </c>
      <c r="S543" s="174">
        <f t="shared" si="110"/>
        <v>218</v>
      </c>
      <c r="T543" s="174">
        <f>VLOOKUP(D543,原始分!$D:$N,10,0)</f>
        <v>46</v>
      </c>
      <c r="U543" s="174">
        <f t="shared" si="111"/>
        <v>100</v>
      </c>
      <c r="V543" s="174">
        <f>VLOOKUP(D543,原始分!$D:$N,11,0)</f>
        <v>0</v>
      </c>
      <c r="W543" s="174">
        <f t="shared" si="112"/>
        <v>461</v>
      </c>
      <c r="X543" s="11">
        <f t="shared" si="113"/>
        <v>279.5</v>
      </c>
      <c r="Y543" s="9">
        <f t="shared" si="114"/>
        <v>451</v>
      </c>
      <c r="Z543" s="11">
        <f t="shared" si="115"/>
        <v>394</v>
      </c>
      <c r="AA543" s="9">
        <f t="shared" si="116"/>
        <v>541</v>
      </c>
    </row>
    <row r="544" ht="14.25" spans="1:27">
      <c r="A544" s="13">
        <v>252</v>
      </c>
      <c r="B544" s="15">
        <v>6</v>
      </c>
      <c r="C544" s="16">
        <v>3</v>
      </c>
      <c r="D544" s="17" t="s">
        <v>515</v>
      </c>
      <c r="E544" s="17" t="s">
        <v>516</v>
      </c>
      <c r="F544" s="174">
        <f>VLOOKUP(D544,原始分!$D:$N,3,0)</f>
        <v>100.5</v>
      </c>
      <c r="G544" s="174">
        <f t="shared" si="104"/>
        <v>252</v>
      </c>
      <c r="H544" s="174">
        <f>VLOOKUP(D544,原始分!$D:$N,4,0)</f>
        <v>82.5</v>
      </c>
      <c r="I544" s="174">
        <f t="shared" si="105"/>
        <v>581</v>
      </c>
      <c r="J544" s="174">
        <f>VLOOKUP(D544,原始分!$D:$N,5,0)</f>
        <v>73</v>
      </c>
      <c r="K544" s="174">
        <f t="shared" si="106"/>
        <v>607</v>
      </c>
      <c r="L544" s="174">
        <f>VLOOKUP(D544,原始分!$D:$N,6,0)</f>
        <v>37.5</v>
      </c>
      <c r="M544" s="174">
        <f t="shared" si="107"/>
        <v>543</v>
      </c>
      <c r="N544" s="174">
        <f>VLOOKUP(D544,原始分!$D:$N,7,0)</f>
        <v>0</v>
      </c>
      <c r="O544" s="174">
        <f t="shared" si="108"/>
        <v>1</v>
      </c>
      <c r="P544" s="174">
        <f>VLOOKUP(D544,原始分!$D:$N,8,0)</f>
        <v>0</v>
      </c>
      <c r="Q544" s="174">
        <f t="shared" si="109"/>
        <v>539</v>
      </c>
      <c r="R544" s="174">
        <f>VLOOKUP(D544,原始分!$D:$N,9,0)</f>
        <v>53</v>
      </c>
      <c r="S544" s="174">
        <f t="shared" si="110"/>
        <v>66</v>
      </c>
      <c r="T544" s="174">
        <f>VLOOKUP(D544,原始分!$D:$N,10,0)</f>
        <v>0</v>
      </c>
      <c r="U544" s="174">
        <f t="shared" si="111"/>
        <v>112</v>
      </c>
      <c r="V544" s="174">
        <f>VLOOKUP(D544,原始分!$D:$N,11,0)</f>
        <v>46.5</v>
      </c>
      <c r="W544" s="174">
        <f t="shared" si="112"/>
        <v>306</v>
      </c>
      <c r="X544" s="11">
        <f t="shared" si="113"/>
        <v>256</v>
      </c>
      <c r="Y544" s="9">
        <f t="shared" si="114"/>
        <v>593</v>
      </c>
      <c r="Z544" s="11">
        <f t="shared" si="115"/>
        <v>393</v>
      </c>
      <c r="AA544" s="9">
        <f t="shared" si="116"/>
        <v>542</v>
      </c>
    </row>
    <row r="545" ht="14.25" spans="1:27">
      <c r="A545" s="13">
        <v>333</v>
      </c>
      <c r="B545" s="15">
        <v>8</v>
      </c>
      <c r="C545" s="16">
        <v>5</v>
      </c>
      <c r="D545" s="17" t="s">
        <v>677</v>
      </c>
      <c r="E545" s="17" t="s">
        <v>678</v>
      </c>
      <c r="F545" s="174">
        <f>VLOOKUP(D545,原始分!$D:$N,3,0)</f>
        <v>84</v>
      </c>
      <c r="G545" s="174">
        <f t="shared" si="104"/>
        <v>641</v>
      </c>
      <c r="H545" s="174">
        <f>VLOOKUP(D545,原始分!$D:$N,4,0)</f>
        <v>79.5</v>
      </c>
      <c r="I545" s="174">
        <f t="shared" si="105"/>
        <v>598</v>
      </c>
      <c r="J545" s="174">
        <f>VLOOKUP(D545,原始分!$D:$N,5,0)</f>
        <v>86.5</v>
      </c>
      <c r="K545" s="174">
        <f t="shared" si="106"/>
        <v>469</v>
      </c>
      <c r="L545" s="174">
        <f>VLOOKUP(D545,原始分!$D:$N,6,0)</f>
        <v>54</v>
      </c>
      <c r="M545" s="174">
        <f t="shared" si="107"/>
        <v>289</v>
      </c>
      <c r="N545" s="174">
        <f>VLOOKUP(D545,原始分!$D:$N,7,0)</f>
        <v>0</v>
      </c>
      <c r="O545" s="174">
        <f t="shared" si="108"/>
        <v>1</v>
      </c>
      <c r="P545" s="174">
        <f>VLOOKUP(D545,原始分!$D:$N,8,0)</f>
        <v>38</v>
      </c>
      <c r="Q545" s="174">
        <f t="shared" si="109"/>
        <v>360</v>
      </c>
      <c r="R545" s="174">
        <f>VLOOKUP(D545,原始分!$D:$N,9,0)</f>
        <v>0</v>
      </c>
      <c r="S545" s="174">
        <f t="shared" si="110"/>
        <v>218</v>
      </c>
      <c r="T545" s="174">
        <f>VLOOKUP(D545,原始分!$D:$N,10,0)</f>
        <v>0</v>
      </c>
      <c r="U545" s="174">
        <f t="shared" si="111"/>
        <v>112</v>
      </c>
      <c r="V545" s="174">
        <f>VLOOKUP(D545,原始分!$D:$N,11,0)</f>
        <v>51</v>
      </c>
      <c r="W545" s="174">
        <f t="shared" si="112"/>
        <v>227</v>
      </c>
      <c r="X545" s="11">
        <f t="shared" si="113"/>
        <v>250</v>
      </c>
      <c r="Y545" s="9">
        <f t="shared" si="114"/>
        <v>609</v>
      </c>
      <c r="Z545" s="11">
        <f t="shared" si="115"/>
        <v>393</v>
      </c>
      <c r="AA545" s="9">
        <f t="shared" si="116"/>
        <v>542</v>
      </c>
    </row>
    <row r="546" ht="14.25" spans="1:27">
      <c r="A546" s="13">
        <v>255</v>
      </c>
      <c r="B546" s="15">
        <v>6</v>
      </c>
      <c r="C546" s="16">
        <v>6</v>
      </c>
      <c r="D546" s="17" t="s">
        <v>521</v>
      </c>
      <c r="E546" s="17" t="s">
        <v>522</v>
      </c>
      <c r="F546" s="174">
        <f>VLOOKUP(D546,原始分!$D:$N,3,0)</f>
        <v>102.5</v>
      </c>
      <c r="G546" s="174">
        <f t="shared" si="104"/>
        <v>183</v>
      </c>
      <c r="H546" s="174">
        <f>VLOOKUP(D546,原始分!$D:$N,4,0)</f>
        <v>55</v>
      </c>
      <c r="I546" s="174">
        <f t="shared" si="105"/>
        <v>655</v>
      </c>
      <c r="J546" s="174">
        <f>VLOOKUP(D546,原始分!$D:$N,5,0)</f>
        <v>101.75</v>
      </c>
      <c r="K546" s="174">
        <f t="shared" si="106"/>
        <v>215</v>
      </c>
      <c r="L546" s="174">
        <f>VLOOKUP(D546,原始分!$D:$N,6,0)</f>
        <v>34</v>
      </c>
      <c r="M546" s="174">
        <f t="shared" si="107"/>
        <v>588</v>
      </c>
      <c r="N546" s="174">
        <f>VLOOKUP(D546,原始分!$D:$N,7,0)</f>
        <v>0</v>
      </c>
      <c r="O546" s="174">
        <f t="shared" si="108"/>
        <v>1</v>
      </c>
      <c r="P546" s="174">
        <f>VLOOKUP(D546,原始分!$D:$N,8,0)</f>
        <v>0</v>
      </c>
      <c r="Q546" s="174">
        <f t="shared" si="109"/>
        <v>539</v>
      </c>
      <c r="R546" s="174">
        <f>VLOOKUP(D546,原始分!$D:$N,9,0)</f>
        <v>48.5</v>
      </c>
      <c r="S546" s="174">
        <f t="shared" si="110"/>
        <v>112</v>
      </c>
      <c r="T546" s="174">
        <f>VLOOKUP(D546,原始分!$D:$N,10,0)</f>
        <v>0</v>
      </c>
      <c r="U546" s="174">
        <f t="shared" si="111"/>
        <v>112</v>
      </c>
      <c r="V546" s="174">
        <f>VLOOKUP(D546,原始分!$D:$N,11,0)</f>
        <v>51</v>
      </c>
      <c r="W546" s="174">
        <f t="shared" si="112"/>
        <v>227</v>
      </c>
      <c r="X546" s="11">
        <f t="shared" si="113"/>
        <v>259.25</v>
      </c>
      <c r="Y546" s="9">
        <f t="shared" si="114"/>
        <v>584</v>
      </c>
      <c r="Z546" s="11">
        <f t="shared" si="115"/>
        <v>392.75</v>
      </c>
      <c r="AA546" s="9">
        <f t="shared" si="116"/>
        <v>544</v>
      </c>
    </row>
    <row r="547" ht="14.25" spans="1:27">
      <c r="A547" s="13">
        <v>593</v>
      </c>
      <c r="B547" s="15">
        <v>12</v>
      </c>
      <c r="C547" s="16">
        <v>43</v>
      </c>
      <c r="D547" s="17" t="s">
        <v>1194</v>
      </c>
      <c r="E547" s="17" t="s">
        <v>1195</v>
      </c>
      <c r="F547" s="174">
        <f>VLOOKUP(D547,原始分!$D:$N,3,0)</f>
        <v>82</v>
      </c>
      <c r="G547" s="174">
        <f t="shared" si="104"/>
        <v>650</v>
      </c>
      <c r="H547" s="174">
        <f>VLOOKUP(D547,原始分!$D:$N,4,0)</f>
        <v>109</v>
      </c>
      <c r="I547" s="174">
        <f t="shared" si="105"/>
        <v>206</v>
      </c>
      <c r="J547" s="174">
        <f>VLOOKUP(D547,原始分!$D:$N,5,0)</f>
        <v>73.5</v>
      </c>
      <c r="K547" s="174">
        <f t="shared" si="106"/>
        <v>602</v>
      </c>
      <c r="L547" s="174">
        <f>VLOOKUP(D547,原始分!$D:$N,6,0)</f>
        <v>43.5</v>
      </c>
      <c r="M547" s="174">
        <f t="shared" si="107"/>
        <v>452</v>
      </c>
      <c r="N547" s="174">
        <f>VLOOKUP(D547,原始分!$D:$N,7,0)</f>
        <v>0</v>
      </c>
      <c r="O547" s="174">
        <f t="shared" si="108"/>
        <v>1</v>
      </c>
      <c r="P547" s="174">
        <f>VLOOKUP(D547,原始分!$D:$N,8,0)</f>
        <v>39.5</v>
      </c>
      <c r="Q547" s="174">
        <f t="shared" si="109"/>
        <v>333</v>
      </c>
      <c r="R547" s="174">
        <f>VLOOKUP(D547,原始分!$D:$N,9,0)</f>
        <v>0</v>
      </c>
      <c r="S547" s="174">
        <f t="shared" si="110"/>
        <v>218</v>
      </c>
      <c r="T547" s="174">
        <f>VLOOKUP(D547,原始分!$D:$N,10,0)</f>
        <v>0</v>
      </c>
      <c r="U547" s="174">
        <f t="shared" si="111"/>
        <v>112</v>
      </c>
      <c r="V547" s="174">
        <f>VLOOKUP(D547,原始分!$D:$N,11,0)</f>
        <v>45</v>
      </c>
      <c r="W547" s="174">
        <f t="shared" si="112"/>
        <v>332</v>
      </c>
      <c r="X547" s="11">
        <f t="shared" si="113"/>
        <v>264.5</v>
      </c>
      <c r="Y547" s="9">
        <f t="shared" si="114"/>
        <v>560</v>
      </c>
      <c r="Z547" s="11">
        <f t="shared" si="115"/>
        <v>392.5</v>
      </c>
      <c r="AA547" s="9">
        <f t="shared" si="116"/>
        <v>545</v>
      </c>
    </row>
    <row r="548" ht="14.25" spans="1:27">
      <c r="A548" s="13">
        <v>284</v>
      </c>
      <c r="B548" s="15">
        <v>6</v>
      </c>
      <c r="C548" s="16">
        <v>36</v>
      </c>
      <c r="D548" s="17" t="s">
        <v>579</v>
      </c>
      <c r="E548" s="17" t="s">
        <v>580</v>
      </c>
      <c r="F548" s="174">
        <f>VLOOKUP(D548,原始分!$D:$N,3,0)</f>
        <v>106</v>
      </c>
      <c r="G548" s="174">
        <f t="shared" si="104"/>
        <v>87</v>
      </c>
      <c r="H548" s="174">
        <f>VLOOKUP(D548,原始分!$D:$N,4,0)</f>
        <v>86</v>
      </c>
      <c r="I548" s="174">
        <f t="shared" si="105"/>
        <v>550</v>
      </c>
      <c r="J548" s="174">
        <f>VLOOKUP(D548,原始分!$D:$N,5,0)</f>
        <v>80.5</v>
      </c>
      <c r="K548" s="174">
        <f t="shared" si="106"/>
        <v>548</v>
      </c>
      <c r="L548" s="174">
        <f>VLOOKUP(D548,原始分!$D:$N,6,0)</f>
        <v>39.5</v>
      </c>
      <c r="M548" s="174">
        <f t="shared" si="107"/>
        <v>514</v>
      </c>
      <c r="N548" s="174">
        <f>VLOOKUP(D548,原始分!$D:$N,7,0)</f>
        <v>0</v>
      </c>
      <c r="O548" s="174">
        <f t="shared" si="108"/>
        <v>1</v>
      </c>
      <c r="P548" s="174">
        <f>VLOOKUP(D548,原始分!$D:$N,8,0)</f>
        <v>0</v>
      </c>
      <c r="Q548" s="174">
        <f t="shared" si="109"/>
        <v>539</v>
      </c>
      <c r="R548" s="174">
        <f>VLOOKUP(D548,原始分!$D:$N,9,0)</f>
        <v>39</v>
      </c>
      <c r="S548" s="174">
        <f t="shared" si="110"/>
        <v>201</v>
      </c>
      <c r="T548" s="174">
        <f>VLOOKUP(D548,原始分!$D:$N,10,0)</f>
        <v>0</v>
      </c>
      <c r="U548" s="174">
        <f t="shared" si="111"/>
        <v>112</v>
      </c>
      <c r="V548" s="174">
        <f>VLOOKUP(D548,原始分!$D:$N,11,0)</f>
        <v>41</v>
      </c>
      <c r="W548" s="174">
        <f t="shared" si="112"/>
        <v>391</v>
      </c>
      <c r="X548" s="11">
        <f t="shared" si="113"/>
        <v>272.5</v>
      </c>
      <c r="Y548" s="9">
        <f t="shared" si="114"/>
        <v>510</v>
      </c>
      <c r="Z548" s="11">
        <f t="shared" si="115"/>
        <v>392</v>
      </c>
      <c r="AA548" s="9">
        <f t="shared" si="116"/>
        <v>546</v>
      </c>
    </row>
    <row r="549" ht="14.25" spans="1:27">
      <c r="A549" s="13">
        <v>295</v>
      </c>
      <c r="B549" s="15">
        <v>7</v>
      </c>
      <c r="C549" s="16">
        <v>5</v>
      </c>
      <c r="D549" s="17" t="s">
        <v>601</v>
      </c>
      <c r="E549" s="17" t="s">
        <v>602</v>
      </c>
      <c r="F549" s="174">
        <f>VLOOKUP(D549,原始分!$D:$N,3,0)</f>
        <v>97</v>
      </c>
      <c r="G549" s="174">
        <f t="shared" si="104"/>
        <v>386</v>
      </c>
      <c r="H549" s="174">
        <f>VLOOKUP(D549,原始分!$D:$N,4,0)</f>
        <v>84.5</v>
      </c>
      <c r="I549" s="174">
        <f t="shared" si="105"/>
        <v>562</v>
      </c>
      <c r="J549" s="174">
        <f>VLOOKUP(D549,原始分!$D:$N,5,0)</f>
        <v>82.75</v>
      </c>
      <c r="K549" s="174">
        <f t="shared" si="106"/>
        <v>518</v>
      </c>
      <c r="L549" s="174">
        <f>VLOOKUP(D549,原始分!$D:$N,6,0)</f>
        <v>40.5</v>
      </c>
      <c r="M549" s="174">
        <f t="shared" si="107"/>
        <v>497</v>
      </c>
      <c r="N549" s="174">
        <f>VLOOKUP(D549,原始分!$D:$N,7,0)</f>
        <v>0</v>
      </c>
      <c r="O549" s="174">
        <f t="shared" si="108"/>
        <v>1</v>
      </c>
      <c r="P549" s="174">
        <f>VLOOKUP(D549,原始分!$D:$N,8,0)</f>
        <v>0</v>
      </c>
      <c r="Q549" s="174">
        <f t="shared" si="109"/>
        <v>539</v>
      </c>
      <c r="R549" s="174">
        <f>VLOOKUP(D549,原始分!$D:$N,9,0)</f>
        <v>42.5</v>
      </c>
      <c r="S549" s="174">
        <f t="shared" si="110"/>
        <v>179</v>
      </c>
      <c r="T549" s="174">
        <f>VLOOKUP(D549,原始分!$D:$N,10,0)</f>
        <v>0</v>
      </c>
      <c r="U549" s="174">
        <f t="shared" si="111"/>
        <v>112</v>
      </c>
      <c r="V549" s="174">
        <f>VLOOKUP(D549,原始分!$D:$N,11,0)</f>
        <v>44.5</v>
      </c>
      <c r="W549" s="174">
        <f t="shared" si="112"/>
        <v>343</v>
      </c>
      <c r="X549" s="11">
        <f t="shared" si="113"/>
        <v>264.25</v>
      </c>
      <c r="Y549" s="9">
        <f t="shared" si="114"/>
        <v>561</v>
      </c>
      <c r="Z549" s="11">
        <f t="shared" si="115"/>
        <v>391.75</v>
      </c>
      <c r="AA549" s="9">
        <f t="shared" si="116"/>
        <v>547</v>
      </c>
    </row>
    <row r="550" ht="14.25" spans="1:27">
      <c r="A550" s="13">
        <v>114</v>
      </c>
      <c r="B550" s="15">
        <v>3</v>
      </c>
      <c r="C550" s="16">
        <v>3</v>
      </c>
      <c r="D550" s="17" t="s">
        <v>241</v>
      </c>
      <c r="E550" s="17" t="s">
        <v>242</v>
      </c>
      <c r="F550" s="174">
        <f>VLOOKUP(D550,原始分!$D:$N,3,0)</f>
        <v>89.5</v>
      </c>
      <c r="G550" s="174">
        <f t="shared" si="104"/>
        <v>589</v>
      </c>
      <c r="H550" s="174">
        <f>VLOOKUP(D550,原始分!$D:$N,4,0)</f>
        <v>89.5</v>
      </c>
      <c r="I550" s="174">
        <f t="shared" si="105"/>
        <v>499</v>
      </c>
      <c r="J550" s="174">
        <f>VLOOKUP(D550,原始分!$D:$N,5,0)</f>
        <v>85.75</v>
      </c>
      <c r="K550" s="174">
        <f t="shared" si="106"/>
        <v>478</v>
      </c>
      <c r="L550" s="174">
        <f>VLOOKUP(D550,原始分!$D:$N,6,0)</f>
        <v>48.5</v>
      </c>
      <c r="M550" s="174">
        <f t="shared" si="107"/>
        <v>364</v>
      </c>
      <c r="N550" s="174">
        <f>VLOOKUP(D550,原始分!$D:$N,7,0)</f>
        <v>0</v>
      </c>
      <c r="O550" s="174">
        <f t="shared" si="108"/>
        <v>1</v>
      </c>
      <c r="P550" s="174">
        <f>VLOOKUP(D550,原始分!$D:$N,8,0)</f>
        <v>32</v>
      </c>
      <c r="Q550" s="174">
        <f t="shared" si="109"/>
        <v>453</v>
      </c>
      <c r="R550" s="174">
        <f>VLOOKUP(D550,原始分!$D:$N,9,0)</f>
        <v>46</v>
      </c>
      <c r="S550" s="174">
        <f t="shared" si="110"/>
        <v>144</v>
      </c>
      <c r="T550" s="174">
        <f>VLOOKUP(D550,原始分!$D:$N,10,0)</f>
        <v>0</v>
      </c>
      <c r="U550" s="174">
        <f t="shared" si="111"/>
        <v>112</v>
      </c>
      <c r="V550" s="174">
        <f>VLOOKUP(D550,原始分!$D:$N,11,0)</f>
        <v>0</v>
      </c>
      <c r="W550" s="174">
        <f t="shared" si="112"/>
        <v>461</v>
      </c>
      <c r="X550" s="11">
        <f t="shared" si="113"/>
        <v>264.75</v>
      </c>
      <c r="Y550" s="9">
        <f t="shared" si="114"/>
        <v>557</v>
      </c>
      <c r="Z550" s="11">
        <f t="shared" si="115"/>
        <v>391.25</v>
      </c>
      <c r="AA550" s="9">
        <f t="shared" si="116"/>
        <v>548</v>
      </c>
    </row>
    <row r="551" ht="14.25" spans="1:27">
      <c r="A551" s="13">
        <v>148</v>
      </c>
      <c r="B551" s="15">
        <v>3</v>
      </c>
      <c r="C551" s="16">
        <v>37</v>
      </c>
      <c r="D551" s="17" t="s">
        <v>309</v>
      </c>
      <c r="E551" s="17" t="s">
        <v>310</v>
      </c>
      <c r="F551" s="174">
        <f>VLOOKUP(D551,原始分!$D:$N,3,0)</f>
        <v>85.75</v>
      </c>
      <c r="G551" s="174">
        <f t="shared" si="104"/>
        <v>628</v>
      </c>
      <c r="H551" s="174">
        <f>VLOOKUP(D551,原始分!$D:$N,4,0)</f>
        <v>75.5</v>
      </c>
      <c r="I551" s="174">
        <f t="shared" si="105"/>
        <v>615</v>
      </c>
      <c r="J551" s="174">
        <f>VLOOKUP(D551,原始分!$D:$N,5,0)</f>
        <v>83</v>
      </c>
      <c r="K551" s="174">
        <f t="shared" si="106"/>
        <v>512</v>
      </c>
      <c r="L551" s="174">
        <f>VLOOKUP(D551,原始分!$D:$N,6,0)</f>
        <v>49.5</v>
      </c>
      <c r="M551" s="174">
        <f t="shared" si="107"/>
        <v>341</v>
      </c>
      <c r="N551" s="174">
        <f>VLOOKUP(D551,原始分!$D:$N,7,0)</f>
        <v>0</v>
      </c>
      <c r="O551" s="174">
        <f t="shared" si="108"/>
        <v>1</v>
      </c>
      <c r="P551" s="174">
        <f>VLOOKUP(D551,原始分!$D:$N,8,0)</f>
        <v>33.5</v>
      </c>
      <c r="Q551" s="174">
        <f t="shared" si="109"/>
        <v>420</v>
      </c>
      <c r="R551" s="174">
        <f>VLOOKUP(D551,原始分!$D:$N,9,0)</f>
        <v>64</v>
      </c>
      <c r="S551" s="174">
        <f t="shared" si="110"/>
        <v>4</v>
      </c>
      <c r="T551" s="174">
        <f>VLOOKUP(D551,原始分!$D:$N,10,0)</f>
        <v>0</v>
      </c>
      <c r="U551" s="174">
        <f t="shared" si="111"/>
        <v>112</v>
      </c>
      <c r="V551" s="174">
        <f>VLOOKUP(D551,原始分!$D:$N,11,0)</f>
        <v>0</v>
      </c>
      <c r="W551" s="174">
        <f t="shared" si="112"/>
        <v>461</v>
      </c>
      <c r="X551" s="11">
        <f t="shared" si="113"/>
        <v>244.25</v>
      </c>
      <c r="Y551" s="9">
        <f t="shared" si="114"/>
        <v>619</v>
      </c>
      <c r="Z551" s="11">
        <f t="shared" si="115"/>
        <v>391.25</v>
      </c>
      <c r="AA551" s="9">
        <f t="shared" si="116"/>
        <v>548</v>
      </c>
    </row>
    <row r="552" ht="14.25" spans="1:27">
      <c r="A552" s="13">
        <v>321</v>
      </c>
      <c r="B552" s="15">
        <v>7</v>
      </c>
      <c r="C552" s="16">
        <v>34</v>
      </c>
      <c r="D552" s="17" t="s">
        <v>653</v>
      </c>
      <c r="E552" s="17" t="s">
        <v>654</v>
      </c>
      <c r="F552" s="174">
        <f>VLOOKUP(D552,原始分!$D:$N,3,0)</f>
        <v>89.75</v>
      </c>
      <c r="G552" s="174">
        <f t="shared" si="104"/>
        <v>588</v>
      </c>
      <c r="H552" s="174">
        <f>VLOOKUP(D552,原始分!$D:$N,4,0)</f>
        <v>109</v>
      </c>
      <c r="I552" s="174">
        <f t="shared" si="105"/>
        <v>206</v>
      </c>
      <c r="J552" s="174">
        <f>VLOOKUP(D552,原始分!$D:$N,5,0)</f>
        <v>79.5</v>
      </c>
      <c r="K552" s="174">
        <f t="shared" si="106"/>
        <v>558</v>
      </c>
      <c r="L552" s="174">
        <f>VLOOKUP(D552,原始分!$D:$N,6,0)</f>
        <v>27</v>
      </c>
      <c r="M552" s="174">
        <f t="shared" si="107"/>
        <v>631</v>
      </c>
      <c r="N552" s="174">
        <f>VLOOKUP(D552,原始分!$D:$N,7,0)</f>
        <v>0</v>
      </c>
      <c r="O552" s="174">
        <f t="shared" si="108"/>
        <v>1</v>
      </c>
      <c r="P552" s="174">
        <f>VLOOKUP(D552,原始分!$D:$N,8,0)</f>
        <v>0</v>
      </c>
      <c r="Q552" s="174">
        <f t="shared" si="109"/>
        <v>539</v>
      </c>
      <c r="R552" s="174">
        <f>VLOOKUP(D552,原始分!$D:$N,9,0)</f>
        <v>54</v>
      </c>
      <c r="S552" s="174">
        <f t="shared" si="110"/>
        <v>54</v>
      </c>
      <c r="T552" s="174">
        <f>VLOOKUP(D552,原始分!$D:$N,10,0)</f>
        <v>0</v>
      </c>
      <c r="U552" s="174">
        <f t="shared" si="111"/>
        <v>112</v>
      </c>
      <c r="V552" s="174">
        <f>VLOOKUP(D552,原始分!$D:$N,11,0)</f>
        <v>32</v>
      </c>
      <c r="W552" s="174">
        <f t="shared" si="112"/>
        <v>442</v>
      </c>
      <c r="X552" s="11">
        <f t="shared" si="113"/>
        <v>278.25</v>
      </c>
      <c r="Y552" s="9">
        <f t="shared" si="114"/>
        <v>465</v>
      </c>
      <c r="Z552" s="11">
        <f t="shared" si="115"/>
        <v>391.25</v>
      </c>
      <c r="AA552" s="9">
        <f t="shared" si="116"/>
        <v>548</v>
      </c>
    </row>
    <row r="553" ht="14.25" spans="1:27">
      <c r="A553" s="13">
        <v>292</v>
      </c>
      <c r="B553" s="15">
        <v>7</v>
      </c>
      <c r="C553" s="16">
        <v>2</v>
      </c>
      <c r="D553" s="17" t="s">
        <v>595</v>
      </c>
      <c r="E553" s="17" t="s">
        <v>596</v>
      </c>
      <c r="F553" s="174">
        <f>VLOOKUP(D553,原始分!$D:$N,3,0)</f>
        <v>98.5</v>
      </c>
      <c r="G553" s="174">
        <f t="shared" si="104"/>
        <v>324</v>
      </c>
      <c r="H553" s="174">
        <f>VLOOKUP(D553,原始分!$D:$N,4,0)</f>
        <v>90</v>
      </c>
      <c r="I553" s="174">
        <f t="shared" si="105"/>
        <v>494</v>
      </c>
      <c r="J553" s="174">
        <f>VLOOKUP(D553,原始分!$D:$N,5,0)</f>
        <v>85</v>
      </c>
      <c r="K553" s="174">
        <f t="shared" si="106"/>
        <v>490</v>
      </c>
      <c r="L553" s="174">
        <f>VLOOKUP(D553,原始分!$D:$N,6,0)</f>
        <v>36.5</v>
      </c>
      <c r="M553" s="174">
        <f t="shared" si="107"/>
        <v>554</v>
      </c>
      <c r="N553" s="174">
        <f>VLOOKUP(D553,原始分!$D:$N,7,0)</f>
        <v>0</v>
      </c>
      <c r="O553" s="174">
        <f t="shared" si="108"/>
        <v>1</v>
      </c>
      <c r="P553" s="174">
        <f>VLOOKUP(D553,原始分!$D:$N,8,0)</f>
        <v>0</v>
      </c>
      <c r="Q553" s="174">
        <f t="shared" si="109"/>
        <v>539</v>
      </c>
      <c r="R553" s="174">
        <f>VLOOKUP(D553,原始分!$D:$N,9,0)</f>
        <v>40</v>
      </c>
      <c r="S553" s="174">
        <f t="shared" si="110"/>
        <v>194</v>
      </c>
      <c r="T553" s="174">
        <f>VLOOKUP(D553,原始分!$D:$N,10,0)</f>
        <v>0</v>
      </c>
      <c r="U553" s="174">
        <f t="shared" si="111"/>
        <v>112</v>
      </c>
      <c r="V553" s="174">
        <f>VLOOKUP(D553,原始分!$D:$N,11,0)</f>
        <v>41</v>
      </c>
      <c r="W553" s="174">
        <f t="shared" si="112"/>
        <v>391</v>
      </c>
      <c r="X553" s="11">
        <f t="shared" si="113"/>
        <v>273.5</v>
      </c>
      <c r="Y553" s="9">
        <f t="shared" si="114"/>
        <v>505</v>
      </c>
      <c r="Z553" s="11">
        <f t="shared" si="115"/>
        <v>391</v>
      </c>
      <c r="AA553" s="9">
        <f t="shared" si="116"/>
        <v>551</v>
      </c>
    </row>
    <row r="554" ht="14.25" spans="1:27">
      <c r="A554" s="13">
        <v>300</v>
      </c>
      <c r="B554" s="15">
        <v>7</v>
      </c>
      <c r="C554" s="16">
        <v>11</v>
      </c>
      <c r="D554" s="17" t="s">
        <v>611</v>
      </c>
      <c r="E554" s="17" t="s">
        <v>612</v>
      </c>
      <c r="F554" s="174">
        <f>VLOOKUP(D554,原始分!$D:$N,3,0)</f>
        <v>84.5</v>
      </c>
      <c r="G554" s="174">
        <f t="shared" si="104"/>
        <v>636</v>
      </c>
      <c r="H554" s="174">
        <f>VLOOKUP(D554,原始分!$D:$N,4,0)</f>
        <v>93.5</v>
      </c>
      <c r="I554" s="174">
        <f t="shared" si="105"/>
        <v>448</v>
      </c>
      <c r="J554" s="174">
        <f>VLOOKUP(D554,原始分!$D:$N,5,0)</f>
        <v>80</v>
      </c>
      <c r="K554" s="174">
        <f t="shared" si="106"/>
        <v>550</v>
      </c>
      <c r="L554" s="174">
        <f>VLOOKUP(D554,原始分!$D:$N,6,0)</f>
        <v>42</v>
      </c>
      <c r="M554" s="174">
        <f t="shared" si="107"/>
        <v>476</v>
      </c>
      <c r="N554" s="174">
        <f>VLOOKUP(D554,原始分!$D:$N,7,0)</f>
        <v>0</v>
      </c>
      <c r="O554" s="174">
        <f t="shared" si="108"/>
        <v>1</v>
      </c>
      <c r="P554" s="174">
        <f>VLOOKUP(D554,原始分!$D:$N,8,0)</f>
        <v>0</v>
      </c>
      <c r="Q554" s="174">
        <f t="shared" si="109"/>
        <v>539</v>
      </c>
      <c r="R554" s="174">
        <f>VLOOKUP(D554,原始分!$D:$N,9,0)</f>
        <v>39.5</v>
      </c>
      <c r="S554" s="174">
        <f t="shared" si="110"/>
        <v>196</v>
      </c>
      <c r="T554" s="174">
        <f>VLOOKUP(D554,原始分!$D:$N,10,0)</f>
        <v>0</v>
      </c>
      <c r="U554" s="174">
        <f t="shared" si="111"/>
        <v>112</v>
      </c>
      <c r="V554" s="174">
        <f>VLOOKUP(D554,原始分!$D:$N,11,0)</f>
        <v>51.5</v>
      </c>
      <c r="W554" s="174">
        <f t="shared" si="112"/>
        <v>213</v>
      </c>
      <c r="X554" s="11">
        <f t="shared" si="113"/>
        <v>258</v>
      </c>
      <c r="Y554" s="9">
        <f t="shared" si="114"/>
        <v>589</v>
      </c>
      <c r="Z554" s="11">
        <f t="shared" si="115"/>
        <v>391</v>
      </c>
      <c r="AA554" s="9">
        <f t="shared" si="116"/>
        <v>551</v>
      </c>
    </row>
    <row r="555" ht="14.25" spans="1:27">
      <c r="A555" s="13">
        <v>272</v>
      </c>
      <c r="B555" s="15">
        <v>6</v>
      </c>
      <c r="C555" s="16">
        <v>24</v>
      </c>
      <c r="D555" s="17" t="s">
        <v>555</v>
      </c>
      <c r="E555" s="17" t="s">
        <v>556</v>
      </c>
      <c r="F555" s="174">
        <f>VLOOKUP(D555,原始分!$D:$N,3,0)</f>
        <v>95.75</v>
      </c>
      <c r="G555" s="174">
        <f t="shared" si="104"/>
        <v>418</v>
      </c>
      <c r="H555" s="174">
        <f>VLOOKUP(D555,原始分!$D:$N,4,0)</f>
        <v>83</v>
      </c>
      <c r="I555" s="174">
        <f t="shared" si="105"/>
        <v>577</v>
      </c>
      <c r="J555" s="174">
        <f>VLOOKUP(D555,原始分!$D:$N,5,0)</f>
        <v>71</v>
      </c>
      <c r="K555" s="174">
        <f t="shared" si="106"/>
        <v>618</v>
      </c>
      <c r="L555" s="174">
        <f>VLOOKUP(D555,原始分!$D:$N,6,0)</f>
        <v>43.5</v>
      </c>
      <c r="M555" s="174">
        <f t="shared" si="107"/>
        <v>452</v>
      </c>
      <c r="N555" s="174">
        <f>VLOOKUP(D555,原始分!$D:$N,7,0)</f>
        <v>0</v>
      </c>
      <c r="O555" s="174">
        <f t="shared" si="108"/>
        <v>1</v>
      </c>
      <c r="P555" s="174">
        <f>VLOOKUP(D555,原始分!$D:$N,8,0)</f>
        <v>0</v>
      </c>
      <c r="Q555" s="174">
        <f t="shared" si="109"/>
        <v>539</v>
      </c>
      <c r="R555" s="174">
        <f>VLOOKUP(D555,原始分!$D:$N,9,0)</f>
        <v>49</v>
      </c>
      <c r="S555" s="174">
        <f t="shared" si="110"/>
        <v>107</v>
      </c>
      <c r="T555" s="174">
        <f>VLOOKUP(D555,原始分!$D:$N,10,0)</f>
        <v>0</v>
      </c>
      <c r="U555" s="174">
        <f t="shared" si="111"/>
        <v>112</v>
      </c>
      <c r="V555" s="174">
        <f>VLOOKUP(D555,原始分!$D:$N,11,0)</f>
        <v>48.5</v>
      </c>
      <c r="W555" s="174">
        <f t="shared" si="112"/>
        <v>267</v>
      </c>
      <c r="X555" s="11">
        <f t="shared" si="113"/>
        <v>249.75</v>
      </c>
      <c r="Y555" s="9">
        <f t="shared" si="114"/>
        <v>610</v>
      </c>
      <c r="Z555" s="11">
        <f t="shared" si="115"/>
        <v>390.75</v>
      </c>
      <c r="AA555" s="9">
        <f t="shared" si="116"/>
        <v>553</v>
      </c>
    </row>
    <row r="556" ht="14.25" spans="1:27">
      <c r="A556" s="13">
        <v>133</v>
      </c>
      <c r="B556" s="15">
        <v>3</v>
      </c>
      <c r="C556" s="16">
        <v>22</v>
      </c>
      <c r="D556" s="17" t="s">
        <v>279</v>
      </c>
      <c r="E556" s="17" t="s">
        <v>280</v>
      </c>
      <c r="F556" s="174">
        <f>VLOOKUP(D556,原始分!$D:$N,3,0)</f>
        <v>94</v>
      </c>
      <c r="G556" s="174">
        <f t="shared" si="104"/>
        <v>478</v>
      </c>
      <c r="H556" s="174">
        <f>VLOOKUP(D556,原始分!$D:$N,4,0)</f>
        <v>80</v>
      </c>
      <c r="I556" s="174">
        <f t="shared" si="105"/>
        <v>594</v>
      </c>
      <c r="J556" s="174">
        <f>VLOOKUP(D556,原始分!$D:$N,5,0)</f>
        <v>96.5</v>
      </c>
      <c r="K556" s="174">
        <f t="shared" si="106"/>
        <v>314</v>
      </c>
      <c r="L556" s="174">
        <f>VLOOKUP(D556,原始分!$D:$N,6,0)</f>
        <v>35</v>
      </c>
      <c r="M556" s="174">
        <f t="shared" si="107"/>
        <v>572</v>
      </c>
      <c r="N556" s="174">
        <f>VLOOKUP(D556,原始分!$D:$N,7,0)</f>
        <v>0</v>
      </c>
      <c r="O556" s="174">
        <f t="shared" si="108"/>
        <v>1</v>
      </c>
      <c r="P556" s="174">
        <f>VLOOKUP(D556,原始分!$D:$N,8,0)</f>
        <v>33.5</v>
      </c>
      <c r="Q556" s="174">
        <f t="shared" si="109"/>
        <v>420</v>
      </c>
      <c r="R556" s="174">
        <f>VLOOKUP(D556,原始分!$D:$N,9,0)</f>
        <v>51.5</v>
      </c>
      <c r="S556" s="174">
        <f t="shared" si="110"/>
        <v>83</v>
      </c>
      <c r="T556" s="174">
        <f>VLOOKUP(D556,原始分!$D:$N,10,0)</f>
        <v>0</v>
      </c>
      <c r="U556" s="174">
        <f t="shared" si="111"/>
        <v>112</v>
      </c>
      <c r="V556" s="174">
        <f>VLOOKUP(D556,原始分!$D:$N,11,0)</f>
        <v>0</v>
      </c>
      <c r="W556" s="174">
        <f t="shared" si="112"/>
        <v>461</v>
      </c>
      <c r="X556" s="11">
        <f t="shared" si="113"/>
        <v>270.5</v>
      </c>
      <c r="Y556" s="9">
        <f t="shared" si="114"/>
        <v>526</v>
      </c>
      <c r="Z556" s="11">
        <f t="shared" si="115"/>
        <v>390.5</v>
      </c>
      <c r="AA556" s="9">
        <f t="shared" si="116"/>
        <v>554</v>
      </c>
    </row>
    <row r="557" ht="14.25" spans="1:27">
      <c r="A557" s="13">
        <v>33</v>
      </c>
      <c r="B557" s="15">
        <v>1</v>
      </c>
      <c r="C557" s="16">
        <v>35</v>
      </c>
      <c r="D557" s="17" t="s">
        <v>80</v>
      </c>
      <c r="E557" s="17" t="s">
        <v>81</v>
      </c>
      <c r="F557" s="174">
        <f>VLOOKUP(D557,原始分!$D:$N,3,0)</f>
        <v>85</v>
      </c>
      <c r="G557" s="174">
        <f t="shared" si="104"/>
        <v>633</v>
      </c>
      <c r="H557" s="174">
        <f>VLOOKUP(D557,原始分!$D:$N,4,0)</f>
        <v>77.5</v>
      </c>
      <c r="I557" s="174">
        <f t="shared" si="105"/>
        <v>609</v>
      </c>
      <c r="J557" s="174">
        <f>VLOOKUP(D557,原始分!$D:$N,5,0)</f>
        <v>83</v>
      </c>
      <c r="K557" s="174">
        <f t="shared" si="106"/>
        <v>512</v>
      </c>
      <c r="L557" s="174">
        <f>VLOOKUP(D557,原始分!$D:$N,6,0)</f>
        <v>65.5</v>
      </c>
      <c r="M557" s="174">
        <f t="shared" si="107"/>
        <v>105</v>
      </c>
      <c r="N557" s="174">
        <f>VLOOKUP(D557,原始分!$D:$N,7,0)</f>
        <v>0</v>
      </c>
      <c r="O557" s="174">
        <f t="shared" si="108"/>
        <v>1</v>
      </c>
      <c r="P557" s="174">
        <f>VLOOKUP(D557,原始分!$D:$N,8,0)</f>
        <v>40</v>
      </c>
      <c r="Q557" s="174">
        <f t="shared" si="109"/>
        <v>314</v>
      </c>
      <c r="R557" s="174">
        <f>VLOOKUP(D557,原始分!$D:$N,9,0)</f>
        <v>0</v>
      </c>
      <c r="S557" s="174">
        <f t="shared" si="110"/>
        <v>218</v>
      </c>
      <c r="T557" s="174">
        <f>VLOOKUP(D557,原始分!$D:$N,10,0)</f>
        <v>39.25</v>
      </c>
      <c r="U557" s="174">
        <f t="shared" si="111"/>
        <v>110</v>
      </c>
      <c r="V557" s="174">
        <f>VLOOKUP(D557,原始分!$D:$N,11,0)</f>
        <v>0</v>
      </c>
      <c r="W557" s="174">
        <f t="shared" si="112"/>
        <v>461</v>
      </c>
      <c r="X557" s="11">
        <f t="shared" si="113"/>
        <v>245.5</v>
      </c>
      <c r="Y557" s="9">
        <f t="shared" si="114"/>
        <v>617</v>
      </c>
      <c r="Z557" s="11">
        <f t="shared" si="115"/>
        <v>390.25</v>
      </c>
      <c r="AA557" s="9">
        <f t="shared" si="116"/>
        <v>555</v>
      </c>
    </row>
    <row r="558" ht="14.25" spans="1:27">
      <c r="A558" s="13">
        <v>257</v>
      </c>
      <c r="B558" s="15">
        <v>6</v>
      </c>
      <c r="C558" s="16">
        <v>8</v>
      </c>
      <c r="D558" s="17" t="s">
        <v>525</v>
      </c>
      <c r="E558" s="17" t="s">
        <v>526</v>
      </c>
      <c r="F558" s="174">
        <f>VLOOKUP(D558,原始分!$D:$N,3,0)</f>
        <v>83.5</v>
      </c>
      <c r="G558" s="174">
        <f t="shared" si="104"/>
        <v>644</v>
      </c>
      <c r="H558" s="174">
        <f>VLOOKUP(D558,原始分!$D:$N,4,0)</f>
        <v>80.5</v>
      </c>
      <c r="I558" s="174">
        <f t="shared" si="105"/>
        <v>592</v>
      </c>
      <c r="J558" s="174">
        <f>VLOOKUP(D558,原始分!$D:$N,5,0)</f>
        <v>101.25</v>
      </c>
      <c r="K558" s="174">
        <f t="shared" si="106"/>
        <v>226</v>
      </c>
      <c r="L558" s="174">
        <f>VLOOKUP(D558,原始分!$D:$N,6,0)</f>
        <v>28.5</v>
      </c>
      <c r="M558" s="174">
        <f t="shared" si="107"/>
        <v>621</v>
      </c>
      <c r="N558" s="174">
        <f>VLOOKUP(D558,原始分!$D:$N,7,0)</f>
        <v>0</v>
      </c>
      <c r="O558" s="174">
        <f t="shared" si="108"/>
        <v>1</v>
      </c>
      <c r="P558" s="174">
        <f>VLOOKUP(D558,原始分!$D:$N,8,0)</f>
        <v>0</v>
      </c>
      <c r="Q558" s="174">
        <f t="shared" si="109"/>
        <v>539</v>
      </c>
      <c r="R558" s="174">
        <f>VLOOKUP(D558,原始分!$D:$N,9,0)</f>
        <v>46.5</v>
      </c>
      <c r="S558" s="174">
        <f t="shared" si="110"/>
        <v>137</v>
      </c>
      <c r="T558" s="174">
        <f>VLOOKUP(D558,原始分!$D:$N,10,0)</f>
        <v>0</v>
      </c>
      <c r="U558" s="174">
        <f t="shared" si="111"/>
        <v>112</v>
      </c>
      <c r="V558" s="174">
        <f>VLOOKUP(D558,原始分!$D:$N,11,0)</f>
        <v>49</v>
      </c>
      <c r="W558" s="174">
        <f t="shared" si="112"/>
        <v>262</v>
      </c>
      <c r="X558" s="11">
        <f t="shared" si="113"/>
        <v>265.25</v>
      </c>
      <c r="Y558" s="9">
        <f t="shared" si="114"/>
        <v>553</v>
      </c>
      <c r="Z558" s="11">
        <f t="shared" si="115"/>
        <v>389.25</v>
      </c>
      <c r="AA558" s="9">
        <f t="shared" si="116"/>
        <v>556</v>
      </c>
    </row>
    <row r="559" ht="14.25" spans="1:27">
      <c r="A559" s="13">
        <v>324</v>
      </c>
      <c r="B559" s="15">
        <v>7</v>
      </c>
      <c r="C559" s="16">
        <v>37</v>
      </c>
      <c r="D559" s="17" t="s">
        <v>659</v>
      </c>
      <c r="E559" s="17" t="s">
        <v>660</v>
      </c>
      <c r="F559" s="174">
        <f>VLOOKUP(D559,原始分!$D:$N,3,0)</f>
        <v>90</v>
      </c>
      <c r="G559" s="174">
        <f t="shared" si="104"/>
        <v>581</v>
      </c>
      <c r="H559" s="174">
        <f>VLOOKUP(D559,原始分!$D:$N,4,0)</f>
        <v>104.5</v>
      </c>
      <c r="I559" s="174">
        <f t="shared" si="105"/>
        <v>277</v>
      </c>
      <c r="J559" s="174">
        <f>VLOOKUP(D559,原始分!$D:$N,5,0)</f>
        <v>67.5</v>
      </c>
      <c r="K559" s="174">
        <f t="shared" si="106"/>
        <v>631</v>
      </c>
      <c r="L559" s="174">
        <f>VLOOKUP(D559,原始分!$D:$N,6,0)</f>
        <v>28.5</v>
      </c>
      <c r="M559" s="174">
        <f t="shared" si="107"/>
        <v>621</v>
      </c>
      <c r="N559" s="174">
        <f>VLOOKUP(D559,原始分!$D:$N,7,0)</f>
        <v>0</v>
      </c>
      <c r="O559" s="174">
        <f t="shared" si="108"/>
        <v>1</v>
      </c>
      <c r="P559" s="174">
        <f>VLOOKUP(D559,原始分!$D:$N,8,0)</f>
        <v>0</v>
      </c>
      <c r="Q559" s="174">
        <f t="shared" si="109"/>
        <v>539</v>
      </c>
      <c r="R559" s="174">
        <f>VLOOKUP(D559,原始分!$D:$N,9,0)</f>
        <v>44.5</v>
      </c>
      <c r="S559" s="174">
        <f t="shared" si="110"/>
        <v>161</v>
      </c>
      <c r="T559" s="174">
        <f>VLOOKUP(D559,原始分!$D:$N,10,0)</f>
        <v>0</v>
      </c>
      <c r="U559" s="174">
        <f t="shared" si="111"/>
        <v>112</v>
      </c>
      <c r="V559" s="174">
        <f>VLOOKUP(D559,原始分!$D:$N,11,0)</f>
        <v>53.5</v>
      </c>
      <c r="W559" s="174">
        <f t="shared" si="112"/>
        <v>171</v>
      </c>
      <c r="X559" s="11">
        <f t="shared" si="113"/>
        <v>262</v>
      </c>
      <c r="Y559" s="9">
        <f t="shared" si="114"/>
        <v>574</v>
      </c>
      <c r="Z559" s="11">
        <f t="shared" si="115"/>
        <v>388.5</v>
      </c>
      <c r="AA559" s="9">
        <f t="shared" si="116"/>
        <v>557</v>
      </c>
    </row>
    <row r="560" ht="14.25" spans="1:27">
      <c r="A560" s="13">
        <v>303</v>
      </c>
      <c r="B560" s="15">
        <v>7</v>
      </c>
      <c r="C560" s="16">
        <v>14</v>
      </c>
      <c r="D560" s="17" t="s">
        <v>617</v>
      </c>
      <c r="E560" s="17" t="s">
        <v>618</v>
      </c>
      <c r="F560" s="174">
        <f>VLOOKUP(D560,原始分!$D:$N,3,0)</f>
        <v>101.5</v>
      </c>
      <c r="G560" s="174">
        <f t="shared" si="104"/>
        <v>210</v>
      </c>
      <c r="H560" s="174">
        <f>VLOOKUP(D560,原始分!$D:$N,4,0)</f>
        <v>94</v>
      </c>
      <c r="I560" s="174">
        <f t="shared" si="105"/>
        <v>442</v>
      </c>
      <c r="J560" s="174">
        <f>VLOOKUP(D560,原始分!$D:$N,5,0)</f>
        <v>74.75</v>
      </c>
      <c r="K560" s="174">
        <f t="shared" si="106"/>
        <v>596</v>
      </c>
      <c r="L560" s="174">
        <f>VLOOKUP(D560,原始分!$D:$N,6,0)</f>
        <v>35.5</v>
      </c>
      <c r="M560" s="174">
        <f t="shared" si="107"/>
        <v>566</v>
      </c>
      <c r="N560" s="174">
        <f>VLOOKUP(D560,原始分!$D:$N,7,0)</f>
        <v>0</v>
      </c>
      <c r="O560" s="174">
        <f t="shared" si="108"/>
        <v>1</v>
      </c>
      <c r="P560" s="174">
        <f>VLOOKUP(D560,原始分!$D:$N,8,0)</f>
        <v>0</v>
      </c>
      <c r="Q560" s="174">
        <f t="shared" si="109"/>
        <v>539</v>
      </c>
      <c r="R560" s="174">
        <f>VLOOKUP(D560,原始分!$D:$N,9,0)</f>
        <v>47</v>
      </c>
      <c r="S560" s="174">
        <f t="shared" si="110"/>
        <v>134</v>
      </c>
      <c r="T560" s="174">
        <f>VLOOKUP(D560,原始分!$D:$N,10,0)</f>
        <v>0</v>
      </c>
      <c r="U560" s="174">
        <f t="shared" si="111"/>
        <v>112</v>
      </c>
      <c r="V560" s="174">
        <f>VLOOKUP(D560,原始分!$D:$N,11,0)</f>
        <v>35.5</v>
      </c>
      <c r="W560" s="174">
        <f t="shared" si="112"/>
        <v>425</v>
      </c>
      <c r="X560" s="11">
        <f t="shared" si="113"/>
        <v>270.25</v>
      </c>
      <c r="Y560" s="9">
        <f t="shared" si="114"/>
        <v>529</v>
      </c>
      <c r="Z560" s="11">
        <f t="shared" si="115"/>
        <v>388.25</v>
      </c>
      <c r="AA560" s="9">
        <f t="shared" si="116"/>
        <v>558</v>
      </c>
    </row>
    <row r="561" ht="14.25" spans="1:27">
      <c r="A561" s="13">
        <v>649</v>
      </c>
      <c r="B561" s="15">
        <v>13</v>
      </c>
      <c r="C561" s="16">
        <v>43</v>
      </c>
      <c r="D561" s="17" t="s">
        <v>1305</v>
      </c>
      <c r="E561" s="17" t="s">
        <v>1306</v>
      </c>
      <c r="F561" s="174">
        <f>VLOOKUP(D561,原始分!$D:$N,3,0)</f>
        <v>93.5</v>
      </c>
      <c r="G561" s="174">
        <f t="shared" si="104"/>
        <v>491</v>
      </c>
      <c r="H561" s="174">
        <f>VLOOKUP(D561,原始分!$D:$N,4,0)</f>
        <v>102</v>
      </c>
      <c r="I561" s="174">
        <f t="shared" si="105"/>
        <v>323</v>
      </c>
      <c r="J561" s="174">
        <f>VLOOKUP(D561,原始分!$D:$N,5,0)</f>
        <v>84</v>
      </c>
      <c r="K561" s="174">
        <f t="shared" si="106"/>
        <v>504</v>
      </c>
      <c r="L561" s="174">
        <f>VLOOKUP(D561,原始分!$D:$N,6,0)</f>
        <v>32.5</v>
      </c>
      <c r="M561" s="174">
        <f t="shared" si="107"/>
        <v>599</v>
      </c>
      <c r="N561" s="174">
        <f>VLOOKUP(D561,原始分!$D:$N,7,0)</f>
        <v>0</v>
      </c>
      <c r="O561" s="174">
        <f t="shared" si="108"/>
        <v>1</v>
      </c>
      <c r="P561" s="174">
        <f>VLOOKUP(D561,原始分!$D:$N,8,0)</f>
        <v>33</v>
      </c>
      <c r="Q561" s="174">
        <f t="shared" si="109"/>
        <v>433</v>
      </c>
      <c r="R561" s="174">
        <f>VLOOKUP(D561,原始分!$D:$N,9,0)</f>
        <v>0</v>
      </c>
      <c r="S561" s="174">
        <f t="shared" si="110"/>
        <v>218</v>
      </c>
      <c r="T561" s="174">
        <f>VLOOKUP(D561,原始分!$D:$N,10,0)</f>
        <v>0</v>
      </c>
      <c r="U561" s="174">
        <f t="shared" si="111"/>
        <v>112</v>
      </c>
      <c r="V561" s="174">
        <f>VLOOKUP(D561,原始分!$D:$N,11,0)</f>
        <v>43</v>
      </c>
      <c r="W561" s="174">
        <f t="shared" si="112"/>
        <v>370</v>
      </c>
      <c r="X561" s="11">
        <f t="shared" si="113"/>
        <v>279.5</v>
      </c>
      <c r="Y561" s="9">
        <f t="shared" si="114"/>
        <v>451</v>
      </c>
      <c r="Z561" s="11">
        <f t="shared" si="115"/>
        <v>388</v>
      </c>
      <c r="AA561" s="9">
        <f t="shared" si="116"/>
        <v>559</v>
      </c>
    </row>
    <row r="562" ht="14.25" spans="1:27">
      <c r="A562" s="13">
        <v>207</v>
      </c>
      <c r="B562" s="15">
        <v>5</v>
      </c>
      <c r="C562" s="16">
        <v>4</v>
      </c>
      <c r="D562" s="17" t="s">
        <v>427</v>
      </c>
      <c r="E562" s="17" t="s">
        <v>428</v>
      </c>
      <c r="F562" s="174">
        <f>VLOOKUP(D562,原始分!$D:$N,3,0)</f>
        <v>84.5</v>
      </c>
      <c r="G562" s="174">
        <f t="shared" si="104"/>
        <v>636</v>
      </c>
      <c r="H562" s="174">
        <f>VLOOKUP(D562,原始分!$D:$N,4,0)</f>
        <v>96</v>
      </c>
      <c r="I562" s="174">
        <f t="shared" si="105"/>
        <v>406</v>
      </c>
      <c r="J562" s="174">
        <f>VLOOKUP(D562,原始分!$D:$N,5,0)</f>
        <v>101.75</v>
      </c>
      <c r="K562" s="174">
        <f t="shared" si="106"/>
        <v>215</v>
      </c>
      <c r="L562" s="174">
        <f>VLOOKUP(D562,原始分!$D:$N,6,0)</f>
        <v>34.5</v>
      </c>
      <c r="M562" s="174">
        <f t="shared" si="107"/>
        <v>582</v>
      </c>
      <c r="N562" s="174">
        <f>VLOOKUP(D562,原始分!$D:$N,7,0)</f>
        <v>0</v>
      </c>
      <c r="O562" s="174">
        <f t="shared" si="108"/>
        <v>1</v>
      </c>
      <c r="P562" s="174">
        <f>VLOOKUP(D562,原始分!$D:$N,8,0)</f>
        <v>24.5</v>
      </c>
      <c r="Q562" s="174">
        <f t="shared" si="109"/>
        <v>512</v>
      </c>
      <c r="R562" s="174">
        <f>VLOOKUP(D562,原始分!$D:$N,9,0)</f>
        <v>46.5</v>
      </c>
      <c r="S562" s="174">
        <f t="shared" si="110"/>
        <v>137</v>
      </c>
      <c r="T562" s="174">
        <f>VLOOKUP(D562,原始分!$D:$N,10,0)</f>
        <v>0</v>
      </c>
      <c r="U562" s="174">
        <f t="shared" si="111"/>
        <v>112</v>
      </c>
      <c r="V562" s="174">
        <f>VLOOKUP(D562,原始分!$D:$N,11,0)</f>
        <v>0</v>
      </c>
      <c r="W562" s="174">
        <f t="shared" si="112"/>
        <v>461</v>
      </c>
      <c r="X562" s="11">
        <f t="shared" si="113"/>
        <v>282.25</v>
      </c>
      <c r="Y562" s="9">
        <f t="shared" si="114"/>
        <v>430</v>
      </c>
      <c r="Z562" s="11">
        <f t="shared" si="115"/>
        <v>387.75</v>
      </c>
      <c r="AA562" s="9">
        <f t="shared" si="116"/>
        <v>560</v>
      </c>
    </row>
    <row r="563" ht="14.25" spans="1:27">
      <c r="A563" s="13">
        <v>102</v>
      </c>
      <c r="B563" s="15">
        <v>2</v>
      </c>
      <c r="C563" s="16">
        <v>39</v>
      </c>
      <c r="D563" s="17" t="s">
        <v>217</v>
      </c>
      <c r="E563" s="17" t="s">
        <v>218</v>
      </c>
      <c r="F563" s="174">
        <f>VLOOKUP(D563,原始分!$D:$N,3,0)</f>
        <v>91.5</v>
      </c>
      <c r="G563" s="174">
        <f t="shared" si="104"/>
        <v>538</v>
      </c>
      <c r="H563" s="174">
        <f>VLOOKUP(D563,原始分!$D:$N,4,0)</f>
        <v>84.5</v>
      </c>
      <c r="I563" s="174">
        <f t="shared" si="105"/>
        <v>562</v>
      </c>
      <c r="J563" s="174">
        <f>VLOOKUP(D563,原始分!$D:$N,5,0)</f>
        <v>91.5</v>
      </c>
      <c r="K563" s="174">
        <f t="shared" si="106"/>
        <v>403</v>
      </c>
      <c r="L563" s="174">
        <f>VLOOKUP(D563,原始分!$D:$N,6,0)</f>
        <v>37</v>
      </c>
      <c r="M563" s="174">
        <f t="shared" si="107"/>
        <v>552</v>
      </c>
      <c r="N563" s="174">
        <f>VLOOKUP(D563,原始分!$D:$N,7,0)</f>
        <v>0</v>
      </c>
      <c r="O563" s="174">
        <f t="shared" si="108"/>
        <v>1</v>
      </c>
      <c r="P563" s="174">
        <f>VLOOKUP(D563,原始分!$D:$N,8,0)</f>
        <v>0</v>
      </c>
      <c r="Q563" s="174">
        <f t="shared" si="109"/>
        <v>539</v>
      </c>
      <c r="R563" s="174">
        <f>VLOOKUP(D563,原始分!$D:$N,9,0)</f>
        <v>0</v>
      </c>
      <c r="S563" s="174">
        <f t="shared" si="110"/>
        <v>218</v>
      </c>
      <c r="T563" s="174">
        <f>VLOOKUP(D563,原始分!$D:$N,10,0)</f>
        <v>49.5</v>
      </c>
      <c r="U563" s="174">
        <f t="shared" si="111"/>
        <v>81</v>
      </c>
      <c r="V563" s="174">
        <f>VLOOKUP(D563,原始分!$D:$N,11,0)</f>
        <v>33</v>
      </c>
      <c r="W563" s="174">
        <f t="shared" si="112"/>
        <v>441</v>
      </c>
      <c r="X563" s="11">
        <f t="shared" si="113"/>
        <v>267.5</v>
      </c>
      <c r="Y563" s="9">
        <f t="shared" si="114"/>
        <v>543</v>
      </c>
      <c r="Z563" s="11">
        <f t="shared" si="115"/>
        <v>387</v>
      </c>
      <c r="AA563" s="9">
        <f t="shared" si="116"/>
        <v>561</v>
      </c>
    </row>
    <row r="564" ht="14.25" spans="1:27">
      <c r="A564" s="13">
        <v>297</v>
      </c>
      <c r="B564" s="15">
        <v>7</v>
      </c>
      <c r="C564" s="16">
        <v>7</v>
      </c>
      <c r="D564" s="17" t="s">
        <v>605</v>
      </c>
      <c r="E564" s="17" t="s">
        <v>606</v>
      </c>
      <c r="F564" s="174">
        <f>VLOOKUP(D564,原始分!$D:$N,3,0)</f>
        <v>107</v>
      </c>
      <c r="G564" s="174">
        <f t="shared" si="104"/>
        <v>64</v>
      </c>
      <c r="H564" s="174">
        <f>VLOOKUP(D564,原始分!$D:$N,4,0)</f>
        <v>95</v>
      </c>
      <c r="I564" s="174">
        <f t="shared" si="105"/>
        <v>418</v>
      </c>
      <c r="J564" s="174">
        <f>VLOOKUP(D564,原始分!$D:$N,5,0)</f>
        <v>69.5</v>
      </c>
      <c r="K564" s="174">
        <f t="shared" si="106"/>
        <v>626</v>
      </c>
      <c r="L564" s="174">
        <f>VLOOKUP(D564,原始分!$D:$N,6,0)</f>
        <v>36.5</v>
      </c>
      <c r="M564" s="174">
        <f t="shared" si="107"/>
        <v>554</v>
      </c>
      <c r="N564" s="174">
        <f>VLOOKUP(D564,原始分!$D:$N,7,0)</f>
        <v>0</v>
      </c>
      <c r="O564" s="174">
        <f t="shared" si="108"/>
        <v>1</v>
      </c>
      <c r="P564" s="174">
        <f>VLOOKUP(D564,原始分!$D:$N,8,0)</f>
        <v>0</v>
      </c>
      <c r="Q564" s="174">
        <f t="shared" si="109"/>
        <v>539</v>
      </c>
      <c r="R564" s="174">
        <f>VLOOKUP(D564,原始分!$D:$N,9,0)</f>
        <v>48.5</v>
      </c>
      <c r="S564" s="174">
        <f t="shared" si="110"/>
        <v>112</v>
      </c>
      <c r="T564" s="174">
        <f>VLOOKUP(D564,原始分!$D:$N,10,0)</f>
        <v>0</v>
      </c>
      <c r="U564" s="174">
        <f t="shared" si="111"/>
        <v>112</v>
      </c>
      <c r="V564" s="174">
        <f>VLOOKUP(D564,原始分!$D:$N,11,0)</f>
        <v>30.5</v>
      </c>
      <c r="W564" s="174">
        <f t="shared" si="112"/>
        <v>448</v>
      </c>
      <c r="X564" s="11">
        <f t="shared" si="113"/>
        <v>271.5</v>
      </c>
      <c r="Y564" s="9">
        <f t="shared" si="114"/>
        <v>518</v>
      </c>
      <c r="Z564" s="11">
        <f t="shared" si="115"/>
        <v>387</v>
      </c>
      <c r="AA564" s="9">
        <f t="shared" si="116"/>
        <v>561</v>
      </c>
    </row>
    <row r="565" ht="14.25" spans="1:27">
      <c r="A565" s="13">
        <v>605</v>
      </c>
      <c r="B565" s="15">
        <v>12</v>
      </c>
      <c r="C565" s="16">
        <v>55</v>
      </c>
      <c r="D565" s="17" t="s">
        <v>1218</v>
      </c>
      <c r="E565" s="17" t="s">
        <v>1219</v>
      </c>
      <c r="F565" s="174">
        <f>VLOOKUP(D565,原始分!$D:$N,3,0)</f>
        <v>103.5</v>
      </c>
      <c r="G565" s="174">
        <f t="shared" si="104"/>
        <v>146</v>
      </c>
      <c r="H565" s="174">
        <f>VLOOKUP(D565,原始分!$D:$N,4,0)</f>
        <v>82</v>
      </c>
      <c r="I565" s="174">
        <f t="shared" si="105"/>
        <v>585</v>
      </c>
      <c r="J565" s="174">
        <f>VLOOKUP(D565,原始分!$D:$N,5,0)</f>
        <v>120</v>
      </c>
      <c r="K565" s="174">
        <f t="shared" si="106"/>
        <v>21</v>
      </c>
      <c r="L565" s="174">
        <f>VLOOKUP(D565,原始分!$D:$N,6,0)</f>
        <v>17.5</v>
      </c>
      <c r="M565" s="174">
        <f t="shared" si="107"/>
        <v>657</v>
      </c>
      <c r="N565" s="174">
        <f>VLOOKUP(D565,原始分!$D:$N,7,0)</f>
        <v>0</v>
      </c>
      <c r="O565" s="174">
        <f t="shared" si="108"/>
        <v>1</v>
      </c>
      <c r="P565" s="174">
        <f>VLOOKUP(D565,原始分!$D:$N,8,0)</f>
        <v>25</v>
      </c>
      <c r="Q565" s="174">
        <f t="shared" si="109"/>
        <v>508</v>
      </c>
      <c r="R565" s="174">
        <f>VLOOKUP(D565,原始分!$D:$N,9,0)</f>
        <v>0</v>
      </c>
      <c r="S565" s="174">
        <f t="shared" si="110"/>
        <v>218</v>
      </c>
      <c r="T565" s="174">
        <f>VLOOKUP(D565,原始分!$D:$N,10,0)</f>
        <v>0</v>
      </c>
      <c r="U565" s="174">
        <f t="shared" si="111"/>
        <v>112</v>
      </c>
      <c r="V565" s="174">
        <f>VLOOKUP(D565,原始分!$D:$N,11,0)</f>
        <v>38</v>
      </c>
      <c r="W565" s="174">
        <f t="shared" si="112"/>
        <v>415</v>
      </c>
      <c r="X565" s="11">
        <f t="shared" si="113"/>
        <v>305.5</v>
      </c>
      <c r="Y565" s="9">
        <f t="shared" si="114"/>
        <v>233</v>
      </c>
      <c r="Z565" s="11">
        <f t="shared" si="115"/>
        <v>386</v>
      </c>
      <c r="AA565" s="9">
        <f t="shared" si="116"/>
        <v>563</v>
      </c>
    </row>
    <row r="566" ht="14.25" spans="1:27">
      <c r="A566" s="13">
        <v>293</v>
      </c>
      <c r="B566" s="15">
        <v>7</v>
      </c>
      <c r="C566" s="16">
        <v>3</v>
      </c>
      <c r="D566" s="17" t="s">
        <v>597</v>
      </c>
      <c r="E566" s="17" t="s">
        <v>598</v>
      </c>
      <c r="F566" s="174">
        <f>VLOOKUP(D566,原始分!$D:$N,3,0)</f>
        <v>101</v>
      </c>
      <c r="G566" s="174">
        <f t="shared" si="104"/>
        <v>224</v>
      </c>
      <c r="H566" s="174">
        <f>VLOOKUP(D566,原始分!$D:$N,4,0)</f>
        <v>92</v>
      </c>
      <c r="I566" s="174">
        <f t="shared" si="105"/>
        <v>469</v>
      </c>
      <c r="J566" s="174">
        <f>VLOOKUP(D566,原始分!$D:$N,5,0)</f>
        <v>78</v>
      </c>
      <c r="K566" s="174">
        <f t="shared" si="106"/>
        <v>567</v>
      </c>
      <c r="L566" s="174">
        <f>VLOOKUP(D566,原始分!$D:$N,6,0)</f>
        <v>21</v>
      </c>
      <c r="M566" s="174">
        <f t="shared" si="107"/>
        <v>650</v>
      </c>
      <c r="N566" s="174">
        <f>VLOOKUP(D566,原始分!$D:$N,7,0)</f>
        <v>0</v>
      </c>
      <c r="O566" s="174">
        <f t="shared" si="108"/>
        <v>1</v>
      </c>
      <c r="P566" s="174">
        <f>VLOOKUP(D566,原始分!$D:$N,8,0)</f>
        <v>0</v>
      </c>
      <c r="Q566" s="174">
        <f t="shared" si="109"/>
        <v>539</v>
      </c>
      <c r="R566" s="174">
        <f>VLOOKUP(D566,原始分!$D:$N,9,0)</f>
        <v>42.25</v>
      </c>
      <c r="S566" s="174">
        <f t="shared" si="110"/>
        <v>182</v>
      </c>
      <c r="T566" s="174">
        <f>VLOOKUP(D566,原始分!$D:$N,10,0)</f>
        <v>0</v>
      </c>
      <c r="U566" s="174">
        <f t="shared" si="111"/>
        <v>112</v>
      </c>
      <c r="V566" s="174">
        <f>VLOOKUP(D566,原始分!$D:$N,11,0)</f>
        <v>51</v>
      </c>
      <c r="W566" s="174">
        <f t="shared" si="112"/>
        <v>227</v>
      </c>
      <c r="X566" s="11">
        <f t="shared" si="113"/>
        <v>271</v>
      </c>
      <c r="Y566" s="9">
        <f t="shared" si="114"/>
        <v>522</v>
      </c>
      <c r="Z566" s="11">
        <f t="shared" si="115"/>
        <v>385.25</v>
      </c>
      <c r="AA566" s="9">
        <f t="shared" si="116"/>
        <v>564</v>
      </c>
    </row>
    <row r="567" ht="14.25" spans="1:27">
      <c r="A567" s="13">
        <v>258</v>
      </c>
      <c r="B567" s="15">
        <v>6</v>
      </c>
      <c r="C567" s="16">
        <v>9</v>
      </c>
      <c r="D567" s="17" t="s">
        <v>527</v>
      </c>
      <c r="E567" s="17" t="s">
        <v>528</v>
      </c>
      <c r="F567" s="174">
        <f>VLOOKUP(D567,原始分!$D:$N,3,0)</f>
        <v>91.5</v>
      </c>
      <c r="G567" s="174">
        <f t="shared" si="104"/>
        <v>538</v>
      </c>
      <c r="H567" s="174">
        <f>VLOOKUP(D567,原始分!$D:$N,4,0)</f>
        <v>89.5</v>
      </c>
      <c r="I567" s="174">
        <f t="shared" si="105"/>
        <v>499</v>
      </c>
      <c r="J567" s="174">
        <f>VLOOKUP(D567,原始分!$D:$N,5,0)</f>
        <v>84.75</v>
      </c>
      <c r="K567" s="174">
        <f t="shared" si="106"/>
        <v>492</v>
      </c>
      <c r="L567" s="174">
        <f>VLOOKUP(D567,原始分!$D:$N,6,0)</f>
        <v>40.5</v>
      </c>
      <c r="M567" s="174">
        <f t="shared" si="107"/>
        <v>497</v>
      </c>
      <c r="N567" s="174">
        <f>VLOOKUP(D567,原始分!$D:$N,7,0)</f>
        <v>0</v>
      </c>
      <c r="O567" s="174">
        <f t="shared" si="108"/>
        <v>1</v>
      </c>
      <c r="P567" s="174">
        <f>VLOOKUP(D567,原始分!$D:$N,8,0)</f>
        <v>0</v>
      </c>
      <c r="Q567" s="174">
        <f t="shared" si="109"/>
        <v>539</v>
      </c>
      <c r="R567" s="174">
        <f>VLOOKUP(D567,原始分!$D:$N,9,0)</f>
        <v>39.25</v>
      </c>
      <c r="S567" s="174">
        <f t="shared" si="110"/>
        <v>199</v>
      </c>
      <c r="T567" s="174">
        <f>VLOOKUP(D567,原始分!$D:$N,10,0)</f>
        <v>0</v>
      </c>
      <c r="U567" s="174">
        <f t="shared" si="111"/>
        <v>112</v>
      </c>
      <c r="V567" s="174">
        <f>VLOOKUP(D567,原始分!$D:$N,11,0)</f>
        <v>39.5</v>
      </c>
      <c r="W567" s="174">
        <f t="shared" si="112"/>
        <v>406</v>
      </c>
      <c r="X567" s="11">
        <f t="shared" si="113"/>
        <v>265.75</v>
      </c>
      <c r="Y567" s="9">
        <f t="shared" si="114"/>
        <v>551</v>
      </c>
      <c r="Z567" s="11">
        <f t="shared" si="115"/>
        <v>385</v>
      </c>
      <c r="AA567" s="9">
        <f t="shared" si="116"/>
        <v>565</v>
      </c>
    </row>
    <row r="568" ht="14.25" spans="1:27">
      <c r="A568" s="13">
        <v>551</v>
      </c>
      <c r="B568" s="15">
        <v>11</v>
      </c>
      <c r="C568" s="16">
        <v>57</v>
      </c>
      <c r="D568" s="17" t="s">
        <v>1110</v>
      </c>
      <c r="E568" s="17" t="s">
        <v>1111</v>
      </c>
      <c r="F568" s="174">
        <f>VLOOKUP(D568,原始分!$D:$N,3,0)</f>
        <v>92.5</v>
      </c>
      <c r="G568" s="174">
        <f t="shared" si="104"/>
        <v>524</v>
      </c>
      <c r="H568" s="174">
        <f>VLOOKUP(D568,原始分!$D:$N,4,0)</f>
        <v>87.5</v>
      </c>
      <c r="I568" s="174">
        <f t="shared" si="105"/>
        <v>530</v>
      </c>
      <c r="J568" s="174">
        <f>VLOOKUP(D568,原始分!$D:$N,5,0)</f>
        <v>81.5</v>
      </c>
      <c r="K568" s="174">
        <f t="shared" si="106"/>
        <v>535</v>
      </c>
      <c r="L568" s="174">
        <f>VLOOKUP(D568,原始分!$D:$N,6,0)</f>
        <v>41</v>
      </c>
      <c r="M568" s="174">
        <f t="shared" si="107"/>
        <v>490</v>
      </c>
      <c r="N568" s="174">
        <f>VLOOKUP(D568,原始分!$D:$N,7,0)</f>
        <v>0</v>
      </c>
      <c r="O568" s="174">
        <f t="shared" si="108"/>
        <v>1</v>
      </c>
      <c r="P568" s="174">
        <f>VLOOKUP(D568,原始分!$D:$N,8,0)</f>
        <v>42</v>
      </c>
      <c r="Q568" s="174">
        <f t="shared" si="109"/>
        <v>265</v>
      </c>
      <c r="R568" s="174">
        <f>VLOOKUP(D568,原始分!$D:$N,9,0)</f>
        <v>0</v>
      </c>
      <c r="S568" s="174">
        <f t="shared" si="110"/>
        <v>218</v>
      </c>
      <c r="T568" s="174">
        <f>VLOOKUP(D568,原始分!$D:$N,10,0)</f>
        <v>0</v>
      </c>
      <c r="U568" s="174">
        <f t="shared" si="111"/>
        <v>112</v>
      </c>
      <c r="V568" s="174">
        <f>VLOOKUP(D568,原始分!$D:$N,11,0)</f>
        <v>40.5</v>
      </c>
      <c r="W568" s="174">
        <f t="shared" si="112"/>
        <v>395</v>
      </c>
      <c r="X568" s="11">
        <f t="shared" si="113"/>
        <v>261.5</v>
      </c>
      <c r="Y568" s="9">
        <f t="shared" si="114"/>
        <v>575</v>
      </c>
      <c r="Z568" s="11">
        <f t="shared" si="115"/>
        <v>385</v>
      </c>
      <c r="AA568" s="9">
        <f t="shared" si="116"/>
        <v>565</v>
      </c>
    </row>
    <row r="569" ht="14.25" spans="1:27">
      <c r="A569" s="13">
        <v>55</v>
      </c>
      <c r="B569" s="15">
        <v>1</v>
      </c>
      <c r="C569" s="16">
        <v>57</v>
      </c>
      <c r="D569" s="17" t="s">
        <v>124</v>
      </c>
      <c r="E569" s="17" t="s">
        <v>125</v>
      </c>
      <c r="F569" s="174">
        <f>VLOOKUP(D569,原始分!$D:$N,3,0)</f>
        <v>101</v>
      </c>
      <c r="G569" s="174">
        <f t="shared" si="104"/>
        <v>224</v>
      </c>
      <c r="H569" s="174">
        <f>VLOOKUP(D569,原始分!$D:$N,4,0)</f>
        <v>72.5</v>
      </c>
      <c r="I569" s="174">
        <f t="shared" si="105"/>
        <v>629</v>
      </c>
      <c r="J569" s="174">
        <f>VLOOKUP(D569,原始分!$D:$N,5,0)</f>
        <v>87.5</v>
      </c>
      <c r="K569" s="174">
        <f t="shared" si="106"/>
        <v>448</v>
      </c>
      <c r="L569" s="174">
        <f>VLOOKUP(D569,原始分!$D:$N,6,0)</f>
        <v>40</v>
      </c>
      <c r="M569" s="174">
        <f t="shared" si="107"/>
        <v>506</v>
      </c>
      <c r="N569" s="174">
        <f>VLOOKUP(D569,原始分!$D:$N,7,0)</f>
        <v>0</v>
      </c>
      <c r="O569" s="174">
        <f t="shared" si="108"/>
        <v>1</v>
      </c>
      <c r="P569" s="174">
        <f>VLOOKUP(D569,原始分!$D:$N,8,0)</f>
        <v>36</v>
      </c>
      <c r="Q569" s="174">
        <f t="shared" si="109"/>
        <v>384</v>
      </c>
      <c r="R569" s="174">
        <f>VLOOKUP(D569,原始分!$D:$N,9,0)</f>
        <v>0</v>
      </c>
      <c r="S569" s="174">
        <f t="shared" si="110"/>
        <v>218</v>
      </c>
      <c r="T569" s="174">
        <f>VLOOKUP(D569,原始分!$D:$N,10,0)</f>
        <v>46.5</v>
      </c>
      <c r="U569" s="174">
        <f t="shared" si="111"/>
        <v>97</v>
      </c>
      <c r="V569" s="174">
        <f>VLOOKUP(D569,原始分!$D:$N,11,0)</f>
        <v>0</v>
      </c>
      <c r="W569" s="174">
        <f t="shared" si="112"/>
        <v>461</v>
      </c>
      <c r="X569" s="11">
        <f t="shared" si="113"/>
        <v>261</v>
      </c>
      <c r="Y569" s="9">
        <f t="shared" si="114"/>
        <v>580</v>
      </c>
      <c r="Z569" s="11">
        <f t="shared" si="115"/>
        <v>383.5</v>
      </c>
      <c r="AA569" s="9">
        <f t="shared" si="116"/>
        <v>567</v>
      </c>
    </row>
    <row r="570" ht="14.25" spans="1:27">
      <c r="A570" s="13">
        <v>120</v>
      </c>
      <c r="B570" s="15">
        <v>3</v>
      </c>
      <c r="C570" s="16">
        <v>9</v>
      </c>
      <c r="D570" s="17" t="s">
        <v>253</v>
      </c>
      <c r="E570" s="17" t="s">
        <v>254</v>
      </c>
      <c r="F570" s="174">
        <f>VLOOKUP(D570,原始分!$D:$N,3,0)</f>
        <v>98</v>
      </c>
      <c r="G570" s="174">
        <f t="shared" si="104"/>
        <v>349</v>
      </c>
      <c r="H570" s="174">
        <f>VLOOKUP(D570,原始分!$D:$N,4,0)</f>
        <v>95</v>
      </c>
      <c r="I570" s="174">
        <f t="shared" si="105"/>
        <v>418</v>
      </c>
      <c r="J570" s="174">
        <f>VLOOKUP(D570,原始分!$D:$N,5,0)</f>
        <v>82</v>
      </c>
      <c r="K570" s="174">
        <f t="shared" si="106"/>
        <v>530</v>
      </c>
      <c r="L570" s="174">
        <f>VLOOKUP(D570,原始分!$D:$N,6,0)</f>
        <v>51.5</v>
      </c>
      <c r="M570" s="174">
        <f t="shared" si="107"/>
        <v>313</v>
      </c>
      <c r="N570" s="174">
        <f>VLOOKUP(D570,原始分!$D:$N,7,0)</f>
        <v>0</v>
      </c>
      <c r="O570" s="174">
        <f t="shared" si="108"/>
        <v>1</v>
      </c>
      <c r="P570" s="174">
        <f>VLOOKUP(D570,原始分!$D:$N,8,0)</f>
        <v>24</v>
      </c>
      <c r="Q570" s="174">
        <f t="shared" si="109"/>
        <v>516</v>
      </c>
      <c r="R570" s="174">
        <f>VLOOKUP(D570,原始分!$D:$N,9,0)</f>
        <v>33</v>
      </c>
      <c r="S570" s="174">
        <f t="shared" si="110"/>
        <v>213</v>
      </c>
      <c r="T570" s="174">
        <f>VLOOKUP(D570,原始分!$D:$N,10,0)</f>
        <v>0</v>
      </c>
      <c r="U570" s="174">
        <f t="shared" si="111"/>
        <v>112</v>
      </c>
      <c r="V570" s="174">
        <f>VLOOKUP(D570,原始分!$D:$N,11,0)</f>
        <v>0</v>
      </c>
      <c r="W570" s="174">
        <f t="shared" si="112"/>
        <v>461</v>
      </c>
      <c r="X570" s="11">
        <f t="shared" si="113"/>
        <v>275</v>
      </c>
      <c r="Y570" s="9">
        <f t="shared" si="114"/>
        <v>497</v>
      </c>
      <c r="Z570" s="11">
        <f t="shared" si="115"/>
        <v>383.5</v>
      </c>
      <c r="AA570" s="9">
        <f t="shared" si="116"/>
        <v>567</v>
      </c>
    </row>
    <row r="571" ht="14.25" spans="1:27">
      <c r="A571" s="13">
        <v>315</v>
      </c>
      <c r="B571" s="15">
        <v>7</v>
      </c>
      <c r="C571" s="16">
        <v>28</v>
      </c>
      <c r="D571" s="17" t="s">
        <v>641</v>
      </c>
      <c r="E571" s="17" t="s">
        <v>642</v>
      </c>
      <c r="F571" s="174">
        <f>VLOOKUP(D571,原始分!$D:$N,3,0)</f>
        <v>101</v>
      </c>
      <c r="G571" s="174">
        <f t="shared" si="104"/>
        <v>224</v>
      </c>
      <c r="H571" s="174">
        <f>VLOOKUP(D571,原始分!$D:$N,4,0)</f>
        <v>73.5</v>
      </c>
      <c r="I571" s="174">
        <f t="shared" si="105"/>
        <v>625</v>
      </c>
      <c r="J571" s="174">
        <f>VLOOKUP(D571,原始分!$D:$N,5,0)</f>
        <v>80</v>
      </c>
      <c r="K571" s="174">
        <f t="shared" si="106"/>
        <v>550</v>
      </c>
      <c r="L571" s="174">
        <f>VLOOKUP(D571,原始分!$D:$N,6,0)</f>
        <v>47</v>
      </c>
      <c r="M571" s="174">
        <f t="shared" si="107"/>
        <v>391</v>
      </c>
      <c r="N571" s="174">
        <f>VLOOKUP(D571,原始分!$D:$N,7,0)</f>
        <v>0</v>
      </c>
      <c r="O571" s="174">
        <f t="shared" si="108"/>
        <v>1</v>
      </c>
      <c r="P571" s="174">
        <f>VLOOKUP(D571,原始分!$D:$N,8,0)</f>
        <v>0</v>
      </c>
      <c r="Q571" s="174">
        <f t="shared" si="109"/>
        <v>539</v>
      </c>
      <c r="R571" s="174">
        <f>VLOOKUP(D571,原始分!$D:$N,9,0)</f>
        <v>41.5</v>
      </c>
      <c r="S571" s="174">
        <f t="shared" si="110"/>
        <v>185</v>
      </c>
      <c r="T571" s="174">
        <f>VLOOKUP(D571,原始分!$D:$N,10,0)</f>
        <v>0</v>
      </c>
      <c r="U571" s="174">
        <f t="shared" si="111"/>
        <v>112</v>
      </c>
      <c r="V571" s="174">
        <f>VLOOKUP(D571,原始分!$D:$N,11,0)</f>
        <v>40.5</v>
      </c>
      <c r="W571" s="174">
        <f t="shared" si="112"/>
        <v>395</v>
      </c>
      <c r="X571" s="11">
        <f t="shared" si="113"/>
        <v>254.5</v>
      </c>
      <c r="Y571" s="9">
        <f t="shared" si="114"/>
        <v>598</v>
      </c>
      <c r="Z571" s="11">
        <f t="shared" si="115"/>
        <v>383.5</v>
      </c>
      <c r="AA571" s="9">
        <f t="shared" si="116"/>
        <v>567</v>
      </c>
    </row>
    <row r="572" ht="14.25" spans="1:27">
      <c r="A572" s="13">
        <v>190</v>
      </c>
      <c r="B572" s="15">
        <v>4</v>
      </c>
      <c r="C572" s="16">
        <v>32</v>
      </c>
      <c r="D572" s="17" t="s">
        <v>393</v>
      </c>
      <c r="E572" s="17" t="s">
        <v>394</v>
      </c>
      <c r="F572" s="174">
        <f>VLOOKUP(D572,原始分!$D:$N,3,0)</f>
        <v>85</v>
      </c>
      <c r="G572" s="174">
        <f t="shared" si="104"/>
        <v>633</v>
      </c>
      <c r="H572" s="174">
        <f>VLOOKUP(D572,原始分!$D:$N,4,0)</f>
        <v>91</v>
      </c>
      <c r="I572" s="174">
        <f t="shared" si="105"/>
        <v>479</v>
      </c>
      <c r="J572" s="174">
        <f>VLOOKUP(D572,原始分!$D:$N,5,0)</f>
        <v>99</v>
      </c>
      <c r="K572" s="174">
        <f t="shared" si="106"/>
        <v>270</v>
      </c>
      <c r="L572" s="174">
        <f>VLOOKUP(D572,原始分!$D:$N,6,0)</f>
        <v>30</v>
      </c>
      <c r="M572" s="174">
        <f t="shared" si="107"/>
        <v>611</v>
      </c>
      <c r="N572" s="174">
        <f>VLOOKUP(D572,原始分!$D:$N,7,0)</f>
        <v>0</v>
      </c>
      <c r="O572" s="174">
        <f t="shared" si="108"/>
        <v>1</v>
      </c>
      <c r="P572" s="174">
        <f>VLOOKUP(D572,原始分!$D:$N,8,0)</f>
        <v>28.5</v>
      </c>
      <c r="Q572" s="174">
        <f t="shared" si="109"/>
        <v>486</v>
      </c>
      <c r="R572" s="174">
        <f>VLOOKUP(D572,原始分!$D:$N,9,0)</f>
        <v>49</v>
      </c>
      <c r="S572" s="174">
        <f t="shared" si="110"/>
        <v>107</v>
      </c>
      <c r="T572" s="174">
        <f>VLOOKUP(D572,原始分!$D:$N,10,0)</f>
        <v>0</v>
      </c>
      <c r="U572" s="174">
        <f t="shared" si="111"/>
        <v>112</v>
      </c>
      <c r="V572" s="174">
        <f>VLOOKUP(D572,原始分!$D:$N,11,0)</f>
        <v>0</v>
      </c>
      <c r="W572" s="174">
        <f t="shared" si="112"/>
        <v>461</v>
      </c>
      <c r="X572" s="11">
        <f t="shared" si="113"/>
        <v>275</v>
      </c>
      <c r="Y572" s="9">
        <f t="shared" si="114"/>
        <v>497</v>
      </c>
      <c r="Z572" s="11">
        <f t="shared" si="115"/>
        <v>382.5</v>
      </c>
      <c r="AA572" s="9">
        <f t="shared" si="116"/>
        <v>570</v>
      </c>
    </row>
    <row r="573" ht="14.25" spans="1:27">
      <c r="A573" s="13">
        <v>537</v>
      </c>
      <c r="B573" s="15">
        <v>11</v>
      </c>
      <c r="C573" s="16">
        <v>43</v>
      </c>
      <c r="D573" s="17" t="s">
        <v>1083</v>
      </c>
      <c r="E573" s="17" t="s">
        <v>1084</v>
      </c>
      <c r="F573" s="174">
        <f>VLOOKUP(D573,原始分!$D:$N,3,0)</f>
        <v>86.75</v>
      </c>
      <c r="G573" s="174">
        <f t="shared" si="104"/>
        <v>620</v>
      </c>
      <c r="H573" s="174">
        <f>VLOOKUP(D573,原始分!$D:$N,4,0)</f>
        <v>105.5</v>
      </c>
      <c r="I573" s="174">
        <f t="shared" si="105"/>
        <v>265</v>
      </c>
      <c r="J573" s="174">
        <f>VLOOKUP(D573,原始分!$D:$N,5,0)</f>
        <v>72.5</v>
      </c>
      <c r="K573" s="174">
        <f t="shared" si="106"/>
        <v>608</v>
      </c>
      <c r="L573" s="174">
        <f>VLOOKUP(D573,原始分!$D:$N,6,0)</f>
        <v>38.5</v>
      </c>
      <c r="M573" s="174">
        <f t="shared" si="107"/>
        <v>528</v>
      </c>
      <c r="N573" s="174">
        <f>VLOOKUP(D573,原始分!$D:$N,7,0)</f>
        <v>0</v>
      </c>
      <c r="O573" s="174">
        <f t="shared" si="108"/>
        <v>1</v>
      </c>
      <c r="P573" s="174">
        <f>VLOOKUP(D573,原始分!$D:$N,8,0)</f>
        <v>43</v>
      </c>
      <c r="Q573" s="174">
        <f t="shared" si="109"/>
        <v>247</v>
      </c>
      <c r="R573" s="174">
        <f>VLOOKUP(D573,原始分!$D:$N,9,0)</f>
        <v>0</v>
      </c>
      <c r="S573" s="174">
        <f t="shared" si="110"/>
        <v>218</v>
      </c>
      <c r="T573" s="174">
        <f>VLOOKUP(D573,原始分!$D:$N,10,0)</f>
        <v>0</v>
      </c>
      <c r="U573" s="174">
        <f t="shared" si="111"/>
        <v>112</v>
      </c>
      <c r="V573" s="174">
        <f>VLOOKUP(D573,原始分!$D:$N,11,0)</f>
        <v>35</v>
      </c>
      <c r="W573" s="174">
        <f t="shared" si="112"/>
        <v>430</v>
      </c>
      <c r="X573" s="11">
        <f t="shared" si="113"/>
        <v>264.75</v>
      </c>
      <c r="Y573" s="9">
        <f t="shared" si="114"/>
        <v>557</v>
      </c>
      <c r="Z573" s="11">
        <f t="shared" si="115"/>
        <v>381.25</v>
      </c>
      <c r="AA573" s="9">
        <f t="shared" si="116"/>
        <v>571</v>
      </c>
    </row>
    <row r="574" ht="14.25" spans="1:27">
      <c r="A574" s="13">
        <v>330</v>
      </c>
      <c r="B574" s="15">
        <v>8</v>
      </c>
      <c r="C574" s="16">
        <v>2</v>
      </c>
      <c r="D574" s="17" t="s">
        <v>671</v>
      </c>
      <c r="E574" s="17" t="s">
        <v>672</v>
      </c>
      <c r="F574" s="174">
        <f>VLOOKUP(D574,原始分!$D:$N,3,0)</f>
        <v>101.5</v>
      </c>
      <c r="G574" s="174">
        <f t="shared" si="104"/>
        <v>210</v>
      </c>
      <c r="H574" s="174">
        <f>VLOOKUP(D574,原始分!$D:$N,4,0)</f>
        <v>89</v>
      </c>
      <c r="I574" s="174">
        <f t="shared" si="105"/>
        <v>508</v>
      </c>
      <c r="J574" s="174">
        <f>VLOOKUP(D574,原始分!$D:$N,5,0)</f>
        <v>99.5</v>
      </c>
      <c r="K574" s="174">
        <f t="shared" si="106"/>
        <v>256</v>
      </c>
      <c r="L574" s="174">
        <f>VLOOKUP(D574,原始分!$D:$N,6,0)</f>
        <v>25</v>
      </c>
      <c r="M574" s="174">
        <f t="shared" si="107"/>
        <v>638</v>
      </c>
      <c r="N574" s="174">
        <f>VLOOKUP(D574,原始分!$D:$N,7,0)</f>
        <v>0</v>
      </c>
      <c r="O574" s="174">
        <f t="shared" si="108"/>
        <v>1</v>
      </c>
      <c r="P574" s="174">
        <f>VLOOKUP(D574,原始分!$D:$N,8,0)</f>
        <v>35</v>
      </c>
      <c r="Q574" s="174">
        <f t="shared" si="109"/>
        <v>401</v>
      </c>
      <c r="R574" s="174">
        <f>VLOOKUP(D574,原始分!$D:$N,9,0)</f>
        <v>0</v>
      </c>
      <c r="S574" s="174">
        <f t="shared" si="110"/>
        <v>218</v>
      </c>
      <c r="T574" s="174">
        <f>VLOOKUP(D574,原始分!$D:$N,10,0)</f>
        <v>0</v>
      </c>
      <c r="U574" s="174">
        <f t="shared" si="111"/>
        <v>112</v>
      </c>
      <c r="V574" s="174">
        <f>VLOOKUP(D574,原始分!$D:$N,11,0)</f>
        <v>31</v>
      </c>
      <c r="W574" s="174">
        <f t="shared" si="112"/>
        <v>446</v>
      </c>
      <c r="X574" s="11">
        <f t="shared" si="113"/>
        <v>290</v>
      </c>
      <c r="Y574" s="9">
        <f t="shared" si="114"/>
        <v>369</v>
      </c>
      <c r="Z574" s="11">
        <f t="shared" si="115"/>
        <v>381</v>
      </c>
      <c r="AA574" s="9">
        <f t="shared" si="116"/>
        <v>572</v>
      </c>
    </row>
    <row r="575" ht="14.25" spans="1:27">
      <c r="A575" s="13">
        <v>499</v>
      </c>
      <c r="B575" s="15">
        <v>11</v>
      </c>
      <c r="C575" s="16">
        <v>3</v>
      </c>
      <c r="D575" s="17" t="s">
        <v>1008</v>
      </c>
      <c r="E575" s="17" t="s">
        <v>1009</v>
      </c>
      <c r="F575" s="174">
        <f>VLOOKUP(D575,原始分!$D:$N,3,0)</f>
        <v>90.5</v>
      </c>
      <c r="G575" s="174">
        <f t="shared" si="104"/>
        <v>571</v>
      </c>
      <c r="H575" s="174">
        <f>VLOOKUP(D575,原始分!$D:$N,4,0)</f>
        <v>81.5</v>
      </c>
      <c r="I575" s="174">
        <f t="shared" si="105"/>
        <v>590</v>
      </c>
      <c r="J575" s="174">
        <f>VLOOKUP(D575,原始分!$D:$N,5,0)</f>
        <v>77.5</v>
      </c>
      <c r="K575" s="174">
        <f t="shared" si="106"/>
        <v>571</v>
      </c>
      <c r="L575" s="174">
        <f>VLOOKUP(D575,原始分!$D:$N,6,0)</f>
        <v>32</v>
      </c>
      <c r="M575" s="174">
        <f t="shared" si="107"/>
        <v>603</v>
      </c>
      <c r="N575" s="174">
        <f>VLOOKUP(D575,原始分!$D:$N,7,0)</f>
        <v>0</v>
      </c>
      <c r="O575" s="174">
        <f t="shared" si="108"/>
        <v>1</v>
      </c>
      <c r="P575" s="174">
        <f>VLOOKUP(D575,原始分!$D:$N,8,0)</f>
        <v>48.5</v>
      </c>
      <c r="Q575" s="174">
        <f t="shared" si="109"/>
        <v>138</v>
      </c>
      <c r="R575" s="174">
        <f>VLOOKUP(D575,原始分!$D:$N,9,0)</f>
        <v>0</v>
      </c>
      <c r="S575" s="174">
        <f t="shared" si="110"/>
        <v>218</v>
      </c>
      <c r="T575" s="174">
        <f>VLOOKUP(D575,原始分!$D:$N,10,0)</f>
        <v>0</v>
      </c>
      <c r="U575" s="174">
        <f t="shared" si="111"/>
        <v>112</v>
      </c>
      <c r="V575" s="174">
        <f>VLOOKUP(D575,原始分!$D:$N,11,0)</f>
        <v>51</v>
      </c>
      <c r="W575" s="174">
        <f t="shared" si="112"/>
        <v>227</v>
      </c>
      <c r="X575" s="11">
        <f t="shared" si="113"/>
        <v>249.5</v>
      </c>
      <c r="Y575" s="9">
        <f t="shared" si="114"/>
        <v>611</v>
      </c>
      <c r="Z575" s="11">
        <f t="shared" si="115"/>
        <v>381</v>
      </c>
      <c r="AA575" s="9">
        <f t="shared" si="116"/>
        <v>572</v>
      </c>
    </row>
    <row r="576" ht="14.25" spans="1:27">
      <c r="A576" s="13">
        <v>546</v>
      </c>
      <c r="B576" s="15">
        <v>11</v>
      </c>
      <c r="C576" s="16">
        <v>52</v>
      </c>
      <c r="D576" s="17" t="s">
        <v>1100</v>
      </c>
      <c r="E576" s="17" t="s">
        <v>1101</v>
      </c>
      <c r="F576" s="174">
        <f>VLOOKUP(D576,原始分!$D:$N,3,0)</f>
        <v>95.5</v>
      </c>
      <c r="G576" s="174">
        <f t="shared" si="104"/>
        <v>422</v>
      </c>
      <c r="H576" s="174">
        <f>VLOOKUP(D576,原始分!$D:$N,4,0)</f>
        <v>99.5</v>
      </c>
      <c r="I576" s="174">
        <f t="shared" si="105"/>
        <v>354</v>
      </c>
      <c r="J576" s="174">
        <f>VLOOKUP(D576,原始分!$D:$N,5,0)</f>
        <v>75</v>
      </c>
      <c r="K576" s="174">
        <f t="shared" si="106"/>
        <v>592</v>
      </c>
      <c r="L576" s="174">
        <f>VLOOKUP(D576,原始分!$D:$N,6,0)</f>
        <v>40.5</v>
      </c>
      <c r="M576" s="174">
        <f t="shared" si="107"/>
        <v>497</v>
      </c>
      <c r="N576" s="174">
        <f>VLOOKUP(D576,原始分!$D:$N,7,0)</f>
        <v>0</v>
      </c>
      <c r="O576" s="174">
        <f t="shared" si="108"/>
        <v>1</v>
      </c>
      <c r="P576" s="174">
        <f>VLOOKUP(D576,原始分!$D:$N,8,0)</f>
        <v>27</v>
      </c>
      <c r="Q576" s="174">
        <f t="shared" si="109"/>
        <v>496</v>
      </c>
      <c r="R576" s="174">
        <f>VLOOKUP(D576,原始分!$D:$N,9,0)</f>
        <v>0</v>
      </c>
      <c r="S576" s="174">
        <f t="shared" si="110"/>
        <v>218</v>
      </c>
      <c r="T576" s="174">
        <f>VLOOKUP(D576,原始分!$D:$N,10,0)</f>
        <v>0</v>
      </c>
      <c r="U576" s="174">
        <f t="shared" si="111"/>
        <v>112</v>
      </c>
      <c r="V576" s="174">
        <f>VLOOKUP(D576,原始分!$D:$N,11,0)</f>
        <v>43.5</v>
      </c>
      <c r="W576" s="174">
        <f t="shared" si="112"/>
        <v>359</v>
      </c>
      <c r="X576" s="11">
        <f t="shared" si="113"/>
        <v>270</v>
      </c>
      <c r="Y576" s="9">
        <f t="shared" si="114"/>
        <v>531</v>
      </c>
      <c r="Z576" s="11">
        <f t="shared" si="115"/>
        <v>381</v>
      </c>
      <c r="AA576" s="9">
        <f t="shared" si="116"/>
        <v>572</v>
      </c>
    </row>
    <row r="577" ht="14.25" spans="1:27">
      <c r="A577" s="13">
        <v>122</v>
      </c>
      <c r="B577" s="15">
        <v>3</v>
      </c>
      <c r="C577" s="16">
        <v>11</v>
      </c>
      <c r="D577" s="17" t="s">
        <v>257</v>
      </c>
      <c r="E577" s="17" t="s">
        <v>258</v>
      </c>
      <c r="F577" s="174">
        <f>VLOOKUP(D577,原始分!$D:$N,3,0)</f>
        <v>91.25</v>
      </c>
      <c r="G577" s="174">
        <f t="shared" si="104"/>
        <v>551</v>
      </c>
      <c r="H577" s="174">
        <f>VLOOKUP(D577,原始分!$D:$N,4,0)</f>
        <v>83.5</v>
      </c>
      <c r="I577" s="174">
        <f t="shared" si="105"/>
        <v>572</v>
      </c>
      <c r="J577" s="174">
        <f>VLOOKUP(D577,原始分!$D:$N,5,0)</f>
        <v>77.75</v>
      </c>
      <c r="K577" s="174">
        <f t="shared" si="106"/>
        <v>570</v>
      </c>
      <c r="L577" s="174">
        <f>VLOOKUP(D577,原始分!$D:$N,6,0)</f>
        <v>41.5</v>
      </c>
      <c r="M577" s="174">
        <f t="shared" si="107"/>
        <v>483</v>
      </c>
      <c r="N577" s="174">
        <f>VLOOKUP(D577,原始分!$D:$N,7,0)</f>
        <v>0</v>
      </c>
      <c r="O577" s="174">
        <f t="shared" si="108"/>
        <v>1</v>
      </c>
      <c r="P577" s="174">
        <f>VLOOKUP(D577,原始分!$D:$N,8,0)</f>
        <v>50</v>
      </c>
      <c r="Q577" s="174">
        <f t="shared" si="109"/>
        <v>108</v>
      </c>
      <c r="R577" s="174">
        <f>VLOOKUP(D577,原始分!$D:$N,9,0)</f>
        <v>36.5</v>
      </c>
      <c r="S577" s="174">
        <f t="shared" si="110"/>
        <v>207</v>
      </c>
      <c r="T577" s="174">
        <f>VLOOKUP(D577,原始分!$D:$N,10,0)</f>
        <v>0</v>
      </c>
      <c r="U577" s="174">
        <f t="shared" si="111"/>
        <v>112</v>
      </c>
      <c r="V577" s="174">
        <f>VLOOKUP(D577,原始分!$D:$N,11,0)</f>
        <v>0</v>
      </c>
      <c r="W577" s="174">
        <f t="shared" si="112"/>
        <v>461</v>
      </c>
      <c r="X577" s="11">
        <f t="shared" si="113"/>
        <v>252.5</v>
      </c>
      <c r="Y577" s="9">
        <f t="shared" si="114"/>
        <v>605</v>
      </c>
      <c r="Z577" s="11">
        <f t="shared" si="115"/>
        <v>380.5</v>
      </c>
      <c r="AA577" s="9">
        <f t="shared" si="116"/>
        <v>575</v>
      </c>
    </row>
    <row r="578" ht="14.25" spans="1:27">
      <c r="A578" s="13">
        <v>607</v>
      </c>
      <c r="B578" s="15">
        <v>12</v>
      </c>
      <c r="C578" s="16">
        <v>57</v>
      </c>
      <c r="D578" s="17" t="s">
        <v>1222</v>
      </c>
      <c r="E578" s="17" t="s">
        <v>1223</v>
      </c>
      <c r="F578" s="174">
        <f>VLOOKUP(D578,原始分!$D:$N,3,0)</f>
        <v>83.5</v>
      </c>
      <c r="G578" s="174">
        <f t="shared" si="104"/>
        <v>644</v>
      </c>
      <c r="H578" s="174">
        <f>VLOOKUP(D578,原始分!$D:$N,4,0)</f>
        <v>89.5</v>
      </c>
      <c r="I578" s="174">
        <f t="shared" si="105"/>
        <v>499</v>
      </c>
      <c r="J578" s="174">
        <f>VLOOKUP(D578,原始分!$D:$N,5,0)</f>
        <v>80</v>
      </c>
      <c r="K578" s="174">
        <f t="shared" si="106"/>
        <v>550</v>
      </c>
      <c r="L578" s="174">
        <f>VLOOKUP(D578,原始分!$D:$N,6,0)</f>
        <v>35.5</v>
      </c>
      <c r="M578" s="174">
        <f t="shared" si="107"/>
        <v>566</v>
      </c>
      <c r="N578" s="174">
        <f>VLOOKUP(D578,原始分!$D:$N,7,0)</f>
        <v>0</v>
      </c>
      <c r="O578" s="174">
        <f t="shared" si="108"/>
        <v>1</v>
      </c>
      <c r="P578" s="174">
        <f>VLOOKUP(D578,原始分!$D:$N,8,0)</f>
        <v>49</v>
      </c>
      <c r="Q578" s="174">
        <f t="shared" si="109"/>
        <v>131</v>
      </c>
      <c r="R578" s="174">
        <f>VLOOKUP(D578,原始分!$D:$N,9,0)</f>
        <v>0</v>
      </c>
      <c r="S578" s="174">
        <f t="shared" si="110"/>
        <v>218</v>
      </c>
      <c r="T578" s="174">
        <f>VLOOKUP(D578,原始分!$D:$N,10,0)</f>
        <v>0</v>
      </c>
      <c r="U578" s="174">
        <f t="shared" si="111"/>
        <v>112</v>
      </c>
      <c r="V578" s="174">
        <f>VLOOKUP(D578,原始分!$D:$N,11,0)</f>
        <v>43</v>
      </c>
      <c r="W578" s="174">
        <f t="shared" si="112"/>
        <v>370</v>
      </c>
      <c r="X578" s="11">
        <f t="shared" si="113"/>
        <v>253</v>
      </c>
      <c r="Y578" s="9">
        <f t="shared" si="114"/>
        <v>603</v>
      </c>
      <c r="Z578" s="11">
        <f t="shared" si="115"/>
        <v>380.5</v>
      </c>
      <c r="AA578" s="9">
        <f t="shared" si="116"/>
        <v>575</v>
      </c>
    </row>
    <row r="579" ht="14.25" spans="1:27">
      <c r="A579" s="13">
        <v>240</v>
      </c>
      <c r="B579" s="15">
        <v>5</v>
      </c>
      <c r="C579" s="16">
        <v>37</v>
      </c>
      <c r="D579" s="17" t="s">
        <v>493</v>
      </c>
      <c r="E579" s="17" t="s">
        <v>494</v>
      </c>
      <c r="F579" s="174">
        <f>VLOOKUP(D579,原始分!$D:$N,3,0)</f>
        <v>90.5</v>
      </c>
      <c r="G579" s="174">
        <f t="shared" ref="G579:G642" si="117">RANK(F579,$F$3:$F$723)</f>
        <v>571</v>
      </c>
      <c r="H579" s="174">
        <f>VLOOKUP(D579,原始分!$D:$N,4,0)</f>
        <v>93.5</v>
      </c>
      <c r="I579" s="174">
        <f t="shared" ref="I579:I642" si="118">RANK(H579,$H$3:$H$723)</f>
        <v>448</v>
      </c>
      <c r="J579" s="174">
        <f>VLOOKUP(D579,原始分!$D:$N,5,0)</f>
        <v>79</v>
      </c>
      <c r="K579" s="174">
        <f t="shared" ref="K579:K642" si="119">RANK(J579,$J$3:$J$723)</f>
        <v>561</v>
      </c>
      <c r="L579" s="174">
        <f>VLOOKUP(D579,原始分!$D:$N,6,0)</f>
        <v>38</v>
      </c>
      <c r="M579" s="174">
        <f t="shared" ref="M579:M642" si="120">RANK(L579,$L$3:$L$723)</f>
        <v>537</v>
      </c>
      <c r="N579" s="174">
        <f>VLOOKUP(D579,原始分!$D:$N,7,0)</f>
        <v>0</v>
      </c>
      <c r="O579" s="174">
        <f t="shared" ref="O579:O642" si="121">RANK(N579,$N$3:$N$723)</f>
        <v>1</v>
      </c>
      <c r="P579" s="174">
        <f>VLOOKUP(D579,原始分!$D:$N,8,0)</f>
        <v>34</v>
      </c>
      <c r="Q579" s="174">
        <f t="shared" ref="Q579:Q642" si="122">RANK(P579,$P$3:$P$723)</f>
        <v>412</v>
      </c>
      <c r="R579" s="174">
        <f>VLOOKUP(D579,原始分!$D:$N,9,0)</f>
        <v>45</v>
      </c>
      <c r="S579" s="174">
        <f t="shared" ref="S579:S642" si="123">RANK(R579,$R$3:$R$723)</f>
        <v>155</v>
      </c>
      <c r="T579" s="174">
        <f>VLOOKUP(D579,原始分!$D:$N,10,0)</f>
        <v>0</v>
      </c>
      <c r="U579" s="174">
        <f t="shared" ref="U579:U642" si="124">RANK(T579,$T$3:$T$723)</f>
        <v>112</v>
      </c>
      <c r="V579" s="174">
        <f>VLOOKUP(D579,原始分!$D:$N,11,0)</f>
        <v>0</v>
      </c>
      <c r="W579" s="174">
        <f t="shared" ref="W579:W642" si="125">RANK(V579,$V$3:$V$723)</f>
        <v>461</v>
      </c>
      <c r="X579" s="11">
        <f t="shared" ref="X579:X642" si="126">SUM(F579,H579,J579)</f>
        <v>263</v>
      </c>
      <c r="Y579" s="9">
        <f t="shared" ref="Y579:Y642" si="127">RANK(X579,$X$3:$X$723)</f>
        <v>569</v>
      </c>
      <c r="Z579" s="11">
        <f t="shared" ref="Z579:Z642" si="128">SUM(F579,H579,J579,L579,N579,P579,R579,T579,V579)</f>
        <v>380</v>
      </c>
      <c r="AA579" s="9">
        <f t="shared" ref="AA579:AA642" si="129">RANK(Z579,$Z$3:$Z$723)</f>
        <v>577</v>
      </c>
    </row>
    <row r="580" ht="14.25" spans="1:27">
      <c r="A580" s="13">
        <v>346</v>
      </c>
      <c r="B580" s="15">
        <v>8</v>
      </c>
      <c r="C580" s="16">
        <v>18</v>
      </c>
      <c r="D580" s="17" t="s">
        <v>703</v>
      </c>
      <c r="E580" s="17" t="s">
        <v>704</v>
      </c>
      <c r="F580" s="174">
        <f>VLOOKUP(D580,原始分!$D:$N,3,0)</f>
        <v>97</v>
      </c>
      <c r="G580" s="174">
        <f t="shared" si="117"/>
        <v>386</v>
      </c>
      <c r="H580" s="174">
        <f>VLOOKUP(D580,原始分!$D:$N,4,0)</f>
        <v>96</v>
      </c>
      <c r="I580" s="174">
        <f t="shared" si="118"/>
        <v>406</v>
      </c>
      <c r="J580" s="174">
        <f>VLOOKUP(D580,原始分!$D:$N,5,0)</f>
        <v>75</v>
      </c>
      <c r="K580" s="174">
        <f t="shared" si="119"/>
        <v>592</v>
      </c>
      <c r="L580" s="174">
        <f>VLOOKUP(D580,原始分!$D:$N,6,0)</f>
        <v>40.5</v>
      </c>
      <c r="M580" s="174">
        <f t="shared" si="120"/>
        <v>497</v>
      </c>
      <c r="N580" s="174">
        <f>VLOOKUP(D580,原始分!$D:$N,7,0)</f>
        <v>0</v>
      </c>
      <c r="O580" s="174">
        <f t="shared" si="121"/>
        <v>1</v>
      </c>
      <c r="P580" s="174">
        <f>VLOOKUP(D580,原始分!$D:$N,8,0)</f>
        <v>28</v>
      </c>
      <c r="Q580" s="174">
        <f t="shared" si="122"/>
        <v>491</v>
      </c>
      <c r="R580" s="174">
        <f>VLOOKUP(D580,原始分!$D:$N,9,0)</f>
        <v>0</v>
      </c>
      <c r="S580" s="174">
        <f t="shared" si="123"/>
        <v>218</v>
      </c>
      <c r="T580" s="174">
        <f>VLOOKUP(D580,原始分!$D:$N,10,0)</f>
        <v>0</v>
      </c>
      <c r="U580" s="174">
        <f t="shared" si="124"/>
        <v>112</v>
      </c>
      <c r="V580" s="174">
        <f>VLOOKUP(D580,原始分!$D:$N,11,0)</f>
        <v>43.5</v>
      </c>
      <c r="W580" s="174">
        <f t="shared" si="125"/>
        <v>359</v>
      </c>
      <c r="X580" s="11">
        <f t="shared" si="126"/>
        <v>268</v>
      </c>
      <c r="Y580" s="9">
        <f t="shared" si="127"/>
        <v>541</v>
      </c>
      <c r="Z580" s="11">
        <f t="shared" si="128"/>
        <v>380</v>
      </c>
      <c r="AA580" s="9">
        <f t="shared" si="129"/>
        <v>577</v>
      </c>
    </row>
    <row r="581" ht="14.25" spans="1:27">
      <c r="A581" s="13">
        <v>166</v>
      </c>
      <c r="B581" s="15">
        <v>4</v>
      </c>
      <c r="C581" s="16">
        <v>7</v>
      </c>
      <c r="D581" s="17" t="s">
        <v>345</v>
      </c>
      <c r="E581" s="17" t="s">
        <v>346</v>
      </c>
      <c r="F581" s="174">
        <f>VLOOKUP(D581,原始分!$D:$N,3,0)</f>
        <v>78</v>
      </c>
      <c r="G581" s="174">
        <f t="shared" si="117"/>
        <v>655</v>
      </c>
      <c r="H581" s="174">
        <f>VLOOKUP(D581,原始分!$D:$N,4,0)</f>
        <v>98</v>
      </c>
      <c r="I581" s="174">
        <f t="shared" si="118"/>
        <v>375</v>
      </c>
      <c r="J581" s="174">
        <f>VLOOKUP(D581,原始分!$D:$N,5,0)</f>
        <v>88.75</v>
      </c>
      <c r="K581" s="174">
        <f t="shared" si="119"/>
        <v>433</v>
      </c>
      <c r="L581" s="174">
        <f>VLOOKUP(D581,原始分!$D:$N,6,0)</f>
        <v>40</v>
      </c>
      <c r="M581" s="174">
        <f t="shared" si="120"/>
        <v>506</v>
      </c>
      <c r="N581" s="174">
        <f>VLOOKUP(D581,原始分!$D:$N,7,0)</f>
        <v>0</v>
      </c>
      <c r="O581" s="174">
        <f t="shared" si="121"/>
        <v>1</v>
      </c>
      <c r="P581" s="174">
        <f>VLOOKUP(D581,原始分!$D:$N,8,0)</f>
        <v>32</v>
      </c>
      <c r="Q581" s="174">
        <f t="shared" si="122"/>
        <v>453</v>
      </c>
      <c r="R581" s="174">
        <f>VLOOKUP(D581,原始分!$D:$N,9,0)</f>
        <v>43</v>
      </c>
      <c r="S581" s="174">
        <f t="shared" si="123"/>
        <v>176</v>
      </c>
      <c r="T581" s="174">
        <f>VLOOKUP(D581,原始分!$D:$N,10,0)</f>
        <v>0</v>
      </c>
      <c r="U581" s="174">
        <f t="shared" si="124"/>
        <v>112</v>
      </c>
      <c r="V581" s="174">
        <f>VLOOKUP(D581,原始分!$D:$N,11,0)</f>
        <v>0</v>
      </c>
      <c r="W581" s="174">
        <f t="shared" si="125"/>
        <v>461</v>
      </c>
      <c r="X581" s="11">
        <f t="shared" si="126"/>
        <v>264.75</v>
      </c>
      <c r="Y581" s="9">
        <f t="shared" si="127"/>
        <v>557</v>
      </c>
      <c r="Z581" s="11">
        <f t="shared" si="128"/>
        <v>379.75</v>
      </c>
      <c r="AA581" s="9">
        <f t="shared" si="129"/>
        <v>579</v>
      </c>
    </row>
    <row r="582" ht="14.25" spans="1:27">
      <c r="A582" s="13">
        <v>163</v>
      </c>
      <c r="B582" s="15">
        <v>4</v>
      </c>
      <c r="C582" s="16">
        <v>4</v>
      </c>
      <c r="D582" s="17" t="s">
        <v>339</v>
      </c>
      <c r="E582" s="17" t="s">
        <v>340</v>
      </c>
      <c r="F582" s="174">
        <f>VLOOKUP(D582,原始分!$D:$N,3,0)</f>
        <v>91.5</v>
      </c>
      <c r="G582" s="174">
        <f t="shared" si="117"/>
        <v>538</v>
      </c>
      <c r="H582" s="174">
        <f>VLOOKUP(D582,原始分!$D:$N,4,0)</f>
        <v>88.5</v>
      </c>
      <c r="I582" s="174">
        <f t="shared" si="118"/>
        <v>514</v>
      </c>
      <c r="J582" s="174">
        <f>VLOOKUP(D582,原始分!$D:$N,5,0)</f>
        <v>74</v>
      </c>
      <c r="K582" s="174">
        <f t="shared" si="119"/>
        <v>600</v>
      </c>
      <c r="L582" s="174">
        <f>VLOOKUP(D582,原始分!$D:$N,6,0)</f>
        <v>35</v>
      </c>
      <c r="M582" s="174">
        <f t="shared" si="120"/>
        <v>572</v>
      </c>
      <c r="N582" s="174">
        <f>VLOOKUP(D582,原始分!$D:$N,7,0)</f>
        <v>0</v>
      </c>
      <c r="O582" s="174">
        <f t="shared" si="121"/>
        <v>1</v>
      </c>
      <c r="P582" s="174">
        <f>VLOOKUP(D582,原始分!$D:$N,8,0)</f>
        <v>33</v>
      </c>
      <c r="Q582" s="174">
        <f t="shared" si="122"/>
        <v>433</v>
      </c>
      <c r="R582" s="174">
        <f>VLOOKUP(D582,原始分!$D:$N,9,0)</f>
        <v>57.5</v>
      </c>
      <c r="S582" s="174">
        <f t="shared" si="123"/>
        <v>25</v>
      </c>
      <c r="T582" s="174">
        <f>VLOOKUP(D582,原始分!$D:$N,10,0)</f>
        <v>0</v>
      </c>
      <c r="U582" s="174">
        <f t="shared" si="124"/>
        <v>112</v>
      </c>
      <c r="V582" s="174">
        <f>VLOOKUP(D582,原始分!$D:$N,11,0)</f>
        <v>0</v>
      </c>
      <c r="W582" s="174">
        <f t="shared" si="125"/>
        <v>461</v>
      </c>
      <c r="X582" s="11">
        <f t="shared" si="126"/>
        <v>254</v>
      </c>
      <c r="Y582" s="9">
        <f t="shared" si="127"/>
        <v>599</v>
      </c>
      <c r="Z582" s="11">
        <f t="shared" si="128"/>
        <v>379.5</v>
      </c>
      <c r="AA582" s="9">
        <f t="shared" si="129"/>
        <v>580</v>
      </c>
    </row>
    <row r="583" ht="14.25" spans="1:27">
      <c r="A583" s="13">
        <v>602</v>
      </c>
      <c r="B583" s="15">
        <v>12</v>
      </c>
      <c r="C583" s="16">
        <v>52</v>
      </c>
      <c r="D583" s="17" t="s">
        <v>1212</v>
      </c>
      <c r="E583" s="17" t="s">
        <v>1213</v>
      </c>
      <c r="F583" s="174">
        <f>VLOOKUP(D583,原始分!$D:$N,3,0)</f>
        <v>99</v>
      </c>
      <c r="G583" s="174">
        <f t="shared" si="117"/>
        <v>304</v>
      </c>
      <c r="H583" s="174">
        <f>VLOOKUP(D583,原始分!$D:$N,4,0)</f>
        <v>105.5</v>
      </c>
      <c r="I583" s="174">
        <f t="shared" si="118"/>
        <v>265</v>
      </c>
      <c r="J583" s="174">
        <f>VLOOKUP(D583,原始分!$D:$N,5,0)</f>
        <v>59.5</v>
      </c>
      <c r="K583" s="174">
        <f t="shared" si="119"/>
        <v>649</v>
      </c>
      <c r="L583" s="174">
        <f>VLOOKUP(D583,原始分!$D:$N,6,0)</f>
        <v>45</v>
      </c>
      <c r="M583" s="174">
        <f t="shared" si="120"/>
        <v>424</v>
      </c>
      <c r="N583" s="174">
        <f>VLOOKUP(D583,原始分!$D:$N,7,0)</f>
        <v>0</v>
      </c>
      <c r="O583" s="174">
        <f t="shared" si="121"/>
        <v>1</v>
      </c>
      <c r="P583" s="174">
        <f>VLOOKUP(D583,原始分!$D:$N,8,0)</f>
        <v>26.5</v>
      </c>
      <c r="Q583" s="174">
        <f t="shared" si="122"/>
        <v>502</v>
      </c>
      <c r="R583" s="174">
        <f>VLOOKUP(D583,原始分!$D:$N,9,0)</f>
        <v>0</v>
      </c>
      <c r="S583" s="174">
        <f t="shared" si="123"/>
        <v>218</v>
      </c>
      <c r="T583" s="174">
        <f>VLOOKUP(D583,原始分!$D:$N,10,0)</f>
        <v>0</v>
      </c>
      <c r="U583" s="174">
        <f t="shared" si="124"/>
        <v>112</v>
      </c>
      <c r="V583" s="174">
        <f>VLOOKUP(D583,原始分!$D:$N,11,0)</f>
        <v>44</v>
      </c>
      <c r="W583" s="174">
        <f t="shared" si="125"/>
        <v>350</v>
      </c>
      <c r="X583" s="11">
        <f t="shared" si="126"/>
        <v>264</v>
      </c>
      <c r="Y583" s="9">
        <f t="shared" si="127"/>
        <v>562</v>
      </c>
      <c r="Z583" s="11">
        <f t="shared" si="128"/>
        <v>379.5</v>
      </c>
      <c r="AA583" s="9">
        <f t="shared" si="129"/>
        <v>580</v>
      </c>
    </row>
    <row r="584" ht="14.25" spans="1:27">
      <c r="A584" s="13">
        <v>56</v>
      </c>
      <c r="B584" s="15">
        <v>1</v>
      </c>
      <c r="C584" s="16">
        <v>58</v>
      </c>
      <c r="D584" s="17" t="s">
        <v>126</v>
      </c>
      <c r="E584" s="17" t="s">
        <v>127</v>
      </c>
      <c r="F584" s="174">
        <f>VLOOKUP(D584,原始分!$D:$N,3,0)</f>
        <v>91</v>
      </c>
      <c r="G584" s="174">
        <f t="shared" si="117"/>
        <v>555</v>
      </c>
      <c r="H584" s="174">
        <f>VLOOKUP(D584,原始分!$D:$N,4,0)</f>
        <v>86</v>
      </c>
      <c r="I584" s="174">
        <f t="shared" si="118"/>
        <v>550</v>
      </c>
      <c r="J584" s="174">
        <f>VLOOKUP(D584,原始分!$D:$N,5,0)</f>
        <v>84.25</v>
      </c>
      <c r="K584" s="174">
        <f t="shared" si="119"/>
        <v>500</v>
      </c>
      <c r="L584" s="174">
        <f>VLOOKUP(D584,原始分!$D:$N,6,0)</f>
        <v>36.5</v>
      </c>
      <c r="M584" s="174">
        <f t="shared" si="120"/>
        <v>554</v>
      </c>
      <c r="N584" s="174">
        <f>VLOOKUP(D584,原始分!$D:$N,7,0)</f>
        <v>0</v>
      </c>
      <c r="O584" s="174">
        <f t="shared" si="121"/>
        <v>1</v>
      </c>
      <c r="P584" s="174">
        <f>VLOOKUP(D584,原始分!$D:$N,8,0)</f>
        <v>33</v>
      </c>
      <c r="Q584" s="174">
        <f t="shared" si="122"/>
        <v>433</v>
      </c>
      <c r="R584" s="174">
        <f>VLOOKUP(D584,原始分!$D:$N,9,0)</f>
        <v>0</v>
      </c>
      <c r="S584" s="174">
        <f t="shared" si="123"/>
        <v>218</v>
      </c>
      <c r="T584" s="174">
        <f>VLOOKUP(D584,原始分!$D:$N,10,0)</f>
        <v>47.75</v>
      </c>
      <c r="U584" s="174">
        <f t="shared" si="124"/>
        <v>91</v>
      </c>
      <c r="V584" s="174">
        <f>VLOOKUP(D584,原始分!$D:$N,11,0)</f>
        <v>0</v>
      </c>
      <c r="W584" s="174">
        <f t="shared" si="125"/>
        <v>461</v>
      </c>
      <c r="X584" s="11">
        <f t="shared" si="126"/>
        <v>261.25</v>
      </c>
      <c r="Y584" s="9">
        <f t="shared" si="127"/>
        <v>576</v>
      </c>
      <c r="Z584" s="11">
        <f t="shared" si="128"/>
        <v>378.5</v>
      </c>
      <c r="AA584" s="9">
        <f t="shared" si="129"/>
        <v>582</v>
      </c>
    </row>
    <row r="585" ht="14.25" spans="1:27">
      <c r="A585" s="13">
        <v>150</v>
      </c>
      <c r="B585" s="15">
        <v>3</v>
      </c>
      <c r="C585" s="16">
        <v>39</v>
      </c>
      <c r="D585" s="17" t="s">
        <v>313</v>
      </c>
      <c r="E585" s="17" t="s">
        <v>314</v>
      </c>
      <c r="F585" s="174">
        <f>VLOOKUP(D585,原始分!$D:$N,3,0)</f>
        <v>93.5</v>
      </c>
      <c r="G585" s="174">
        <f t="shared" si="117"/>
        <v>491</v>
      </c>
      <c r="H585" s="174">
        <f>VLOOKUP(D585,原始分!$D:$N,4,0)</f>
        <v>71</v>
      </c>
      <c r="I585" s="174">
        <f t="shared" si="118"/>
        <v>631</v>
      </c>
      <c r="J585" s="174">
        <f>VLOOKUP(D585,原始分!$D:$N,5,0)</f>
        <v>89.5</v>
      </c>
      <c r="K585" s="174">
        <f t="shared" si="119"/>
        <v>426</v>
      </c>
      <c r="L585" s="174">
        <f>VLOOKUP(D585,原始分!$D:$N,6,0)</f>
        <v>29</v>
      </c>
      <c r="M585" s="174">
        <f t="shared" si="120"/>
        <v>618</v>
      </c>
      <c r="N585" s="174">
        <f>VLOOKUP(D585,原始分!$D:$N,7,0)</f>
        <v>0</v>
      </c>
      <c r="O585" s="174">
        <f t="shared" si="121"/>
        <v>1</v>
      </c>
      <c r="P585" s="174">
        <f>VLOOKUP(D585,原始分!$D:$N,8,0)</f>
        <v>36</v>
      </c>
      <c r="Q585" s="174">
        <f t="shared" si="122"/>
        <v>384</v>
      </c>
      <c r="R585" s="174">
        <f>VLOOKUP(D585,原始分!$D:$N,9,0)</f>
        <v>59.5</v>
      </c>
      <c r="S585" s="174">
        <f t="shared" si="123"/>
        <v>16</v>
      </c>
      <c r="T585" s="174">
        <f>VLOOKUP(D585,原始分!$D:$N,10,0)</f>
        <v>0</v>
      </c>
      <c r="U585" s="174">
        <f t="shared" si="124"/>
        <v>112</v>
      </c>
      <c r="V585" s="174">
        <f>VLOOKUP(D585,原始分!$D:$N,11,0)</f>
        <v>0</v>
      </c>
      <c r="W585" s="174">
        <f t="shared" si="125"/>
        <v>461</v>
      </c>
      <c r="X585" s="11">
        <f t="shared" si="126"/>
        <v>254</v>
      </c>
      <c r="Y585" s="9">
        <f t="shared" si="127"/>
        <v>599</v>
      </c>
      <c r="Z585" s="11">
        <f t="shared" si="128"/>
        <v>378.5</v>
      </c>
      <c r="AA585" s="9">
        <f t="shared" si="129"/>
        <v>582</v>
      </c>
    </row>
    <row r="586" ht="14.25" spans="1:27">
      <c r="A586" s="13">
        <v>614</v>
      </c>
      <c r="B586" s="15">
        <v>13</v>
      </c>
      <c r="C586" s="16">
        <v>5</v>
      </c>
      <c r="D586" s="17" t="s">
        <v>1236</v>
      </c>
      <c r="E586" s="17" t="s">
        <v>1237</v>
      </c>
      <c r="F586" s="174">
        <f>VLOOKUP(D586,原始分!$D:$N,3,0)</f>
        <v>103.5</v>
      </c>
      <c r="G586" s="174">
        <f t="shared" si="117"/>
        <v>146</v>
      </c>
      <c r="H586" s="174">
        <f>VLOOKUP(D586,原始分!$D:$N,4,0)</f>
        <v>62.5</v>
      </c>
      <c r="I586" s="174">
        <f t="shared" si="118"/>
        <v>647</v>
      </c>
      <c r="J586" s="174">
        <f>VLOOKUP(D586,原始分!$D:$N,5,0)</f>
        <v>106.5</v>
      </c>
      <c r="K586" s="174">
        <f t="shared" si="119"/>
        <v>145</v>
      </c>
      <c r="L586" s="174">
        <f>VLOOKUP(D586,原始分!$D:$N,6,0)</f>
        <v>29.5</v>
      </c>
      <c r="M586" s="174">
        <f t="shared" si="120"/>
        <v>615</v>
      </c>
      <c r="N586" s="174">
        <f>VLOOKUP(D586,原始分!$D:$N,7,0)</f>
        <v>0</v>
      </c>
      <c r="O586" s="174">
        <f t="shared" si="121"/>
        <v>1</v>
      </c>
      <c r="P586" s="174">
        <f>VLOOKUP(D586,原始分!$D:$N,8,0)</f>
        <v>34.5</v>
      </c>
      <c r="Q586" s="174">
        <f t="shared" si="122"/>
        <v>407</v>
      </c>
      <c r="R586" s="174">
        <f>VLOOKUP(D586,原始分!$D:$N,9,0)</f>
        <v>0</v>
      </c>
      <c r="S586" s="174">
        <f t="shared" si="123"/>
        <v>218</v>
      </c>
      <c r="T586" s="174">
        <f>VLOOKUP(D586,原始分!$D:$N,10,0)</f>
        <v>0</v>
      </c>
      <c r="U586" s="174">
        <f t="shared" si="124"/>
        <v>112</v>
      </c>
      <c r="V586" s="174">
        <f>VLOOKUP(D586,原始分!$D:$N,11,0)</f>
        <v>42</v>
      </c>
      <c r="W586" s="174">
        <f t="shared" si="125"/>
        <v>383</v>
      </c>
      <c r="X586" s="11">
        <f t="shared" si="126"/>
        <v>272.5</v>
      </c>
      <c r="Y586" s="9">
        <f t="shared" si="127"/>
        <v>510</v>
      </c>
      <c r="Z586" s="11">
        <f t="shared" si="128"/>
        <v>378.5</v>
      </c>
      <c r="AA586" s="9">
        <f t="shared" si="129"/>
        <v>582</v>
      </c>
    </row>
    <row r="587" ht="14.25" spans="1:27">
      <c r="A587" s="13">
        <v>100</v>
      </c>
      <c r="B587" s="15">
        <v>2</v>
      </c>
      <c r="C587" s="16">
        <v>37</v>
      </c>
      <c r="D587" s="17" t="s">
        <v>213</v>
      </c>
      <c r="E587" s="17" t="s">
        <v>214</v>
      </c>
      <c r="F587" s="174">
        <f>VLOOKUP(D587,原始分!$D:$N,3,0)</f>
        <v>90</v>
      </c>
      <c r="G587" s="174">
        <f t="shared" si="117"/>
        <v>581</v>
      </c>
      <c r="H587" s="174">
        <f>VLOOKUP(D587,原始分!$D:$N,4,0)</f>
        <v>66</v>
      </c>
      <c r="I587" s="174">
        <f t="shared" si="118"/>
        <v>640</v>
      </c>
      <c r="J587" s="174">
        <f>VLOOKUP(D587,原始分!$D:$N,5,0)</f>
        <v>63.75</v>
      </c>
      <c r="K587" s="174">
        <f t="shared" si="119"/>
        <v>643</v>
      </c>
      <c r="L587" s="174">
        <f>VLOOKUP(D587,原始分!$D:$N,6,0)</f>
        <v>49</v>
      </c>
      <c r="M587" s="174">
        <f t="shared" si="120"/>
        <v>354</v>
      </c>
      <c r="N587" s="174">
        <f>VLOOKUP(D587,原始分!$D:$N,7,0)</f>
        <v>0</v>
      </c>
      <c r="O587" s="174">
        <f t="shared" si="121"/>
        <v>1</v>
      </c>
      <c r="P587" s="174">
        <f>VLOOKUP(D587,原始分!$D:$N,8,0)</f>
        <v>0</v>
      </c>
      <c r="Q587" s="174">
        <f t="shared" si="122"/>
        <v>539</v>
      </c>
      <c r="R587" s="174">
        <f>VLOOKUP(D587,原始分!$D:$N,9,0)</f>
        <v>0</v>
      </c>
      <c r="S587" s="174">
        <f t="shared" si="123"/>
        <v>218</v>
      </c>
      <c r="T587" s="174">
        <f>VLOOKUP(D587,原始分!$D:$N,10,0)</f>
        <v>50.5</v>
      </c>
      <c r="U587" s="174">
        <f t="shared" si="124"/>
        <v>76</v>
      </c>
      <c r="V587" s="174">
        <f>VLOOKUP(D587,原始分!$D:$N,11,0)</f>
        <v>59</v>
      </c>
      <c r="W587" s="174">
        <f t="shared" si="125"/>
        <v>90</v>
      </c>
      <c r="X587" s="11">
        <f t="shared" si="126"/>
        <v>219.75</v>
      </c>
      <c r="Y587" s="9">
        <f t="shared" si="127"/>
        <v>653</v>
      </c>
      <c r="Z587" s="11">
        <f t="shared" si="128"/>
        <v>378.25</v>
      </c>
      <c r="AA587" s="9">
        <f t="shared" si="129"/>
        <v>585</v>
      </c>
    </row>
    <row r="588" ht="14.25" spans="1:27">
      <c r="A588" s="13">
        <v>369</v>
      </c>
      <c r="B588" s="15">
        <v>8</v>
      </c>
      <c r="C588" s="16">
        <v>43</v>
      </c>
      <c r="D588" s="17" t="s">
        <v>748</v>
      </c>
      <c r="E588" s="17" t="s">
        <v>749</v>
      </c>
      <c r="F588" s="174">
        <f>VLOOKUP(D588,原始分!$D:$N,3,0)</f>
        <v>90.5</v>
      </c>
      <c r="G588" s="174">
        <f t="shared" si="117"/>
        <v>571</v>
      </c>
      <c r="H588" s="174">
        <f>VLOOKUP(D588,原始分!$D:$N,4,0)</f>
        <v>82.5</v>
      </c>
      <c r="I588" s="174">
        <f t="shared" si="118"/>
        <v>581</v>
      </c>
      <c r="J588" s="174">
        <f>VLOOKUP(D588,原始分!$D:$N,5,0)</f>
        <v>94.5</v>
      </c>
      <c r="K588" s="174">
        <f t="shared" si="119"/>
        <v>349</v>
      </c>
      <c r="L588" s="174">
        <f>VLOOKUP(D588,原始分!$D:$N,6,0)</f>
        <v>51</v>
      </c>
      <c r="M588" s="174">
        <f t="shared" si="120"/>
        <v>320</v>
      </c>
      <c r="N588" s="174">
        <f>VLOOKUP(D588,原始分!$D:$N,7,0)</f>
        <v>0</v>
      </c>
      <c r="O588" s="174">
        <f t="shared" si="121"/>
        <v>1</v>
      </c>
      <c r="P588" s="174">
        <f>VLOOKUP(D588,原始分!$D:$N,8,0)</f>
        <v>30</v>
      </c>
      <c r="Q588" s="174">
        <f t="shared" si="122"/>
        <v>472</v>
      </c>
      <c r="R588" s="174">
        <f>VLOOKUP(D588,原始分!$D:$N,9,0)</f>
        <v>0</v>
      </c>
      <c r="S588" s="174">
        <f t="shared" si="123"/>
        <v>218</v>
      </c>
      <c r="T588" s="174">
        <f>VLOOKUP(D588,原始分!$D:$N,10,0)</f>
        <v>0</v>
      </c>
      <c r="U588" s="174">
        <f t="shared" si="124"/>
        <v>112</v>
      </c>
      <c r="V588" s="174">
        <f>VLOOKUP(D588,原始分!$D:$N,11,0)</f>
        <v>29.5</v>
      </c>
      <c r="W588" s="174">
        <f t="shared" si="125"/>
        <v>452</v>
      </c>
      <c r="X588" s="11">
        <f t="shared" si="126"/>
        <v>267.5</v>
      </c>
      <c r="Y588" s="9">
        <f t="shared" si="127"/>
        <v>543</v>
      </c>
      <c r="Z588" s="11">
        <f t="shared" si="128"/>
        <v>378</v>
      </c>
      <c r="AA588" s="9">
        <f t="shared" si="129"/>
        <v>586</v>
      </c>
    </row>
    <row r="589" ht="14.25" spans="1:27">
      <c r="A589" s="13">
        <v>271</v>
      </c>
      <c r="B589" s="15">
        <v>6</v>
      </c>
      <c r="C589" s="16">
        <v>23</v>
      </c>
      <c r="D589" s="17" t="s">
        <v>553</v>
      </c>
      <c r="E589" s="17" t="s">
        <v>554</v>
      </c>
      <c r="F589" s="174">
        <f>VLOOKUP(D589,原始分!$D:$N,3,0)</f>
        <v>108</v>
      </c>
      <c r="G589" s="174">
        <f t="shared" si="117"/>
        <v>44</v>
      </c>
      <c r="H589" s="174">
        <f>VLOOKUP(D589,原始分!$D:$N,4,0)</f>
        <v>87.5</v>
      </c>
      <c r="I589" s="174">
        <f t="shared" si="118"/>
        <v>530</v>
      </c>
      <c r="J589" s="174">
        <f>VLOOKUP(D589,原始分!$D:$N,5,0)</f>
        <v>52.5</v>
      </c>
      <c r="K589" s="174">
        <f t="shared" si="119"/>
        <v>656</v>
      </c>
      <c r="L589" s="174">
        <f>VLOOKUP(D589,原始分!$D:$N,6,0)</f>
        <v>53.5</v>
      </c>
      <c r="M589" s="174">
        <f t="shared" si="120"/>
        <v>292</v>
      </c>
      <c r="N589" s="174">
        <f>VLOOKUP(D589,原始分!$D:$N,7,0)</f>
        <v>0</v>
      </c>
      <c r="O589" s="174">
        <f t="shared" si="121"/>
        <v>1</v>
      </c>
      <c r="P589" s="174">
        <f>VLOOKUP(D589,原始分!$D:$N,8,0)</f>
        <v>0</v>
      </c>
      <c r="Q589" s="174">
        <f t="shared" si="122"/>
        <v>539</v>
      </c>
      <c r="R589" s="174">
        <f>VLOOKUP(D589,原始分!$D:$N,9,0)</f>
        <v>39.25</v>
      </c>
      <c r="S589" s="174">
        <f t="shared" si="123"/>
        <v>199</v>
      </c>
      <c r="T589" s="174">
        <f>VLOOKUP(D589,原始分!$D:$N,10,0)</f>
        <v>0</v>
      </c>
      <c r="U589" s="174">
        <f t="shared" si="124"/>
        <v>112</v>
      </c>
      <c r="V589" s="174">
        <f>VLOOKUP(D589,原始分!$D:$N,11,0)</f>
        <v>37</v>
      </c>
      <c r="W589" s="174">
        <f t="shared" si="125"/>
        <v>420</v>
      </c>
      <c r="X589" s="11">
        <f t="shared" si="126"/>
        <v>248</v>
      </c>
      <c r="Y589" s="9">
        <f t="shared" si="127"/>
        <v>613</v>
      </c>
      <c r="Z589" s="11">
        <f t="shared" si="128"/>
        <v>377.75</v>
      </c>
      <c r="AA589" s="9">
        <f t="shared" si="129"/>
        <v>587</v>
      </c>
    </row>
    <row r="590" ht="14.25" spans="1:27">
      <c r="A590" s="13">
        <v>521</v>
      </c>
      <c r="B590" s="15">
        <v>11</v>
      </c>
      <c r="C590" s="16">
        <v>26</v>
      </c>
      <c r="D590" s="17" t="s">
        <v>1052</v>
      </c>
      <c r="E590" s="17" t="s">
        <v>1053</v>
      </c>
      <c r="F590" s="174">
        <f>VLOOKUP(D590,原始分!$D:$N,3,0)</f>
        <v>98.5</v>
      </c>
      <c r="G590" s="174">
        <f t="shared" si="117"/>
        <v>324</v>
      </c>
      <c r="H590" s="174">
        <f>VLOOKUP(D590,原始分!$D:$N,4,0)</f>
        <v>96</v>
      </c>
      <c r="I590" s="174">
        <f t="shared" si="118"/>
        <v>406</v>
      </c>
      <c r="J590" s="174">
        <f>VLOOKUP(D590,原始分!$D:$N,5,0)</f>
        <v>87.5</v>
      </c>
      <c r="K590" s="174">
        <f t="shared" si="119"/>
        <v>448</v>
      </c>
      <c r="L590" s="174">
        <f>VLOOKUP(D590,原始分!$D:$N,6,0)</f>
        <v>31</v>
      </c>
      <c r="M590" s="174">
        <f t="shared" si="120"/>
        <v>609</v>
      </c>
      <c r="N590" s="174">
        <f>VLOOKUP(D590,原始分!$D:$N,7,0)</f>
        <v>0</v>
      </c>
      <c r="O590" s="174">
        <f t="shared" si="121"/>
        <v>1</v>
      </c>
      <c r="P590" s="174">
        <f>VLOOKUP(D590,原始分!$D:$N,8,0)</f>
        <v>22.5</v>
      </c>
      <c r="Q590" s="174">
        <f t="shared" si="122"/>
        <v>519</v>
      </c>
      <c r="R590" s="174">
        <f>VLOOKUP(D590,原始分!$D:$N,9,0)</f>
        <v>0</v>
      </c>
      <c r="S590" s="174">
        <f t="shared" si="123"/>
        <v>218</v>
      </c>
      <c r="T590" s="174">
        <f>VLOOKUP(D590,原始分!$D:$N,10,0)</f>
        <v>0</v>
      </c>
      <c r="U590" s="174">
        <f t="shared" si="124"/>
        <v>112</v>
      </c>
      <c r="V590" s="174">
        <f>VLOOKUP(D590,原始分!$D:$N,11,0)</f>
        <v>42</v>
      </c>
      <c r="W590" s="174">
        <f t="shared" si="125"/>
        <v>383</v>
      </c>
      <c r="X590" s="11">
        <f t="shared" si="126"/>
        <v>282</v>
      </c>
      <c r="Y590" s="9">
        <f t="shared" si="127"/>
        <v>432</v>
      </c>
      <c r="Z590" s="11">
        <f t="shared" si="128"/>
        <v>377.5</v>
      </c>
      <c r="AA590" s="9">
        <f t="shared" si="129"/>
        <v>588</v>
      </c>
    </row>
    <row r="591" ht="14.25" spans="1:27">
      <c r="A591" s="13">
        <v>334</v>
      </c>
      <c r="B591" s="15">
        <v>8</v>
      </c>
      <c r="C591" s="16">
        <v>6</v>
      </c>
      <c r="D591" s="17" t="s">
        <v>679</v>
      </c>
      <c r="E591" s="17" t="s">
        <v>680</v>
      </c>
      <c r="F591" s="174">
        <f>VLOOKUP(D591,原始分!$D:$N,3,0)</f>
        <v>96</v>
      </c>
      <c r="G591" s="174">
        <f t="shared" si="117"/>
        <v>407</v>
      </c>
      <c r="H591" s="174">
        <f>VLOOKUP(D591,原始分!$D:$N,4,0)</f>
        <v>91</v>
      </c>
      <c r="I591" s="174">
        <f t="shared" si="118"/>
        <v>479</v>
      </c>
      <c r="J591" s="174">
        <f>VLOOKUP(D591,原始分!$D:$N,5,0)</f>
        <v>84.75</v>
      </c>
      <c r="K591" s="174">
        <f t="shared" si="119"/>
        <v>492</v>
      </c>
      <c r="L591" s="174">
        <f>VLOOKUP(D591,原始分!$D:$N,6,0)</f>
        <v>38.5</v>
      </c>
      <c r="M591" s="174">
        <f t="shared" si="120"/>
        <v>528</v>
      </c>
      <c r="N591" s="174">
        <f>VLOOKUP(D591,原始分!$D:$N,7,0)</f>
        <v>0</v>
      </c>
      <c r="O591" s="174">
        <f t="shared" si="121"/>
        <v>1</v>
      </c>
      <c r="P591" s="174">
        <f>VLOOKUP(D591,原始分!$D:$N,8,0)</f>
        <v>19.5</v>
      </c>
      <c r="Q591" s="174">
        <f t="shared" si="122"/>
        <v>534</v>
      </c>
      <c r="R591" s="174">
        <f>VLOOKUP(D591,原始分!$D:$N,9,0)</f>
        <v>0</v>
      </c>
      <c r="S591" s="174">
        <f t="shared" si="123"/>
        <v>218</v>
      </c>
      <c r="T591" s="174">
        <f>VLOOKUP(D591,原始分!$D:$N,10,0)</f>
        <v>0</v>
      </c>
      <c r="U591" s="174">
        <f t="shared" si="124"/>
        <v>112</v>
      </c>
      <c r="V591" s="174">
        <f>VLOOKUP(D591,原始分!$D:$N,11,0)</f>
        <v>47.5</v>
      </c>
      <c r="W591" s="174">
        <f t="shared" si="125"/>
        <v>287</v>
      </c>
      <c r="X591" s="11">
        <f t="shared" si="126"/>
        <v>271.75</v>
      </c>
      <c r="Y591" s="9">
        <f t="shared" si="127"/>
        <v>517</v>
      </c>
      <c r="Z591" s="11">
        <f t="shared" si="128"/>
        <v>377.25</v>
      </c>
      <c r="AA591" s="9">
        <f t="shared" si="129"/>
        <v>589</v>
      </c>
    </row>
    <row r="592" ht="14.25" spans="1:27">
      <c r="A592" s="13">
        <v>633</v>
      </c>
      <c r="B592" s="15">
        <v>13</v>
      </c>
      <c r="C592" s="16">
        <v>26</v>
      </c>
      <c r="D592" s="17" t="s">
        <v>1274</v>
      </c>
      <c r="E592" s="17" t="s">
        <v>1275</v>
      </c>
      <c r="F592" s="174">
        <f>VLOOKUP(D592,原始分!$D:$N,3,0)</f>
        <v>84.5</v>
      </c>
      <c r="G592" s="174">
        <f t="shared" si="117"/>
        <v>636</v>
      </c>
      <c r="H592" s="174">
        <f>VLOOKUP(D592,原始分!$D:$N,4,0)</f>
        <v>83</v>
      </c>
      <c r="I592" s="174">
        <f t="shared" si="118"/>
        <v>577</v>
      </c>
      <c r="J592" s="174">
        <f>VLOOKUP(D592,原始分!$D:$N,5,0)</f>
        <v>88.25</v>
      </c>
      <c r="K592" s="174">
        <f t="shared" si="119"/>
        <v>441</v>
      </c>
      <c r="L592" s="174">
        <f>VLOOKUP(D592,原始分!$D:$N,6,0)</f>
        <v>42</v>
      </c>
      <c r="M592" s="174">
        <f t="shared" si="120"/>
        <v>476</v>
      </c>
      <c r="N592" s="174">
        <f>VLOOKUP(D592,原始分!$D:$N,7,0)</f>
        <v>0</v>
      </c>
      <c r="O592" s="174">
        <f t="shared" si="121"/>
        <v>1</v>
      </c>
      <c r="P592" s="174">
        <f>VLOOKUP(D592,原始分!$D:$N,8,0)</f>
        <v>32.5</v>
      </c>
      <c r="Q592" s="174">
        <f t="shared" si="122"/>
        <v>445</v>
      </c>
      <c r="R592" s="174">
        <f>VLOOKUP(D592,原始分!$D:$N,9,0)</f>
        <v>0</v>
      </c>
      <c r="S592" s="174">
        <f t="shared" si="123"/>
        <v>218</v>
      </c>
      <c r="T592" s="174">
        <f>VLOOKUP(D592,原始分!$D:$N,10,0)</f>
        <v>0</v>
      </c>
      <c r="U592" s="174">
        <f t="shared" si="124"/>
        <v>112</v>
      </c>
      <c r="V592" s="174">
        <f>VLOOKUP(D592,原始分!$D:$N,11,0)</f>
        <v>47</v>
      </c>
      <c r="W592" s="174">
        <f t="shared" si="125"/>
        <v>296</v>
      </c>
      <c r="X592" s="11">
        <f t="shared" si="126"/>
        <v>255.75</v>
      </c>
      <c r="Y592" s="9">
        <f t="shared" si="127"/>
        <v>594</v>
      </c>
      <c r="Z592" s="11">
        <f t="shared" si="128"/>
        <v>377.25</v>
      </c>
      <c r="AA592" s="9">
        <f t="shared" si="129"/>
        <v>589</v>
      </c>
    </row>
    <row r="593" ht="14.25" spans="1:27">
      <c r="A593" s="13">
        <v>157</v>
      </c>
      <c r="B593" s="15">
        <v>3</v>
      </c>
      <c r="C593" s="16">
        <v>46</v>
      </c>
      <c r="D593" s="17" t="s">
        <v>327</v>
      </c>
      <c r="E593" s="17" t="s">
        <v>328</v>
      </c>
      <c r="F593" s="174">
        <f>VLOOKUP(D593,原始分!$D:$N,3,0)</f>
        <v>99.25</v>
      </c>
      <c r="G593" s="174">
        <f t="shared" si="117"/>
        <v>303</v>
      </c>
      <c r="H593" s="174">
        <f>VLOOKUP(D593,原始分!$D:$N,4,0)</f>
        <v>69.5</v>
      </c>
      <c r="I593" s="174">
        <f t="shared" si="118"/>
        <v>634</v>
      </c>
      <c r="J593" s="174">
        <f>VLOOKUP(D593,原始分!$D:$N,5,0)</f>
        <v>87.5</v>
      </c>
      <c r="K593" s="174">
        <f t="shared" si="119"/>
        <v>448</v>
      </c>
      <c r="L593" s="174">
        <f>VLOOKUP(D593,原始分!$D:$N,6,0)</f>
        <v>45</v>
      </c>
      <c r="M593" s="174">
        <f t="shared" si="120"/>
        <v>424</v>
      </c>
      <c r="N593" s="174">
        <f>VLOOKUP(D593,原始分!$D:$N,7,0)</f>
        <v>0</v>
      </c>
      <c r="O593" s="174">
        <f t="shared" si="121"/>
        <v>1</v>
      </c>
      <c r="P593" s="174">
        <f>VLOOKUP(D593,原始分!$D:$N,8,0)</f>
        <v>21</v>
      </c>
      <c r="Q593" s="174">
        <f t="shared" si="122"/>
        <v>528</v>
      </c>
      <c r="R593" s="174">
        <f>VLOOKUP(D593,原始分!$D:$N,9,0)</f>
        <v>54.5</v>
      </c>
      <c r="S593" s="174">
        <f t="shared" si="123"/>
        <v>51</v>
      </c>
      <c r="T593" s="174">
        <f>VLOOKUP(D593,原始分!$D:$N,10,0)</f>
        <v>0</v>
      </c>
      <c r="U593" s="174">
        <f t="shared" si="124"/>
        <v>112</v>
      </c>
      <c r="V593" s="174">
        <f>VLOOKUP(D593,原始分!$D:$N,11,0)</f>
        <v>0</v>
      </c>
      <c r="W593" s="174">
        <f t="shared" si="125"/>
        <v>461</v>
      </c>
      <c r="X593" s="11">
        <f t="shared" si="126"/>
        <v>256.25</v>
      </c>
      <c r="Y593" s="9">
        <f t="shared" si="127"/>
        <v>592</v>
      </c>
      <c r="Z593" s="11">
        <f t="shared" si="128"/>
        <v>376.75</v>
      </c>
      <c r="AA593" s="9">
        <f t="shared" si="129"/>
        <v>591</v>
      </c>
    </row>
    <row r="594" ht="14.25" spans="1:27">
      <c r="A594" s="13">
        <v>131</v>
      </c>
      <c r="B594" s="15">
        <v>3</v>
      </c>
      <c r="C594" s="16">
        <v>20</v>
      </c>
      <c r="D594" s="17" t="s">
        <v>275</v>
      </c>
      <c r="E594" s="17" t="s">
        <v>276</v>
      </c>
      <c r="F594" s="174">
        <f>VLOOKUP(D594,原始分!$D:$N,3,0)</f>
        <v>78.75</v>
      </c>
      <c r="G594" s="174">
        <f t="shared" si="117"/>
        <v>653</v>
      </c>
      <c r="H594" s="174">
        <f>VLOOKUP(D594,原始分!$D:$N,4,0)</f>
        <v>95.5</v>
      </c>
      <c r="I594" s="174">
        <f t="shared" si="118"/>
        <v>415</v>
      </c>
      <c r="J594" s="174">
        <f>VLOOKUP(D594,原始分!$D:$N,5,0)</f>
        <v>73.5</v>
      </c>
      <c r="K594" s="174">
        <f t="shared" si="119"/>
        <v>602</v>
      </c>
      <c r="L594" s="174">
        <f>VLOOKUP(D594,原始分!$D:$N,6,0)</f>
        <v>41</v>
      </c>
      <c r="M594" s="174">
        <f t="shared" si="120"/>
        <v>490</v>
      </c>
      <c r="N594" s="174">
        <f>VLOOKUP(D594,原始分!$D:$N,7,0)</f>
        <v>0</v>
      </c>
      <c r="O594" s="174">
        <f t="shared" si="121"/>
        <v>1</v>
      </c>
      <c r="P594" s="174">
        <f>VLOOKUP(D594,原始分!$D:$N,8,0)</f>
        <v>32</v>
      </c>
      <c r="Q594" s="174">
        <f t="shared" si="122"/>
        <v>453</v>
      </c>
      <c r="R594" s="174">
        <f>VLOOKUP(D594,原始分!$D:$N,9,0)</f>
        <v>55</v>
      </c>
      <c r="S594" s="174">
        <f t="shared" si="123"/>
        <v>44</v>
      </c>
      <c r="T594" s="174">
        <f>VLOOKUP(D594,原始分!$D:$N,10,0)</f>
        <v>0</v>
      </c>
      <c r="U594" s="174">
        <f t="shared" si="124"/>
        <v>112</v>
      </c>
      <c r="V594" s="174">
        <f>VLOOKUP(D594,原始分!$D:$N,11,0)</f>
        <v>0</v>
      </c>
      <c r="W594" s="174">
        <f t="shared" si="125"/>
        <v>461</v>
      </c>
      <c r="X594" s="11">
        <f t="shared" si="126"/>
        <v>247.75</v>
      </c>
      <c r="Y594" s="9">
        <f t="shared" si="127"/>
        <v>615</v>
      </c>
      <c r="Z594" s="11">
        <f t="shared" si="128"/>
        <v>375.75</v>
      </c>
      <c r="AA594" s="9">
        <f t="shared" si="129"/>
        <v>592</v>
      </c>
    </row>
    <row r="595" ht="14.25" spans="1:27">
      <c r="A595" s="13">
        <v>197</v>
      </c>
      <c r="B595" s="15">
        <v>4</v>
      </c>
      <c r="C595" s="16">
        <v>40</v>
      </c>
      <c r="D595" s="17" t="s">
        <v>407</v>
      </c>
      <c r="E595" s="17" t="s">
        <v>408</v>
      </c>
      <c r="F595" s="174">
        <f>VLOOKUP(D595,原始分!$D:$N,3,0)</f>
        <v>95.5</v>
      </c>
      <c r="G595" s="174">
        <f t="shared" si="117"/>
        <v>422</v>
      </c>
      <c r="H595" s="174">
        <f>VLOOKUP(D595,原始分!$D:$N,4,0)</f>
        <v>83</v>
      </c>
      <c r="I595" s="174">
        <f t="shared" si="118"/>
        <v>577</v>
      </c>
      <c r="J595" s="174">
        <f>VLOOKUP(D595,原始分!$D:$N,5,0)</f>
        <v>70.25</v>
      </c>
      <c r="K595" s="174">
        <f t="shared" si="119"/>
        <v>624</v>
      </c>
      <c r="L595" s="174">
        <f>VLOOKUP(D595,原始分!$D:$N,6,0)</f>
        <v>44</v>
      </c>
      <c r="M595" s="174">
        <f t="shared" si="120"/>
        <v>441</v>
      </c>
      <c r="N595" s="174">
        <f>VLOOKUP(D595,原始分!$D:$N,7,0)</f>
        <v>0</v>
      </c>
      <c r="O595" s="174">
        <f t="shared" si="121"/>
        <v>1</v>
      </c>
      <c r="P595" s="174">
        <f>VLOOKUP(D595,原始分!$D:$N,8,0)</f>
        <v>32.5</v>
      </c>
      <c r="Q595" s="174">
        <f t="shared" si="122"/>
        <v>445</v>
      </c>
      <c r="R595" s="174">
        <f>VLOOKUP(D595,原始分!$D:$N,9,0)</f>
        <v>50.5</v>
      </c>
      <c r="S595" s="174">
        <f t="shared" si="123"/>
        <v>90</v>
      </c>
      <c r="T595" s="174">
        <f>VLOOKUP(D595,原始分!$D:$N,10,0)</f>
        <v>0</v>
      </c>
      <c r="U595" s="174">
        <f t="shared" si="124"/>
        <v>112</v>
      </c>
      <c r="V595" s="174">
        <f>VLOOKUP(D595,原始分!$D:$N,11,0)</f>
        <v>0</v>
      </c>
      <c r="W595" s="174">
        <f t="shared" si="125"/>
        <v>461</v>
      </c>
      <c r="X595" s="11">
        <f t="shared" si="126"/>
        <v>248.75</v>
      </c>
      <c r="Y595" s="9">
        <f t="shared" si="127"/>
        <v>612</v>
      </c>
      <c r="Z595" s="11">
        <f t="shared" si="128"/>
        <v>375.75</v>
      </c>
      <c r="AA595" s="9">
        <f t="shared" si="129"/>
        <v>592</v>
      </c>
    </row>
    <row r="596" ht="14.25" spans="1:27">
      <c r="A596" s="13">
        <v>281</v>
      </c>
      <c r="B596" s="15">
        <v>6</v>
      </c>
      <c r="C596" s="16">
        <v>33</v>
      </c>
      <c r="D596" s="17" t="s">
        <v>573</v>
      </c>
      <c r="E596" s="17" t="s">
        <v>574</v>
      </c>
      <c r="F596" s="174">
        <f>VLOOKUP(D596,原始分!$D:$N,3,0)</f>
        <v>95.5</v>
      </c>
      <c r="G596" s="174">
        <f t="shared" si="117"/>
        <v>422</v>
      </c>
      <c r="H596" s="174">
        <f>VLOOKUP(D596,原始分!$D:$N,4,0)</f>
        <v>88.5</v>
      </c>
      <c r="I596" s="174">
        <f t="shared" si="118"/>
        <v>514</v>
      </c>
      <c r="J596" s="174">
        <f>VLOOKUP(D596,原始分!$D:$N,5,0)</f>
        <v>92.5</v>
      </c>
      <c r="K596" s="174">
        <f t="shared" si="119"/>
        <v>381</v>
      </c>
      <c r="L596" s="174">
        <f>VLOOKUP(D596,原始分!$D:$N,6,0)</f>
        <v>35</v>
      </c>
      <c r="M596" s="174">
        <f t="shared" si="120"/>
        <v>572</v>
      </c>
      <c r="N596" s="174">
        <f>VLOOKUP(D596,原始分!$D:$N,7,0)</f>
        <v>0</v>
      </c>
      <c r="O596" s="174">
        <f t="shared" si="121"/>
        <v>1</v>
      </c>
      <c r="P596" s="174">
        <f>VLOOKUP(D596,原始分!$D:$N,8,0)</f>
        <v>0</v>
      </c>
      <c r="Q596" s="174">
        <f t="shared" si="122"/>
        <v>539</v>
      </c>
      <c r="R596" s="174">
        <f>VLOOKUP(D596,原始分!$D:$N,9,0)</f>
        <v>42</v>
      </c>
      <c r="S596" s="174">
        <f t="shared" si="123"/>
        <v>183</v>
      </c>
      <c r="T596" s="174">
        <f>VLOOKUP(D596,原始分!$D:$N,10,0)</f>
        <v>0</v>
      </c>
      <c r="U596" s="174">
        <f t="shared" si="124"/>
        <v>112</v>
      </c>
      <c r="V596" s="174">
        <f>VLOOKUP(D596,原始分!$D:$N,11,0)</f>
        <v>22</v>
      </c>
      <c r="W596" s="174">
        <f t="shared" si="125"/>
        <v>458</v>
      </c>
      <c r="X596" s="11">
        <f t="shared" si="126"/>
        <v>276.5</v>
      </c>
      <c r="Y596" s="9">
        <f t="shared" si="127"/>
        <v>488</v>
      </c>
      <c r="Z596" s="11">
        <f t="shared" si="128"/>
        <v>375.5</v>
      </c>
      <c r="AA596" s="9">
        <f t="shared" si="129"/>
        <v>594</v>
      </c>
    </row>
    <row r="597" ht="14.25" spans="1:27">
      <c r="A597" s="13">
        <v>363</v>
      </c>
      <c r="B597" s="15">
        <v>8</v>
      </c>
      <c r="C597" s="16">
        <v>37</v>
      </c>
      <c r="D597" s="17" t="s">
        <v>736</v>
      </c>
      <c r="E597" s="17" t="s">
        <v>737</v>
      </c>
      <c r="F597" s="174">
        <f>VLOOKUP(D597,原始分!$D:$N,3,0)</f>
        <v>104</v>
      </c>
      <c r="G597" s="174">
        <f t="shared" si="117"/>
        <v>130</v>
      </c>
      <c r="H597" s="174">
        <f>VLOOKUP(D597,原始分!$D:$N,4,0)</f>
        <v>70</v>
      </c>
      <c r="I597" s="174">
        <f t="shared" si="118"/>
        <v>632</v>
      </c>
      <c r="J597" s="174">
        <f>VLOOKUP(D597,原始分!$D:$N,5,0)</f>
        <v>81.5</v>
      </c>
      <c r="K597" s="174">
        <f t="shared" si="119"/>
        <v>535</v>
      </c>
      <c r="L597" s="174">
        <f>VLOOKUP(D597,原始分!$D:$N,6,0)</f>
        <v>36.5</v>
      </c>
      <c r="M597" s="174">
        <f t="shared" si="120"/>
        <v>554</v>
      </c>
      <c r="N597" s="174">
        <f>VLOOKUP(D597,原始分!$D:$N,7,0)</f>
        <v>0</v>
      </c>
      <c r="O597" s="174">
        <f t="shared" si="121"/>
        <v>1</v>
      </c>
      <c r="P597" s="174">
        <f>VLOOKUP(D597,原始分!$D:$N,8,0)</f>
        <v>48</v>
      </c>
      <c r="Q597" s="174">
        <f t="shared" si="122"/>
        <v>145</v>
      </c>
      <c r="R597" s="174">
        <f>VLOOKUP(D597,原始分!$D:$N,9,0)</f>
        <v>0</v>
      </c>
      <c r="S597" s="174">
        <f t="shared" si="123"/>
        <v>218</v>
      </c>
      <c r="T597" s="174">
        <f>VLOOKUP(D597,原始分!$D:$N,10,0)</f>
        <v>0</v>
      </c>
      <c r="U597" s="174">
        <f t="shared" si="124"/>
        <v>112</v>
      </c>
      <c r="V597" s="174">
        <f>VLOOKUP(D597,原始分!$D:$N,11,0)</f>
        <v>35.5</v>
      </c>
      <c r="W597" s="174">
        <f t="shared" si="125"/>
        <v>425</v>
      </c>
      <c r="X597" s="11">
        <f t="shared" si="126"/>
        <v>255.5</v>
      </c>
      <c r="Y597" s="9">
        <f t="shared" si="127"/>
        <v>595</v>
      </c>
      <c r="Z597" s="11">
        <f t="shared" si="128"/>
        <v>375.5</v>
      </c>
      <c r="AA597" s="9">
        <f t="shared" si="129"/>
        <v>594</v>
      </c>
    </row>
    <row r="598" ht="14.25" spans="1:27">
      <c r="A598" s="13">
        <v>312</v>
      </c>
      <c r="B598" s="15">
        <v>7</v>
      </c>
      <c r="C598" s="16">
        <v>23</v>
      </c>
      <c r="D598" s="17" t="s">
        <v>635</v>
      </c>
      <c r="E598" s="17" t="s">
        <v>636</v>
      </c>
      <c r="F598" s="174">
        <f>VLOOKUP(D598,原始分!$D:$N,3,0)</f>
        <v>94.25</v>
      </c>
      <c r="G598" s="174">
        <f t="shared" si="117"/>
        <v>477</v>
      </c>
      <c r="H598" s="174">
        <f>VLOOKUP(D598,原始分!$D:$N,4,0)</f>
        <v>85</v>
      </c>
      <c r="I598" s="174">
        <f t="shared" si="118"/>
        <v>556</v>
      </c>
      <c r="J598" s="174">
        <f>VLOOKUP(D598,原始分!$D:$N,5,0)</f>
        <v>54.25</v>
      </c>
      <c r="K598" s="174">
        <f t="shared" si="119"/>
        <v>654</v>
      </c>
      <c r="L598" s="174">
        <f>VLOOKUP(D598,原始分!$D:$N,6,0)</f>
        <v>43.5</v>
      </c>
      <c r="M598" s="174">
        <f t="shared" si="120"/>
        <v>452</v>
      </c>
      <c r="N598" s="174">
        <f>VLOOKUP(D598,原始分!$D:$N,7,0)</f>
        <v>0</v>
      </c>
      <c r="O598" s="174">
        <f t="shared" si="121"/>
        <v>1</v>
      </c>
      <c r="P598" s="174">
        <f>VLOOKUP(D598,原始分!$D:$N,8,0)</f>
        <v>0</v>
      </c>
      <c r="Q598" s="174">
        <f t="shared" si="122"/>
        <v>539</v>
      </c>
      <c r="R598" s="174">
        <f>VLOOKUP(D598,原始分!$D:$N,9,0)</f>
        <v>44.5</v>
      </c>
      <c r="S598" s="174">
        <f t="shared" si="123"/>
        <v>161</v>
      </c>
      <c r="T598" s="174">
        <f>VLOOKUP(D598,原始分!$D:$N,10,0)</f>
        <v>0</v>
      </c>
      <c r="U598" s="174">
        <f t="shared" si="124"/>
        <v>112</v>
      </c>
      <c r="V598" s="174">
        <f>VLOOKUP(D598,原始分!$D:$N,11,0)</f>
        <v>53.5</v>
      </c>
      <c r="W598" s="174">
        <f t="shared" si="125"/>
        <v>171</v>
      </c>
      <c r="X598" s="11">
        <f t="shared" si="126"/>
        <v>233.5</v>
      </c>
      <c r="Y598" s="9">
        <f t="shared" si="127"/>
        <v>639</v>
      </c>
      <c r="Z598" s="11">
        <f t="shared" si="128"/>
        <v>375</v>
      </c>
      <c r="AA598" s="9">
        <f t="shared" si="129"/>
        <v>596</v>
      </c>
    </row>
    <row r="599" ht="14.25" spans="1:27">
      <c r="A599" s="13">
        <v>289</v>
      </c>
      <c r="B599" s="15">
        <v>6</v>
      </c>
      <c r="C599" s="16">
        <v>41</v>
      </c>
      <c r="D599" s="17" t="s">
        <v>589</v>
      </c>
      <c r="E599" s="17" t="s">
        <v>590</v>
      </c>
      <c r="F599" s="174">
        <f>VLOOKUP(D599,原始分!$D:$N,3,0)</f>
        <v>86</v>
      </c>
      <c r="G599" s="174">
        <f t="shared" si="117"/>
        <v>626</v>
      </c>
      <c r="H599" s="174">
        <f>VLOOKUP(D599,原始分!$D:$N,4,0)</f>
        <v>79.5</v>
      </c>
      <c r="I599" s="174">
        <f t="shared" si="118"/>
        <v>598</v>
      </c>
      <c r="J599" s="174">
        <f>VLOOKUP(D599,原始分!$D:$N,5,0)</f>
        <v>72</v>
      </c>
      <c r="K599" s="174">
        <f t="shared" si="119"/>
        <v>610</v>
      </c>
      <c r="L599" s="174">
        <f>VLOOKUP(D599,原始分!$D:$N,6,0)</f>
        <v>58</v>
      </c>
      <c r="M599" s="174">
        <f t="shared" si="120"/>
        <v>220</v>
      </c>
      <c r="N599" s="174">
        <f>VLOOKUP(D599,原始分!$D:$N,7,0)</f>
        <v>0</v>
      </c>
      <c r="O599" s="174">
        <f t="shared" si="121"/>
        <v>1</v>
      </c>
      <c r="P599" s="174">
        <f>VLOOKUP(D599,原始分!$D:$N,8,0)</f>
        <v>0</v>
      </c>
      <c r="Q599" s="174">
        <f t="shared" si="122"/>
        <v>539</v>
      </c>
      <c r="R599" s="174">
        <f>VLOOKUP(D599,原始分!$D:$N,9,0)</f>
        <v>38.5</v>
      </c>
      <c r="S599" s="174">
        <f t="shared" si="123"/>
        <v>203</v>
      </c>
      <c r="T599" s="174">
        <f>VLOOKUP(D599,原始分!$D:$N,10,0)</f>
        <v>0</v>
      </c>
      <c r="U599" s="174">
        <f t="shared" si="124"/>
        <v>112</v>
      </c>
      <c r="V599" s="174">
        <f>VLOOKUP(D599,原始分!$D:$N,11,0)</f>
        <v>40.5</v>
      </c>
      <c r="W599" s="174">
        <f t="shared" si="125"/>
        <v>395</v>
      </c>
      <c r="X599" s="11">
        <f t="shared" si="126"/>
        <v>237.5</v>
      </c>
      <c r="Y599" s="9">
        <f t="shared" si="127"/>
        <v>635</v>
      </c>
      <c r="Z599" s="11">
        <f t="shared" si="128"/>
        <v>374.5</v>
      </c>
      <c r="AA599" s="9">
        <f t="shared" si="129"/>
        <v>597</v>
      </c>
    </row>
    <row r="600" ht="14.25" spans="1:27">
      <c r="A600" s="13">
        <v>104</v>
      </c>
      <c r="B600" s="15">
        <v>2</v>
      </c>
      <c r="C600" s="16">
        <v>41</v>
      </c>
      <c r="D600" s="17" t="s">
        <v>221</v>
      </c>
      <c r="E600" s="17" t="s">
        <v>222</v>
      </c>
      <c r="F600" s="174">
        <f>VLOOKUP(D600,原始分!$D:$N,3,0)</f>
        <v>96</v>
      </c>
      <c r="G600" s="174">
        <f t="shared" si="117"/>
        <v>407</v>
      </c>
      <c r="H600" s="174">
        <f>VLOOKUP(D600,原始分!$D:$N,4,0)</f>
        <v>45.5</v>
      </c>
      <c r="I600" s="174">
        <f t="shared" si="118"/>
        <v>660</v>
      </c>
      <c r="J600" s="174">
        <f>VLOOKUP(D600,原始分!$D:$N,5,0)</f>
        <v>99.25</v>
      </c>
      <c r="K600" s="174">
        <f t="shared" si="119"/>
        <v>264</v>
      </c>
      <c r="L600" s="174">
        <f>VLOOKUP(D600,原始分!$D:$N,6,0)</f>
        <v>28</v>
      </c>
      <c r="M600" s="174">
        <f t="shared" si="120"/>
        <v>625</v>
      </c>
      <c r="N600" s="174">
        <f>VLOOKUP(D600,原始分!$D:$N,7,0)</f>
        <v>0</v>
      </c>
      <c r="O600" s="174">
        <f t="shared" si="121"/>
        <v>1</v>
      </c>
      <c r="P600" s="174">
        <f>VLOOKUP(D600,原始分!$D:$N,8,0)</f>
        <v>0</v>
      </c>
      <c r="Q600" s="174">
        <f t="shared" si="122"/>
        <v>539</v>
      </c>
      <c r="R600" s="174">
        <f>VLOOKUP(D600,原始分!$D:$N,9,0)</f>
        <v>0</v>
      </c>
      <c r="S600" s="174">
        <f t="shared" si="123"/>
        <v>218</v>
      </c>
      <c r="T600" s="174">
        <f>VLOOKUP(D600,原始分!$D:$N,10,0)</f>
        <v>48.5</v>
      </c>
      <c r="U600" s="174">
        <f t="shared" si="124"/>
        <v>87</v>
      </c>
      <c r="V600" s="174">
        <f>VLOOKUP(D600,原始分!$D:$N,11,0)</f>
        <v>57</v>
      </c>
      <c r="W600" s="174">
        <f t="shared" si="125"/>
        <v>112</v>
      </c>
      <c r="X600" s="11">
        <f t="shared" si="126"/>
        <v>240.75</v>
      </c>
      <c r="Y600" s="9">
        <f t="shared" si="127"/>
        <v>631</v>
      </c>
      <c r="Z600" s="11">
        <f t="shared" si="128"/>
        <v>374.25</v>
      </c>
      <c r="AA600" s="9">
        <f t="shared" si="129"/>
        <v>598</v>
      </c>
    </row>
    <row r="601" ht="14.25" spans="1:27">
      <c r="A601" s="13">
        <v>360</v>
      </c>
      <c r="B601" s="15">
        <v>8</v>
      </c>
      <c r="C601" s="16">
        <v>34</v>
      </c>
      <c r="D601" s="17" t="s">
        <v>730</v>
      </c>
      <c r="E601" s="17" t="s">
        <v>731</v>
      </c>
      <c r="F601" s="174">
        <f>VLOOKUP(D601,原始分!$D:$N,3,0)</f>
        <v>73.25</v>
      </c>
      <c r="G601" s="174">
        <f t="shared" si="117"/>
        <v>661</v>
      </c>
      <c r="H601" s="174">
        <f>VLOOKUP(D601,原始分!$D:$N,4,0)</f>
        <v>88.5</v>
      </c>
      <c r="I601" s="174">
        <f t="shared" si="118"/>
        <v>514</v>
      </c>
      <c r="J601" s="174">
        <f>VLOOKUP(D601,原始分!$D:$N,5,0)</f>
        <v>81.5</v>
      </c>
      <c r="K601" s="174">
        <f t="shared" si="119"/>
        <v>535</v>
      </c>
      <c r="L601" s="174">
        <f>VLOOKUP(D601,原始分!$D:$N,6,0)</f>
        <v>48</v>
      </c>
      <c r="M601" s="174">
        <f t="shared" si="120"/>
        <v>375</v>
      </c>
      <c r="N601" s="174">
        <f>VLOOKUP(D601,原始分!$D:$N,7,0)</f>
        <v>0</v>
      </c>
      <c r="O601" s="174">
        <f t="shared" si="121"/>
        <v>1</v>
      </c>
      <c r="P601" s="174">
        <f>VLOOKUP(D601,原始分!$D:$N,8,0)</f>
        <v>32.5</v>
      </c>
      <c r="Q601" s="174">
        <f t="shared" si="122"/>
        <v>445</v>
      </c>
      <c r="R601" s="174">
        <f>VLOOKUP(D601,原始分!$D:$N,9,0)</f>
        <v>0</v>
      </c>
      <c r="S601" s="174">
        <f t="shared" si="123"/>
        <v>218</v>
      </c>
      <c r="T601" s="174">
        <f>VLOOKUP(D601,原始分!$D:$N,10,0)</f>
        <v>0</v>
      </c>
      <c r="U601" s="174">
        <f t="shared" si="124"/>
        <v>112</v>
      </c>
      <c r="V601" s="174">
        <f>VLOOKUP(D601,原始分!$D:$N,11,0)</f>
        <v>49.5</v>
      </c>
      <c r="W601" s="174">
        <f t="shared" si="125"/>
        <v>256</v>
      </c>
      <c r="X601" s="11">
        <f t="shared" si="126"/>
        <v>243.25</v>
      </c>
      <c r="Y601" s="9">
        <f t="shared" si="127"/>
        <v>622</v>
      </c>
      <c r="Z601" s="11">
        <f t="shared" si="128"/>
        <v>373.25</v>
      </c>
      <c r="AA601" s="9">
        <f t="shared" si="129"/>
        <v>599</v>
      </c>
    </row>
    <row r="602" ht="14.25" spans="1:27">
      <c r="A602" s="13">
        <v>316</v>
      </c>
      <c r="B602" s="15">
        <v>7</v>
      </c>
      <c r="C602" s="16">
        <v>29</v>
      </c>
      <c r="D602" s="17" t="s">
        <v>643</v>
      </c>
      <c r="E602" s="17" t="s">
        <v>644</v>
      </c>
      <c r="F602" s="174">
        <f>VLOOKUP(D602,原始分!$D:$N,3,0)</f>
        <v>93</v>
      </c>
      <c r="G602" s="174">
        <f t="shared" si="117"/>
        <v>505</v>
      </c>
      <c r="H602" s="174">
        <f>VLOOKUP(D602,原始分!$D:$N,4,0)</f>
        <v>78.5</v>
      </c>
      <c r="I602" s="174">
        <f t="shared" si="118"/>
        <v>605</v>
      </c>
      <c r="J602" s="174">
        <f>VLOOKUP(D602,原始分!$D:$N,5,0)</f>
        <v>87.5</v>
      </c>
      <c r="K602" s="174">
        <f t="shared" si="119"/>
        <v>448</v>
      </c>
      <c r="L602" s="174">
        <f>VLOOKUP(D602,原始分!$D:$N,6,0)</f>
        <v>30.5</v>
      </c>
      <c r="M602" s="174">
        <f t="shared" si="120"/>
        <v>610</v>
      </c>
      <c r="N602" s="174">
        <f>VLOOKUP(D602,原始分!$D:$N,7,0)</f>
        <v>0</v>
      </c>
      <c r="O602" s="174">
        <f t="shared" si="121"/>
        <v>1</v>
      </c>
      <c r="P602" s="174">
        <f>VLOOKUP(D602,原始分!$D:$N,8,0)</f>
        <v>0</v>
      </c>
      <c r="Q602" s="174">
        <f t="shared" si="122"/>
        <v>539</v>
      </c>
      <c r="R602" s="174">
        <f>VLOOKUP(D602,原始分!$D:$N,9,0)</f>
        <v>53.5</v>
      </c>
      <c r="S602" s="174">
        <f t="shared" si="123"/>
        <v>58</v>
      </c>
      <c r="T602" s="174">
        <f>VLOOKUP(D602,原始分!$D:$N,10,0)</f>
        <v>0</v>
      </c>
      <c r="U602" s="174">
        <f t="shared" si="124"/>
        <v>112</v>
      </c>
      <c r="V602" s="174">
        <f>VLOOKUP(D602,原始分!$D:$N,11,0)</f>
        <v>30</v>
      </c>
      <c r="W602" s="174">
        <f t="shared" si="125"/>
        <v>450</v>
      </c>
      <c r="X602" s="11">
        <f t="shared" si="126"/>
        <v>259</v>
      </c>
      <c r="Y602" s="9">
        <f t="shared" si="127"/>
        <v>585</v>
      </c>
      <c r="Z602" s="11">
        <f t="shared" si="128"/>
        <v>373</v>
      </c>
      <c r="AA602" s="9">
        <f t="shared" si="129"/>
        <v>600</v>
      </c>
    </row>
    <row r="603" ht="14.25" spans="1:27">
      <c r="A603" s="13">
        <v>560</v>
      </c>
      <c r="B603" s="15">
        <v>12</v>
      </c>
      <c r="C603" s="16">
        <v>7</v>
      </c>
      <c r="D603" s="17" t="s">
        <v>1128</v>
      </c>
      <c r="E603" s="17" t="s">
        <v>1129</v>
      </c>
      <c r="F603" s="174">
        <f>VLOOKUP(D603,原始分!$D:$N,3,0)</f>
        <v>99</v>
      </c>
      <c r="G603" s="174">
        <f t="shared" si="117"/>
        <v>304</v>
      </c>
      <c r="H603" s="174">
        <f>VLOOKUP(D603,原始分!$D:$N,4,0)</f>
        <v>92.5</v>
      </c>
      <c r="I603" s="174">
        <f t="shared" si="118"/>
        <v>462</v>
      </c>
      <c r="J603" s="174">
        <f>VLOOKUP(D603,原始分!$D:$N,5,0)</f>
        <v>75.5</v>
      </c>
      <c r="K603" s="174">
        <f t="shared" si="119"/>
        <v>587</v>
      </c>
      <c r="L603" s="174">
        <f>VLOOKUP(D603,原始分!$D:$N,6,0)</f>
        <v>40</v>
      </c>
      <c r="M603" s="174">
        <f t="shared" si="120"/>
        <v>506</v>
      </c>
      <c r="N603" s="174">
        <f>VLOOKUP(D603,原始分!$D:$N,7,0)</f>
        <v>0</v>
      </c>
      <c r="O603" s="174">
        <f t="shared" si="121"/>
        <v>1</v>
      </c>
      <c r="P603" s="174">
        <f>VLOOKUP(D603,原始分!$D:$N,8,0)</f>
        <v>30.5</v>
      </c>
      <c r="Q603" s="174">
        <f t="shared" si="122"/>
        <v>468</v>
      </c>
      <c r="R603" s="174">
        <f>VLOOKUP(D603,原始分!$D:$N,9,0)</f>
        <v>0</v>
      </c>
      <c r="S603" s="174">
        <f t="shared" si="123"/>
        <v>218</v>
      </c>
      <c r="T603" s="174">
        <f>VLOOKUP(D603,原始分!$D:$N,10,0)</f>
        <v>0</v>
      </c>
      <c r="U603" s="174">
        <f t="shared" si="124"/>
        <v>112</v>
      </c>
      <c r="V603" s="174">
        <f>VLOOKUP(D603,原始分!$D:$N,11,0)</f>
        <v>35.5</v>
      </c>
      <c r="W603" s="174">
        <f t="shared" si="125"/>
        <v>425</v>
      </c>
      <c r="X603" s="11">
        <f t="shared" si="126"/>
        <v>267</v>
      </c>
      <c r="Y603" s="9">
        <f t="shared" si="127"/>
        <v>545</v>
      </c>
      <c r="Z603" s="11">
        <f t="shared" si="128"/>
        <v>373</v>
      </c>
      <c r="AA603" s="9">
        <f t="shared" si="129"/>
        <v>600</v>
      </c>
    </row>
    <row r="604" ht="14.25" spans="1:27">
      <c r="A604" s="13">
        <v>656</v>
      </c>
      <c r="B604" s="15">
        <v>13</v>
      </c>
      <c r="C604" s="16">
        <v>50</v>
      </c>
      <c r="D604" s="17" t="s">
        <v>1319</v>
      </c>
      <c r="E604" s="17" t="s">
        <v>1320</v>
      </c>
      <c r="F604" s="174">
        <f>VLOOKUP(D604,原始分!$D:$N,3,0)</f>
        <v>99.5</v>
      </c>
      <c r="G604" s="174">
        <f t="shared" si="117"/>
        <v>286</v>
      </c>
      <c r="H604" s="174">
        <f>VLOOKUP(D604,原始分!$D:$N,4,0)</f>
        <v>78</v>
      </c>
      <c r="I604" s="174">
        <f t="shared" si="118"/>
        <v>606</v>
      </c>
      <c r="J604" s="174">
        <f>VLOOKUP(D604,原始分!$D:$N,5,0)</f>
        <v>59.75</v>
      </c>
      <c r="K604" s="174">
        <f t="shared" si="119"/>
        <v>648</v>
      </c>
      <c r="L604" s="174">
        <f>VLOOKUP(D604,原始分!$D:$N,6,0)</f>
        <v>37.5</v>
      </c>
      <c r="M604" s="174">
        <f t="shared" si="120"/>
        <v>543</v>
      </c>
      <c r="N604" s="174">
        <f>VLOOKUP(D604,原始分!$D:$N,7,0)</f>
        <v>0</v>
      </c>
      <c r="O604" s="174">
        <f t="shared" si="121"/>
        <v>1</v>
      </c>
      <c r="P604" s="174">
        <f>VLOOKUP(D604,原始分!$D:$N,8,0)</f>
        <v>39.5</v>
      </c>
      <c r="Q604" s="174">
        <f t="shared" si="122"/>
        <v>333</v>
      </c>
      <c r="R604" s="174">
        <f>VLOOKUP(D604,原始分!$D:$N,9,0)</f>
        <v>0</v>
      </c>
      <c r="S604" s="174">
        <f t="shared" si="123"/>
        <v>218</v>
      </c>
      <c r="T604" s="174">
        <f>VLOOKUP(D604,原始分!$D:$N,10,0)</f>
        <v>0</v>
      </c>
      <c r="U604" s="174">
        <f t="shared" si="124"/>
        <v>112</v>
      </c>
      <c r="V604" s="174">
        <f>VLOOKUP(D604,原始分!$D:$N,11,0)</f>
        <v>58.5</v>
      </c>
      <c r="W604" s="174">
        <f t="shared" si="125"/>
        <v>99</v>
      </c>
      <c r="X604" s="11">
        <f t="shared" si="126"/>
        <v>237.25</v>
      </c>
      <c r="Y604" s="9">
        <f t="shared" si="127"/>
        <v>636</v>
      </c>
      <c r="Z604" s="11">
        <f t="shared" si="128"/>
        <v>372.75</v>
      </c>
      <c r="AA604" s="9">
        <f t="shared" si="129"/>
        <v>602</v>
      </c>
    </row>
    <row r="605" ht="14.25" spans="1:27">
      <c r="A605" s="13">
        <v>533</v>
      </c>
      <c r="B605" s="15">
        <v>11</v>
      </c>
      <c r="C605" s="16">
        <v>39</v>
      </c>
      <c r="D605" s="17" t="s">
        <v>1075</v>
      </c>
      <c r="E605" s="17" t="s">
        <v>1076</v>
      </c>
      <c r="F605" s="174">
        <f>VLOOKUP(D605,原始分!$D:$N,3,0)</f>
        <v>101</v>
      </c>
      <c r="G605" s="174">
        <f t="shared" si="117"/>
        <v>224</v>
      </c>
      <c r="H605" s="174">
        <f>VLOOKUP(D605,原始分!$D:$N,4,0)</f>
        <v>53</v>
      </c>
      <c r="I605" s="174">
        <f t="shared" si="118"/>
        <v>657</v>
      </c>
      <c r="J605" s="174">
        <f>VLOOKUP(D605,原始分!$D:$N,5,0)</f>
        <v>76.75</v>
      </c>
      <c r="K605" s="174">
        <f t="shared" si="119"/>
        <v>580</v>
      </c>
      <c r="L605" s="174">
        <f>VLOOKUP(D605,原始分!$D:$N,6,0)</f>
        <v>41</v>
      </c>
      <c r="M605" s="174">
        <f t="shared" si="120"/>
        <v>490</v>
      </c>
      <c r="N605" s="174">
        <f>VLOOKUP(D605,原始分!$D:$N,7,0)</f>
        <v>0</v>
      </c>
      <c r="O605" s="174">
        <f t="shared" si="121"/>
        <v>1</v>
      </c>
      <c r="P605" s="174">
        <f>VLOOKUP(D605,原始分!$D:$N,8,0)</f>
        <v>38</v>
      </c>
      <c r="Q605" s="174">
        <f t="shared" si="122"/>
        <v>360</v>
      </c>
      <c r="R605" s="174">
        <f>VLOOKUP(D605,原始分!$D:$N,9,0)</f>
        <v>0</v>
      </c>
      <c r="S605" s="174">
        <f t="shared" si="123"/>
        <v>218</v>
      </c>
      <c r="T605" s="174">
        <f>VLOOKUP(D605,原始分!$D:$N,10,0)</f>
        <v>0</v>
      </c>
      <c r="U605" s="174">
        <f t="shared" si="124"/>
        <v>112</v>
      </c>
      <c r="V605" s="174">
        <f>VLOOKUP(D605,原始分!$D:$N,11,0)</f>
        <v>62</v>
      </c>
      <c r="W605" s="174">
        <f t="shared" si="125"/>
        <v>59</v>
      </c>
      <c r="X605" s="11">
        <f t="shared" si="126"/>
        <v>230.75</v>
      </c>
      <c r="Y605" s="9">
        <f t="shared" si="127"/>
        <v>646</v>
      </c>
      <c r="Z605" s="11">
        <f t="shared" si="128"/>
        <v>371.75</v>
      </c>
      <c r="AA605" s="9">
        <f t="shared" si="129"/>
        <v>603</v>
      </c>
    </row>
    <row r="606" ht="14.25" spans="1:27">
      <c r="A606" s="13">
        <v>566</v>
      </c>
      <c r="B606" s="15">
        <v>12</v>
      </c>
      <c r="C606" s="16">
        <v>13</v>
      </c>
      <c r="D606" s="17" t="s">
        <v>1140</v>
      </c>
      <c r="E606" s="17" t="s">
        <v>1141</v>
      </c>
      <c r="F606" s="174">
        <f>VLOOKUP(D606,原始分!$D:$N,3,0)</f>
        <v>96</v>
      </c>
      <c r="G606" s="174">
        <f t="shared" si="117"/>
        <v>407</v>
      </c>
      <c r="H606" s="174">
        <f>VLOOKUP(D606,原始分!$D:$N,4,0)</f>
        <v>108</v>
      </c>
      <c r="I606" s="174">
        <f t="shared" si="118"/>
        <v>221</v>
      </c>
      <c r="J606" s="174">
        <f>VLOOKUP(D606,原始分!$D:$N,5,0)</f>
        <v>26</v>
      </c>
      <c r="K606" s="174">
        <f t="shared" si="119"/>
        <v>663</v>
      </c>
      <c r="L606" s="174">
        <f>VLOOKUP(D606,原始分!$D:$N,6,0)</f>
        <v>43.5</v>
      </c>
      <c r="M606" s="174">
        <f t="shared" si="120"/>
        <v>452</v>
      </c>
      <c r="N606" s="174">
        <f>VLOOKUP(D606,原始分!$D:$N,7,0)</f>
        <v>0</v>
      </c>
      <c r="O606" s="174">
        <f t="shared" si="121"/>
        <v>1</v>
      </c>
      <c r="P606" s="174">
        <f>VLOOKUP(D606,原始分!$D:$N,8,0)</f>
        <v>44</v>
      </c>
      <c r="Q606" s="174">
        <f t="shared" si="122"/>
        <v>226</v>
      </c>
      <c r="R606" s="174">
        <f>VLOOKUP(D606,原始分!$D:$N,9,0)</f>
        <v>0</v>
      </c>
      <c r="S606" s="174">
        <f t="shared" si="123"/>
        <v>218</v>
      </c>
      <c r="T606" s="174">
        <f>VLOOKUP(D606,原始分!$D:$N,10,0)</f>
        <v>0</v>
      </c>
      <c r="U606" s="174">
        <f t="shared" si="124"/>
        <v>112</v>
      </c>
      <c r="V606" s="174">
        <f>VLOOKUP(D606,原始分!$D:$N,11,0)</f>
        <v>54</v>
      </c>
      <c r="W606" s="174">
        <f t="shared" si="125"/>
        <v>164</v>
      </c>
      <c r="X606" s="11">
        <f t="shared" si="126"/>
        <v>230</v>
      </c>
      <c r="Y606" s="9">
        <f t="shared" si="127"/>
        <v>648</v>
      </c>
      <c r="Z606" s="11">
        <f t="shared" si="128"/>
        <v>371.5</v>
      </c>
      <c r="AA606" s="9">
        <f t="shared" si="129"/>
        <v>604</v>
      </c>
    </row>
    <row r="607" ht="14.25" spans="1:27">
      <c r="A607" s="13">
        <v>547</v>
      </c>
      <c r="B607" s="15">
        <v>11</v>
      </c>
      <c r="C607" s="16">
        <v>53</v>
      </c>
      <c r="D607" s="17" t="s">
        <v>1102</v>
      </c>
      <c r="E607" s="17" t="s">
        <v>1103</v>
      </c>
      <c r="F607" s="174">
        <f>VLOOKUP(D607,原始分!$D:$N,3,0)</f>
        <v>97.5</v>
      </c>
      <c r="G607" s="174">
        <f t="shared" si="117"/>
        <v>372</v>
      </c>
      <c r="H607" s="174">
        <f>VLOOKUP(D607,原始分!$D:$N,4,0)</f>
        <v>78</v>
      </c>
      <c r="I607" s="174">
        <f t="shared" si="118"/>
        <v>606</v>
      </c>
      <c r="J607" s="174">
        <f>VLOOKUP(D607,原始分!$D:$N,5,0)</f>
        <v>87.25</v>
      </c>
      <c r="K607" s="174">
        <f t="shared" si="119"/>
        <v>454</v>
      </c>
      <c r="L607" s="174">
        <f>VLOOKUP(D607,原始分!$D:$N,6,0)</f>
        <v>32.5</v>
      </c>
      <c r="M607" s="174">
        <f t="shared" si="120"/>
        <v>599</v>
      </c>
      <c r="N607" s="174">
        <f>VLOOKUP(D607,原始分!$D:$N,7,0)</f>
        <v>0</v>
      </c>
      <c r="O607" s="174">
        <f t="shared" si="121"/>
        <v>1</v>
      </c>
      <c r="P607" s="174">
        <f>VLOOKUP(D607,原始分!$D:$N,8,0)</f>
        <v>28</v>
      </c>
      <c r="Q607" s="174">
        <f t="shared" si="122"/>
        <v>491</v>
      </c>
      <c r="R607" s="174">
        <f>VLOOKUP(D607,原始分!$D:$N,9,0)</f>
        <v>0</v>
      </c>
      <c r="S607" s="174">
        <f t="shared" si="123"/>
        <v>218</v>
      </c>
      <c r="T607" s="174">
        <f>VLOOKUP(D607,原始分!$D:$N,10,0)</f>
        <v>0</v>
      </c>
      <c r="U607" s="174">
        <f t="shared" si="124"/>
        <v>112</v>
      </c>
      <c r="V607" s="174">
        <f>VLOOKUP(D607,原始分!$D:$N,11,0)</f>
        <v>48</v>
      </c>
      <c r="W607" s="174">
        <f t="shared" si="125"/>
        <v>277</v>
      </c>
      <c r="X607" s="11">
        <f t="shared" si="126"/>
        <v>262.75</v>
      </c>
      <c r="Y607" s="9">
        <f t="shared" si="127"/>
        <v>571</v>
      </c>
      <c r="Z607" s="11">
        <f t="shared" si="128"/>
        <v>371.25</v>
      </c>
      <c r="AA607" s="9">
        <f t="shared" si="129"/>
        <v>605</v>
      </c>
    </row>
    <row r="608" ht="14.25" spans="1:27">
      <c r="A608" s="13">
        <v>662</v>
      </c>
      <c r="B608" s="15">
        <v>13</v>
      </c>
      <c r="C608" s="16">
        <v>56</v>
      </c>
      <c r="D608" s="17" t="s">
        <v>1330</v>
      </c>
      <c r="E608" s="17" t="s">
        <v>1331</v>
      </c>
      <c r="F608" s="174">
        <f>VLOOKUP(D608,原始分!$D:$N,3,0)</f>
        <v>103.5</v>
      </c>
      <c r="G608" s="174">
        <f t="shared" si="117"/>
        <v>146</v>
      </c>
      <c r="H608" s="174">
        <f>VLOOKUP(D608,原始分!$D:$N,4,0)</f>
        <v>73</v>
      </c>
      <c r="I608" s="174">
        <f t="shared" si="118"/>
        <v>627</v>
      </c>
      <c r="J608" s="174">
        <f>VLOOKUP(D608,原始分!$D:$N,5,0)</f>
        <v>87</v>
      </c>
      <c r="K608" s="174">
        <f t="shared" si="119"/>
        <v>457</v>
      </c>
      <c r="L608" s="174">
        <f>VLOOKUP(D608,原始分!$D:$N,6,0)</f>
        <v>27.5</v>
      </c>
      <c r="M608" s="174">
        <f t="shared" si="120"/>
        <v>627</v>
      </c>
      <c r="N608" s="174">
        <f>VLOOKUP(D608,原始分!$D:$N,7,0)</f>
        <v>0</v>
      </c>
      <c r="O608" s="174">
        <f t="shared" si="121"/>
        <v>1</v>
      </c>
      <c r="P608" s="174">
        <f>VLOOKUP(D608,原始分!$D:$N,8,0)</f>
        <v>36</v>
      </c>
      <c r="Q608" s="174">
        <f t="shared" si="122"/>
        <v>384</v>
      </c>
      <c r="R608" s="174">
        <f>VLOOKUP(D608,原始分!$D:$N,9,0)</f>
        <v>0</v>
      </c>
      <c r="S608" s="174">
        <f t="shared" si="123"/>
        <v>218</v>
      </c>
      <c r="T608" s="174">
        <f>VLOOKUP(D608,原始分!$D:$N,10,0)</f>
        <v>0</v>
      </c>
      <c r="U608" s="174">
        <f t="shared" si="124"/>
        <v>112</v>
      </c>
      <c r="V608" s="174">
        <f>VLOOKUP(D608,原始分!$D:$N,11,0)</f>
        <v>44</v>
      </c>
      <c r="W608" s="174">
        <f t="shared" si="125"/>
        <v>350</v>
      </c>
      <c r="X608" s="11">
        <f t="shared" si="126"/>
        <v>263.5</v>
      </c>
      <c r="Y608" s="9">
        <f t="shared" si="127"/>
        <v>563</v>
      </c>
      <c r="Z608" s="11">
        <f t="shared" si="128"/>
        <v>371</v>
      </c>
      <c r="AA608" s="9">
        <f t="shared" si="129"/>
        <v>606</v>
      </c>
    </row>
    <row r="609" ht="14.25" spans="1:27">
      <c r="A609" s="13">
        <v>663</v>
      </c>
      <c r="B609" s="15">
        <v>13</v>
      </c>
      <c r="C609" s="16">
        <v>58</v>
      </c>
      <c r="D609" s="17" t="s">
        <v>1332</v>
      </c>
      <c r="E609" s="17" t="s">
        <v>1333</v>
      </c>
      <c r="F609" s="174">
        <f>VLOOKUP(D609,原始分!$D:$N,3,0)</f>
        <v>94.5</v>
      </c>
      <c r="G609" s="174">
        <f t="shared" si="117"/>
        <v>461</v>
      </c>
      <c r="H609" s="174">
        <f>VLOOKUP(D609,原始分!$D:$N,4,0)</f>
        <v>67.5</v>
      </c>
      <c r="I609" s="174">
        <f t="shared" si="118"/>
        <v>637</v>
      </c>
      <c r="J609" s="174">
        <f>VLOOKUP(D609,原始分!$D:$N,5,0)</f>
        <v>82.5</v>
      </c>
      <c r="K609" s="174">
        <f t="shared" si="119"/>
        <v>524</v>
      </c>
      <c r="L609" s="174">
        <f>VLOOKUP(D609,原始分!$D:$N,6,0)</f>
        <v>42.5</v>
      </c>
      <c r="M609" s="174">
        <f t="shared" si="120"/>
        <v>470</v>
      </c>
      <c r="N609" s="174">
        <f>VLOOKUP(D609,原始分!$D:$N,7,0)</f>
        <v>0</v>
      </c>
      <c r="O609" s="174">
        <f t="shared" si="121"/>
        <v>1</v>
      </c>
      <c r="P609" s="174">
        <f>VLOOKUP(D609,原始分!$D:$N,8,0)</f>
        <v>37.5</v>
      </c>
      <c r="Q609" s="174">
        <f t="shared" si="122"/>
        <v>367</v>
      </c>
      <c r="R609" s="174">
        <f>VLOOKUP(D609,原始分!$D:$N,9,0)</f>
        <v>0</v>
      </c>
      <c r="S609" s="174">
        <f t="shared" si="123"/>
        <v>218</v>
      </c>
      <c r="T609" s="174">
        <f>VLOOKUP(D609,原始分!$D:$N,10,0)</f>
        <v>0</v>
      </c>
      <c r="U609" s="174">
        <f t="shared" si="124"/>
        <v>112</v>
      </c>
      <c r="V609" s="174">
        <f>VLOOKUP(D609,原始分!$D:$N,11,0)</f>
        <v>46.5</v>
      </c>
      <c r="W609" s="174">
        <f t="shared" si="125"/>
        <v>306</v>
      </c>
      <c r="X609" s="11">
        <f t="shared" si="126"/>
        <v>244.5</v>
      </c>
      <c r="Y609" s="9">
        <f t="shared" si="127"/>
        <v>618</v>
      </c>
      <c r="Z609" s="11">
        <f t="shared" si="128"/>
        <v>371</v>
      </c>
      <c r="AA609" s="9">
        <f t="shared" si="129"/>
        <v>606</v>
      </c>
    </row>
    <row r="610" ht="14.25" spans="1:27">
      <c r="A610" s="13">
        <v>206</v>
      </c>
      <c r="B610" s="15">
        <v>5</v>
      </c>
      <c r="C610" s="16">
        <v>2</v>
      </c>
      <c r="D610" s="17" t="s">
        <v>425</v>
      </c>
      <c r="E610" s="17" t="s">
        <v>426</v>
      </c>
      <c r="F610" s="174">
        <f>VLOOKUP(D610,原始分!$D:$N,3,0)</f>
        <v>93</v>
      </c>
      <c r="G610" s="174">
        <f t="shared" si="117"/>
        <v>505</v>
      </c>
      <c r="H610" s="174">
        <f>VLOOKUP(D610,原始分!$D:$N,4,0)</f>
        <v>99</v>
      </c>
      <c r="I610" s="174">
        <f t="shared" si="118"/>
        <v>359</v>
      </c>
      <c r="J610" s="174">
        <f>VLOOKUP(D610,原始分!$D:$N,5,0)</f>
        <v>81.5</v>
      </c>
      <c r="K610" s="174">
        <f t="shared" si="119"/>
        <v>535</v>
      </c>
      <c r="L610" s="174">
        <f>VLOOKUP(D610,原始分!$D:$N,6,0)</f>
        <v>19</v>
      </c>
      <c r="M610" s="174">
        <f t="shared" si="120"/>
        <v>655</v>
      </c>
      <c r="N610" s="174">
        <f>VLOOKUP(D610,原始分!$D:$N,7,0)</f>
        <v>0</v>
      </c>
      <c r="O610" s="174">
        <f t="shared" si="121"/>
        <v>1</v>
      </c>
      <c r="P610" s="174">
        <f>VLOOKUP(D610,原始分!$D:$N,8,0)</f>
        <v>21</v>
      </c>
      <c r="Q610" s="174">
        <f t="shared" si="122"/>
        <v>528</v>
      </c>
      <c r="R610" s="174">
        <f>VLOOKUP(D610,原始分!$D:$N,9,0)</f>
        <v>57</v>
      </c>
      <c r="S610" s="174">
        <f t="shared" si="123"/>
        <v>29</v>
      </c>
      <c r="T610" s="174">
        <f>VLOOKUP(D610,原始分!$D:$N,10,0)</f>
        <v>0</v>
      </c>
      <c r="U610" s="174">
        <f t="shared" si="124"/>
        <v>112</v>
      </c>
      <c r="V610" s="174">
        <f>VLOOKUP(D610,原始分!$D:$N,11,0)</f>
        <v>0</v>
      </c>
      <c r="W610" s="174">
        <f t="shared" si="125"/>
        <v>461</v>
      </c>
      <c r="X610" s="11">
        <f t="shared" si="126"/>
        <v>273.5</v>
      </c>
      <c r="Y610" s="9">
        <f t="shared" si="127"/>
        <v>505</v>
      </c>
      <c r="Z610" s="11">
        <f t="shared" si="128"/>
        <v>370.5</v>
      </c>
      <c r="AA610" s="9">
        <f t="shared" si="129"/>
        <v>608</v>
      </c>
    </row>
    <row r="611" ht="14.25" spans="1:27">
      <c r="A611" s="13">
        <v>10</v>
      </c>
      <c r="B611" s="15">
        <v>1</v>
      </c>
      <c r="C611" s="16">
        <v>11</v>
      </c>
      <c r="D611" s="17" t="s">
        <v>34</v>
      </c>
      <c r="E611" s="17" t="s">
        <v>35</v>
      </c>
      <c r="F611" s="174">
        <f>VLOOKUP(D611,原始分!$D:$N,3,0)</f>
        <v>104.5</v>
      </c>
      <c r="G611" s="174">
        <f t="shared" si="117"/>
        <v>118</v>
      </c>
      <c r="H611" s="174">
        <f>VLOOKUP(D611,原始分!$D:$N,4,0)</f>
        <v>75</v>
      </c>
      <c r="I611" s="174">
        <f t="shared" si="118"/>
        <v>616</v>
      </c>
      <c r="J611" s="174">
        <f>VLOOKUP(D611,原始分!$D:$N,5,0)</f>
        <v>85.75</v>
      </c>
      <c r="K611" s="174">
        <f t="shared" si="119"/>
        <v>478</v>
      </c>
      <c r="L611" s="174">
        <f>VLOOKUP(D611,原始分!$D:$N,6,0)</f>
        <v>21</v>
      </c>
      <c r="M611" s="174">
        <f t="shared" si="120"/>
        <v>650</v>
      </c>
      <c r="N611" s="174">
        <f>VLOOKUP(D611,原始分!$D:$N,7,0)</f>
        <v>0</v>
      </c>
      <c r="O611" s="174">
        <f t="shared" si="121"/>
        <v>1</v>
      </c>
      <c r="P611" s="174">
        <f>VLOOKUP(D611,原始分!$D:$N,8,0)</f>
        <v>40</v>
      </c>
      <c r="Q611" s="174">
        <f t="shared" si="122"/>
        <v>314</v>
      </c>
      <c r="R611" s="174">
        <f>VLOOKUP(D611,原始分!$D:$N,9,0)</f>
        <v>0</v>
      </c>
      <c r="S611" s="174">
        <f t="shared" si="123"/>
        <v>218</v>
      </c>
      <c r="T611" s="174">
        <f>VLOOKUP(D611,原始分!$D:$N,10,0)</f>
        <v>44</v>
      </c>
      <c r="U611" s="174">
        <f t="shared" si="124"/>
        <v>108</v>
      </c>
      <c r="V611" s="174">
        <f>VLOOKUP(D611,原始分!$D:$N,11,0)</f>
        <v>0</v>
      </c>
      <c r="W611" s="174">
        <f t="shared" si="125"/>
        <v>461</v>
      </c>
      <c r="X611" s="11">
        <f t="shared" si="126"/>
        <v>265.25</v>
      </c>
      <c r="Y611" s="9">
        <f t="shared" si="127"/>
        <v>553</v>
      </c>
      <c r="Z611" s="11">
        <f t="shared" si="128"/>
        <v>370.25</v>
      </c>
      <c r="AA611" s="9">
        <f t="shared" si="129"/>
        <v>609</v>
      </c>
    </row>
    <row r="612" ht="14.25" spans="1:27">
      <c r="A612" s="13">
        <v>559</v>
      </c>
      <c r="B612" s="15">
        <v>12</v>
      </c>
      <c r="C612" s="16">
        <v>6</v>
      </c>
      <c r="D612" s="17" t="s">
        <v>1126</v>
      </c>
      <c r="E612" s="17" t="s">
        <v>1127</v>
      </c>
      <c r="F612" s="174">
        <f>VLOOKUP(D612,原始分!$D:$N,3,0)</f>
        <v>85.5</v>
      </c>
      <c r="G612" s="174">
        <f t="shared" si="117"/>
        <v>629</v>
      </c>
      <c r="H612" s="174">
        <f>VLOOKUP(D612,原始分!$D:$N,4,0)</f>
        <v>113</v>
      </c>
      <c r="I612" s="174">
        <f t="shared" si="118"/>
        <v>143</v>
      </c>
      <c r="J612" s="174">
        <f>VLOOKUP(D612,原始分!$D:$N,5,0)</f>
        <v>64.25</v>
      </c>
      <c r="K612" s="174">
        <f t="shared" si="119"/>
        <v>640</v>
      </c>
      <c r="L612" s="174">
        <f>VLOOKUP(D612,原始分!$D:$N,6,0)</f>
        <v>51</v>
      </c>
      <c r="M612" s="174">
        <f t="shared" si="120"/>
        <v>320</v>
      </c>
      <c r="N612" s="174">
        <f>VLOOKUP(D612,原始分!$D:$N,7,0)</f>
        <v>0</v>
      </c>
      <c r="O612" s="174">
        <f t="shared" si="121"/>
        <v>1</v>
      </c>
      <c r="P612" s="174">
        <f>VLOOKUP(D612,原始分!$D:$N,8,0)</f>
        <v>25</v>
      </c>
      <c r="Q612" s="174">
        <f t="shared" si="122"/>
        <v>508</v>
      </c>
      <c r="R612" s="174">
        <f>VLOOKUP(D612,原始分!$D:$N,9,0)</f>
        <v>0</v>
      </c>
      <c r="S612" s="174">
        <f t="shared" si="123"/>
        <v>218</v>
      </c>
      <c r="T612" s="174">
        <f>VLOOKUP(D612,原始分!$D:$N,10,0)</f>
        <v>0</v>
      </c>
      <c r="U612" s="174">
        <f t="shared" si="124"/>
        <v>112</v>
      </c>
      <c r="V612" s="174">
        <f>VLOOKUP(D612,原始分!$D:$N,11,0)</f>
        <v>31.5</v>
      </c>
      <c r="W612" s="174">
        <f t="shared" si="125"/>
        <v>445</v>
      </c>
      <c r="X612" s="11">
        <f t="shared" si="126"/>
        <v>262.75</v>
      </c>
      <c r="Y612" s="9">
        <f t="shared" si="127"/>
        <v>571</v>
      </c>
      <c r="Z612" s="11">
        <f t="shared" si="128"/>
        <v>370.25</v>
      </c>
      <c r="AA612" s="9">
        <f t="shared" si="129"/>
        <v>609</v>
      </c>
    </row>
    <row r="613" ht="14.25" spans="1:27">
      <c r="A613" s="13">
        <v>327</v>
      </c>
      <c r="B613" s="15">
        <v>7</v>
      </c>
      <c r="C613" s="16">
        <v>40</v>
      </c>
      <c r="D613" s="17" t="s">
        <v>665</v>
      </c>
      <c r="E613" s="17" t="s">
        <v>666</v>
      </c>
      <c r="F613" s="174">
        <f>VLOOKUP(D613,原始分!$D:$N,3,0)</f>
        <v>107</v>
      </c>
      <c r="G613" s="174">
        <f t="shared" si="117"/>
        <v>64</v>
      </c>
      <c r="H613" s="174">
        <f>VLOOKUP(D613,原始分!$D:$N,4,0)</f>
        <v>89.5</v>
      </c>
      <c r="I613" s="174">
        <f t="shared" si="118"/>
        <v>499</v>
      </c>
      <c r="J613" s="174">
        <f>VLOOKUP(D613,原始分!$D:$N,5,0)</f>
        <v>76</v>
      </c>
      <c r="K613" s="174">
        <f t="shared" si="119"/>
        <v>582</v>
      </c>
      <c r="L613" s="174">
        <f>VLOOKUP(D613,原始分!$D:$N,6,0)</f>
        <v>17.5</v>
      </c>
      <c r="M613" s="174">
        <f t="shared" si="120"/>
        <v>657</v>
      </c>
      <c r="N613" s="174">
        <f>VLOOKUP(D613,原始分!$D:$N,7,0)</f>
        <v>0</v>
      </c>
      <c r="O613" s="174">
        <f t="shared" si="121"/>
        <v>1</v>
      </c>
      <c r="P613" s="174">
        <f>VLOOKUP(D613,原始分!$D:$N,8,0)</f>
        <v>0</v>
      </c>
      <c r="Q613" s="174">
        <f t="shared" si="122"/>
        <v>539</v>
      </c>
      <c r="R613" s="174">
        <f>VLOOKUP(D613,原始分!$D:$N,9,0)</f>
        <v>49.5</v>
      </c>
      <c r="S613" s="174">
        <f t="shared" si="123"/>
        <v>99</v>
      </c>
      <c r="T613" s="174">
        <f>VLOOKUP(D613,原始分!$D:$N,10,0)</f>
        <v>0</v>
      </c>
      <c r="U613" s="174">
        <f t="shared" si="124"/>
        <v>112</v>
      </c>
      <c r="V613" s="174">
        <f>VLOOKUP(D613,原始分!$D:$N,11,0)</f>
        <v>30.5</v>
      </c>
      <c r="W613" s="174">
        <f t="shared" si="125"/>
        <v>448</v>
      </c>
      <c r="X613" s="11">
        <f t="shared" si="126"/>
        <v>272.5</v>
      </c>
      <c r="Y613" s="9">
        <f t="shared" si="127"/>
        <v>510</v>
      </c>
      <c r="Z613" s="11">
        <f t="shared" si="128"/>
        <v>370</v>
      </c>
      <c r="AA613" s="9">
        <f t="shared" si="129"/>
        <v>611</v>
      </c>
    </row>
    <row r="614" ht="14.25" spans="1:27">
      <c r="A614" s="13">
        <v>279</v>
      </c>
      <c r="B614" s="15">
        <v>6</v>
      </c>
      <c r="C614" s="16">
        <v>31</v>
      </c>
      <c r="D614" s="17" t="s">
        <v>569</v>
      </c>
      <c r="E614" s="17" t="s">
        <v>570</v>
      </c>
      <c r="F614" s="174">
        <f>VLOOKUP(D614,原始分!$D:$N,3,0)</f>
        <v>97</v>
      </c>
      <c r="G614" s="174">
        <f t="shared" si="117"/>
        <v>386</v>
      </c>
      <c r="H614" s="174">
        <f>VLOOKUP(D614,原始分!$D:$N,4,0)</f>
        <v>99</v>
      </c>
      <c r="I614" s="174">
        <f t="shared" si="118"/>
        <v>359</v>
      </c>
      <c r="J614" s="174">
        <f>VLOOKUP(D614,原始分!$D:$N,5,0)</f>
        <v>81</v>
      </c>
      <c r="K614" s="174">
        <f t="shared" si="119"/>
        <v>541</v>
      </c>
      <c r="L614" s="174">
        <f>VLOOKUP(D614,原始分!$D:$N,6,0)</f>
        <v>28.5</v>
      </c>
      <c r="M614" s="174">
        <f t="shared" si="120"/>
        <v>621</v>
      </c>
      <c r="N614" s="174">
        <f>VLOOKUP(D614,原始分!$D:$N,7,0)</f>
        <v>0</v>
      </c>
      <c r="O614" s="174">
        <f t="shared" si="121"/>
        <v>1</v>
      </c>
      <c r="P614" s="174">
        <f>VLOOKUP(D614,原始分!$D:$N,8,0)</f>
        <v>0</v>
      </c>
      <c r="Q614" s="174">
        <f t="shared" si="122"/>
        <v>539</v>
      </c>
      <c r="R614" s="174">
        <f>VLOOKUP(D614,原始分!$D:$N,9,0)</f>
        <v>35.5</v>
      </c>
      <c r="S614" s="174">
        <f t="shared" si="123"/>
        <v>211</v>
      </c>
      <c r="T614" s="174">
        <f>VLOOKUP(D614,原始分!$D:$N,10,0)</f>
        <v>0</v>
      </c>
      <c r="U614" s="174">
        <f t="shared" si="124"/>
        <v>112</v>
      </c>
      <c r="V614" s="174">
        <f>VLOOKUP(D614,原始分!$D:$N,11,0)</f>
        <v>28.5</v>
      </c>
      <c r="W614" s="174">
        <f t="shared" si="125"/>
        <v>453</v>
      </c>
      <c r="X614" s="11">
        <f t="shared" si="126"/>
        <v>277</v>
      </c>
      <c r="Y614" s="9">
        <f t="shared" si="127"/>
        <v>485</v>
      </c>
      <c r="Z614" s="11">
        <f t="shared" si="128"/>
        <v>369.5</v>
      </c>
      <c r="AA614" s="9">
        <f t="shared" si="129"/>
        <v>612</v>
      </c>
    </row>
    <row r="615" ht="14.25" spans="1:27">
      <c r="A615" s="13">
        <v>317</v>
      </c>
      <c r="B615" s="15">
        <v>7</v>
      </c>
      <c r="C615" s="16">
        <v>30</v>
      </c>
      <c r="D615" s="17" t="s">
        <v>645</v>
      </c>
      <c r="E615" s="17" t="s">
        <v>646</v>
      </c>
      <c r="F615" s="174">
        <f>VLOOKUP(D615,原始分!$D:$N,3,0)</f>
        <v>97.5</v>
      </c>
      <c r="G615" s="174">
        <f t="shared" si="117"/>
        <v>372</v>
      </c>
      <c r="H615" s="174">
        <f>VLOOKUP(D615,原始分!$D:$N,4,0)</f>
        <v>79</v>
      </c>
      <c r="I615" s="174">
        <f t="shared" si="118"/>
        <v>602</v>
      </c>
      <c r="J615" s="174">
        <f>VLOOKUP(D615,原始分!$D:$N,5,0)</f>
        <v>67</v>
      </c>
      <c r="K615" s="174">
        <f t="shared" si="119"/>
        <v>632</v>
      </c>
      <c r="L615" s="174">
        <f>VLOOKUP(D615,原始分!$D:$N,6,0)</f>
        <v>29.5</v>
      </c>
      <c r="M615" s="174">
        <f t="shared" si="120"/>
        <v>615</v>
      </c>
      <c r="N615" s="174">
        <f>VLOOKUP(D615,原始分!$D:$N,7,0)</f>
        <v>0</v>
      </c>
      <c r="O615" s="174">
        <f t="shared" si="121"/>
        <v>1</v>
      </c>
      <c r="P615" s="174">
        <f>VLOOKUP(D615,原始分!$D:$N,8,0)</f>
        <v>0</v>
      </c>
      <c r="Q615" s="174">
        <f t="shared" si="122"/>
        <v>539</v>
      </c>
      <c r="R615" s="174">
        <f>VLOOKUP(D615,原始分!$D:$N,9,0)</f>
        <v>51</v>
      </c>
      <c r="S615" s="174">
        <f t="shared" si="123"/>
        <v>86</v>
      </c>
      <c r="T615" s="174">
        <f>VLOOKUP(D615,原始分!$D:$N,10,0)</f>
        <v>0</v>
      </c>
      <c r="U615" s="174">
        <f t="shared" si="124"/>
        <v>112</v>
      </c>
      <c r="V615" s="174">
        <f>VLOOKUP(D615,原始分!$D:$N,11,0)</f>
        <v>45</v>
      </c>
      <c r="W615" s="174">
        <f t="shared" si="125"/>
        <v>332</v>
      </c>
      <c r="X615" s="11">
        <f t="shared" si="126"/>
        <v>243.5</v>
      </c>
      <c r="Y615" s="9">
        <f t="shared" si="127"/>
        <v>621</v>
      </c>
      <c r="Z615" s="11">
        <f t="shared" si="128"/>
        <v>369</v>
      </c>
      <c r="AA615" s="9">
        <f t="shared" si="129"/>
        <v>613</v>
      </c>
    </row>
    <row r="616" ht="14.25" spans="1:27">
      <c r="A616" s="13">
        <v>326</v>
      </c>
      <c r="B616" s="15">
        <v>7</v>
      </c>
      <c r="C616" s="16">
        <v>39</v>
      </c>
      <c r="D616" s="17" t="s">
        <v>663</v>
      </c>
      <c r="E616" s="17" t="s">
        <v>664</v>
      </c>
      <c r="F616" s="174">
        <f>VLOOKUP(D616,原始分!$D:$N,3,0)</f>
        <v>98</v>
      </c>
      <c r="G616" s="174">
        <f t="shared" si="117"/>
        <v>349</v>
      </c>
      <c r="H616" s="174">
        <f>VLOOKUP(D616,原始分!$D:$N,4,0)</f>
        <v>59</v>
      </c>
      <c r="I616" s="174">
        <f t="shared" si="118"/>
        <v>651</v>
      </c>
      <c r="J616" s="174">
        <f>VLOOKUP(D616,原始分!$D:$N,5,0)</f>
        <v>79</v>
      </c>
      <c r="K616" s="174">
        <f t="shared" si="119"/>
        <v>561</v>
      </c>
      <c r="L616" s="174">
        <f>VLOOKUP(D616,原始分!$D:$N,6,0)</f>
        <v>27</v>
      </c>
      <c r="M616" s="174">
        <f t="shared" si="120"/>
        <v>631</v>
      </c>
      <c r="N616" s="174">
        <f>VLOOKUP(D616,原始分!$D:$N,7,0)</f>
        <v>0</v>
      </c>
      <c r="O616" s="174">
        <f t="shared" si="121"/>
        <v>1</v>
      </c>
      <c r="P616" s="174">
        <f>VLOOKUP(D616,原始分!$D:$N,8,0)</f>
        <v>0</v>
      </c>
      <c r="Q616" s="174">
        <f t="shared" si="122"/>
        <v>539</v>
      </c>
      <c r="R616" s="174">
        <f>VLOOKUP(D616,原始分!$D:$N,9,0)</f>
        <v>58</v>
      </c>
      <c r="S616" s="174">
        <f t="shared" si="123"/>
        <v>22</v>
      </c>
      <c r="T616" s="174">
        <f>VLOOKUP(D616,原始分!$D:$N,10,0)</f>
        <v>0</v>
      </c>
      <c r="U616" s="174">
        <f t="shared" si="124"/>
        <v>112</v>
      </c>
      <c r="V616" s="174">
        <f>VLOOKUP(D616,原始分!$D:$N,11,0)</f>
        <v>48</v>
      </c>
      <c r="W616" s="174">
        <f t="shared" si="125"/>
        <v>277</v>
      </c>
      <c r="X616" s="11">
        <f t="shared" si="126"/>
        <v>236</v>
      </c>
      <c r="Y616" s="9">
        <f t="shared" si="127"/>
        <v>638</v>
      </c>
      <c r="Z616" s="11">
        <f t="shared" si="128"/>
        <v>369</v>
      </c>
      <c r="AA616" s="9">
        <f t="shared" si="129"/>
        <v>613</v>
      </c>
    </row>
    <row r="617" ht="14.25" spans="1:27">
      <c r="A617" s="13">
        <v>153</v>
      </c>
      <c r="B617" s="15">
        <v>3</v>
      </c>
      <c r="C617" s="16">
        <v>42</v>
      </c>
      <c r="D617" s="17" t="s">
        <v>319</v>
      </c>
      <c r="E617" s="17" t="s">
        <v>320</v>
      </c>
      <c r="F617" s="174">
        <f>VLOOKUP(D617,原始分!$D:$N,3,0)</f>
        <v>91.25</v>
      </c>
      <c r="G617" s="174">
        <f t="shared" si="117"/>
        <v>551</v>
      </c>
      <c r="H617" s="174">
        <f>VLOOKUP(D617,原始分!$D:$N,4,0)</f>
        <v>67.5</v>
      </c>
      <c r="I617" s="174">
        <f t="shared" si="118"/>
        <v>637</v>
      </c>
      <c r="J617" s="174">
        <f>VLOOKUP(D617,原始分!$D:$N,5,0)</f>
        <v>95</v>
      </c>
      <c r="K617" s="174">
        <f t="shared" si="119"/>
        <v>338</v>
      </c>
      <c r="L617" s="174">
        <f>VLOOKUP(D617,原始分!$D:$N,6,0)</f>
        <v>26</v>
      </c>
      <c r="M617" s="174">
        <f t="shared" si="120"/>
        <v>635</v>
      </c>
      <c r="N617" s="174">
        <f>VLOOKUP(D617,原始分!$D:$N,7,0)</f>
        <v>0</v>
      </c>
      <c r="O617" s="174">
        <f t="shared" si="121"/>
        <v>1</v>
      </c>
      <c r="P617" s="174">
        <f>VLOOKUP(D617,原始分!$D:$N,8,0)</f>
        <v>30</v>
      </c>
      <c r="Q617" s="174">
        <f t="shared" si="122"/>
        <v>472</v>
      </c>
      <c r="R617" s="174">
        <f>VLOOKUP(D617,原始分!$D:$N,9,0)</f>
        <v>58.75</v>
      </c>
      <c r="S617" s="174">
        <f t="shared" si="123"/>
        <v>19</v>
      </c>
      <c r="T617" s="174">
        <f>VLOOKUP(D617,原始分!$D:$N,10,0)</f>
        <v>0</v>
      </c>
      <c r="U617" s="174">
        <f t="shared" si="124"/>
        <v>112</v>
      </c>
      <c r="V617" s="174">
        <f>VLOOKUP(D617,原始分!$D:$N,11,0)</f>
        <v>0</v>
      </c>
      <c r="W617" s="174">
        <f t="shared" si="125"/>
        <v>461</v>
      </c>
      <c r="X617" s="11">
        <f t="shared" si="126"/>
        <v>253.75</v>
      </c>
      <c r="Y617" s="9">
        <f t="shared" si="127"/>
        <v>601</v>
      </c>
      <c r="Z617" s="11">
        <f t="shared" si="128"/>
        <v>368.5</v>
      </c>
      <c r="AA617" s="9">
        <f t="shared" si="129"/>
        <v>615</v>
      </c>
    </row>
    <row r="618" ht="14.25" spans="1:27">
      <c r="A618" s="13">
        <v>604</v>
      </c>
      <c r="B618" s="15">
        <v>12</v>
      </c>
      <c r="C618" s="16">
        <v>54</v>
      </c>
      <c r="D618" s="17" t="s">
        <v>1216</v>
      </c>
      <c r="E618" s="17" t="s">
        <v>1217</v>
      </c>
      <c r="F618" s="174">
        <f>VLOOKUP(D618,原始分!$D:$N,3,0)</f>
        <v>85.5</v>
      </c>
      <c r="G618" s="174">
        <f t="shared" si="117"/>
        <v>629</v>
      </c>
      <c r="H618" s="174">
        <f>VLOOKUP(D618,原始分!$D:$N,4,0)</f>
        <v>94.5</v>
      </c>
      <c r="I618" s="174">
        <f t="shared" si="118"/>
        <v>431</v>
      </c>
      <c r="J618" s="174">
        <f>VLOOKUP(D618,原始分!$D:$N,5,0)</f>
        <v>67</v>
      </c>
      <c r="K618" s="174">
        <f t="shared" si="119"/>
        <v>632</v>
      </c>
      <c r="L618" s="174">
        <f>VLOOKUP(D618,原始分!$D:$N,6,0)</f>
        <v>44</v>
      </c>
      <c r="M618" s="174">
        <f t="shared" si="120"/>
        <v>441</v>
      </c>
      <c r="N618" s="174">
        <f>VLOOKUP(D618,原始分!$D:$N,7,0)</f>
        <v>0</v>
      </c>
      <c r="O618" s="174">
        <f t="shared" si="121"/>
        <v>1</v>
      </c>
      <c r="P618" s="174">
        <f>VLOOKUP(D618,原始分!$D:$N,8,0)</f>
        <v>33</v>
      </c>
      <c r="Q618" s="174">
        <f t="shared" si="122"/>
        <v>433</v>
      </c>
      <c r="R618" s="174">
        <f>VLOOKUP(D618,原始分!$D:$N,9,0)</f>
        <v>0</v>
      </c>
      <c r="S618" s="174">
        <f t="shared" si="123"/>
        <v>218</v>
      </c>
      <c r="T618" s="174">
        <f>VLOOKUP(D618,原始分!$D:$N,10,0)</f>
        <v>0</v>
      </c>
      <c r="U618" s="174">
        <f t="shared" si="124"/>
        <v>112</v>
      </c>
      <c r="V618" s="174">
        <f>VLOOKUP(D618,原始分!$D:$N,11,0)</f>
        <v>44.5</v>
      </c>
      <c r="W618" s="174">
        <f t="shared" si="125"/>
        <v>343</v>
      </c>
      <c r="X618" s="11">
        <f t="shared" si="126"/>
        <v>247</v>
      </c>
      <c r="Y618" s="9">
        <f t="shared" si="127"/>
        <v>616</v>
      </c>
      <c r="Z618" s="11">
        <f t="shared" si="128"/>
        <v>368.5</v>
      </c>
      <c r="AA618" s="9">
        <f t="shared" si="129"/>
        <v>615</v>
      </c>
    </row>
    <row r="619" ht="14.25" spans="1:27">
      <c r="A619" s="13">
        <v>298</v>
      </c>
      <c r="B619" s="15">
        <v>7</v>
      </c>
      <c r="C619" s="16">
        <v>9</v>
      </c>
      <c r="D619" s="17" t="s">
        <v>607</v>
      </c>
      <c r="E619" s="17" t="s">
        <v>608</v>
      </c>
      <c r="F619" s="174">
        <f>VLOOKUP(D619,原始分!$D:$N,3,0)</f>
        <v>94</v>
      </c>
      <c r="G619" s="174">
        <f t="shared" si="117"/>
        <v>478</v>
      </c>
      <c r="H619" s="174">
        <f>VLOOKUP(D619,原始分!$D:$N,4,0)</f>
        <v>88</v>
      </c>
      <c r="I619" s="174">
        <f t="shared" si="118"/>
        <v>522</v>
      </c>
      <c r="J619" s="174">
        <f>VLOOKUP(D619,原始分!$D:$N,5,0)</f>
        <v>81</v>
      </c>
      <c r="K619" s="174">
        <f t="shared" si="119"/>
        <v>541</v>
      </c>
      <c r="L619" s="174">
        <f>VLOOKUP(D619,原始分!$D:$N,6,0)</f>
        <v>17</v>
      </c>
      <c r="M619" s="174">
        <f t="shared" si="120"/>
        <v>659</v>
      </c>
      <c r="N619" s="174">
        <f>VLOOKUP(D619,原始分!$D:$N,7,0)</f>
        <v>0</v>
      </c>
      <c r="O619" s="174">
        <f t="shared" si="121"/>
        <v>1</v>
      </c>
      <c r="P619" s="174">
        <f>VLOOKUP(D619,原始分!$D:$N,8,0)</f>
        <v>0</v>
      </c>
      <c r="Q619" s="174">
        <f t="shared" si="122"/>
        <v>539</v>
      </c>
      <c r="R619" s="174">
        <f>VLOOKUP(D619,原始分!$D:$N,9,0)</f>
        <v>51</v>
      </c>
      <c r="S619" s="174">
        <f t="shared" si="123"/>
        <v>86</v>
      </c>
      <c r="T619" s="174">
        <f>VLOOKUP(D619,原始分!$D:$N,10,0)</f>
        <v>0</v>
      </c>
      <c r="U619" s="174">
        <f t="shared" si="124"/>
        <v>112</v>
      </c>
      <c r="V619" s="174">
        <f>VLOOKUP(D619,原始分!$D:$N,11,0)</f>
        <v>37</v>
      </c>
      <c r="W619" s="174">
        <f t="shared" si="125"/>
        <v>420</v>
      </c>
      <c r="X619" s="11">
        <f t="shared" si="126"/>
        <v>263</v>
      </c>
      <c r="Y619" s="9">
        <f t="shared" si="127"/>
        <v>569</v>
      </c>
      <c r="Z619" s="11">
        <f t="shared" si="128"/>
        <v>368</v>
      </c>
      <c r="AA619" s="9">
        <f t="shared" si="129"/>
        <v>617</v>
      </c>
    </row>
    <row r="620" ht="14.25" spans="1:27">
      <c r="A620" s="13">
        <v>310</v>
      </c>
      <c r="B620" s="15">
        <v>7</v>
      </c>
      <c r="C620" s="16">
        <v>21</v>
      </c>
      <c r="D620" s="17" t="s">
        <v>631</v>
      </c>
      <c r="E620" s="17" t="s">
        <v>632</v>
      </c>
      <c r="F620" s="174">
        <f>VLOOKUP(D620,原始分!$D:$N,3,0)</f>
        <v>93.5</v>
      </c>
      <c r="G620" s="174">
        <f t="shared" si="117"/>
        <v>491</v>
      </c>
      <c r="H620" s="174">
        <f>VLOOKUP(D620,原始分!$D:$N,4,0)</f>
        <v>83.5</v>
      </c>
      <c r="I620" s="174">
        <f t="shared" si="118"/>
        <v>572</v>
      </c>
      <c r="J620" s="174">
        <f>VLOOKUP(D620,原始分!$D:$N,5,0)</f>
        <v>62.5</v>
      </c>
      <c r="K620" s="174">
        <f t="shared" si="119"/>
        <v>645</v>
      </c>
      <c r="L620" s="174">
        <f>VLOOKUP(D620,原始分!$D:$N,6,0)</f>
        <v>37.5</v>
      </c>
      <c r="M620" s="174">
        <f t="shared" si="120"/>
        <v>543</v>
      </c>
      <c r="N620" s="174">
        <f>VLOOKUP(D620,原始分!$D:$N,7,0)</f>
        <v>0</v>
      </c>
      <c r="O620" s="174">
        <f t="shared" si="121"/>
        <v>1</v>
      </c>
      <c r="P620" s="174">
        <f>VLOOKUP(D620,原始分!$D:$N,8,0)</f>
        <v>0</v>
      </c>
      <c r="Q620" s="174">
        <f t="shared" si="122"/>
        <v>539</v>
      </c>
      <c r="R620" s="174">
        <f>VLOOKUP(D620,原始分!$D:$N,9,0)</f>
        <v>46</v>
      </c>
      <c r="S620" s="174">
        <f t="shared" si="123"/>
        <v>144</v>
      </c>
      <c r="T620" s="174">
        <f>VLOOKUP(D620,原始分!$D:$N,10,0)</f>
        <v>0</v>
      </c>
      <c r="U620" s="174">
        <f t="shared" si="124"/>
        <v>112</v>
      </c>
      <c r="V620" s="174">
        <f>VLOOKUP(D620,原始分!$D:$N,11,0)</f>
        <v>45</v>
      </c>
      <c r="W620" s="174">
        <f t="shared" si="125"/>
        <v>332</v>
      </c>
      <c r="X620" s="11">
        <f t="shared" si="126"/>
        <v>239.5</v>
      </c>
      <c r="Y620" s="9">
        <f t="shared" si="127"/>
        <v>633</v>
      </c>
      <c r="Z620" s="11">
        <f t="shared" si="128"/>
        <v>368</v>
      </c>
      <c r="AA620" s="9">
        <f t="shared" si="129"/>
        <v>617</v>
      </c>
    </row>
    <row r="621" ht="14.25" spans="1:27">
      <c r="A621" s="13">
        <v>220</v>
      </c>
      <c r="B621" s="15">
        <v>5</v>
      </c>
      <c r="C621" s="16">
        <v>17</v>
      </c>
      <c r="D621" s="17" t="s">
        <v>453</v>
      </c>
      <c r="E621" s="17" t="s">
        <v>454</v>
      </c>
      <c r="F621" s="174">
        <f>VLOOKUP(D621,原始分!$D:$N,3,0)</f>
        <v>103.5</v>
      </c>
      <c r="G621" s="174">
        <f t="shared" si="117"/>
        <v>146</v>
      </c>
      <c r="H621" s="174">
        <f>VLOOKUP(D621,原始分!$D:$N,4,0)</f>
        <v>69</v>
      </c>
      <c r="I621" s="174">
        <f t="shared" si="118"/>
        <v>636</v>
      </c>
      <c r="J621" s="174">
        <f>VLOOKUP(D621,原始分!$D:$N,5,0)</f>
        <v>78</v>
      </c>
      <c r="K621" s="174">
        <f t="shared" si="119"/>
        <v>567</v>
      </c>
      <c r="L621" s="174">
        <f>VLOOKUP(D621,原始分!$D:$N,6,0)</f>
        <v>36.5</v>
      </c>
      <c r="M621" s="174">
        <f t="shared" si="120"/>
        <v>554</v>
      </c>
      <c r="N621" s="174">
        <f>VLOOKUP(D621,原始分!$D:$N,7,0)</f>
        <v>0</v>
      </c>
      <c r="O621" s="174">
        <f t="shared" si="121"/>
        <v>1</v>
      </c>
      <c r="P621" s="174">
        <f>VLOOKUP(D621,原始分!$D:$N,8,0)</f>
        <v>40</v>
      </c>
      <c r="Q621" s="174">
        <f t="shared" si="122"/>
        <v>314</v>
      </c>
      <c r="R621" s="174">
        <f>VLOOKUP(D621,原始分!$D:$N,9,0)</f>
        <v>40.5</v>
      </c>
      <c r="S621" s="174">
        <f t="shared" si="123"/>
        <v>192</v>
      </c>
      <c r="T621" s="174">
        <f>VLOOKUP(D621,原始分!$D:$N,10,0)</f>
        <v>0</v>
      </c>
      <c r="U621" s="174">
        <f t="shared" si="124"/>
        <v>112</v>
      </c>
      <c r="V621" s="174">
        <f>VLOOKUP(D621,原始分!$D:$N,11,0)</f>
        <v>0</v>
      </c>
      <c r="W621" s="174">
        <f t="shared" si="125"/>
        <v>461</v>
      </c>
      <c r="X621" s="11">
        <f t="shared" si="126"/>
        <v>250.5</v>
      </c>
      <c r="Y621" s="9">
        <f t="shared" si="127"/>
        <v>608</v>
      </c>
      <c r="Z621" s="11">
        <f t="shared" si="128"/>
        <v>367.5</v>
      </c>
      <c r="AA621" s="9">
        <f t="shared" si="129"/>
        <v>619</v>
      </c>
    </row>
    <row r="622" ht="14.25" spans="1:27">
      <c r="A622" s="13">
        <v>536</v>
      </c>
      <c r="B622" s="15">
        <v>11</v>
      </c>
      <c r="C622" s="16">
        <v>42</v>
      </c>
      <c r="D622" s="17" t="s">
        <v>1081</v>
      </c>
      <c r="E622" s="17" t="s">
        <v>1082</v>
      </c>
      <c r="F622" s="174">
        <f>VLOOKUP(D622,原始分!$D:$N,3,0)</f>
        <v>94.5</v>
      </c>
      <c r="G622" s="174">
        <f t="shared" si="117"/>
        <v>461</v>
      </c>
      <c r="H622" s="174">
        <f>VLOOKUP(D622,原始分!$D:$N,4,0)</f>
        <v>100.5</v>
      </c>
      <c r="I622" s="174">
        <f t="shared" si="118"/>
        <v>343</v>
      </c>
      <c r="J622" s="174">
        <f>VLOOKUP(D622,原始分!$D:$N,5,0)</f>
        <v>37.75</v>
      </c>
      <c r="K622" s="174">
        <f t="shared" si="119"/>
        <v>661</v>
      </c>
      <c r="L622" s="174">
        <f>VLOOKUP(D622,原始分!$D:$N,6,0)</f>
        <v>54.5</v>
      </c>
      <c r="M622" s="174">
        <f t="shared" si="120"/>
        <v>281</v>
      </c>
      <c r="N622" s="174">
        <f>VLOOKUP(D622,原始分!$D:$N,7,0)</f>
        <v>0</v>
      </c>
      <c r="O622" s="174">
        <f t="shared" si="121"/>
        <v>1</v>
      </c>
      <c r="P622" s="174">
        <f>VLOOKUP(D622,原始分!$D:$N,8,0)</f>
        <v>29.5</v>
      </c>
      <c r="Q622" s="174">
        <f t="shared" si="122"/>
        <v>478</v>
      </c>
      <c r="R622" s="174">
        <f>VLOOKUP(D622,原始分!$D:$N,9,0)</f>
        <v>0</v>
      </c>
      <c r="S622" s="174">
        <f t="shared" si="123"/>
        <v>218</v>
      </c>
      <c r="T622" s="174">
        <f>VLOOKUP(D622,原始分!$D:$N,10,0)</f>
        <v>0</v>
      </c>
      <c r="U622" s="174">
        <f t="shared" si="124"/>
        <v>112</v>
      </c>
      <c r="V622" s="174">
        <f>VLOOKUP(D622,原始分!$D:$N,11,0)</f>
        <v>49.5</v>
      </c>
      <c r="W622" s="174">
        <f t="shared" si="125"/>
        <v>256</v>
      </c>
      <c r="X622" s="11">
        <f t="shared" si="126"/>
        <v>232.75</v>
      </c>
      <c r="Y622" s="9">
        <f t="shared" si="127"/>
        <v>641</v>
      </c>
      <c r="Z622" s="11">
        <f t="shared" si="128"/>
        <v>366.25</v>
      </c>
      <c r="AA622" s="9">
        <f t="shared" si="129"/>
        <v>620</v>
      </c>
    </row>
    <row r="623" ht="14.25" spans="1:27">
      <c r="A623" s="13">
        <v>367</v>
      </c>
      <c r="B623" s="15">
        <v>8</v>
      </c>
      <c r="C623" s="16">
        <v>41</v>
      </c>
      <c r="D623" s="17" t="s">
        <v>744</v>
      </c>
      <c r="E623" s="17" t="s">
        <v>745</v>
      </c>
      <c r="F623" s="174">
        <f>VLOOKUP(D623,原始分!$D:$N,3,0)</f>
        <v>93</v>
      </c>
      <c r="G623" s="174">
        <f t="shared" si="117"/>
        <v>505</v>
      </c>
      <c r="H623" s="174">
        <f>VLOOKUP(D623,原始分!$D:$N,4,0)</f>
        <v>77.5</v>
      </c>
      <c r="I623" s="174">
        <f t="shared" si="118"/>
        <v>609</v>
      </c>
      <c r="J623" s="174">
        <f>VLOOKUP(D623,原始分!$D:$N,5,0)</f>
        <v>88.5</v>
      </c>
      <c r="K623" s="174">
        <f t="shared" si="119"/>
        <v>435</v>
      </c>
      <c r="L623" s="174">
        <f>VLOOKUP(D623,原始分!$D:$N,6,0)</f>
        <v>44</v>
      </c>
      <c r="M623" s="174">
        <f t="shared" si="120"/>
        <v>441</v>
      </c>
      <c r="N623" s="174">
        <f>VLOOKUP(D623,原始分!$D:$N,7,0)</f>
        <v>0</v>
      </c>
      <c r="O623" s="174">
        <f t="shared" si="121"/>
        <v>1</v>
      </c>
      <c r="P623" s="174">
        <f>VLOOKUP(D623,原始分!$D:$N,8,0)</f>
        <v>27</v>
      </c>
      <c r="Q623" s="174">
        <f t="shared" si="122"/>
        <v>496</v>
      </c>
      <c r="R623" s="174">
        <f>VLOOKUP(D623,原始分!$D:$N,9,0)</f>
        <v>0</v>
      </c>
      <c r="S623" s="174">
        <f t="shared" si="123"/>
        <v>218</v>
      </c>
      <c r="T623" s="174">
        <f>VLOOKUP(D623,原始分!$D:$N,10,0)</f>
        <v>0</v>
      </c>
      <c r="U623" s="174">
        <f t="shared" si="124"/>
        <v>112</v>
      </c>
      <c r="V623" s="174">
        <f>VLOOKUP(D623,原始分!$D:$N,11,0)</f>
        <v>36</v>
      </c>
      <c r="W623" s="174">
        <f t="shared" si="125"/>
        <v>424</v>
      </c>
      <c r="X623" s="11">
        <f t="shared" si="126"/>
        <v>259</v>
      </c>
      <c r="Y623" s="9">
        <f t="shared" si="127"/>
        <v>585</v>
      </c>
      <c r="Z623" s="11">
        <f t="shared" si="128"/>
        <v>366</v>
      </c>
      <c r="AA623" s="9">
        <f t="shared" si="129"/>
        <v>621</v>
      </c>
    </row>
    <row r="624" ht="14.25" spans="1:27">
      <c r="A624" s="13">
        <v>53</v>
      </c>
      <c r="B624" s="15">
        <v>1</v>
      </c>
      <c r="C624" s="16">
        <v>55</v>
      </c>
      <c r="D624" s="17" t="s">
        <v>120</v>
      </c>
      <c r="E624" s="17" t="s">
        <v>121</v>
      </c>
      <c r="F624" s="174">
        <f>VLOOKUP(D624,原始分!$D:$N,3,0)</f>
        <v>98.25</v>
      </c>
      <c r="G624" s="174">
        <f t="shared" si="117"/>
        <v>343</v>
      </c>
      <c r="H624" s="174">
        <f>VLOOKUP(D624,原始分!$D:$N,4,0)</f>
        <v>50</v>
      </c>
      <c r="I624" s="174">
        <f t="shared" si="118"/>
        <v>658</v>
      </c>
      <c r="J624" s="174">
        <f>VLOOKUP(D624,原始分!$D:$N,5,0)</f>
        <v>94.5</v>
      </c>
      <c r="K624" s="174">
        <f t="shared" si="119"/>
        <v>349</v>
      </c>
      <c r="L624" s="174">
        <f>VLOOKUP(D624,原始分!$D:$N,6,0)</f>
        <v>27.5</v>
      </c>
      <c r="M624" s="174">
        <f t="shared" si="120"/>
        <v>627</v>
      </c>
      <c r="N624" s="174">
        <f>VLOOKUP(D624,原始分!$D:$N,7,0)</f>
        <v>0</v>
      </c>
      <c r="O624" s="174">
        <f t="shared" si="121"/>
        <v>1</v>
      </c>
      <c r="P624" s="174">
        <f>VLOOKUP(D624,原始分!$D:$N,8,0)</f>
        <v>36</v>
      </c>
      <c r="Q624" s="174">
        <f t="shared" si="122"/>
        <v>384</v>
      </c>
      <c r="R624" s="174">
        <f>VLOOKUP(D624,原始分!$D:$N,9,0)</f>
        <v>0</v>
      </c>
      <c r="S624" s="174">
        <f t="shared" si="123"/>
        <v>218</v>
      </c>
      <c r="T624" s="174">
        <f>VLOOKUP(D624,原始分!$D:$N,10,0)</f>
        <v>59</v>
      </c>
      <c r="U624" s="174">
        <f t="shared" si="124"/>
        <v>30</v>
      </c>
      <c r="V624" s="174">
        <f>VLOOKUP(D624,原始分!$D:$N,11,0)</f>
        <v>0</v>
      </c>
      <c r="W624" s="174">
        <f t="shared" si="125"/>
        <v>461</v>
      </c>
      <c r="X624" s="11">
        <f t="shared" si="126"/>
        <v>242.75</v>
      </c>
      <c r="Y624" s="9">
        <f t="shared" si="127"/>
        <v>623</v>
      </c>
      <c r="Z624" s="11">
        <f t="shared" si="128"/>
        <v>365.25</v>
      </c>
      <c r="AA624" s="9">
        <f t="shared" si="129"/>
        <v>622</v>
      </c>
    </row>
    <row r="625" ht="14.25" spans="1:27">
      <c r="A625" s="13">
        <v>192</v>
      </c>
      <c r="B625" s="15">
        <v>4</v>
      </c>
      <c r="C625" s="16">
        <v>34</v>
      </c>
      <c r="D625" s="17" t="s">
        <v>397</v>
      </c>
      <c r="E625" s="17" t="s">
        <v>398</v>
      </c>
      <c r="F625" s="174">
        <f>VLOOKUP(D625,原始分!$D:$N,3,0)</f>
        <v>84.5</v>
      </c>
      <c r="G625" s="174">
        <f t="shared" si="117"/>
        <v>636</v>
      </c>
      <c r="H625" s="174">
        <f>VLOOKUP(D625,原始分!$D:$N,4,0)</f>
        <v>86</v>
      </c>
      <c r="I625" s="174">
        <f t="shared" si="118"/>
        <v>550</v>
      </c>
      <c r="J625" s="174">
        <f>VLOOKUP(D625,原始分!$D:$N,5,0)</f>
        <v>70</v>
      </c>
      <c r="K625" s="174">
        <f t="shared" si="119"/>
        <v>625</v>
      </c>
      <c r="L625" s="174">
        <f>VLOOKUP(D625,原始分!$D:$N,6,0)</f>
        <v>54.5</v>
      </c>
      <c r="M625" s="174">
        <f t="shared" si="120"/>
        <v>281</v>
      </c>
      <c r="N625" s="174">
        <f>VLOOKUP(D625,原始分!$D:$N,7,0)</f>
        <v>0</v>
      </c>
      <c r="O625" s="174">
        <f t="shared" si="121"/>
        <v>1</v>
      </c>
      <c r="P625" s="174">
        <f>VLOOKUP(D625,原始分!$D:$N,8,0)</f>
        <v>24</v>
      </c>
      <c r="Q625" s="174">
        <f t="shared" si="122"/>
        <v>516</v>
      </c>
      <c r="R625" s="174">
        <f>VLOOKUP(D625,原始分!$D:$N,9,0)</f>
        <v>46</v>
      </c>
      <c r="S625" s="174">
        <f t="shared" si="123"/>
        <v>144</v>
      </c>
      <c r="T625" s="174">
        <f>VLOOKUP(D625,原始分!$D:$N,10,0)</f>
        <v>0</v>
      </c>
      <c r="U625" s="174">
        <f t="shared" si="124"/>
        <v>112</v>
      </c>
      <c r="V625" s="174">
        <f>VLOOKUP(D625,原始分!$D:$N,11,0)</f>
        <v>0</v>
      </c>
      <c r="W625" s="174">
        <f t="shared" si="125"/>
        <v>461</v>
      </c>
      <c r="X625" s="11">
        <f t="shared" si="126"/>
        <v>240.5</v>
      </c>
      <c r="Y625" s="9">
        <f t="shared" si="127"/>
        <v>632</v>
      </c>
      <c r="Z625" s="11">
        <f t="shared" si="128"/>
        <v>365</v>
      </c>
      <c r="AA625" s="9">
        <f t="shared" si="129"/>
        <v>623</v>
      </c>
    </row>
    <row r="626" ht="14.25" spans="1:27">
      <c r="A626" s="13">
        <v>501</v>
      </c>
      <c r="B626" s="15">
        <v>11</v>
      </c>
      <c r="C626" s="16">
        <v>5</v>
      </c>
      <c r="D626" s="17" t="s">
        <v>1012</v>
      </c>
      <c r="E626" s="17" t="s">
        <v>1013</v>
      </c>
      <c r="F626" s="174">
        <f>VLOOKUP(D626,原始分!$D:$N,3,0)</f>
        <v>90</v>
      </c>
      <c r="G626" s="174">
        <f t="shared" si="117"/>
        <v>581</v>
      </c>
      <c r="H626" s="174">
        <f>VLOOKUP(D626,原始分!$D:$N,4,0)</f>
        <v>75</v>
      </c>
      <c r="I626" s="174">
        <f t="shared" si="118"/>
        <v>616</v>
      </c>
      <c r="J626" s="174">
        <f>VLOOKUP(D626,原始分!$D:$N,5,0)</f>
        <v>76.5</v>
      </c>
      <c r="K626" s="174">
        <f t="shared" si="119"/>
        <v>581</v>
      </c>
      <c r="L626" s="174">
        <f>VLOOKUP(D626,原始分!$D:$N,6,0)</f>
        <v>51.5</v>
      </c>
      <c r="M626" s="174">
        <f t="shared" si="120"/>
        <v>313</v>
      </c>
      <c r="N626" s="174">
        <f>VLOOKUP(D626,原始分!$D:$N,7,0)</f>
        <v>0</v>
      </c>
      <c r="O626" s="174">
        <f t="shared" si="121"/>
        <v>1</v>
      </c>
      <c r="P626" s="174">
        <f>VLOOKUP(D626,原始分!$D:$N,8,0)</f>
        <v>31</v>
      </c>
      <c r="Q626" s="174">
        <f t="shared" si="122"/>
        <v>463</v>
      </c>
      <c r="R626" s="174">
        <f>VLOOKUP(D626,原始分!$D:$N,9,0)</f>
        <v>0</v>
      </c>
      <c r="S626" s="174">
        <f t="shared" si="123"/>
        <v>218</v>
      </c>
      <c r="T626" s="174">
        <f>VLOOKUP(D626,原始分!$D:$N,10,0)</f>
        <v>0</v>
      </c>
      <c r="U626" s="174">
        <f t="shared" si="124"/>
        <v>112</v>
      </c>
      <c r="V626" s="174">
        <f>VLOOKUP(D626,原始分!$D:$N,11,0)</f>
        <v>40</v>
      </c>
      <c r="W626" s="174">
        <f t="shared" si="125"/>
        <v>403</v>
      </c>
      <c r="X626" s="11">
        <f t="shared" si="126"/>
        <v>241.5</v>
      </c>
      <c r="Y626" s="9">
        <f t="shared" si="127"/>
        <v>628</v>
      </c>
      <c r="Z626" s="11">
        <f t="shared" si="128"/>
        <v>364</v>
      </c>
      <c r="AA626" s="9">
        <f t="shared" si="129"/>
        <v>624</v>
      </c>
    </row>
    <row r="627" ht="14.25" spans="1:27">
      <c r="A627" s="13">
        <v>542</v>
      </c>
      <c r="B627" s="15">
        <v>11</v>
      </c>
      <c r="C627" s="16">
        <v>48</v>
      </c>
      <c r="D627" s="17" t="s">
        <v>1092</v>
      </c>
      <c r="E627" s="17" t="s">
        <v>1093</v>
      </c>
      <c r="F627" s="174">
        <f>VLOOKUP(D627,原始分!$D:$N,3,0)</f>
        <v>109</v>
      </c>
      <c r="G627" s="174">
        <f t="shared" si="117"/>
        <v>35</v>
      </c>
      <c r="H627" s="174">
        <f>VLOOKUP(D627,原始分!$D:$N,4,0)</f>
        <v>85</v>
      </c>
      <c r="I627" s="174">
        <f t="shared" si="118"/>
        <v>556</v>
      </c>
      <c r="J627" s="174">
        <f>VLOOKUP(D627,原始分!$D:$N,5,0)</f>
        <v>47.5</v>
      </c>
      <c r="K627" s="174">
        <f t="shared" si="119"/>
        <v>658</v>
      </c>
      <c r="L627" s="174">
        <f>VLOOKUP(D627,原始分!$D:$N,6,0)</f>
        <v>49.5</v>
      </c>
      <c r="M627" s="174">
        <f t="shared" si="120"/>
        <v>341</v>
      </c>
      <c r="N627" s="174">
        <f>VLOOKUP(D627,原始分!$D:$N,7,0)</f>
        <v>0</v>
      </c>
      <c r="O627" s="174">
        <f t="shared" si="121"/>
        <v>1</v>
      </c>
      <c r="P627" s="174">
        <f>VLOOKUP(D627,原始分!$D:$N,8,0)</f>
        <v>33.5</v>
      </c>
      <c r="Q627" s="174">
        <f t="shared" si="122"/>
        <v>420</v>
      </c>
      <c r="R627" s="174">
        <f>VLOOKUP(D627,原始分!$D:$N,9,0)</f>
        <v>0</v>
      </c>
      <c r="S627" s="174">
        <f t="shared" si="123"/>
        <v>218</v>
      </c>
      <c r="T627" s="174">
        <f>VLOOKUP(D627,原始分!$D:$N,10,0)</f>
        <v>0</v>
      </c>
      <c r="U627" s="174">
        <f t="shared" si="124"/>
        <v>112</v>
      </c>
      <c r="V627" s="174">
        <f>VLOOKUP(D627,原始分!$D:$N,11,0)</f>
        <v>38.5</v>
      </c>
      <c r="W627" s="174">
        <f t="shared" si="125"/>
        <v>412</v>
      </c>
      <c r="X627" s="11">
        <f t="shared" si="126"/>
        <v>241.5</v>
      </c>
      <c r="Y627" s="9">
        <f t="shared" si="127"/>
        <v>628</v>
      </c>
      <c r="Z627" s="11">
        <f t="shared" si="128"/>
        <v>363</v>
      </c>
      <c r="AA627" s="9">
        <f t="shared" si="129"/>
        <v>625</v>
      </c>
    </row>
    <row r="628" ht="14.25" spans="1:27">
      <c r="A628" s="13">
        <v>232</v>
      </c>
      <c r="B628" s="15">
        <v>5</v>
      </c>
      <c r="C628" s="16">
        <v>29</v>
      </c>
      <c r="D628" s="17" t="s">
        <v>477</v>
      </c>
      <c r="E628" s="17" t="s">
        <v>478</v>
      </c>
      <c r="F628" s="174">
        <f>VLOOKUP(D628,原始分!$D:$N,3,0)</f>
        <v>76</v>
      </c>
      <c r="G628" s="174">
        <f t="shared" si="117"/>
        <v>658</v>
      </c>
      <c r="H628" s="174">
        <f>VLOOKUP(D628,原始分!$D:$N,4,0)</f>
        <v>111</v>
      </c>
      <c r="I628" s="174">
        <f t="shared" si="118"/>
        <v>176</v>
      </c>
      <c r="J628" s="174">
        <f>VLOOKUP(D628,原始分!$D:$N,5,0)</f>
        <v>82.25</v>
      </c>
      <c r="K628" s="174">
        <f t="shared" si="119"/>
        <v>527</v>
      </c>
      <c r="L628" s="174">
        <f>VLOOKUP(D628,原始分!$D:$N,6,0)</f>
        <v>29.5</v>
      </c>
      <c r="M628" s="174">
        <f t="shared" si="120"/>
        <v>615</v>
      </c>
      <c r="N628" s="174">
        <f>VLOOKUP(D628,原始分!$D:$N,7,0)</f>
        <v>0</v>
      </c>
      <c r="O628" s="174">
        <f t="shared" si="121"/>
        <v>1</v>
      </c>
      <c r="P628" s="174">
        <f>VLOOKUP(D628,原始分!$D:$N,8,0)</f>
        <v>25</v>
      </c>
      <c r="Q628" s="174">
        <f t="shared" si="122"/>
        <v>508</v>
      </c>
      <c r="R628" s="174">
        <f>VLOOKUP(D628,原始分!$D:$N,9,0)</f>
        <v>36</v>
      </c>
      <c r="S628" s="174">
        <f t="shared" si="123"/>
        <v>209</v>
      </c>
      <c r="T628" s="174">
        <f>VLOOKUP(D628,原始分!$D:$N,10,0)</f>
        <v>0</v>
      </c>
      <c r="U628" s="174">
        <f t="shared" si="124"/>
        <v>112</v>
      </c>
      <c r="V628" s="174">
        <f>VLOOKUP(D628,原始分!$D:$N,11,0)</f>
        <v>0</v>
      </c>
      <c r="W628" s="174">
        <f t="shared" si="125"/>
        <v>461</v>
      </c>
      <c r="X628" s="11">
        <f t="shared" si="126"/>
        <v>269.25</v>
      </c>
      <c r="Y628" s="9">
        <f t="shared" si="127"/>
        <v>537</v>
      </c>
      <c r="Z628" s="11">
        <f t="shared" si="128"/>
        <v>359.75</v>
      </c>
      <c r="AA628" s="9">
        <f t="shared" si="129"/>
        <v>626</v>
      </c>
    </row>
    <row r="629" ht="14.25" spans="1:27">
      <c r="A629" s="13">
        <v>154</v>
      </c>
      <c r="B629" s="15">
        <v>3</v>
      </c>
      <c r="C629" s="16">
        <v>43</v>
      </c>
      <c r="D629" s="17" t="s">
        <v>321</v>
      </c>
      <c r="E629" s="17" t="s">
        <v>322</v>
      </c>
      <c r="F629" s="174">
        <f>VLOOKUP(D629,原始分!$D:$N,3,0)</f>
        <v>99</v>
      </c>
      <c r="G629" s="174">
        <f t="shared" si="117"/>
        <v>304</v>
      </c>
      <c r="H629" s="174">
        <f>VLOOKUP(D629,原始分!$D:$N,4,0)</f>
        <v>105.5</v>
      </c>
      <c r="I629" s="174">
        <f t="shared" si="118"/>
        <v>265</v>
      </c>
      <c r="J629" s="174">
        <f>VLOOKUP(D629,原始分!$D:$N,5,0)</f>
        <v>77.5</v>
      </c>
      <c r="K629" s="174">
        <f t="shared" si="119"/>
        <v>571</v>
      </c>
      <c r="L629" s="174">
        <f>VLOOKUP(D629,原始分!$D:$N,6,0)</f>
        <v>25</v>
      </c>
      <c r="M629" s="174">
        <f t="shared" si="120"/>
        <v>638</v>
      </c>
      <c r="N629" s="174">
        <f>VLOOKUP(D629,原始分!$D:$N,7,0)</f>
        <v>0</v>
      </c>
      <c r="O629" s="174">
        <f t="shared" si="121"/>
        <v>1</v>
      </c>
      <c r="P629" s="174">
        <f>VLOOKUP(D629,原始分!$D:$N,8,0)</f>
        <v>21</v>
      </c>
      <c r="Q629" s="174">
        <f t="shared" si="122"/>
        <v>528</v>
      </c>
      <c r="R629" s="174">
        <f>VLOOKUP(D629,原始分!$D:$N,9,0)</f>
        <v>31.5</v>
      </c>
      <c r="S629" s="174">
        <f t="shared" si="123"/>
        <v>215</v>
      </c>
      <c r="T629" s="174">
        <f>VLOOKUP(D629,原始分!$D:$N,10,0)</f>
        <v>0</v>
      </c>
      <c r="U629" s="174">
        <f t="shared" si="124"/>
        <v>112</v>
      </c>
      <c r="V629" s="174">
        <f>VLOOKUP(D629,原始分!$D:$N,11,0)</f>
        <v>0</v>
      </c>
      <c r="W629" s="174">
        <f t="shared" si="125"/>
        <v>461</v>
      </c>
      <c r="X629" s="11">
        <f t="shared" si="126"/>
        <v>282</v>
      </c>
      <c r="Y629" s="9">
        <f t="shared" si="127"/>
        <v>432</v>
      </c>
      <c r="Z629" s="11">
        <f t="shared" si="128"/>
        <v>359.5</v>
      </c>
      <c r="AA629" s="9">
        <f t="shared" si="129"/>
        <v>627</v>
      </c>
    </row>
    <row r="630" ht="14.25" spans="1:27">
      <c r="A630" s="13">
        <v>115</v>
      </c>
      <c r="B630" s="15">
        <v>3</v>
      </c>
      <c r="C630" s="16">
        <v>4</v>
      </c>
      <c r="D630" s="17" t="s">
        <v>243</v>
      </c>
      <c r="E630" s="17" t="s">
        <v>244</v>
      </c>
      <c r="F630" s="174">
        <f>VLOOKUP(D630,原始分!$D:$N,3,0)</f>
        <v>90.5</v>
      </c>
      <c r="G630" s="174">
        <f t="shared" si="117"/>
        <v>571</v>
      </c>
      <c r="H630" s="174">
        <f>VLOOKUP(D630,原始分!$D:$N,4,0)</f>
        <v>69.5</v>
      </c>
      <c r="I630" s="174">
        <f t="shared" si="118"/>
        <v>634</v>
      </c>
      <c r="J630" s="174">
        <f>VLOOKUP(D630,原始分!$D:$N,5,0)</f>
        <v>92.5</v>
      </c>
      <c r="K630" s="174">
        <f t="shared" si="119"/>
        <v>381</v>
      </c>
      <c r="L630" s="174">
        <f>VLOOKUP(D630,原始分!$D:$N,6,0)</f>
        <v>40</v>
      </c>
      <c r="M630" s="174">
        <f t="shared" si="120"/>
        <v>506</v>
      </c>
      <c r="N630" s="174">
        <f>VLOOKUP(D630,原始分!$D:$N,7,0)</f>
        <v>0</v>
      </c>
      <c r="O630" s="174">
        <f t="shared" si="121"/>
        <v>1</v>
      </c>
      <c r="P630" s="174">
        <f>VLOOKUP(D630,原始分!$D:$N,8,0)</f>
        <v>22</v>
      </c>
      <c r="Q630" s="174">
        <f t="shared" si="122"/>
        <v>521</v>
      </c>
      <c r="R630" s="174">
        <f>VLOOKUP(D630,原始分!$D:$N,9,0)</f>
        <v>42.5</v>
      </c>
      <c r="S630" s="174">
        <f t="shared" si="123"/>
        <v>179</v>
      </c>
      <c r="T630" s="174">
        <f>VLOOKUP(D630,原始分!$D:$N,10,0)</f>
        <v>0</v>
      </c>
      <c r="U630" s="174">
        <f t="shared" si="124"/>
        <v>112</v>
      </c>
      <c r="V630" s="174">
        <f>VLOOKUP(D630,原始分!$D:$N,11,0)</f>
        <v>0</v>
      </c>
      <c r="W630" s="174">
        <f t="shared" si="125"/>
        <v>461</v>
      </c>
      <c r="X630" s="11">
        <f t="shared" si="126"/>
        <v>252.5</v>
      </c>
      <c r="Y630" s="9">
        <f t="shared" si="127"/>
        <v>605</v>
      </c>
      <c r="Z630" s="11">
        <f t="shared" si="128"/>
        <v>357</v>
      </c>
      <c r="AA630" s="9">
        <f t="shared" si="129"/>
        <v>628</v>
      </c>
    </row>
    <row r="631" ht="14.25" spans="1:27">
      <c r="A631" s="13">
        <v>161</v>
      </c>
      <c r="B631" s="15">
        <v>4</v>
      </c>
      <c r="C631" s="16">
        <v>2</v>
      </c>
      <c r="D631" s="17" t="s">
        <v>335</v>
      </c>
      <c r="E631" s="17" t="s">
        <v>336</v>
      </c>
      <c r="F631" s="174">
        <f>VLOOKUP(D631,原始分!$D:$N,3,0)</f>
        <v>77.5</v>
      </c>
      <c r="G631" s="174">
        <f t="shared" si="117"/>
        <v>657</v>
      </c>
      <c r="H631" s="174">
        <f>VLOOKUP(D631,原始分!$D:$N,4,0)</f>
        <v>88</v>
      </c>
      <c r="I631" s="174">
        <f t="shared" si="118"/>
        <v>522</v>
      </c>
      <c r="J631" s="174">
        <f>VLOOKUP(D631,原始分!$D:$N,5,0)</f>
        <v>71</v>
      </c>
      <c r="K631" s="174">
        <f t="shared" si="119"/>
        <v>618</v>
      </c>
      <c r="L631" s="174">
        <f>VLOOKUP(D631,原始分!$D:$N,6,0)</f>
        <v>36</v>
      </c>
      <c r="M631" s="174">
        <f t="shared" si="120"/>
        <v>561</v>
      </c>
      <c r="N631" s="174">
        <f>VLOOKUP(D631,原始分!$D:$N,7,0)</f>
        <v>0</v>
      </c>
      <c r="O631" s="174">
        <f t="shared" si="121"/>
        <v>1</v>
      </c>
      <c r="P631" s="174">
        <f>VLOOKUP(D631,原始分!$D:$N,8,0)</f>
        <v>32</v>
      </c>
      <c r="Q631" s="174">
        <f t="shared" si="122"/>
        <v>453</v>
      </c>
      <c r="R631" s="174">
        <f>VLOOKUP(D631,原始分!$D:$N,9,0)</f>
        <v>52</v>
      </c>
      <c r="S631" s="174">
        <f t="shared" si="123"/>
        <v>75</v>
      </c>
      <c r="T631" s="174">
        <f>VLOOKUP(D631,原始分!$D:$N,10,0)</f>
        <v>0</v>
      </c>
      <c r="U631" s="174">
        <f t="shared" si="124"/>
        <v>112</v>
      </c>
      <c r="V631" s="174">
        <f>VLOOKUP(D631,原始分!$D:$N,11,0)</f>
        <v>0</v>
      </c>
      <c r="W631" s="174">
        <f t="shared" si="125"/>
        <v>461</v>
      </c>
      <c r="X631" s="11">
        <f t="shared" si="126"/>
        <v>236.5</v>
      </c>
      <c r="Y631" s="9">
        <f t="shared" si="127"/>
        <v>637</v>
      </c>
      <c r="Z631" s="11">
        <f t="shared" si="128"/>
        <v>356.5</v>
      </c>
      <c r="AA631" s="9">
        <f t="shared" si="129"/>
        <v>629</v>
      </c>
    </row>
    <row r="632" ht="14.25" spans="1:27">
      <c r="A632" s="13">
        <v>586</v>
      </c>
      <c r="B632" s="15">
        <v>12</v>
      </c>
      <c r="C632" s="16">
        <v>35</v>
      </c>
      <c r="D632" s="17" t="s">
        <v>1180</v>
      </c>
      <c r="E632" s="17" t="s">
        <v>1181</v>
      </c>
      <c r="F632" s="174">
        <f>VLOOKUP(D632,原始分!$D:$N,3,0)</f>
        <v>86.75</v>
      </c>
      <c r="G632" s="174">
        <f t="shared" si="117"/>
        <v>620</v>
      </c>
      <c r="H632" s="174">
        <f>VLOOKUP(D632,原始分!$D:$N,4,0)</f>
        <v>106.5</v>
      </c>
      <c r="I632" s="174">
        <f t="shared" si="118"/>
        <v>246</v>
      </c>
      <c r="J632" s="174">
        <f>VLOOKUP(D632,原始分!$D:$N,5,0)</f>
        <v>65</v>
      </c>
      <c r="K632" s="174">
        <f t="shared" si="119"/>
        <v>636</v>
      </c>
      <c r="L632" s="174">
        <f>VLOOKUP(D632,原始分!$D:$N,6,0)</f>
        <v>47</v>
      </c>
      <c r="M632" s="174">
        <f t="shared" si="120"/>
        <v>391</v>
      </c>
      <c r="N632" s="174">
        <f>VLOOKUP(D632,原始分!$D:$N,7,0)</f>
        <v>0</v>
      </c>
      <c r="O632" s="174">
        <f t="shared" si="121"/>
        <v>1</v>
      </c>
      <c r="P632" s="174">
        <f>VLOOKUP(D632,原始分!$D:$N,8,0)</f>
        <v>24</v>
      </c>
      <c r="Q632" s="174">
        <f t="shared" si="122"/>
        <v>516</v>
      </c>
      <c r="R632" s="174">
        <f>VLOOKUP(D632,原始分!$D:$N,9,0)</f>
        <v>0</v>
      </c>
      <c r="S632" s="174">
        <f t="shared" si="123"/>
        <v>218</v>
      </c>
      <c r="T632" s="174">
        <f>VLOOKUP(D632,原始分!$D:$N,10,0)</f>
        <v>0</v>
      </c>
      <c r="U632" s="174">
        <f t="shared" si="124"/>
        <v>112</v>
      </c>
      <c r="V632" s="174">
        <f>VLOOKUP(D632,原始分!$D:$N,11,0)</f>
        <v>25.5</v>
      </c>
      <c r="W632" s="174">
        <f t="shared" si="125"/>
        <v>455</v>
      </c>
      <c r="X632" s="11">
        <f t="shared" si="126"/>
        <v>258.25</v>
      </c>
      <c r="Y632" s="9">
        <f t="shared" si="127"/>
        <v>588</v>
      </c>
      <c r="Z632" s="11">
        <f t="shared" si="128"/>
        <v>354.75</v>
      </c>
      <c r="AA632" s="9">
        <f t="shared" si="129"/>
        <v>630</v>
      </c>
    </row>
    <row r="633" ht="14.25" spans="1:27">
      <c r="A633" s="13">
        <v>582</v>
      </c>
      <c r="B633" s="15">
        <v>12</v>
      </c>
      <c r="C633" s="16">
        <v>30</v>
      </c>
      <c r="D633" s="17" t="s">
        <v>1172</v>
      </c>
      <c r="E633" s="17" t="s">
        <v>1173</v>
      </c>
      <c r="F633" s="174">
        <f>VLOOKUP(D633,原始分!$D:$N,3,0)</f>
        <v>93</v>
      </c>
      <c r="G633" s="174">
        <f t="shared" si="117"/>
        <v>505</v>
      </c>
      <c r="H633" s="174">
        <f>VLOOKUP(D633,原始分!$D:$N,4,0)</f>
        <v>73.5</v>
      </c>
      <c r="I633" s="174">
        <f t="shared" si="118"/>
        <v>625</v>
      </c>
      <c r="J633" s="174">
        <f>VLOOKUP(D633,原始分!$D:$N,5,0)</f>
        <v>65.25</v>
      </c>
      <c r="K633" s="174">
        <f t="shared" si="119"/>
        <v>635</v>
      </c>
      <c r="L633" s="174">
        <f>VLOOKUP(D633,原始分!$D:$N,6,0)</f>
        <v>36.5</v>
      </c>
      <c r="M633" s="174">
        <f t="shared" si="120"/>
        <v>554</v>
      </c>
      <c r="N633" s="174">
        <f>VLOOKUP(D633,原始分!$D:$N,7,0)</f>
        <v>0</v>
      </c>
      <c r="O633" s="174">
        <f t="shared" si="121"/>
        <v>1</v>
      </c>
      <c r="P633" s="174">
        <f>VLOOKUP(D633,原始分!$D:$N,8,0)</f>
        <v>42.5</v>
      </c>
      <c r="Q633" s="174">
        <f t="shared" si="122"/>
        <v>256</v>
      </c>
      <c r="R633" s="174">
        <f>VLOOKUP(D633,原始分!$D:$N,9,0)</f>
        <v>0</v>
      </c>
      <c r="S633" s="174">
        <f t="shared" si="123"/>
        <v>218</v>
      </c>
      <c r="T633" s="174">
        <f>VLOOKUP(D633,原始分!$D:$N,10,0)</f>
        <v>0</v>
      </c>
      <c r="U633" s="174">
        <f t="shared" si="124"/>
        <v>112</v>
      </c>
      <c r="V633" s="174">
        <f>VLOOKUP(D633,原始分!$D:$N,11,0)</f>
        <v>43</v>
      </c>
      <c r="W633" s="174">
        <f t="shared" si="125"/>
        <v>370</v>
      </c>
      <c r="X633" s="11">
        <f t="shared" si="126"/>
        <v>231.75</v>
      </c>
      <c r="Y633" s="9">
        <f t="shared" si="127"/>
        <v>644</v>
      </c>
      <c r="Z633" s="11">
        <f t="shared" si="128"/>
        <v>353.75</v>
      </c>
      <c r="AA633" s="9">
        <f t="shared" si="129"/>
        <v>631</v>
      </c>
    </row>
    <row r="634" ht="14.25" spans="1:27">
      <c r="A634" s="13">
        <v>621</v>
      </c>
      <c r="B634" s="15">
        <v>13</v>
      </c>
      <c r="C634" s="16">
        <v>13</v>
      </c>
      <c r="D634" s="17" t="s">
        <v>1250</v>
      </c>
      <c r="E634" s="17" t="s">
        <v>1251</v>
      </c>
      <c r="F634" s="174">
        <f>VLOOKUP(D634,原始分!$D:$N,3,0)</f>
        <v>88</v>
      </c>
      <c r="G634" s="174">
        <f t="shared" si="117"/>
        <v>607</v>
      </c>
      <c r="H634" s="174">
        <f>VLOOKUP(D634,原始分!$D:$N,4,0)</f>
        <v>80</v>
      </c>
      <c r="I634" s="174">
        <f t="shared" si="118"/>
        <v>594</v>
      </c>
      <c r="J634" s="174">
        <f>VLOOKUP(D634,原始分!$D:$N,5,0)</f>
        <v>84.75</v>
      </c>
      <c r="K634" s="174">
        <f t="shared" si="119"/>
        <v>492</v>
      </c>
      <c r="L634" s="174">
        <f>VLOOKUP(D634,原始分!$D:$N,6,0)</f>
        <v>35</v>
      </c>
      <c r="M634" s="174">
        <f t="shared" si="120"/>
        <v>572</v>
      </c>
      <c r="N634" s="174">
        <f>VLOOKUP(D634,原始分!$D:$N,7,0)</f>
        <v>0</v>
      </c>
      <c r="O634" s="174">
        <f t="shared" si="121"/>
        <v>1</v>
      </c>
      <c r="P634" s="174">
        <f>VLOOKUP(D634,原始分!$D:$N,8,0)</f>
        <v>31.5</v>
      </c>
      <c r="Q634" s="174">
        <f t="shared" si="122"/>
        <v>459</v>
      </c>
      <c r="R634" s="174">
        <f>VLOOKUP(D634,原始分!$D:$N,9,0)</f>
        <v>0</v>
      </c>
      <c r="S634" s="174">
        <f t="shared" si="123"/>
        <v>218</v>
      </c>
      <c r="T634" s="174">
        <f>VLOOKUP(D634,原始分!$D:$N,10,0)</f>
        <v>0</v>
      </c>
      <c r="U634" s="174">
        <f t="shared" si="124"/>
        <v>112</v>
      </c>
      <c r="V634" s="174">
        <f>VLOOKUP(D634,原始分!$D:$N,11,0)</f>
        <v>34.5</v>
      </c>
      <c r="W634" s="174">
        <f t="shared" si="125"/>
        <v>434</v>
      </c>
      <c r="X634" s="11">
        <f t="shared" si="126"/>
        <v>252.75</v>
      </c>
      <c r="Y634" s="9">
        <f t="shared" si="127"/>
        <v>604</v>
      </c>
      <c r="Z634" s="11">
        <f t="shared" si="128"/>
        <v>353.75</v>
      </c>
      <c r="AA634" s="9">
        <f t="shared" si="129"/>
        <v>631</v>
      </c>
    </row>
    <row r="635" ht="14.25" spans="1:27">
      <c r="A635" s="13">
        <v>302</v>
      </c>
      <c r="B635" s="15">
        <v>7</v>
      </c>
      <c r="C635" s="16">
        <v>13</v>
      </c>
      <c r="D635" s="17" t="s">
        <v>615</v>
      </c>
      <c r="E635" s="17" t="s">
        <v>616</v>
      </c>
      <c r="F635" s="174">
        <f>VLOOKUP(D635,原始分!$D:$N,3,0)</f>
        <v>98.5</v>
      </c>
      <c r="G635" s="174">
        <f t="shared" si="117"/>
        <v>324</v>
      </c>
      <c r="H635" s="174">
        <f>VLOOKUP(D635,原始分!$D:$N,4,0)</f>
        <v>77.5</v>
      </c>
      <c r="I635" s="174">
        <f t="shared" si="118"/>
        <v>609</v>
      </c>
      <c r="J635" s="174">
        <f>VLOOKUP(D635,原始分!$D:$N,5,0)</f>
        <v>72</v>
      </c>
      <c r="K635" s="174">
        <f t="shared" si="119"/>
        <v>610</v>
      </c>
      <c r="L635" s="174">
        <f>VLOOKUP(D635,原始分!$D:$N,6,0)</f>
        <v>29</v>
      </c>
      <c r="M635" s="174">
        <f t="shared" si="120"/>
        <v>618</v>
      </c>
      <c r="N635" s="174">
        <f>VLOOKUP(D635,原始分!$D:$N,7,0)</f>
        <v>0</v>
      </c>
      <c r="O635" s="174">
        <f t="shared" si="121"/>
        <v>1</v>
      </c>
      <c r="P635" s="174">
        <f>VLOOKUP(D635,原始分!$D:$N,8,0)</f>
        <v>0</v>
      </c>
      <c r="Q635" s="174">
        <f t="shared" si="122"/>
        <v>539</v>
      </c>
      <c r="R635" s="174">
        <f>VLOOKUP(D635,原始分!$D:$N,9,0)</f>
        <v>46</v>
      </c>
      <c r="S635" s="174">
        <f t="shared" si="123"/>
        <v>144</v>
      </c>
      <c r="T635" s="174">
        <f>VLOOKUP(D635,原始分!$D:$N,10,0)</f>
        <v>0</v>
      </c>
      <c r="U635" s="174">
        <f t="shared" si="124"/>
        <v>112</v>
      </c>
      <c r="V635" s="174">
        <f>VLOOKUP(D635,原始分!$D:$N,11,0)</f>
        <v>30</v>
      </c>
      <c r="W635" s="174">
        <f t="shared" si="125"/>
        <v>450</v>
      </c>
      <c r="X635" s="11">
        <f t="shared" si="126"/>
        <v>248</v>
      </c>
      <c r="Y635" s="9">
        <f t="shared" si="127"/>
        <v>613</v>
      </c>
      <c r="Z635" s="11">
        <f t="shared" si="128"/>
        <v>353</v>
      </c>
      <c r="AA635" s="9">
        <f t="shared" si="129"/>
        <v>633</v>
      </c>
    </row>
    <row r="636" ht="14.25" spans="1:27">
      <c r="A636" s="13">
        <v>648</v>
      </c>
      <c r="B636" s="15">
        <v>13</v>
      </c>
      <c r="C636" s="16">
        <v>42</v>
      </c>
      <c r="D636" s="17" t="s">
        <v>1303</v>
      </c>
      <c r="E636" s="17" t="s">
        <v>1304</v>
      </c>
      <c r="F636" s="174">
        <f>VLOOKUP(D636,原始分!$D:$N,3,0)</f>
        <v>89</v>
      </c>
      <c r="G636" s="174">
        <f t="shared" si="117"/>
        <v>595</v>
      </c>
      <c r="H636" s="174">
        <f>VLOOKUP(D636,原始分!$D:$N,4,0)</f>
        <v>81</v>
      </c>
      <c r="I636" s="174">
        <f t="shared" si="118"/>
        <v>591</v>
      </c>
      <c r="J636" s="174">
        <f>VLOOKUP(D636,原始分!$D:$N,5,0)</f>
        <v>72.25</v>
      </c>
      <c r="K636" s="174">
        <f t="shared" si="119"/>
        <v>609</v>
      </c>
      <c r="L636" s="174">
        <f>VLOOKUP(D636,原始分!$D:$N,6,0)</f>
        <v>34.5</v>
      </c>
      <c r="M636" s="174">
        <f t="shared" si="120"/>
        <v>582</v>
      </c>
      <c r="N636" s="174">
        <f>VLOOKUP(D636,原始分!$D:$N,7,0)</f>
        <v>0</v>
      </c>
      <c r="O636" s="174">
        <f t="shared" si="121"/>
        <v>1</v>
      </c>
      <c r="P636" s="174">
        <f>VLOOKUP(D636,原始分!$D:$N,8,0)</f>
        <v>32.5</v>
      </c>
      <c r="Q636" s="174">
        <f t="shared" si="122"/>
        <v>445</v>
      </c>
      <c r="R636" s="174">
        <f>VLOOKUP(D636,原始分!$D:$N,9,0)</f>
        <v>0</v>
      </c>
      <c r="S636" s="174">
        <f t="shared" si="123"/>
        <v>218</v>
      </c>
      <c r="T636" s="174">
        <f>VLOOKUP(D636,原始分!$D:$N,10,0)</f>
        <v>0</v>
      </c>
      <c r="U636" s="174">
        <f t="shared" si="124"/>
        <v>112</v>
      </c>
      <c r="V636" s="174">
        <f>VLOOKUP(D636,原始分!$D:$N,11,0)</f>
        <v>43</v>
      </c>
      <c r="W636" s="174">
        <f t="shared" si="125"/>
        <v>370</v>
      </c>
      <c r="X636" s="11">
        <f t="shared" si="126"/>
        <v>242.25</v>
      </c>
      <c r="Y636" s="9">
        <f t="shared" si="127"/>
        <v>625</v>
      </c>
      <c r="Z636" s="11">
        <f t="shared" si="128"/>
        <v>352.25</v>
      </c>
      <c r="AA636" s="9">
        <f t="shared" si="129"/>
        <v>634</v>
      </c>
    </row>
    <row r="637" ht="14.25" spans="1:27">
      <c r="A637" s="13">
        <v>200</v>
      </c>
      <c r="B637" s="15">
        <v>4</v>
      </c>
      <c r="C637" s="16">
        <v>43</v>
      </c>
      <c r="D637" s="17" t="s">
        <v>413</v>
      </c>
      <c r="E637" s="17" t="s">
        <v>414</v>
      </c>
      <c r="F637" s="174">
        <f>VLOOKUP(D637,原始分!$D:$N,3,0)</f>
        <v>100.75</v>
      </c>
      <c r="G637" s="174">
        <f t="shared" si="117"/>
        <v>248</v>
      </c>
      <c r="H637" s="174">
        <f>VLOOKUP(D637,原始分!$D:$N,4,0)</f>
        <v>74.5</v>
      </c>
      <c r="I637" s="174">
        <f t="shared" si="118"/>
        <v>619</v>
      </c>
      <c r="J637" s="174">
        <f>VLOOKUP(D637,原始分!$D:$N,5,0)</f>
        <v>86</v>
      </c>
      <c r="K637" s="174">
        <f t="shared" si="119"/>
        <v>474</v>
      </c>
      <c r="L637" s="174">
        <f>VLOOKUP(D637,原始分!$D:$N,6,0)</f>
        <v>17</v>
      </c>
      <c r="M637" s="174">
        <f t="shared" si="120"/>
        <v>659</v>
      </c>
      <c r="N637" s="174">
        <f>VLOOKUP(D637,原始分!$D:$N,7,0)</f>
        <v>0</v>
      </c>
      <c r="O637" s="174">
        <f t="shared" si="121"/>
        <v>1</v>
      </c>
      <c r="P637" s="174">
        <f>VLOOKUP(D637,原始分!$D:$N,8,0)</f>
        <v>25.5</v>
      </c>
      <c r="Q637" s="174">
        <f t="shared" si="122"/>
        <v>507</v>
      </c>
      <c r="R637" s="174">
        <f>VLOOKUP(D637,原始分!$D:$N,9,0)</f>
        <v>45</v>
      </c>
      <c r="S637" s="174">
        <f t="shared" si="123"/>
        <v>155</v>
      </c>
      <c r="T637" s="174">
        <f>VLOOKUP(D637,原始分!$D:$N,10,0)</f>
        <v>0</v>
      </c>
      <c r="U637" s="174">
        <f t="shared" si="124"/>
        <v>112</v>
      </c>
      <c r="V637" s="174">
        <f>VLOOKUP(D637,原始分!$D:$N,11,0)</f>
        <v>0</v>
      </c>
      <c r="W637" s="174">
        <f t="shared" si="125"/>
        <v>461</v>
      </c>
      <c r="X637" s="11">
        <f t="shared" si="126"/>
        <v>261.25</v>
      </c>
      <c r="Y637" s="9">
        <f t="shared" si="127"/>
        <v>576</v>
      </c>
      <c r="Z637" s="11">
        <f t="shared" si="128"/>
        <v>348.75</v>
      </c>
      <c r="AA637" s="9">
        <f t="shared" si="129"/>
        <v>635</v>
      </c>
    </row>
    <row r="638" ht="14.25" spans="1:27">
      <c r="A638" s="13">
        <v>545</v>
      </c>
      <c r="B638" s="15">
        <v>11</v>
      </c>
      <c r="C638" s="16">
        <v>51</v>
      </c>
      <c r="D638" s="17" t="s">
        <v>1098</v>
      </c>
      <c r="E638" s="17" t="s">
        <v>1099</v>
      </c>
      <c r="F638" s="174">
        <f>VLOOKUP(D638,原始分!$D:$N,3,0)</f>
        <v>93.5</v>
      </c>
      <c r="G638" s="174">
        <f t="shared" si="117"/>
        <v>491</v>
      </c>
      <c r="H638" s="174">
        <f>VLOOKUP(D638,原始分!$D:$N,4,0)</f>
        <v>80.5</v>
      </c>
      <c r="I638" s="174">
        <f t="shared" si="118"/>
        <v>592</v>
      </c>
      <c r="J638" s="174">
        <f>VLOOKUP(D638,原始分!$D:$N,5,0)</f>
        <v>79.75</v>
      </c>
      <c r="K638" s="174">
        <f t="shared" si="119"/>
        <v>556</v>
      </c>
      <c r="L638" s="174">
        <f>VLOOKUP(D638,原始分!$D:$N,6,0)</f>
        <v>23.5</v>
      </c>
      <c r="M638" s="174">
        <f t="shared" si="120"/>
        <v>642</v>
      </c>
      <c r="N638" s="174">
        <f>VLOOKUP(D638,原始分!$D:$N,7,0)</f>
        <v>0</v>
      </c>
      <c r="O638" s="174">
        <f t="shared" si="121"/>
        <v>1</v>
      </c>
      <c r="P638" s="174">
        <f>VLOOKUP(D638,原始分!$D:$N,8,0)</f>
        <v>38</v>
      </c>
      <c r="Q638" s="174">
        <f t="shared" si="122"/>
        <v>360</v>
      </c>
      <c r="R638" s="174">
        <f>VLOOKUP(D638,原始分!$D:$N,9,0)</f>
        <v>0</v>
      </c>
      <c r="S638" s="174">
        <f t="shared" si="123"/>
        <v>218</v>
      </c>
      <c r="T638" s="174">
        <f>VLOOKUP(D638,原始分!$D:$N,10,0)</f>
        <v>0</v>
      </c>
      <c r="U638" s="174">
        <f t="shared" si="124"/>
        <v>112</v>
      </c>
      <c r="V638" s="174">
        <f>VLOOKUP(D638,原始分!$D:$N,11,0)</f>
        <v>33.5</v>
      </c>
      <c r="W638" s="174">
        <f t="shared" si="125"/>
        <v>436</v>
      </c>
      <c r="X638" s="11">
        <f t="shared" si="126"/>
        <v>253.75</v>
      </c>
      <c r="Y638" s="9">
        <f t="shared" si="127"/>
        <v>601</v>
      </c>
      <c r="Z638" s="11">
        <f t="shared" si="128"/>
        <v>348.75</v>
      </c>
      <c r="AA638" s="9">
        <f t="shared" si="129"/>
        <v>635</v>
      </c>
    </row>
    <row r="639" ht="14.25" spans="1:27">
      <c r="A639" s="13">
        <v>580</v>
      </c>
      <c r="B639" s="15">
        <v>12</v>
      </c>
      <c r="C639" s="16">
        <v>28</v>
      </c>
      <c r="D639" s="17" t="s">
        <v>1168</v>
      </c>
      <c r="E639" s="17" t="s">
        <v>1169</v>
      </c>
      <c r="F639" s="174">
        <f>VLOOKUP(D639,原始分!$D:$N,3,0)</f>
        <v>88.75</v>
      </c>
      <c r="G639" s="174">
        <f t="shared" si="117"/>
        <v>601</v>
      </c>
      <c r="H639" s="174">
        <f>VLOOKUP(D639,原始分!$D:$N,4,0)</f>
        <v>98.5</v>
      </c>
      <c r="I639" s="174">
        <f t="shared" si="118"/>
        <v>366</v>
      </c>
      <c r="J639" s="174">
        <f>VLOOKUP(D639,原始分!$D:$N,5,0)</f>
        <v>82.25</v>
      </c>
      <c r="K639" s="174">
        <f t="shared" si="119"/>
        <v>527</v>
      </c>
      <c r="L639" s="174">
        <f>VLOOKUP(D639,原始分!$D:$N,6,0)</f>
        <v>38.5</v>
      </c>
      <c r="M639" s="174">
        <f t="shared" si="120"/>
        <v>528</v>
      </c>
      <c r="N639" s="174">
        <f>VLOOKUP(D639,原始分!$D:$N,7,0)</f>
        <v>0</v>
      </c>
      <c r="O639" s="174">
        <f t="shared" si="121"/>
        <v>1</v>
      </c>
      <c r="P639" s="174">
        <f>VLOOKUP(D639,原始分!$D:$N,8,0)</f>
        <v>27</v>
      </c>
      <c r="Q639" s="174">
        <f t="shared" si="122"/>
        <v>496</v>
      </c>
      <c r="R639" s="174">
        <f>VLOOKUP(D639,原始分!$D:$N,9,0)</f>
        <v>0</v>
      </c>
      <c r="S639" s="174">
        <f t="shared" si="123"/>
        <v>218</v>
      </c>
      <c r="T639" s="174">
        <f>VLOOKUP(D639,原始分!$D:$N,10,0)</f>
        <v>0</v>
      </c>
      <c r="U639" s="174">
        <f t="shared" si="124"/>
        <v>112</v>
      </c>
      <c r="V639" s="174">
        <f>VLOOKUP(D639,原始分!$D:$N,11,0)</f>
        <v>13</v>
      </c>
      <c r="W639" s="174">
        <f t="shared" si="125"/>
        <v>460</v>
      </c>
      <c r="X639" s="11">
        <f t="shared" si="126"/>
        <v>269.5</v>
      </c>
      <c r="Y639" s="9">
        <f t="shared" si="127"/>
        <v>536</v>
      </c>
      <c r="Z639" s="11">
        <f t="shared" si="128"/>
        <v>348</v>
      </c>
      <c r="AA639" s="9">
        <f t="shared" si="129"/>
        <v>637</v>
      </c>
    </row>
    <row r="640" ht="14.25" spans="1:27">
      <c r="A640" s="13">
        <v>216</v>
      </c>
      <c r="B640" s="15">
        <v>5</v>
      </c>
      <c r="C640" s="16">
        <v>13</v>
      </c>
      <c r="D640" s="17" t="s">
        <v>445</v>
      </c>
      <c r="E640" s="17" t="s">
        <v>446</v>
      </c>
      <c r="F640" s="174">
        <f>VLOOKUP(D640,原始分!$D:$N,3,0)</f>
        <v>104</v>
      </c>
      <c r="G640" s="174">
        <f t="shared" si="117"/>
        <v>130</v>
      </c>
      <c r="H640" s="174">
        <f>VLOOKUP(D640,原始分!$D:$N,4,0)</f>
        <v>79</v>
      </c>
      <c r="I640" s="174">
        <f t="shared" si="118"/>
        <v>602</v>
      </c>
      <c r="J640" s="174">
        <f>VLOOKUP(D640,原始分!$D:$N,5,0)</f>
        <v>71.75</v>
      </c>
      <c r="K640" s="174">
        <f t="shared" si="119"/>
        <v>614</v>
      </c>
      <c r="L640" s="174">
        <f>VLOOKUP(D640,原始分!$D:$N,6,0)</f>
        <v>22</v>
      </c>
      <c r="M640" s="174">
        <f t="shared" si="120"/>
        <v>649</v>
      </c>
      <c r="N640" s="174">
        <f>VLOOKUP(D640,原始分!$D:$N,7,0)</f>
        <v>0</v>
      </c>
      <c r="O640" s="174">
        <f t="shared" si="121"/>
        <v>1</v>
      </c>
      <c r="P640" s="174">
        <f>VLOOKUP(D640,原始分!$D:$N,8,0)</f>
        <v>26.5</v>
      </c>
      <c r="Q640" s="174">
        <f t="shared" si="122"/>
        <v>502</v>
      </c>
      <c r="R640" s="174">
        <f>VLOOKUP(D640,原始分!$D:$N,9,0)</f>
        <v>44.5</v>
      </c>
      <c r="S640" s="174">
        <f t="shared" si="123"/>
        <v>161</v>
      </c>
      <c r="T640" s="174">
        <f>VLOOKUP(D640,原始分!$D:$N,10,0)</f>
        <v>0</v>
      </c>
      <c r="U640" s="174">
        <f t="shared" si="124"/>
        <v>112</v>
      </c>
      <c r="V640" s="174">
        <f>VLOOKUP(D640,原始分!$D:$N,11,0)</f>
        <v>0</v>
      </c>
      <c r="W640" s="174">
        <f t="shared" si="125"/>
        <v>461</v>
      </c>
      <c r="X640" s="11">
        <f t="shared" si="126"/>
        <v>254.75</v>
      </c>
      <c r="Y640" s="9">
        <f t="shared" si="127"/>
        <v>597</v>
      </c>
      <c r="Z640" s="11">
        <f t="shared" si="128"/>
        <v>347.75</v>
      </c>
      <c r="AA640" s="9">
        <f t="shared" si="129"/>
        <v>638</v>
      </c>
    </row>
    <row r="641" ht="14.25" spans="1:27">
      <c r="A641" s="13">
        <v>164</v>
      </c>
      <c r="B641" s="15">
        <v>4</v>
      </c>
      <c r="C641" s="16">
        <v>5</v>
      </c>
      <c r="D641" s="17" t="s">
        <v>341</v>
      </c>
      <c r="E641" s="17" t="s">
        <v>342</v>
      </c>
      <c r="F641" s="174">
        <f>VLOOKUP(D641,原始分!$D:$N,3,0)</f>
        <v>83</v>
      </c>
      <c r="G641" s="174">
        <f t="shared" si="117"/>
        <v>646</v>
      </c>
      <c r="H641" s="174">
        <f>VLOOKUP(D641,原始分!$D:$N,4,0)</f>
        <v>62.5</v>
      </c>
      <c r="I641" s="174">
        <f t="shared" si="118"/>
        <v>647</v>
      </c>
      <c r="J641" s="174">
        <f>VLOOKUP(D641,原始分!$D:$N,5,0)</f>
        <v>87.5</v>
      </c>
      <c r="K641" s="174">
        <f t="shared" si="119"/>
        <v>448</v>
      </c>
      <c r="L641" s="174">
        <f>VLOOKUP(D641,原始分!$D:$N,6,0)</f>
        <v>23.5</v>
      </c>
      <c r="M641" s="174">
        <f t="shared" si="120"/>
        <v>642</v>
      </c>
      <c r="N641" s="174">
        <f>VLOOKUP(D641,原始分!$D:$N,7,0)</f>
        <v>0</v>
      </c>
      <c r="O641" s="174">
        <f t="shared" si="121"/>
        <v>1</v>
      </c>
      <c r="P641" s="174">
        <f>VLOOKUP(D641,原始分!$D:$N,8,0)</f>
        <v>40</v>
      </c>
      <c r="Q641" s="174">
        <f t="shared" si="122"/>
        <v>314</v>
      </c>
      <c r="R641" s="174">
        <f>VLOOKUP(D641,原始分!$D:$N,9,0)</f>
        <v>51</v>
      </c>
      <c r="S641" s="174">
        <f t="shared" si="123"/>
        <v>86</v>
      </c>
      <c r="T641" s="174">
        <f>VLOOKUP(D641,原始分!$D:$N,10,0)</f>
        <v>0</v>
      </c>
      <c r="U641" s="174">
        <f t="shared" si="124"/>
        <v>112</v>
      </c>
      <c r="V641" s="174">
        <f>VLOOKUP(D641,原始分!$D:$N,11,0)</f>
        <v>0</v>
      </c>
      <c r="W641" s="174">
        <f t="shared" si="125"/>
        <v>461</v>
      </c>
      <c r="X641" s="11">
        <f t="shared" si="126"/>
        <v>233</v>
      </c>
      <c r="Y641" s="9">
        <f t="shared" si="127"/>
        <v>640</v>
      </c>
      <c r="Z641" s="11">
        <f t="shared" si="128"/>
        <v>347.5</v>
      </c>
      <c r="AA641" s="9">
        <f t="shared" si="129"/>
        <v>639</v>
      </c>
    </row>
    <row r="642" ht="14.25" spans="1:27">
      <c r="A642" s="13">
        <v>259</v>
      </c>
      <c r="B642" s="15">
        <v>6</v>
      </c>
      <c r="C642" s="16">
        <v>10</v>
      </c>
      <c r="D642" s="17" t="s">
        <v>529</v>
      </c>
      <c r="E642" s="17" t="s">
        <v>530</v>
      </c>
      <c r="F642" s="174">
        <f>VLOOKUP(D642,原始分!$D:$N,3,0)</f>
        <v>91</v>
      </c>
      <c r="G642" s="174">
        <f t="shared" si="117"/>
        <v>555</v>
      </c>
      <c r="H642" s="174">
        <f>VLOOKUP(D642,原始分!$D:$N,4,0)</f>
        <v>80</v>
      </c>
      <c r="I642" s="174">
        <f t="shared" si="118"/>
        <v>594</v>
      </c>
      <c r="J642" s="174">
        <f>VLOOKUP(D642,原始分!$D:$N,5,0)</f>
        <v>56</v>
      </c>
      <c r="K642" s="174">
        <f t="shared" si="119"/>
        <v>650</v>
      </c>
      <c r="L642" s="174">
        <f>VLOOKUP(D642,原始分!$D:$N,6,0)</f>
        <v>47</v>
      </c>
      <c r="M642" s="174">
        <f t="shared" si="120"/>
        <v>391</v>
      </c>
      <c r="N642" s="174">
        <f>VLOOKUP(D642,原始分!$D:$N,7,0)</f>
        <v>0</v>
      </c>
      <c r="O642" s="174">
        <f t="shared" si="121"/>
        <v>1</v>
      </c>
      <c r="P642" s="174">
        <f>VLOOKUP(D642,原始分!$D:$N,8,0)</f>
        <v>0</v>
      </c>
      <c r="Q642" s="174">
        <f t="shared" si="122"/>
        <v>539</v>
      </c>
      <c r="R642" s="174">
        <f>VLOOKUP(D642,原始分!$D:$N,9,0)</f>
        <v>28</v>
      </c>
      <c r="S642" s="174">
        <f t="shared" si="123"/>
        <v>217</v>
      </c>
      <c r="T642" s="174">
        <f>VLOOKUP(D642,原始分!$D:$N,10,0)</f>
        <v>0</v>
      </c>
      <c r="U642" s="174">
        <f t="shared" si="124"/>
        <v>112</v>
      </c>
      <c r="V642" s="174">
        <f>VLOOKUP(D642,原始分!$D:$N,11,0)</f>
        <v>44</v>
      </c>
      <c r="W642" s="174">
        <f t="shared" si="125"/>
        <v>350</v>
      </c>
      <c r="X642" s="11">
        <f t="shared" si="126"/>
        <v>227</v>
      </c>
      <c r="Y642" s="9">
        <f t="shared" si="127"/>
        <v>649</v>
      </c>
      <c r="Z642" s="11">
        <f t="shared" si="128"/>
        <v>346</v>
      </c>
      <c r="AA642" s="9">
        <f t="shared" si="129"/>
        <v>640</v>
      </c>
    </row>
    <row r="643" ht="14.25" spans="1:27">
      <c r="A643" s="13">
        <v>79</v>
      </c>
      <c r="B643" s="15">
        <v>2</v>
      </c>
      <c r="C643" s="16">
        <v>16</v>
      </c>
      <c r="D643" s="17" t="s">
        <v>171</v>
      </c>
      <c r="E643" s="17" t="s">
        <v>172</v>
      </c>
      <c r="F643" s="174">
        <f>VLOOKUP(D643,原始分!$D:$N,3,0)</f>
        <v>95</v>
      </c>
      <c r="G643" s="174">
        <f t="shared" ref="G643:G706" si="130">RANK(F643,$F$3:$F$723)</f>
        <v>441</v>
      </c>
      <c r="H643" s="174">
        <f>VLOOKUP(D643,原始分!$D:$N,4,0)</f>
        <v>54.5</v>
      </c>
      <c r="I643" s="174">
        <f t="shared" ref="I643:I706" si="131">RANK(H643,$H$3:$H$723)</f>
        <v>656</v>
      </c>
      <c r="J643" s="174">
        <f>VLOOKUP(D643,原始分!$D:$N,5,0)</f>
        <v>93</v>
      </c>
      <c r="K643" s="174">
        <f t="shared" ref="K643:K706" si="132">RANK(J643,$J$3:$J$723)</f>
        <v>372</v>
      </c>
      <c r="L643" s="174">
        <f>VLOOKUP(D643,原始分!$D:$N,6,0)</f>
        <v>23</v>
      </c>
      <c r="M643" s="174">
        <f t="shared" ref="M643:M706" si="133">RANK(L643,$L$3:$L$723)</f>
        <v>645</v>
      </c>
      <c r="N643" s="174">
        <f>VLOOKUP(D643,原始分!$D:$N,7,0)</f>
        <v>0</v>
      </c>
      <c r="O643" s="174">
        <f t="shared" ref="O643:O706" si="134">RANK(N643,$N$3:$N$723)</f>
        <v>1</v>
      </c>
      <c r="P643" s="174">
        <f>VLOOKUP(D643,原始分!$D:$N,8,0)</f>
        <v>0</v>
      </c>
      <c r="Q643" s="174">
        <f t="shared" ref="Q643:Q706" si="135">RANK(P643,$P$3:$P$723)</f>
        <v>539</v>
      </c>
      <c r="R643" s="174">
        <f>VLOOKUP(D643,原始分!$D:$N,9,0)</f>
        <v>0</v>
      </c>
      <c r="S643" s="174">
        <f t="shared" ref="S643:S706" si="136">RANK(R643,$R$3:$R$723)</f>
        <v>218</v>
      </c>
      <c r="T643" s="174">
        <f>VLOOKUP(D643,原始分!$D:$N,10,0)</f>
        <v>46</v>
      </c>
      <c r="U643" s="174">
        <f t="shared" ref="U643:U706" si="137">RANK(T643,$T$3:$T$723)</f>
        <v>100</v>
      </c>
      <c r="V643" s="174">
        <f>VLOOKUP(D643,原始分!$D:$N,11,0)</f>
        <v>32</v>
      </c>
      <c r="W643" s="174">
        <f t="shared" ref="W643:W706" si="138">RANK(V643,$V$3:$V$723)</f>
        <v>442</v>
      </c>
      <c r="X643" s="11">
        <f t="shared" ref="X643:X665" si="139">SUM(F643,H643,J643)</f>
        <v>242.5</v>
      </c>
      <c r="Y643" s="9">
        <f t="shared" ref="Y643:Y706" si="140">RANK(X643,$X$3:$X$723)</f>
        <v>624</v>
      </c>
      <c r="Z643" s="11">
        <f t="shared" ref="Z643:Z665" si="141">SUM(F643,H643,J643,L643,N643,P643,R643,T643,V643)</f>
        <v>343.5</v>
      </c>
      <c r="AA643" s="9">
        <f t="shared" ref="AA643:AA706" si="142">RANK(Z643,$Z$3:$Z$723)</f>
        <v>641</v>
      </c>
    </row>
    <row r="644" ht="14.25" spans="1:27">
      <c r="A644" s="13">
        <v>278</v>
      </c>
      <c r="B644" s="15">
        <v>6</v>
      </c>
      <c r="C644" s="16">
        <v>30</v>
      </c>
      <c r="D644" s="17" t="s">
        <v>567</v>
      </c>
      <c r="E644" s="17" t="s">
        <v>568</v>
      </c>
      <c r="F644" s="174">
        <f>VLOOKUP(D644,原始分!$D:$N,3,0)</f>
        <v>89.5</v>
      </c>
      <c r="G644" s="174">
        <f t="shared" si="130"/>
        <v>589</v>
      </c>
      <c r="H644" s="174">
        <f>VLOOKUP(D644,原始分!$D:$N,4,0)</f>
        <v>60</v>
      </c>
      <c r="I644" s="174">
        <f t="shared" si="131"/>
        <v>649</v>
      </c>
      <c r="J644" s="174">
        <f>VLOOKUP(D644,原始分!$D:$N,5,0)</f>
        <v>82.5</v>
      </c>
      <c r="K644" s="174">
        <f t="shared" si="132"/>
        <v>524</v>
      </c>
      <c r="L644" s="174">
        <f>VLOOKUP(D644,原始分!$D:$N,6,0)</f>
        <v>26</v>
      </c>
      <c r="M644" s="174">
        <f t="shared" si="133"/>
        <v>635</v>
      </c>
      <c r="N644" s="174">
        <f>VLOOKUP(D644,原始分!$D:$N,7,0)</f>
        <v>0</v>
      </c>
      <c r="O644" s="174">
        <f t="shared" si="134"/>
        <v>1</v>
      </c>
      <c r="P644" s="174">
        <f>VLOOKUP(D644,原始分!$D:$N,8,0)</f>
        <v>0</v>
      </c>
      <c r="Q644" s="174">
        <f t="shared" si="135"/>
        <v>539</v>
      </c>
      <c r="R644" s="174">
        <f>VLOOKUP(D644,原始分!$D:$N,9,0)</f>
        <v>38.5</v>
      </c>
      <c r="S644" s="174">
        <f t="shared" si="136"/>
        <v>203</v>
      </c>
      <c r="T644" s="174">
        <f>VLOOKUP(D644,原始分!$D:$N,10,0)</f>
        <v>0</v>
      </c>
      <c r="U644" s="174">
        <f t="shared" si="137"/>
        <v>112</v>
      </c>
      <c r="V644" s="174">
        <f>VLOOKUP(D644,原始分!$D:$N,11,0)</f>
        <v>43.5</v>
      </c>
      <c r="W644" s="174">
        <f t="shared" si="138"/>
        <v>359</v>
      </c>
      <c r="X644" s="11">
        <f t="shared" si="139"/>
        <v>232</v>
      </c>
      <c r="Y644" s="9">
        <f t="shared" si="140"/>
        <v>642</v>
      </c>
      <c r="Z644" s="11">
        <f t="shared" si="141"/>
        <v>340</v>
      </c>
      <c r="AA644" s="9">
        <f t="shared" si="142"/>
        <v>642</v>
      </c>
    </row>
    <row r="645" ht="14.25" spans="1:27">
      <c r="A645" s="13">
        <v>544</v>
      </c>
      <c r="B645" s="15">
        <v>11</v>
      </c>
      <c r="C645" s="16">
        <v>50</v>
      </c>
      <c r="D645" s="17" t="s">
        <v>1096</v>
      </c>
      <c r="E645" s="17" t="s">
        <v>1097</v>
      </c>
      <c r="F645" s="174">
        <f>VLOOKUP(D645,原始分!$D:$N,3,0)</f>
        <v>94.75</v>
      </c>
      <c r="G645" s="174">
        <f t="shared" si="130"/>
        <v>459</v>
      </c>
      <c r="H645" s="174">
        <f>VLOOKUP(D645,原始分!$D:$N,4,0)</f>
        <v>66.5</v>
      </c>
      <c r="I645" s="174">
        <f t="shared" si="131"/>
        <v>639</v>
      </c>
      <c r="J645" s="174">
        <f>VLOOKUP(D645,原始分!$D:$N,5,0)</f>
        <v>55</v>
      </c>
      <c r="K645" s="174">
        <f t="shared" si="132"/>
        <v>651</v>
      </c>
      <c r="L645" s="174">
        <f>VLOOKUP(D645,原始分!$D:$N,6,0)</f>
        <v>38.5</v>
      </c>
      <c r="M645" s="174">
        <f t="shared" si="133"/>
        <v>528</v>
      </c>
      <c r="N645" s="174">
        <f>VLOOKUP(D645,原始分!$D:$N,7,0)</f>
        <v>0</v>
      </c>
      <c r="O645" s="174">
        <f t="shared" si="134"/>
        <v>1</v>
      </c>
      <c r="P645" s="174">
        <f>VLOOKUP(D645,原始分!$D:$N,8,0)</f>
        <v>37</v>
      </c>
      <c r="Q645" s="174">
        <f t="shared" si="135"/>
        <v>374</v>
      </c>
      <c r="R645" s="174">
        <f>VLOOKUP(D645,原始分!$D:$N,9,0)</f>
        <v>0</v>
      </c>
      <c r="S645" s="174">
        <f t="shared" si="136"/>
        <v>218</v>
      </c>
      <c r="T645" s="174">
        <f>VLOOKUP(D645,原始分!$D:$N,10,0)</f>
        <v>0</v>
      </c>
      <c r="U645" s="174">
        <f t="shared" si="137"/>
        <v>112</v>
      </c>
      <c r="V645" s="174">
        <f>VLOOKUP(D645,原始分!$D:$N,11,0)</f>
        <v>46.5</v>
      </c>
      <c r="W645" s="174">
        <f t="shared" si="138"/>
        <v>306</v>
      </c>
      <c r="X645" s="11">
        <f t="shared" si="139"/>
        <v>216.25</v>
      </c>
      <c r="Y645" s="9">
        <f t="shared" si="140"/>
        <v>656</v>
      </c>
      <c r="Z645" s="11">
        <f t="shared" si="141"/>
        <v>338.25</v>
      </c>
      <c r="AA645" s="9">
        <f t="shared" si="142"/>
        <v>643</v>
      </c>
    </row>
    <row r="646" ht="14.25" spans="1:27">
      <c r="A646" s="13">
        <v>113</v>
      </c>
      <c r="B646" s="15">
        <v>3</v>
      </c>
      <c r="C646" s="16">
        <v>2</v>
      </c>
      <c r="D646" s="17" t="s">
        <v>239</v>
      </c>
      <c r="E646" s="17" t="s">
        <v>240</v>
      </c>
      <c r="F646" s="174">
        <f>VLOOKUP(D646,原始分!$D:$N,3,0)</f>
        <v>75</v>
      </c>
      <c r="G646" s="174">
        <f t="shared" si="130"/>
        <v>660</v>
      </c>
      <c r="H646" s="174">
        <f>VLOOKUP(D646,原始分!$D:$N,4,0)</f>
        <v>82</v>
      </c>
      <c r="I646" s="174">
        <f t="shared" si="131"/>
        <v>585</v>
      </c>
      <c r="J646" s="174">
        <f>VLOOKUP(D646,原始分!$D:$N,5,0)</f>
        <v>73.25</v>
      </c>
      <c r="K646" s="174">
        <f t="shared" si="132"/>
        <v>605</v>
      </c>
      <c r="L646" s="174">
        <f>VLOOKUP(D646,原始分!$D:$N,6,0)</f>
        <v>34.5</v>
      </c>
      <c r="M646" s="174">
        <f t="shared" si="133"/>
        <v>582</v>
      </c>
      <c r="N646" s="174">
        <f>VLOOKUP(D646,原始分!$D:$N,7,0)</f>
        <v>0</v>
      </c>
      <c r="O646" s="174">
        <f t="shared" si="134"/>
        <v>1</v>
      </c>
      <c r="P646" s="174">
        <f>VLOOKUP(D646,原始分!$D:$N,8,0)</f>
        <v>35.5</v>
      </c>
      <c r="Q646" s="174">
        <f t="shared" si="135"/>
        <v>395</v>
      </c>
      <c r="R646" s="174">
        <f>VLOOKUP(D646,原始分!$D:$N,9,0)</f>
        <v>37.5</v>
      </c>
      <c r="S646" s="174">
        <f t="shared" si="136"/>
        <v>206</v>
      </c>
      <c r="T646" s="174">
        <f>VLOOKUP(D646,原始分!$D:$N,10,0)</f>
        <v>0</v>
      </c>
      <c r="U646" s="174">
        <f t="shared" si="137"/>
        <v>112</v>
      </c>
      <c r="V646" s="174">
        <f>VLOOKUP(D646,原始分!$D:$N,11,0)</f>
        <v>0</v>
      </c>
      <c r="W646" s="174">
        <f t="shared" si="138"/>
        <v>461</v>
      </c>
      <c r="X646" s="11">
        <f t="shared" si="139"/>
        <v>230.25</v>
      </c>
      <c r="Y646" s="9">
        <f t="shared" si="140"/>
        <v>647</v>
      </c>
      <c r="Z646" s="11">
        <f t="shared" si="141"/>
        <v>337.75</v>
      </c>
      <c r="AA646" s="9">
        <f t="shared" si="142"/>
        <v>644</v>
      </c>
    </row>
    <row r="647" ht="14.25" spans="1:27">
      <c r="A647" s="13">
        <v>59</v>
      </c>
      <c r="B647" s="15">
        <v>1</v>
      </c>
      <c r="C647" s="16">
        <v>61</v>
      </c>
      <c r="D647" s="17" t="s">
        <v>132</v>
      </c>
      <c r="E647" s="17" t="s">
        <v>133</v>
      </c>
      <c r="F647" s="174">
        <f>VLOOKUP(D647,原始分!$D:$N,3,0)</f>
        <v>98</v>
      </c>
      <c r="G647" s="174">
        <f t="shared" si="130"/>
        <v>349</v>
      </c>
      <c r="H647" s="174">
        <f>VLOOKUP(D647,原始分!$D:$N,4,0)</f>
        <v>79.5</v>
      </c>
      <c r="I647" s="174">
        <f t="shared" si="131"/>
        <v>598</v>
      </c>
      <c r="J647" s="174">
        <f>VLOOKUP(D647,原始分!$D:$N,5,0)</f>
        <v>64.25</v>
      </c>
      <c r="K647" s="174">
        <f t="shared" si="132"/>
        <v>640</v>
      </c>
      <c r="L647" s="174">
        <f>VLOOKUP(D647,原始分!$D:$N,6,0)</f>
        <v>20.5</v>
      </c>
      <c r="M647" s="174">
        <f t="shared" si="133"/>
        <v>654</v>
      </c>
      <c r="N647" s="174">
        <f>VLOOKUP(D647,原始分!$D:$N,7,0)</f>
        <v>0</v>
      </c>
      <c r="O647" s="174">
        <f t="shared" si="134"/>
        <v>1</v>
      </c>
      <c r="P647" s="174">
        <f>VLOOKUP(D647,原始分!$D:$N,8,0)</f>
        <v>33</v>
      </c>
      <c r="Q647" s="174">
        <f t="shared" si="135"/>
        <v>433</v>
      </c>
      <c r="R647" s="174">
        <f>VLOOKUP(D647,原始分!$D:$N,9,0)</f>
        <v>0</v>
      </c>
      <c r="S647" s="174">
        <f t="shared" si="136"/>
        <v>218</v>
      </c>
      <c r="T647" s="174">
        <f>VLOOKUP(D647,原始分!$D:$N,10,0)</f>
        <v>41.5</v>
      </c>
      <c r="U647" s="174">
        <f t="shared" si="137"/>
        <v>109</v>
      </c>
      <c r="V647" s="174">
        <f>VLOOKUP(D647,原始分!$D:$N,11,0)</f>
        <v>0</v>
      </c>
      <c r="W647" s="174">
        <f t="shared" si="138"/>
        <v>461</v>
      </c>
      <c r="X647" s="11">
        <f t="shared" si="139"/>
        <v>241.75</v>
      </c>
      <c r="Y647" s="9">
        <f t="shared" si="140"/>
        <v>627</v>
      </c>
      <c r="Z647" s="11">
        <f t="shared" si="141"/>
        <v>336.75</v>
      </c>
      <c r="AA647" s="9">
        <f t="shared" si="142"/>
        <v>645</v>
      </c>
    </row>
    <row r="648" ht="14.25" spans="1:27">
      <c r="A648" s="13">
        <v>579</v>
      </c>
      <c r="B648" s="15">
        <v>12</v>
      </c>
      <c r="C648" s="16">
        <v>27</v>
      </c>
      <c r="D648" s="17" t="s">
        <v>1166</v>
      </c>
      <c r="E648" s="17" t="s">
        <v>1167</v>
      </c>
      <c r="F648" s="174">
        <f>VLOOKUP(D648,原始分!$D:$N,3,0)</f>
        <v>93</v>
      </c>
      <c r="G648" s="174">
        <f t="shared" si="130"/>
        <v>505</v>
      </c>
      <c r="H648" s="174">
        <f>VLOOKUP(D648,原始分!$D:$N,4,0)</f>
        <v>84.5</v>
      </c>
      <c r="I648" s="174">
        <f t="shared" si="131"/>
        <v>562</v>
      </c>
      <c r="J648" s="174">
        <f>VLOOKUP(D648,原始分!$D:$N,5,0)</f>
        <v>83</v>
      </c>
      <c r="K648" s="174">
        <f t="shared" si="132"/>
        <v>512</v>
      </c>
      <c r="L648" s="174">
        <f>VLOOKUP(D648,原始分!$D:$N,6,0)</f>
        <v>26</v>
      </c>
      <c r="M648" s="174">
        <f t="shared" si="133"/>
        <v>635</v>
      </c>
      <c r="N648" s="174">
        <f>VLOOKUP(D648,原始分!$D:$N,7,0)</f>
        <v>0</v>
      </c>
      <c r="O648" s="174">
        <f t="shared" si="134"/>
        <v>1</v>
      </c>
      <c r="P648" s="174">
        <f>VLOOKUP(D648,原始分!$D:$N,8,0)</f>
        <v>24.5</v>
      </c>
      <c r="Q648" s="174">
        <f t="shared" si="135"/>
        <v>512</v>
      </c>
      <c r="R648" s="174">
        <f>VLOOKUP(D648,原始分!$D:$N,9,0)</f>
        <v>0</v>
      </c>
      <c r="S648" s="174">
        <f t="shared" si="136"/>
        <v>218</v>
      </c>
      <c r="T648" s="174">
        <f>VLOOKUP(D648,原始分!$D:$N,10,0)</f>
        <v>0</v>
      </c>
      <c r="U648" s="174">
        <f t="shared" si="137"/>
        <v>112</v>
      </c>
      <c r="V648" s="174">
        <f>VLOOKUP(D648,原始分!$D:$N,11,0)</f>
        <v>25.5</v>
      </c>
      <c r="W648" s="174">
        <f t="shared" si="138"/>
        <v>455</v>
      </c>
      <c r="X648" s="11">
        <f t="shared" si="139"/>
        <v>260.5</v>
      </c>
      <c r="Y648" s="9">
        <f t="shared" si="140"/>
        <v>581</v>
      </c>
      <c r="Z648" s="11">
        <f t="shared" si="141"/>
        <v>336.5</v>
      </c>
      <c r="AA648" s="9">
        <f t="shared" si="142"/>
        <v>646</v>
      </c>
    </row>
    <row r="649" ht="14.25" spans="1:27">
      <c r="A649" s="13">
        <v>98</v>
      </c>
      <c r="B649" s="15">
        <v>2</v>
      </c>
      <c r="C649" s="16">
        <v>35</v>
      </c>
      <c r="D649" s="17" t="s">
        <v>209</v>
      </c>
      <c r="E649" s="17" t="s">
        <v>210</v>
      </c>
      <c r="F649" s="174">
        <f>VLOOKUP(D649,原始分!$D:$N,3,0)</f>
        <v>95.75</v>
      </c>
      <c r="G649" s="174">
        <f t="shared" si="130"/>
        <v>418</v>
      </c>
      <c r="H649" s="174">
        <f>VLOOKUP(D649,原始分!$D:$N,4,0)</f>
        <v>59.5</v>
      </c>
      <c r="I649" s="174">
        <f t="shared" si="131"/>
        <v>650</v>
      </c>
      <c r="J649" s="174">
        <f>VLOOKUP(D649,原始分!$D:$N,5,0)</f>
        <v>64.5</v>
      </c>
      <c r="K649" s="174">
        <f t="shared" si="132"/>
        <v>637</v>
      </c>
      <c r="L649" s="174">
        <f>VLOOKUP(D649,原始分!$D:$N,6,0)</f>
        <v>18.5</v>
      </c>
      <c r="M649" s="174">
        <f t="shared" si="133"/>
        <v>656</v>
      </c>
      <c r="N649" s="174">
        <f>VLOOKUP(D649,原始分!$D:$N,7,0)</f>
        <v>0</v>
      </c>
      <c r="O649" s="174">
        <f t="shared" si="134"/>
        <v>1</v>
      </c>
      <c r="P649" s="174">
        <f>VLOOKUP(D649,原始分!$D:$N,8,0)</f>
        <v>0</v>
      </c>
      <c r="Q649" s="174">
        <f t="shared" si="135"/>
        <v>539</v>
      </c>
      <c r="R649" s="174">
        <f>VLOOKUP(D649,原始分!$D:$N,9,0)</f>
        <v>0</v>
      </c>
      <c r="S649" s="174">
        <f t="shared" si="136"/>
        <v>218</v>
      </c>
      <c r="T649" s="174">
        <f>VLOOKUP(D649,原始分!$D:$N,10,0)</f>
        <v>56.5</v>
      </c>
      <c r="U649" s="174">
        <f t="shared" si="137"/>
        <v>46</v>
      </c>
      <c r="V649" s="174">
        <f>VLOOKUP(D649,原始分!$D:$N,11,0)</f>
        <v>40.5</v>
      </c>
      <c r="W649" s="174">
        <f t="shared" si="138"/>
        <v>395</v>
      </c>
      <c r="X649" s="11">
        <f t="shared" si="139"/>
        <v>219.75</v>
      </c>
      <c r="Y649" s="9">
        <f t="shared" si="140"/>
        <v>653</v>
      </c>
      <c r="Z649" s="11">
        <f t="shared" si="141"/>
        <v>335.25</v>
      </c>
      <c r="AA649" s="9">
        <f t="shared" si="142"/>
        <v>647</v>
      </c>
    </row>
    <row r="650" ht="14.25" spans="1:27">
      <c r="A650" s="13">
        <v>160</v>
      </c>
      <c r="B650" s="15">
        <v>3</v>
      </c>
      <c r="C650" s="16">
        <v>49</v>
      </c>
      <c r="D650" s="17" t="s">
        <v>333</v>
      </c>
      <c r="E650" s="17" t="s">
        <v>334</v>
      </c>
      <c r="F650" s="174">
        <f>VLOOKUP(D650,原始分!$D:$N,3,0)</f>
        <v>89</v>
      </c>
      <c r="G650" s="174">
        <f t="shared" si="130"/>
        <v>595</v>
      </c>
      <c r="H650" s="174">
        <f>VLOOKUP(D650,原始分!$D:$N,4,0)</f>
        <v>65.5</v>
      </c>
      <c r="I650" s="174">
        <f t="shared" si="131"/>
        <v>641</v>
      </c>
      <c r="J650" s="174">
        <f>VLOOKUP(D650,原始分!$D:$N,5,0)</f>
        <v>87</v>
      </c>
      <c r="K650" s="174">
        <f t="shared" si="132"/>
        <v>457</v>
      </c>
      <c r="L650" s="174">
        <f>VLOOKUP(D650,原始分!$D:$N,6,0)</f>
        <v>23.5</v>
      </c>
      <c r="M650" s="174">
        <f t="shared" si="133"/>
        <v>642</v>
      </c>
      <c r="N650" s="174">
        <f>VLOOKUP(D650,原始分!$D:$N,7,0)</f>
        <v>0</v>
      </c>
      <c r="O650" s="174">
        <f t="shared" si="134"/>
        <v>1</v>
      </c>
      <c r="P650" s="174">
        <f>VLOOKUP(D650,原始分!$D:$N,8,0)</f>
        <v>36</v>
      </c>
      <c r="Q650" s="174">
        <f t="shared" si="135"/>
        <v>384</v>
      </c>
      <c r="R650" s="174">
        <f>VLOOKUP(D650,原始分!$D:$N,9,0)</f>
        <v>30.5</v>
      </c>
      <c r="S650" s="174">
        <f t="shared" si="136"/>
        <v>216</v>
      </c>
      <c r="T650" s="174">
        <f>VLOOKUP(D650,原始分!$D:$N,10,0)</f>
        <v>0</v>
      </c>
      <c r="U650" s="174">
        <f t="shared" si="137"/>
        <v>112</v>
      </c>
      <c r="V650" s="174">
        <f>VLOOKUP(D650,原始分!$D:$N,11,0)</f>
        <v>0</v>
      </c>
      <c r="W650" s="174">
        <f t="shared" si="138"/>
        <v>461</v>
      </c>
      <c r="X650" s="11">
        <f t="shared" si="139"/>
        <v>241.5</v>
      </c>
      <c r="Y650" s="9">
        <f t="shared" si="140"/>
        <v>628</v>
      </c>
      <c r="Z650" s="11">
        <f t="shared" si="141"/>
        <v>331.5</v>
      </c>
      <c r="AA650" s="9">
        <f t="shared" si="142"/>
        <v>648</v>
      </c>
    </row>
    <row r="651" ht="14.25" spans="1:27">
      <c r="A651" s="13">
        <v>371</v>
      </c>
      <c r="B651" s="15">
        <v>8</v>
      </c>
      <c r="C651" s="16">
        <v>45</v>
      </c>
      <c r="D651" s="17" t="s">
        <v>752</v>
      </c>
      <c r="E651" s="17" t="s">
        <v>753</v>
      </c>
      <c r="F651" s="174">
        <f>VLOOKUP(D651,原始分!$D:$N,3,0)</f>
        <v>87</v>
      </c>
      <c r="G651" s="174">
        <f t="shared" si="130"/>
        <v>617</v>
      </c>
      <c r="H651" s="174">
        <f>VLOOKUP(D651,原始分!$D:$N,4,0)</f>
        <v>83.5</v>
      </c>
      <c r="I651" s="174">
        <f t="shared" si="131"/>
        <v>572</v>
      </c>
      <c r="J651" s="174">
        <f>VLOOKUP(D651,原始分!$D:$N,5,0)</f>
        <v>61</v>
      </c>
      <c r="K651" s="174">
        <f t="shared" si="132"/>
        <v>646</v>
      </c>
      <c r="L651" s="174">
        <f>VLOOKUP(D651,原始分!$D:$N,6,0)</f>
        <v>33.5</v>
      </c>
      <c r="M651" s="174">
        <f t="shared" si="133"/>
        <v>592</v>
      </c>
      <c r="N651" s="174">
        <f>VLOOKUP(D651,原始分!$D:$N,7,0)</f>
        <v>0</v>
      </c>
      <c r="O651" s="174">
        <f t="shared" si="134"/>
        <v>1</v>
      </c>
      <c r="P651" s="174">
        <f>VLOOKUP(D651,原始分!$D:$N,8,0)</f>
        <v>22.5</v>
      </c>
      <c r="Q651" s="174">
        <f t="shared" si="135"/>
        <v>519</v>
      </c>
      <c r="R651" s="174">
        <f>VLOOKUP(D651,原始分!$D:$N,9,0)</f>
        <v>0</v>
      </c>
      <c r="S651" s="174">
        <f t="shared" si="136"/>
        <v>218</v>
      </c>
      <c r="T651" s="174">
        <f>VLOOKUP(D651,原始分!$D:$N,10,0)</f>
        <v>0</v>
      </c>
      <c r="U651" s="174">
        <f t="shared" si="137"/>
        <v>112</v>
      </c>
      <c r="V651" s="174">
        <f>VLOOKUP(D651,原始分!$D:$N,11,0)</f>
        <v>43</v>
      </c>
      <c r="W651" s="174">
        <f t="shared" si="138"/>
        <v>370</v>
      </c>
      <c r="X651" s="11">
        <f t="shared" si="139"/>
        <v>231.5</v>
      </c>
      <c r="Y651" s="9">
        <f t="shared" si="140"/>
        <v>645</v>
      </c>
      <c r="Z651" s="11">
        <f t="shared" si="141"/>
        <v>330.5</v>
      </c>
      <c r="AA651" s="9">
        <f t="shared" si="142"/>
        <v>649</v>
      </c>
    </row>
    <row r="652" ht="14.25" spans="1:27">
      <c r="A652" s="13">
        <v>581</v>
      </c>
      <c r="B652" s="15">
        <v>12</v>
      </c>
      <c r="C652" s="16">
        <v>29</v>
      </c>
      <c r="D652" s="17" t="s">
        <v>1170</v>
      </c>
      <c r="E652" s="17" t="s">
        <v>1171</v>
      </c>
      <c r="F652" s="174">
        <f>VLOOKUP(D652,原始分!$D:$N,3,0)</f>
        <v>90</v>
      </c>
      <c r="G652" s="174">
        <f t="shared" si="130"/>
        <v>581</v>
      </c>
      <c r="H652" s="174">
        <f>VLOOKUP(D652,原始分!$D:$N,4,0)</f>
        <v>63.5</v>
      </c>
      <c r="I652" s="174">
        <f t="shared" si="131"/>
        <v>644</v>
      </c>
      <c r="J652" s="174">
        <f>VLOOKUP(D652,原始分!$D:$N,5,0)</f>
        <v>88.5</v>
      </c>
      <c r="K652" s="174">
        <f t="shared" si="132"/>
        <v>435</v>
      </c>
      <c r="L652" s="174">
        <f>VLOOKUP(D652,原始分!$D:$N,6,0)</f>
        <v>21</v>
      </c>
      <c r="M652" s="174">
        <f t="shared" si="133"/>
        <v>650</v>
      </c>
      <c r="N652" s="174">
        <f>VLOOKUP(D652,原始分!$D:$N,7,0)</f>
        <v>0</v>
      </c>
      <c r="O652" s="174">
        <f t="shared" si="134"/>
        <v>1</v>
      </c>
      <c r="P652" s="174">
        <f>VLOOKUP(D652,原始分!$D:$N,8,0)</f>
        <v>24.5</v>
      </c>
      <c r="Q652" s="174">
        <f t="shared" si="135"/>
        <v>512</v>
      </c>
      <c r="R652" s="174">
        <f>VLOOKUP(D652,原始分!$D:$N,9,0)</f>
        <v>0</v>
      </c>
      <c r="S652" s="174">
        <f t="shared" si="136"/>
        <v>218</v>
      </c>
      <c r="T652" s="174">
        <f>VLOOKUP(D652,原始分!$D:$N,10,0)</f>
        <v>0</v>
      </c>
      <c r="U652" s="174">
        <f t="shared" si="137"/>
        <v>112</v>
      </c>
      <c r="V652" s="174">
        <f>VLOOKUP(D652,原始分!$D:$N,11,0)</f>
        <v>42</v>
      </c>
      <c r="W652" s="174">
        <f t="shared" si="138"/>
        <v>383</v>
      </c>
      <c r="X652" s="11">
        <f t="shared" si="139"/>
        <v>242</v>
      </c>
      <c r="Y652" s="9">
        <f t="shared" si="140"/>
        <v>626</v>
      </c>
      <c r="Z652" s="11">
        <f t="shared" si="141"/>
        <v>329.5</v>
      </c>
      <c r="AA652" s="9">
        <f t="shared" si="142"/>
        <v>650</v>
      </c>
    </row>
    <row r="653" ht="14.25" spans="1:27">
      <c r="A653" s="13">
        <v>165</v>
      </c>
      <c r="B653" s="15">
        <v>4</v>
      </c>
      <c r="C653" s="16">
        <v>6</v>
      </c>
      <c r="D653" s="17" t="s">
        <v>343</v>
      </c>
      <c r="E653" s="17" t="s">
        <v>344</v>
      </c>
      <c r="F653" s="174">
        <f>VLOOKUP(D653,原始分!$D:$N,3,0)</f>
        <v>84</v>
      </c>
      <c r="G653" s="174">
        <f t="shared" si="130"/>
        <v>641</v>
      </c>
      <c r="H653" s="174">
        <f>VLOOKUP(D653,原始分!$D:$N,4,0)</f>
        <v>83</v>
      </c>
      <c r="I653" s="174">
        <f t="shared" si="131"/>
        <v>577</v>
      </c>
      <c r="J653" s="174">
        <f>VLOOKUP(D653,原始分!$D:$N,5,0)</f>
        <v>54.5</v>
      </c>
      <c r="K653" s="174">
        <f t="shared" si="132"/>
        <v>652</v>
      </c>
      <c r="L653" s="174">
        <f>VLOOKUP(D653,原始分!$D:$N,6,0)</f>
        <v>28</v>
      </c>
      <c r="M653" s="174">
        <f t="shared" si="133"/>
        <v>625</v>
      </c>
      <c r="N653" s="174">
        <f>VLOOKUP(D653,原始分!$D:$N,7,0)</f>
        <v>0</v>
      </c>
      <c r="O653" s="174">
        <f t="shared" si="134"/>
        <v>1</v>
      </c>
      <c r="P653" s="174">
        <f>VLOOKUP(D653,原始分!$D:$N,8,0)</f>
        <v>28</v>
      </c>
      <c r="Q653" s="174">
        <f t="shared" si="135"/>
        <v>491</v>
      </c>
      <c r="R653" s="174">
        <f>VLOOKUP(D653,原始分!$D:$N,9,0)</f>
        <v>49.5</v>
      </c>
      <c r="S653" s="174">
        <f t="shared" si="136"/>
        <v>99</v>
      </c>
      <c r="T653" s="174">
        <f>VLOOKUP(D653,原始分!$D:$N,10,0)</f>
        <v>0</v>
      </c>
      <c r="U653" s="174">
        <f t="shared" si="137"/>
        <v>112</v>
      </c>
      <c r="V653" s="174">
        <f>VLOOKUP(D653,原始分!$D:$N,11,0)</f>
        <v>0</v>
      </c>
      <c r="W653" s="174">
        <f t="shared" si="138"/>
        <v>461</v>
      </c>
      <c r="X653" s="11">
        <f t="shared" si="139"/>
        <v>221.5</v>
      </c>
      <c r="Y653" s="9">
        <f t="shared" si="140"/>
        <v>652</v>
      </c>
      <c r="Z653" s="11">
        <f t="shared" si="141"/>
        <v>327</v>
      </c>
      <c r="AA653" s="9">
        <f t="shared" si="142"/>
        <v>651</v>
      </c>
    </row>
    <row r="654" ht="14.25" spans="1:27">
      <c r="A654" s="13">
        <v>617</v>
      </c>
      <c r="B654" s="15">
        <v>13</v>
      </c>
      <c r="C654" s="16">
        <v>8</v>
      </c>
      <c r="D654" s="17" t="s">
        <v>1242</v>
      </c>
      <c r="E654" s="17" t="s">
        <v>1243</v>
      </c>
      <c r="F654" s="174">
        <f>VLOOKUP(D654,原始分!$D:$N,3,0)</f>
        <v>86.5</v>
      </c>
      <c r="G654" s="174">
        <f t="shared" si="130"/>
        <v>622</v>
      </c>
      <c r="H654" s="174">
        <f>VLOOKUP(D654,原始分!$D:$N,4,0)</f>
        <v>93</v>
      </c>
      <c r="I654" s="174">
        <f t="shared" si="131"/>
        <v>457</v>
      </c>
      <c r="J654" s="174">
        <f>VLOOKUP(D654,原始分!$D:$N,5,0)</f>
        <v>45.5</v>
      </c>
      <c r="K654" s="174">
        <f t="shared" si="132"/>
        <v>659</v>
      </c>
      <c r="L654" s="174">
        <f>VLOOKUP(D654,原始分!$D:$N,6,0)</f>
        <v>30</v>
      </c>
      <c r="M654" s="174">
        <f t="shared" si="133"/>
        <v>611</v>
      </c>
      <c r="N654" s="174">
        <f>VLOOKUP(D654,原始分!$D:$N,7,0)</f>
        <v>0</v>
      </c>
      <c r="O654" s="174">
        <f t="shared" si="134"/>
        <v>1</v>
      </c>
      <c r="P654" s="174">
        <f>VLOOKUP(D654,原始分!$D:$N,8,0)</f>
        <v>22</v>
      </c>
      <c r="Q654" s="174">
        <f t="shared" si="135"/>
        <v>521</v>
      </c>
      <c r="R654" s="174">
        <f>VLOOKUP(D654,原始分!$D:$N,9,0)</f>
        <v>0</v>
      </c>
      <c r="S654" s="174">
        <f t="shared" si="136"/>
        <v>218</v>
      </c>
      <c r="T654" s="174">
        <f>VLOOKUP(D654,原始分!$D:$N,10,0)</f>
        <v>0</v>
      </c>
      <c r="U654" s="174">
        <f t="shared" si="137"/>
        <v>112</v>
      </c>
      <c r="V654" s="174">
        <f>VLOOKUP(D654,原始分!$D:$N,11,0)</f>
        <v>44.5</v>
      </c>
      <c r="W654" s="174">
        <f t="shared" si="138"/>
        <v>343</v>
      </c>
      <c r="X654" s="11">
        <f t="shared" si="139"/>
        <v>225</v>
      </c>
      <c r="Y654" s="9">
        <f t="shared" si="140"/>
        <v>650</v>
      </c>
      <c r="Z654" s="11">
        <f t="shared" si="141"/>
        <v>321.5</v>
      </c>
      <c r="AA654" s="9">
        <f t="shared" si="142"/>
        <v>652</v>
      </c>
    </row>
    <row r="655" ht="14.25" spans="1:27">
      <c r="A655" s="13">
        <v>601</v>
      </c>
      <c r="B655" s="15">
        <v>12</v>
      </c>
      <c r="C655" s="16">
        <v>51</v>
      </c>
      <c r="D655" s="17" t="s">
        <v>1210</v>
      </c>
      <c r="E655" s="17" t="s">
        <v>1211</v>
      </c>
      <c r="F655" s="174">
        <f>VLOOKUP(D655,原始分!$D:$N,3,0)</f>
        <v>92</v>
      </c>
      <c r="G655" s="174">
        <f t="shared" si="130"/>
        <v>534</v>
      </c>
      <c r="H655" s="174">
        <f>VLOOKUP(D655,原始分!$D:$N,4,0)</f>
        <v>65</v>
      </c>
      <c r="I655" s="174">
        <f t="shared" si="131"/>
        <v>642</v>
      </c>
      <c r="J655" s="174">
        <f>VLOOKUP(D655,原始分!$D:$N,5,0)</f>
        <v>75</v>
      </c>
      <c r="K655" s="174">
        <f t="shared" si="132"/>
        <v>592</v>
      </c>
      <c r="L655" s="174">
        <f>VLOOKUP(D655,原始分!$D:$N,6,0)</f>
        <v>26.5</v>
      </c>
      <c r="M655" s="174">
        <f t="shared" si="133"/>
        <v>634</v>
      </c>
      <c r="N655" s="174">
        <f>VLOOKUP(D655,原始分!$D:$N,7,0)</f>
        <v>0</v>
      </c>
      <c r="O655" s="174">
        <f t="shared" si="134"/>
        <v>1</v>
      </c>
      <c r="P655" s="174">
        <f>VLOOKUP(D655,原始分!$D:$N,8,0)</f>
        <v>28.5</v>
      </c>
      <c r="Q655" s="174">
        <f t="shared" si="135"/>
        <v>486</v>
      </c>
      <c r="R655" s="174">
        <f>VLOOKUP(D655,原始分!$D:$N,9,0)</f>
        <v>0</v>
      </c>
      <c r="S655" s="174">
        <f t="shared" si="136"/>
        <v>218</v>
      </c>
      <c r="T655" s="174">
        <f>VLOOKUP(D655,原始分!$D:$N,10,0)</f>
        <v>0</v>
      </c>
      <c r="U655" s="174">
        <f t="shared" si="137"/>
        <v>112</v>
      </c>
      <c r="V655" s="174">
        <f>VLOOKUP(D655,原始分!$D:$N,11,0)</f>
        <v>33.5</v>
      </c>
      <c r="W655" s="174">
        <f t="shared" si="138"/>
        <v>436</v>
      </c>
      <c r="X655" s="11">
        <f t="shared" si="139"/>
        <v>232</v>
      </c>
      <c r="Y655" s="9">
        <f t="shared" si="140"/>
        <v>642</v>
      </c>
      <c r="Z655" s="11">
        <f t="shared" si="141"/>
        <v>320.5</v>
      </c>
      <c r="AA655" s="9">
        <f t="shared" si="142"/>
        <v>653</v>
      </c>
    </row>
    <row r="656" ht="14.25" spans="1:27">
      <c r="A656" s="13">
        <v>370</v>
      </c>
      <c r="B656" s="15">
        <v>8</v>
      </c>
      <c r="C656" s="16">
        <v>44</v>
      </c>
      <c r="D656" s="17" t="s">
        <v>750</v>
      </c>
      <c r="E656" s="17" t="s">
        <v>751</v>
      </c>
      <c r="F656" s="174">
        <f>VLOOKUP(D656,原始分!$D:$N,3,0)</f>
        <v>106.25</v>
      </c>
      <c r="G656" s="174">
        <f t="shared" si="130"/>
        <v>83</v>
      </c>
      <c r="H656" s="174">
        <f>VLOOKUP(D656,原始分!$D:$N,4,0)</f>
        <v>58</v>
      </c>
      <c r="I656" s="174">
        <f t="shared" si="131"/>
        <v>652</v>
      </c>
      <c r="J656" s="174">
        <f>VLOOKUP(D656,原始分!$D:$N,5,0)</f>
        <v>49.25</v>
      </c>
      <c r="K656" s="174">
        <f t="shared" si="132"/>
        <v>657</v>
      </c>
      <c r="L656" s="174">
        <f>VLOOKUP(D656,原始分!$D:$N,6,0)</f>
        <v>39</v>
      </c>
      <c r="M656" s="174">
        <f t="shared" si="133"/>
        <v>520</v>
      </c>
      <c r="N656" s="174">
        <f>VLOOKUP(D656,原始分!$D:$N,7,0)</f>
        <v>0</v>
      </c>
      <c r="O656" s="174">
        <f t="shared" si="134"/>
        <v>1</v>
      </c>
      <c r="P656" s="174">
        <f>VLOOKUP(D656,原始分!$D:$N,8,0)</f>
        <v>29</v>
      </c>
      <c r="Q656" s="174">
        <f t="shared" si="135"/>
        <v>482</v>
      </c>
      <c r="R656" s="174">
        <f>VLOOKUP(D656,原始分!$D:$N,9,0)</f>
        <v>0</v>
      </c>
      <c r="S656" s="174">
        <f t="shared" si="136"/>
        <v>218</v>
      </c>
      <c r="T656" s="174">
        <f>VLOOKUP(D656,原始分!$D:$N,10,0)</f>
        <v>0</v>
      </c>
      <c r="U656" s="174">
        <f t="shared" si="137"/>
        <v>112</v>
      </c>
      <c r="V656" s="174">
        <f>VLOOKUP(D656,原始分!$D:$N,11,0)</f>
        <v>37</v>
      </c>
      <c r="W656" s="174">
        <f t="shared" si="138"/>
        <v>420</v>
      </c>
      <c r="X656" s="11">
        <f t="shared" si="139"/>
        <v>213.5</v>
      </c>
      <c r="Y656" s="9">
        <f t="shared" si="140"/>
        <v>658</v>
      </c>
      <c r="Z656" s="11">
        <f t="shared" si="141"/>
        <v>318.5</v>
      </c>
      <c r="AA656" s="9">
        <f t="shared" si="142"/>
        <v>654</v>
      </c>
    </row>
    <row r="657" ht="14.25" spans="1:27">
      <c r="A657" s="13">
        <v>584</v>
      </c>
      <c r="B657" s="15">
        <v>12</v>
      </c>
      <c r="C657" s="16">
        <v>33</v>
      </c>
      <c r="D657" s="17" t="s">
        <v>1176</v>
      </c>
      <c r="E657" s="17" t="s">
        <v>1177</v>
      </c>
      <c r="F657" s="174">
        <f>VLOOKUP(D657,原始分!$D:$N,3,0)</f>
        <v>78.5</v>
      </c>
      <c r="G657" s="174">
        <f t="shared" si="130"/>
        <v>654</v>
      </c>
      <c r="H657" s="174">
        <f>VLOOKUP(D657,原始分!$D:$N,4,0)</f>
        <v>98.5</v>
      </c>
      <c r="I657" s="174">
        <f t="shared" si="131"/>
        <v>366</v>
      </c>
      <c r="J657" s="174">
        <f>VLOOKUP(D657,原始分!$D:$N,5,0)</f>
        <v>61</v>
      </c>
      <c r="K657" s="174">
        <f t="shared" si="132"/>
        <v>646</v>
      </c>
      <c r="L657" s="174">
        <f>VLOOKUP(D657,原始分!$D:$N,6,0)</f>
        <v>29</v>
      </c>
      <c r="M657" s="174">
        <f t="shared" si="133"/>
        <v>618</v>
      </c>
      <c r="N657" s="174">
        <f>VLOOKUP(D657,原始分!$D:$N,7,0)</f>
        <v>0</v>
      </c>
      <c r="O657" s="174">
        <f t="shared" si="134"/>
        <v>1</v>
      </c>
      <c r="P657" s="174">
        <f>VLOOKUP(D657,原始分!$D:$N,8,0)</f>
        <v>18</v>
      </c>
      <c r="Q657" s="174">
        <f t="shared" si="135"/>
        <v>535</v>
      </c>
      <c r="R657" s="174">
        <f>VLOOKUP(D657,原始分!$D:$N,9,0)</f>
        <v>0</v>
      </c>
      <c r="S657" s="174">
        <f t="shared" si="136"/>
        <v>218</v>
      </c>
      <c r="T657" s="174">
        <f>VLOOKUP(D657,原始分!$D:$N,10,0)</f>
        <v>0</v>
      </c>
      <c r="U657" s="174">
        <f t="shared" si="137"/>
        <v>112</v>
      </c>
      <c r="V657" s="174">
        <f>VLOOKUP(D657,原始分!$D:$N,11,0)</f>
        <v>25.5</v>
      </c>
      <c r="W657" s="174">
        <f t="shared" si="138"/>
        <v>455</v>
      </c>
      <c r="X657" s="11">
        <f t="shared" si="139"/>
        <v>238</v>
      </c>
      <c r="Y657" s="9">
        <f t="shared" si="140"/>
        <v>634</v>
      </c>
      <c r="Z657" s="11">
        <f t="shared" si="141"/>
        <v>310.5</v>
      </c>
      <c r="AA657" s="9">
        <f t="shared" si="142"/>
        <v>655</v>
      </c>
    </row>
    <row r="658" ht="14.25" spans="1:27">
      <c r="A658" s="13">
        <v>51</v>
      </c>
      <c r="B658" s="15">
        <v>1</v>
      </c>
      <c r="C658" s="16">
        <v>53</v>
      </c>
      <c r="D658" s="17" t="s">
        <v>116</v>
      </c>
      <c r="E658" s="17" t="s">
        <v>117</v>
      </c>
      <c r="F658" s="174">
        <f>VLOOKUP(D658,原始分!$D:$N,3,0)</f>
        <v>91</v>
      </c>
      <c r="G658" s="174">
        <f t="shared" si="130"/>
        <v>555</v>
      </c>
      <c r="H658" s="174">
        <f>VLOOKUP(D658,原始分!$D:$N,4,0)</f>
        <v>50</v>
      </c>
      <c r="I658" s="174">
        <f t="shared" si="131"/>
        <v>658</v>
      </c>
      <c r="J658" s="174">
        <f>VLOOKUP(D658,原始分!$D:$N,5,0)</f>
        <v>74</v>
      </c>
      <c r="K658" s="174">
        <f t="shared" si="132"/>
        <v>600</v>
      </c>
      <c r="L658" s="174">
        <f>VLOOKUP(D658,原始分!$D:$N,6,0)</f>
        <v>27</v>
      </c>
      <c r="M658" s="174">
        <f t="shared" si="133"/>
        <v>631</v>
      </c>
      <c r="N658" s="174">
        <f>VLOOKUP(D658,原始分!$D:$N,7,0)</f>
        <v>0</v>
      </c>
      <c r="O658" s="174">
        <f t="shared" si="134"/>
        <v>1</v>
      </c>
      <c r="P658" s="174">
        <f>VLOOKUP(D658,原始分!$D:$N,8,0)</f>
        <v>22</v>
      </c>
      <c r="Q658" s="174">
        <f t="shared" si="135"/>
        <v>521</v>
      </c>
      <c r="R658" s="174">
        <f>VLOOKUP(D658,原始分!$D:$N,9,0)</f>
        <v>0</v>
      </c>
      <c r="S658" s="174">
        <f t="shared" si="136"/>
        <v>218</v>
      </c>
      <c r="T658" s="174">
        <f>VLOOKUP(D658,原始分!$D:$N,10,0)</f>
        <v>46</v>
      </c>
      <c r="U658" s="174">
        <f t="shared" si="137"/>
        <v>100</v>
      </c>
      <c r="V658" s="174">
        <f>VLOOKUP(D658,原始分!$D:$N,11,0)</f>
        <v>0</v>
      </c>
      <c r="W658" s="174">
        <f t="shared" si="138"/>
        <v>461</v>
      </c>
      <c r="X658" s="11">
        <f t="shared" si="139"/>
        <v>215</v>
      </c>
      <c r="Y658" s="9">
        <f t="shared" si="140"/>
        <v>657</v>
      </c>
      <c r="Z658" s="11">
        <f t="shared" si="141"/>
        <v>310</v>
      </c>
      <c r="AA658" s="9">
        <f t="shared" si="142"/>
        <v>656</v>
      </c>
    </row>
    <row r="659" ht="14.25" spans="1:27">
      <c r="A659" s="13">
        <v>512</v>
      </c>
      <c r="B659" s="15">
        <v>11</v>
      </c>
      <c r="C659" s="16">
        <v>16</v>
      </c>
      <c r="D659" s="17" t="s">
        <v>1034</v>
      </c>
      <c r="E659" s="17" t="s">
        <v>1035</v>
      </c>
      <c r="F659" s="174">
        <f>VLOOKUP(D659,原始分!$D:$N,3,0)</f>
        <v>85.5</v>
      </c>
      <c r="G659" s="174">
        <f t="shared" si="130"/>
        <v>629</v>
      </c>
      <c r="H659" s="174">
        <f>VLOOKUP(D659,原始分!$D:$N,4,0)</f>
        <v>70</v>
      </c>
      <c r="I659" s="174">
        <f t="shared" si="131"/>
        <v>632</v>
      </c>
      <c r="J659" s="174">
        <f>VLOOKUP(D659,原始分!$D:$N,5,0)</f>
        <v>64</v>
      </c>
      <c r="K659" s="174">
        <f t="shared" si="132"/>
        <v>642</v>
      </c>
      <c r="L659" s="174">
        <f>VLOOKUP(D659,原始分!$D:$N,6,0)</f>
        <v>35</v>
      </c>
      <c r="M659" s="174">
        <f t="shared" si="133"/>
        <v>572</v>
      </c>
      <c r="N659" s="174">
        <f>VLOOKUP(D659,原始分!$D:$N,7,0)</f>
        <v>0</v>
      </c>
      <c r="O659" s="174">
        <f t="shared" si="134"/>
        <v>1</v>
      </c>
      <c r="P659" s="174">
        <f>VLOOKUP(D659,原始分!$D:$N,8,0)</f>
        <v>21.5</v>
      </c>
      <c r="Q659" s="174">
        <f t="shared" si="135"/>
        <v>525</v>
      </c>
      <c r="R659" s="174">
        <f>VLOOKUP(D659,原始分!$D:$N,9,0)</f>
        <v>0</v>
      </c>
      <c r="S659" s="174">
        <f t="shared" si="136"/>
        <v>218</v>
      </c>
      <c r="T659" s="174">
        <f>VLOOKUP(D659,原始分!$D:$N,10,0)</f>
        <v>0</v>
      </c>
      <c r="U659" s="174">
        <f t="shared" si="137"/>
        <v>112</v>
      </c>
      <c r="V659" s="174">
        <f>VLOOKUP(D659,原始分!$D:$N,11,0)</f>
        <v>33.5</v>
      </c>
      <c r="W659" s="174">
        <f t="shared" si="138"/>
        <v>436</v>
      </c>
      <c r="X659" s="11">
        <f t="shared" si="139"/>
        <v>219.5</v>
      </c>
      <c r="Y659" s="9">
        <f t="shared" si="140"/>
        <v>655</v>
      </c>
      <c r="Z659" s="11">
        <f t="shared" si="141"/>
        <v>309.5</v>
      </c>
      <c r="AA659" s="9">
        <f t="shared" si="142"/>
        <v>657</v>
      </c>
    </row>
    <row r="660" ht="14.25" spans="1:27">
      <c r="A660" s="13">
        <v>549</v>
      </c>
      <c r="B660" s="15">
        <v>11</v>
      </c>
      <c r="C660" s="16">
        <v>55</v>
      </c>
      <c r="D660" s="17" t="s">
        <v>1106</v>
      </c>
      <c r="E660" s="17" t="s">
        <v>1107</v>
      </c>
      <c r="F660" s="174">
        <f>VLOOKUP(D660,原始分!$D:$N,3,0)</f>
        <v>86</v>
      </c>
      <c r="G660" s="174">
        <f t="shared" si="130"/>
        <v>626</v>
      </c>
      <c r="H660" s="174">
        <f>VLOOKUP(D660,原始分!$D:$N,4,0)</f>
        <v>73</v>
      </c>
      <c r="I660" s="174">
        <f t="shared" si="131"/>
        <v>627</v>
      </c>
      <c r="J660" s="174">
        <f>VLOOKUP(D660,原始分!$D:$N,5,0)</f>
        <v>63.5</v>
      </c>
      <c r="K660" s="174">
        <f t="shared" si="132"/>
        <v>644</v>
      </c>
      <c r="L660" s="174">
        <f>VLOOKUP(D660,原始分!$D:$N,6,0)</f>
        <v>17</v>
      </c>
      <c r="M660" s="174">
        <f t="shared" si="133"/>
        <v>659</v>
      </c>
      <c r="N660" s="174">
        <f>VLOOKUP(D660,原始分!$D:$N,7,0)</f>
        <v>0</v>
      </c>
      <c r="O660" s="174">
        <f t="shared" si="134"/>
        <v>1</v>
      </c>
      <c r="P660" s="174">
        <f>VLOOKUP(D660,原始分!$D:$N,8,0)</f>
        <v>26</v>
      </c>
      <c r="Q660" s="174">
        <f t="shared" si="135"/>
        <v>505</v>
      </c>
      <c r="R660" s="174">
        <f>VLOOKUP(D660,原始分!$D:$N,9,0)</f>
        <v>0</v>
      </c>
      <c r="S660" s="174">
        <f t="shared" si="136"/>
        <v>218</v>
      </c>
      <c r="T660" s="174">
        <f>VLOOKUP(D660,原始分!$D:$N,10,0)</f>
        <v>0</v>
      </c>
      <c r="U660" s="174">
        <f t="shared" si="137"/>
        <v>112</v>
      </c>
      <c r="V660" s="174">
        <f>VLOOKUP(D660,原始分!$D:$N,11,0)</f>
        <v>34</v>
      </c>
      <c r="W660" s="174">
        <f t="shared" si="138"/>
        <v>435</v>
      </c>
      <c r="X660" s="11">
        <f t="shared" si="139"/>
        <v>222.5</v>
      </c>
      <c r="Y660" s="9">
        <f t="shared" si="140"/>
        <v>651</v>
      </c>
      <c r="Z660" s="11">
        <f t="shared" si="141"/>
        <v>299.5</v>
      </c>
      <c r="AA660" s="9">
        <f t="shared" si="142"/>
        <v>658</v>
      </c>
    </row>
    <row r="661" ht="14.25" spans="1:27">
      <c r="A661" s="13">
        <v>575</v>
      </c>
      <c r="B661" s="15">
        <v>12</v>
      </c>
      <c r="C661" s="16">
        <v>22</v>
      </c>
      <c r="D661" s="17" t="s">
        <v>1158</v>
      </c>
      <c r="E661" s="17" t="s">
        <v>1159</v>
      </c>
      <c r="F661" s="174">
        <f>VLOOKUP(D661,原始分!$D:$N,3,0)</f>
        <v>78</v>
      </c>
      <c r="G661" s="174">
        <f t="shared" si="130"/>
        <v>655</v>
      </c>
      <c r="H661" s="174">
        <f>VLOOKUP(D661,原始分!$D:$N,4,0)</f>
        <v>63</v>
      </c>
      <c r="I661" s="174">
        <f t="shared" si="131"/>
        <v>645</v>
      </c>
      <c r="J661" s="174">
        <f>VLOOKUP(D661,原始分!$D:$N,5,0)</f>
        <v>68.5</v>
      </c>
      <c r="K661" s="174">
        <f t="shared" si="132"/>
        <v>630</v>
      </c>
      <c r="L661" s="174">
        <f>VLOOKUP(D661,原始分!$D:$N,6,0)</f>
        <v>34.5</v>
      </c>
      <c r="M661" s="174">
        <f t="shared" si="133"/>
        <v>582</v>
      </c>
      <c r="N661" s="174">
        <f>VLOOKUP(D661,原始分!$D:$N,7,0)</f>
        <v>0</v>
      </c>
      <c r="O661" s="174">
        <f t="shared" si="134"/>
        <v>1</v>
      </c>
      <c r="P661" s="174">
        <f>VLOOKUP(D661,原始分!$D:$N,8,0)</f>
        <v>12.5</v>
      </c>
      <c r="Q661" s="174">
        <f t="shared" si="135"/>
        <v>537</v>
      </c>
      <c r="R661" s="174">
        <f>VLOOKUP(D661,原始分!$D:$N,9,0)</f>
        <v>0</v>
      </c>
      <c r="S661" s="174">
        <f t="shared" si="136"/>
        <v>218</v>
      </c>
      <c r="T661" s="174">
        <f>VLOOKUP(D661,原始分!$D:$N,10,0)</f>
        <v>0</v>
      </c>
      <c r="U661" s="174">
        <f t="shared" si="137"/>
        <v>112</v>
      </c>
      <c r="V661" s="174">
        <f>VLOOKUP(D661,原始分!$D:$N,11,0)</f>
        <v>42.5</v>
      </c>
      <c r="W661" s="174">
        <f t="shared" si="138"/>
        <v>379</v>
      </c>
      <c r="X661" s="11">
        <f t="shared" si="139"/>
        <v>209.5</v>
      </c>
      <c r="Y661" s="9">
        <f t="shared" si="140"/>
        <v>660</v>
      </c>
      <c r="Z661" s="11">
        <f t="shared" si="141"/>
        <v>299</v>
      </c>
      <c r="AA661" s="9">
        <f t="shared" si="142"/>
        <v>659</v>
      </c>
    </row>
    <row r="662" ht="14.25" spans="1:27">
      <c r="A662" s="13">
        <v>564</v>
      </c>
      <c r="B662" s="20">
        <v>12</v>
      </c>
      <c r="C662" s="16">
        <v>11</v>
      </c>
      <c r="D662" s="19" t="s">
        <v>1136</v>
      </c>
      <c r="E662" s="17" t="s">
        <v>1137</v>
      </c>
      <c r="F662" s="174">
        <f>VLOOKUP(D662,原始分!$D:$N,3,0)</f>
        <v>82.5</v>
      </c>
      <c r="G662" s="174">
        <f t="shared" si="130"/>
        <v>649</v>
      </c>
      <c r="H662" s="174">
        <f>VLOOKUP(D662,原始分!$D:$N,4,0)</f>
        <v>55.5</v>
      </c>
      <c r="I662" s="174">
        <f t="shared" si="131"/>
        <v>654</v>
      </c>
      <c r="J662" s="174">
        <f>VLOOKUP(D662,原始分!$D:$N,5,0)</f>
        <v>70.75</v>
      </c>
      <c r="K662" s="174">
        <f t="shared" si="132"/>
        <v>620</v>
      </c>
      <c r="L662" s="174">
        <f>VLOOKUP(D662,原始分!$D:$N,6,0)</f>
        <v>23</v>
      </c>
      <c r="M662" s="174">
        <f t="shared" si="133"/>
        <v>645</v>
      </c>
      <c r="N662" s="174">
        <f>VLOOKUP(D662,原始分!$D:$N,7,0)</f>
        <v>0</v>
      </c>
      <c r="O662" s="174">
        <f t="shared" si="134"/>
        <v>1</v>
      </c>
      <c r="P662" s="174">
        <f>VLOOKUP(D662,原始分!$D:$N,8,0)</f>
        <v>24.5</v>
      </c>
      <c r="Q662" s="174">
        <f t="shared" si="135"/>
        <v>512</v>
      </c>
      <c r="R662" s="174">
        <f>VLOOKUP(D662,原始分!$D:$N,9,0)</f>
        <v>0</v>
      </c>
      <c r="S662" s="174">
        <f t="shared" si="136"/>
        <v>218</v>
      </c>
      <c r="T662" s="174">
        <f>VLOOKUP(D662,原始分!$D:$N,10,0)</f>
        <v>0</v>
      </c>
      <c r="U662" s="174">
        <f t="shared" si="137"/>
        <v>112</v>
      </c>
      <c r="V662" s="174">
        <f>VLOOKUP(D662,原始分!$D:$N,11,0)</f>
        <v>32</v>
      </c>
      <c r="W662" s="174">
        <f t="shared" si="138"/>
        <v>442</v>
      </c>
      <c r="X662" s="11">
        <f t="shared" si="139"/>
        <v>208.75</v>
      </c>
      <c r="Y662" s="9">
        <f t="shared" si="140"/>
        <v>661</v>
      </c>
      <c r="Z662" s="11">
        <f t="shared" si="141"/>
        <v>288.25</v>
      </c>
      <c r="AA662" s="9">
        <f t="shared" si="142"/>
        <v>660</v>
      </c>
    </row>
    <row r="663" ht="14.25" spans="1:27">
      <c r="A663" s="13">
        <v>573</v>
      </c>
      <c r="B663" s="15">
        <v>12</v>
      </c>
      <c r="C663" s="16">
        <v>20</v>
      </c>
      <c r="D663" s="17" t="s">
        <v>1154</v>
      </c>
      <c r="E663" s="17" t="s">
        <v>1155</v>
      </c>
      <c r="F663" s="174">
        <f>VLOOKUP(D663,原始分!$D:$N,3,0)</f>
        <v>75.25</v>
      </c>
      <c r="G663" s="174">
        <f t="shared" si="130"/>
        <v>659</v>
      </c>
      <c r="H663" s="174">
        <f>VLOOKUP(D663,原始分!$D:$N,4,0)</f>
        <v>41.5</v>
      </c>
      <c r="I663" s="174">
        <f t="shared" si="131"/>
        <v>661</v>
      </c>
      <c r="J663" s="174">
        <f>VLOOKUP(D663,原始分!$D:$N,5,0)</f>
        <v>93.75</v>
      </c>
      <c r="K663" s="174">
        <f t="shared" si="132"/>
        <v>362</v>
      </c>
      <c r="L663" s="174">
        <f>VLOOKUP(D663,原始分!$D:$N,6,0)</f>
        <v>21</v>
      </c>
      <c r="M663" s="174">
        <f t="shared" si="133"/>
        <v>650</v>
      </c>
      <c r="N663" s="174">
        <f>VLOOKUP(D663,原始分!$D:$N,7,0)</f>
        <v>0</v>
      </c>
      <c r="O663" s="174">
        <f t="shared" si="134"/>
        <v>1</v>
      </c>
      <c r="P663" s="174">
        <f>VLOOKUP(D663,原始分!$D:$N,8,0)</f>
        <v>21</v>
      </c>
      <c r="Q663" s="174">
        <f t="shared" si="135"/>
        <v>528</v>
      </c>
      <c r="R663" s="174">
        <f>VLOOKUP(D663,原始分!$D:$N,9,0)</f>
        <v>0</v>
      </c>
      <c r="S663" s="174">
        <f t="shared" si="136"/>
        <v>218</v>
      </c>
      <c r="T663" s="174">
        <f>VLOOKUP(D663,原始分!$D:$N,10,0)</f>
        <v>0</v>
      </c>
      <c r="U663" s="174">
        <f t="shared" si="137"/>
        <v>112</v>
      </c>
      <c r="V663" s="174">
        <f>VLOOKUP(D663,原始分!$D:$N,11,0)</f>
        <v>31</v>
      </c>
      <c r="W663" s="174">
        <f t="shared" si="138"/>
        <v>446</v>
      </c>
      <c r="X663" s="11">
        <f t="shared" si="139"/>
        <v>210.5</v>
      </c>
      <c r="Y663" s="9">
        <f t="shared" si="140"/>
        <v>659</v>
      </c>
      <c r="Z663" s="11">
        <f t="shared" si="141"/>
        <v>283.5</v>
      </c>
      <c r="AA663" s="9">
        <f t="shared" si="142"/>
        <v>661</v>
      </c>
    </row>
    <row r="664" ht="12.95" customHeight="1" spans="1:27">
      <c r="A664" s="13">
        <v>503</v>
      </c>
      <c r="B664" s="15">
        <v>11</v>
      </c>
      <c r="C664" s="16">
        <v>7</v>
      </c>
      <c r="D664" s="17" t="s">
        <v>1016</v>
      </c>
      <c r="E664" s="17" t="s">
        <v>1017</v>
      </c>
      <c r="F664" s="174">
        <f>VLOOKUP(D664,原始分!$D:$N,3,0)</f>
        <v>101</v>
      </c>
      <c r="G664" s="174">
        <f t="shared" si="130"/>
        <v>224</v>
      </c>
      <c r="H664" s="174">
        <f>VLOOKUP(D664,原始分!$D:$N,4,0)</f>
        <v>21.5</v>
      </c>
      <c r="I664" s="174">
        <f t="shared" si="131"/>
        <v>662</v>
      </c>
      <c r="J664" s="174">
        <f>VLOOKUP(D664,原始分!$D:$N,5,0)</f>
        <v>38</v>
      </c>
      <c r="K664" s="174">
        <f t="shared" si="132"/>
        <v>660</v>
      </c>
      <c r="L664" s="174">
        <f>VLOOKUP(D664,原始分!$D:$N,6,0)</f>
        <v>14</v>
      </c>
      <c r="M664" s="174">
        <f t="shared" si="133"/>
        <v>663</v>
      </c>
      <c r="N664" s="174">
        <f>VLOOKUP(D664,原始分!$D:$N,7,0)</f>
        <v>0</v>
      </c>
      <c r="O664" s="174">
        <f t="shared" si="134"/>
        <v>1</v>
      </c>
      <c r="P664" s="174">
        <f>VLOOKUP(D664,原始分!$D:$N,8,0)</f>
        <v>17</v>
      </c>
      <c r="Q664" s="174">
        <f t="shared" si="135"/>
        <v>536</v>
      </c>
      <c r="R664" s="174">
        <f>VLOOKUP(D664,原始分!$D:$N,9,0)</f>
        <v>0</v>
      </c>
      <c r="S664" s="174">
        <f t="shared" si="136"/>
        <v>218</v>
      </c>
      <c r="T664" s="174">
        <f>VLOOKUP(D664,原始分!$D:$N,10,0)</f>
        <v>0</v>
      </c>
      <c r="U664" s="174">
        <f t="shared" si="137"/>
        <v>112</v>
      </c>
      <c r="V664" s="174">
        <f>VLOOKUP(D664,原始分!$D:$N,11,0)</f>
        <v>27</v>
      </c>
      <c r="W664" s="174">
        <f t="shared" si="138"/>
        <v>454</v>
      </c>
      <c r="X664" s="11">
        <f t="shared" si="139"/>
        <v>160.5</v>
      </c>
      <c r="Y664" s="9">
        <f t="shared" si="140"/>
        <v>662</v>
      </c>
      <c r="Z664" s="11">
        <f t="shared" si="141"/>
        <v>218.5</v>
      </c>
      <c r="AA664" s="9">
        <f t="shared" si="142"/>
        <v>662</v>
      </c>
    </row>
    <row r="665" ht="14.25" spans="1:27">
      <c r="A665" s="13">
        <v>349</v>
      </c>
      <c r="B665" s="15">
        <v>8</v>
      </c>
      <c r="C665" s="16">
        <v>21</v>
      </c>
      <c r="D665" s="17" t="s">
        <v>709</v>
      </c>
      <c r="E665" s="17" t="s">
        <v>710</v>
      </c>
      <c r="F665" s="174">
        <f>VLOOKUP(D665,原始分!$D:$N,3,0)</f>
        <v>64</v>
      </c>
      <c r="G665" s="174">
        <f t="shared" si="130"/>
        <v>663</v>
      </c>
      <c r="H665" s="174">
        <f>VLOOKUP(D665,原始分!$D:$N,4,0)</f>
        <v>12</v>
      </c>
      <c r="I665" s="174">
        <f t="shared" si="131"/>
        <v>663</v>
      </c>
      <c r="J665" s="174">
        <f>VLOOKUP(D665,原始分!$D:$N,5,0)</f>
        <v>36.25</v>
      </c>
      <c r="K665" s="174">
        <f t="shared" si="132"/>
        <v>662</v>
      </c>
      <c r="L665" s="174">
        <f>VLOOKUP(D665,原始分!$D:$N,6,0)</f>
        <v>17</v>
      </c>
      <c r="M665" s="174">
        <f t="shared" si="133"/>
        <v>659</v>
      </c>
      <c r="N665" s="174">
        <f>VLOOKUP(D665,原始分!$D:$N,7,0)</f>
        <v>0</v>
      </c>
      <c r="O665" s="174">
        <f t="shared" si="134"/>
        <v>1</v>
      </c>
      <c r="P665" s="174">
        <f>VLOOKUP(D665,原始分!$D:$N,8,0)</f>
        <v>11</v>
      </c>
      <c r="Q665" s="174">
        <f t="shared" si="135"/>
        <v>538</v>
      </c>
      <c r="R665" s="174">
        <f>VLOOKUP(D665,原始分!$D:$N,9,0)</f>
        <v>0</v>
      </c>
      <c r="S665" s="174">
        <f t="shared" si="136"/>
        <v>218</v>
      </c>
      <c r="T665" s="174">
        <f>VLOOKUP(D665,原始分!$D:$N,10,0)</f>
        <v>0</v>
      </c>
      <c r="U665" s="174">
        <f t="shared" si="137"/>
        <v>112</v>
      </c>
      <c r="V665" s="174">
        <f>VLOOKUP(D665,原始分!$D:$N,11,0)</f>
        <v>15</v>
      </c>
      <c r="W665" s="174">
        <f t="shared" si="138"/>
        <v>459</v>
      </c>
      <c r="X665" s="11">
        <f t="shared" si="139"/>
        <v>112.25</v>
      </c>
      <c r="Y665" s="9">
        <f t="shared" si="140"/>
        <v>663</v>
      </c>
      <c r="Z665" s="11">
        <f t="shared" si="141"/>
        <v>155.25</v>
      </c>
      <c r="AA665" s="9">
        <f t="shared" si="142"/>
        <v>663</v>
      </c>
    </row>
    <row r="666" spans="1:15">
      <c r="A666" s="13"/>
      <c r="B666" s="13"/>
      <c r="C666" s="13"/>
      <c r="D666" s="175"/>
      <c r="E666" s="175"/>
      <c r="N666" s="11"/>
      <c r="O666" s="11"/>
    </row>
    <row r="667" spans="1:15">
      <c r="A667" s="13"/>
      <c r="B667" s="13"/>
      <c r="C667" s="13"/>
      <c r="D667" s="175"/>
      <c r="E667" s="175"/>
      <c r="N667" s="11"/>
      <c r="O667" s="11"/>
    </row>
    <row r="668" spans="1:15">
      <c r="A668" s="13"/>
      <c r="B668" s="13"/>
      <c r="C668" s="13"/>
      <c r="D668" s="175"/>
      <c r="E668" s="175"/>
      <c r="N668" s="11"/>
      <c r="O668" s="11"/>
    </row>
    <row r="669" spans="1:15">
      <c r="A669" s="13"/>
      <c r="B669" s="13"/>
      <c r="C669" s="13"/>
      <c r="D669" s="175"/>
      <c r="E669" s="175"/>
      <c r="N669" s="11"/>
      <c r="O669" s="11"/>
    </row>
    <row r="670" spans="1:15">
      <c r="A670" s="13"/>
      <c r="B670" s="13"/>
      <c r="C670" s="13"/>
      <c r="D670" s="175"/>
      <c r="E670" s="175"/>
      <c r="N670" s="11"/>
      <c r="O670" s="11"/>
    </row>
    <row r="671" spans="1:15">
      <c r="A671" s="13"/>
      <c r="B671" s="13"/>
      <c r="C671" s="13"/>
      <c r="D671" s="175"/>
      <c r="E671" s="175"/>
      <c r="N671" s="11"/>
      <c r="O671" s="11"/>
    </row>
    <row r="672" spans="1:15">
      <c r="A672" s="13"/>
      <c r="B672" s="13"/>
      <c r="C672" s="13"/>
      <c r="D672" s="175"/>
      <c r="E672" s="175"/>
      <c r="N672" s="11"/>
      <c r="O672" s="11"/>
    </row>
    <row r="673" spans="1:15">
      <c r="A673" s="13"/>
      <c r="B673" s="13"/>
      <c r="C673" s="13"/>
      <c r="D673" s="175"/>
      <c r="E673" s="175"/>
      <c r="N673" s="11"/>
      <c r="O673" s="11"/>
    </row>
    <row r="674" spans="1:15">
      <c r="A674" s="13"/>
      <c r="B674" s="13"/>
      <c r="C674" s="13"/>
      <c r="D674" s="175"/>
      <c r="E674" s="175"/>
      <c r="N674" s="11"/>
      <c r="O674" s="11"/>
    </row>
    <row r="675" spans="1:15">
      <c r="A675" s="13"/>
      <c r="B675" s="13"/>
      <c r="C675" s="13"/>
      <c r="D675" s="175"/>
      <c r="E675" s="175"/>
      <c r="N675" s="11"/>
      <c r="O675" s="11"/>
    </row>
    <row r="676" spans="1:15">
      <c r="A676" s="13"/>
      <c r="B676" s="13"/>
      <c r="C676" s="13"/>
      <c r="D676" s="175"/>
      <c r="E676" s="175"/>
      <c r="N676" s="11"/>
      <c r="O676" s="11"/>
    </row>
    <row r="677" spans="1:15">
      <c r="A677" s="13"/>
      <c r="B677" s="13"/>
      <c r="C677" s="13"/>
      <c r="D677" s="175"/>
      <c r="E677" s="175"/>
      <c r="N677" s="11"/>
      <c r="O677" s="11"/>
    </row>
    <row r="678" spans="1:15">
      <c r="A678" s="13"/>
      <c r="B678" s="13"/>
      <c r="C678" s="13"/>
      <c r="D678" s="175"/>
      <c r="E678" s="175"/>
      <c r="N678" s="11"/>
      <c r="O678" s="11"/>
    </row>
    <row r="679" spans="1:15">
      <c r="A679" s="13"/>
      <c r="B679" s="13"/>
      <c r="C679" s="13"/>
      <c r="D679" s="175"/>
      <c r="E679" s="175"/>
      <c r="N679" s="11"/>
      <c r="O679" s="11"/>
    </row>
    <row r="680" spans="1:15">
      <c r="A680" s="13"/>
      <c r="B680" s="13"/>
      <c r="C680" s="13"/>
      <c r="D680" s="175"/>
      <c r="E680" s="175"/>
      <c r="N680" s="11"/>
      <c r="O680" s="11"/>
    </row>
    <row r="681" spans="1:15">
      <c r="A681" s="13"/>
      <c r="B681" s="13"/>
      <c r="C681" s="13"/>
      <c r="D681" s="175"/>
      <c r="E681" s="175"/>
      <c r="N681" s="11"/>
      <c r="O681" s="11"/>
    </row>
    <row r="682" spans="1:15">
      <c r="A682" s="13"/>
      <c r="B682" s="13"/>
      <c r="C682" s="13"/>
      <c r="D682" s="175"/>
      <c r="E682" s="175"/>
      <c r="N682" s="11"/>
      <c r="O682" s="11"/>
    </row>
    <row r="683" spans="1:15">
      <c r="A683" s="13"/>
      <c r="B683" s="13"/>
      <c r="C683" s="13"/>
      <c r="D683" s="175"/>
      <c r="E683" s="175"/>
      <c r="N683" s="11"/>
      <c r="O683" s="11"/>
    </row>
    <row r="684" spans="1:15">
      <c r="A684" s="13"/>
      <c r="B684" s="13"/>
      <c r="C684" s="13"/>
      <c r="D684" s="175"/>
      <c r="E684" s="175"/>
      <c r="N684" s="11"/>
      <c r="O684" s="11"/>
    </row>
    <row r="685" spans="1:15">
      <c r="A685" s="13"/>
      <c r="B685" s="13"/>
      <c r="C685" s="13"/>
      <c r="D685" s="175"/>
      <c r="E685" s="175"/>
      <c r="N685" s="11"/>
      <c r="O685" s="11"/>
    </row>
    <row r="686" spans="1:15">
      <c r="A686" s="13"/>
      <c r="B686" s="13"/>
      <c r="C686" s="13"/>
      <c r="D686" s="175"/>
      <c r="E686" s="175"/>
      <c r="N686" s="11"/>
      <c r="O686" s="11"/>
    </row>
    <row r="687" spans="1:15">
      <c r="A687" s="13"/>
      <c r="B687" s="13"/>
      <c r="C687" s="13"/>
      <c r="D687" s="175"/>
      <c r="E687" s="175"/>
      <c r="N687" s="11"/>
      <c r="O687" s="11"/>
    </row>
    <row r="688" spans="1:15">
      <c r="A688" s="13"/>
      <c r="B688" s="13"/>
      <c r="C688" s="13"/>
      <c r="D688" s="175"/>
      <c r="E688" s="175"/>
      <c r="N688" s="11"/>
      <c r="O688" s="11"/>
    </row>
    <row r="689" spans="1:15">
      <c r="A689" s="13"/>
      <c r="B689" s="13"/>
      <c r="C689" s="13"/>
      <c r="D689" s="175"/>
      <c r="E689" s="175"/>
      <c r="N689" s="11"/>
      <c r="O689" s="11"/>
    </row>
    <row r="690" spans="1:15">
      <c r="A690" s="13"/>
      <c r="B690" s="13"/>
      <c r="C690" s="13"/>
      <c r="D690" s="175"/>
      <c r="E690" s="175"/>
      <c r="N690" s="11"/>
      <c r="O690" s="11"/>
    </row>
    <row r="691" spans="1:15">
      <c r="A691" s="13"/>
      <c r="B691" s="13"/>
      <c r="C691" s="13"/>
      <c r="D691" s="175"/>
      <c r="E691" s="175"/>
      <c r="N691" s="11"/>
      <c r="O691" s="11"/>
    </row>
    <row r="692" spans="1:15">
      <c r="A692" s="13"/>
      <c r="B692" s="13"/>
      <c r="C692" s="13"/>
      <c r="D692" s="175"/>
      <c r="E692" s="175"/>
      <c r="N692" s="11"/>
      <c r="O692" s="11"/>
    </row>
    <row r="693" spans="1:15">
      <c r="A693" s="13"/>
      <c r="B693" s="13"/>
      <c r="C693" s="13"/>
      <c r="D693" s="175"/>
      <c r="E693" s="175"/>
      <c r="N693" s="11"/>
      <c r="O693" s="11"/>
    </row>
    <row r="694" spans="1:15">
      <c r="A694" s="13"/>
      <c r="B694" s="13"/>
      <c r="C694" s="13"/>
      <c r="D694" s="175"/>
      <c r="E694" s="175"/>
      <c r="N694" s="11"/>
      <c r="O694" s="11"/>
    </row>
    <row r="695" spans="1:15">
      <c r="A695" s="13"/>
      <c r="B695" s="13"/>
      <c r="C695" s="13"/>
      <c r="D695" s="175"/>
      <c r="E695" s="175"/>
      <c r="N695" s="11"/>
      <c r="O695" s="11"/>
    </row>
    <row r="696" spans="1:15">
      <c r="A696" s="13"/>
      <c r="B696" s="13"/>
      <c r="C696" s="13"/>
      <c r="D696" s="175"/>
      <c r="E696" s="175"/>
      <c r="N696" s="11"/>
      <c r="O696" s="11"/>
    </row>
    <row r="697" spans="1:15">
      <c r="A697" s="13"/>
      <c r="B697" s="13"/>
      <c r="C697" s="13"/>
      <c r="D697" s="175"/>
      <c r="E697" s="175"/>
      <c r="N697" s="11"/>
      <c r="O697" s="11"/>
    </row>
    <row r="698" spans="1:15">
      <c r="A698" s="13"/>
      <c r="B698" s="13"/>
      <c r="C698" s="13"/>
      <c r="D698" s="175"/>
      <c r="E698" s="175"/>
      <c r="N698" s="11"/>
      <c r="O698" s="11"/>
    </row>
    <row r="699" spans="1:15">
      <c r="A699" s="13"/>
      <c r="B699" s="13"/>
      <c r="C699" s="13"/>
      <c r="D699" s="175"/>
      <c r="E699" s="175"/>
      <c r="N699" s="11"/>
      <c r="O699" s="11"/>
    </row>
    <row r="700" spans="1:15">
      <c r="A700" s="13"/>
      <c r="B700" s="13"/>
      <c r="C700" s="13"/>
      <c r="D700" s="175"/>
      <c r="E700" s="175"/>
      <c r="N700" s="11"/>
      <c r="O700" s="11"/>
    </row>
    <row r="701" spans="1:15">
      <c r="A701" s="13"/>
      <c r="B701" s="13"/>
      <c r="C701" s="13"/>
      <c r="D701" s="175"/>
      <c r="E701" s="175"/>
      <c r="N701" s="11"/>
      <c r="O701" s="11"/>
    </row>
    <row r="702" spans="1:15">
      <c r="A702" s="13"/>
      <c r="B702" s="13"/>
      <c r="C702" s="13"/>
      <c r="D702" s="175"/>
      <c r="E702" s="175"/>
      <c r="N702" s="11"/>
      <c r="O702" s="11"/>
    </row>
    <row r="703" spans="1:15">
      <c r="A703" s="13"/>
      <c r="B703" s="13"/>
      <c r="C703" s="13"/>
      <c r="D703" s="175"/>
      <c r="E703" s="175"/>
      <c r="N703" s="11"/>
      <c r="O703" s="11"/>
    </row>
    <row r="704" spans="1:15">
      <c r="A704" s="13"/>
      <c r="B704" s="13"/>
      <c r="C704" s="13"/>
      <c r="D704" s="175"/>
      <c r="E704" s="175"/>
      <c r="N704" s="11"/>
      <c r="O704" s="11"/>
    </row>
    <row r="705" spans="1:15">
      <c r="A705" s="13"/>
      <c r="B705" s="13"/>
      <c r="C705" s="13"/>
      <c r="D705" s="175"/>
      <c r="E705" s="175"/>
      <c r="N705" s="11"/>
      <c r="O705" s="11"/>
    </row>
    <row r="706" spans="1:15">
      <c r="A706" s="13"/>
      <c r="B706" s="13"/>
      <c r="C706" s="13"/>
      <c r="D706" s="175"/>
      <c r="E706" s="175"/>
      <c r="N706" s="11"/>
      <c r="O706" s="11"/>
    </row>
    <row r="707" spans="1:15">
      <c r="A707" s="13"/>
      <c r="B707" s="13"/>
      <c r="C707" s="13"/>
      <c r="D707" s="175"/>
      <c r="E707" s="175"/>
      <c r="N707" s="11"/>
      <c r="O707" s="11"/>
    </row>
    <row r="708" spans="1:15">
      <c r="A708" s="13"/>
      <c r="B708" s="13"/>
      <c r="C708" s="13"/>
      <c r="D708" s="175"/>
      <c r="E708" s="175"/>
      <c r="N708" s="11"/>
      <c r="O708" s="11"/>
    </row>
    <row r="709" spans="1:15">
      <c r="A709" s="13"/>
      <c r="B709" s="13"/>
      <c r="C709" s="13"/>
      <c r="D709" s="175"/>
      <c r="E709" s="175"/>
      <c r="N709" s="11"/>
      <c r="O709" s="11"/>
    </row>
    <row r="710" spans="1:15">
      <c r="A710" s="13"/>
      <c r="B710" s="13"/>
      <c r="C710" s="13"/>
      <c r="D710" s="175"/>
      <c r="E710" s="175"/>
      <c r="N710" s="11"/>
      <c r="O710" s="11"/>
    </row>
    <row r="711" spans="1:15">
      <c r="A711" s="13"/>
      <c r="B711" s="13"/>
      <c r="C711" s="13"/>
      <c r="D711" s="175"/>
      <c r="E711" s="175"/>
      <c r="N711" s="11"/>
      <c r="O711" s="11"/>
    </row>
    <row r="712" spans="1:15">
      <c r="A712" s="13"/>
      <c r="B712" s="13"/>
      <c r="C712" s="13"/>
      <c r="D712" s="175"/>
      <c r="E712" s="175"/>
      <c r="N712" s="11"/>
      <c r="O712" s="11"/>
    </row>
    <row r="713" spans="1:15">
      <c r="A713" s="13"/>
      <c r="B713" s="13"/>
      <c r="C713" s="13"/>
      <c r="D713" s="175"/>
      <c r="E713" s="175"/>
      <c r="N713" s="11"/>
      <c r="O713" s="11"/>
    </row>
    <row r="714" spans="1:15">
      <c r="A714" s="13"/>
      <c r="B714" s="13"/>
      <c r="C714" s="13"/>
      <c r="D714" s="175"/>
      <c r="E714" s="175"/>
      <c r="N714" s="11"/>
      <c r="O714" s="11"/>
    </row>
    <row r="715" spans="1:15">
      <c r="A715" s="13"/>
      <c r="B715" s="13"/>
      <c r="C715" s="13"/>
      <c r="D715" s="175"/>
      <c r="E715" s="175"/>
      <c r="N715" s="11"/>
      <c r="O715" s="11"/>
    </row>
    <row r="716" spans="1:15">
      <c r="A716" s="13"/>
      <c r="B716" s="13"/>
      <c r="C716" s="13"/>
      <c r="D716" s="175"/>
      <c r="E716" s="175"/>
      <c r="N716" s="11"/>
      <c r="O716" s="11"/>
    </row>
    <row r="717" spans="1:15">
      <c r="A717" s="13"/>
      <c r="B717" s="13"/>
      <c r="C717" s="13"/>
      <c r="D717" s="175"/>
      <c r="E717" s="175"/>
      <c r="N717" s="11"/>
      <c r="O717" s="11"/>
    </row>
    <row r="718" spans="1:15">
      <c r="A718" s="13"/>
      <c r="B718" s="13"/>
      <c r="C718" s="13"/>
      <c r="D718" s="175"/>
      <c r="E718" s="175"/>
      <c r="N718" s="11"/>
      <c r="O718" s="11"/>
    </row>
    <row r="719" spans="1:15">
      <c r="A719" s="13"/>
      <c r="B719" s="13"/>
      <c r="C719" s="13"/>
      <c r="D719" s="175"/>
      <c r="E719" s="175"/>
      <c r="N719" s="11"/>
      <c r="O719" s="11"/>
    </row>
    <row r="720" spans="1:15">
      <c r="A720" s="13"/>
      <c r="B720" s="13"/>
      <c r="C720" s="13"/>
      <c r="D720" s="175"/>
      <c r="E720" s="175"/>
      <c r="N720" s="11"/>
      <c r="O720" s="11"/>
    </row>
    <row r="721" spans="1:15">
      <c r="A721" s="13"/>
      <c r="B721" s="13"/>
      <c r="C721" s="13"/>
      <c r="D721" s="175"/>
      <c r="E721" s="175"/>
      <c r="N721" s="11"/>
      <c r="O721" s="11"/>
    </row>
    <row r="722" spans="1:15">
      <c r="A722" s="13"/>
      <c r="B722" s="13"/>
      <c r="C722" s="13"/>
      <c r="D722" s="175"/>
      <c r="E722" s="175"/>
      <c r="N722" s="11"/>
      <c r="O722" s="11"/>
    </row>
    <row r="723" spans="1:15">
      <c r="A723" s="13"/>
      <c r="B723" s="13"/>
      <c r="C723" s="13"/>
      <c r="D723" s="175"/>
      <c r="E723" s="175"/>
      <c r="N723" s="11"/>
      <c r="O723" s="11"/>
    </row>
    <row r="724" spans="1:15">
      <c r="A724" s="13"/>
      <c r="B724" s="13"/>
      <c r="C724" s="13"/>
      <c r="D724" s="175"/>
      <c r="E724" s="175"/>
      <c r="N724" s="11"/>
      <c r="O724" s="11"/>
    </row>
    <row r="725" spans="1:15">
      <c r="A725" s="13"/>
      <c r="B725" s="13"/>
      <c r="C725" s="13"/>
      <c r="D725" s="175"/>
      <c r="E725" s="175"/>
      <c r="N725" s="11"/>
      <c r="O725" s="11"/>
    </row>
    <row r="726" spans="1:15">
      <c r="A726" s="13"/>
      <c r="B726" s="13"/>
      <c r="C726" s="13"/>
      <c r="D726" s="175"/>
      <c r="E726" s="175"/>
      <c r="N726" s="11"/>
      <c r="O726" s="11"/>
    </row>
    <row r="727" spans="1:15">
      <c r="A727" s="13"/>
      <c r="B727" s="13"/>
      <c r="C727" s="13"/>
      <c r="D727" s="175"/>
      <c r="E727" s="175"/>
      <c r="N727" s="11"/>
      <c r="O727" s="11"/>
    </row>
    <row r="728" spans="1:15">
      <c r="A728" s="13"/>
      <c r="B728" s="13"/>
      <c r="C728" s="13"/>
      <c r="D728" s="175"/>
      <c r="E728" s="175"/>
      <c r="N728" s="11"/>
      <c r="O728" s="11"/>
    </row>
    <row r="729" spans="1:15">
      <c r="A729" s="13"/>
      <c r="B729" s="13"/>
      <c r="C729" s="13"/>
      <c r="D729" s="175"/>
      <c r="E729" s="175"/>
      <c r="N729" s="11"/>
      <c r="O729" s="11"/>
    </row>
    <row r="730" spans="1:15">
      <c r="A730" s="13"/>
      <c r="B730" s="13"/>
      <c r="C730" s="13"/>
      <c r="D730" s="175"/>
      <c r="E730" s="175"/>
      <c r="N730" s="11"/>
      <c r="O730" s="11"/>
    </row>
    <row r="731" spans="1:15">
      <c r="A731" s="13"/>
      <c r="B731" s="13"/>
      <c r="C731" s="13"/>
      <c r="D731" s="175"/>
      <c r="E731" s="175"/>
      <c r="N731" s="11"/>
      <c r="O731" s="11"/>
    </row>
    <row r="732" spans="1:15">
      <c r="A732" s="13"/>
      <c r="B732" s="13"/>
      <c r="C732" s="13"/>
      <c r="D732" s="175"/>
      <c r="E732" s="175"/>
      <c r="N732" s="11"/>
      <c r="O732" s="11"/>
    </row>
    <row r="733" spans="1:15">
      <c r="A733" s="13"/>
      <c r="B733" s="13"/>
      <c r="C733" s="13"/>
      <c r="D733" s="175"/>
      <c r="E733" s="175"/>
      <c r="N733" s="11"/>
      <c r="O733" s="11"/>
    </row>
    <row r="734" spans="1:15">
      <c r="A734" s="13"/>
      <c r="B734" s="13"/>
      <c r="C734" s="13"/>
      <c r="D734" s="175"/>
      <c r="E734" s="175"/>
      <c r="N734" s="11"/>
      <c r="O734" s="11"/>
    </row>
    <row r="735" spans="1:15">
      <c r="A735" s="13"/>
      <c r="B735" s="13"/>
      <c r="C735" s="13"/>
      <c r="D735" s="175"/>
      <c r="E735" s="175"/>
      <c r="N735" s="11"/>
      <c r="O735" s="11"/>
    </row>
    <row r="736" spans="1:15">
      <c r="A736" s="13"/>
      <c r="B736" s="13"/>
      <c r="C736" s="13"/>
      <c r="D736" s="175"/>
      <c r="E736" s="175"/>
      <c r="N736" s="11"/>
      <c r="O736" s="11"/>
    </row>
    <row r="737" spans="1:15">
      <c r="A737" s="13"/>
      <c r="B737" s="13"/>
      <c r="C737" s="13"/>
      <c r="D737" s="175"/>
      <c r="E737" s="175"/>
      <c r="N737" s="11"/>
      <c r="O737" s="11"/>
    </row>
    <row r="738" spans="1:15">
      <c r="A738" s="13"/>
      <c r="B738" s="13"/>
      <c r="C738" s="13"/>
      <c r="D738" s="175"/>
      <c r="E738" s="175"/>
      <c r="N738" s="11"/>
      <c r="O738" s="11"/>
    </row>
    <row r="739" spans="1:15">
      <c r="A739" s="13"/>
      <c r="B739" s="13"/>
      <c r="C739" s="13"/>
      <c r="D739" s="175"/>
      <c r="E739" s="175"/>
      <c r="N739" s="11"/>
      <c r="O739" s="11"/>
    </row>
    <row r="740" spans="1:15">
      <c r="A740" s="13"/>
      <c r="B740" s="13"/>
      <c r="C740" s="13"/>
      <c r="D740" s="175"/>
      <c r="E740" s="175"/>
      <c r="N740" s="11"/>
      <c r="O740" s="11"/>
    </row>
    <row r="741" spans="1:15">
      <c r="A741" s="13"/>
      <c r="B741" s="13"/>
      <c r="C741" s="13"/>
      <c r="D741" s="175"/>
      <c r="E741" s="175"/>
      <c r="N741" s="11"/>
      <c r="O741" s="11"/>
    </row>
    <row r="742" spans="1:15">
      <c r="A742" s="13"/>
      <c r="B742" s="13"/>
      <c r="C742" s="13"/>
      <c r="D742" s="175"/>
      <c r="E742" s="175"/>
      <c r="N742" s="11"/>
      <c r="O742" s="11"/>
    </row>
    <row r="743" spans="1:15">
      <c r="A743" s="13"/>
      <c r="B743" s="13"/>
      <c r="C743" s="13"/>
      <c r="D743" s="175"/>
      <c r="E743" s="175"/>
      <c r="N743" s="11"/>
      <c r="O743" s="11"/>
    </row>
    <row r="744" spans="1:15">
      <c r="A744" s="13"/>
      <c r="B744" s="13"/>
      <c r="C744" s="13"/>
      <c r="D744" s="175"/>
      <c r="E744" s="175"/>
      <c r="N744" s="11"/>
      <c r="O744" s="11"/>
    </row>
    <row r="745" spans="1:15">
      <c r="A745" s="13"/>
      <c r="B745" s="13"/>
      <c r="C745" s="13"/>
      <c r="D745" s="175"/>
      <c r="E745" s="175"/>
      <c r="N745" s="11"/>
      <c r="O745" s="11"/>
    </row>
    <row r="746" spans="1:15">
      <c r="A746" s="13"/>
      <c r="B746" s="13"/>
      <c r="C746" s="13"/>
      <c r="D746" s="175"/>
      <c r="E746" s="175"/>
      <c r="N746" s="11"/>
      <c r="O746" s="11"/>
    </row>
    <row r="747" spans="1:15">
      <c r="A747" s="13"/>
      <c r="B747" s="13"/>
      <c r="C747" s="13"/>
      <c r="D747" s="175"/>
      <c r="E747" s="175"/>
      <c r="N747" s="11"/>
      <c r="O747" s="11"/>
    </row>
    <row r="748" spans="1:15">
      <c r="A748" s="13"/>
      <c r="B748" s="13"/>
      <c r="C748" s="13"/>
      <c r="D748" s="175"/>
      <c r="E748" s="175"/>
      <c r="N748" s="11"/>
      <c r="O748" s="11"/>
    </row>
    <row r="749" spans="1:15">
      <c r="A749" s="13"/>
      <c r="B749" s="13"/>
      <c r="C749" s="13"/>
      <c r="D749" s="175"/>
      <c r="E749" s="175"/>
      <c r="N749" s="11"/>
      <c r="O749" s="11"/>
    </row>
    <row r="750" spans="1:15">
      <c r="A750" s="13"/>
      <c r="B750" s="13"/>
      <c r="C750" s="13"/>
      <c r="D750" s="175"/>
      <c r="E750" s="175"/>
      <c r="N750" s="11"/>
      <c r="O750" s="11"/>
    </row>
    <row r="751" spans="1:15">
      <c r="A751" s="13"/>
      <c r="B751" s="13"/>
      <c r="C751" s="13"/>
      <c r="D751" s="175"/>
      <c r="E751" s="175"/>
      <c r="N751" s="11"/>
      <c r="O751" s="11"/>
    </row>
    <row r="752" spans="1:15">
      <c r="A752" s="13"/>
      <c r="B752" s="13"/>
      <c r="C752" s="13"/>
      <c r="D752" s="175"/>
      <c r="E752" s="175"/>
      <c r="N752" s="11"/>
      <c r="O752" s="11"/>
    </row>
    <row r="753" spans="1:15">
      <c r="A753" s="13"/>
      <c r="B753" s="13"/>
      <c r="C753" s="13"/>
      <c r="D753" s="175"/>
      <c r="E753" s="175"/>
      <c r="N753" s="11"/>
      <c r="O753" s="11"/>
    </row>
    <row r="754" spans="1:15">
      <c r="A754" s="13"/>
      <c r="B754" s="13"/>
      <c r="C754" s="13"/>
      <c r="D754" s="175"/>
      <c r="E754" s="175"/>
      <c r="N754" s="11"/>
      <c r="O754" s="11"/>
    </row>
    <row r="755" spans="1:15">
      <c r="A755" s="13"/>
      <c r="B755" s="13"/>
      <c r="C755" s="13"/>
      <c r="D755" s="175"/>
      <c r="E755" s="175"/>
      <c r="N755" s="11"/>
      <c r="O755" s="11"/>
    </row>
    <row r="756" spans="1:15">
      <c r="A756" s="13"/>
      <c r="B756" s="13"/>
      <c r="C756" s="13"/>
      <c r="D756" s="175"/>
      <c r="E756" s="175"/>
      <c r="N756" s="11"/>
      <c r="O756" s="11"/>
    </row>
    <row r="757" spans="1:15">
      <c r="A757" s="13"/>
      <c r="B757" s="13"/>
      <c r="C757" s="13"/>
      <c r="D757" s="175"/>
      <c r="E757" s="175"/>
      <c r="N757" s="11"/>
      <c r="O757" s="11"/>
    </row>
    <row r="758" spans="1:15">
      <c r="A758" s="13"/>
      <c r="B758" s="13"/>
      <c r="C758" s="13"/>
      <c r="D758" s="175"/>
      <c r="E758" s="175"/>
      <c r="N758" s="11"/>
      <c r="O758" s="11"/>
    </row>
    <row r="759" spans="1:15">
      <c r="A759" s="13"/>
      <c r="B759" s="13"/>
      <c r="C759" s="13"/>
      <c r="D759" s="175"/>
      <c r="E759" s="175"/>
      <c r="N759" s="11"/>
      <c r="O759" s="11"/>
    </row>
    <row r="760" spans="1:15">
      <c r="A760" s="13"/>
      <c r="B760" s="13"/>
      <c r="C760" s="13"/>
      <c r="D760" s="175"/>
      <c r="E760" s="175"/>
      <c r="N760" s="11"/>
      <c r="O760" s="11"/>
    </row>
    <row r="761" spans="1:15">
      <c r="A761" s="13"/>
      <c r="B761" s="13"/>
      <c r="C761" s="13"/>
      <c r="D761" s="175"/>
      <c r="E761" s="175"/>
      <c r="N761" s="11"/>
      <c r="O761" s="11"/>
    </row>
    <row r="762" spans="1:15">
      <c r="A762" s="13"/>
      <c r="B762" s="13"/>
      <c r="C762" s="13"/>
      <c r="D762" s="175"/>
      <c r="E762" s="175"/>
      <c r="N762" s="11"/>
      <c r="O762" s="11"/>
    </row>
    <row r="763" spans="1:15">
      <c r="A763" s="13"/>
      <c r="B763" s="13"/>
      <c r="C763" s="13"/>
      <c r="D763" s="175"/>
      <c r="E763" s="175"/>
      <c r="N763" s="11"/>
      <c r="O763" s="11"/>
    </row>
    <row r="764" spans="1:15">
      <c r="A764" s="13"/>
      <c r="B764" s="13"/>
      <c r="C764" s="13"/>
      <c r="D764" s="175"/>
      <c r="E764" s="175"/>
      <c r="N764" s="11"/>
      <c r="O764" s="11"/>
    </row>
    <row r="765" spans="1:15">
      <c r="A765" s="13"/>
      <c r="B765" s="13"/>
      <c r="C765" s="13"/>
      <c r="D765" s="175"/>
      <c r="E765" s="175"/>
      <c r="N765" s="11"/>
      <c r="O765" s="11"/>
    </row>
    <row r="766" spans="1:15">
      <c r="A766" s="13"/>
      <c r="B766" s="13"/>
      <c r="C766" s="13"/>
      <c r="D766" s="175"/>
      <c r="E766" s="175"/>
      <c r="N766" s="11"/>
      <c r="O766" s="11"/>
    </row>
    <row r="767" spans="1:15">
      <c r="A767" s="13"/>
      <c r="B767" s="13"/>
      <c r="C767" s="13"/>
      <c r="D767" s="175"/>
      <c r="E767" s="175"/>
      <c r="N767" s="11"/>
      <c r="O767" s="11"/>
    </row>
    <row r="768" spans="1:15">
      <c r="A768" s="13"/>
      <c r="B768" s="13"/>
      <c r="C768" s="13"/>
      <c r="D768" s="175"/>
      <c r="E768" s="175"/>
      <c r="N768" s="11"/>
      <c r="O768" s="11"/>
    </row>
    <row r="769" spans="1:15">
      <c r="A769" s="13"/>
      <c r="B769" s="13"/>
      <c r="C769" s="13"/>
      <c r="D769" s="175"/>
      <c r="E769" s="175"/>
      <c r="N769" s="11"/>
      <c r="O769" s="11"/>
    </row>
    <row r="770" spans="1:15">
      <c r="A770" s="13"/>
      <c r="B770" s="13"/>
      <c r="C770" s="13"/>
      <c r="D770" s="175"/>
      <c r="E770" s="175"/>
      <c r="N770" s="11"/>
      <c r="O770" s="11"/>
    </row>
    <row r="771" spans="1:15">
      <c r="A771" s="13"/>
      <c r="B771" s="13"/>
      <c r="C771" s="13"/>
      <c r="D771" s="175"/>
      <c r="E771" s="175"/>
      <c r="N771" s="11"/>
      <c r="O771" s="11"/>
    </row>
    <row r="772" spans="1:15">
      <c r="A772" s="13"/>
      <c r="B772" s="13"/>
      <c r="C772" s="13"/>
      <c r="D772" s="175"/>
      <c r="E772" s="175"/>
      <c r="N772" s="11"/>
      <c r="O772" s="11"/>
    </row>
    <row r="773" spans="1:15">
      <c r="A773" s="13"/>
      <c r="B773" s="13"/>
      <c r="C773" s="13"/>
      <c r="D773" s="175"/>
      <c r="E773" s="175"/>
      <c r="N773" s="11"/>
      <c r="O773" s="11"/>
    </row>
    <row r="774" spans="1:15">
      <c r="A774" s="13"/>
      <c r="B774" s="13"/>
      <c r="C774" s="13"/>
      <c r="D774" s="175"/>
      <c r="E774" s="175"/>
      <c r="N774" s="11"/>
      <c r="O774" s="11"/>
    </row>
    <row r="775" spans="1:15">
      <c r="A775" s="13"/>
      <c r="B775" s="13"/>
      <c r="C775" s="13"/>
      <c r="D775" s="175"/>
      <c r="E775" s="175"/>
      <c r="N775" s="11"/>
      <c r="O775" s="11"/>
    </row>
    <row r="776" spans="1:15">
      <c r="A776" s="13"/>
      <c r="B776" s="13"/>
      <c r="C776" s="13"/>
      <c r="D776" s="175"/>
      <c r="E776" s="175"/>
      <c r="N776" s="11"/>
      <c r="O776" s="11"/>
    </row>
    <row r="777" spans="1:15">
      <c r="A777" s="13"/>
      <c r="B777" s="13"/>
      <c r="C777" s="13"/>
      <c r="D777" s="175"/>
      <c r="E777" s="175"/>
      <c r="N777" s="11"/>
      <c r="O777" s="11"/>
    </row>
    <row r="778" spans="1:15">
      <c r="A778" s="13"/>
      <c r="B778" s="13"/>
      <c r="C778" s="13"/>
      <c r="D778" s="175"/>
      <c r="E778" s="175"/>
      <c r="N778" s="11"/>
      <c r="O778" s="11"/>
    </row>
    <row r="779" spans="1:15">
      <c r="A779" s="13"/>
      <c r="B779" s="13"/>
      <c r="C779" s="13"/>
      <c r="D779" s="175"/>
      <c r="E779" s="175"/>
      <c r="N779" s="11"/>
      <c r="O779" s="11"/>
    </row>
    <row r="780" spans="1:15">
      <c r="A780" s="13"/>
      <c r="B780" s="13"/>
      <c r="C780" s="13"/>
      <c r="D780" s="175"/>
      <c r="E780" s="175"/>
      <c r="N780" s="11"/>
      <c r="O780" s="11"/>
    </row>
    <row r="781" spans="1:15">
      <c r="A781" s="13"/>
      <c r="B781" s="13"/>
      <c r="C781" s="13"/>
      <c r="D781" s="175"/>
      <c r="E781" s="175"/>
      <c r="N781" s="11"/>
      <c r="O781" s="11"/>
    </row>
    <row r="782" spans="1:15">
      <c r="A782" s="13"/>
      <c r="B782" s="13"/>
      <c r="C782" s="13"/>
      <c r="D782" s="175"/>
      <c r="E782" s="175"/>
      <c r="N782" s="11"/>
      <c r="O782" s="11"/>
    </row>
    <row r="783" spans="1:15">
      <c r="A783" s="13"/>
      <c r="B783" s="13"/>
      <c r="C783" s="13"/>
      <c r="D783" s="175"/>
      <c r="E783" s="175"/>
      <c r="N783" s="11"/>
      <c r="O783" s="11"/>
    </row>
    <row r="784" spans="1:15">
      <c r="A784" s="13"/>
      <c r="B784" s="13"/>
      <c r="C784" s="13"/>
      <c r="D784" s="175"/>
      <c r="E784" s="175"/>
      <c r="N784" s="11"/>
      <c r="O784" s="11"/>
    </row>
    <row r="785" spans="1:15">
      <c r="A785" s="13"/>
      <c r="B785" s="13"/>
      <c r="C785" s="13"/>
      <c r="D785" s="175"/>
      <c r="E785" s="175"/>
      <c r="N785" s="11"/>
      <c r="O785" s="11"/>
    </row>
    <row r="786" spans="1:15">
      <c r="A786" s="13"/>
      <c r="B786" s="13"/>
      <c r="C786" s="13"/>
      <c r="D786" s="175"/>
      <c r="E786" s="175"/>
      <c r="N786" s="11"/>
      <c r="O786" s="11"/>
    </row>
    <row r="787" spans="1:15">
      <c r="A787" s="13"/>
      <c r="B787" s="13"/>
      <c r="C787" s="13"/>
      <c r="D787" s="175"/>
      <c r="E787" s="175"/>
      <c r="N787" s="11"/>
      <c r="O787" s="11"/>
    </row>
    <row r="788" spans="1:15">
      <c r="A788" s="13"/>
      <c r="B788" s="13"/>
      <c r="C788" s="13"/>
      <c r="D788" s="175"/>
      <c r="E788" s="175"/>
      <c r="N788" s="11"/>
      <c r="O788" s="11"/>
    </row>
    <row r="789" spans="1:15">
      <c r="A789" s="13"/>
      <c r="B789" s="13"/>
      <c r="C789" s="13"/>
      <c r="D789" s="175"/>
      <c r="E789" s="175"/>
      <c r="N789" s="11"/>
      <c r="O789" s="11"/>
    </row>
    <row r="790" spans="1:15">
      <c r="A790" s="13"/>
      <c r="B790" s="13"/>
      <c r="C790" s="13"/>
      <c r="D790" s="175"/>
      <c r="E790" s="175"/>
      <c r="N790" s="11"/>
      <c r="O790" s="11"/>
    </row>
    <row r="791" spans="1:15">
      <c r="A791" s="13"/>
      <c r="B791" s="13"/>
      <c r="C791" s="13"/>
      <c r="D791" s="175"/>
      <c r="E791" s="175"/>
      <c r="N791" s="11"/>
      <c r="O791" s="11"/>
    </row>
    <row r="792" spans="1:15">
      <c r="A792" s="13"/>
      <c r="B792" s="13"/>
      <c r="C792" s="13"/>
      <c r="D792" s="175"/>
      <c r="E792" s="175"/>
      <c r="N792" s="11"/>
      <c r="O792" s="11"/>
    </row>
    <row r="793" spans="1:15">
      <c r="A793" s="13"/>
      <c r="B793" s="13"/>
      <c r="C793" s="13"/>
      <c r="D793" s="175"/>
      <c r="E793" s="175"/>
      <c r="N793" s="11"/>
      <c r="O793" s="11"/>
    </row>
    <row r="794" spans="1:15">
      <c r="A794" s="13"/>
      <c r="B794" s="13"/>
      <c r="C794" s="13"/>
      <c r="D794" s="175"/>
      <c r="E794" s="175"/>
      <c r="N794" s="11"/>
      <c r="O794" s="11"/>
    </row>
    <row r="795" spans="1:15">
      <c r="A795" s="13"/>
      <c r="B795" s="13"/>
      <c r="C795" s="13"/>
      <c r="D795" s="175"/>
      <c r="E795" s="175"/>
      <c r="N795" s="11"/>
      <c r="O795" s="11"/>
    </row>
    <row r="796" spans="1:15">
      <c r="A796" s="13"/>
      <c r="B796" s="13"/>
      <c r="C796" s="13"/>
      <c r="D796" s="175"/>
      <c r="E796" s="175"/>
      <c r="N796" s="11"/>
      <c r="O796" s="11"/>
    </row>
    <row r="797" spans="1:15">
      <c r="A797" s="13"/>
      <c r="B797" s="13"/>
      <c r="C797" s="13"/>
      <c r="D797" s="175"/>
      <c r="E797" s="175"/>
      <c r="N797" s="11"/>
      <c r="O797" s="11"/>
    </row>
    <row r="798" spans="1:15">
      <c r="A798" s="13"/>
      <c r="B798" s="13"/>
      <c r="C798" s="13"/>
      <c r="D798" s="175"/>
      <c r="E798" s="175"/>
      <c r="N798" s="11"/>
      <c r="O798" s="11"/>
    </row>
    <row r="799" spans="1:15">
      <c r="A799" s="13"/>
      <c r="B799" s="13"/>
      <c r="C799" s="13"/>
      <c r="D799" s="175"/>
      <c r="E799" s="175"/>
      <c r="N799" s="11"/>
      <c r="O799" s="11"/>
    </row>
    <row r="800" spans="1:15">
      <c r="A800" s="13"/>
      <c r="B800" s="13"/>
      <c r="C800" s="13"/>
      <c r="D800" s="175"/>
      <c r="E800" s="175"/>
      <c r="N800" s="11"/>
      <c r="O800" s="11"/>
    </row>
    <row r="801" spans="1:15">
      <c r="A801" s="13"/>
      <c r="B801" s="13"/>
      <c r="C801" s="13"/>
      <c r="D801" s="175"/>
      <c r="E801" s="175"/>
      <c r="N801" s="11"/>
      <c r="O801" s="11"/>
    </row>
    <row r="802" spans="1:15">
      <c r="A802" s="13"/>
      <c r="B802" s="13"/>
      <c r="C802" s="13"/>
      <c r="D802" s="175"/>
      <c r="E802" s="175"/>
      <c r="N802" s="11"/>
      <c r="O802" s="11"/>
    </row>
    <row r="803" spans="1:15">
      <c r="A803" s="13"/>
      <c r="B803" s="13"/>
      <c r="C803" s="13"/>
      <c r="D803" s="175"/>
      <c r="E803" s="175"/>
      <c r="N803" s="11"/>
      <c r="O803" s="11"/>
    </row>
    <row r="804" spans="1:15">
      <c r="A804" s="13"/>
      <c r="B804" s="13"/>
      <c r="C804" s="13"/>
      <c r="D804" s="175"/>
      <c r="E804" s="175"/>
      <c r="N804" s="11"/>
      <c r="O804" s="11"/>
    </row>
    <row r="805" spans="1:15">
      <c r="A805" s="13"/>
      <c r="B805" s="13"/>
      <c r="C805" s="13"/>
      <c r="D805" s="175"/>
      <c r="E805" s="175"/>
      <c r="N805" s="11"/>
      <c r="O805" s="11"/>
    </row>
    <row r="806" spans="1:15">
      <c r="A806" s="13"/>
      <c r="B806" s="13"/>
      <c r="C806" s="13"/>
      <c r="D806" s="175"/>
      <c r="E806" s="175"/>
      <c r="N806" s="11"/>
      <c r="O806" s="11"/>
    </row>
    <row r="807" spans="1:15">
      <c r="A807" s="13"/>
      <c r="B807" s="13"/>
      <c r="C807" s="13"/>
      <c r="D807" s="175"/>
      <c r="E807" s="175"/>
      <c r="N807" s="11"/>
      <c r="O807" s="11"/>
    </row>
    <row r="808" spans="1:15">
      <c r="A808" s="13"/>
      <c r="B808" s="13"/>
      <c r="C808" s="13"/>
      <c r="D808" s="175"/>
      <c r="E808" s="175"/>
      <c r="N808" s="11"/>
      <c r="O808" s="11"/>
    </row>
    <row r="809" spans="1:15">
      <c r="A809" s="13"/>
      <c r="B809" s="13"/>
      <c r="C809" s="13"/>
      <c r="D809" s="175"/>
      <c r="E809" s="175"/>
      <c r="N809" s="11"/>
      <c r="O809" s="11"/>
    </row>
    <row r="810" spans="1:15">
      <c r="A810" s="13"/>
      <c r="B810" s="13"/>
      <c r="C810" s="13"/>
      <c r="D810" s="175"/>
      <c r="E810" s="175"/>
      <c r="N810" s="11"/>
      <c r="O810" s="11"/>
    </row>
    <row r="811" spans="1:15">
      <c r="A811" s="13"/>
      <c r="B811" s="13"/>
      <c r="C811" s="13"/>
      <c r="D811" s="175"/>
      <c r="E811" s="175"/>
      <c r="N811" s="11"/>
      <c r="O811" s="11"/>
    </row>
    <row r="812" spans="1:15">
      <c r="A812" s="13"/>
      <c r="B812" s="13"/>
      <c r="C812" s="13"/>
      <c r="D812" s="175"/>
      <c r="E812" s="175"/>
      <c r="N812" s="11"/>
      <c r="O812" s="11"/>
    </row>
    <row r="813" spans="1:15">
      <c r="A813" s="13"/>
      <c r="B813" s="13"/>
      <c r="C813" s="13"/>
      <c r="D813" s="175"/>
      <c r="E813" s="175"/>
      <c r="N813" s="11"/>
      <c r="O813" s="11"/>
    </row>
    <row r="814" spans="1:15">
      <c r="A814" s="13"/>
      <c r="B814" s="13"/>
      <c r="C814" s="13"/>
      <c r="D814" s="175"/>
      <c r="E814" s="175"/>
      <c r="N814" s="11"/>
      <c r="O814" s="11"/>
    </row>
    <row r="815" spans="1:15">
      <c r="A815" s="13"/>
      <c r="B815" s="13"/>
      <c r="C815" s="13"/>
      <c r="D815" s="175"/>
      <c r="E815" s="175"/>
      <c r="N815" s="11"/>
      <c r="O815" s="11"/>
    </row>
    <row r="816" spans="1:15">
      <c r="A816" s="13"/>
      <c r="B816" s="13"/>
      <c r="C816" s="13"/>
      <c r="D816" s="175"/>
      <c r="E816" s="175"/>
      <c r="N816" s="11"/>
      <c r="O816" s="11"/>
    </row>
    <row r="817" spans="1:15">
      <c r="A817" s="13"/>
      <c r="B817" s="13"/>
      <c r="C817" s="13"/>
      <c r="D817" s="175"/>
      <c r="E817" s="175"/>
      <c r="N817" s="11"/>
      <c r="O817" s="11"/>
    </row>
    <row r="818" spans="1:15">
      <c r="A818" s="13"/>
      <c r="B818" s="13"/>
      <c r="C818" s="13"/>
      <c r="D818" s="175"/>
      <c r="E818" s="175"/>
      <c r="N818" s="11"/>
      <c r="O818" s="11"/>
    </row>
    <row r="819" spans="1:15">
      <c r="A819" s="13"/>
      <c r="B819" s="13"/>
      <c r="C819" s="13"/>
      <c r="D819" s="175"/>
      <c r="E819" s="175"/>
      <c r="N819" s="11"/>
      <c r="O819" s="11"/>
    </row>
    <row r="820" spans="1:15">
      <c r="A820" s="13"/>
      <c r="B820" s="13"/>
      <c r="C820" s="13"/>
      <c r="D820" s="175"/>
      <c r="E820" s="175"/>
      <c r="N820" s="11"/>
      <c r="O820" s="11"/>
    </row>
    <row r="821" spans="1:15">
      <c r="A821" s="13"/>
      <c r="B821" s="13"/>
      <c r="C821" s="13"/>
      <c r="D821" s="175"/>
      <c r="E821" s="175"/>
      <c r="N821" s="11"/>
      <c r="O821" s="11"/>
    </row>
    <row r="822" spans="1:15">
      <c r="A822" s="13"/>
      <c r="B822" s="13"/>
      <c r="C822" s="13"/>
      <c r="D822" s="175"/>
      <c r="E822" s="175"/>
      <c r="N822" s="11"/>
      <c r="O822" s="11"/>
    </row>
    <row r="823" spans="1:15">
      <c r="A823" s="13"/>
      <c r="B823" s="13"/>
      <c r="C823" s="13"/>
      <c r="D823" s="175"/>
      <c r="E823" s="175"/>
      <c r="N823" s="11"/>
      <c r="O823" s="11"/>
    </row>
    <row r="824" spans="1:15">
      <c r="A824" s="13"/>
      <c r="B824" s="13"/>
      <c r="C824" s="13"/>
      <c r="D824" s="175"/>
      <c r="E824" s="175"/>
      <c r="N824" s="11"/>
      <c r="O824" s="11"/>
    </row>
    <row r="825" spans="1:15">
      <c r="A825" s="13"/>
      <c r="B825" s="13"/>
      <c r="C825" s="13"/>
      <c r="D825" s="175"/>
      <c r="E825" s="175"/>
      <c r="N825" s="11"/>
      <c r="O825" s="11"/>
    </row>
    <row r="826" spans="1:15">
      <c r="A826" s="13"/>
      <c r="B826" s="13"/>
      <c r="C826" s="13"/>
      <c r="D826" s="175"/>
      <c r="E826" s="175"/>
      <c r="N826" s="11"/>
      <c r="O826" s="11"/>
    </row>
    <row r="827" spans="1:15">
      <c r="A827" s="13"/>
      <c r="B827" s="13"/>
      <c r="C827" s="13"/>
      <c r="D827" s="175"/>
      <c r="E827" s="175"/>
      <c r="N827" s="11"/>
      <c r="O827" s="11"/>
    </row>
    <row r="828" spans="1:15">
      <c r="A828" s="13"/>
      <c r="B828" s="13"/>
      <c r="C828" s="13"/>
      <c r="D828" s="175"/>
      <c r="E828" s="175"/>
      <c r="N828" s="11"/>
      <c r="O828" s="11"/>
    </row>
    <row r="829" spans="1:15">
      <c r="A829" s="13"/>
      <c r="B829" s="13"/>
      <c r="C829" s="13"/>
      <c r="D829" s="175"/>
      <c r="E829" s="175"/>
      <c r="N829" s="11"/>
      <c r="O829" s="11"/>
    </row>
    <row r="830" spans="1:15">
      <c r="A830" s="13"/>
      <c r="B830" s="13"/>
      <c r="C830" s="13"/>
      <c r="D830" s="175"/>
      <c r="E830" s="175"/>
      <c r="N830" s="11"/>
      <c r="O830" s="11"/>
    </row>
    <row r="831" spans="1:15">
      <c r="A831" s="13"/>
      <c r="B831" s="13"/>
      <c r="C831" s="13"/>
      <c r="D831" s="175"/>
      <c r="E831" s="175"/>
      <c r="N831" s="11"/>
      <c r="O831" s="11"/>
    </row>
    <row r="832" spans="1:15">
      <c r="A832" s="13"/>
      <c r="B832" s="13"/>
      <c r="C832" s="13"/>
      <c r="D832" s="175"/>
      <c r="E832" s="175"/>
      <c r="N832" s="11"/>
      <c r="O832" s="11"/>
    </row>
    <row r="833" spans="1:15">
      <c r="A833" s="13"/>
      <c r="B833" s="13"/>
      <c r="C833" s="13"/>
      <c r="D833" s="175"/>
      <c r="E833" s="175"/>
      <c r="N833" s="11"/>
      <c r="O833" s="11"/>
    </row>
    <row r="834" spans="1:15">
      <c r="A834" s="13"/>
      <c r="B834" s="13"/>
      <c r="C834" s="13"/>
      <c r="D834" s="175"/>
      <c r="E834" s="175"/>
      <c r="N834" s="11"/>
      <c r="O834" s="11"/>
    </row>
    <row r="835" spans="1:15">
      <c r="A835" s="13"/>
      <c r="B835" s="13"/>
      <c r="C835" s="13"/>
      <c r="D835" s="175"/>
      <c r="E835" s="175"/>
      <c r="N835" s="11"/>
      <c r="O835" s="11"/>
    </row>
    <row r="836" spans="1:15">
      <c r="A836" s="13"/>
      <c r="B836" s="13"/>
      <c r="C836" s="13"/>
      <c r="D836" s="175"/>
      <c r="E836" s="175"/>
      <c r="N836" s="11"/>
      <c r="O836" s="11"/>
    </row>
    <row r="837" spans="1:15">
      <c r="A837" s="13"/>
      <c r="B837" s="13"/>
      <c r="C837" s="13"/>
      <c r="D837" s="175"/>
      <c r="E837" s="175"/>
      <c r="N837" s="11"/>
      <c r="O837" s="11"/>
    </row>
    <row r="838" spans="1:15">
      <c r="A838" s="13"/>
      <c r="B838" s="13"/>
      <c r="C838" s="13"/>
      <c r="D838" s="175"/>
      <c r="E838" s="175"/>
      <c r="N838" s="11"/>
      <c r="O838" s="11"/>
    </row>
    <row r="839" spans="1:15">
      <c r="A839" s="13"/>
      <c r="B839" s="13"/>
      <c r="C839" s="13"/>
      <c r="D839" s="175"/>
      <c r="E839" s="175"/>
      <c r="N839" s="11"/>
      <c r="O839" s="11"/>
    </row>
    <row r="840" spans="1:15">
      <c r="A840" s="13"/>
      <c r="B840" s="13"/>
      <c r="C840" s="13"/>
      <c r="D840" s="175"/>
      <c r="E840" s="175"/>
      <c r="N840" s="11"/>
      <c r="O840" s="11"/>
    </row>
    <row r="841" spans="1:15">
      <c r="A841" s="13"/>
      <c r="B841" s="13"/>
      <c r="C841" s="13"/>
      <c r="D841" s="175"/>
      <c r="E841" s="175"/>
      <c r="N841" s="11"/>
      <c r="O841" s="11"/>
    </row>
    <row r="842" spans="1:15">
      <c r="A842" s="13"/>
      <c r="B842" s="13"/>
      <c r="C842" s="13"/>
      <c r="D842" s="175"/>
      <c r="E842" s="175"/>
      <c r="N842" s="11"/>
      <c r="O842" s="11"/>
    </row>
    <row r="843" spans="1:15">
      <c r="A843" s="13"/>
      <c r="B843" s="13"/>
      <c r="C843" s="13"/>
      <c r="D843" s="175"/>
      <c r="E843" s="175"/>
      <c r="N843" s="11"/>
      <c r="O843" s="11"/>
    </row>
    <row r="844" spans="1:15">
      <c r="A844" s="13"/>
      <c r="B844" s="13"/>
      <c r="C844" s="13"/>
      <c r="D844" s="175"/>
      <c r="E844" s="175"/>
      <c r="N844" s="11"/>
      <c r="O844" s="11"/>
    </row>
    <row r="845" spans="1:15">
      <c r="A845" s="13"/>
      <c r="B845" s="13"/>
      <c r="C845" s="13"/>
      <c r="D845" s="175"/>
      <c r="E845" s="175"/>
      <c r="N845" s="11"/>
      <c r="O845" s="11"/>
    </row>
    <row r="846" spans="1:15">
      <c r="A846" s="13"/>
      <c r="B846" s="13"/>
      <c r="C846" s="13"/>
      <c r="D846" s="175"/>
      <c r="E846" s="175"/>
      <c r="N846" s="11"/>
      <c r="O846" s="11"/>
    </row>
    <row r="847" spans="1:15">
      <c r="A847" s="13"/>
      <c r="B847" s="13"/>
      <c r="C847" s="13"/>
      <c r="D847" s="175"/>
      <c r="E847" s="175"/>
      <c r="N847" s="11"/>
      <c r="O847" s="11"/>
    </row>
    <row r="848" spans="1:15">
      <c r="A848" s="13"/>
      <c r="B848" s="13"/>
      <c r="C848" s="13"/>
      <c r="D848" s="175"/>
      <c r="E848" s="175"/>
      <c r="N848" s="11"/>
      <c r="O848" s="11"/>
    </row>
    <row r="849" spans="1:15">
      <c r="A849" s="13"/>
      <c r="B849" s="13"/>
      <c r="C849" s="13"/>
      <c r="D849" s="175"/>
      <c r="E849" s="175"/>
      <c r="N849" s="11"/>
      <c r="O849" s="11"/>
    </row>
    <row r="850" spans="1:15">
      <c r="A850" s="13"/>
      <c r="B850" s="13"/>
      <c r="C850" s="13"/>
      <c r="D850" s="175"/>
      <c r="E850" s="175"/>
      <c r="N850" s="11"/>
      <c r="O850" s="11"/>
    </row>
    <row r="851" spans="1:15">
      <c r="A851" s="13"/>
      <c r="B851" s="13"/>
      <c r="C851" s="13"/>
      <c r="D851" s="175"/>
      <c r="E851" s="175"/>
      <c r="N851" s="11"/>
      <c r="O851" s="11"/>
    </row>
    <row r="852" spans="1:15">
      <c r="A852" s="13"/>
      <c r="B852" s="13"/>
      <c r="C852" s="13"/>
      <c r="D852" s="175"/>
      <c r="E852" s="175"/>
      <c r="N852" s="11"/>
      <c r="O852" s="11"/>
    </row>
    <row r="853" spans="1:15">
      <c r="A853" s="13"/>
      <c r="B853" s="13"/>
      <c r="C853" s="13"/>
      <c r="D853" s="175"/>
      <c r="E853" s="175"/>
      <c r="N853" s="11"/>
      <c r="O853" s="11"/>
    </row>
    <row r="854" spans="1:15">
      <c r="A854" s="13"/>
      <c r="B854" s="13"/>
      <c r="C854" s="13"/>
      <c r="D854" s="175"/>
      <c r="E854" s="175"/>
      <c r="N854" s="11"/>
      <c r="O854" s="11"/>
    </row>
    <row r="855" spans="1:15">
      <c r="A855" s="13"/>
      <c r="B855" s="13"/>
      <c r="C855" s="13"/>
      <c r="D855" s="175"/>
      <c r="E855" s="175"/>
      <c r="N855" s="11"/>
      <c r="O855" s="11"/>
    </row>
    <row r="856" spans="1:15">
      <c r="A856" s="13"/>
      <c r="B856" s="13"/>
      <c r="C856" s="13"/>
      <c r="D856" s="175"/>
      <c r="E856" s="175"/>
      <c r="N856" s="11"/>
      <c r="O856" s="11"/>
    </row>
    <row r="857" spans="1:15">
      <c r="A857" s="13"/>
      <c r="B857" s="13"/>
      <c r="C857" s="13"/>
      <c r="D857" s="175"/>
      <c r="E857" s="175"/>
      <c r="N857" s="11"/>
      <c r="O857" s="11"/>
    </row>
    <row r="858" spans="1:15">
      <c r="A858" s="13"/>
      <c r="B858" s="13"/>
      <c r="C858" s="13"/>
      <c r="D858" s="175"/>
      <c r="E858" s="175"/>
      <c r="N858" s="11"/>
      <c r="O858" s="11"/>
    </row>
    <row r="859" spans="1:15">
      <c r="A859" s="13"/>
      <c r="B859" s="13"/>
      <c r="C859" s="13"/>
      <c r="D859" s="175"/>
      <c r="E859" s="175"/>
      <c r="N859" s="11"/>
      <c r="O859" s="11"/>
    </row>
    <row r="860" spans="1:15">
      <c r="A860" s="13"/>
      <c r="B860" s="13"/>
      <c r="C860" s="13"/>
      <c r="D860" s="175"/>
      <c r="E860" s="175"/>
      <c r="N860" s="11"/>
      <c r="O860" s="11"/>
    </row>
    <row r="861" spans="1:15">
      <c r="A861" s="13"/>
      <c r="B861" s="13"/>
      <c r="C861" s="13"/>
      <c r="D861" s="175"/>
      <c r="E861" s="175"/>
      <c r="N861" s="11"/>
      <c r="O861" s="11"/>
    </row>
    <row r="862" spans="1:15">
      <c r="A862" s="13"/>
      <c r="B862" s="13"/>
      <c r="C862" s="13"/>
      <c r="D862" s="175"/>
      <c r="E862" s="175"/>
      <c r="N862" s="11"/>
      <c r="O862" s="11"/>
    </row>
    <row r="863" spans="14:15">
      <c r="N863" s="11"/>
      <c r="O863" s="11"/>
    </row>
    <row r="864" spans="14:15">
      <c r="N864" s="11"/>
      <c r="O864" s="11"/>
    </row>
    <row r="865" spans="14:15">
      <c r="N865" s="11"/>
      <c r="O865" s="11"/>
    </row>
    <row r="866" spans="14:15">
      <c r="N866" s="11"/>
      <c r="O866" s="11"/>
    </row>
    <row r="867" spans="14:15">
      <c r="N867" s="11"/>
      <c r="O867" s="11"/>
    </row>
    <row r="868" spans="14:15">
      <c r="N868" s="11"/>
      <c r="O868" s="11"/>
    </row>
    <row r="869" spans="14:15">
      <c r="N869" s="11"/>
      <c r="O869" s="11"/>
    </row>
    <row r="870" spans="14:15">
      <c r="N870" s="11"/>
      <c r="O870" s="11"/>
    </row>
    <row r="871" spans="14:15">
      <c r="N871" s="11"/>
      <c r="O871" s="11"/>
    </row>
    <row r="872" spans="14:15">
      <c r="N872" s="11"/>
      <c r="O872" s="11"/>
    </row>
    <row r="873" spans="14:15">
      <c r="N873" s="11"/>
      <c r="O873" s="11"/>
    </row>
    <row r="874" spans="14:15">
      <c r="N874" s="11"/>
      <c r="O874" s="11"/>
    </row>
    <row r="875" spans="14:15">
      <c r="N875" s="11"/>
      <c r="O875" s="11"/>
    </row>
    <row r="876" spans="14:15">
      <c r="N876" s="11"/>
      <c r="O876" s="11"/>
    </row>
    <row r="877" spans="14:15">
      <c r="N877" s="11"/>
      <c r="O877" s="11"/>
    </row>
    <row r="878" spans="14:15">
      <c r="N878" s="11"/>
      <c r="O878" s="11"/>
    </row>
    <row r="879" spans="14:15">
      <c r="N879" s="11"/>
      <c r="O879" s="11"/>
    </row>
    <row r="880" spans="14:15">
      <c r="N880" s="11"/>
      <c r="O880" s="11"/>
    </row>
    <row r="881" spans="14:15">
      <c r="N881" s="11"/>
      <c r="O881" s="11"/>
    </row>
    <row r="882" spans="14:15">
      <c r="N882" s="11"/>
      <c r="O882" s="11"/>
    </row>
    <row r="883" spans="14:15">
      <c r="N883" s="11"/>
      <c r="O883" s="11"/>
    </row>
    <row r="884" spans="14:15">
      <c r="N884" s="11"/>
      <c r="O884" s="11"/>
    </row>
    <row r="885" spans="14:15">
      <c r="N885" s="11"/>
      <c r="O885" s="11"/>
    </row>
    <row r="886" spans="14:15">
      <c r="N886" s="11"/>
      <c r="O886" s="11"/>
    </row>
    <row r="887" spans="14:15">
      <c r="N887" s="11"/>
      <c r="O887" s="11"/>
    </row>
    <row r="888" spans="14:15">
      <c r="N888" s="11"/>
      <c r="O888" s="11"/>
    </row>
    <row r="889" spans="14:15">
      <c r="N889" s="11"/>
      <c r="O889" s="11"/>
    </row>
    <row r="890" spans="14:15">
      <c r="N890" s="11"/>
      <c r="O890" s="11"/>
    </row>
    <row r="891" spans="14:15">
      <c r="N891" s="11"/>
      <c r="O891" s="11"/>
    </row>
    <row r="892" spans="14:15">
      <c r="N892" s="11"/>
      <c r="O892" s="11"/>
    </row>
    <row r="893" spans="14:15">
      <c r="N893" s="11"/>
      <c r="O893" s="11"/>
    </row>
    <row r="894" spans="14:15">
      <c r="N894" s="11"/>
      <c r="O894" s="11"/>
    </row>
    <row r="895" spans="14:15">
      <c r="N895" s="11"/>
      <c r="O895" s="11"/>
    </row>
    <row r="896" spans="14:15">
      <c r="N896" s="11"/>
      <c r="O896" s="11"/>
    </row>
    <row r="897" spans="14:15">
      <c r="N897" s="11"/>
      <c r="O897" s="11"/>
    </row>
    <row r="898" spans="14:15">
      <c r="N898" s="11"/>
      <c r="O898" s="11"/>
    </row>
    <row r="899" spans="14:15">
      <c r="N899" s="11"/>
      <c r="O899" s="11"/>
    </row>
    <row r="900" spans="14:15">
      <c r="N900" s="11"/>
      <c r="O900" s="11"/>
    </row>
    <row r="901" spans="14:15">
      <c r="N901" s="11"/>
      <c r="O901" s="11"/>
    </row>
    <row r="902" spans="14:15">
      <c r="N902" s="11"/>
      <c r="O902" s="11"/>
    </row>
    <row r="903" spans="14:15">
      <c r="N903" s="11"/>
      <c r="O903" s="11"/>
    </row>
    <row r="904" spans="14:15">
      <c r="N904" s="11"/>
      <c r="O904" s="11"/>
    </row>
    <row r="905" spans="14:15">
      <c r="N905" s="11"/>
      <c r="O905" s="11"/>
    </row>
    <row r="906" spans="14:15">
      <c r="N906" s="11"/>
      <c r="O906" s="11"/>
    </row>
    <row r="907" spans="14:15">
      <c r="N907" s="11"/>
      <c r="O907" s="11"/>
    </row>
    <row r="908" spans="14:15">
      <c r="N908" s="11"/>
      <c r="O908" s="11"/>
    </row>
    <row r="909" spans="14:15">
      <c r="N909" s="11"/>
      <c r="O909" s="11"/>
    </row>
    <row r="910" spans="14:15">
      <c r="N910" s="11"/>
      <c r="O910" s="11"/>
    </row>
    <row r="911" spans="14:15">
      <c r="N911" s="11"/>
      <c r="O911" s="11"/>
    </row>
    <row r="912" spans="14:15">
      <c r="N912" s="11"/>
      <c r="O912" s="11"/>
    </row>
    <row r="913" spans="14:15">
      <c r="N913" s="11"/>
      <c r="O913" s="11"/>
    </row>
    <row r="914" spans="14:15">
      <c r="N914" s="11"/>
      <c r="O914" s="11"/>
    </row>
    <row r="915" spans="14:15">
      <c r="N915" s="11"/>
      <c r="O915" s="11"/>
    </row>
    <row r="916" spans="14:15">
      <c r="N916" s="11"/>
      <c r="O916" s="11"/>
    </row>
    <row r="917" spans="14:15">
      <c r="N917" s="11"/>
      <c r="O917" s="11"/>
    </row>
    <row r="918" spans="14:15">
      <c r="N918" s="11"/>
      <c r="O918" s="11"/>
    </row>
    <row r="919" spans="14:15">
      <c r="N919" s="11"/>
      <c r="O919" s="11"/>
    </row>
    <row r="920" spans="14:15">
      <c r="N920" s="11"/>
      <c r="O920" s="11"/>
    </row>
    <row r="921" spans="14:15">
      <c r="N921" s="11"/>
      <c r="O921" s="11"/>
    </row>
    <row r="922" spans="14:15">
      <c r="N922" s="11"/>
      <c r="O922" s="11"/>
    </row>
    <row r="923" spans="14:15">
      <c r="N923" s="11"/>
      <c r="O923" s="11"/>
    </row>
    <row r="924" spans="14:15">
      <c r="N924" s="11"/>
      <c r="O924" s="11"/>
    </row>
    <row r="925" spans="14:15">
      <c r="N925" s="11"/>
      <c r="O925" s="11"/>
    </row>
    <row r="926" spans="14:15">
      <c r="N926" s="11"/>
      <c r="O926" s="11"/>
    </row>
    <row r="927" spans="14:15">
      <c r="N927" s="11"/>
      <c r="O927" s="11"/>
    </row>
    <row r="928" spans="14:15">
      <c r="N928" s="11"/>
      <c r="O928" s="11"/>
    </row>
    <row r="929" spans="14:15">
      <c r="N929" s="11"/>
      <c r="O929" s="11"/>
    </row>
    <row r="930" spans="14:15">
      <c r="N930" s="11"/>
      <c r="O930" s="11"/>
    </row>
    <row r="931" spans="14:15">
      <c r="N931" s="11"/>
      <c r="O931" s="11"/>
    </row>
    <row r="932" spans="14:15">
      <c r="N932" s="11"/>
      <c r="O932" s="11"/>
    </row>
    <row r="933" spans="14:15">
      <c r="N933" s="11"/>
      <c r="O933" s="11"/>
    </row>
    <row r="934" spans="14:15">
      <c r="N934" s="11"/>
      <c r="O934" s="11"/>
    </row>
    <row r="935" spans="14:15">
      <c r="N935" s="11"/>
      <c r="O935" s="11"/>
    </row>
    <row r="936" spans="14:15">
      <c r="N936" s="11"/>
      <c r="O936" s="11"/>
    </row>
    <row r="937" spans="14:15">
      <c r="N937" s="11"/>
      <c r="O937" s="11"/>
    </row>
    <row r="938" spans="14:15">
      <c r="N938" s="11"/>
      <c r="O938" s="11"/>
    </row>
    <row r="939" spans="14:15">
      <c r="N939" s="11"/>
      <c r="O939" s="11"/>
    </row>
    <row r="940" spans="14:15">
      <c r="N940" s="11"/>
      <c r="O940" s="11"/>
    </row>
    <row r="941" spans="14:15">
      <c r="N941" s="11"/>
      <c r="O941" s="11"/>
    </row>
    <row r="942" spans="14:15">
      <c r="N942" s="11"/>
      <c r="O942" s="11"/>
    </row>
    <row r="943" spans="14:15">
      <c r="N943" s="11"/>
      <c r="O943" s="11"/>
    </row>
    <row r="944" spans="14:15">
      <c r="N944" s="11"/>
      <c r="O944" s="11"/>
    </row>
    <row r="945" spans="14:15">
      <c r="N945" s="11"/>
      <c r="O945" s="11"/>
    </row>
    <row r="946" spans="14:15">
      <c r="N946" s="11"/>
      <c r="O946" s="11"/>
    </row>
    <row r="947" spans="14:15">
      <c r="N947" s="11"/>
      <c r="O947" s="11"/>
    </row>
    <row r="948" spans="14:15">
      <c r="N948" s="11"/>
      <c r="O948" s="11"/>
    </row>
    <row r="949" spans="14:15">
      <c r="N949" s="11"/>
      <c r="O949" s="11"/>
    </row>
    <row r="950" spans="14:15">
      <c r="N950" s="11"/>
      <c r="O950" s="11"/>
    </row>
    <row r="951" spans="14:15">
      <c r="N951" s="11"/>
      <c r="O951" s="11"/>
    </row>
    <row r="952" spans="14:15">
      <c r="N952" s="11"/>
      <c r="O952" s="11"/>
    </row>
    <row r="953" spans="14:15">
      <c r="N953" s="11"/>
      <c r="O953" s="11"/>
    </row>
    <row r="954" spans="14:15">
      <c r="N954" s="11"/>
      <c r="O954" s="11"/>
    </row>
    <row r="955" spans="14:15">
      <c r="N955" s="11"/>
      <c r="O955" s="11"/>
    </row>
    <row r="956" spans="14:15">
      <c r="N956" s="11"/>
      <c r="O956" s="11"/>
    </row>
    <row r="957" spans="14:15">
      <c r="N957" s="11"/>
      <c r="O957" s="11"/>
    </row>
    <row r="958" spans="14:15">
      <c r="N958" s="11"/>
      <c r="O958" s="11"/>
    </row>
    <row r="959" spans="14:15">
      <c r="N959" s="11"/>
      <c r="O959" s="11"/>
    </row>
    <row r="960" spans="14:15">
      <c r="N960" s="11"/>
      <c r="O960" s="11"/>
    </row>
    <row r="961" spans="14:15">
      <c r="N961" s="11"/>
      <c r="O961" s="11"/>
    </row>
    <row r="962" spans="14:15">
      <c r="N962" s="11"/>
      <c r="O962" s="11"/>
    </row>
    <row r="963" spans="14:15">
      <c r="N963" s="11"/>
      <c r="O963" s="11"/>
    </row>
    <row r="964" spans="14:15">
      <c r="N964" s="11"/>
      <c r="O964" s="11"/>
    </row>
    <row r="965" spans="14:15">
      <c r="N965" s="11"/>
      <c r="O965" s="11"/>
    </row>
    <row r="966" spans="14:15">
      <c r="N966" s="11"/>
      <c r="O966" s="11"/>
    </row>
    <row r="967" spans="14:15">
      <c r="N967" s="11"/>
      <c r="O967" s="11"/>
    </row>
    <row r="968" spans="14:15">
      <c r="N968" s="11"/>
      <c r="O968" s="11"/>
    </row>
    <row r="969" spans="14:15">
      <c r="N969" s="11"/>
      <c r="O969" s="11"/>
    </row>
    <row r="970" spans="14:15">
      <c r="N970" s="11"/>
      <c r="O970" s="11"/>
    </row>
    <row r="971" spans="14:15">
      <c r="N971" s="11"/>
      <c r="O971" s="11"/>
    </row>
    <row r="972" spans="14:15">
      <c r="N972" s="11"/>
      <c r="O972" s="11"/>
    </row>
    <row r="973" spans="14:15">
      <c r="N973" s="11"/>
      <c r="O973" s="11"/>
    </row>
    <row r="974" spans="14:15">
      <c r="N974" s="11"/>
      <c r="O974" s="11"/>
    </row>
    <row r="975" spans="14:15">
      <c r="N975" s="11"/>
      <c r="O975" s="11"/>
    </row>
    <row r="976" spans="14:15">
      <c r="N976" s="11"/>
      <c r="O976" s="11"/>
    </row>
    <row r="977" spans="14:15">
      <c r="N977" s="11"/>
      <c r="O977" s="11"/>
    </row>
    <row r="978" spans="14:15">
      <c r="N978" s="11"/>
      <c r="O978" s="11"/>
    </row>
    <row r="979" spans="14:15">
      <c r="N979" s="11"/>
      <c r="O979" s="11"/>
    </row>
    <row r="980" spans="14:15">
      <c r="N980" s="11"/>
      <c r="O980" s="11"/>
    </row>
    <row r="981" spans="14:15">
      <c r="N981" s="11"/>
      <c r="O981" s="11"/>
    </row>
    <row r="982" spans="14:15">
      <c r="N982" s="11"/>
      <c r="O982" s="11"/>
    </row>
    <row r="983" spans="14:15">
      <c r="N983" s="11"/>
      <c r="O983" s="11"/>
    </row>
    <row r="984" spans="14:15">
      <c r="N984" s="11"/>
      <c r="O984" s="11"/>
    </row>
    <row r="985" spans="14:15">
      <c r="N985" s="11"/>
      <c r="O985" s="11"/>
    </row>
    <row r="986" spans="14:15">
      <c r="N986" s="11"/>
      <c r="O986" s="11"/>
    </row>
    <row r="987" spans="14:15">
      <c r="N987" s="11"/>
      <c r="O987" s="11"/>
    </row>
    <row r="988" spans="14:15">
      <c r="N988" s="11"/>
      <c r="O988" s="11"/>
    </row>
    <row r="989" spans="14:15">
      <c r="N989" s="11"/>
      <c r="O989" s="11"/>
    </row>
    <row r="990" spans="14:15">
      <c r="N990" s="11"/>
      <c r="O990" s="11"/>
    </row>
    <row r="991" spans="14:15">
      <c r="N991" s="11"/>
      <c r="O991" s="11"/>
    </row>
    <row r="992" spans="14:15">
      <c r="N992" s="11"/>
      <c r="O992" s="11"/>
    </row>
    <row r="993" spans="14:15">
      <c r="N993" s="11"/>
      <c r="O993" s="11"/>
    </row>
    <row r="994" spans="14:15">
      <c r="N994" s="11"/>
      <c r="O994" s="11"/>
    </row>
    <row r="995" spans="14:15">
      <c r="N995" s="11"/>
      <c r="O995" s="11"/>
    </row>
    <row r="996" spans="14:15">
      <c r="N996" s="11"/>
      <c r="O996" s="11"/>
    </row>
    <row r="997" spans="14:15">
      <c r="N997" s="11"/>
      <c r="O997" s="11"/>
    </row>
    <row r="998" spans="14:15">
      <c r="N998" s="11"/>
      <c r="O998" s="11"/>
    </row>
    <row r="999" spans="14:15">
      <c r="N999" s="11"/>
      <c r="O999" s="11"/>
    </row>
    <row r="1000" spans="14:15">
      <c r="N1000" s="11"/>
      <c r="O1000" s="11"/>
    </row>
    <row r="1001" spans="14:15">
      <c r="N1001" s="11"/>
      <c r="O1001" s="11"/>
    </row>
    <row r="1002" spans="14:15">
      <c r="N1002" s="11"/>
      <c r="O1002" s="11"/>
    </row>
    <row r="1003" spans="14:15">
      <c r="N1003" s="11"/>
      <c r="O1003" s="11"/>
    </row>
    <row r="1004" spans="14:15">
      <c r="N1004" s="11"/>
      <c r="O1004" s="11"/>
    </row>
    <row r="1005" spans="14:15">
      <c r="N1005" s="11"/>
      <c r="O1005" s="11"/>
    </row>
    <row r="1006" spans="14:15">
      <c r="N1006" s="11"/>
      <c r="O1006" s="11"/>
    </row>
    <row r="1007" spans="14:15">
      <c r="N1007" s="11"/>
      <c r="O1007" s="11"/>
    </row>
    <row r="1008" spans="14:15">
      <c r="N1008" s="11"/>
      <c r="O1008" s="11"/>
    </row>
    <row r="1009" spans="14:15">
      <c r="N1009" s="11"/>
      <c r="O1009" s="11"/>
    </row>
    <row r="1010" spans="14:15">
      <c r="N1010" s="11"/>
      <c r="O1010" s="11"/>
    </row>
    <row r="1011" spans="14:15">
      <c r="N1011" s="11"/>
      <c r="O1011" s="11"/>
    </row>
    <row r="1012" spans="14:15">
      <c r="N1012" s="11"/>
      <c r="O1012" s="11"/>
    </row>
    <row r="1013" spans="14:15">
      <c r="N1013" s="11"/>
      <c r="O1013" s="11"/>
    </row>
    <row r="1014" spans="14:15">
      <c r="N1014" s="11"/>
      <c r="O1014" s="11"/>
    </row>
    <row r="1015" spans="14:15">
      <c r="N1015" s="11"/>
      <c r="O1015" s="11"/>
    </row>
    <row r="1016" spans="14:15">
      <c r="N1016" s="11"/>
      <c r="O1016" s="11"/>
    </row>
    <row r="1017" spans="14:15">
      <c r="N1017" s="11"/>
      <c r="O1017" s="11"/>
    </row>
    <row r="1018" spans="14:15">
      <c r="N1018" s="11"/>
      <c r="O1018" s="11"/>
    </row>
    <row r="1019" spans="14:15">
      <c r="N1019" s="11"/>
      <c r="O1019" s="11"/>
    </row>
    <row r="1020" spans="14:15">
      <c r="N1020" s="11"/>
      <c r="O1020" s="11"/>
    </row>
    <row r="1021" spans="14:15">
      <c r="N1021" s="11"/>
      <c r="O1021" s="11"/>
    </row>
    <row r="1022" spans="14:15">
      <c r="N1022" s="11"/>
      <c r="O1022" s="11"/>
    </row>
    <row r="1023" spans="14:15">
      <c r="N1023" s="11"/>
      <c r="O1023" s="11"/>
    </row>
    <row r="1024" spans="14:15">
      <c r="N1024" s="11"/>
      <c r="O1024" s="11"/>
    </row>
    <row r="1025" spans="14:15">
      <c r="N1025" s="11"/>
      <c r="O1025" s="11"/>
    </row>
    <row r="1026" spans="14:15">
      <c r="N1026" s="11"/>
      <c r="O1026" s="11"/>
    </row>
    <row r="1027" spans="14:15">
      <c r="N1027" s="11"/>
      <c r="O1027" s="11"/>
    </row>
    <row r="1028" spans="14:15">
      <c r="N1028" s="11"/>
      <c r="O1028" s="11"/>
    </row>
    <row r="1029" spans="14:15">
      <c r="N1029" s="11"/>
      <c r="O1029" s="11"/>
    </row>
    <row r="1030" spans="14:15">
      <c r="N1030" s="11"/>
      <c r="O1030" s="11"/>
    </row>
    <row r="1031" spans="14:15">
      <c r="N1031" s="11"/>
      <c r="O1031" s="11"/>
    </row>
    <row r="1032" spans="14:15">
      <c r="N1032" s="11"/>
      <c r="O1032" s="11"/>
    </row>
    <row r="1033" spans="14:15">
      <c r="N1033" s="11"/>
      <c r="O1033" s="11"/>
    </row>
    <row r="1034" spans="14:15">
      <c r="N1034" s="11"/>
      <c r="O1034" s="11"/>
    </row>
    <row r="1035" spans="14:15">
      <c r="N1035" s="11"/>
      <c r="O1035" s="11"/>
    </row>
    <row r="1036" spans="14:15">
      <c r="N1036" s="11"/>
      <c r="O1036" s="11"/>
    </row>
    <row r="1037" spans="14:15">
      <c r="N1037" s="11"/>
      <c r="O1037" s="11"/>
    </row>
    <row r="1038" spans="14:15">
      <c r="N1038" s="11"/>
      <c r="O1038" s="11"/>
    </row>
    <row r="1039" spans="14:15">
      <c r="N1039" s="11"/>
      <c r="O1039" s="11"/>
    </row>
    <row r="1040" spans="14:15">
      <c r="N1040" s="11"/>
      <c r="O1040" s="11"/>
    </row>
    <row r="1041" spans="14:15">
      <c r="N1041" s="11"/>
      <c r="O1041" s="11"/>
    </row>
    <row r="1042" spans="14:15">
      <c r="N1042" s="11"/>
      <c r="O1042" s="11"/>
    </row>
    <row r="1043" spans="14:15">
      <c r="N1043" s="11"/>
      <c r="O1043" s="11"/>
    </row>
    <row r="1044" spans="14:15">
      <c r="N1044" s="11"/>
      <c r="O1044" s="11"/>
    </row>
    <row r="1045" spans="14:15">
      <c r="N1045" s="11"/>
      <c r="O1045" s="11"/>
    </row>
    <row r="1046" spans="14:15">
      <c r="N1046" s="11"/>
      <c r="O1046" s="11"/>
    </row>
    <row r="1047" spans="14:15">
      <c r="N1047" s="11"/>
      <c r="O1047" s="11"/>
    </row>
    <row r="1048" spans="14:15">
      <c r="N1048" s="11"/>
      <c r="O1048" s="11"/>
    </row>
    <row r="1049" spans="14:15">
      <c r="N1049" s="11"/>
      <c r="O1049" s="11"/>
    </row>
    <row r="1050" spans="14:15">
      <c r="N1050" s="11"/>
      <c r="O1050" s="11"/>
    </row>
    <row r="1051" spans="14:15">
      <c r="N1051" s="11"/>
      <c r="O1051" s="11"/>
    </row>
    <row r="1052" spans="14:15">
      <c r="N1052" s="11"/>
      <c r="O1052" s="11"/>
    </row>
    <row r="1053" spans="14:15">
      <c r="N1053" s="11"/>
      <c r="O1053" s="11"/>
    </row>
    <row r="1054" spans="14:15">
      <c r="N1054" s="11"/>
      <c r="O1054" s="11"/>
    </row>
    <row r="1055" spans="14:15">
      <c r="N1055" s="11"/>
      <c r="O1055" s="11"/>
    </row>
    <row r="1056" spans="14:15">
      <c r="N1056" s="11"/>
      <c r="O1056" s="11"/>
    </row>
    <row r="1057" spans="14:15">
      <c r="N1057" s="11"/>
      <c r="O1057" s="11"/>
    </row>
    <row r="1058" spans="14:15">
      <c r="N1058" s="11"/>
      <c r="O1058" s="11"/>
    </row>
    <row r="1059" spans="14:15">
      <c r="N1059" s="11"/>
      <c r="O1059" s="11"/>
    </row>
    <row r="1060" spans="14:15">
      <c r="N1060" s="11"/>
      <c r="O1060" s="11"/>
    </row>
    <row r="1061" spans="14:15">
      <c r="N1061" s="11"/>
      <c r="O1061" s="11"/>
    </row>
    <row r="1062" spans="14:15">
      <c r="N1062" s="11"/>
      <c r="O1062" s="11"/>
    </row>
    <row r="1063" spans="14:15">
      <c r="N1063" s="11"/>
      <c r="O1063" s="11"/>
    </row>
    <row r="1064" spans="14:15">
      <c r="N1064" s="11"/>
      <c r="O1064" s="11"/>
    </row>
    <row r="1065" spans="14:15">
      <c r="N1065" s="11"/>
      <c r="O1065" s="11"/>
    </row>
    <row r="1066" spans="14:15">
      <c r="N1066" s="11"/>
      <c r="O1066" s="11"/>
    </row>
    <row r="1067" spans="14:15">
      <c r="N1067" s="11"/>
      <c r="O1067" s="11"/>
    </row>
    <row r="1068" spans="14:15">
      <c r="N1068" s="11"/>
      <c r="O1068" s="11"/>
    </row>
    <row r="1069" spans="14:15">
      <c r="N1069" s="11"/>
      <c r="O1069" s="11"/>
    </row>
    <row r="1070" spans="14:15">
      <c r="N1070" s="11"/>
      <c r="O1070" s="11"/>
    </row>
    <row r="1071" spans="14:15">
      <c r="N1071" s="11"/>
      <c r="O1071" s="11"/>
    </row>
    <row r="1072" spans="14:15">
      <c r="N1072" s="11"/>
      <c r="O1072" s="11"/>
    </row>
    <row r="1073" spans="14:15">
      <c r="N1073" s="11"/>
      <c r="O1073" s="11"/>
    </row>
    <row r="1074" spans="14:15">
      <c r="N1074" s="11"/>
      <c r="O1074" s="11"/>
    </row>
    <row r="1075" spans="14:15">
      <c r="N1075" s="11"/>
      <c r="O1075" s="11"/>
    </row>
    <row r="1076" spans="14:15">
      <c r="N1076" s="11"/>
      <c r="O1076" s="11"/>
    </row>
    <row r="1077" spans="14:15">
      <c r="N1077" s="11"/>
      <c r="O1077" s="11"/>
    </row>
    <row r="1078" spans="14:15">
      <c r="N1078" s="11"/>
      <c r="O1078" s="11"/>
    </row>
    <row r="1079" spans="14:15">
      <c r="N1079" s="11"/>
      <c r="O1079" s="11"/>
    </row>
    <row r="1080" spans="14:15">
      <c r="N1080" s="11"/>
      <c r="O1080" s="11"/>
    </row>
    <row r="1081" spans="14:15">
      <c r="N1081" s="11"/>
      <c r="O1081" s="11"/>
    </row>
    <row r="1082" spans="14:15">
      <c r="N1082" s="11"/>
      <c r="O1082" s="11"/>
    </row>
    <row r="1083" spans="14:15">
      <c r="N1083" s="11"/>
      <c r="O1083" s="11"/>
    </row>
    <row r="1084" spans="14:15">
      <c r="N1084" s="11"/>
      <c r="O1084" s="11"/>
    </row>
    <row r="1085" spans="14:15">
      <c r="N1085" s="11"/>
      <c r="O1085" s="11"/>
    </row>
    <row r="1086" spans="14:15">
      <c r="N1086" s="11"/>
      <c r="O1086" s="11"/>
    </row>
    <row r="1087" spans="14:15">
      <c r="N1087" s="11"/>
      <c r="O1087" s="11"/>
    </row>
    <row r="1088" spans="14:15">
      <c r="N1088" s="11"/>
      <c r="O1088" s="11"/>
    </row>
    <row r="1089" spans="14:15">
      <c r="N1089" s="11"/>
      <c r="O1089" s="11"/>
    </row>
    <row r="1090" spans="14:15">
      <c r="N1090" s="11"/>
      <c r="O1090" s="11"/>
    </row>
    <row r="1091" spans="14:15">
      <c r="N1091" s="11"/>
      <c r="O1091" s="11"/>
    </row>
    <row r="1092" spans="14:15">
      <c r="N1092" s="11"/>
      <c r="O1092" s="11"/>
    </row>
    <row r="1093" spans="14:15">
      <c r="N1093" s="11"/>
      <c r="O1093" s="11"/>
    </row>
    <row r="1094" spans="14:15">
      <c r="N1094" s="11"/>
      <c r="O1094" s="11"/>
    </row>
    <row r="1095" spans="14:15">
      <c r="N1095" s="11"/>
      <c r="O1095" s="11"/>
    </row>
    <row r="1096" spans="14:15">
      <c r="N1096" s="11"/>
      <c r="O1096" s="11"/>
    </row>
    <row r="1097" spans="14:15">
      <c r="N1097" s="11"/>
      <c r="O1097" s="11"/>
    </row>
    <row r="1098" spans="14:15">
      <c r="N1098" s="11"/>
      <c r="O1098" s="11"/>
    </row>
    <row r="1099" spans="14:15">
      <c r="N1099" s="11"/>
      <c r="O1099" s="11"/>
    </row>
    <row r="1100" spans="14:15">
      <c r="N1100" s="11"/>
      <c r="O1100" s="11"/>
    </row>
    <row r="1101" spans="14:15">
      <c r="N1101" s="11"/>
      <c r="O1101" s="11"/>
    </row>
    <row r="1102" spans="14:15">
      <c r="N1102" s="11"/>
      <c r="O1102" s="11"/>
    </row>
    <row r="1103" spans="14:15">
      <c r="N1103" s="11"/>
      <c r="O1103" s="11"/>
    </row>
    <row r="1104" spans="14:15">
      <c r="N1104" s="11"/>
      <c r="O1104" s="11"/>
    </row>
    <row r="1105" spans="14:15">
      <c r="N1105" s="11"/>
      <c r="O1105" s="11"/>
    </row>
    <row r="1106" spans="14:15">
      <c r="N1106" s="11"/>
      <c r="O1106" s="11"/>
    </row>
    <row r="1107" spans="14:15">
      <c r="N1107" s="11"/>
      <c r="O1107" s="11"/>
    </row>
    <row r="1108" spans="14:15">
      <c r="N1108" s="11"/>
      <c r="O1108" s="11"/>
    </row>
    <row r="1109" spans="14:15">
      <c r="N1109" s="11"/>
      <c r="O1109" s="11"/>
    </row>
    <row r="1110" spans="14:15">
      <c r="N1110" s="11"/>
      <c r="O1110" s="11"/>
    </row>
    <row r="1111" spans="14:15">
      <c r="N1111" s="11"/>
      <c r="O1111" s="11"/>
    </row>
    <row r="1112" spans="14:15">
      <c r="N1112" s="11"/>
      <c r="O1112" s="11"/>
    </row>
    <row r="1113" spans="14:15">
      <c r="N1113" s="11"/>
      <c r="O1113" s="11"/>
    </row>
    <row r="1114" spans="14:15">
      <c r="N1114" s="11"/>
      <c r="O1114" s="11"/>
    </row>
    <row r="1115" spans="14:15">
      <c r="N1115" s="11"/>
      <c r="O1115" s="11"/>
    </row>
    <row r="1116" spans="14:15">
      <c r="N1116" s="11"/>
      <c r="O1116" s="11"/>
    </row>
    <row r="1117" spans="14:15">
      <c r="N1117" s="11"/>
      <c r="O1117" s="11"/>
    </row>
    <row r="1118" spans="14:15">
      <c r="N1118" s="11"/>
      <c r="O1118" s="11"/>
    </row>
    <row r="1119" spans="14:15">
      <c r="N1119" s="11"/>
      <c r="O1119" s="11"/>
    </row>
    <row r="1120" spans="14:15">
      <c r="N1120" s="11"/>
      <c r="O1120" s="11"/>
    </row>
    <row r="1121" spans="14:15">
      <c r="N1121" s="11"/>
      <c r="O1121" s="11"/>
    </row>
    <row r="1122" spans="14:15">
      <c r="N1122" s="11"/>
      <c r="O1122" s="11"/>
    </row>
    <row r="1123" spans="14:15">
      <c r="N1123" s="11"/>
      <c r="O1123" s="11"/>
    </row>
    <row r="1124" spans="14:15">
      <c r="N1124" s="11"/>
      <c r="O1124" s="11"/>
    </row>
    <row r="1125" spans="14:15">
      <c r="N1125" s="11"/>
      <c r="O1125" s="11"/>
    </row>
    <row r="1126" spans="14:15">
      <c r="N1126" s="11"/>
      <c r="O1126" s="11"/>
    </row>
    <row r="1127" spans="14:15">
      <c r="N1127" s="11"/>
      <c r="O1127" s="11"/>
    </row>
    <row r="1128" spans="14:15">
      <c r="N1128" s="11"/>
      <c r="O1128" s="11"/>
    </row>
    <row r="1129" spans="14:15">
      <c r="N1129" s="11"/>
      <c r="O1129" s="11"/>
    </row>
    <row r="1130" spans="14:15">
      <c r="N1130" s="11"/>
      <c r="O1130" s="11"/>
    </row>
    <row r="1131" spans="14:15">
      <c r="N1131" s="11"/>
      <c r="O1131" s="11"/>
    </row>
    <row r="1132" spans="14:15">
      <c r="N1132" s="11"/>
      <c r="O1132" s="11"/>
    </row>
    <row r="1133" spans="14:15">
      <c r="N1133" s="11"/>
      <c r="O1133" s="11"/>
    </row>
    <row r="1134" spans="14:15">
      <c r="N1134" s="11"/>
      <c r="O1134" s="11"/>
    </row>
    <row r="1135" spans="14:15">
      <c r="N1135" s="11"/>
      <c r="O1135" s="11"/>
    </row>
    <row r="1136" spans="14:15">
      <c r="N1136" s="11"/>
      <c r="O1136" s="11"/>
    </row>
    <row r="1137" spans="14:15">
      <c r="N1137" s="11"/>
      <c r="O1137" s="11"/>
    </row>
    <row r="1138" spans="14:15">
      <c r="N1138" s="11"/>
      <c r="O1138" s="11"/>
    </row>
    <row r="1139" spans="14:15">
      <c r="N1139" s="11"/>
      <c r="O1139" s="11"/>
    </row>
    <row r="1140" spans="14:15">
      <c r="N1140" s="11"/>
      <c r="O1140" s="11"/>
    </row>
    <row r="1141" spans="14:15">
      <c r="N1141" s="11"/>
      <c r="O1141" s="11"/>
    </row>
    <row r="1142" spans="14:15">
      <c r="N1142" s="11"/>
      <c r="O1142" s="11"/>
    </row>
    <row r="1143" spans="14:15">
      <c r="N1143" s="11"/>
      <c r="O1143" s="11"/>
    </row>
    <row r="1144" spans="14:15">
      <c r="N1144" s="11"/>
      <c r="O1144" s="11"/>
    </row>
    <row r="1145" spans="14:15">
      <c r="N1145" s="11"/>
      <c r="O1145" s="11"/>
    </row>
    <row r="1146" spans="14:15">
      <c r="N1146" s="11"/>
      <c r="O1146" s="11"/>
    </row>
    <row r="1147" spans="14:15">
      <c r="N1147" s="11"/>
      <c r="O1147" s="11"/>
    </row>
    <row r="1148" spans="14:15">
      <c r="N1148" s="11"/>
      <c r="O1148" s="11"/>
    </row>
    <row r="1149" spans="14:15">
      <c r="N1149" s="11"/>
      <c r="O1149" s="11"/>
    </row>
    <row r="1150" spans="14:15">
      <c r="N1150" s="11"/>
      <c r="O1150" s="11"/>
    </row>
    <row r="1151" spans="14:15">
      <c r="N1151" s="11"/>
      <c r="O1151" s="11"/>
    </row>
    <row r="1152" spans="14:15">
      <c r="N1152" s="11"/>
      <c r="O1152" s="11"/>
    </row>
    <row r="1153" spans="14:15">
      <c r="N1153" s="11"/>
      <c r="O1153" s="11"/>
    </row>
    <row r="1154" spans="14:15">
      <c r="N1154" s="11"/>
      <c r="O1154" s="11"/>
    </row>
    <row r="1155" spans="14:15">
      <c r="N1155" s="11"/>
      <c r="O1155" s="11"/>
    </row>
    <row r="1156" spans="14:15">
      <c r="N1156" s="11"/>
      <c r="O1156" s="11"/>
    </row>
    <row r="1157" spans="14:15">
      <c r="N1157" s="11"/>
      <c r="O1157" s="11"/>
    </row>
    <row r="1158" spans="14:15">
      <c r="N1158" s="11"/>
      <c r="O1158" s="11"/>
    </row>
    <row r="1159" spans="14:15">
      <c r="N1159" s="11"/>
      <c r="O1159" s="11"/>
    </row>
    <row r="1160" spans="14:15">
      <c r="N1160" s="11"/>
      <c r="O1160" s="11"/>
    </row>
    <row r="1161" spans="14:15">
      <c r="N1161" s="11"/>
      <c r="O1161" s="11"/>
    </row>
    <row r="1162" spans="14:15">
      <c r="N1162" s="11"/>
      <c r="O1162" s="11"/>
    </row>
    <row r="1163" spans="14:15">
      <c r="N1163" s="11"/>
      <c r="O1163" s="11"/>
    </row>
    <row r="1164" spans="14:15">
      <c r="N1164" s="11"/>
      <c r="O1164" s="11"/>
    </row>
    <row r="1165" spans="14:15">
      <c r="N1165" s="11"/>
      <c r="O1165" s="11"/>
    </row>
    <row r="1166" spans="14:15">
      <c r="N1166" s="11"/>
      <c r="O1166" s="11"/>
    </row>
    <row r="1167" spans="14:15">
      <c r="N1167" s="11"/>
      <c r="O1167" s="11"/>
    </row>
    <row r="1168" spans="14:15">
      <c r="N1168" s="11"/>
      <c r="O1168" s="11"/>
    </row>
    <row r="1169" spans="14:15">
      <c r="N1169" s="11"/>
      <c r="O1169" s="11"/>
    </row>
    <row r="1170" spans="14:15">
      <c r="N1170" s="11"/>
      <c r="O1170" s="11"/>
    </row>
    <row r="1171" spans="14:15">
      <c r="N1171" s="11"/>
      <c r="O1171" s="11"/>
    </row>
    <row r="1172" spans="14:15">
      <c r="N1172" s="11"/>
      <c r="O1172" s="11"/>
    </row>
    <row r="1173" spans="14:15">
      <c r="N1173" s="11"/>
      <c r="O1173" s="11"/>
    </row>
    <row r="1174" spans="14:15">
      <c r="N1174" s="11"/>
      <c r="O1174" s="11"/>
    </row>
    <row r="1175" spans="14:15">
      <c r="N1175" s="11"/>
      <c r="O1175" s="11"/>
    </row>
    <row r="1176" spans="14:15">
      <c r="N1176" s="11"/>
      <c r="O1176" s="11"/>
    </row>
    <row r="1177" spans="14:15">
      <c r="N1177" s="11"/>
      <c r="O1177" s="11"/>
    </row>
    <row r="1178" spans="14:15">
      <c r="N1178" s="11"/>
      <c r="O1178" s="11"/>
    </row>
    <row r="1179" spans="14:15">
      <c r="N1179" s="11"/>
      <c r="O1179" s="11"/>
    </row>
    <row r="1180" spans="14:15">
      <c r="N1180" s="11"/>
      <c r="O1180" s="11"/>
    </row>
    <row r="1181" spans="14:15">
      <c r="N1181" s="11"/>
      <c r="O1181" s="11"/>
    </row>
    <row r="1182" spans="14:15">
      <c r="N1182" s="11"/>
      <c r="O1182" s="11"/>
    </row>
    <row r="1183" spans="14:15">
      <c r="N1183" s="11"/>
      <c r="O1183" s="11"/>
    </row>
    <row r="1184" spans="14:15">
      <c r="N1184" s="11"/>
      <c r="O1184" s="11"/>
    </row>
    <row r="1185" spans="14:15">
      <c r="N1185" s="11"/>
      <c r="O1185" s="11"/>
    </row>
    <row r="1186" spans="14:15">
      <c r="N1186" s="11"/>
      <c r="O1186" s="11"/>
    </row>
    <row r="1187" spans="14:15">
      <c r="N1187" s="11"/>
      <c r="O1187" s="11"/>
    </row>
    <row r="1188" spans="14:15">
      <c r="N1188" s="11"/>
      <c r="O1188" s="11"/>
    </row>
    <row r="1189" spans="14:15">
      <c r="N1189" s="11"/>
      <c r="O1189" s="11"/>
    </row>
    <row r="1190" spans="14:15">
      <c r="N1190" s="11"/>
      <c r="O1190" s="11"/>
    </row>
    <row r="1191" spans="14:15">
      <c r="N1191" s="11"/>
      <c r="O1191" s="11"/>
    </row>
    <row r="1192" spans="14:15">
      <c r="N1192" s="11"/>
      <c r="O1192" s="11"/>
    </row>
    <row r="1193" spans="14:15">
      <c r="N1193" s="11"/>
      <c r="O1193" s="11"/>
    </row>
    <row r="1194" spans="14:15">
      <c r="N1194" s="11"/>
      <c r="O1194" s="11"/>
    </row>
    <row r="1195" spans="14:15">
      <c r="N1195" s="11"/>
      <c r="O1195" s="11"/>
    </row>
    <row r="1196" spans="14:15">
      <c r="N1196" s="11"/>
      <c r="O1196" s="11"/>
    </row>
    <row r="1197" spans="14:15">
      <c r="N1197" s="11"/>
      <c r="O1197" s="11"/>
    </row>
    <row r="1198" spans="14:15">
      <c r="N1198" s="11"/>
      <c r="O1198" s="11"/>
    </row>
    <row r="1199" spans="14:15">
      <c r="N1199" s="11"/>
      <c r="O1199" s="11"/>
    </row>
    <row r="1200" spans="14:15">
      <c r="N1200" s="11"/>
      <c r="O1200" s="11"/>
    </row>
    <row r="1201" spans="14:15">
      <c r="N1201" s="11"/>
      <c r="O1201" s="11"/>
    </row>
    <row r="1202" spans="14:15">
      <c r="N1202" s="11"/>
      <c r="O1202" s="11"/>
    </row>
    <row r="1203" spans="14:15">
      <c r="N1203" s="11"/>
      <c r="O1203" s="11"/>
    </row>
    <row r="1204" spans="14:15">
      <c r="N1204" s="11"/>
      <c r="O1204" s="11"/>
    </row>
    <row r="1205" spans="14:15">
      <c r="N1205" s="11"/>
      <c r="O1205" s="11"/>
    </row>
    <row r="1206" spans="14:15">
      <c r="N1206" s="11"/>
      <c r="O1206" s="11"/>
    </row>
    <row r="1207" spans="14:15">
      <c r="N1207" s="11"/>
      <c r="O1207" s="11"/>
    </row>
    <row r="1208" spans="14:15">
      <c r="N1208" s="11"/>
      <c r="O1208" s="11"/>
    </row>
    <row r="1209" spans="14:15">
      <c r="N1209" s="11"/>
      <c r="O1209" s="11"/>
    </row>
    <row r="1210" spans="14:15">
      <c r="N1210" s="11"/>
      <c r="O1210" s="11"/>
    </row>
    <row r="1211" spans="14:15">
      <c r="N1211" s="11"/>
      <c r="O1211" s="11"/>
    </row>
    <row r="1212" spans="14:15">
      <c r="N1212" s="11"/>
      <c r="O1212" s="11"/>
    </row>
    <row r="1213" spans="14:15">
      <c r="N1213" s="11"/>
      <c r="O1213" s="11"/>
    </row>
    <row r="1214" spans="14:15">
      <c r="N1214" s="11"/>
      <c r="O1214" s="11"/>
    </row>
    <row r="1215" spans="14:15">
      <c r="N1215" s="11"/>
      <c r="O1215" s="11"/>
    </row>
    <row r="1216" spans="14:15">
      <c r="N1216" s="11"/>
      <c r="O1216" s="11"/>
    </row>
    <row r="1217" spans="14:15">
      <c r="N1217" s="11"/>
      <c r="O1217" s="11"/>
    </row>
    <row r="1218" spans="14:15">
      <c r="N1218" s="11"/>
      <c r="O1218" s="11"/>
    </row>
    <row r="1219" spans="14:15">
      <c r="N1219" s="11"/>
      <c r="O1219" s="11"/>
    </row>
    <row r="1220" spans="14:15">
      <c r="N1220" s="11"/>
      <c r="O1220" s="11"/>
    </row>
    <row r="1221" spans="14:15">
      <c r="N1221" s="11"/>
      <c r="O1221" s="11"/>
    </row>
    <row r="1222" spans="14:15">
      <c r="N1222" s="11"/>
      <c r="O1222" s="11"/>
    </row>
    <row r="1223" spans="14:15">
      <c r="N1223" s="11"/>
      <c r="O1223" s="11"/>
    </row>
    <row r="1224" spans="14:15">
      <c r="N1224" s="11"/>
      <c r="O1224" s="11"/>
    </row>
    <row r="1225" spans="14:15">
      <c r="N1225" s="11"/>
      <c r="O1225" s="11"/>
    </row>
    <row r="1226" spans="14:15">
      <c r="N1226" s="11"/>
      <c r="O1226" s="11"/>
    </row>
    <row r="1227" spans="14:15">
      <c r="N1227" s="11"/>
      <c r="O1227" s="11"/>
    </row>
    <row r="1228" spans="14:15">
      <c r="N1228" s="11"/>
      <c r="O1228" s="11"/>
    </row>
    <row r="1229" spans="14:15">
      <c r="N1229" s="11"/>
      <c r="O1229" s="11"/>
    </row>
    <row r="1230" spans="14:15">
      <c r="N1230" s="11"/>
      <c r="O1230" s="11"/>
    </row>
    <row r="1231" spans="14:15">
      <c r="N1231" s="11"/>
      <c r="O1231" s="11"/>
    </row>
    <row r="1232" spans="14:15">
      <c r="N1232" s="11"/>
      <c r="O1232" s="11"/>
    </row>
    <row r="1233" spans="14:15">
      <c r="N1233" s="11"/>
      <c r="O1233" s="11"/>
    </row>
    <row r="1234" spans="14:15">
      <c r="N1234" s="11"/>
      <c r="O1234" s="11"/>
    </row>
    <row r="1235" spans="14:15">
      <c r="N1235" s="11"/>
      <c r="O1235" s="11"/>
    </row>
    <row r="1236" spans="14:15">
      <c r="N1236" s="11"/>
      <c r="O1236" s="11"/>
    </row>
    <row r="1237" spans="14:15">
      <c r="N1237" s="11"/>
      <c r="O1237" s="11"/>
    </row>
    <row r="1238" spans="14:15">
      <c r="N1238" s="11"/>
      <c r="O1238" s="11"/>
    </row>
    <row r="1239" spans="14:15">
      <c r="N1239" s="11"/>
      <c r="O1239" s="11"/>
    </row>
    <row r="1240" spans="14:15">
      <c r="N1240" s="11"/>
      <c r="O1240" s="11"/>
    </row>
    <row r="1241" spans="14:15">
      <c r="N1241" s="11"/>
      <c r="O1241" s="11"/>
    </row>
    <row r="1242" spans="14:15">
      <c r="N1242" s="11"/>
      <c r="O1242" s="11"/>
    </row>
    <row r="1243" spans="14:15">
      <c r="N1243" s="11"/>
      <c r="O1243" s="11"/>
    </row>
    <row r="1244" spans="14:15">
      <c r="N1244" s="11"/>
      <c r="O1244" s="11"/>
    </row>
    <row r="1245" spans="14:15">
      <c r="N1245" s="11"/>
      <c r="O1245" s="11"/>
    </row>
    <row r="1246" spans="14:15">
      <c r="N1246" s="11"/>
      <c r="O1246" s="11"/>
    </row>
    <row r="1247" spans="14:15">
      <c r="N1247" s="11"/>
      <c r="O1247" s="11"/>
    </row>
    <row r="1248" spans="14:15">
      <c r="N1248" s="11"/>
      <c r="O1248" s="11"/>
    </row>
    <row r="1249" spans="14:15">
      <c r="N1249" s="11"/>
      <c r="O1249" s="11"/>
    </row>
    <row r="1250" spans="14:15">
      <c r="N1250" s="11"/>
      <c r="O1250" s="11"/>
    </row>
    <row r="1251" spans="14:15">
      <c r="N1251" s="11"/>
      <c r="O1251" s="11"/>
    </row>
    <row r="1252" spans="14:15">
      <c r="N1252" s="11"/>
      <c r="O1252" s="11"/>
    </row>
    <row r="1253" spans="14:15">
      <c r="N1253" s="11"/>
      <c r="O1253" s="11"/>
    </row>
    <row r="1254" spans="14:15">
      <c r="N1254" s="11"/>
      <c r="O1254" s="11"/>
    </row>
    <row r="1255" spans="14:15">
      <c r="N1255" s="11"/>
      <c r="O1255" s="11"/>
    </row>
    <row r="1256" spans="14:15">
      <c r="N1256" s="11"/>
      <c r="O1256" s="11"/>
    </row>
    <row r="1257" spans="14:15">
      <c r="N1257" s="11"/>
      <c r="O1257" s="11"/>
    </row>
    <row r="1258" spans="14:15">
      <c r="N1258" s="11"/>
      <c r="O1258" s="11"/>
    </row>
    <row r="1259" spans="14:15">
      <c r="N1259" s="11"/>
      <c r="O1259" s="11"/>
    </row>
    <row r="1260" spans="14:15">
      <c r="N1260" s="11"/>
      <c r="O1260" s="11"/>
    </row>
    <row r="1261" spans="14:15">
      <c r="N1261" s="11"/>
      <c r="O1261" s="11"/>
    </row>
    <row r="1262" spans="14:15">
      <c r="N1262" s="11"/>
      <c r="O1262" s="11"/>
    </row>
    <row r="1263" spans="14:15">
      <c r="N1263" s="11"/>
      <c r="O1263" s="11"/>
    </row>
    <row r="1264" spans="14:15">
      <c r="N1264" s="11"/>
      <c r="O1264" s="11"/>
    </row>
    <row r="1265" spans="14:15">
      <c r="N1265" s="11"/>
      <c r="O1265" s="11"/>
    </row>
    <row r="1266" spans="14:15">
      <c r="N1266" s="11"/>
      <c r="O1266" s="11"/>
    </row>
    <row r="1267" spans="14:15">
      <c r="N1267" s="11"/>
      <c r="O1267" s="11"/>
    </row>
    <row r="1268" spans="14:15">
      <c r="N1268" s="11"/>
      <c r="O1268" s="11"/>
    </row>
    <row r="1269" spans="14:15">
      <c r="N1269" s="11"/>
      <c r="O1269" s="11"/>
    </row>
    <row r="1270" spans="14:15">
      <c r="N1270" s="11"/>
      <c r="O1270" s="11"/>
    </row>
    <row r="1271" spans="14:15">
      <c r="N1271" s="11"/>
      <c r="O1271" s="11"/>
    </row>
    <row r="1272" spans="14:15">
      <c r="N1272" s="11"/>
      <c r="O1272" s="11"/>
    </row>
    <row r="1273" spans="14:15">
      <c r="N1273" s="11"/>
      <c r="O1273" s="11"/>
    </row>
    <row r="1274" spans="14:15">
      <c r="N1274" s="11"/>
      <c r="O1274" s="11"/>
    </row>
    <row r="1275" spans="14:15">
      <c r="N1275" s="11"/>
      <c r="O1275" s="11"/>
    </row>
    <row r="1276" spans="14:15">
      <c r="N1276" s="11"/>
      <c r="O1276" s="11"/>
    </row>
    <row r="1277" spans="14:15">
      <c r="N1277" s="11"/>
      <c r="O1277" s="11"/>
    </row>
    <row r="1278" spans="14:15">
      <c r="N1278" s="11"/>
      <c r="O1278" s="11"/>
    </row>
    <row r="1279" spans="14:15">
      <c r="N1279" s="11"/>
      <c r="O1279" s="11"/>
    </row>
    <row r="1280" spans="14:15">
      <c r="N1280" s="11"/>
      <c r="O1280" s="11"/>
    </row>
    <row r="1281" spans="14:15">
      <c r="N1281" s="11"/>
      <c r="O1281" s="11"/>
    </row>
    <row r="1282" spans="14:15">
      <c r="N1282" s="11"/>
      <c r="O1282" s="11"/>
    </row>
    <row r="1283" spans="14:15">
      <c r="N1283" s="11"/>
      <c r="O1283" s="11"/>
    </row>
    <row r="1284" spans="14:15">
      <c r="N1284" s="11"/>
      <c r="O1284" s="11"/>
    </row>
    <row r="1285" spans="14:15">
      <c r="N1285" s="11"/>
      <c r="O1285" s="11"/>
    </row>
    <row r="1286" spans="14:15">
      <c r="N1286" s="11"/>
      <c r="O1286" s="11"/>
    </row>
    <row r="1287" spans="14:15">
      <c r="N1287" s="11"/>
      <c r="O1287" s="11"/>
    </row>
    <row r="1288" spans="14:15">
      <c r="N1288" s="11"/>
      <c r="O1288" s="11"/>
    </row>
    <row r="1289" spans="14:15">
      <c r="N1289" s="11"/>
      <c r="O1289" s="11"/>
    </row>
    <row r="1290" spans="14:15">
      <c r="N1290" s="11"/>
      <c r="O1290" s="11"/>
    </row>
    <row r="1291" spans="14:15">
      <c r="N1291" s="11"/>
      <c r="O1291" s="11"/>
    </row>
    <row r="1292" spans="14:15">
      <c r="N1292" s="11"/>
      <c r="O1292" s="11"/>
    </row>
    <row r="1293" spans="14:15">
      <c r="N1293" s="11"/>
      <c r="O1293" s="11"/>
    </row>
    <row r="1294" spans="14:15">
      <c r="N1294" s="11"/>
      <c r="O1294" s="11"/>
    </row>
    <row r="1295" spans="14:15">
      <c r="N1295" s="11"/>
      <c r="O1295" s="11"/>
    </row>
    <row r="1296" spans="2:27"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11"/>
      <c r="O1296" s="11"/>
      <c r="P1296" s="23"/>
      <c r="Q1296" s="23"/>
      <c r="R1296" s="23"/>
      <c r="S1296" s="23"/>
      <c r="T1296" s="23"/>
      <c r="U1296" s="23"/>
      <c r="V1296" s="23"/>
      <c r="W1296" s="23"/>
      <c r="X1296" s="24"/>
      <c r="Z1296" s="24"/>
      <c r="AA1296" s="23"/>
    </row>
    <row r="1297" spans="14:15">
      <c r="N1297" s="11"/>
      <c r="O1297" s="11"/>
    </row>
    <row r="1298" spans="14:15">
      <c r="N1298" s="11"/>
      <c r="O1298" s="11"/>
    </row>
    <row r="1299" spans="14:15">
      <c r="N1299" s="11"/>
      <c r="O1299" s="11"/>
    </row>
    <row r="1300" spans="14:15">
      <c r="N1300" s="11"/>
      <c r="O1300" s="11"/>
    </row>
    <row r="1301" spans="14:15">
      <c r="N1301" s="11"/>
      <c r="O1301" s="11"/>
    </row>
    <row r="1302" spans="14:15">
      <c r="N1302" s="11"/>
      <c r="O1302" s="11"/>
    </row>
    <row r="1303" spans="14:15">
      <c r="N1303" s="11"/>
      <c r="O1303" s="11"/>
    </row>
    <row r="1304" spans="14:15">
      <c r="N1304" s="11"/>
      <c r="O1304" s="11"/>
    </row>
    <row r="1305" spans="14:15">
      <c r="N1305" s="11"/>
      <c r="O1305" s="11"/>
    </row>
    <row r="1306" spans="14:15">
      <c r="N1306" s="11"/>
      <c r="O1306" s="11"/>
    </row>
    <row r="1307" spans="14:15">
      <c r="N1307" s="11"/>
      <c r="O1307" s="11"/>
    </row>
    <row r="1308" spans="14:15">
      <c r="N1308" s="11"/>
      <c r="O1308" s="11"/>
    </row>
    <row r="1309" spans="14:15">
      <c r="N1309" s="11"/>
      <c r="O1309" s="11"/>
    </row>
    <row r="1310" spans="14:15">
      <c r="N1310" s="11"/>
      <c r="O1310" s="11"/>
    </row>
    <row r="1311" spans="14:15">
      <c r="N1311" s="11"/>
      <c r="O1311" s="11"/>
    </row>
    <row r="1312" spans="14:15">
      <c r="N1312" s="11"/>
      <c r="O1312" s="11"/>
    </row>
    <row r="1313" spans="14:15">
      <c r="N1313" s="11"/>
      <c r="O1313" s="11"/>
    </row>
    <row r="1314" spans="14:15">
      <c r="N1314" s="11"/>
      <c r="O1314" s="11"/>
    </row>
    <row r="1315" spans="14:15">
      <c r="N1315" s="11"/>
      <c r="O1315" s="11"/>
    </row>
    <row r="1316" spans="14:15">
      <c r="N1316" s="11"/>
      <c r="O1316" s="11"/>
    </row>
    <row r="1317" spans="14:15">
      <c r="N1317" s="11"/>
      <c r="O1317" s="11"/>
    </row>
    <row r="1318" spans="14:15">
      <c r="N1318" s="11"/>
      <c r="O1318" s="11"/>
    </row>
    <row r="1319" spans="14:15">
      <c r="N1319" s="11"/>
      <c r="O1319" s="11"/>
    </row>
    <row r="1320" spans="14:15">
      <c r="N1320" s="11"/>
      <c r="O1320" s="11"/>
    </row>
    <row r="1321" spans="14:15">
      <c r="N1321" s="11"/>
      <c r="O1321" s="11"/>
    </row>
    <row r="1322" spans="14:15">
      <c r="N1322" s="11"/>
      <c r="O1322" s="11"/>
    </row>
    <row r="1323" spans="14:15">
      <c r="N1323" s="11"/>
      <c r="O1323" s="11"/>
    </row>
    <row r="1324" spans="14:15">
      <c r="N1324" s="11"/>
      <c r="O1324" s="11"/>
    </row>
    <row r="1325" spans="14:15">
      <c r="N1325" s="11"/>
      <c r="O1325" s="11"/>
    </row>
    <row r="1326" spans="14:15">
      <c r="N1326" s="11"/>
      <c r="O1326" s="11"/>
    </row>
    <row r="1327" spans="14:15">
      <c r="N1327" s="11"/>
      <c r="O1327" s="11"/>
    </row>
    <row r="1328" spans="14:15">
      <c r="N1328" s="11"/>
      <c r="O1328" s="11"/>
    </row>
    <row r="1329" spans="14:15">
      <c r="N1329" s="11"/>
      <c r="O1329" s="11"/>
    </row>
    <row r="1330" spans="14:15">
      <c r="N1330" s="11"/>
      <c r="O1330" s="11"/>
    </row>
    <row r="1331" spans="14:15">
      <c r="N1331" s="11"/>
      <c r="O1331" s="11"/>
    </row>
    <row r="1332" spans="14:15">
      <c r="N1332" s="11"/>
      <c r="O1332" s="11"/>
    </row>
    <row r="1333" spans="14:15">
      <c r="N1333" s="11"/>
      <c r="O1333" s="11"/>
    </row>
    <row r="1334" spans="14:15">
      <c r="N1334" s="11"/>
      <c r="O1334" s="11"/>
    </row>
    <row r="1335" spans="14:15">
      <c r="N1335" s="11"/>
      <c r="O1335" s="11"/>
    </row>
    <row r="1336" spans="14:15">
      <c r="N1336" s="11"/>
      <c r="O1336" s="11"/>
    </row>
    <row r="1337" spans="14:15">
      <c r="N1337" s="11"/>
      <c r="O1337" s="11"/>
    </row>
    <row r="1338" spans="14:15">
      <c r="N1338" s="11"/>
      <c r="O1338" s="11"/>
    </row>
    <row r="1339" spans="14:15">
      <c r="N1339" s="11"/>
      <c r="O1339" s="11"/>
    </row>
    <row r="1340" spans="14:15">
      <c r="N1340" s="11"/>
      <c r="O1340" s="11"/>
    </row>
    <row r="1341" spans="14:15">
      <c r="N1341" s="11"/>
      <c r="O1341" s="11"/>
    </row>
    <row r="1342" spans="14:15">
      <c r="N1342" s="11"/>
      <c r="O1342" s="11"/>
    </row>
    <row r="1343" spans="14:15">
      <c r="N1343" s="11"/>
      <c r="O1343" s="11"/>
    </row>
    <row r="1344" spans="14:15">
      <c r="N1344" s="11"/>
      <c r="O1344" s="11"/>
    </row>
    <row r="1345" spans="14:15">
      <c r="N1345" s="11"/>
      <c r="O1345" s="11"/>
    </row>
    <row r="1346" spans="14:15">
      <c r="N1346" s="11"/>
      <c r="O1346" s="11"/>
    </row>
    <row r="1347" spans="14:15">
      <c r="N1347" s="11"/>
      <c r="O1347" s="11"/>
    </row>
    <row r="1348" spans="14:15">
      <c r="N1348" s="11"/>
      <c r="O1348" s="11"/>
    </row>
    <row r="1349" spans="14:15">
      <c r="N1349" s="11"/>
      <c r="O1349" s="11"/>
    </row>
    <row r="1350" spans="14:15">
      <c r="N1350" s="11"/>
      <c r="O1350" s="11"/>
    </row>
    <row r="1351" spans="14:15">
      <c r="N1351" s="11"/>
      <c r="O1351" s="11"/>
    </row>
    <row r="1352" spans="14:15">
      <c r="N1352" s="11"/>
      <c r="O1352" s="11"/>
    </row>
    <row r="1353" spans="14:15">
      <c r="N1353" s="11"/>
      <c r="O1353" s="11"/>
    </row>
    <row r="1354" spans="14:15">
      <c r="N1354" s="11"/>
      <c r="O1354" s="11"/>
    </row>
    <row r="1355" spans="14:15">
      <c r="N1355" s="11"/>
      <c r="O1355" s="11"/>
    </row>
    <row r="1356" spans="14:15">
      <c r="N1356" s="11"/>
      <c r="O1356" s="11"/>
    </row>
    <row r="1357" spans="14:15">
      <c r="N1357" s="11"/>
      <c r="O1357" s="11"/>
    </row>
    <row r="1358" spans="14:15">
      <c r="N1358" s="11"/>
      <c r="O1358" s="11"/>
    </row>
    <row r="1359" spans="14:15">
      <c r="N1359" s="11"/>
      <c r="O1359" s="11"/>
    </row>
    <row r="1360" spans="14:15">
      <c r="N1360" s="11"/>
      <c r="O1360" s="11"/>
    </row>
    <row r="1361" spans="14:15">
      <c r="N1361" s="11"/>
      <c r="O1361" s="11"/>
    </row>
    <row r="1362" spans="14:15">
      <c r="N1362" s="11"/>
      <c r="O1362" s="11"/>
    </row>
    <row r="1363" spans="14:15">
      <c r="N1363" s="11"/>
      <c r="O1363" s="11"/>
    </row>
    <row r="1364" spans="14:15">
      <c r="N1364" s="11"/>
      <c r="O1364" s="11"/>
    </row>
    <row r="1365" spans="14:15">
      <c r="N1365" s="11"/>
      <c r="O1365" s="11"/>
    </row>
    <row r="1366" spans="14:15">
      <c r="N1366" s="11"/>
      <c r="O1366" s="11"/>
    </row>
    <row r="1367" spans="14:15">
      <c r="N1367" s="11"/>
      <c r="O1367" s="11"/>
    </row>
    <row r="1368" spans="14:15">
      <c r="N1368" s="11"/>
      <c r="O1368" s="11"/>
    </row>
    <row r="1369" spans="14:15">
      <c r="N1369" s="11"/>
      <c r="O1369" s="11"/>
    </row>
    <row r="1370" spans="14:15">
      <c r="N1370" s="11"/>
      <c r="O1370" s="11"/>
    </row>
    <row r="1371" spans="14:15">
      <c r="N1371" s="11"/>
      <c r="O1371" s="11"/>
    </row>
    <row r="1372" spans="14:15">
      <c r="N1372" s="11"/>
      <c r="O1372" s="11"/>
    </row>
    <row r="1373" spans="14:15">
      <c r="N1373" s="11"/>
      <c r="O1373" s="11"/>
    </row>
    <row r="1374" spans="14:15">
      <c r="N1374" s="11"/>
      <c r="O1374" s="11"/>
    </row>
    <row r="1375" spans="14:15">
      <c r="N1375" s="11"/>
      <c r="O1375" s="11"/>
    </row>
    <row r="1376" spans="14:15">
      <c r="N1376" s="11"/>
      <c r="O1376" s="11"/>
    </row>
    <row r="1377" spans="14:15">
      <c r="N1377" s="11"/>
      <c r="O1377" s="11"/>
    </row>
    <row r="1378" spans="14:15">
      <c r="N1378" s="11"/>
      <c r="O1378" s="11"/>
    </row>
    <row r="1379" spans="14:15">
      <c r="N1379" s="11"/>
      <c r="O1379" s="11"/>
    </row>
    <row r="1380" spans="14:15">
      <c r="N1380" s="11"/>
      <c r="O1380" s="11"/>
    </row>
    <row r="1381" spans="14:15">
      <c r="N1381" s="11"/>
      <c r="O1381" s="11"/>
    </row>
    <row r="1382" spans="14:15">
      <c r="N1382" s="11"/>
      <c r="O1382" s="11"/>
    </row>
    <row r="1383" spans="14:15">
      <c r="N1383" s="11"/>
      <c r="O1383" s="11"/>
    </row>
    <row r="1384" spans="14:15">
      <c r="N1384" s="11"/>
      <c r="O1384" s="11"/>
    </row>
    <row r="1385" spans="14:15">
      <c r="N1385" s="11"/>
      <c r="O1385" s="11"/>
    </row>
    <row r="1386" spans="14:15">
      <c r="N1386" s="11"/>
      <c r="O1386" s="11"/>
    </row>
    <row r="1387" spans="14:15">
      <c r="N1387" s="11"/>
      <c r="O1387" s="11"/>
    </row>
    <row r="1388" spans="14:15">
      <c r="N1388" s="11"/>
      <c r="O1388" s="11"/>
    </row>
    <row r="1389" spans="14:15">
      <c r="N1389" s="11"/>
      <c r="O1389" s="11"/>
    </row>
    <row r="1390" spans="14:15">
      <c r="N1390" s="11"/>
      <c r="O1390" s="11"/>
    </row>
    <row r="1391" spans="14:15">
      <c r="N1391" s="11"/>
      <c r="O1391" s="11"/>
    </row>
    <row r="1392" spans="14:15">
      <c r="N1392" s="11"/>
      <c r="O1392" s="11"/>
    </row>
    <row r="1393" spans="14:15">
      <c r="N1393" s="11"/>
      <c r="O1393" s="11"/>
    </row>
    <row r="1394" spans="14:15">
      <c r="N1394" s="11"/>
      <c r="O1394" s="11"/>
    </row>
    <row r="1395" spans="14:15">
      <c r="N1395" s="11"/>
      <c r="O1395" s="11"/>
    </row>
    <row r="1396" spans="14:15">
      <c r="N1396" s="11"/>
      <c r="O1396" s="11"/>
    </row>
    <row r="1397" spans="14:15">
      <c r="N1397" s="11"/>
      <c r="O1397" s="11"/>
    </row>
    <row r="1398" spans="14:15">
      <c r="N1398" s="11"/>
      <c r="O1398" s="11"/>
    </row>
    <row r="1399" spans="14:15">
      <c r="N1399" s="11"/>
      <c r="O1399" s="11"/>
    </row>
    <row r="1400" spans="14:15">
      <c r="N1400" s="11"/>
      <c r="O1400" s="11"/>
    </row>
    <row r="1401" spans="14:15">
      <c r="N1401" s="11"/>
      <c r="O1401" s="11"/>
    </row>
    <row r="1402" spans="14:15">
      <c r="N1402" s="11"/>
      <c r="O1402" s="11"/>
    </row>
    <row r="1403" spans="14:15">
      <c r="N1403" s="11"/>
      <c r="O1403" s="11"/>
    </row>
    <row r="1404" spans="14:15">
      <c r="N1404" s="11"/>
      <c r="O1404" s="11"/>
    </row>
    <row r="1405" spans="14:15">
      <c r="N1405" s="11"/>
      <c r="O1405" s="11"/>
    </row>
    <row r="1406" spans="14:15">
      <c r="N1406" s="11"/>
      <c r="O1406" s="11"/>
    </row>
    <row r="1407" spans="14:15">
      <c r="N1407" s="11"/>
      <c r="O1407" s="11"/>
    </row>
    <row r="1408" spans="14:15">
      <c r="N1408" s="11"/>
      <c r="O1408" s="11"/>
    </row>
    <row r="1409" spans="14:15">
      <c r="N1409" s="11"/>
      <c r="O1409" s="11"/>
    </row>
    <row r="1410" spans="14:15">
      <c r="N1410" s="11"/>
      <c r="O1410" s="11"/>
    </row>
    <row r="1411" spans="14:15">
      <c r="N1411" s="11"/>
      <c r="O1411" s="11"/>
    </row>
    <row r="1412" spans="14:15">
      <c r="N1412" s="11"/>
      <c r="O1412" s="11"/>
    </row>
    <row r="1413" spans="14:15">
      <c r="N1413" s="11"/>
      <c r="O1413" s="11"/>
    </row>
    <row r="1414" spans="14:15">
      <c r="N1414" s="11"/>
      <c r="O1414" s="11"/>
    </row>
    <row r="1415" spans="14:15">
      <c r="N1415" s="11"/>
      <c r="O1415" s="11"/>
    </row>
    <row r="1416" spans="14:15">
      <c r="N1416" s="11"/>
      <c r="O1416" s="11"/>
    </row>
    <row r="1417" spans="14:15">
      <c r="N1417" s="11"/>
      <c r="O1417" s="11"/>
    </row>
    <row r="1418" spans="14:15">
      <c r="N1418" s="11"/>
      <c r="O1418" s="11"/>
    </row>
    <row r="1419" spans="14:15">
      <c r="N1419" s="11"/>
      <c r="O1419" s="11"/>
    </row>
    <row r="1420" spans="14:15">
      <c r="N1420" s="11"/>
      <c r="O1420" s="11"/>
    </row>
    <row r="1421" spans="14:15">
      <c r="N1421" s="11"/>
      <c r="O1421" s="11"/>
    </row>
    <row r="1422" spans="14:15">
      <c r="N1422" s="11"/>
      <c r="O1422" s="11"/>
    </row>
    <row r="1423" spans="14:15">
      <c r="N1423" s="11"/>
      <c r="O1423" s="11"/>
    </row>
    <row r="1424" spans="14:15">
      <c r="N1424" s="11"/>
      <c r="O1424" s="11"/>
    </row>
    <row r="1425" spans="14:15">
      <c r="N1425" s="11"/>
      <c r="O1425" s="11"/>
    </row>
    <row r="1426" spans="14:15">
      <c r="N1426" s="11"/>
      <c r="O1426" s="11"/>
    </row>
    <row r="1427" spans="14:15">
      <c r="N1427" s="11"/>
      <c r="O1427" s="11"/>
    </row>
    <row r="1428" spans="14:15">
      <c r="N1428" s="11"/>
      <c r="O1428" s="11"/>
    </row>
    <row r="1429" spans="14:15">
      <c r="N1429" s="11"/>
      <c r="O1429" s="11"/>
    </row>
    <row r="1430" spans="14:15">
      <c r="N1430" s="11"/>
      <c r="O1430" s="11"/>
    </row>
    <row r="1431" spans="14:15">
      <c r="N1431" s="11"/>
      <c r="O1431" s="11"/>
    </row>
    <row r="1432" spans="14:15">
      <c r="N1432" s="11"/>
      <c r="O1432" s="11"/>
    </row>
    <row r="1433" spans="14:15">
      <c r="N1433" s="11"/>
      <c r="O1433" s="11"/>
    </row>
    <row r="1434" spans="14:15">
      <c r="N1434" s="11"/>
      <c r="O1434" s="11"/>
    </row>
    <row r="1435" spans="14:15">
      <c r="N1435" s="11"/>
      <c r="O1435" s="11"/>
    </row>
    <row r="1436" spans="14:15">
      <c r="N1436" s="11"/>
      <c r="O1436" s="11"/>
    </row>
    <row r="1437" spans="14:15">
      <c r="N1437" s="11"/>
      <c r="O1437" s="11"/>
    </row>
    <row r="1438" spans="14:15">
      <c r="N1438" s="11"/>
      <c r="O1438" s="11"/>
    </row>
    <row r="1439" spans="14:15">
      <c r="N1439" s="11"/>
      <c r="O1439" s="11"/>
    </row>
    <row r="1440" spans="14:15">
      <c r="N1440" s="11"/>
      <c r="O1440" s="11"/>
    </row>
    <row r="1441" spans="14:15">
      <c r="N1441" s="11"/>
      <c r="O1441" s="11"/>
    </row>
    <row r="1442" spans="14:15">
      <c r="N1442" s="11"/>
      <c r="O1442" s="11"/>
    </row>
    <row r="1443" spans="14:15">
      <c r="N1443" s="11"/>
      <c r="O1443" s="11"/>
    </row>
    <row r="1444" spans="14:15">
      <c r="N1444" s="11"/>
      <c r="O1444" s="11"/>
    </row>
    <row r="1445" spans="14:15">
      <c r="N1445" s="11"/>
      <c r="O1445" s="11"/>
    </row>
    <row r="1446" spans="14:15">
      <c r="N1446" s="11"/>
      <c r="O1446" s="11"/>
    </row>
    <row r="1447" spans="14:15">
      <c r="N1447" s="11"/>
      <c r="O1447" s="11"/>
    </row>
    <row r="1448" spans="14:15">
      <c r="N1448" s="11"/>
      <c r="O1448" s="11"/>
    </row>
    <row r="1449" spans="14:15">
      <c r="N1449" s="11"/>
      <c r="O1449" s="11"/>
    </row>
    <row r="1450" spans="14:15">
      <c r="N1450" s="11"/>
      <c r="O1450" s="11"/>
    </row>
    <row r="1451" spans="14:15">
      <c r="N1451" s="11"/>
      <c r="O1451" s="11"/>
    </row>
    <row r="1452" spans="14:15">
      <c r="N1452" s="11"/>
      <c r="O1452" s="11"/>
    </row>
    <row r="1453" spans="14:15">
      <c r="N1453" s="11"/>
      <c r="O1453" s="11"/>
    </row>
    <row r="1454" spans="14:15">
      <c r="N1454" s="11"/>
      <c r="O1454" s="11"/>
    </row>
    <row r="1455" spans="14:15">
      <c r="N1455" s="11"/>
      <c r="O1455" s="11"/>
    </row>
    <row r="1456" spans="14:15">
      <c r="N1456" s="11"/>
      <c r="O1456" s="11"/>
    </row>
    <row r="1457" spans="14:15">
      <c r="N1457" s="11"/>
      <c r="O1457" s="11"/>
    </row>
    <row r="1458" spans="14:15">
      <c r="N1458" s="11"/>
      <c r="O1458" s="11"/>
    </row>
    <row r="1459" spans="14:15">
      <c r="N1459" s="11"/>
      <c r="O1459" s="11"/>
    </row>
    <row r="1460" spans="14:15">
      <c r="N1460" s="11"/>
      <c r="O1460" s="11"/>
    </row>
    <row r="1461" spans="14:15">
      <c r="N1461" s="11"/>
      <c r="O1461" s="11"/>
    </row>
    <row r="1462" spans="14:15">
      <c r="N1462" s="11"/>
      <c r="O1462" s="11"/>
    </row>
    <row r="1463" spans="14:15">
      <c r="N1463" s="11"/>
      <c r="O1463" s="11"/>
    </row>
    <row r="1464" spans="14:15">
      <c r="N1464" s="11"/>
      <c r="O1464" s="11"/>
    </row>
    <row r="1465" spans="14:15">
      <c r="N1465" s="11"/>
      <c r="O1465" s="11"/>
    </row>
    <row r="1466" spans="14:15">
      <c r="N1466" s="11"/>
      <c r="O1466" s="11"/>
    </row>
    <row r="1467" spans="14:15">
      <c r="N1467" s="11"/>
      <c r="O1467" s="11"/>
    </row>
    <row r="1468" spans="14:15">
      <c r="N1468" s="11"/>
      <c r="O1468" s="11"/>
    </row>
    <row r="1469" spans="14:15">
      <c r="N1469" s="11"/>
      <c r="O1469" s="11"/>
    </row>
    <row r="1470" spans="14:15">
      <c r="N1470" s="11"/>
      <c r="O1470" s="11"/>
    </row>
    <row r="1471" spans="14:15">
      <c r="N1471" s="11"/>
      <c r="O1471" s="11"/>
    </row>
    <row r="1472" spans="14:15">
      <c r="N1472" s="11"/>
      <c r="O1472" s="11"/>
    </row>
    <row r="1473" spans="14:15">
      <c r="N1473" s="11"/>
      <c r="O1473" s="11"/>
    </row>
    <row r="1474" spans="14:15">
      <c r="N1474" s="11"/>
      <c r="O1474" s="11"/>
    </row>
    <row r="1475" spans="14:15">
      <c r="N1475" s="11"/>
      <c r="O1475" s="11"/>
    </row>
    <row r="1476" spans="14:15">
      <c r="N1476" s="11"/>
      <c r="O1476" s="11"/>
    </row>
    <row r="1477" spans="14:15">
      <c r="N1477" s="11"/>
      <c r="O1477" s="11"/>
    </row>
    <row r="1478" spans="14:15">
      <c r="N1478" s="11"/>
      <c r="O1478" s="11"/>
    </row>
    <row r="1479" spans="14:15">
      <c r="N1479" s="11"/>
      <c r="O1479" s="11"/>
    </row>
    <row r="1480" spans="14:15">
      <c r="N1480" s="11"/>
      <c r="O1480" s="11"/>
    </row>
    <row r="1481" spans="14:15">
      <c r="N1481" s="11"/>
      <c r="O1481" s="11"/>
    </row>
    <row r="1482" spans="14:15">
      <c r="N1482" s="11"/>
      <c r="O1482" s="11"/>
    </row>
    <row r="1483" spans="14:15">
      <c r="N1483" s="11"/>
      <c r="O1483" s="11"/>
    </row>
    <row r="1484" spans="14:15">
      <c r="N1484" s="11"/>
      <c r="O1484" s="11"/>
    </row>
    <row r="1485" spans="14:15">
      <c r="N1485" s="11"/>
      <c r="O1485" s="11"/>
    </row>
    <row r="1486" spans="14:15">
      <c r="N1486" s="11"/>
      <c r="O1486" s="11"/>
    </row>
    <row r="1487" spans="14:15">
      <c r="N1487" s="11"/>
      <c r="O1487" s="11"/>
    </row>
    <row r="1488" spans="14:15">
      <c r="N1488" s="11"/>
      <c r="O1488" s="11"/>
    </row>
    <row r="1489" spans="14:15">
      <c r="N1489" s="11"/>
      <c r="O1489" s="11"/>
    </row>
    <row r="1490" spans="14:15">
      <c r="N1490" s="11"/>
      <c r="O1490" s="11"/>
    </row>
    <row r="1491" spans="14:15">
      <c r="N1491" s="11"/>
      <c r="O1491" s="11"/>
    </row>
    <row r="1492" spans="14:15">
      <c r="N1492" s="11"/>
      <c r="O1492" s="11"/>
    </row>
    <row r="1493" ht="14.25" spans="6:25">
      <c r="F1493" s="25"/>
      <c r="G1493" s="25"/>
      <c r="H1493" s="25"/>
      <c r="I1493" s="25"/>
      <c r="J1493" s="25"/>
      <c r="K1493" s="25"/>
      <c r="L1493" s="25"/>
      <c r="M1493" s="25"/>
      <c r="N1493" s="25"/>
      <c r="O1493" s="25"/>
      <c r="P1493" s="25"/>
      <c r="Q1493" s="25"/>
      <c r="R1493" s="25"/>
      <c r="S1493" s="25"/>
      <c r="T1493" s="25"/>
      <c r="U1493" s="25"/>
      <c r="V1493" s="25"/>
      <c r="W1493" s="25"/>
      <c r="Y1493" s="25"/>
    </row>
  </sheetData>
  <sortState ref="A3:AA665">
    <sortCondition ref="AA4"/>
  </sortState>
  <mergeCells count="1">
    <mergeCell ref="A1:AA1"/>
  </mergeCells>
  <conditionalFormatting sqref="D3:D665">
    <cfRule type="duplicateValues" dxfId="0" priority="1"/>
  </conditionalFormatting>
  <printOptions horizontalCentered="1"/>
  <pageMargins left="0.554166666666667" right="0.554166666666667" top="0.605555555555556" bottom="0.605555555555556" header="0.511805555555556" footer="0.511805555555556"/>
  <pageSetup paperSize="9" scale="87" orientation="portrait"/>
  <headerFooter/>
  <rowBreaks count="2" manualBreakCount="2">
    <brk id="62" max="16383" man="1"/>
    <brk id="121" max="16383" man="1"/>
  </rowBreaks>
  <colBreaks count="1" manualBreakCount="1">
    <brk id="27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040"/>
  <sheetViews>
    <sheetView view="pageBreakPreview" zoomScaleNormal="100" workbookViewId="0">
      <selection activeCell="AD21" sqref="AD21"/>
    </sheetView>
  </sheetViews>
  <sheetFormatPr defaultColWidth="9" defaultRowHeight="13.5"/>
  <cols>
    <col min="1" max="1" width="5.375" style="9" customWidth="1"/>
    <col min="2" max="3" width="5.125" style="9" customWidth="1"/>
    <col min="4" max="4" width="5.375" style="10" customWidth="1"/>
    <col min="5" max="5" width="8.875" style="9" customWidth="1"/>
    <col min="6" max="23" width="5.125" style="9" customWidth="1"/>
    <col min="24" max="24" width="7" style="11" customWidth="1"/>
    <col min="25" max="25" width="6.5" style="9" customWidth="1"/>
    <col min="26" max="26" width="6.5" style="11" customWidth="1"/>
    <col min="27" max="27" width="6.125" style="9" customWidth="1"/>
    <col min="28" max="16384" width="9" style="12"/>
  </cols>
  <sheetData>
    <row r="1" ht="20.25" spans="1:27">
      <c r="A1" s="7" t="s">
        <v>1851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18"/>
      <c r="Y1" s="7"/>
      <c r="Z1" s="18"/>
      <c r="AA1" s="7"/>
    </row>
    <row r="2" spans="1:27">
      <c r="A2" s="13" t="s">
        <v>0</v>
      </c>
      <c r="B2" s="13" t="s">
        <v>1</v>
      </c>
      <c r="C2" s="13" t="s">
        <v>2</v>
      </c>
      <c r="D2" s="14" t="s">
        <v>3</v>
      </c>
      <c r="E2" s="14" t="s">
        <v>4</v>
      </c>
      <c r="F2" s="9" t="s">
        <v>5</v>
      </c>
      <c r="G2" s="9" t="s">
        <v>1837</v>
      </c>
      <c r="H2" s="9" t="s">
        <v>6</v>
      </c>
      <c r="I2" s="9" t="s">
        <v>1838</v>
      </c>
      <c r="J2" s="9" t="s">
        <v>7</v>
      </c>
      <c r="K2" s="9" t="s">
        <v>1839</v>
      </c>
      <c r="L2" s="9" t="s">
        <v>8</v>
      </c>
      <c r="M2" s="9" t="s">
        <v>1840</v>
      </c>
      <c r="N2" s="11" t="s">
        <v>9</v>
      </c>
      <c r="O2" s="11" t="s">
        <v>1841</v>
      </c>
      <c r="P2" s="9" t="s">
        <v>10</v>
      </c>
      <c r="Q2" s="9" t="s">
        <v>1842</v>
      </c>
      <c r="R2" s="9" t="s">
        <v>11</v>
      </c>
      <c r="S2" s="9" t="s">
        <v>1843</v>
      </c>
      <c r="T2" s="9" t="s">
        <v>12</v>
      </c>
      <c r="U2" s="9" t="s">
        <v>1844</v>
      </c>
      <c r="V2" s="9" t="s">
        <v>13</v>
      </c>
      <c r="W2" s="9" t="s">
        <v>1845</v>
      </c>
      <c r="X2" s="11" t="s">
        <v>14</v>
      </c>
      <c r="Y2" s="9" t="s">
        <v>1846</v>
      </c>
      <c r="Z2" s="11" t="s">
        <v>15</v>
      </c>
      <c r="AA2" s="9" t="s">
        <v>1847</v>
      </c>
    </row>
    <row r="3" ht="14.25" spans="1:27">
      <c r="A3" s="13">
        <v>752</v>
      </c>
      <c r="B3" s="15">
        <v>16</v>
      </c>
      <c r="C3" s="16">
        <v>7</v>
      </c>
      <c r="D3" s="15" t="s">
        <v>1504</v>
      </c>
      <c r="E3" s="15" t="s">
        <v>1505</v>
      </c>
      <c r="F3" s="174">
        <f>VLOOKUP(D3,原始分!$D:$N,3,0)</f>
        <v>114.5</v>
      </c>
      <c r="G3" s="174">
        <f t="shared" ref="G3:G66" si="0">RANK(F3,$F$3:$F$208)</f>
        <v>8</v>
      </c>
      <c r="H3" s="174">
        <f>VLOOKUP(D3,原始分!$D:$N,4,0)</f>
        <v>130</v>
      </c>
      <c r="I3" s="174">
        <f t="shared" ref="I3:I66" si="1">RANK(H3,$H$3:$H$208)</f>
        <v>1</v>
      </c>
      <c r="J3" s="174">
        <f>VLOOKUP(D3,原始分!$D:$N,5,0)</f>
        <v>122.25</v>
      </c>
      <c r="K3" s="174">
        <f t="shared" ref="K3:K66" si="2">RANK(J3,$J$3:$J$208)</f>
        <v>15</v>
      </c>
      <c r="L3" s="174">
        <f>VLOOKUP(D3,原始分!$D:$N,6,0)</f>
        <v>0</v>
      </c>
      <c r="M3" s="174">
        <f t="shared" ref="M3:M66" si="3">RANK(L3,$L$3:$L$270)</f>
        <v>1</v>
      </c>
      <c r="N3" s="174">
        <f>VLOOKUP(D3,原始分!$D:$N,7,0)</f>
        <v>64</v>
      </c>
      <c r="O3" s="174">
        <f t="shared" ref="O3:O66" si="4">RANK(N3,$N$3:$N$270)</f>
        <v>37</v>
      </c>
      <c r="P3" s="174">
        <f>VLOOKUP(D3,原始分!$D:$N,8,0)</f>
        <v>0</v>
      </c>
      <c r="Q3" s="174">
        <f t="shared" ref="Q3:Q66" si="5">RANK(P3,$P$3:$P$270)</f>
        <v>3</v>
      </c>
      <c r="R3" s="174">
        <f>VLOOKUP(D3,原始分!$D:$N,9,0)</f>
        <v>0</v>
      </c>
      <c r="S3" s="174">
        <f t="shared" ref="S3:S66" si="6">RANK(R3,$R$3:$R$270)</f>
        <v>103</v>
      </c>
      <c r="T3" s="174">
        <f>VLOOKUP(D3,原始分!$D:$N,10,0)</f>
        <v>77</v>
      </c>
      <c r="U3" s="174">
        <f t="shared" ref="U3:U66" si="7">RANK(T3,$T$3:$T$270)</f>
        <v>2</v>
      </c>
      <c r="V3" s="174">
        <f>VLOOKUP(D3,原始分!$D:$N,11,0)</f>
        <v>69</v>
      </c>
      <c r="W3" s="174">
        <f t="shared" ref="W3:W66" si="8">RANK(V3,$V$3:$V$270)</f>
        <v>2</v>
      </c>
      <c r="X3" s="11">
        <f t="shared" ref="X3:X66" si="9">SUM(F3,H3,J3)</f>
        <v>366.75</v>
      </c>
      <c r="Y3" s="9">
        <f t="shared" ref="Y3:Y66" si="10">RANK(X3,$X$3:$X$270)</f>
        <v>1</v>
      </c>
      <c r="Z3" s="11">
        <f t="shared" ref="Z3:Z66" si="11">SUM(F3,H3,J3,L3,N3,P3,R3,T3,V3)</f>
        <v>576.75</v>
      </c>
      <c r="AA3" s="9">
        <f t="shared" ref="AA3:AA66" si="12">RANK(Z3,$Z$3:$Z$270)</f>
        <v>1</v>
      </c>
    </row>
    <row r="4" ht="14.25" spans="1:27">
      <c r="A4" s="13">
        <v>747</v>
      </c>
      <c r="B4" s="15">
        <v>16</v>
      </c>
      <c r="C4" s="16">
        <v>2</v>
      </c>
      <c r="D4" s="15" t="s">
        <v>1496</v>
      </c>
      <c r="E4" s="15" t="s">
        <v>1497</v>
      </c>
      <c r="F4" s="174">
        <f>VLOOKUP(D4,原始分!$D:$N,3,0)</f>
        <v>107</v>
      </c>
      <c r="G4" s="174">
        <f t="shared" si="0"/>
        <v>50</v>
      </c>
      <c r="H4" s="174">
        <f>VLOOKUP(D4,原始分!$D:$N,4,0)</f>
        <v>124</v>
      </c>
      <c r="I4" s="174">
        <f t="shared" si="1"/>
        <v>4</v>
      </c>
      <c r="J4" s="174">
        <f>VLOOKUP(D4,原始分!$D:$N,5,0)</f>
        <v>135</v>
      </c>
      <c r="K4" s="174">
        <f t="shared" si="2"/>
        <v>1</v>
      </c>
      <c r="L4" s="174">
        <f>VLOOKUP(D4,原始分!$D:$N,6,0)</f>
        <v>0</v>
      </c>
      <c r="M4" s="174">
        <f t="shared" si="3"/>
        <v>1</v>
      </c>
      <c r="N4" s="174">
        <f>VLOOKUP(D4,原始分!$D:$N,7,0)</f>
        <v>58.5</v>
      </c>
      <c r="O4" s="174">
        <f t="shared" si="4"/>
        <v>80</v>
      </c>
      <c r="P4" s="174">
        <f>VLOOKUP(D4,原始分!$D:$N,8,0)</f>
        <v>51</v>
      </c>
      <c r="Q4" s="174">
        <f t="shared" si="5"/>
        <v>1</v>
      </c>
      <c r="R4" s="174">
        <f>VLOOKUP(D4,原始分!$D:$N,9,0)</f>
        <v>0</v>
      </c>
      <c r="S4" s="174">
        <f t="shared" si="6"/>
        <v>103</v>
      </c>
      <c r="T4" s="174">
        <f>VLOOKUP(D4,原始分!$D:$N,10,0)</f>
        <v>0</v>
      </c>
      <c r="U4" s="174">
        <f t="shared" si="7"/>
        <v>205</v>
      </c>
      <c r="V4" s="174">
        <f>VLOOKUP(D4,原始分!$D:$N,11,0)</f>
        <v>72</v>
      </c>
      <c r="W4" s="174">
        <f t="shared" si="8"/>
        <v>1</v>
      </c>
      <c r="X4" s="11">
        <f t="shared" si="9"/>
        <v>366</v>
      </c>
      <c r="Y4" s="9">
        <f t="shared" si="10"/>
        <v>2</v>
      </c>
      <c r="Z4" s="11">
        <f t="shared" si="11"/>
        <v>547.5</v>
      </c>
      <c r="AA4" s="9">
        <f t="shared" si="12"/>
        <v>2</v>
      </c>
    </row>
    <row r="5" ht="14.25" spans="1:27">
      <c r="A5" s="13">
        <v>755</v>
      </c>
      <c r="B5" s="15">
        <v>16</v>
      </c>
      <c r="C5" s="16">
        <v>10</v>
      </c>
      <c r="D5" s="15" t="s">
        <v>1510</v>
      </c>
      <c r="E5" s="15" t="s">
        <v>1511</v>
      </c>
      <c r="F5" s="174">
        <f>VLOOKUP(D5,原始分!$D:$N,3,0)</f>
        <v>99.5</v>
      </c>
      <c r="G5" s="174">
        <f t="shared" si="0"/>
        <v>133</v>
      </c>
      <c r="H5" s="174">
        <f>VLOOKUP(D5,原始分!$D:$N,4,0)</f>
        <v>118.5</v>
      </c>
      <c r="I5" s="174">
        <f t="shared" si="1"/>
        <v>11</v>
      </c>
      <c r="J5" s="174">
        <f>VLOOKUP(D5,原始分!$D:$N,5,0)</f>
        <v>131</v>
      </c>
      <c r="K5" s="174">
        <f t="shared" si="2"/>
        <v>2</v>
      </c>
      <c r="L5" s="174">
        <f>VLOOKUP(D5,原始分!$D:$N,6,0)</f>
        <v>0</v>
      </c>
      <c r="M5" s="174">
        <f t="shared" si="3"/>
        <v>1</v>
      </c>
      <c r="N5" s="174">
        <f>VLOOKUP(D5,原始分!$D:$N,7,0)</f>
        <v>67.5</v>
      </c>
      <c r="O5" s="174">
        <f t="shared" si="4"/>
        <v>17</v>
      </c>
      <c r="P5" s="174">
        <f>VLOOKUP(D5,原始分!$D:$N,8,0)</f>
        <v>0</v>
      </c>
      <c r="Q5" s="174">
        <f t="shared" si="5"/>
        <v>3</v>
      </c>
      <c r="R5" s="174">
        <f>VLOOKUP(D5,原始分!$D:$N,9,0)</f>
        <v>0</v>
      </c>
      <c r="S5" s="174">
        <f t="shared" si="6"/>
        <v>103</v>
      </c>
      <c r="T5" s="174">
        <f>VLOOKUP(D5,原始分!$D:$N,10,0)</f>
        <v>60.5</v>
      </c>
      <c r="U5" s="174">
        <f t="shared" si="7"/>
        <v>77</v>
      </c>
      <c r="V5" s="174">
        <f>VLOOKUP(D5,原始分!$D:$N,11,0)</f>
        <v>62</v>
      </c>
      <c r="W5" s="174">
        <f t="shared" si="8"/>
        <v>6</v>
      </c>
      <c r="X5" s="11">
        <f t="shared" si="9"/>
        <v>349</v>
      </c>
      <c r="Y5" s="9">
        <f t="shared" si="10"/>
        <v>5</v>
      </c>
      <c r="Z5" s="11">
        <f t="shared" si="11"/>
        <v>539</v>
      </c>
      <c r="AA5" s="9">
        <f t="shared" si="12"/>
        <v>3</v>
      </c>
    </row>
    <row r="6" ht="14.25" spans="1:27">
      <c r="A6" s="13">
        <v>771</v>
      </c>
      <c r="B6" s="15">
        <v>16</v>
      </c>
      <c r="C6" s="16">
        <v>27</v>
      </c>
      <c r="D6" s="15" t="s">
        <v>1540</v>
      </c>
      <c r="E6" s="15" t="s">
        <v>1541</v>
      </c>
      <c r="F6" s="174">
        <f>VLOOKUP(D6,原始分!$D:$N,3,0)</f>
        <v>105</v>
      </c>
      <c r="G6" s="174">
        <f t="shared" si="0"/>
        <v>65</v>
      </c>
      <c r="H6" s="174">
        <f>VLOOKUP(D6,原始分!$D:$N,4,0)</f>
        <v>113</v>
      </c>
      <c r="I6" s="174">
        <f t="shared" si="1"/>
        <v>18</v>
      </c>
      <c r="J6" s="174">
        <f>VLOOKUP(D6,原始分!$D:$N,5,0)</f>
        <v>120.5</v>
      </c>
      <c r="K6" s="174">
        <f t="shared" si="2"/>
        <v>20</v>
      </c>
      <c r="L6" s="174">
        <f>VLOOKUP(D6,原始分!$D:$N,6,0)</f>
        <v>0</v>
      </c>
      <c r="M6" s="174">
        <f t="shared" si="3"/>
        <v>1</v>
      </c>
      <c r="N6" s="174">
        <f>VLOOKUP(D6,原始分!$D:$N,7,0)</f>
        <v>66.5</v>
      </c>
      <c r="O6" s="174">
        <f t="shared" si="4"/>
        <v>23</v>
      </c>
      <c r="P6" s="174">
        <f>VLOOKUP(D6,原始分!$D:$N,8,0)</f>
        <v>0</v>
      </c>
      <c r="Q6" s="174">
        <f t="shared" si="5"/>
        <v>3</v>
      </c>
      <c r="R6" s="174">
        <f>VLOOKUP(D6,原始分!$D:$N,9,0)</f>
        <v>67.5</v>
      </c>
      <c r="S6" s="174">
        <f t="shared" si="6"/>
        <v>3</v>
      </c>
      <c r="T6" s="174">
        <f>VLOOKUP(D6,原始分!$D:$N,10,0)</f>
        <v>66.5</v>
      </c>
      <c r="U6" s="174">
        <f t="shared" si="7"/>
        <v>28</v>
      </c>
      <c r="V6" s="174">
        <f>VLOOKUP(D6,原始分!$D:$N,11,0)</f>
        <v>0</v>
      </c>
      <c r="W6" s="174">
        <f t="shared" si="8"/>
        <v>105</v>
      </c>
      <c r="X6" s="11">
        <f t="shared" si="9"/>
        <v>338.5</v>
      </c>
      <c r="Y6" s="9">
        <f t="shared" si="10"/>
        <v>13</v>
      </c>
      <c r="Z6" s="11">
        <f t="shared" si="11"/>
        <v>539</v>
      </c>
      <c r="AA6" s="9">
        <f t="shared" si="12"/>
        <v>3</v>
      </c>
    </row>
    <row r="7" ht="14.25" spans="1:27">
      <c r="A7" s="13">
        <v>777</v>
      </c>
      <c r="B7" s="15">
        <v>16</v>
      </c>
      <c r="C7" s="16">
        <v>34</v>
      </c>
      <c r="D7" s="15" t="s">
        <v>1552</v>
      </c>
      <c r="E7" s="15" t="s">
        <v>1553</v>
      </c>
      <c r="F7" s="174">
        <f>VLOOKUP(D7,原始分!$D:$N,3,0)</f>
        <v>107.5</v>
      </c>
      <c r="G7" s="174">
        <f t="shared" si="0"/>
        <v>40</v>
      </c>
      <c r="H7" s="174">
        <f>VLOOKUP(D7,原始分!$D:$N,4,0)</f>
        <v>119</v>
      </c>
      <c r="I7" s="174">
        <f t="shared" si="1"/>
        <v>8</v>
      </c>
      <c r="J7" s="174">
        <f>VLOOKUP(D7,原始分!$D:$N,5,0)</f>
        <v>114</v>
      </c>
      <c r="K7" s="174">
        <f t="shared" si="2"/>
        <v>51</v>
      </c>
      <c r="L7" s="174">
        <f>VLOOKUP(D7,原始分!$D:$N,6,0)</f>
        <v>0</v>
      </c>
      <c r="M7" s="174">
        <f t="shared" si="3"/>
        <v>1</v>
      </c>
      <c r="N7" s="174">
        <f>VLOOKUP(D7,原始分!$D:$N,7,0)</f>
        <v>70.5</v>
      </c>
      <c r="O7" s="174">
        <f t="shared" si="4"/>
        <v>7</v>
      </c>
      <c r="P7" s="174">
        <f>VLOOKUP(D7,原始分!$D:$N,8,0)</f>
        <v>0</v>
      </c>
      <c r="Q7" s="174">
        <f t="shared" si="5"/>
        <v>3</v>
      </c>
      <c r="R7" s="174">
        <f>VLOOKUP(D7,原始分!$D:$N,9,0)</f>
        <v>65.5</v>
      </c>
      <c r="S7" s="174">
        <f t="shared" si="6"/>
        <v>4</v>
      </c>
      <c r="T7" s="174">
        <f>VLOOKUP(D7,原始分!$D:$N,10,0)</f>
        <v>60</v>
      </c>
      <c r="U7" s="174">
        <f t="shared" si="7"/>
        <v>82</v>
      </c>
      <c r="V7" s="174">
        <f>VLOOKUP(D7,原始分!$D:$N,11,0)</f>
        <v>0</v>
      </c>
      <c r="W7" s="174">
        <f t="shared" si="8"/>
        <v>105</v>
      </c>
      <c r="X7" s="11">
        <f t="shared" si="9"/>
        <v>340.5</v>
      </c>
      <c r="Y7" s="9">
        <f t="shared" si="10"/>
        <v>12</v>
      </c>
      <c r="Z7" s="11">
        <f t="shared" si="11"/>
        <v>536.5</v>
      </c>
      <c r="AA7" s="9">
        <f t="shared" si="12"/>
        <v>5</v>
      </c>
    </row>
    <row r="8" ht="14.25" spans="1:27">
      <c r="A8" s="13">
        <v>765</v>
      </c>
      <c r="B8" s="15">
        <v>16</v>
      </c>
      <c r="C8" s="16">
        <v>20</v>
      </c>
      <c r="D8" s="15" t="s">
        <v>1529</v>
      </c>
      <c r="E8" s="15" t="s">
        <v>1530</v>
      </c>
      <c r="F8" s="174">
        <f>VLOOKUP(D8,原始分!$D:$N,3,0)</f>
        <v>117.5</v>
      </c>
      <c r="G8" s="174">
        <f t="shared" si="0"/>
        <v>3</v>
      </c>
      <c r="H8" s="174">
        <f>VLOOKUP(D8,原始分!$D:$N,4,0)</f>
        <v>113</v>
      </c>
      <c r="I8" s="174">
        <f t="shared" si="1"/>
        <v>18</v>
      </c>
      <c r="J8" s="174">
        <f>VLOOKUP(D8,原始分!$D:$N,5,0)</f>
        <v>120</v>
      </c>
      <c r="K8" s="174">
        <f t="shared" si="2"/>
        <v>24</v>
      </c>
      <c r="L8" s="174">
        <f>VLOOKUP(D8,原始分!$D:$N,6,0)</f>
        <v>0</v>
      </c>
      <c r="M8" s="174">
        <f t="shared" si="3"/>
        <v>1</v>
      </c>
      <c r="N8" s="174">
        <f>VLOOKUP(D8,原始分!$D:$N,7,0)</f>
        <v>51.5</v>
      </c>
      <c r="O8" s="174">
        <f t="shared" si="4"/>
        <v>150</v>
      </c>
      <c r="P8" s="174">
        <f>VLOOKUP(D8,原始分!$D:$N,8,0)</f>
        <v>0</v>
      </c>
      <c r="Q8" s="174">
        <f t="shared" si="5"/>
        <v>3</v>
      </c>
      <c r="R8" s="174">
        <f>VLOOKUP(D8,原始分!$D:$N,9,0)</f>
        <v>0</v>
      </c>
      <c r="S8" s="174">
        <f t="shared" si="6"/>
        <v>103</v>
      </c>
      <c r="T8" s="174">
        <f>VLOOKUP(D8,原始分!$D:$N,10,0)</f>
        <v>73</v>
      </c>
      <c r="U8" s="174">
        <f t="shared" si="7"/>
        <v>6</v>
      </c>
      <c r="V8" s="174">
        <f>VLOOKUP(D8,原始分!$D:$N,11,0)</f>
        <v>60.5</v>
      </c>
      <c r="W8" s="174">
        <f t="shared" si="8"/>
        <v>11</v>
      </c>
      <c r="X8" s="11">
        <f t="shared" si="9"/>
        <v>350.5</v>
      </c>
      <c r="Y8" s="9">
        <f t="shared" si="10"/>
        <v>4</v>
      </c>
      <c r="Z8" s="11">
        <f t="shared" si="11"/>
        <v>535.5</v>
      </c>
      <c r="AA8" s="9">
        <f t="shared" si="12"/>
        <v>6</v>
      </c>
    </row>
    <row r="9" ht="14.25" spans="1:27">
      <c r="A9" s="13">
        <v>764</v>
      </c>
      <c r="B9" s="15">
        <v>16</v>
      </c>
      <c r="C9" s="16">
        <v>19</v>
      </c>
      <c r="D9" s="15" t="s">
        <v>1527</v>
      </c>
      <c r="E9" s="15" t="s">
        <v>1528</v>
      </c>
      <c r="F9" s="174">
        <f>VLOOKUP(D9,原始分!$D:$N,3,0)</f>
        <v>103.5</v>
      </c>
      <c r="G9" s="174">
        <f t="shared" si="0"/>
        <v>85</v>
      </c>
      <c r="H9" s="174">
        <f>VLOOKUP(D9,原始分!$D:$N,4,0)</f>
        <v>107.5</v>
      </c>
      <c r="I9" s="174">
        <f t="shared" si="1"/>
        <v>38</v>
      </c>
      <c r="J9" s="174">
        <f>VLOOKUP(D9,原始分!$D:$N,5,0)</f>
        <v>121.5</v>
      </c>
      <c r="K9" s="174">
        <f t="shared" si="2"/>
        <v>17</v>
      </c>
      <c r="L9" s="174">
        <f>VLOOKUP(D9,原始分!$D:$N,6,0)</f>
        <v>0</v>
      </c>
      <c r="M9" s="174">
        <f t="shared" si="3"/>
        <v>1</v>
      </c>
      <c r="N9" s="174">
        <f>VLOOKUP(D9,原始分!$D:$N,7,0)</f>
        <v>67</v>
      </c>
      <c r="O9" s="174">
        <f t="shared" si="4"/>
        <v>18</v>
      </c>
      <c r="P9" s="174">
        <f>VLOOKUP(D9,原始分!$D:$N,8,0)</f>
        <v>0</v>
      </c>
      <c r="Q9" s="174">
        <f t="shared" si="5"/>
        <v>3</v>
      </c>
      <c r="R9" s="174">
        <f>VLOOKUP(D9,原始分!$D:$N,9,0)</f>
        <v>0</v>
      </c>
      <c r="S9" s="174">
        <f t="shared" si="6"/>
        <v>103</v>
      </c>
      <c r="T9" s="174">
        <f>VLOOKUP(D9,原始分!$D:$N,10,0)</f>
        <v>74</v>
      </c>
      <c r="U9" s="174">
        <f t="shared" si="7"/>
        <v>3</v>
      </c>
      <c r="V9" s="174">
        <f>VLOOKUP(D9,原始分!$D:$N,11,0)</f>
        <v>60</v>
      </c>
      <c r="W9" s="174">
        <f t="shared" si="8"/>
        <v>13</v>
      </c>
      <c r="X9" s="11">
        <f t="shared" si="9"/>
        <v>332.5</v>
      </c>
      <c r="Y9" s="9">
        <f t="shared" si="10"/>
        <v>22</v>
      </c>
      <c r="Z9" s="11">
        <f t="shared" si="11"/>
        <v>533.5</v>
      </c>
      <c r="AA9" s="9">
        <f t="shared" si="12"/>
        <v>7</v>
      </c>
    </row>
    <row r="10" ht="14.25" spans="1:27">
      <c r="A10" s="13">
        <v>768</v>
      </c>
      <c r="B10" s="15">
        <v>16</v>
      </c>
      <c r="C10" s="16">
        <v>23</v>
      </c>
      <c r="D10" s="15" t="s">
        <v>1535</v>
      </c>
      <c r="E10" s="15" t="s">
        <v>1536</v>
      </c>
      <c r="F10" s="174">
        <f>VLOOKUP(D10,原始分!$D:$N,3,0)</f>
        <v>113</v>
      </c>
      <c r="G10" s="174">
        <f t="shared" si="0"/>
        <v>10</v>
      </c>
      <c r="H10" s="174">
        <f>VLOOKUP(D10,原始分!$D:$N,4,0)</f>
        <v>111.5</v>
      </c>
      <c r="I10" s="174">
        <f t="shared" si="1"/>
        <v>23</v>
      </c>
      <c r="J10" s="174">
        <f>VLOOKUP(D10,原始分!$D:$N,5,0)</f>
        <v>111</v>
      </c>
      <c r="K10" s="174">
        <f t="shared" si="2"/>
        <v>66</v>
      </c>
      <c r="L10" s="174">
        <f>VLOOKUP(D10,原始分!$D:$N,6,0)</f>
        <v>0</v>
      </c>
      <c r="M10" s="174">
        <f t="shared" si="3"/>
        <v>1</v>
      </c>
      <c r="N10" s="174">
        <f>VLOOKUP(D10,原始分!$D:$N,7,0)</f>
        <v>62</v>
      </c>
      <c r="O10" s="174">
        <f t="shared" si="4"/>
        <v>50</v>
      </c>
      <c r="P10" s="174">
        <f>VLOOKUP(D10,原始分!$D:$N,8,0)</f>
        <v>0</v>
      </c>
      <c r="Q10" s="174">
        <f t="shared" si="5"/>
        <v>3</v>
      </c>
      <c r="R10" s="174">
        <f>VLOOKUP(D10,原始分!$D:$N,9,0)</f>
        <v>0</v>
      </c>
      <c r="S10" s="174">
        <f t="shared" si="6"/>
        <v>103</v>
      </c>
      <c r="T10" s="174">
        <f>VLOOKUP(D10,原始分!$D:$N,10,0)</f>
        <v>80</v>
      </c>
      <c r="U10" s="174">
        <f t="shared" si="7"/>
        <v>1</v>
      </c>
      <c r="V10" s="174">
        <f>VLOOKUP(D10,原始分!$D:$N,11,0)</f>
        <v>54.5</v>
      </c>
      <c r="W10" s="174">
        <f t="shared" si="8"/>
        <v>34</v>
      </c>
      <c r="X10" s="11">
        <f t="shared" si="9"/>
        <v>335.5</v>
      </c>
      <c r="Y10" s="9">
        <f t="shared" si="10"/>
        <v>16</v>
      </c>
      <c r="Z10" s="11">
        <f t="shared" si="11"/>
        <v>532</v>
      </c>
      <c r="AA10" s="9">
        <f t="shared" si="12"/>
        <v>8</v>
      </c>
    </row>
    <row r="11" ht="14.25" spans="1:27">
      <c r="A11" s="13">
        <v>748</v>
      </c>
      <c r="B11" s="15">
        <v>16</v>
      </c>
      <c r="C11" s="16">
        <v>3</v>
      </c>
      <c r="D11" s="15" t="s">
        <v>1498</v>
      </c>
      <c r="E11" s="15" t="s">
        <v>75</v>
      </c>
      <c r="F11" s="174">
        <f>VLOOKUP(D11,原始分!$D:$N,3,0)</f>
        <v>102.5</v>
      </c>
      <c r="G11" s="174">
        <f t="shared" si="0"/>
        <v>97</v>
      </c>
      <c r="H11" s="174">
        <f>VLOOKUP(D11,原始分!$D:$N,4,0)</f>
        <v>126</v>
      </c>
      <c r="I11" s="174">
        <f t="shared" si="1"/>
        <v>2</v>
      </c>
      <c r="J11" s="174">
        <f>VLOOKUP(D11,原始分!$D:$N,5,0)</f>
        <v>106.25</v>
      </c>
      <c r="K11" s="174">
        <f t="shared" si="2"/>
        <v>92</v>
      </c>
      <c r="L11" s="174">
        <f>VLOOKUP(D11,原始分!$D:$N,6,0)</f>
        <v>0</v>
      </c>
      <c r="M11" s="174">
        <f t="shared" si="3"/>
        <v>1</v>
      </c>
      <c r="N11" s="174">
        <f>VLOOKUP(D11,原始分!$D:$N,7,0)</f>
        <v>62.5</v>
      </c>
      <c r="O11" s="174">
        <f t="shared" si="4"/>
        <v>45</v>
      </c>
      <c r="P11" s="174">
        <f>VLOOKUP(D11,原始分!$D:$N,8,0)</f>
        <v>0</v>
      </c>
      <c r="Q11" s="174">
        <f t="shared" si="5"/>
        <v>3</v>
      </c>
      <c r="R11" s="174">
        <f>VLOOKUP(D11,原始分!$D:$N,9,0)</f>
        <v>64.5</v>
      </c>
      <c r="S11" s="174">
        <f t="shared" si="6"/>
        <v>7</v>
      </c>
      <c r="T11" s="174">
        <f>VLOOKUP(D11,原始分!$D:$N,10,0)</f>
        <v>66.5</v>
      </c>
      <c r="U11" s="174">
        <f t="shared" si="7"/>
        <v>28</v>
      </c>
      <c r="V11" s="174">
        <f>VLOOKUP(D11,原始分!$D:$N,11,0)</f>
        <v>0</v>
      </c>
      <c r="W11" s="174">
        <f t="shared" si="8"/>
        <v>105</v>
      </c>
      <c r="X11" s="11">
        <f t="shared" si="9"/>
        <v>334.75</v>
      </c>
      <c r="Y11" s="9">
        <f t="shared" si="10"/>
        <v>18</v>
      </c>
      <c r="Z11" s="11">
        <f t="shared" si="11"/>
        <v>528.25</v>
      </c>
      <c r="AA11" s="9">
        <f t="shared" si="12"/>
        <v>9</v>
      </c>
    </row>
    <row r="12" ht="14.25" spans="1:27">
      <c r="A12" s="13">
        <v>750</v>
      </c>
      <c r="B12" s="15">
        <v>16</v>
      </c>
      <c r="C12" s="16">
        <v>5</v>
      </c>
      <c r="D12" s="15" t="s">
        <v>1501</v>
      </c>
      <c r="E12" s="15" t="s">
        <v>1502</v>
      </c>
      <c r="F12" s="174">
        <f>VLOOKUP(D12,原始分!$D:$N,3,0)</f>
        <v>103.5</v>
      </c>
      <c r="G12" s="174">
        <f t="shared" si="0"/>
        <v>85</v>
      </c>
      <c r="H12" s="174">
        <f>VLOOKUP(D12,原始分!$D:$N,4,0)</f>
        <v>119</v>
      </c>
      <c r="I12" s="174">
        <f t="shared" si="1"/>
        <v>8</v>
      </c>
      <c r="J12" s="174">
        <f>VLOOKUP(D12,原始分!$D:$N,5,0)</f>
        <v>123</v>
      </c>
      <c r="K12" s="174">
        <f t="shared" si="2"/>
        <v>13</v>
      </c>
      <c r="L12" s="174">
        <f>VLOOKUP(D12,原始分!$D:$N,6,0)</f>
        <v>0</v>
      </c>
      <c r="M12" s="174">
        <f t="shared" si="3"/>
        <v>1</v>
      </c>
      <c r="N12" s="174">
        <f>VLOOKUP(D12,原始分!$D:$N,7,0)</f>
        <v>64.5</v>
      </c>
      <c r="O12" s="174">
        <f t="shared" si="4"/>
        <v>32</v>
      </c>
      <c r="P12" s="174">
        <f>VLOOKUP(D12,原始分!$D:$N,8,0)</f>
        <v>0</v>
      </c>
      <c r="Q12" s="174">
        <f t="shared" si="5"/>
        <v>3</v>
      </c>
      <c r="R12" s="174">
        <f>VLOOKUP(D12,原始分!$D:$N,9,0)</f>
        <v>0</v>
      </c>
      <c r="S12" s="174">
        <f t="shared" si="6"/>
        <v>103</v>
      </c>
      <c r="T12" s="174">
        <f>VLOOKUP(D12,原始分!$D:$N,10,0)</f>
        <v>60</v>
      </c>
      <c r="U12" s="174">
        <f t="shared" si="7"/>
        <v>82</v>
      </c>
      <c r="V12" s="174">
        <f>VLOOKUP(D12,原始分!$D:$N,11,0)</f>
        <v>57.5</v>
      </c>
      <c r="W12" s="174">
        <f t="shared" si="8"/>
        <v>24</v>
      </c>
      <c r="X12" s="11">
        <f t="shared" si="9"/>
        <v>345.5</v>
      </c>
      <c r="Y12" s="9">
        <f t="shared" si="10"/>
        <v>7</v>
      </c>
      <c r="Z12" s="11">
        <f t="shared" si="11"/>
        <v>527.5</v>
      </c>
      <c r="AA12" s="9">
        <f t="shared" si="12"/>
        <v>10</v>
      </c>
    </row>
    <row r="13" ht="14.25" spans="1:27">
      <c r="A13" s="13">
        <v>749</v>
      </c>
      <c r="B13" s="15">
        <v>16</v>
      </c>
      <c r="C13" s="16">
        <v>4</v>
      </c>
      <c r="D13" s="15" t="s">
        <v>1499</v>
      </c>
      <c r="E13" s="15" t="s">
        <v>1500</v>
      </c>
      <c r="F13" s="174">
        <f>VLOOKUP(D13,原始分!$D:$N,3,0)</f>
        <v>103.5</v>
      </c>
      <c r="G13" s="174">
        <f t="shared" si="0"/>
        <v>85</v>
      </c>
      <c r="H13" s="174">
        <f>VLOOKUP(D13,原始分!$D:$N,4,0)</f>
        <v>112</v>
      </c>
      <c r="I13" s="174">
        <f t="shared" si="1"/>
        <v>21</v>
      </c>
      <c r="J13" s="174">
        <f>VLOOKUP(D13,原始分!$D:$N,5,0)</f>
        <v>113.75</v>
      </c>
      <c r="K13" s="174">
        <f t="shared" si="2"/>
        <v>54</v>
      </c>
      <c r="L13" s="174">
        <f>VLOOKUP(D13,原始分!$D:$N,6,0)</f>
        <v>0</v>
      </c>
      <c r="M13" s="174">
        <f t="shared" si="3"/>
        <v>1</v>
      </c>
      <c r="N13" s="174">
        <f>VLOOKUP(D13,原始分!$D:$N,7,0)</f>
        <v>69.5</v>
      </c>
      <c r="O13" s="174">
        <f t="shared" si="4"/>
        <v>11</v>
      </c>
      <c r="P13" s="174">
        <f>VLOOKUP(D13,原始分!$D:$N,8,0)</f>
        <v>0</v>
      </c>
      <c r="Q13" s="174">
        <f t="shared" si="5"/>
        <v>3</v>
      </c>
      <c r="R13" s="174">
        <f>VLOOKUP(D13,原始分!$D:$N,9,0)</f>
        <v>0</v>
      </c>
      <c r="S13" s="174">
        <f t="shared" si="6"/>
        <v>103</v>
      </c>
      <c r="T13" s="174">
        <f>VLOOKUP(D13,原始分!$D:$N,10,0)</f>
        <v>74</v>
      </c>
      <c r="U13" s="174">
        <f t="shared" si="7"/>
        <v>3</v>
      </c>
      <c r="V13" s="174">
        <f>VLOOKUP(D13,原始分!$D:$N,11,0)</f>
        <v>52</v>
      </c>
      <c r="W13" s="174">
        <f t="shared" si="8"/>
        <v>45</v>
      </c>
      <c r="X13" s="11">
        <f t="shared" si="9"/>
        <v>329.25</v>
      </c>
      <c r="Y13" s="9">
        <f t="shared" si="10"/>
        <v>25</v>
      </c>
      <c r="Z13" s="11">
        <f t="shared" si="11"/>
        <v>524.75</v>
      </c>
      <c r="AA13" s="9">
        <f t="shared" si="12"/>
        <v>11</v>
      </c>
    </row>
    <row r="14" ht="14.25" spans="1:27">
      <c r="A14" s="13">
        <v>766</v>
      </c>
      <c r="B14" s="15">
        <v>16</v>
      </c>
      <c r="C14" s="16">
        <v>21</v>
      </c>
      <c r="D14" s="15" t="s">
        <v>1531</v>
      </c>
      <c r="E14" s="15" t="s">
        <v>1532</v>
      </c>
      <c r="F14" s="174">
        <f>VLOOKUP(D14,原始分!$D:$N,3,0)</f>
        <v>102.75</v>
      </c>
      <c r="G14" s="174">
        <f t="shared" si="0"/>
        <v>95</v>
      </c>
      <c r="H14" s="174">
        <f>VLOOKUP(D14,原始分!$D:$N,4,0)</f>
        <v>124</v>
      </c>
      <c r="I14" s="174">
        <f t="shared" si="1"/>
        <v>4</v>
      </c>
      <c r="J14" s="174">
        <f>VLOOKUP(D14,原始分!$D:$N,5,0)</f>
        <v>126</v>
      </c>
      <c r="K14" s="174">
        <f t="shared" si="2"/>
        <v>5</v>
      </c>
      <c r="L14" s="174">
        <f>VLOOKUP(D14,原始分!$D:$N,6,0)</f>
        <v>0</v>
      </c>
      <c r="M14" s="174">
        <f t="shared" si="3"/>
        <v>1</v>
      </c>
      <c r="N14" s="174">
        <f>VLOOKUP(D14,原始分!$D:$N,7,0)</f>
        <v>59</v>
      </c>
      <c r="O14" s="174">
        <f t="shared" si="4"/>
        <v>77</v>
      </c>
      <c r="P14" s="174">
        <f>VLOOKUP(D14,原始分!$D:$N,8,0)</f>
        <v>0</v>
      </c>
      <c r="Q14" s="174">
        <f t="shared" si="5"/>
        <v>3</v>
      </c>
      <c r="R14" s="174">
        <f>VLOOKUP(D14,原始分!$D:$N,9,0)</f>
        <v>0</v>
      </c>
      <c r="S14" s="174">
        <f t="shared" si="6"/>
        <v>103</v>
      </c>
      <c r="T14" s="174">
        <f>VLOOKUP(D14,原始分!$D:$N,10,0)</f>
        <v>57</v>
      </c>
      <c r="U14" s="174">
        <f t="shared" si="7"/>
        <v>118</v>
      </c>
      <c r="V14" s="174">
        <f>VLOOKUP(D14,原始分!$D:$N,11,0)</f>
        <v>56</v>
      </c>
      <c r="W14" s="174">
        <f t="shared" si="8"/>
        <v>29</v>
      </c>
      <c r="X14" s="11">
        <f t="shared" si="9"/>
        <v>352.75</v>
      </c>
      <c r="Y14" s="9">
        <f t="shared" si="10"/>
        <v>3</v>
      </c>
      <c r="Z14" s="11">
        <f t="shared" si="11"/>
        <v>524.75</v>
      </c>
      <c r="AA14" s="9">
        <f t="shared" si="12"/>
        <v>11</v>
      </c>
    </row>
    <row r="15" ht="14.25" spans="1:27">
      <c r="A15" s="13">
        <v>780</v>
      </c>
      <c r="B15" s="15">
        <v>16</v>
      </c>
      <c r="C15" s="16">
        <v>37</v>
      </c>
      <c r="D15" s="15" t="s">
        <v>1558</v>
      </c>
      <c r="E15" s="15" t="s">
        <v>1559</v>
      </c>
      <c r="F15" s="174">
        <f>VLOOKUP(D15,原始分!$D:$N,3,0)</f>
        <v>118</v>
      </c>
      <c r="G15" s="174">
        <f t="shared" si="0"/>
        <v>2</v>
      </c>
      <c r="H15" s="174">
        <f>VLOOKUP(D15,原始分!$D:$N,4,0)</f>
        <v>109</v>
      </c>
      <c r="I15" s="174">
        <f t="shared" si="1"/>
        <v>36</v>
      </c>
      <c r="J15" s="174">
        <f>VLOOKUP(D15,原始分!$D:$N,5,0)</f>
        <v>116.25</v>
      </c>
      <c r="K15" s="174">
        <f t="shared" si="2"/>
        <v>41</v>
      </c>
      <c r="L15" s="174">
        <f>VLOOKUP(D15,原始分!$D:$N,6,0)</f>
        <v>0</v>
      </c>
      <c r="M15" s="174">
        <f t="shared" si="3"/>
        <v>1</v>
      </c>
      <c r="N15" s="174">
        <f>VLOOKUP(D15,原始分!$D:$N,7,0)</f>
        <v>71.5</v>
      </c>
      <c r="O15" s="174">
        <f t="shared" si="4"/>
        <v>4</v>
      </c>
      <c r="P15" s="174">
        <f>VLOOKUP(D15,原始分!$D:$N,8,0)</f>
        <v>0</v>
      </c>
      <c r="Q15" s="174">
        <f t="shared" si="5"/>
        <v>3</v>
      </c>
      <c r="R15" s="174">
        <f>VLOOKUP(D15,原始分!$D:$N,9,0)</f>
        <v>47</v>
      </c>
      <c r="S15" s="174">
        <f t="shared" si="6"/>
        <v>75</v>
      </c>
      <c r="T15" s="174">
        <f>VLOOKUP(D15,原始分!$D:$N,10,0)</f>
        <v>61.5</v>
      </c>
      <c r="U15" s="174">
        <f t="shared" si="7"/>
        <v>68</v>
      </c>
      <c r="V15" s="174">
        <f>VLOOKUP(D15,原始分!$D:$N,11,0)</f>
        <v>0</v>
      </c>
      <c r="W15" s="174">
        <f t="shared" si="8"/>
        <v>105</v>
      </c>
      <c r="X15" s="11">
        <f t="shared" si="9"/>
        <v>343.25</v>
      </c>
      <c r="Y15" s="9">
        <f t="shared" si="10"/>
        <v>10</v>
      </c>
      <c r="Z15" s="11">
        <f t="shared" si="11"/>
        <v>523.25</v>
      </c>
      <c r="AA15" s="9">
        <f t="shared" si="12"/>
        <v>13</v>
      </c>
    </row>
    <row r="16" ht="14.25" spans="1:27">
      <c r="A16" s="13">
        <v>770</v>
      </c>
      <c r="B16" s="15">
        <v>16</v>
      </c>
      <c r="C16" s="16">
        <v>26</v>
      </c>
      <c r="D16" s="15" t="s">
        <v>1538</v>
      </c>
      <c r="E16" s="15" t="s">
        <v>1539</v>
      </c>
      <c r="F16" s="174">
        <f>VLOOKUP(D16,原始分!$D:$N,3,0)</f>
        <v>108.5</v>
      </c>
      <c r="G16" s="174">
        <f t="shared" si="0"/>
        <v>31</v>
      </c>
      <c r="H16" s="174">
        <f>VLOOKUP(D16,原始分!$D:$N,4,0)</f>
        <v>98.5</v>
      </c>
      <c r="I16" s="174">
        <f t="shared" si="1"/>
        <v>77</v>
      </c>
      <c r="J16" s="174">
        <f>VLOOKUP(D16,原始分!$D:$N,5,0)</f>
        <v>118.5</v>
      </c>
      <c r="K16" s="174">
        <f t="shared" si="2"/>
        <v>27</v>
      </c>
      <c r="L16" s="174">
        <f>VLOOKUP(D16,原始分!$D:$N,6,0)</f>
        <v>0</v>
      </c>
      <c r="M16" s="174">
        <f t="shared" si="3"/>
        <v>1</v>
      </c>
      <c r="N16" s="174">
        <f>VLOOKUP(D16,原始分!$D:$N,7,0)</f>
        <v>64</v>
      </c>
      <c r="O16" s="174">
        <f t="shared" si="4"/>
        <v>37</v>
      </c>
      <c r="P16" s="174">
        <f>VLOOKUP(D16,原始分!$D:$N,8,0)</f>
        <v>0</v>
      </c>
      <c r="Q16" s="174">
        <f t="shared" si="5"/>
        <v>3</v>
      </c>
      <c r="R16" s="174">
        <f>VLOOKUP(D16,原始分!$D:$N,9,0)</f>
        <v>68.5</v>
      </c>
      <c r="S16" s="174">
        <f t="shared" si="6"/>
        <v>1</v>
      </c>
      <c r="T16" s="174">
        <f>VLOOKUP(D16,原始分!$D:$N,10,0)</f>
        <v>64.5</v>
      </c>
      <c r="U16" s="174">
        <f t="shared" si="7"/>
        <v>43</v>
      </c>
      <c r="V16" s="174">
        <f>VLOOKUP(D16,原始分!$D:$N,11,0)</f>
        <v>0</v>
      </c>
      <c r="W16" s="174">
        <f t="shared" si="8"/>
        <v>105</v>
      </c>
      <c r="X16" s="11">
        <f t="shared" si="9"/>
        <v>325.5</v>
      </c>
      <c r="Y16" s="9">
        <f t="shared" si="10"/>
        <v>32</v>
      </c>
      <c r="Z16" s="11">
        <f t="shared" si="11"/>
        <v>522.5</v>
      </c>
      <c r="AA16" s="9">
        <f t="shared" si="12"/>
        <v>14</v>
      </c>
    </row>
    <row r="17" ht="14.25" spans="1:27">
      <c r="A17" s="13">
        <v>751</v>
      </c>
      <c r="B17" s="15">
        <v>16</v>
      </c>
      <c r="C17" s="16">
        <v>6</v>
      </c>
      <c r="D17" s="15" t="s">
        <v>1503</v>
      </c>
      <c r="E17" s="15" t="s">
        <v>1029</v>
      </c>
      <c r="F17" s="174">
        <f>VLOOKUP(D17,原始分!$D:$N,3,0)</f>
        <v>104</v>
      </c>
      <c r="G17" s="174">
        <f t="shared" si="0"/>
        <v>80</v>
      </c>
      <c r="H17" s="174">
        <f>VLOOKUP(D17,原始分!$D:$N,4,0)</f>
        <v>109.5</v>
      </c>
      <c r="I17" s="174">
        <f t="shared" si="1"/>
        <v>35</v>
      </c>
      <c r="J17" s="174">
        <f>VLOOKUP(D17,原始分!$D:$N,5,0)</f>
        <v>125</v>
      </c>
      <c r="K17" s="174">
        <f t="shared" si="2"/>
        <v>6</v>
      </c>
      <c r="L17" s="174">
        <f>VLOOKUP(D17,原始分!$D:$N,6,0)</f>
        <v>0</v>
      </c>
      <c r="M17" s="174">
        <f t="shared" si="3"/>
        <v>1</v>
      </c>
      <c r="N17" s="174">
        <f>VLOOKUP(D17,原始分!$D:$N,7,0)</f>
        <v>53</v>
      </c>
      <c r="O17" s="174">
        <f t="shared" si="4"/>
        <v>139</v>
      </c>
      <c r="P17" s="174">
        <f>VLOOKUP(D17,原始分!$D:$N,8,0)</f>
        <v>0</v>
      </c>
      <c r="Q17" s="174">
        <f t="shared" si="5"/>
        <v>3</v>
      </c>
      <c r="R17" s="174">
        <f>VLOOKUP(D17,原始分!$D:$N,9,0)</f>
        <v>0</v>
      </c>
      <c r="S17" s="174">
        <f t="shared" si="6"/>
        <v>103</v>
      </c>
      <c r="T17" s="174">
        <f>VLOOKUP(D17,原始分!$D:$N,10,0)</f>
        <v>74</v>
      </c>
      <c r="U17" s="174">
        <f t="shared" si="7"/>
        <v>3</v>
      </c>
      <c r="V17" s="174">
        <f>VLOOKUP(D17,原始分!$D:$N,11,0)</f>
        <v>56</v>
      </c>
      <c r="W17" s="174">
        <f t="shared" si="8"/>
        <v>29</v>
      </c>
      <c r="X17" s="11">
        <f t="shared" si="9"/>
        <v>338.5</v>
      </c>
      <c r="Y17" s="9">
        <f t="shared" si="10"/>
        <v>13</v>
      </c>
      <c r="Z17" s="11">
        <f t="shared" si="11"/>
        <v>521.5</v>
      </c>
      <c r="AA17" s="9">
        <f t="shared" si="12"/>
        <v>15</v>
      </c>
    </row>
    <row r="18" ht="14.25" spans="1:27">
      <c r="A18" s="13">
        <v>762</v>
      </c>
      <c r="B18" s="15">
        <v>16</v>
      </c>
      <c r="C18" s="16">
        <v>17</v>
      </c>
      <c r="D18" s="15" t="s">
        <v>1523</v>
      </c>
      <c r="E18" s="15" t="s">
        <v>1524</v>
      </c>
      <c r="F18" s="174">
        <f>VLOOKUP(D18,原始分!$D:$N,3,0)</f>
        <v>111</v>
      </c>
      <c r="G18" s="174">
        <f t="shared" si="0"/>
        <v>19</v>
      </c>
      <c r="H18" s="174">
        <f>VLOOKUP(D18,原始分!$D:$N,4,0)</f>
        <v>102.5</v>
      </c>
      <c r="I18" s="174">
        <f t="shared" si="1"/>
        <v>56</v>
      </c>
      <c r="J18" s="174">
        <f>VLOOKUP(D18,原始分!$D:$N,5,0)</f>
        <v>122.5</v>
      </c>
      <c r="K18" s="174">
        <f t="shared" si="2"/>
        <v>14</v>
      </c>
      <c r="L18" s="174">
        <f>VLOOKUP(D18,原始分!$D:$N,6,0)</f>
        <v>0</v>
      </c>
      <c r="M18" s="174">
        <f t="shared" si="3"/>
        <v>1</v>
      </c>
      <c r="N18" s="174">
        <f>VLOOKUP(D18,原始分!$D:$N,7,0)</f>
        <v>61.5</v>
      </c>
      <c r="O18" s="174">
        <f t="shared" si="4"/>
        <v>56</v>
      </c>
      <c r="P18" s="174">
        <f>VLOOKUP(D18,原始分!$D:$N,8,0)</f>
        <v>0</v>
      </c>
      <c r="Q18" s="174">
        <f t="shared" si="5"/>
        <v>3</v>
      </c>
      <c r="R18" s="174">
        <f>VLOOKUP(D18,原始分!$D:$N,9,0)</f>
        <v>0</v>
      </c>
      <c r="S18" s="174">
        <f t="shared" si="6"/>
        <v>103</v>
      </c>
      <c r="T18" s="174">
        <f>VLOOKUP(D18,原始分!$D:$N,10,0)</f>
        <v>64</v>
      </c>
      <c r="U18" s="174">
        <f t="shared" si="7"/>
        <v>49</v>
      </c>
      <c r="V18" s="174">
        <f>VLOOKUP(D18,原始分!$D:$N,11,0)</f>
        <v>60</v>
      </c>
      <c r="W18" s="174">
        <f t="shared" si="8"/>
        <v>13</v>
      </c>
      <c r="X18" s="11">
        <f t="shared" si="9"/>
        <v>336</v>
      </c>
      <c r="Y18" s="9">
        <f t="shared" si="10"/>
        <v>15</v>
      </c>
      <c r="Z18" s="11">
        <f t="shared" si="11"/>
        <v>521.5</v>
      </c>
      <c r="AA18" s="9">
        <f t="shared" si="12"/>
        <v>15</v>
      </c>
    </row>
    <row r="19" ht="14.25" spans="1:27">
      <c r="A19" s="13">
        <v>775</v>
      </c>
      <c r="B19" s="15">
        <v>16</v>
      </c>
      <c r="C19" s="16">
        <v>32</v>
      </c>
      <c r="D19" s="15" t="s">
        <v>1548</v>
      </c>
      <c r="E19" s="15" t="s">
        <v>1549</v>
      </c>
      <c r="F19" s="174">
        <f>VLOOKUP(D19,原始分!$D:$N,3,0)</f>
        <v>110</v>
      </c>
      <c r="G19" s="174">
        <f t="shared" si="0"/>
        <v>26</v>
      </c>
      <c r="H19" s="174">
        <f>VLOOKUP(D19,原始分!$D:$N,4,0)</f>
        <v>106</v>
      </c>
      <c r="I19" s="174">
        <f t="shared" si="1"/>
        <v>43</v>
      </c>
      <c r="J19" s="174">
        <f>VLOOKUP(D19,原始分!$D:$N,5,0)</f>
        <v>119</v>
      </c>
      <c r="K19" s="174">
        <f t="shared" si="2"/>
        <v>25</v>
      </c>
      <c r="L19" s="174">
        <f>VLOOKUP(D19,原始分!$D:$N,6,0)</f>
        <v>0</v>
      </c>
      <c r="M19" s="174">
        <f t="shared" si="3"/>
        <v>1</v>
      </c>
      <c r="N19" s="174">
        <f>VLOOKUP(D19,原始分!$D:$N,7,0)</f>
        <v>66</v>
      </c>
      <c r="O19" s="174">
        <f t="shared" si="4"/>
        <v>24</v>
      </c>
      <c r="P19" s="174">
        <f>VLOOKUP(D19,原始分!$D:$N,8,0)</f>
        <v>0</v>
      </c>
      <c r="Q19" s="174">
        <f t="shared" si="5"/>
        <v>3</v>
      </c>
      <c r="R19" s="174">
        <f>VLOOKUP(D19,原始分!$D:$N,9,0)</f>
        <v>64</v>
      </c>
      <c r="S19" s="174">
        <f t="shared" si="6"/>
        <v>8</v>
      </c>
      <c r="T19" s="174">
        <f>VLOOKUP(D19,原始分!$D:$N,10,0)</f>
        <v>56.5</v>
      </c>
      <c r="U19" s="174">
        <f t="shared" si="7"/>
        <v>127</v>
      </c>
      <c r="V19" s="174">
        <f>VLOOKUP(D19,原始分!$D:$N,11,0)</f>
        <v>0</v>
      </c>
      <c r="W19" s="174">
        <f t="shared" si="8"/>
        <v>105</v>
      </c>
      <c r="X19" s="11">
        <f t="shared" si="9"/>
        <v>335</v>
      </c>
      <c r="Y19" s="9">
        <f t="shared" si="10"/>
        <v>17</v>
      </c>
      <c r="Z19" s="11">
        <f t="shared" si="11"/>
        <v>521.5</v>
      </c>
      <c r="AA19" s="9">
        <f t="shared" si="12"/>
        <v>15</v>
      </c>
    </row>
    <row r="20" ht="14.25" spans="1:27">
      <c r="A20" s="13">
        <v>774</v>
      </c>
      <c r="B20" s="15">
        <v>16</v>
      </c>
      <c r="C20" s="16">
        <v>31</v>
      </c>
      <c r="D20" s="15" t="s">
        <v>1546</v>
      </c>
      <c r="E20" s="15" t="s">
        <v>1547</v>
      </c>
      <c r="F20" s="174">
        <f>VLOOKUP(D20,原始分!$D:$N,3,0)</f>
        <v>114.5</v>
      </c>
      <c r="G20" s="174">
        <f t="shared" si="0"/>
        <v>8</v>
      </c>
      <c r="H20" s="174">
        <f>VLOOKUP(D20,原始分!$D:$N,4,0)</f>
        <v>80</v>
      </c>
      <c r="I20" s="174">
        <f t="shared" si="1"/>
        <v>157</v>
      </c>
      <c r="J20" s="174">
        <f>VLOOKUP(D20,原始分!$D:$N,5,0)</f>
        <v>124.75</v>
      </c>
      <c r="K20" s="174">
        <f t="shared" si="2"/>
        <v>9</v>
      </c>
      <c r="L20" s="174">
        <f>VLOOKUP(D20,原始分!$D:$N,6,0)</f>
        <v>0</v>
      </c>
      <c r="M20" s="174">
        <f t="shared" si="3"/>
        <v>1</v>
      </c>
      <c r="N20" s="174">
        <f>VLOOKUP(D20,原始分!$D:$N,7,0)</f>
        <v>82.5</v>
      </c>
      <c r="O20" s="174">
        <f t="shared" si="4"/>
        <v>1</v>
      </c>
      <c r="P20" s="174">
        <f>VLOOKUP(D20,原始分!$D:$N,8,0)</f>
        <v>0</v>
      </c>
      <c r="Q20" s="174">
        <f t="shared" si="5"/>
        <v>3</v>
      </c>
      <c r="R20" s="174">
        <f>VLOOKUP(D20,原始分!$D:$N,9,0)</f>
        <v>57.5</v>
      </c>
      <c r="S20" s="174">
        <f t="shared" si="6"/>
        <v>21</v>
      </c>
      <c r="T20" s="174">
        <f>VLOOKUP(D20,原始分!$D:$N,10,0)</f>
        <v>62</v>
      </c>
      <c r="U20" s="174">
        <f t="shared" si="7"/>
        <v>63</v>
      </c>
      <c r="V20" s="174">
        <f>VLOOKUP(D20,原始分!$D:$N,11,0)</f>
        <v>0</v>
      </c>
      <c r="W20" s="174">
        <f t="shared" si="8"/>
        <v>105</v>
      </c>
      <c r="X20" s="11">
        <f t="shared" si="9"/>
        <v>319.25</v>
      </c>
      <c r="Y20" s="9">
        <f t="shared" si="10"/>
        <v>43</v>
      </c>
      <c r="Z20" s="11">
        <f t="shared" si="11"/>
        <v>521.25</v>
      </c>
      <c r="AA20" s="9">
        <f t="shared" si="12"/>
        <v>18</v>
      </c>
    </row>
    <row r="21" ht="14.25" spans="1:27">
      <c r="A21" s="13">
        <v>828</v>
      </c>
      <c r="B21" s="15">
        <v>18</v>
      </c>
      <c r="C21" s="16">
        <v>4</v>
      </c>
      <c r="D21" s="15" t="s">
        <v>1654</v>
      </c>
      <c r="E21" s="15" t="s">
        <v>1655</v>
      </c>
      <c r="F21" s="174">
        <f>VLOOKUP(D21,原始分!$D:$N,3,0)</f>
        <v>103.5</v>
      </c>
      <c r="G21" s="174">
        <f t="shared" si="0"/>
        <v>85</v>
      </c>
      <c r="H21" s="174">
        <f>VLOOKUP(D21,原始分!$D:$N,4,0)</f>
        <v>111.5</v>
      </c>
      <c r="I21" s="174">
        <f t="shared" si="1"/>
        <v>23</v>
      </c>
      <c r="J21" s="174">
        <f>VLOOKUP(D21,原始分!$D:$N,5,0)</f>
        <v>110</v>
      </c>
      <c r="K21" s="174">
        <f t="shared" si="2"/>
        <v>71</v>
      </c>
      <c r="L21" s="174">
        <f>VLOOKUP(D21,原始分!$D:$N,6,0)</f>
        <v>0</v>
      </c>
      <c r="M21" s="174">
        <f t="shared" si="3"/>
        <v>1</v>
      </c>
      <c r="N21" s="174">
        <f>VLOOKUP(D21,原始分!$D:$N,7,0)</f>
        <v>68.5</v>
      </c>
      <c r="O21" s="174">
        <f t="shared" si="4"/>
        <v>14</v>
      </c>
      <c r="P21" s="174">
        <f>VLOOKUP(D21,原始分!$D:$N,8,0)</f>
        <v>0</v>
      </c>
      <c r="Q21" s="174">
        <f t="shared" si="5"/>
        <v>3</v>
      </c>
      <c r="R21" s="174">
        <f>VLOOKUP(D21,原始分!$D:$N,9,0)</f>
        <v>64</v>
      </c>
      <c r="S21" s="174">
        <f t="shared" si="6"/>
        <v>8</v>
      </c>
      <c r="T21" s="174">
        <f>VLOOKUP(D21,原始分!$D:$N,10,0)</f>
        <v>61</v>
      </c>
      <c r="U21" s="174">
        <f t="shared" si="7"/>
        <v>72</v>
      </c>
      <c r="V21" s="174">
        <f>VLOOKUP(D21,原始分!$D:$N,11,0)</f>
        <v>0</v>
      </c>
      <c r="W21" s="174">
        <f t="shared" si="8"/>
        <v>105</v>
      </c>
      <c r="X21" s="11">
        <f t="shared" si="9"/>
        <v>325</v>
      </c>
      <c r="Y21" s="9">
        <f t="shared" si="10"/>
        <v>34</v>
      </c>
      <c r="Z21" s="11">
        <f t="shared" si="11"/>
        <v>518.5</v>
      </c>
      <c r="AA21" s="9">
        <f t="shared" si="12"/>
        <v>19</v>
      </c>
    </row>
    <row r="22" ht="14.25" spans="1:27">
      <c r="A22" s="13">
        <v>772</v>
      </c>
      <c r="B22" s="15">
        <v>16</v>
      </c>
      <c r="C22" s="16">
        <v>28</v>
      </c>
      <c r="D22" s="15" t="s">
        <v>1542</v>
      </c>
      <c r="E22" s="15" t="s">
        <v>1543</v>
      </c>
      <c r="F22" s="174">
        <f>VLOOKUP(D22,原始分!$D:$N,3,0)</f>
        <v>112.5</v>
      </c>
      <c r="G22" s="174">
        <f t="shared" si="0"/>
        <v>14</v>
      </c>
      <c r="H22" s="174">
        <f>VLOOKUP(D22,原始分!$D:$N,4,0)</f>
        <v>89</v>
      </c>
      <c r="I22" s="174">
        <f t="shared" si="1"/>
        <v>125</v>
      </c>
      <c r="J22" s="174">
        <f>VLOOKUP(D22,原始分!$D:$N,5,0)</f>
        <v>122</v>
      </c>
      <c r="K22" s="174">
        <f t="shared" si="2"/>
        <v>16</v>
      </c>
      <c r="L22" s="174">
        <f>VLOOKUP(D22,原始分!$D:$N,6,0)</f>
        <v>0</v>
      </c>
      <c r="M22" s="174">
        <f t="shared" si="3"/>
        <v>1</v>
      </c>
      <c r="N22" s="174">
        <f>VLOOKUP(D22,原始分!$D:$N,7,0)</f>
        <v>63.5</v>
      </c>
      <c r="O22" s="174">
        <f t="shared" si="4"/>
        <v>40</v>
      </c>
      <c r="P22" s="174">
        <f>VLOOKUP(D22,原始分!$D:$N,8,0)</f>
        <v>0</v>
      </c>
      <c r="Q22" s="174">
        <f t="shared" si="5"/>
        <v>3</v>
      </c>
      <c r="R22" s="174">
        <f>VLOOKUP(D22,原始分!$D:$N,9,0)</f>
        <v>65.5</v>
      </c>
      <c r="S22" s="174">
        <f t="shared" si="6"/>
        <v>4</v>
      </c>
      <c r="T22" s="174">
        <f>VLOOKUP(D22,原始分!$D:$N,10,0)</f>
        <v>65</v>
      </c>
      <c r="U22" s="174">
        <f t="shared" si="7"/>
        <v>37</v>
      </c>
      <c r="V22" s="174">
        <f>VLOOKUP(D22,原始分!$D:$N,11,0)</f>
        <v>0</v>
      </c>
      <c r="W22" s="174">
        <f t="shared" si="8"/>
        <v>105</v>
      </c>
      <c r="X22" s="11">
        <f t="shared" si="9"/>
        <v>323.5</v>
      </c>
      <c r="Y22" s="9">
        <f t="shared" si="10"/>
        <v>38</v>
      </c>
      <c r="Z22" s="11">
        <f t="shared" si="11"/>
        <v>517.5</v>
      </c>
      <c r="AA22" s="9">
        <f t="shared" si="12"/>
        <v>20</v>
      </c>
    </row>
    <row r="23" ht="14.25" spans="1:27">
      <c r="A23" s="13">
        <v>714</v>
      </c>
      <c r="B23" s="15">
        <v>15</v>
      </c>
      <c r="C23" s="16">
        <v>13</v>
      </c>
      <c r="D23" s="15" t="s">
        <v>1431</v>
      </c>
      <c r="E23" s="15" t="s">
        <v>1432</v>
      </c>
      <c r="F23" s="174">
        <f>VLOOKUP(D23,原始分!$D:$N,3,0)</f>
        <v>113</v>
      </c>
      <c r="G23" s="174">
        <f t="shared" si="0"/>
        <v>10</v>
      </c>
      <c r="H23" s="174">
        <f>VLOOKUP(D23,原始分!$D:$N,4,0)</f>
        <v>111</v>
      </c>
      <c r="I23" s="174">
        <f t="shared" si="1"/>
        <v>26</v>
      </c>
      <c r="J23" s="174">
        <f>VLOOKUP(D23,原始分!$D:$N,5,0)</f>
        <v>110.75</v>
      </c>
      <c r="K23" s="174">
        <f t="shared" si="2"/>
        <v>68</v>
      </c>
      <c r="L23" s="174">
        <f>VLOOKUP(D23,原始分!$D:$N,6,0)</f>
        <v>0</v>
      </c>
      <c r="M23" s="174">
        <f t="shared" si="3"/>
        <v>1</v>
      </c>
      <c r="N23" s="174">
        <f>VLOOKUP(D23,原始分!$D:$N,7,0)</f>
        <v>64.5</v>
      </c>
      <c r="O23" s="174">
        <f t="shared" si="4"/>
        <v>32</v>
      </c>
      <c r="P23" s="174">
        <f>VLOOKUP(D23,原始分!$D:$N,8,0)</f>
        <v>0</v>
      </c>
      <c r="Q23" s="174">
        <f t="shared" si="5"/>
        <v>3</v>
      </c>
      <c r="R23" s="174">
        <f>VLOOKUP(D23,原始分!$D:$N,9,0)</f>
        <v>0</v>
      </c>
      <c r="S23" s="174">
        <f t="shared" si="6"/>
        <v>103</v>
      </c>
      <c r="T23" s="174">
        <f>VLOOKUP(D23,原始分!$D:$N,10,0)</f>
        <v>58.5</v>
      </c>
      <c r="U23" s="174">
        <f t="shared" si="7"/>
        <v>100</v>
      </c>
      <c r="V23" s="174">
        <f>VLOOKUP(D23,原始分!$D:$N,11,0)</f>
        <v>59</v>
      </c>
      <c r="W23" s="174">
        <f t="shared" si="8"/>
        <v>18</v>
      </c>
      <c r="X23" s="11">
        <f t="shared" si="9"/>
        <v>334.75</v>
      </c>
      <c r="Y23" s="9">
        <f t="shared" si="10"/>
        <v>18</v>
      </c>
      <c r="Z23" s="11">
        <f t="shared" si="11"/>
        <v>516.75</v>
      </c>
      <c r="AA23" s="9">
        <f t="shared" si="12"/>
        <v>21</v>
      </c>
    </row>
    <row r="24" ht="14.25" spans="1:27">
      <c r="A24" s="13">
        <v>767</v>
      </c>
      <c r="B24" s="15">
        <v>16</v>
      </c>
      <c r="C24" s="16">
        <v>22</v>
      </c>
      <c r="D24" s="15" t="s">
        <v>1533</v>
      </c>
      <c r="E24" s="15" t="s">
        <v>1534</v>
      </c>
      <c r="F24" s="174">
        <f>VLOOKUP(D24,原始分!$D:$N,3,0)</f>
        <v>107.5</v>
      </c>
      <c r="G24" s="174">
        <f t="shared" si="0"/>
        <v>40</v>
      </c>
      <c r="H24" s="174">
        <f>VLOOKUP(D24,原始分!$D:$N,4,0)</f>
        <v>108</v>
      </c>
      <c r="I24" s="174">
        <f t="shared" si="1"/>
        <v>37</v>
      </c>
      <c r="J24" s="174">
        <f>VLOOKUP(D24,原始分!$D:$N,5,0)</f>
        <v>130.5</v>
      </c>
      <c r="K24" s="174">
        <f t="shared" si="2"/>
        <v>3</v>
      </c>
      <c r="L24" s="174">
        <f>VLOOKUP(D24,原始分!$D:$N,6,0)</f>
        <v>0</v>
      </c>
      <c r="M24" s="174">
        <f t="shared" si="3"/>
        <v>1</v>
      </c>
      <c r="N24" s="174">
        <f>VLOOKUP(D24,原始分!$D:$N,7,0)</f>
        <v>58</v>
      </c>
      <c r="O24" s="174">
        <f t="shared" si="4"/>
        <v>84</v>
      </c>
      <c r="P24" s="174">
        <f>VLOOKUP(D24,原始分!$D:$N,8,0)</f>
        <v>0</v>
      </c>
      <c r="Q24" s="174">
        <f t="shared" si="5"/>
        <v>3</v>
      </c>
      <c r="R24" s="174">
        <f>VLOOKUP(D24,原始分!$D:$N,9,0)</f>
        <v>0</v>
      </c>
      <c r="S24" s="174">
        <f t="shared" si="6"/>
        <v>103</v>
      </c>
      <c r="T24" s="174">
        <f>VLOOKUP(D24,原始分!$D:$N,10,0)</f>
        <v>59.5</v>
      </c>
      <c r="U24" s="174">
        <f t="shared" si="7"/>
        <v>89</v>
      </c>
      <c r="V24" s="174">
        <f>VLOOKUP(D24,原始分!$D:$N,11,0)</f>
        <v>53</v>
      </c>
      <c r="W24" s="174">
        <f t="shared" si="8"/>
        <v>39</v>
      </c>
      <c r="X24" s="11">
        <f t="shared" si="9"/>
        <v>346</v>
      </c>
      <c r="Y24" s="9">
        <f t="shared" si="10"/>
        <v>6</v>
      </c>
      <c r="Z24" s="11">
        <f t="shared" si="11"/>
        <v>516.5</v>
      </c>
      <c r="AA24" s="9">
        <f t="shared" si="12"/>
        <v>22</v>
      </c>
    </row>
    <row r="25" ht="14.25" spans="1:27">
      <c r="A25" s="13">
        <v>756</v>
      </c>
      <c r="B25" s="15">
        <v>16</v>
      </c>
      <c r="C25" s="16">
        <v>11</v>
      </c>
      <c r="D25" s="15" t="s">
        <v>1512</v>
      </c>
      <c r="E25" s="15" t="s">
        <v>65</v>
      </c>
      <c r="F25" s="174">
        <f>VLOOKUP(D25,原始分!$D:$N,3,0)</f>
        <v>100</v>
      </c>
      <c r="G25" s="174">
        <f t="shared" si="0"/>
        <v>127</v>
      </c>
      <c r="H25" s="174">
        <f>VLOOKUP(D25,原始分!$D:$N,4,0)</f>
        <v>125</v>
      </c>
      <c r="I25" s="174">
        <f t="shared" si="1"/>
        <v>3</v>
      </c>
      <c r="J25" s="174">
        <f>VLOOKUP(D25,原始分!$D:$N,5,0)</f>
        <v>118.25</v>
      </c>
      <c r="K25" s="174">
        <f t="shared" si="2"/>
        <v>31</v>
      </c>
      <c r="L25" s="174">
        <f>VLOOKUP(D25,原始分!$D:$N,6,0)</f>
        <v>0</v>
      </c>
      <c r="M25" s="174">
        <f t="shared" si="3"/>
        <v>1</v>
      </c>
      <c r="N25" s="174">
        <f>VLOOKUP(D25,原始分!$D:$N,7,0)</f>
        <v>56</v>
      </c>
      <c r="O25" s="174">
        <f t="shared" si="4"/>
        <v>107</v>
      </c>
      <c r="P25" s="174">
        <f>VLOOKUP(D25,原始分!$D:$N,8,0)</f>
        <v>0</v>
      </c>
      <c r="Q25" s="174">
        <f t="shared" si="5"/>
        <v>3</v>
      </c>
      <c r="R25" s="174">
        <f>VLOOKUP(D25,原始分!$D:$N,9,0)</f>
        <v>0</v>
      </c>
      <c r="S25" s="174">
        <f t="shared" si="6"/>
        <v>103</v>
      </c>
      <c r="T25" s="174">
        <f>VLOOKUP(D25,原始分!$D:$N,10,0)</f>
        <v>63</v>
      </c>
      <c r="U25" s="174">
        <f t="shared" si="7"/>
        <v>57</v>
      </c>
      <c r="V25" s="174">
        <f>VLOOKUP(D25,原始分!$D:$N,11,0)</f>
        <v>54</v>
      </c>
      <c r="W25" s="174">
        <f t="shared" si="8"/>
        <v>36</v>
      </c>
      <c r="X25" s="11">
        <f t="shared" si="9"/>
        <v>343.25</v>
      </c>
      <c r="Y25" s="9">
        <f t="shared" si="10"/>
        <v>10</v>
      </c>
      <c r="Z25" s="11">
        <f t="shared" si="11"/>
        <v>516.25</v>
      </c>
      <c r="AA25" s="9">
        <f t="shared" si="12"/>
        <v>23</v>
      </c>
    </row>
    <row r="26" ht="14.25" spans="1:27">
      <c r="A26" s="13">
        <v>753</v>
      </c>
      <c r="B26" s="15">
        <v>16</v>
      </c>
      <c r="C26" s="16">
        <v>8</v>
      </c>
      <c r="D26" s="15" t="s">
        <v>1506</v>
      </c>
      <c r="E26" s="15" t="s">
        <v>1507</v>
      </c>
      <c r="F26" s="174">
        <f>VLOOKUP(D26,原始分!$D:$N,3,0)</f>
        <v>104.5</v>
      </c>
      <c r="G26" s="174">
        <f t="shared" si="0"/>
        <v>73</v>
      </c>
      <c r="H26" s="174">
        <f>VLOOKUP(D26,原始分!$D:$N,4,0)</f>
        <v>93.5</v>
      </c>
      <c r="I26" s="174">
        <f t="shared" si="1"/>
        <v>102</v>
      </c>
      <c r="J26" s="174">
        <f>VLOOKUP(D26,原始分!$D:$N,5,0)</f>
        <v>114.5</v>
      </c>
      <c r="K26" s="174">
        <f t="shared" si="2"/>
        <v>50</v>
      </c>
      <c r="L26" s="174">
        <f>VLOOKUP(D26,原始分!$D:$N,6,0)</f>
        <v>0</v>
      </c>
      <c r="M26" s="174">
        <f t="shared" si="3"/>
        <v>1</v>
      </c>
      <c r="N26" s="174">
        <f>VLOOKUP(D26,原始分!$D:$N,7,0)</f>
        <v>69</v>
      </c>
      <c r="O26" s="174">
        <f t="shared" si="4"/>
        <v>12</v>
      </c>
      <c r="P26" s="174">
        <f>VLOOKUP(D26,原始分!$D:$N,8,0)</f>
        <v>0</v>
      </c>
      <c r="Q26" s="174">
        <f t="shared" si="5"/>
        <v>3</v>
      </c>
      <c r="R26" s="174">
        <f>VLOOKUP(D26,原始分!$D:$N,9,0)</f>
        <v>0</v>
      </c>
      <c r="S26" s="174">
        <f t="shared" si="6"/>
        <v>103</v>
      </c>
      <c r="T26" s="174">
        <f>VLOOKUP(D26,原始分!$D:$N,10,0)</f>
        <v>72</v>
      </c>
      <c r="U26" s="174">
        <f t="shared" si="7"/>
        <v>8</v>
      </c>
      <c r="V26" s="174">
        <f>VLOOKUP(D26,原始分!$D:$N,11,0)</f>
        <v>61.5</v>
      </c>
      <c r="W26" s="174">
        <f t="shared" si="8"/>
        <v>10</v>
      </c>
      <c r="X26" s="11">
        <f t="shared" si="9"/>
        <v>312.5</v>
      </c>
      <c r="Y26" s="9">
        <f t="shared" si="10"/>
        <v>64</v>
      </c>
      <c r="Z26" s="11">
        <f t="shared" si="11"/>
        <v>515</v>
      </c>
      <c r="AA26" s="9">
        <f t="shared" si="12"/>
        <v>24</v>
      </c>
    </row>
    <row r="27" ht="14.25" spans="1:27">
      <c r="A27" s="13">
        <v>674</v>
      </c>
      <c r="B27" s="15">
        <v>14</v>
      </c>
      <c r="C27" s="16">
        <v>14</v>
      </c>
      <c r="D27" s="15" t="s">
        <v>1354</v>
      </c>
      <c r="E27" s="15" t="s">
        <v>1355</v>
      </c>
      <c r="F27" s="174">
        <f>VLOOKUP(D27,原始分!$D:$N,3,0)</f>
        <v>116</v>
      </c>
      <c r="G27" s="174">
        <f t="shared" si="0"/>
        <v>4</v>
      </c>
      <c r="H27" s="174">
        <f>VLOOKUP(D27,原始分!$D:$N,4,0)</f>
        <v>98</v>
      </c>
      <c r="I27" s="174">
        <f t="shared" si="1"/>
        <v>80</v>
      </c>
      <c r="J27" s="174">
        <f>VLOOKUP(D27,原始分!$D:$N,5,0)</f>
        <v>103.75</v>
      </c>
      <c r="K27" s="174">
        <f t="shared" si="2"/>
        <v>109</v>
      </c>
      <c r="L27" s="174">
        <f>VLOOKUP(D27,原始分!$D:$N,6,0)</f>
        <v>0</v>
      </c>
      <c r="M27" s="174">
        <f t="shared" si="3"/>
        <v>1</v>
      </c>
      <c r="N27" s="174">
        <f>VLOOKUP(D27,原始分!$D:$N,7,0)</f>
        <v>69</v>
      </c>
      <c r="O27" s="174">
        <f t="shared" si="4"/>
        <v>12</v>
      </c>
      <c r="P27" s="174">
        <f>VLOOKUP(D27,原始分!$D:$N,8,0)</f>
        <v>0</v>
      </c>
      <c r="Q27" s="174">
        <f t="shared" si="5"/>
        <v>3</v>
      </c>
      <c r="R27" s="174">
        <f>VLOOKUP(D27,原始分!$D:$N,9,0)</f>
        <v>0</v>
      </c>
      <c r="S27" s="174">
        <f t="shared" si="6"/>
        <v>103</v>
      </c>
      <c r="T27" s="174">
        <f>VLOOKUP(D27,原始分!$D:$N,10,0)</f>
        <v>72.5</v>
      </c>
      <c r="U27" s="174">
        <f t="shared" si="7"/>
        <v>7</v>
      </c>
      <c r="V27" s="174">
        <f>VLOOKUP(D27,原始分!$D:$N,11,0)</f>
        <v>55.5</v>
      </c>
      <c r="W27" s="174">
        <f t="shared" si="8"/>
        <v>32</v>
      </c>
      <c r="X27" s="11">
        <f t="shared" si="9"/>
        <v>317.75</v>
      </c>
      <c r="Y27" s="9">
        <f t="shared" si="10"/>
        <v>48</v>
      </c>
      <c r="Z27" s="11">
        <f t="shared" si="11"/>
        <v>514.75</v>
      </c>
      <c r="AA27" s="9">
        <f t="shared" si="12"/>
        <v>25</v>
      </c>
    </row>
    <row r="28" ht="14.25" spans="1:27">
      <c r="A28" s="13">
        <v>761</v>
      </c>
      <c r="B28" s="15">
        <v>16</v>
      </c>
      <c r="C28" s="16">
        <v>16</v>
      </c>
      <c r="D28" s="15" t="s">
        <v>1521</v>
      </c>
      <c r="E28" s="15" t="s">
        <v>1522</v>
      </c>
      <c r="F28" s="174">
        <f>VLOOKUP(D28,原始分!$D:$N,3,0)</f>
        <v>111</v>
      </c>
      <c r="G28" s="174">
        <f t="shared" si="0"/>
        <v>19</v>
      </c>
      <c r="H28" s="174">
        <f>VLOOKUP(D28,原始分!$D:$N,4,0)</f>
        <v>110</v>
      </c>
      <c r="I28" s="174">
        <f t="shared" si="1"/>
        <v>33</v>
      </c>
      <c r="J28" s="174">
        <f>VLOOKUP(D28,原始分!$D:$N,5,0)</f>
        <v>123.5</v>
      </c>
      <c r="K28" s="174">
        <f t="shared" si="2"/>
        <v>11</v>
      </c>
      <c r="L28" s="174">
        <f>VLOOKUP(D28,原始分!$D:$N,6,0)</f>
        <v>0</v>
      </c>
      <c r="M28" s="174">
        <f t="shared" si="3"/>
        <v>1</v>
      </c>
      <c r="N28" s="174">
        <f>VLOOKUP(D28,原始分!$D:$N,7,0)</f>
        <v>50.5</v>
      </c>
      <c r="O28" s="174">
        <f t="shared" si="4"/>
        <v>164</v>
      </c>
      <c r="P28" s="174">
        <f>VLOOKUP(D28,原始分!$D:$N,8,0)</f>
        <v>0</v>
      </c>
      <c r="Q28" s="174">
        <f t="shared" si="5"/>
        <v>3</v>
      </c>
      <c r="R28" s="174">
        <f>VLOOKUP(D28,原始分!$D:$N,9,0)</f>
        <v>0</v>
      </c>
      <c r="S28" s="174">
        <f t="shared" si="6"/>
        <v>103</v>
      </c>
      <c r="T28" s="174">
        <f>VLOOKUP(D28,原始分!$D:$N,10,0)</f>
        <v>65.5</v>
      </c>
      <c r="U28" s="174">
        <f t="shared" si="7"/>
        <v>33</v>
      </c>
      <c r="V28" s="174">
        <f>VLOOKUP(D28,原始分!$D:$N,11,0)</f>
        <v>53</v>
      </c>
      <c r="W28" s="174">
        <f t="shared" si="8"/>
        <v>39</v>
      </c>
      <c r="X28" s="11">
        <f t="shared" si="9"/>
        <v>344.5</v>
      </c>
      <c r="Y28" s="9">
        <f t="shared" si="10"/>
        <v>8</v>
      </c>
      <c r="Z28" s="11">
        <f t="shared" si="11"/>
        <v>513.5</v>
      </c>
      <c r="AA28" s="9">
        <f t="shared" si="12"/>
        <v>26</v>
      </c>
    </row>
    <row r="29" ht="14.25" spans="1:27">
      <c r="A29" s="13">
        <v>797</v>
      </c>
      <c r="B29" s="15">
        <v>17</v>
      </c>
      <c r="C29" s="16">
        <v>20</v>
      </c>
      <c r="D29" s="15" t="s">
        <v>1592</v>
      </c>
      <c r="E29" s="15" t="s">
        <v>1593</v>
      </c>
      <c r="F29" s="174">
        <f>VLOOKUP(D29,原始分!$D:$N,3,0)</f>
        <v>112.5</v>
      </c>
      <c r="G29" s="174">
        <f t="shared" si="0"/>
        <v>14</v>
      </c>
      <c r="H29" s="174">
        <f>VLOOKUP(D29,原始分!$D:$N,4,0)</f>
        <v>94.5</v>
      </c>
      <c r="I29" s="174">
        <f t="shared" si="1"/>
        <v>95</v>
      </c>
      <c r="J29" s="174">
        <f>VLOOKUP(D29,原始分!$D:$N,5,0)</f>
        <v>116.5</v>
      </c>
      <c r="K29" s="174">
        <f t="shared" si="2"/>
        <v>40</v>
      </c>
      <c r="L29" s="174">
        <f>VLOOKUP(D29,原始分!$D:$N,6,0)</f>
        <v>0</v>
      </c>
      <c r="M29" s="174">
        <f t="shared" si="3"/>
        <v>1</v>
      </c>
      <c r="N29" s="174">
        <f>VLOOKUP(D29,原始分!$D:$N,7,0)</f>
        <v>65.5</v>
      </c>
      <c r="O29" s="174">
        <f t="shared" si="4"/>
        <v>27</v>
      </c>
      <c r="P29" s="174">
        <f>VLOOKUP(D29,原始分!$D:$N,8,0)</f>
        <v>0</v>
      </c>
      <c r="Q29" s="174">
        <f t="shared" si="5"/>
        <v>3</v>
      </c>
      <c r="R29" s="174">
        <f>VLOOKUP(D29,原始分!$D:$N,9,0)</f>
        <v>56</v>
      </c>
      <c r="S29" s="174">
        <f t="shared" si="6"/>
        <v>24</v>
      </c>
      <c r="T29" s="174">
        <f>VLOOKUP(D29,原始分!$D:$N,10,0)</f>
        <v>67.5</v>
      </c>
      <c r="U29" s="174">
        <f t="shared" si="7"/>
        <v>18</v>
      </c>
      <c r="V29" s="174">
        <f>VLOOKUP(D29,原始分!$D:$N,11,0)</f>
        <v>0</v>
      </c>
      <c r="W29" s="174">
        <f t="shared" si="8"/>
        <v>105</v>
      </c>
      <c r="X29" s="11">
        <f t="shared" si="9"/>
        <v>323.5</v>
      </c>
      <c r="Y29" s="9">
        <f t="shared" si="10"/>
        <v>38</v>
      </c>
      <c r="Z29" s="11">
        <f t="shared" si="11"/>
        <v>512.5</v>
      </c>
      <c r="AA29" s="9">
        <f t="shared" si="12"/>
        <v>27</v>
      </c>
    </row>
    <row r="30" ht="14.25" spans="1:27">
      <c r="A30" s="13">
        <v>791</v>
      </c>
      <c r="B30" s="15">
        <v>17</v>
      </c>
      <c r="C30" s="16">
        <v>12</v>
      </c>
      <c r="D30" s="15" t="s">
        <v>1580</v>
      </c>
      <c r="E30" s="15" t="s">
        <v>1581</v>
      </c>
      <c r="F30" s="174">
        <f>VLOOKUP(D30,原始分!$D:$N,3,0)</f>
        <v>113</v>
      </c>
      <c r="G30" s="174">
        <f t="shared" si="0"/>
        <v>10</v>
      </c>
      <c r="H30" s="174">
        <f>VLOOKUP(D30,原始分!$D:$N,4,0)</f>
        <v>103.5</v>
      </c>
      <c r="I30" s="174">
        <f t="shared" si="1"/>
        <v>53</v>
      </c>
      <c r="J30" s="174">
        <f>VLOOKUP(D30,原始分!$D:$N,5,0)</f>
        <v>117.25</v>
      </c>
      <c r="K30" s="174">
        <f t="shared" si="2"/>
        <v>35</v>
      </c>
      <c r="L30" s="174">
        <f>VLOOKUP(D30,原始分!$D:$N,6,0)</f>
        <v>0</v>
      </c>
      <c r="M30" s="174">
        <f t="shared" si="3"/>
        <v>1</v>
      </c>
      <c r="N30" s="174">
        <f>VLOOKUP(D30,原始分!$D:$N,7,0)</f>
        <v>58</v>
      </c>
      <c r="O30" s="174">
        <f t="shared" si="4"/>
        <v>84</v>
      </c>
      <c r="P30" s="174">
        <f>VLOOKUP(D30,原始分!$D:$N,8,0)</f>
        <v>0</v>
      </c>
      <c r="Q30" s="174">
        <f t="shared" si="5"/>
        <v>3</v>
      </c>
      <c r="R30" s="174">
        <f>VLOOKUP(D30,原始分!$D:$N,9,0)</f>
        <v>55</v>
      </c>
      <c r="S30" s="174">
        <f t="shared" si="6"/>
        <v>30</v>
      </c>
      <c r="T30" s="174">
        <f>VLOOKUP(D30,原始分!$D:$N,10,0)</f>
        <v>65</v>
      </c>
      <c r="U30" s="174">
        <f t="shared" si="7"/>
        <v>37</v>
      </c>
      <c r="V30" s="174">
        <f>VLOOKUP(D30,原始分!$D:$N,11,0)</f>
        <v>0</v>
      </c>
      <c r="W30" s="174">
        <f t="shared" si="8"/>
        <v>105</v>
      </c>
      <c r="X30" s="11">
        <f t="shared" si="9"/>
        <v>333.75</v>
      </c>
      <c r="Y30" s="9">
        <f t="shared" si="10"/>
        <v>21</v>
      </c>
      <c r="Z30" s="11">
        <f t="shared" si="11"/>
        <v>511.75</v>
      </c>
      <c r="AA30" s="9">
        <f t="shared" si="12"/>
        <v>28</v>
      </c>
    </row>
    <row r="31" ht="14.25" spans="1:27">
      <c r="A31" s="13">
        <v>798</v>
      </c>
      <c r="B31" s="15">
        <v>17</v>
      </c>
      <c r="C31" s="16">
        <v>21</v>
      </c>
      <c r="D31" s="15" t="s">
        <v>1594</v>
      </c>
      <c r="E31" s="15" t="s">
        <v>1595</v>
      </c>
      <c r="F31" s="174">
        <f>VLOOKUP(D31,原始分!$D:$N,3,0)</f>
        <v>100</v>
      </c>
      <c r="G31" s="174">
        <f t="shared" si="0"/>
        <v>127</v>
      </c>
      <c r="H31" s="174">
        <f>VLOOKUP(D31,原始分!$D:$N,4,0)</f>
        <v>114</v>
      </c>
      <c r="I31" s="174">
        <f t="shared" si="1"/>
        <v>15</v>
      </c>
      <c r="J31" s="174">
        <f>VLOOKUP(D31,原始分!$D:$N,5,0)</f>
        <v>117</v>
      </c>
      <c r="K31" s="174">
        <f t="shared" si="2"/>
        <v>36</v>
      </c>
      <c r="L31" s="174">
        <f>VLOOKUP(D31,原始分!$D:$N,6,0)</f>
        <v>0</v>
      </c>
      <c r="M31" s="174">
        <f t="shared" si="3"/>
        <v>1</v>
      </c>
      <c r="N31" s="174">
        <f>VLOOKUP(D31,原始分!$D:$N,7,0)</f>
        <v>66</v>
      </c>
      <c r="O31" s="174">
        <f t="shared" si="4"/>
        <v>24</v>
      </c>
      <c r="P31" s="174">
        <f>VLOOKUP(D31,原始分!$D:$N,8,0)</f>
        <v>0</v>
      </c>
      <c r="Q31" s="174">
        <f t="shared" si="5"/>
        <v>3</v>
      </c>
      <c r="R31" s="174">
        <f>VLOOKUP(D31,原始分!$D:$N,9,0)</f>
        <v>50</v>
      </c>
      <c r="S31" s="174">
        <f t="shared" si="6"/>
        <v>60</v>
      </c>
      <c r="T31" s="174">
        <f>VLOOKUP(D31,原始分!$D:$N,10,0)</f>
        <v>62</v>
      </c>
      <c r="U31" s="174">
        <f t="shared" si="7"/>
        <v>63</v>
      </c>
      <c r="V31" s="174">
        <f>VLOOKUP(D31,原始分!$D:$N,11,0)</f>
        <v>0</v>
      </c>
      <c r="W31" s="174">
        <f t="shared" si="8"/>
        <v>105</v>
      </c>
      <c r="X31" s="11">
        <f t="shared" si="9"/>
        <v>331</v>
      </c>
      <c r="Y31" s="9">
        <f t="shared" si="10"/>
        <v>24</v>
      </c>
      <c r="Z31" s="11">
        <f t="shared" si="11"/>
        <v>509</v>
      </c>
      <c r="AA31" s="9">
        <f t="shared" si="12"/>
        <v>29</v>
      </c>
    </row>
    <row r="32" ht="14.25" spans="1:27">
      <c r="A32" s="13">
        <v>763</v>
      </c>
      <c r="B32" s="15">
        <v>16</v>
      </c>
      <c r="C32" s="16">
        <v>18</v>
      </c>
      <c r="D32" s="15" t="s">
        <v>1525</v>
      </c>
      <c r="E32" s="15" t="s">
        <v>1526</v>
      </c>
      <c r="F32" s="174">
        <f>VLOOKUP(D32,原始分!$D:$N,3,0)</f>
        <v>107.5</v>
      </c>
      <c r="G32" s="174">
        <f t="shared" si="0"/>
        <v>40</v>
      </c>
      <c r="H32" s="174">
        <f>VLOOKUP(D32,原始分!$D:$N,4,0)</f>
        <v>97.5</v>
      </c>
      <c r="I32" s="174">
        <f t="shared" si="1"/>
        <v>82</v>
      </c>
      <c r="J32" s="174">
        <f>VLOOKUP(D32,原始分!$D:$N,5,0)</f>
        <v>113</v>
      </c>
      <c r="K32" s="174">
        <f t="shared" si="2"/>
        <v>59</v>
      </c>
      <c r="L32" s="174">
        <f>VLOOKUP(D32,原始分!$D:$N,6,0)</f>
        <v>0</v>
      </c>
      <c r="M32" s="174">
        <f t="shared" si="3"/>
        <v>1</v>
      </c>
      <c r="N32" s="174">
        <f>VLOOKUP(D32,原始分!$D:$N,7,0)</f>
        <v>60</v>
      </c>
      <c r="O32" s="174">
        <f t="shared" si="4"/>
        <v>67</v>
      </c>
      <c r="P32" s="174">
        <f>VLOOKUP(D32,原始分!$D:$N,8,0)</f>
        <v>0</v>
      </c>
      <c r="Q32" s="174">
        <f t="shared" si="5"/>
        <v>3</v>
      </c>
      <c r="R32" s="174">
        <f>VLOOKUP(D32,原始分!$D:$N,9,0)</f>
        <v>0</v>
      </c>
      <c r="S32" s="174">
        <f t="shared" si="6"/>
        <v>103</v>
      </c>
      <c r="T32" s="174">
        <f>VLOOKUP(D32,原始分!$D:$N,10,0)</f>
        <v>67.5</v>
      </c>
      <c r="U32" s="174">
        <f t="shared" si="7"/>
        <v>18</v>
      </c>
      <c r="V32" s="174">
        <f>VLOOKUP(D32,原始分!$D:$N,11,0)</f>
        <v>63</v>
      </c>
      <c r="W32" s="174">
        <f t="shared" si="8"/>
        <v>4</v>
      </c>
      <c r="X32" s="11">
        <f t="shared" si="9"/>
        <v>318</v>
      </c>
      <c r="Y32" s="9">
        <f t="shared" si="10"/>
        <v>46</v>
      </c>
      <c r="Z32" s="11">
        <f t="shared" si="11"/>
        <v>508.5</v>
      </c>
      <c r="AA32" s="9">
        <f t="shared" si="12"/>
        <v>30</v>
      </c>
    </row>
    <row r="33" ht="14.25" spans="1:27">
      <c r="A33" s="13">
        <v>781</v>
      </c>
      <c r="B33" s="15">
        <v>16</v>
      </c>
      <c r="C33" s="16">
        <v>38</v>
      </c>
      <c r="D33" s="15" t="s">
        <v>1560</v>
      </c>
      <c r="E33" s="15" t="s">
        <v>1561</v>
      </c>
      <c r="F33" s="174">
        <f>VLOOKUP(D33,原始分!$D:$N,3,0)</f>
        <v>90</v>
      </c>
      <c r="G33" s="174">
        <f t="shared" si="0"/>
        <v>198</v>
      </c>
      <c r="H33" s="174">
        <f>VLOOKUP(D33,原始分!$D:$N,4,0)</f>
        <v>116.5</v>
      </c>
      <c r="I33" s="174">
        <f t="shared" si="1"/>
        <v>14</v>
      </c>
      <c r="J33" s="174">
        <f>VLOOKUP(D33,原始分!$D:$N,5,0)</f>
        <v>125</v>
      </c>
      <c r="K33" s="174">
        <f t="shared" si="2"/>
        <v>6</v>
      </c>
      <c r="L33" s="174">
        <f>VLOOKUP(D33,原始分!$D:$N,6,0)</f>
        <v>0</v>
      </c>
      <c r="M33" s="174">
        <f t="shared" si="3"/>
        <v>1</v>
      </c>
      <c r="N33" s="174">
        <f>VLOOKUP(D33,原始分!$D:$N,7,0)</f>
        <v>67</v>
      </c>
      <c r="O33" s="174">
        <f t="shared" si="4"/>
        <v>18</v>
      </c>
      <c r="P33" s="174">
        <f>VLOOKUP(D33,原始分!$D:$N,8,0)</f>
        <v>0</v>
      </c>
      <c r="Q33" s="174">
        <f t="shared" si="5"/>
        <v>3</v>
      </c>
      <c r="R33" s="174">
        <f>VLOOKUP(D33,原始分!$D:$N,9,0)</f>
        <v>50</v>
      </c>
      <c r="S33" s="174">
        <f t="shared" si="6"/>
        <v>60</v>
      </c>
      <c r="T33" s="174">
        <f>VLOOKUP(D33,原始分!$D:$N,10,0)</f>
        <v>60</v>
      </c>
      <c r="U33" s="174">
        <f t="shared" si="7"/>
        <v>82</v>
      </c>
      <c r="V33" s="174">
        <f>VLOOKUP(D33,原始分!$D:$N,11,0)</f>
        <v>0</v>
      </c>
      <c r="W33" s="174">
        <f t="shared" si="8"/>
        <v>105</v>
      </c>
      <c r="X33" s="11">
        <f t="shared" si="9"/>
        <v>331.5</v>
      </c>
      <c r="Y33" s="9">
        <f t="shared" si="10"/>
        <v>23</v>
      </c>
      <c r="Z33" s="11">
        <f t="shared" si="11"/>
        <v>508.5</v>
      </c>
      <c r="AA33" s="9">
        <f t="shared" si="12"/>
        <v>30</v>
      </c>
    </row>
    <row r="34" ht="14.25" spans="1:27">
      <c r="A34" s="13">
        <v>678</v>
      </c>
      <c r="B34" s="15">
        <v>14</v>
      </c>
      <c r="C34" s="16">
        <v>19</v>
      </c>
      <c r="D34" s="15" t="s">
        <v>1362</v>
      </c>
      <c r="E34" s="15" t="s">
        <v>1363</v>
      </c>
      <c r="F34" s="174">
        <f>VLOOKUP(D34,原始分!$D:$N,3,0)</f>
        <v>107</v>
      </c>
      <c r="G34" s="174">
        <f t="shared" si="0"/>
        <v>50</v>
      </c>
      <c r="H34" s="174">
        <f>VLOOKUP(D34,原始分!$D:$N,4,0)</f>
        <v>98.5</v>
      </c>
      <c r="I34" s="174">
        <f t="shared" si="1"/>
        <v>77</v>
      </c>
      <c r="J34" s="174">
        <f>VLOOKUP(D34,原始分!$D:$N,5,0)</f>
        <v>105.5</v>
      </c>
      <c r="K34" s="174">
        <f t="shared" si="2"/>
        <v>98</v>
      </c>
      <c r="L34" s="174">
        <f>VLOOKUP(D34,原始分!$D:$N,6,0)</f>
        <v>0</v>
      </c>
      <c r="M34" s="174">
        <f t="shared" si="3"/>
        <v>1</v>
      </c>
      <c r="N34" s="174">
        <f>VLOOKUP(D34,原始分!$D:$N,7,0)</f>
        <v>70</v>
      </c>
      <c r="O34" s="174">
        <f t="shared" si="4"/>
        <v>9</v>
      </c>
      <c r="P34" s="174">
        <f>VLOOKUP(D34,原始分!$D:$N,8,0)</f>
        <v>0</v>
      </c>
      <c r="Q34" s="174">
        <f t="shared" si="5"/>
        <v>3</v>
      </c>
      <c r="R34" s="174">
        <f>VLOOKUP(D34,原始分!$D:$N,9,0)</f>
        <v>0</v>
      </c>
      <c r="S34" s="174">
        <f t="shared" si="6"/>
        <v>103</v>
      </c>
      <c r="T34" s="174">
        <f>VLOOKUP(D34,原始分!$D:$N,10,0)</f>
        <v>63.5</v>
      </c>
      <c r="U34" s="174">
        <f t="shared" si="7"/>
        <v>53</v>
      </c>
      <c r="V34" s="174">
        <f>VLOOKUP(D34,原始分!$D:$N,11,0)</f>
        <v>62</v>
      </c>
      <c r="W34" s="174">
        <f t="shared" si="8"/>
        <v>6</v>
      </c>
      <c r="X34" s="11">
        <f t="shared" si="9"/>
        <v>311</v>
      </c>
      <c r="Y34" s="9">
        <f t="shared" si="10"/>
        <v>69</v>
      </c>
      <c r="Z34" s="11">
        <f t="shared" si="11"/>
        <v>506.5</v>
      </c>
      <c r="AA34" s="9">
        <f t="shared" si="12"/>
        <v>32</v>
      </c>
    </row>
    <row r="35" ht="14.25" spans="1:27">
      <c r="A35" s="13">
        <v>757</v>
      </c>
      <c r="B35" s="15">
        <v>16</v>
      </c>
      <c r="C35" s="16">
        <v>12</v>
      </c>
      <c r="D35" s="15" t="s">
        <v>1513</v>
      </c>
      <c r="E35" s="15" t="s">
        <v>1514</v>
      </c>
      <c r="F35" s="174">
        <f>VLOOKUP(D35,原始分!$D:$N,3,0)</f>
        <v>101.5</v>
      </c>
      <c r="G35" s="174">
        <f t="shared" si="0"/>
        <v>110</v>
      </c>
      <c r="H35" s="174">
        <f>VLOOKUP(D35,原始分!$D:$N,4,0)</f>
        <v>102.5</v>
      </c>
      <c r="I35" s="174">
        <f t="shared" si="1"/>
        <v>56</v>
      </c>
      <c r="J35" s="174">
        <f>VLOOKUP(D35,原始分!$D:$N,5,0)</f>
        <v>114</v>
      </c>
      <c r="K35" s="174">
        <f t="shared" si="2"/>
        <v>51</v>
      </c>
      <c r="L35" s="174">
        <f>VLOOKUP(D35,原始分!$D:$N,6,0)</f>
        <v>0</v>
      </c>
      <c r="M35" s="174">
        <f t="shared" si="3"/>
        <v>1</v>
      </c>
      <c r="N35" s="174">
        <f>VLOOKUP(D35,原始分!$D:$N,7,0)</f>
        <v>57.25</v>
      </c>
      <c r="O35" s="174">
        <f t="shared" si="4"/>
        <v>99</v>
      </c>
      <c r="P35" s="174">
        <f>VLOOKUP(D35,原始分!$D:$N,8,0)</f>
        <v>0</v>
      </c>
      <c r="Q35" s="174">
        <f t="shared" si="5"/>
        <v>3</v>
      </c>
      <c r="R35" s="174">
        <f>VLOOKUP(D35,原始分!$D:$N,9,0)</f>
        <v>0</v>
      </c>
      <c r="S35" s="174">
        <f t="shared" si="6"/>
        <v>103</v>
      </c>
      <c r="T35" s="174">
        <f>VLOOKUP(D35,原始分!$D:$N,10,0)</f>
        <v>70.5</v>
      </c>
      <c r="U35" s="174">
        <f t="shared" si="7"/>
        <v>10</v>
      </c>
      <c r="V35" s="174">
        <f>VLOOKUP(D35,原始分!$D:$N,11,0)</f>
        <v>58.5</v>
      </c>
      <c r="W35" s="174">
        <f t="shared" si="8"/>
        <v>22</v>
      </c>
      <c r="X35" s="11">
        <f t="shared" si="9"/>
        <v>318</v>
      </c>
      <c r="Y35" s="9">
        <f t="shared" si="10"/>
        <v>46</v>
      </c>
      <c r="Z35" s="11">
        <f t="shared" si="11"/>
        <v>504.25</v>
      </c>
      <c r="AA35" s="9">
        <f t="shared" si="12"/>
        <v>33</v>
      </c>
    </row>
    <row r="36" ht="14.25" spans="1:27">
      <c r="A36" s="13">
        <v>760</v>
      </c>
      <c r="B36" s="15">
        <v>16</v>
      </c>
      <c r="C36" s="16">
        <v>15</v>
      </c>
      <c r="D36" s="15" t="s">
        <v>1519</v>
      </c>
      <c r="E36" s="15" t="s">
        <v>1520</v>
      </c>
      <c r="F36" s="174">
        <f>VLOOKUP(D36,原始分!$D:$N,3,0)</f>
        <v>105</v>
      </c>
      <c r="G36" s="174">
        <f t="shared" si="0"/>
        <v>65</v>
      </c>
      <c r="H36" s="174">
        <f>VLOOKUP(D36,原始分!$D:$N,4,0)</f>
        <v>105</v>
      </c>
      <c r="I36" s="174">
        <f t="shared" si="1"/>
        <v>47</v>
      </c>
      <c r="J36" s="174">
        <f>VLOOKUP(D36,原始分!$D:$N,5,0)</f>
        <v>124</v>
      </c>
      <c r="K36" s="174">
        <f t="shared" si="2"/>
        <v>10</v>
      </c>
      <c r="L36" s="174">
        <f>VLOOKUP(D36,原始分!$D:$N,6,0)</f>
        <v>0</v>
      </c>
      <c r="M36" s="174">
        <f t="shared" si="3"/>
        <v>1</v>
      </c>
      <c r="N36" s="174">
        <f>VLOOKUP(D36,原始分!$D:$N,7,0)</f>
        <v>67</v>
      </c>
      <c r="O36" s="174">
        <f t="shared" si="4"/>
        <v>18</v>
      </c>
      <c r="P36" s="174">
        <f>VLOOKUP(D36,原始分!$D:$N,8,0)</f>
        <v>0</v>
      </c>
      <c r="Q36" s="174">
        <f t="shared" si="5"/>
        <v>3</v>
      </c>
      <c r="R36" s="174">
        <f>VLOOKUP(D36,原始分!$D:$N,9,0)</f>
        <v>0</v>
      </c>
      <c r="S36" s="174">
        <f t="shared" si="6"/>
        <v>103</v>
      </c>
      <c r="T36" s="174">
        <f>VLOOKUP(D36,原始分!$D:$N,10,0)</f>
        <v>52.5</v>
      </c>
      <c r="U36" s="174">
        <f t="shared" si="7"/>
        <v>160</v>
      </c>
      <c r="V36" s="174">
        <f>VLOOKUP(D36,原始分!$D:$N,11,0)</f>
        <v>49.5</v>
      </c>
      <c r="W36" s="174">
        <f t="shared" si="8"/>
        <v>58</v>
      </c>
      <c r="X36" s="11">
        <f t="shared" si="9"/>
        <v>334</v>
      </c>
      <c r="Y36" s="9">
        <f t="shared" si="10"/>
        <v>20</v>
      </c>
      <c r="Z36" s="11">
        <f t="shared" si="11"/>
        <v>503</v>
      </c>
      <c r="AA36" s="9">
        <f t="shared" si="12"/>
        <v>34</v>
      </c>
    </row>
    <row r="37" ht="14.25" spans="1:27">
      <c r="A37" s="13">
        <v>705</v>
      </c>
      <c r="B37" s="15">
        <v>15</v>
      </c>
      <c r="C37" s="16">
        <v>2</v>
      </c>
      <c r="D37" s="15" t="s">
        <v>1414</v>
      </c>
      <c r="E37" s="15" t="s">
        <v>1415</v>
      </c>
      <c r="F37" s="174">
        <f>VLOOKUP(D37,原始分!$D:$N,3,0)</f>
        <v>110.5</v>
      </c>
      <c r="G37" s="174">
        <f t="shared" si="0"/>
        <v>24</v>
      </c>
      <c r="H37" s="174">
        <f>VLOOKUP(D37,原始分!$D:$N,4,0)</f>
        <v>114</v>
      </c>
      <c r="I37" s="174">
        <f t="shared" si="1"/>
        <v>15</v>
      </c>
      <c r="J37" s="174">
        <f>VLOOKUP(D37,原始分!$D:$N,5,0)</f>
        <v>93</v>
      </c>
      <c r="K37" s="174">
        <f t="shared" si="2"/>
        <v>154</v>
      </c>
      <c r="L37" s="174">
        <f>VLOOKUP(D37,原始分!$D:$N,6,0)</f>
        <v>0</v>
      </c>
      <c r="M37" s="174">
        <f t="shared" si="3"/>
        <v>1</v>
      </c>
      <c r="N37" s="174">
        <f>VLOOKUP(D37,原始分!$D:$N,7,0)</f>
        <v>62.5</v>
      </c>
      <c r="O37" s="174">
        <f t="shared" si="4"/>
        <v>45</v>
      </c>
      <c r="P37" s="174">
        <f>VLOOKUP(D37,原始分!$D:$N,8,0)</f>
        <v>0</v>
      </c>
      <c r="Q37" s="174">
        <f t="shared" si="5"/>
        <v>3</v>
      </c>
      <c r="R37" s="174">
        <f>VLOOKUP(D37,原始分!$D:$N,9,0)</f>
        <v>0</v>
      </c>
      <c r="S37" s="174">
        <f t="shared" si="6"/>
        <v>103</v>
      </c>
      <c r="T37" s="174">
        <f>VLOOKUP(D37,原始分!$D:$N,10,0)</f>
        <v>63.5</v>
      </c>
      <c r="U37" s="174">
        <f t="shared" si="7"/>
        <v>53</v>
      </c>
      <c r="V37" s="174">
        <f>VLOOKUP(D37,原始分!$D:$N,11,0)</f>
        <v>59</v>
      </c>
      <c r="W37" s="174">
        <f t="shared" si="8"/>
        <v>18</v>
      </c>
      <c r="X37" s="11">
        <f t="shared" si="9"/>
        <v>317.5</v>
      </c>
      <c r="Y37" s="9">
        <f t="shared" si="10"/>
        <v>50</v>
      </c>
      <c r="Z37" s="11">
        <f t="shared" si="11"/>
        <v>502.5</v>
      </c>
      <c r="AA37" s="9">
        <f t="shared" si="12"/>
        <v>35</v>
      </c>
    </row>
    <row r="38" ht="14.25" spans="1:27">
      <c r="A38" s="13">
        <v>773</v>
      </c>
      <c r="B38" s="15">
        <v>16</v>
      </c>
      <c r="C38" s="16">
        <v>29</v>
      </c>
      <c r="D38" s="15" t="s">
        <v>1544</v>
      </c>
      <c r="E38" s="15" t="s">
        <v>1545</v>
      </c>
      <c r="F38" s="174">
        <f>VLOOKUP(D38,原始分!$D:$N,3,0)</f>
        <v>101</v>
      </c>
      <c r="G38" s="174">
        <f t="shared" si="0"/>
        <v>115</v>
      </c>
      <c r="H38" s="174">
        <f>VLOOKUP(D38,原始分!$D:$N,4,0)</f>
        <v>119</v>
      </c>
      <c r="I38" s="174">
        <f t="shared" si="1"/>
        <v>8</v>
      </c>
      <c r="J38" s="174">
        <f>VLOOKUP(D38,原始分!$D:$N,5,0)</f>
        <v>105.5</v>
      </c>
      <c r="K38" s="174">
        <f t="shared" si="2"/>
        <v>98</v>
      </c>
      <c r="L38" s="174">
        <f>VLOOKUP(D38,原始分!$D:$N,6,0)</f>
        <v>0</v>
      </c>
      <c r="M38" s="174">
        <f t="shared" si="3"/>
        <v>1</v>
      </c>
      <c r="N38" s="174">
        <f>VLOOKUP(D38,原始分!$D:$N,7,0)</f>
        <v>56.5</v>
      </c>
      <c r="O38" s="174">
        <f t="shared" si="4"/>
        <v>101</v>
      </c>
      <c r="P38" s="174">
        <f>VLOOKUP(D38,原始分!$D:$N,8,0)</f>
        <v>0</v>
      </c>
      <c r="Q38" s="174">
        <f t="shared" si="5"/>
        <v>3</v>
      </c>
      <c r="R38" s="174">
        <f>VLOOKUP(D38,原始分!$D:$N,9,0)</f>
        <v>56</v>
      </c>
      <c r="S38" s="174">
        <f t="shared" si="6"/>
        <v>24</v>
      </c>
      <c r="T38" s="174">
        <f>VLOOKUP(D38,原始分!$D:$N,10,0)</f>
        <v>64.5</v>
      </c>
      <c r="U38" s="174">
        <f t="shared" si="7"/>
        <v>43</v>
      </c>
      <c r="V38" s="174">
        <f>VLOOKUP(D38,原始分!$D:$N,11,0)</f>
        <v>0</v>
      </c>
      <c r="W38" s="174">
        <f t="shared" si="8"/>
        <v>105</v>
      </c>
      <c r="X38" s="11">
        <f t="shared" si="9"/>
        <v>325.5</v>
      </c>
      <c r="Y38" s="9">
        <f t="shared" si="10"/>
        <v>32</v>
      </c>
      <c r="Z38" s="11">
        <f t="shared" si="11"/>
        <v>502.5</v>
      </c>
      <c r="AA38" s="9">
        <f t="shared" si="12"/>
        <v>35</v>
      </c>
    </row>
    <row r="39" ht="14.25" spans="1:27">
      <c r="A39" s="13">
        <v>776</v>
      </c>
      <c r="B39" s="15">
        <v>16</v>
      </c>
      <c r="C39" s="16">
        <v>33</v>
      </c>
      <c r="D39" s="15" t="s">
        <v>1550</v>
      </c>
      <c r="E39" s="15" t="s">
        <v>1551</v>
      </c>
      <c r="F39" s="174">
        <f>VLOOKUP(D39,原始分!$D:$N,3,0)</f>
        <v>108.5</v>
      </c>
      <c r="G39" s="174">
        <f t="shared" si="0"/>
        <v>31</v>
      </c>
      <c r="H39" s="174">
        <f>VLOOKUP(D39,原始分!$D:$N,4,0)</f>
        <v>95</v>
      </c>
      <c r="I39" s="174">
        <f t="shared" si="1"/>
        <v>93</v>
      </c>
      <c r="J39" s="174">
        <f>VLOOKUP(D39,原始分!$D:$N,5,0)</f>
        <v>123.25</v>
      </c>
      <c r="K39" s="174">
        <f t="shared" si="2"/>
        <v>12</v>
      </c>
      <c r="L39" s="174">
        <f>VLOOKUP(D39,原始分!$D:$N,6,0)</f>
        <v>0</v>
      </c>
      <c r="M39" s="174">
        <f t="shared" si="3"/>
        <v>1</v>
      </c>
      <c r="N39" s="174">
        <f>VLOOKUP(D39,原始分!$D:$N,7,0)</f>
        <v>61.5</v>
      </c>
      <c r="O39" s="174">
        <f t="shared" si="4"/>
        <v>56</v>
      </c>
      <c r="P39" s="174">
        <f>VLOOKUP(D39,原始分!$D:$N,8,0)</f>
        <v>0</v>
      </c>
      <c r="Q39" s="174">
        <f t="shared" si="5"/>
        <v>3</v>
      </c>
      <c r="R39" s="174">
        <f>VLOOKUP(D39,原始分!$D:$N,9,0)</f>
        <v>54.5</v>
      </c>
      <c r="S39" s="174">
        <f t="shared" si="6"/>
        <v>34</v>
      </c>
      <c r="T39" s="174">
        <f>VLOOKUP(D39,原始分!$D:$N,10,0)</f>
        <v>59.5</v>
      </c>
      <c r="U39" s="174">
        <f t="shared" si="7"/>
        <v>89</v>
      </c>
      <c r="V39" s="174">
        <f>VLOOKUP(D39,原始分!$D:$N,11,0)</f>
        <v>0</v>
      </c>
      <c r="W39" s="174">
        <f t="shared" si="8"/>
        <v>105</v>
      </c>
      <c r="X39" s="11">
        <f t="shared" si="9"/>
        <v>326.75</v>
      </c>
      <c r="Y39" s="9">
        <f t="shared" si="10"/>
        <v>28</v>
      </c>
      <c r="Z39" s="11">
        <f t="shared" si="11"/>
        <v>502.25</v>
      </c>
      <c r="AA39" s="9">
        <f t="shared" si="12"/>
        <v>37</v>
      </c>
    </row>
    <row r="40" ht="14.25" spans="1:27">
      <c r="A40" s="13">
        <v>842</v>
      </c>
      <c r="B40" s="15">
        <v>18</v>
      </c>
      <c r="C40" s="16">
        <v>22</v>
      </c>
      <c r="D40" s="15" t="s">
        <v>1682</v>
      </c>
      <c r="E40" s="15" t="s">
        <v>1683</v>
      </c>
      <c r="F40" s="174">
        <f>VLOOKUP(D40,原始分!$D:$N,3,0)</f>
        <v>98.5</v>
      </c>
      <c r="G40" s="174">
        <f t="shared" si="0"/>
        <v>146</v>
      </c>
      <c r="H40" s="174">
        <f>VLOOKUP(D40,原始分!$D:$N,4,0)</f>
        <v>110.5</v>
      </c>
      <c r="I40" s="174">
        <f t="shared" si="1"/>
        <v>28</v>
      </c>
      <c r="J40" s="174">
        <f>VLOOKUP(D40,原始分!$D:$N,5,0)</f>
        <v>83.5</v>
      </c>
      <c r="K40" s="174">
        <f t="shared" si="2"/>
        <v>187</v>
      </c>
      <c r="L40" s="174">
        <f>VLOOKUP(D40,原始分!$D:$N,6,0)</f>
        <v>0</v>
      </c>
      <c r="M40" s="174">
        <f t="shared" si="3"/>
        <v>1</v>
      </c>
      <c r="N40" s="174">
        <f>VLOOKUP(D40,原始分!$D:$N,7,0)</f>
        <v>76</v>
      </c>
      <c r="O40" s="174">
        <f t="shared" si="4"/>
        <v>2</v>
      </c>
      <c r="P40" s="174">
        <f>VLOOKUP(D40,原始分!$D:$N,8,0)</f>
        <v>0</v>
      </c>
      <c r="Q40" s="174">
        <f t="shared" si="5"/>
        <v>3</v>
      </c>
      <c r="R40" s="174">
        <f>VLOOKUP(D40,原始分!$D:$N,9,0)</f>
        <v>65</v>
      </c>
      <c r="S40" s="174">
        <f t="shared" si="6"/>
        <v>6</v>
      </c>
      <c r="T40" s="174">
        <f>VLOOKUP(D40,原始分!$D:$N,10,0)</f>
        <v>67</v>
      </c>
      <c r="U40" s="174">
        <f t="shared" si="7"/>
        <v>23</v>
      </c>
      <c r="V40" s="174">
        <f>VLOOKUP(D40,原始分!$D:$N,11,0)</f>
        <v>0</v>
      </c>
      <c r="W40" s="174">
        <f t="shared" si="8"/>
        <v>105</v>
      </c>
      <c r="X40" s="11">
        <f t="shared" si="9"/>
        <v>292.5</v>
      </c>
      <c r="Y40" s="9">
        <f t="shared" si="10"/>
        <v>122</v>
      </c>
      <c r="Z40" s="11">
        <f t="shared" si="11"/>
        <v>500.5</v>
      </c>
      <c r="AA40" s="9">
        <f t="shared" si="12"/>
        <v>38</v>
      </c>
    </row>
    <row r="41" ht="14.25" spans="1:27">
      <c r="A41" s="13">
        <v>792</v>
      </c>
      <c r="B41" s="15">
        <v>17</v>
      </c>
      <c r="C41" s="16">
        <v>13</v>
      </c>
      <c r="D41" s="15" t="s">
        <v>1582</v>
      </c>
      <c r="E41" s="15" t="s">
        <v>1583</v>
      </c>
      <c r="F41" s="174">
        <f>VLOOKUP(D41,原始分!$D:$N,3,0)</f>
        <v>109.5</v>
      </c>
      <c r="G41" s="174">
        <f t="shared" si="0"/>
        <v>27</v>
      </c>
      <c r="H41" s="174">
        <f>VLOOKUP(D41,原始分!$D:$N,4,0)</f>
        <v>98.5</v>
      </c>
      <c r="I41" s="174">
        <f t="shared" si="1"/>
        <v>77</v>
      </c>
      <c r="J41" s="174">
        <f>VLOOKUP(D41,原始分!$D:$N,5,0)</f>
        <v>112</v>
      </c>
      <c r="K41" s="174">
        <f t="shared" si="2"/>
        <v>62</v>
      </c>
      <c r="L41" s="174">
        <f>VLOOKUP(D41,原始分!$D:$N,6,0)</f>
        <v>0</v>
      </c>
      <c r="M41" s="174">
        <f t="shared" si="3"/>
        <v>1</v>
      </c>
      <c r="N41" s="174">
        <f>VLOOKUP(D41,原始分!$D:$N,7,0)</f>
        <v>62</v>
      </c>
      <c r="O41" s="174">
        <f t="shared" si="4"/>
        <v>50</v>
      </c>
      <c r="P41" s="174">
        <f>VLOOKUP(D41,原始分!$D:$N,8,0)</f>
        <v>0</v>
      </c>
      <c r="Q41" s="174">
        <f t="shared" si="5"/>
        <v>3</v>
      </c>
      <c r="R41" s="174">
        <f>VLOOKUP(D41,原始分!$D:$N,9,0)</f>
        <v>53.5</v>
      </c>
      <c r="S41" s="174">
        <f t="shared" si="6"/>
        <v>41</v>
      </c>
      <c r="T41" s="174">
        <f>VLOOKUP(D41,原始分!$D:$N,10,0)</f>
        <v>63.5</v>
      </c>
      <c r="U41" s="174">
        <f t="shared" si="7"/>
        <v>53</v>
      </c>
      <c r="V41" s="174">
        <f>VLOOKUP(D41,原始分!$D:$N,11,0)</f>
        <v>0</v>
      </c>
      <c r="W41" s="174">
        <f t="shared" si="8"/>
        <v>105</v>
      </c>
      <c r="X41" s="11">
        <f t="shared" si="9"/>
        <v>320</v>
      </c>
      <c r="Y41" s="9">
        <f t="shared" si="10"/>
        <v>42</v>
      </c>
      <c r="Z41" s="11">
        <f t="shared" si="11"/>
        <v>499</v>
      </c>
      <c r="AA41" s="9">
        <f t="shared" si="12"/>
        <v>39</v>
      </c>
    </row>
    <row r="42" ht="14.25" spans="1:27">
      <c r="A42" s="13">
        <v>779</v>
      </c>
      <c r="B42" s="15">
        <v>16</v>
      </c>
      <c r="C42" s="16">
        <v>36</v>
      </c>
      <c r="D42" s="15" t="s">
        <v>1556</v>
      </c>
      <c r="E42" s="15" t="s">
        <v>1557</v>
      </c>
      <c r="F42" s="174">
        <f>VLOOKUP(D42,原始分!$D:$N,3,0)</f>
        <v>112.5</v>
      </c>
      <c r="G42" s="174">
        <f t="shared" si="0"/>
        <v>14</v>
      </c>
      <c r="H42" s="174">
        <f>VLOOKUP(D42,原始分!$D:$N,4,0)</f>
        <v>94</v>
      </c>
      <c r="I42" s="174">
        <f t="shared" si="1"/>
        <v>97</v>
      </c>
      <c r="J42" s="174">
        <f>VLOOKUP(D42,原始分!$D:$N,5,0)</f>
        <v>118.5</v>
      </c>
      <c r="K42" s="174">
        <f t="shared" si="2"/>
        <v>27</v>
      </c>
      <c r="L42" s="174">
        <f>VLOOKUP(D42,原始分!$D:$N,6,0)</f>
        <v>0</v>
      </c>
      <c r="M42" s="174">
        <f t="shared" si="3"/>
        <v>1</v>
      </c>
      <c r="N42" s="174">
        <f>VLOOKUP(D42,原始分!$D:$N,7,0)</f>
        <v>67</v>
      </c>
      <c r="O42" s="174">
        <f t="shared" si="4"/>
        <v>18</v>
      </c>
      <c r="P42" s="174">
        <f>VLOOKUP(D42,原始分!$D:$N,8,0)</f>
        <v>0</v>
      </c>
      <c r="Q42" s="174">
        <f t="shared" si="5"/>
        <v>3</v>
      </c>
      <c r="R42" s="174">
        <f>VLOOKUP(D42,原始分!$D:$N,9,0)</f>
        <v>44.5</v>
      </c>
      <c r="S42" s="174">
        <f t="shared" si="6"/>
        <v>84</v>
      </c>
      <c r="T42" s="174">
        <f>VLOOKUP(D42,原始分!$D:$N,10,0)</f>
        <v>62</v>
      </c>
      <c r="U42" s="174">
        <f t="shared" si="7"/>
        <v>63</v>
      </c>
      <c r="V42" s="174">
        <f>VLOOKUP(D42,原始分!$D:$N,11,0)</f>
        <v>0</v>
      </c>
      <c r="W42" s="174">
        <f t="shared" si="8"/>
        <v>105</v>
      </c>
      <c r="X42" s="11">
        <f t="shared" si="9"/>
        <v>325</v>
      </c>
      <c r="Y42" s="9">
        <f t="shared" si="10"/>
        <v>34</v>
      </c>
      <c r="Z42" s="11">
        <f t="shared" si="11"/>
        <v>498.5</v>
      </c>
      <c r="AA42" s="9">
        <f t="shared" si="12"/>
        <v>40</v>
      </c>
    </row>
    <row r="43" ht="14.25" spans="1:27">
      <c r="A43" s="13">
        <v>746</v>
      </c>
      <c r="B43" s="15">
        <v>16</v>
      </c>
      <c r="C43" s="16">
        <v>1</v>
      </c>
      <c r="D43" s="15" t="s">
        <v>1494</v>
      </c>
      <c r="E43" s="15" t="s">
        <v>1495</v>
      </c>
      <c r="F43" s="174">
        <f>VLOOKUP(D43,原始分!$D:$N,3,0)</f>
        <v>107</v>
      </c>
      <c r="G43" s="174">
        <f t="shared" si="0"/>
        <v>50</v>
      </c>
      <c r="H43" s="174">
        <f>VLOOKUP(D43,原始分!$D:$N,4,0)</f>
        <v>119.5</v>
      </c>
      <c r="I43" s="174">
        <f t="shared" si="1"/>
        <v>7</v>
      </c>
      <c r="J43" s="174">
        <f>VLOOKUP(D43,原始分!$D:$N,5,0)</f>
        <v>117</v>
      </c>
      <c r="K43" s="174">
        <f t="shared" si="2"/>
        <v>36</v>
      </c>
      <c r="L43" s="174">
        <f>VLOOKUP(D43,原始分!$D:$N,6,0)</f>
        <v>0</v>
      </c>
      <c r="M43" s="174">
        <f t="shared" si="3"/>
        <v>1</v>
      </c>
      <c r="N43" s="174">
        <f>VLOOKUP(D43,原始分!$D:$N,7,0)</f>
        <v>55</v>
      </c>
      <c r="O43" s="174">
        <f t="shared" si="4"/>
        <v>124</v>
      </c>
      <c r="P43" s="174">
        <f>VLOOKUP(D43,原始分!$D:$N,8,0)</f>
        <v>41.5</v>
      </c>
      <c r="Q43" s="174">
        <f t="shared" si="5"/>
        <v>2</v>
      </c>
      <c r="R43" s="174">
        <f>VLOOKUP(D43,原始分!$D:$N,9,0)</f>
        <v>0</v>
      </c>
      <c r="S43" s="174">
        <f t="shared" si="6"/>
        <v>103</v>
      </c>
      <c r="T43" s="174">
        <f>VLOOKUP(D43,原始分!$D:$N,10,0)</f>
        <v>0</v>
      </c>
      <c r="U43" s="174">
        <f t="shared" si="7"/>
        <v>205</v>
      </c>
      <c r="V43" s="174">
        <f>VLOOKUP(D43,原始分!$D:$N,11,0)</f>
        <v>58</v>
      </c>
      <c r="W43" s="174">
        <f t="shared" si="8"/>
        <v>23</v>
      </c>
      <c r="X43" s="11">
        <f t="shared" si="9"/>
        <v>343.5</v>
      </c>
      <c r="Y43" s="9">
        <f t="shared" si="10"/>
        <v>9</v>
      </c>
      <c r="Z43" s="11">
        <f t="shared" si="11"/>
        <v>498</v>
      </c>
      <c r="AA43" s="9">
        <f t="shared" si="12"/>
        <v>41</v>
      </c>
    </row>
    <row r="44" ht="14.25" spans="1:27">
      <c r="A44" s="13">
        <v>754</v>
      </c>
      <c r="B44" s="15">
        <v>16</v>
      </c>
      <c r="C44" s="16">
        <v>9</v>
      </c>
      <c r="D44" s="15" t="s">
        <v>1508</v>
      </c>
      <c r="E44" s="15" t="s">
        <v>1509</v>
      </c>
      <c r="F44" s="174">
        <f>VLOOKUP(D44,原始分!$D:$N,3,0)</f>
        <v>100.5</v>
      </c>
      <c r="G44" s="174">
        <f t="shared" si="0"/>
        <v>119</v>
      </c>
      <c r="H44" s="174">
        <f>VLOOKUP(D44,原始分!$D:$N,4,0)</f>
        <v>97.5</v>
      </c>
      <c r="I44" s="174">
        <f t="shared" si="1"/>
        <v>82</v>
      </c>
      <c r="J44" s="174">
        <f>VLOOKUP(D44,原始分!$D:$N,5,0)</f>
        <v>111.5</v>
      </c>
      <c r="K44" s="174">
        <f t="shared" si="2"/>
        <v>63</v>
      </c>
      <c r="L44" s="174">
        <f>VLOOKUP(D44,原始分!$D:$N,6,0)</f>
        <v>0</v>
      </c>
      <c r="M44" s="174">
        <f t="shared" si="3"/>
        <v>1</v>
      </c>
      <c r="N44" s="174">
        <f>VLOOKUP(D44,原始分!$D:$N,7,0)</f>
        <v>72</v>
      </c>
      <c r="O44" s="174">
        <f t="shared" si="4"/>
        <v>3</v>
      </c>
      <c r="P44" s="174">
        <f>VLOOKUP(D44,原始分!$D:$N,8,0)</f>
        <v>0</v>
      </c>
      <c r="Q44" s="174">
        <f t="shared" si="5"/>
        <v>3</v>
      </c>
      <c r="R44" s="174">
        <f>VLOOKUP(D44,原始分!$D:$N,9,0)</f>
        <v>0</v>
      </c>
      <c r="S44" s="174">
        <f t="shared" si="6"/>
        <v>103</v>
      </c>
      <c r="T44" s="174">
        <f>VLOOKUP(D44,原始分!$D:$N,10,0)</f>
        <v>65.5</v>
      </c>
      <c r="U44" s="174">
        <f t="shared" si="7"/>
        <v>33</v>
      </c>
      <c r="V44" s="174">
        <f>VLOOKUP(D44,原始分!$D:$N,11,0)</f>
        <v>51</v>
      </c>
      <c r="W44" s="174">
        <f t="shared" si="8"/>
        <v>52</v>
      </c>
      <c r="X44" s="11">
        <f t="shared" si="9"/>
        <v>309.5</v>
      </c>
      <c r="Y44" s="9">
        <f t="shared" si="10"/>
        <v>73</v>
      </c>
      <c r="Z44" s="11">
        <f t="shared" si="11"/>
        <v>498</v>
      </c>
      <c r="AA44" s="9">
        <f t="shared" si="12"/>
        <v>41</v>
      </c>
    </row>
    <row r="45" ht="14.25" spans="1:27">
      <c r="A45" s="13">
        <v>717</v>
      </c>
      <c r="B45" s="15">
        <v>15</v>
      </c>
      <c r="C45" s="16">
        <v>16</v>
      </c>
      <c r="D45" s="15" t="s">
        <v>1437</v>
      </c>
      <c r="E45" s="15" t="s">
        <v>1438</v>
      </c>
      <c r="F45" s="174">
        <f>VLOOKUP(D45,原始分!$D:$N,3,0)</f>
        <v>107.5</v>
      </c>
      <c r="G45" s="174">
        <f t="shared" si="0"/>
        <v>40</v>
      </c>
      <c r="H45" s="174">
        <f>VLOOKUP(D45,原始分!$D:$N,4,0)</f>
        <v>88.5</v>
      </c>
      <c r="I45" s="174">
        <f t="shared" si="1"/>
        <v>128</v>
      </c>
      <c r="J45" s="174">
        <f>VLOOKUP(D45,原始分!$D:$N,5,0)</f>
        <v>129</v>
      </c>
      <c r="K45" s="174">
        <f t="shared" si="2"/>
        <v>4</v>
      </c>
      <c r="L45" s="174">
        <f>VLOOKUP(D45,原始分!$D:$N,6,0)</f>
        <v>0</v>
      </c>
      <c r="M45" s="174">
        <f t="shared" si="3"/>
        <v>1</v>
      </c>
      <c r="N45" s="174">
        <f>VLOOKUP(D45,原始分!$D:$N,7,0)</f>
        <v>52</v>
      </c>
      <c r="O45" s="174">
        <f t="shared" si="4"/>
        <v>145</v>
      </c>
      <c r="P45" s="174">
        <f>VLOOKUP(D45,原始分!$D:$N,8,0)</f>
        <v>0</v>
      </c>
      <c r="Q45" s="174">
        <f t="shared" si="5"/>
        <v>3</v>
      </c>
      <c r="R45" s="174">
        <f>VLOOKUP(D45,原始分!$D:$N,9,0)</f>
        <v>0</v>
      </c>
      <c r="S45" s="174">
        <f t="shared" si="6"/>
        <v>103</v>
      </c>
      <c r="T45" s="174">
        <f>VLOOKUP(D45,原始分!$D:$N,10,0)</f>
        <v>57.5</v>
      </c>
      <c r="U45" s="174">
        <f t="shared" si="7"/>
        <v>115</v>
      </c>
      <c r="V45" s="174">
        <f>VLOOKUP(D45,原始分!$D:$N,11,0)</f>
        <v>63</v>
      </c>
      <c r="W45" s="174">
        <f t="shared" si="8"/>
        <v>4</v>
      </c>
      <c r="X45" s="11">
        <f t="shared" si="9"/>
        <v>325</v>
      </c>
      <c r="Y45" s="9">
        <f t="shared" si="10"/>
        <v>34</v>
      </c>
      <c r="Z45" s="11">
        <f t="shared" si="11"/>
        <v>497.5</v>
      </c>
      <c r="AA45" s="9">
        <f t="shared" si="12"/>
        <v>43</v>
      </c>
    </row>
    <row r="46" ht="14.25" spans="1:27">
      <c r="A46" s="13">
        <v>684</v>
      </c>
      <c r="B46" s="15">
        <v>14</v>
      </c>
      <c r="C46" s="16">
        <v>25</v>
      </c>
      <c r="D46" s="15" t="s">
        <v>1374</v>
      </c>
      <c r="E46" s="15" t="s">
        <v>1375</v>
      </c>
      <c r="F46" s="174">
        <f>VLOOKUP(D46,原始分!$D:$N,3,0)</f>
        <v>107</v>
      </c>
      <c r="G46" s="174">
        <f t="shared" si="0"/>
        <v>50</v>
      </c>
      <c r="H46" s="174">
        <f>VLOOKUP(D46,原始分!$D:$N,4,0)</f>
        <v>95</v>
      </c>
      <c r="I46" s="174">
        <f t="shared" si="1"/>
        <v>93</v>
      </c>
      <c r="J46" s="174">
        <f>VLOOKUP(D46,原始分!$D:$N,5,0)</f>
        <v>113.25</v>
      </c>
      <c r="K46" s="174">
        <f t="shared" si="2"/>
        <v>58</v>
      </c>
      <c r="L46" s="174">
        <f>VLOOKUP(D46,原始分!$D:$N,6,0)</f>
        <v>0</v>
      </c>
      <c r="M46" s="174">
        <f t="shared" si="3"/>
        <v>1</v>
      </c>
      <c r="N46" s="174">
        <f>VLOOKUP(D46,原始分!$D:$N,7,0)</f>
        <v>66</v>
      </c>
      <c r="O46" s="174">
        <f t="shared" si="4"/>
        <v>24</v>
      </c>
      <c r="P46" s="174">
        <f>VLOOKUP(D46,原始分!$D:$N,8,0)</f>
        <v>0</v>
      </c>
      <c r="Q46" s="174">
        <f t="shared" si="5"/>
        <v>3</v>
      </c>
      <c r="R46" s="174">
        <f>VLOOKUP(D46,原始分!$D:$N,9,0)</f>
        <v>0</v>
      </c>
      <c r="S46" s="174">
        <f t="shared" si="6"/>
        <v>103</v>
      </c>
      <c r="T46" s="174">
        <f>VLOOKUP(D46,原始分!$D:$N,10,0)</f>
        <v>64</v>
      </c>
      <c r="U46" s="174">
        <f t="shared" si="7"/>
        <v>49</v>
      </c>
      <c r="V46" s="174">
        <f>VLOOKUP(D46,原始分!$D:$N,11,0)</f>
        <v>52</v>
      </c>
      <c r="W46" s="174">
        <f t="shared" si="8"/>
        <v>45</v>
      </c>
      <c r="X46" s="11">
        <f t="shared" si="9"/>
        <v>315.25</v>
      </c>
      <c r="Y46" s="9">
        <f t="shared" si="10"/>
        <v>54</v>
      </c>
      <c r="Z46" s="11">
        <f t="shared" si="11"/>
        <v>497.25</v>
      </c>
      <c r="AA46" s="9">
        <f t="shared" si="12"/>
        <v>44</v>
      </c>
    </row>
    <row r="47" ht="14.25" spans="1:27">
      <c r="A47" s="13">
        <v>783</v>
      </c>
      <c r="B47" s="15">
        <v>16</v>
      </c>
      <c r="C47" s="16">
        <v>40</v>
      </c>
      <c r="D47" s="15" t="s">
        <v>1564</v>
      </c>
      <c r="E47" s="15" t="s">
        <v>1565</v>
      </c>
      <c r="F47" s="174">
        <f>VLOOKUP(D47,原始分!$D:$N,3,0)</f>
        <v>99.25</v>
      </c>
      <c r="G47" s="174">
        <f t="shared" si="0"/>
        <v>138</v>
      </c>
      <c r="H47" s="174">
        <f>VLOOKUP(D47,原始分!$D:$N,4,0)</f>
        <v>95.5</v>
      </c>
      <c r="I47" s="174">
        <f t="shared" si="1"/>
        <v>88</v>
      </c>
      <c r="J47" s="174">
        <f>VLOOKUP(D47,原始分!$D:$N,5,0)</f>
        <v>120.5</v>
      </c>
      <c r="K47" s="174">
        <f t="shared" si="2"/>
        <v>20</v>
      </c>
      <c r="L47" s="174">
        <f>VLOOKUP(D47,原始分!$D:$N,6,0)</f>
        <v>0</v>
      </c>
      <c r="M47" s="174">
        <f t="shared" si="3"/>
        <v>1</v>
      </c>
      <c r="N47" s="174">
        <f>VLOOKUP(D47,原始分!$D:$N,7,0)</f>
        <v>68</v>
      </c>
      <c r="O47" s="174">
        <f t="shared" si="4"/>
        <v>16</v>
      </c>
      <c r="P47" s="174">
        <f>VLOOKUP(D47,原始分!$D:$N,8,0)</f>
        <v>0</v>
      </c>
      <c r="Q47" s="174">
        <f t="shared" si="5"/>
        <v>3</v>
      </c>
      <c r="R47" s="174">
        <f>VLOOKUP(D47,原始分!$D:$N,9,0)</f>
        <v>48</v>
      </c>
      <c r="S47" s="174">
        <f t="shared" si="6"/>
        <v>72</v>
      </c>
      <c r="T47" s="174">
        <f>VLOOKUP(D47,原始分!$D:$N,10,0)</f>
        <v>64.5</v>
      </c>
      <c r="U47" s="174">
        <f t="shared" si="7"/>
        <v>43</v>
      </c>
      <c r="V47" s="174">
        <f>VLOOKUP(D47,原始分!$D:$N,11,0)</f>
        <v>0</v>
      </c>
      <c r="W47" s="174">
        <f t="shared" si="8"/>
        <v>105</v>
      </c>
      <c r="X47" s="11">
        <f t="shared" si="9"/>
        <v>315.25</v>
      </c>
      <c r="Y47" s="9">
        <f t="shared" si="10"/>
        <v>54</v>
      </c>
      <c r="Z47" s="11">
        <f t="shared" si="11"/>
        <v>495.75</v>
      </c>
      <c r="AA47" s="9">
        <f t="shared" si="12"/>
        <v>45</v>
      </c>
    </row>
    <row r="48" ht="14.25" spans="1:27">
      <c r="A48" s="13">
        <v>833</v>
      </c>
      <c r="B48" s="15">
        <v>18</v>
      </c>
      <c r="C48" s="16">
        <v>11</v>
      </c>
      <c r="D48" s="15" t="s">
        <v>1664</v>
      </c>
      <c r="E48" s="15" t="s">
        <v>1665</v>
      </c>
      <c r="F48" s="174">
        <f>VLOOKUP(D48,原始分!$D:$N,3,0)</f>
        <v>108</v>
      </c>
      <c r="G48" s="174">
        <f t="shared" si="0"/>
        <v>34</v>
      </c>
      <c r="H48" s="174">
        <f>VLOOKUP(D48,原始分!$D:$N,4,0)</f>
        <v>91.5</v>
      </c>
      <c r="I48" s="174">
        <f t="shared" si="1"/>
        <v>112</v>
      </c>
      <c r="J48" s="174">
        <f>VLOOKUP(D48,原始分!$D:$N,5,0)</f>
        <v>102</v>
      </c>
      <c r="K48" s="174">
        <f t="shared" si="2"/>
        <v>115</v>
      </c>
      <c r="L48" s="174">
        <f>VLOOKUP(D48,原始分!$D:$N,6,0)</f>
        <v>0</v>
      </c>
      <c r="M48" s="174">
        <f t="shared" si="3"/>
        <v>1</v>
      </c>
      <c r="N48" s="174">
        <f>VLOOKUP(D48,原始分!$D:$N,7,0)</f>
        <v>71</v>
      </c>
      <c r="O48" s="174">
        <f t="shared" si="4"/>
        <v>6</v>
      </c>
      <c r="P48" s="174">
        <f>VLOOKUP(D48,原始分!$D:$N,8,0)</f>
        <v>0</v>
      </c>
      <c r="Q48" s="174">
        <f t="shared" si="5"/>
        <v>3</v>
      </c>
      <c r="R48" s="174">
        <f>VLOOKUP(D48,原始分!$D:$N,9,0)</f>
        <v>63</v>
      </c>
      <c r="S48" s="174">
        <f t="shared" si="6"/>
        <v>11</v>
      </c>
      <c r="T48" s="174">
        <f>VLOOKUP(D48,原始分!$D:$N,10,0)</f>
        <v>60</v>
      </c>
      <c r="U48" s="174">
        <f t="shared" si="7"/>
        <v>82</v>
      </c>
      <c r="V48" s="174">
        <f>VLOOKUP(D48,原始分!$D:$N,11,0)</f>
        <v>0</v>
      </c>
      <c r="W48" s="174">
        <f t="shared" si="8"/>
        <v>105</v>
      </c>
      <c r="X48" s="11">
        <f t="shared" si="9"/>
        <v>301.5</v>
      </c>
      <c r="Y48" s="9">
        <f t="shared" si="10"/>
        <v>93</v>
      </c>
      <c r="Z48" s="11">
        <f t="shared" si="11"/>
        <v>495.5</v>
      </c>
      <c r="AA48" s="9">
        <f t="shared" si="12"/>
        <v>46</v>
      </c>
    </row>
    <row r="49" ht="14.25" spans="1:27">
      <c r="A49" s="13">
        <v>759</v>
      </c>
      <c r="B49" s="15">
        <v>16</v>
      </c>
      <c r="C49" s="16">
        <v>14</v>
      </c>
      <c r="D49" s="15" t="s">
        <v>1517</v>
      </c>
      <c r="E49" s="15" t="s">
        <v>1518</v>
      </c>
      <c r="F49" s="174">
        <f>VLOOKUP(D49,原始分!$D:$N,3,0)</f>
        <v>113</v>
      </c>
      <c r="G49" s="174">
        <f t="shared" si="0"/>
        <v>10</v>
      </c>
      <c r="H49" s="174">
        <f>VLOOKUP(D49,原始分!$D:$N,4,0)</f>
        <v>93</v>
      </c>
      <c r="I49" s="174">
        <f t="shared" si="1"/>
        <v>105</v>
      </c>
      <c r="J49" s="174">
        <f>VLOOKUP(D49,原始分!$D:$N,5,0)</f>
        <v>118.5</v>
      </c>
      <c r="K49" s="174">
        <f t="shared" si="2"/>
        <v>27</v>
      </c>
      <c r="L49" s="174">
        <f>VLOOKUP(D49,原始分!$D:$N,6,0)</f>
        <v>0</v>
      </c>
      <c r="M49" s="174">
        <f t="shared" si="3"/>
        <v>1</v>
      </c>
      <c r="N49" s="174">
        <f>VLOOKUP(D49,原始分!$D:$N,7,0)</f>
        <v>63</v>
      </c>
      <c r="O49" s="174">
        <f t="shared" si="4"/>
        <v>43</v>
      </c>
      <c r="P49" s="174">
        <f>VLOOKUP(D49,原始分!$D:$N,8,0)</f>
        <v>0</v>
      </c>
      <c r="Q49" s="174">
        <f t="shared" si="5"/>
        <v>3</v>
      </c>
      <c r="R49" s="174">
        <f>VLOOKUP(D49,原始分!$D:$N,9,0)</f>
        <v>0</v>
      </c>
      <c r="S49" s="174">
        <f t="shared" si="6"/>
        <v>103</v>
      </c>
      <c r="T49" s="174">
        <f>VLOOKUP(D49,原始分!$D:$N,10,0)</f>
        <v>54</v>
      </c>
      <c r="U49" s="174">
        <f t="shared" si="7"/>
        <v>145</v>
      </c>
      <c r="V49" s="174">
        <f>VLOOKUP(D49,原始分!$D:$N,11,0)</f>
        <v>52.5</v>
      </c>
      <c r="W49" s="174">
        <f t="shared" si="8"/>
        <v>41</v>
      </c>
      <c r="X49" s="11">
        <f t="shared" si="9"/>
        <v>324.5</v>
      </c>
      <c r="Y49" s="9">
        <f t="shared" si="10"/>
        <v>37</v>
      </c>
      <c r="Z49" s="11">
        <f t="shared" si="11"/>
        <v>494</v>
      </c>
      <c r="AA49" s="9">
        <f t="shared" si="12"/>
        <v>47</v>
      </c>
    </row>
    <row r="50" ht="14.25" spans="1:27">
      <c r="A50" s="13">
        <v>778</v>
      </c>
      <c r="B50" s="15">
        <v>16</v>
      </c>
      <c r="C50" s="16">
        <v>35</v>
      </c>
      <c r="D50" s="15" t="s">
        <v>1554</v>
      </c>
      <c r="E50" s="15" t="s">
        <v>1555</v>
      </c>
      <c r="F50" s="174">
        <f>VLOOKUP(D50,原始分!$D:$N,3,0)</f>
        <v>101.25</v>
      </c>
      <c r="G50" s="174">
        <f t="shared" si="0"/>
        <v>114</v>
      </c>
      <c r="H50" s="174">
        <f>VLOOKUP(D50,原始分!$D:$N,4,0)</f>
        <v>107.5</v>
      </c>
      <c r="I50" s="174">
        <f t="shared" si="1"/>
        <v>38</v>
      </c>
      <c r="J50" s="174">
        <f>VLOOKUP(D50,原始分!$D:$N,5,0)</f>
        <v>120.5</v>
      </c>
      <c r="K50" s="174">
        <f t="shared" si="2"/>
        <v>20</v>
      </c>
      <c r="L50" s="174">
        <f>VLOOKUP(D50,原始分!$D:$N,6,0)</f>
        <v>0</v>
      </c>
      <c r="M50" s="174">
        <f t="shared" si="3"/>
        <v>1</v>
      </c>
      <c r="N50" s="174">
        <f>VLOOKUP(D50,原始分!$D:$N,7,0)</f>
        <v>58.5</v>
      </c>
      <c r="O50" s="174">
        <f t="shared" si="4"/>
        <v>80</v>
      </c>
      <c r="P50" s="174">
        <f>VLOOKUP(D50,原始分!$D:$N,8,0)</f>
        <v>0</v>
      </c>
      <c r="Q50" s="174">
        <f t="shared" si="5"/>
        <v>3</v>
      </c>
      <c r="R50" s="174">
        <f>VLOOKUP(D50,原始分!$D:$N,9,0)</f>
        <v>53</v>
      </c>
      <c r="S50" s="174">
        <f t="shared" si="6"/>
        <v>43</v>
      </c>
      <c r="T50" s="174">
        <f>VLOOKUP(D50,原始分!$D:$N,10,0)</f>
        <v>53.25</v>
      </c>
      <c r="U50" s="174">
        <f t="shared" si="7"/>
        <v>154</v>
      </c>
      <c r="V50" s="174">
        <f>VLOOKUP(D50,原始分!$D:$N,11,0)</f>
        <v>0</v>
      </c>
      <c r="W50" s="174">
        <f t="shared" si="8"/>
        <v>105</v>
      </c>
      <c r="X50" s="11">
        <f t="shared" si="9"/>
        <v>329.25</v>
      </c>
      <c r="Y50" s="9">
        <f t="shared" si="10"/>
        <v>25</v>
      </c>
      <c r="Z50" s="11">
        <f t="shared" si="11"/>
        <v>494</v>
      </c>
      <c r="AA50" s="9">
        <f t="shared" si="12"/>
        <v>47</v>
      </c>
    </row>
    <row r="51" ht="14.25" spans="1:27">
      <c r="A51" s="13">
        <v>807</v>
      </c>
      <c r="B51" s="15">
        <v>17</v>
      </c>
      <c r="C51" s="16">
        <v>30</v>
      </c>
      <c r="D51" s="15" t="s">
        <v>1612</v>
      </c>
      <c r="E51" s="15" t="s">
        <v>1613</v>
      </c>
      <c r="F51" s="174">
        <f>VLOOKUP(D51,原始分!$D:$N,3,0)</f>
        <v>90.25</v>
      </c>
      <c r="G51" s="174">
        <f t="shared" si="0"/>
        <v>197</v>
      </c>
      <c r="H51" s="174">
        <f>VLOOKUP(D51,原始分!$D:$N,4,0)</f>
        <v>103</v>
      </c>
      <c r="I51" s="174">
        <f t="shared" si="1"/>
        <v>55</v>
      </c>
      <c r="J51" s="174">
        <f>VLOOKUP(D51,原始分!$D:$N,5,0)</f>
        <v>107.25</v>
      </c>
      <c r="K51" s="174">
        <f t="shared" si="2"/>
        <v>89</v>
      </c>
      <c r="L51" s="174">
        <f>VLOOKUP(D51,原始分!$D:$N,6,0)</f>
        <v>0</v>
      </c>
      <c r="M51" s="174">
        <f t="shared" si="3"/>
        <v>1</v>
      </c>
      <c r="N51" s="174">
        <f>VLOOKUP(D51,原始分!$D:$N,7,0)</f>
        <v>54.5</v>
      </c>
      <c r="O51" s="174">
        <f t="shared" si="4"/>
        <v>128</v>
      </c>
      <c r="P51" s="174">
        <f>VLOOKUP(D51,原始分!$D:$N,8,0)</f>
        <v>0</v>
      </c>
      <c r="Q51" s="174">
        <f t="shared" si="5"/>
        <v>3</v>
      </c>
      <c r="R51" s="174">
        <f>VLOOKUP(D51,原始分!$D:$N,9,0)</f>
        <v>68.5</v>
      </c>
      <c r="S51" s="174">
        <f t="shared" si="6"/>
        <v>1</v>
      </c>
      <c r="T51" s="174">
        <f>VLOOKUP(D51,原始分!$D:$N,10,0)</f>
        <v>70.5</v>
      </c>
      <c r="U51" s="174">
        <f t="shared" si="7"/>
        <v>10</v>
      </c>
      <c r="V51" s="174">
        <f>VLOOKUP(D51,原始分!$D:$N,11,0)</f>
        <v>0</v>
      </c>
      <c r="W51" s="174">
        <f t="shared" si="8"/>
        <v>105</v>
      </c>
      <c r="X51" s="11">
        <f t="shared" si="9"/>
        <v>300.5</v>
      </c>
      <c r="Y51" s="9">
        <f t="shared" si="10"/>
        <v>97</v>
      </c>
      <c r="Z51" s="11">
        <f t="shared" si="11"/>
        <v>494</v>
      </c>
      <c r="AA51" s="9">
        <f t="shared" si="12"/>
        <v>47</v>
      </c>
    </row>
    <row r="52" ht="14.25" spans="1:27">
      <c r="A52" s="13">
        <v>808</v>
      </c>
      <c r="B52" s="15">
        <v>17</v>
      </c>
      <c r="C52" s="16">
        <v>31</v>
      </c>
      <c r="D52" s="15" t="s">
        <v>1614</v>
      </c>
      <c r="E52" s="15" t="s">
        <v>1615</v>
      </c>
      <c r="F52" s="174">
        <f>VLOOKUP(D52,原始分!$D:$N,3,0)</f>
        <v>115.5</v>
      </c>
      <c r="G52" s="174">
        <f t="shared" si="0"/>
        <v>5</v>
      </c>
      <c r="H52" s="174">
        <f>VLOOKUP(D52,原始分!$D:$N,4,0)</f>
        <v>102.5</v>
      </c>
      <c r="I52" s="174">
        <f t="shared" si="1"/>
        <v>56</v>
      </c>
      <c r="J52" s="174">
        <f>VLOOKUP(D52,原始分!$D:$N,5,0)</f>
        <v>90</v>
      </c>
      <c r="K52" s="174">
        <f t="shared" si="2"/>
        <v>165</v>
      </c>
      <c r="L52" s="174">
        <f>VLOOKUP(D52,原始分!$D:$N,6,0)</f>
        <v>0</v>
      </c>
      <c r="M52" s="174">
        <f t="shared" si="3"/>
        <v>1</v>
      </c>
      <c r="N52" s="174">
        <f>VLOOKUP(D52,原始分!$D:$N,7,0)</f>
        <v>54.5</v>
      </c>
      <c r="O52" s="174">
        <f t="shared" si="4"/>
        <v>128</v>
      </c>
      <c r="P52" s="174">
        <f>VLOOKUP(D52,原始分!$D:$N,8,0)</f>
        <v>0</v>
      </c>
      <c r="Q52" s="174">
        <f t="shared" si="5"/>
        <v>3</v>
      </c>
      <c r="R52" s="174">
        <f>VLOOKUP(D52,原始分!$D:$N,9,0)</f>
        <v>64</v>
      </c>
      <c r="S52" s="174">
        <f t="shared" si="6"/>
        <v>8</v>
      </c>
      <c r="T52" s="174">
        <f>VLOOKUP(D52,原始分!$D:$N,10,0)</f>
        <v>67</v>
      </c>
      <c r="U52" s="174">
        <f t="shared" si="7"/>
        <v>23</v>
      </c>
      <c r="V52" s="174">
        <f>VLOOKUP(D52,原始分!$D:$N,11,0)</f>
        <v>0</v>
      </c>
      <c r="W52" s="174">
        <f t="shared" si="8"/>
        <v>105</v>
      </c>
      <c r="X52" s="11">
        <f t="shared" si="9"/>
        <v>308</v>
      </c>
      <c r="Y52" s="9">
        <f t="shared" si="10"/>
        <v>77</v>
      </c>
      <c r="Z52" s="11">
        <f t="shared" si="11"/>
        <v>493.5</v>
      </c>
      <c r="AA52" s="9">
        <f t="shared" si="12"/>
        <v>50</v>
      </c>
    </row>
    <row r="53" ht="14.25" spans="1:27">
      <c r="A53" s="13">
        <v>843</v>
      </c>
      <c r="B53" s="15">
        <v>18</v>
      </c>
      <c r="C53" s="16">
        <v>23</v>
      </c>
      <c r="D53" s="15" t="s">
        <v>1684</v>
      </c>
      <c r="E53" s="15" t="s">
        <v>1685</v>
      </c>
      <c r="F53" s="174">
        <f>VLOOKUP(D53,原始分!$D:$N,3,0)</f>
        <v>111</v>
      </c>
      <c r="G53" s="174">
        <f t="shared" si="0"/>
        <v>19</v>
      </c>
      <c r="H53" s="174">
        <f>VLOOKUP(D53,原始分!$D:$N,4,0)</f>
        <v>99.5</v>
      </c>
      <c r="I53" s="174">
        <f t="shared" si="1"/>
        <v>72</v>
      </c>
      <c r="J53" s="174">
        <f>VLOOKUP(D53,原始分!$D:$N,5,0)</f>
        <v>110.5</v>
      </c>
      <c r="K53" s="174">
        <f t="shared" si="2"/>
        <v>70</v>
      </c>
      <c r="L53" s="174">
        <f>VLOOKUP(D53,原始分!$D:$N,6,0)</f>
        <v>0</v>
      </c>
      <c r="M53" s="174">
        <f t="shared" si="3"/>
        <v>1</v>
      </c>
      <c r="N53" s="174">
        <f>VLOOKUP(D53,原始分!$D:$N,7,0)</f>
        <v>57.5</v>
      </c>
      <c r="O53" s="174">
        <f t="shared" si="4"/>
        <v>92</v>
      </c>
      <c r="P53" s="174">
        <f>VLOOKUP(D53,原始分!$D:$N,8,0)</f>
        <v>0</v>
      </c>
      <c r="Q53" s="174">
        <f t="shared" si="5"/>
        <v>3</v>
      </c>
      <c r="R53" s="174">
        <f>VLOOKUP(D53,原始分!$D:$N,9,0)</f>
        <v>54</v>
      </c>
      <c r="S53" s="174">
        <f t="shared" si="6"/>
        <v>36</v>
      </c>
      <c r="T53" s="174">
        <f>VLOOKUP(D53,原始分!$D:$N,10,0)</f>
        <v>60.5</v>
      </c>
      <c r="U53" s="174">
        <f t="shared" si="7"/>
        <v>77</v>
      </c>
      <c r="V53" s="174">
        <f>VLOOKUP(D53,原始分!$D:$N,11,0)</f>
        <v>0</v>
      </c>
      <c r="W53" s="174">
        <f t="shared" si="8"/>
        <v>105</v>
      </c>
      <c r="X53" s="11">
        <f t="shared" si="9"/>
        <v>321</v>
      </c>
      <c r="Y53" s="9">
        <f t="shared" si="10"/>
        <v>41</v>
      </c>
      <c r="Z53" s="11">
        <f t="shared" si="11"/>
        <v>493</v>
      </c>
      <c r="AA53" s="9">
        <f t="shared" si="12"/>
        <v>51</v>
      </c>
    </row>
    <row r="54" ht="14.25" spans="1:27">
      <c r="A54" s="13">
        <v>800</v>
      </c>
      <c r="B54" s="15">
        <v>17</v>
      </c>
      <c r="C54" s="16">
        <v>23</v>
      </c>
      <c r="D54" s="15" t="s">
        <v>1598</v>
      </c>
      <c r="E54" s="15" t="s">
        <v>1599</v>
      </c>
      <c r="F54" s="174">
        <f>VLOOKUP(D54,原始分!$D:$N,3,0)</f>
        <v>105</v>
      </c>
      <c r="G54" s="174">
        <f t="shared" si="0"/>
        <v>65</v>
      </c>
      <c r="H54" s="174">
        <f>VLOOKUP(D54,原始分!$D:$N,4,0)</f>
        <v>104</v>
      </c>
      <c r="I54" s="174">
        <f t="shared" si="1"/>
        <v>52</v>
      </c>
      <c r="J54" s="174">
        <f>VLOOKUP(D54,原始分!$D:$N,5,0)</f>
        <v>99.25</v>
      </c>
      <c r="K54" s="174">
        <f t="shared" si="2"/>
        <v>128</v>
      </c>
      <c r="L54" s="174">
        <f>VLOOKUP(D54,原始分!$D:$N,6,0)</f>
        <v>0</v>
      </c>
      <c r="M54" s="174">
        <f t="shared" si="3"/>
        <v>1</v>
      </c>
      <c r="N54" s="174">
        <f>VLOOKUP(D54,原始分!$D:$N,7,0)</f>
        <v>65.5</v>
      </c>
      <c r="O54" s="174">
        <f t="shared" si="4"/>
        <v>27</v>
      </c>
      <c r="P54" s="174">
        <f>VLOOKUP(D54,原始分!$D:$N,8,0)</f>
        <v>0</v>
      </c>
      <c r="Q54" s="174">
        <f t="shared" si="5"/>
        <v>3</v>
      </c>
      <c r="R54" s="174">
        <f>VLOOKUP(D54,原始分!$D:$N,9,0)</f>
        <v>53.5</v>
      </c>
      <c r="S54" s="174">
        <f t="shared" si="6"/>
        <v>41</v>
      </c>
      <c r="T54" s="174">
        <f>VLOOKUP(D54,原始分!$D:$N,10,0)</f>
        <v>63.5</v>
      </c>
      <c r="U54" s="174">
        <f t="shared" si="7"/>
        <v>53</v>
      </c>
      <c r="V54" s="174">
        <f>VLOOKUP(D54,原始分!$D:$N,11,0)</f>
        <v>0</v>
      </c>
      <c r="W54" s="174">
        <f t="shared" si="8"/>
        <v>105</v>
      </c>
      <c r="X54" s="11">
        <f t="shared" si="9"/>
        <v>308.25</v>
      </c>
      <c r="Y54" s="9">
        <f t="shared" si="10"/>
        <v>75</v>
      </c>
      <c r="Z54" s="11">
        <f t="shared" si="11"/>
        <v>490.75</v>
      </c>
      <c r="AA54" s="9">
        <f t="shared" si="12"/>
        <v>52</v>
      </c>
    </row>
    <row r="55" ht="14.25" spans="1:27">
      <c r="A55" s="13">
        <v>730</v>
      </c>
      <c r="B55" s="15">
        <v>15</v>
      </c>
      <c r="C55" s="16">
        <v>30</v>
      </c>
      <c r="D55" s="15" t="s">
        <v>1462</v>
      </c>
      <c r="E55" s="15" t="s">
        <v>1463</v>
      </c>
      <c r="F55" s="174">
        <f>VLOOKUP(D55,原始分!$D:$N,3,0)</f>
        <v>104.5</v>
      </c>
      <c r="G55" s="174">
        <f t="shared" si="0"/>
        <v>73</v>
      </c>
      <c r="H55" s="174">
        <f>VLOOKUP(D55,原始分!$D:$N,4,0)</f>
        <v>101</v>
      </c>
      <c r="I55" s="174">
        <f t="shared" si="1"/>
        <v>65</v>
      </c>
      <c r="J55" s="174">
        <f>VLOOKUP(D55,原始分!$D:$N,5,0)</f>
        <v>109</v>
      </c>
      <c r="K55" s="174">
        <f t="shared" si="2"/>
        <v>78</v>
      </c>
      <c r="L55" s="174">
        <f>VLOOKUP(D55,原始分!$D:$N,6,0)</f>
        <v>0</v>
      </c>
      <c r="M55" s="174">
        <f t="shared" si="3"/>
        <v>1</v>
      </c>
      <c r="N55" s="174">
        <f>VLOOKUP(D55,原始分!$D:$N,7,0)</f>
        <v>67</v>
      </c>
      <c r="O55" s="174">
        <f t="shared" si="4"/>
        <v>18</v>
      </c>
      <c r="P55" s="174">
        <f>VLOOKUP(D55,原始分!$D:$N,8,0)</f>
        <v>0</v>
      </c>
      <c r="Q55" s="174">
        <f t="shared" si="5"/>
        <v>3</v>
      </c>
      <c r="R55" s="174">
        <f>VLOOKUP(D55,原始分!$D:$N,9,0)</f>
        <v>0</v>
      </c>
      <c r="S55" s="174">
        <f t="shared" si="6"/>
        <v>103</v>
      </c>
      <c r="T55" s="174">
        <f>VLOOKUP(D55,原始分!$D:$N,10,0)</f>
        <v>63</v>
      </c>
      <c r="U55" s="174">
        <f t="shared" si="7"/>
        <v>57</v>
      </c>
      <c r="V55" s="174">
        <f>VLOOKUP(D55,原始分!$D:$N,11,0)</f>
        <v>46</v>
      </c>
      <c r="W55" s="174">
        <f t="shared" si="8"/>
        <v>71</v>
      </c>
      <c r="X55" s="11">
        <f t="shared" si="9"/>
        <v>314.5</v>
      </c>
      <c r="Y55" s="9">
        <f t="shared" si="10"/>
        <v>58</v>
      </c>
      <c r="Z55" s="11">
        <f t="shared" si="11"/>
        <v>490.5</v>
      </c>
      <c r="AA55" s="9">
        <f t="shared" si="12"/>
        <v>53</v>
      </c>
    </row>
    <row r="56" ht="14.25" spans="1:27">
      <c r="A56" s="13">
        <v>848</v>
      </c>
      <c r="B56" s="15">
        <v>18</v>
      </c>
      <c r="C56" s="16">
        <v>28</v>
      </c>
      <c r="D56" s="15" t="s">
        <v>1694</v>
      </c>
      <c r="E56" s="15" t="s">
        <v>1695</v>
      </c>
      <c r="F56" s="174">
        <f>VLOOKUP(D56,原始分!$D:$N,3,0)</f>
        <v>100.5</v>
      </c>
      <c r="G56" s="174">
        <f t="shared" si="0"/>
        <v>119</v>
      </c>
      <c r="H56" s="174">
        <f>VLOOKUP(D56,原始分!$D:$N,4,0)</f>
        <v>93.5</v>
      </c>
      <c r="I56" s="174">
        <f t="shared" si="1"/>
        <v>102</v>
      </c>
      <c r="J56" s="174">
        <f>VLOOKUP(D56,原始分!$D:$N,5,0)</f>
        <v>116</v>
      </c>
      <c r="K56" s="174">
        <f t="shared" si="2"/>
        <v>44</v>
      </c>
      <c r="L56" s="174">
        <f>VLOOKUP(D56,原始分!$D:$N,6,0)</f>
        <v>0</v>
      </c>
      <c r="M56" s="174">
        <f t="shared" si="3"/>
        <v>1</v>
      </c>
      <c r="N56" s="174">
        <f>VLOOKUP(D56,原始分!$D:$N,7,0)</f>
        <v>56.5</v>
      </c>
      <c r="O56" s="174">
        <f t="shared" si="4"/>
        <v>101</v>
      </c>
      <c r="P56" s="174">
        <f>VLOOKUP(D56,原始分!$D:$N,8,0)</f>
        <v>0</v>
      </c>
      <c r="Q56" s="174">
        <f t="shared" si="5"/>
        <v>3</v>
      </c>
      <c r="R56" s="174">
        <f>VLOOKUP(D56,原始分!$D:$N,9,0)</f>
        <v>60</v>
      </c>
      <c r="S56" s="174">
        <f t="shared" si="6"/>
        <v>12</v>
      </c>
      <c r="T56" s="174">
        <f>VLOOKUP(D56,原始分!$D:$N,10,0)</f>
        <v>64</v>
      </c>
      <c r="U56" s="174">
        <f t="shared" si="7"/>
        <v>49</v>
      </c>
      <c r="V56" s="174">
        <f>VLOOKUP(D56,原始分!$D:$N,11,0)</f>
        <v>0</v>
      </c>
      <c r="W56" s="174">
        <f t="shared" si="8"/>
        <v>105</v>
      </c>
      <c r="X56" s="11">
        <f t="shared" si="9"/>
        <v>310</v>
      </c>
      <c r="Y56" s="9">
        <f t="shared" si="10"/>
        <v>72</v>
      </c>
      <c r="Z56" s="11">
        <f t="shared" si="11"/>
        <v>490.5</v>
      </c>
      <c r="AA56" s="9">
        <f t="shared" si="12"/>
        <v>53</v>
      </c>
    </row>
    <row r="57" ht="14.25" spans="1:27">
      <c r="A57" s="13">
        <v>803</v>
      </c>
      <c r="B57" s="15">
        <v>17</v>
      </c>
      <c r="C57" s="16">
        <v>26</v>
      </c>
      <c r="D57" s="15" t="s">
        <v>1604</v>
      </c>
      <c r="E57" s="15" t="s">
        <v>1605</v>
      </c>
      <c r="F57" s="174">
        <f>VLOOKUP(D57,原始分!$D:$N,3,0)</f>
        <v>104.5</v>
      </c>
      <c r="G57" s="174">
        <f t="shared" si="0"/>
        <v>73</v>
      </c>
      <c r="H57" s="174">
        <f>VLOOKUP(D57,原始分!$D:$N,4,0)</f>
        <v>100.5</v>
      </c>
      <c r="I57" s="174">
        <f t="shared" si="1"/>
        <v>68</v>
      </c>
      <c r="J57" s="174">
        <f>VLOOKUP(D57,原始分!$D:$N,5,0)</f>
        <v>113.75</v>
      </c>
      <c r="K57" s="174">
        <f t="shared" si="2"/>
        <v>54</v>
      </c>
      <c r="L57" s="174">
        <f>VLOOKUP(D57,原始分!$D:$N,6,0)</f>
        <v>0</v>
      </c>
      <c r="M57" s="174">
        <f t="shared" si="3"/>
        <v>1</v>
      </c>
      <c r="N57" s="174">
        <f>VLOOKUP(D57,原始分!$D:$N,7,0)</f>
        <v>59.5</v>
      </c>
      <c r="O57" s="174">
        <f t="shared" si="4"/>
        <v>69</v>
      </c>
      <c r="P57" s="174">
        <f>VLOOKUP(D57,原始分!$D:$N,8,0)</f>
        <v>0</v>
      </c>
      <c r="Q57" s="174">
        <f t="shared" si="5"/>
        <v>3</v>
      </c>
      <c r="R57" s="174">
        <f>VLOOKUP(D57,原始分!$D:$N,9,0)</f>
        <v>50.5</v>
      </c>
      <c r="S57" s="174">
        <f t="shared" si="6"/>
        <v>55</v>
      </c>
      <c r="T57" s="174">
        <f>VLOOKUP(D57,原始分!$D:$N,10,0)</f>
        <v>61.5</v>
      </c>
      <c r="U57" s="174">
        <f t="shared" si="7"/>
        <v>68</v>
      </c>
      <c r="V57" s="174">
        <f>VLOOKUP(D57,原始分!$D:$N,11,0)</f>
        <v>0</v>
      </c>
      <c r="W57" s="174">
        <f t="shared" si="8"/>
        <v>105</v>
      </c>
      <c r="X57" s="11">
        <f t="shared" si="9"/>
        <v>318.75</v>
      </c>
      <c r="Y57" s="9">
        <f t="shared" si="10"/>
        <v>44</v>
      </c>
      <c r="Z57" s="11">
        <f t="shared" si="11"/>
        <v>490.25</v>
      </c>
      <c r="AA57" s="9">
        <f t="shared" si="12"/>
        <v>55</v>
      </c>
    </row>
    <row r="58" ht="14.25" spans="1:27">
      <c r="A58" s="13">
        <v>721</v>
      </c>
      <c r="B58" s="15">
        <v>15</v>
      </c>
      <c r="C58" s="16">
        <v>20</v>
      </c>
      <c r="D58" s="15" t="s">
        <v>1445</v>
      </c>
      <c r="E58" s="15" t="s">
        <v>1446</v>
      </c>
      <c r="F58" s="174">
        <f>VLOOKUP(D58,原始分!$D:$N,3,0)</f>
        <v>94.5</v>
      </c>
      <c r="G58" s="174">
        <f t="shared" si="0"/>
        <v>182</v>
      </c>
      <c r="H58" s="174">
        <f>VLOOKUP(D58,原始分!$D:$N,4,0)</f>
        <v>110.5</v>
      </c>
      <c r="I58" s="174">
        <f t="shared" si="1"/>
        <v>28</v>
      </c>
      <c r="J58" s="174">
        <f>VLOOKUP(D58,原始分!$D:$N,5,0)</f>
        <v>110</v>
      </c>
      <c r="K58" s="174">
        <f t="shared" si="2"/>
        <v>71</v>
      </c>
      <c r="L58" s="174">
        <f>VLOOKUP(D58,原始分!$D:$N,6,0)</f>
        <v>0</v>
      </c>
      <c r="M58" s="174">
        <f t="shared" si="3"/>
        <v>1</v>
      </c>
      <c r="N58" s="174">
        <f>VLOOKUP(D58,原始分!$D:$N,7,0)</f>
        <v>63</v>
      </c>
      <c r="O58" s="174">
        <f t="shared" si="4"/>
        <v>43</v>
      </c>
      <c r="P58" s="174">
        <f>VLOOKUP(D58,原始分!$D:$N,8,0)</f>
        <v>0</v>
      </c>
      <c r="Q58" s="174">
        <f t="shared" si="5"/>
        <v>3</v>
      </c>
      <c r="R58" s="174">
        <f>VLOOKUP(D58,原始分!$D:$N,9,0)</f>
        <v>0</v>
      </c>
      <c r="S58" s="174">
        <f t="shared" si="6"/>
        <v>103</v>
      </c>
      <c r="T58" s="174">
        <f>VLOOKUP(D58,原始分!$D:$N,10,0)</f>
        <v>62.5</v>
      </c>
      <c r="U58" s="174">
        <f t="shared" si="7"/>
        <v>61</v>
      </c>
      <c r="V58" s="174">
        <f>VLOOKUP(D58,原始分!$D:$N,11,0)</f>
        <v>49.5</v>
      </c>
      <c r="W58" s="174">
        <f t="shared" si="8"/>
        <v>58</v>
      </c>
      <c r="X58" s="11">
        <f t="shared" si="9"/>
        <v>315</v>
      </c>
      <c r="Y58" s="9">
        <f t="shared" si="10"/>
        <v>56</v>
      </c>
      <c r="Z58" s="11">
        <f t="shared" si="11"/>
        <v>490</v>
      </c>
      <c r="AA58" s="9">
        <f t="shared" si="12"/>
        <v>56</v>
      </c>
    </row>
    <row r="59" ht="14.25" spans="1:27">
      <c r="A59" s="13">
        <v>667</v>
      </c>
      <c r="B59" s="15">
        <v>14</v>
      </c>
      <c r="C59" s="16">
        <v>4</v>
      </c>
      <c r="D59" s="15" t="s">
        <v>1340</v>
      </c>
      <c r="E59" s="15" t="s">
        <v>1341</v>
      </c>
      <c r="F59" s="174">
        <f>VLOOKUP(D59,原始分!$D:$N,3,0)</f>
        <v>100.75</v>
      </c>
      <c r="G59" s="174">
        <f t="shared" si="0"/>
        <v>117</v>
      </c>
      <c r="H59" s="174">
        <f>VLOOKUP(D59,原始分!$D:$N,4,0)</f>
        <v>110</v>
      </c>
      <c r="I59" s="174">
        <f t="shared" si="1"/>
        <v>33</v>
      </c>
      <c r="J59" s="174">
        <f>VLOOKUP(D59,原始分!$D:$N,5,0)</f>
        <v>115.75</v>
      </c>
      <c r="K59" s="174">
        <f t="shared" si="2"/>
        <v>46</v>
      </c>
      <c r="L59" s="174">
        <f>VLOOKUP(D59,原始分!$D:$N,6,0)</f>
        <v>0</v>
      </c>
      <c r="M59" s="174">
        <f t="shared" si="3"/>
        <v>1</v>
      </c>
      <c r="N59" s="174">
        <f>VLOOKUP(D59,原始分!$D:$N,7,0)</f>
        <v>56</v>
      </c>
      <c r="O59" s="174">
        <f t="shared" si="4"/>
        <v>107</v>
      </c>
      <c r="P59" s="174">
        <f>VLOOKUP(D59,原始分!$D:$N,8,0)</f>
        <v>0</v>
      </c>
      <c r="Q59" s="174">
        <f t="shared" si="5"/>
        <v>3</v>
      </c>
      <c r="R59" s="174">
        <f>VLOOKUP(D59,原始分!$D:$N,9,0)</f>
        <v>0</v>
      </c>
      <c r="S59" s="174">
        <f t="shared" si="6"/>
        <v>103</v>
      </c>
      <c r="T59" s="174">
        <f>VLOOKUP(D59,原始分!$D:$N,10,0)</f>
        <v>60.5</v>
      </c>
      <c r="U59" s="174">
        <f t="shared" si="7"/>
        <v>77</v>
      </c>
      <c r="V59" s="174">
        <f>VLOOKUP(D59,原始分!$D:$N,11,0)</f>
        <v>45</v>
      </c>
      <c r="W59" s="174">
        <f t="shared" si="8"/>
        <v>79</v>
      </c>
      <c r="X59" s="11">
        <f t="shared" si="9"/>
        <v>326.5</v>
      </c>
      <c r="Y59" s="9">
        <f t="shared" si="10"/>
        <v>31</v>
      </c>
      <c r="Z59" s="11">
        <f t="shared" si="11"/>
        <v>488</v>
      </c>
      <c r="AA59" s="9">
        <f t="shared" si="12"/>
        <v>57</v>
      </c>
    </row>
    <row r="60" ht="14.25" spans="1:27">
      <c r="A60" s="13">
        <v>852</v>
      </c>
      <c r="B60" s="15">
        <v>18</v>
      </c>
      <c r="C60" s="16">
        <v>32</v>
      </c>
      <c r="D60" s="15" t="s">
        <v>1702</v>
      </c>
      <c r="E60" s="15" t="s">
        <v>1703</v>
      </c>
      <c r="F60" s="174">
        <f>VLOOKUP(D60,原始分!$D:$N,3,0)</f>
        <v>105.5</v>
      </c>
      <c r="G60" s="174">
        <f t="shared" si="0"/>
        <v>61</v>
      </c>
      <c r="H60" s="174">
        <f>VLOOKUP(D60,原始分!$D:$N,4,0)</f>
        <v>91</v>
      </c>
      <c r="I60" s="174">
        <f t="shared" si="1"/>
        <v>114</v>
      </c>
      <c r="J60" s="174">
        <f>VLOOKUP(D60,原始分!$D:$N,5,0)</f>
        <v>116.25</v>
      </c>
      <c r="K60" s="174">
        <f t="shared" si="2"/>
        <v>41</v>
      </c>
      <c r="L60" s="174">
        <f>VLOOKUP(D60,原始分!$D:$N,6,0)</f>
        <v>0</v>
      </c>
      <c r="M60" s="174">
        <f t="shared" si="3"/>
        <v>1</v>
      </c>
      <c r="N60" s="174">
        <f>VLOOKUP(D60,原始分!$D:$N,7,0)</f>
        <v>62</v>
      </c>
      <c r="O60" s="174">
        <f t="shared" si="4"/>
        <v>50</v>
      </c>
      <c r="P60" s="174">
        <f>VLOOKUP(D60,原始分!$D:$N,8,0)</f>
        <v>0</v>
      </c>
      <c r="Q60" s="174">
        <f t="shared" si="5"/>
        <v>3</v>
      </c>
      <c r="R60" s="174">
        <f>VLOOKUP(D60,原始分!$D:$N,9,0)</f>
        <v>50.5</v>
      </c>
      <c r="S60" s="174">
        <f t="shared" si="6"/>
        <v>55</v>
      </c>
      <c r="T60" s="174">
        <f>VLOOKUP(D60,原始分!$D:$N,10,0)</f>
        <v>62</v>
      </c>
      <c r="U60" s="174">
        <f t="shared" si="7"/>
        <v>63</v>
      </c>
      <c r="V60" s="174">
        <f>VLOOKUP(D60,原始分!$D:$N,11,0)</f>
        <v>0</v>
      </c>
      <c r="W60" s="174">
        <f t="shared" si="8"/>
        <v>105</v>
      </c>
      <c r="X60" s="11">
        <f t="shared" si="9"/>
        <v>312.75</v>
      </c>
      <c r="Y60" s="9">
        <f t="shared" si="10"/>
        <v>62</v>
      </c>
      <c r="Z60" s="11">
        <f t="shared" si="11"/>
        <v>487.25</v>
      </c>
      <c r="AA60" s="9">
        <f t="shared" si="12"/>
        <v>58</v>
      </c>
    </row>
    <row r="61" ht="14.25" spans="1:27">
      <c r="A61" s="13">
        <v>683</v>
      </c>
      <c r="B61" s="15">
        <v>14</v>
      </c>
      <c r="C61" s="16">
        <v>24</v>
      </c>
      <c r="D61" s="15" t="s">
        <v>1372</v>
      </c>
      <c r="E61" s="15" t="s">
        <v>1373</v>
      </c>
      <c r="F61" s="174">
        <f>VLOOKUP(D61,原始分!$D:$N,3,0)</f>
        <v>98.5</v>
      </c>
      <c r="G61" s="174">
        <f t="shared" si="0"/>
        <v>146</v>
      </c>
      <c r="H61" s="174">
        <f>VLOOKUP(D61,原始分!$D:$N,4,0)</f>
        <v>102.5</v>
      </c>
      <c r="I61" s="174">
        <f t="shared" si="1"/>
        <v>56</v>
      </c>
      <c r="J61" s="174">
        <f>VLOOKUP(D61,原始分!$D:$N,5,0)</f>
        <v>101</v>
      </c>
      <c r="K61" s="174">
        <f t="shared" si="2"/>
        <v>121</v>
      </c>
      <c r="L61" s="174">
        <f>VLOOKUP(D61,原始分!$D:$N,6,0)</f>
        <v>0</v>
      </c>
      <c r="M61" s="174">
        <f t="shared" si="3"/>
        <v>1</v>
      </c>
      <c r="N61" s="174">
        <f>VLOOKUP(D61,原始分!$D:$N,7,0)</f>
        <v>62.5</v>
      </c>
      <c r="O61" s="174">
        <f t="shared" si="4"/>
        <v>45</v>
      </c>
      <c r="P61" s="174">
        <f>VLOOKUP(D61,原始分!$D:$N,8,0)</f>
        <v>0</v>
      </c>
      <c r="Q61" s="174">
        <f t="shared" si="5"/>
        <v>3</v>
      </c>
      <c r="R61" s="174">
        <f>VLOOKUP(D61,原始分!$D:$N,9,0)</f>
        <v>0</v>
      </c>
      <c r="S61" s="174">
        <f t="shared" si="6"/>
        <v>103</v>
      </c>
      <c r="T61" s="174">
        <f>VLOOKUP(D61,原始分!$D:$N,10,0)</f>
        <v>62.25</v>
      </c>
      <c r="U61" s="174">
        <f t="shared" si="7"/>
        <v>62</v>
      </c>
      <c r="V61" s="174">
        <f>VLOOKUP(D61,原始分!$D:$N,11,0)</f>
        <v>59.5</v>
      </c>
      <c r="W61" s="174">
        <f t="shared" si="8"/>
        <v>15</v>
      </c>
      <c r="X61" s="11">
        <f t="shared" si="9"/>
        <v>302</v>
      </c>
      <c r="Y61" s="9">
        <f t="shared" si="10"/>
        <v>88</v>
      </c>
      <c r="Z61" s="11">
        <f t="shared" si="11"/>
        <v>486.25</v>
      </c>
      <c r="AA61" s="9">
        <f t="shared" si="12"/>
        <v>59</v>
      </c>
    </row>
    <row r="62" ht="14.25" spans="1:27">
      <c r="A62" s="13">
        <v>722</v>
      </c>
      <c r="B62" s="15">
        <v>15</v>
      </c>
      <c r="C62" s="16">
        <v>21</v>
      </c>
      <c r="D62" s="15" t="s">
        <v>1447</v>
      </c>
      <c r="E62" s="15" t="s">
        <v>1448</v>
      </c>
      <c r="F62" s="174">
        <f>VLOOKUP(D62,原始分!$D:$N,3,0)</f>
        <v>101.75</v>
      </c>
      <c r="G62" s="174">
        <f t="shared" si="0"/>
        <v>109</v>
      </c>
      <c r="H62" s="174">
        <f>VLOOKUP(D62,原始分!$D:$N,4,0)</f>
        <v>120.5</v>
      </c>
      <c r="I62" s="174">
        <f t="shared" si="1"/>
        <v>6</v>
      </c>
      <c r="J62" s="174">
        <f>VLOOKUP(D62,原始分!$D:$N,5,0)</f>
        <v>95.5</v>
      </c>
      <c r="K62" s="174">
        <f t="shared" si="2"/>
        <v>146</v>
      </c>
      <c r="L62" s="174">
        <f>VLOOKUP(D62,原始分!$D:$N,6,0)</f>
        <v>0</v>
      </c>
      <c r="M62" s="174">
        <f t="shared" si="3"/>
        <v>1</v>
      </c>
      <c r="N62" s="174">
        <f>VLOOKUP(D62,原始分!$D:$N,7,0)</f>
        <v>59.5</v>
      </c>
      <c r="O62" s="174">
        <f t="shared" si="4"/>
        <v>69</v>
      </c>
      <c r="P62" s="174">
        <f>VLOOKUP(D62,原始分!$D:$N,8,0)</f>
        <v>0</v>
      </c>
      <c r="Q62" s="174">
        <f t="shared" si="5"/>
        <v>3</v>
      </c>
      <c r="R62" s="174">
        <f>VLOOKUP(D62,原始分!$D:$N,9,0)</f>
        <v>0</v>
      </c>
      <c r="S62" s="174">
        <f t="shared" si="6"/>
        <v>103</v>
      </c>
      <c r="T62" s="174">
        <f>VLOOKUP(D62,原始分!$D:$N,10,0)</f>
        <v>59.5</v>
      </c>
      <c r="U62" s="174">
        <f t="shared" si="7"/>
        <v>89</v>
      </c>
      <c r="V62" s="174">
        <f>VLOOKUP(D62,原始分!$D:$N,11,0)</f>
        <v>49.5</v>
      </c>
      <c r="W62" s="174">
        <f t="shared" si="8"/>
        <v>58</v>
      </c>
      <c r="X62" s="11">
        <f t="shared" si="9"/>
        <v>317.75</v>
      </c>
      <c r="Y62" s="9">
        <f t="shared" si="10"/>
        <v>48</v>
      </c>
      <c r="Z62" s="11">
        <f t="shared" si="11"/>
        <v>486.25</v>
      </c>
      <c r="AA62" s="9">
        <f t="shared" si="12"/>
        <v>59</v>
      </c>
    </row>
    <row r="63" ht="14.25" spans="1:27">
      <c r="A63" s="13">
        <v>847</v>
      </c>
      <c r="B63" s="15">
        <v>18</v>
      </c>
      <c r="C63" s="16">
        <v>27</v>
      </c>
      <c r="D63" s="15" t="s">
        <v>1692</v>
      </c>
      <c r="E63" s="15" t="s">
        <v>1693</v>
      </c>
      <c r="F63" s="174">
        <f>VLOOKUP(D63,原始分!$D:$N,3,0)</f>
        <v>95.5</v>
      </c>
      <c r="G63" s="174">
        <f t="shared" si="0"/>
        <v>174</v>
      </c>
      <c r="H63" s="174">
        <f>VLOOKUP(D63,原始分!$D:$N,4,0)</f>
        <v>101</v>
      </c>
      <c r="I63" s="174">
        <f t="shared" si="1"/>
        <v>65</v>
      </c>
      <c r="J63" s="174">
        <f>VLOOKUP(D63,原始分!$D:$N,5,0)</f>
        <v>108</v>
      </c>
      <c r="K63" s="174">
        <f t="shared" si="2"/>
        <v>82</v>
      </c>
      <c r="L63" s="174">
        <f>VLOOKUP(D63,原始分!$D:$N,6,0)</f>
        <v>0</v>
      </c>
      <c r="M63" s="174">
        <f t="shared" si="3"/>
        <v>1</v>
      </c>
      <c r="N63" s="174">
        <f>VLOOKUP(D63,原始分!$D:$N,7,0)</f>
        <v>65.5</v>
      </c>
      <c r="O63" s="174">
        <f t="shared" si="4"/>
        <v>27</v>
      </c>
      <c r="P63" s="174">
        <f>VLOOKUP(D63,原始分!$D:$N,8,0)</f>
        <v>0</v>
      </c>
      <c r="Q63" s="174">
        <f t="shared" si="5"/>
        <v>3</v>
      </c>
      <c r="R63" s="174">
        <f>VLOOKUP(D63,原始分!$D:$N,9,0)</f>
        <v>59.5</v>
      </c>
      <c r="S63" s="174">
        <f t="shared" si="6"/>
        <v>15</v>
      </c>
      <c r="T63" s="174">
        <f>VLOOKUP(D63,原始分!$D:$N,10,0)</f>
        <v>56</v>
      </c>
      <c r="U63" s="174">
        <f t="shared" si="7"/>
        <v>132</v>
      </c>
      <c r="V63" s="174">
        <f>VLOOKUP(D63,原始分!$D:$N,11,0)</f>
        <v>0</v>
      </c>
      <c r="W63" s="174">
        <f t="shared" si="8"/>
        <v>105</v>
      </c>
      <c r="X63" s="11">
        <f t="shared" si="9"/>
        <v>304.5</v>
      </c>
      <c r="Y63" s="9">
        <f t="shared" si="10"/>
        <v>82</v>
      </c>
      <c r="Z63" s="11">
        <f t="shared" si="11"/>
        <v>485.5</v>
      </c>
      <c r="AA63" s="9">
        <f t="shared" si="12"/>
        <v>61</v>
      </c>
    </row>
    <row r="64" ht="14.25" spans="1:27">
      <c r="A64" s="13">
        <v>666</v>
      </c>
      <c r="B64" s="15">
        <v>14</v>
      </c>
      <c r="C64" s="16">
        <v>3</v>
      </c>
      <c r="D64" s="15" t="s">
        <v>1338</v>
      </c>
      <c r="E64" s="15" t="s">
        <v>1339</v>
      </c>
      <c r="F64" s="174">
        <f>VLOOKUP(D64,原始分!$D:$N,3,0)</f>
        <v>102.5</v>
      </c>
      <c r="G64" s="174">
        <f t="shared" si="0"/>
        <v>97</v>
      </c>
      <c r="H64" s="174">
        <f>VLOOKUP(D64,原始分!$D:$N,4,0)</f>
        <v>117.5</v>
      </c>
      <c r="I64" s="174">
        <f t="shared" si="1"/>
        <v>13</v>
      </c>
      <c r="J64" s="174">
        <f>VLOOKUP(D64,原始分!$D:$N,5,0)</f>
        <v>108</v>
      </c>
      <c r="K64" s="174">
        <f t="shared" si="2"/>
        <v>82</v>
      </c>
      <c r="L64" s="174">
        <f>VLOOKUP(D64,原始分!$D:$N,6,0)</f>
        <v>0</v>
      </c>
      <c r="M64" s="174">
        <f t="shared" si="3"/>
        <v>1</v>
      </c>
      <c r="N64" s="174">
        <f>VLOOKUP(D64,原始分!$D:$N,7,0)</f>
        <v>46</v>
      </c>
      <c r="O64" s="174">
        <f t="shared" si="4"/>
        <v>190</v>
      </c>
      <c r="P64" s="174">
        <f>VLOOKUP(D64,原始分!$D:$N,8,0)</f>
        <v>0</v>
      </c>
      <c r="Q64" s="174">
        <f t="shared" si="5"/>
        <v>3</v>
      </c>
      <c r="R64" s="174">
        <f>VLOOKUP(D64,原始分!$D:$N,9,0)</f>
        <v>0</v>
      </c>
      <c r="S64" s="174">
        <f t="shared" si="6"/>
        <v>103</v>
      </c>
      <c r="T64" s="174">
        <f>VLOOKUP(D64,原始分!$D:$N,10,0)</f>
        <v>68</v>
      </c>
      <c r="U64" s="174">
        <f t="shared" si="7"/>
        <v>15</v>
      </c>
      <c r="V64" s="174">
        <f>VLOOKUP(D64,原始分!$D:$N,11,0)</f>
        <v>43</v>
      </c>
      <c r="W64" s="174">
        <f t="shared" si="8"/>
        <v>85</v>
      </c>
      <c r="X64" s="11">
        <f t="shared" si="9"/>
        <v>328</v>
      </c>
      <c r="Y64" s="9">
        <f t="shared" si="10"/>
        <v>27</v>
      </c>
      <c r="Z64" s="11">
        <f t="shared" si="11"/>
        <v>485</v>
      </c>
      <c r="AA64" s="9">
        <f t="shared" si="12"/>
        <v>62</v>
      </c>
    </row>
    <row r="65" ht="14.25" spans="1:27">
      <c r="A65" s="13">
        <v>758</v>
      </c>
      <c r="B65" s="15">
        <v>16</v>
      </c>
      <c r="C65" s="16">
        <v>13</v>
      </c>
      <c r="D65" s="15" t="s">
        <v>1515</v>
      </c>
      <c r="E65" s="15" t="s">
        <v>1516</v>
      </c>
      <c r="F65" s="174">
        <f>VLOOKUP(D65,原始分!$D:$N,3,0)</f>
        <v>103.5</v>
      </c>
      <c r="G65" s="174">
        <f t="shared" si="0"/>
        <v>85</v>
      </c>
      <c r="H65" s="174">
        <f>VLOOKUP(D65,原始分!$D:$N,4,0)</f>
        <v>94</v>
      </c>
      <c r="I65" s="174">
        <f t="shared" si="1"/>
        <v>97</v>
      </c>
      <c r="J65" s="174">
        <f>VLOOKUP(D65,原始分!$D:$N,5,0)</f>
        <v>110.75</v>
      </c>
      <c r="K65" s="174">
        <f t="shared" si="2"/>
        <v>68</v>
      </c>
      <c r="L65" s="174">
        <f>VLOOKUP(D65,原始分!$D:$N,6,0)</f>
        <v>0</v>
      </c>
      <c r="M65" s="174">
        <f t="shared" si="3"/>
        <v>1</v>
      </c>
      <c r="N65" s="174">
        <f>VLOOKUP(D65,原始分!$D:$N,7,0)</f>
        <v>49</v>
      </c>
      <c r="O65" s="174">
        <f t="shared" si="4"/>
        <v>172</v>
      </c>
      <c r="P65" s="174">
        <f>VLOOKUP(D65,原始分!$D:$N,8,0)</f>
        <v>0</v>
      </c>
      <c r="Q65" s="174">
        <f t="shared" si="5"/>
        <v>3</v>
      </c>
      <c r="R65" s="174">
        <f>VLOOKUP(D65,原始分!$D:$N,9,0)</f>
        <v>0</v>
      </c>
      <c r="S65" s="174">
        <f t="shared" si="6"/>
        <v>103</v>
      </c>
      <c r="T65" s="174">
        <f>VLOOKUP(D65,原始分!$D:$N,10,0)</f>
        <v>65.5</v>
      </c>
      <c r="U65" s="174">
        <f t="shared" si="7"/>
        <v>33</v>
      </c>
      <c r="V65" s="174">
        <f>VLOOKUP(D65,原始分!$D:$N,11,0)</f>
        <v>62</v>
      </c>
      <c r="W65" s="174">
        <f t="shared" si="8"/>
        <v>6</v>
      </c>
      <c r="X65" s="11">
        <f t="shared" si="9"/>
        <v>308.25</v>
      </c>
      <c r="Y65" s="9">
        <f t="shared" si="10"/>
        <v>75</v>
      </c>
      <c r="Z65" s="11">
        <f t="shared" si="11"/>
        <v>484.75</v>
      </c>
      <c r="AA65" s="9">
        <f t="shared" si="12"/>
        <v>63</v>
      </c>
    </row>
    <row r="66" ht="14.25" spans="1:27">
      <c r="A66" s="13">
        <v>668</v>
      </c>
      <c r="B66" s="15">
        <v>14</v>
      </c>
      <c r="C66" s="16">
        <v>6</v>
      </c>
      <c r="D66" s="15" t="s">
        <v>1342</v>
      </c>
      <c r="E66" s="15" t="s">
        <v>1343</v>
      </c>
      <c r="F66" s="174">
        <f>VLOOKUP(D66,原始分!$D:$N,3,0)</f>
        <v>109.5</v>
      </c>
      <c r="G66" s="174">
        <f t="shared" si="0"/>
        <v>27</v>
      </c>
      <c r="H66" s="174">
        <f>VLOOKUP(D66,原始分!$D:$N,4,0)</f>
        <v>95.5</v>
      </c>
      <c r="I66" s="174">
        <f t="shared" si="1"/>
        <v>88</v>
      </c>
      <c r="J66" s="174">
        <f>VLOOKUP(D66,原始分!$D:$N,5,0)</f>
        <v>108.25</v>
      </c>
      <c r="K66" s="174">
        <f t="shared" si="2"/>
        <v>80</v>
      </c>
      <c r="L66" s="174">
        <f>VLOOKUP(D66,原始分!$D:$N,6,0)</f>
        <v>0</v>
      </c>
      <c r="M66" s="174">
        <f t="shared" si="3"/>
        <v>1</v>
      </c>
      <c r="N66" s="174">
        <f>VLOOKUP(D66,原始分!$D:$N,7,0)</f>
        <v>53.5</v>
      </c>
      <c r="O66" s="174">
        <f t="shared" si="4"/>
        <v>136</v>
      </c>
      <c r="P66" s="174">
        <f>VLOOKUP(D66,原始分!$D:$N,8,0)</f>
        <v>0</v>
      </c>
      <c r="Q66" s="174">
        <f t="shared" si="5"/>
        <v>3</v>
      </c>
      <c r="R66" s="174">
        <f>VLOOKUP(D66,原始分!$D:$N,9,0)</f>
        <v>0</v>
      </c>
      <c r="S66" s="174">
        <f t="shared" si="6"/>
        <v>103</v>
      </c>
      <c r="T66" s="174">
        <f>VLOOKUP(D66,原始分!$D:$N,10,0)</f>
        <v>65</v>
      </c>
      <c r="U66" s="174">
        <f t="shared" si="7"/>
        <v>37</v>
      </c>
      <c r="V66" s="174">
        <f>VLOOKUP(D66,原始分!$D:$N,11,0)</f>
        <v>52</v>
      </c>
      <c r="W66" s="174">
        <f t="shared" si="8"/>
        <v>45</v>
      </c>
      <c r="X66" s="11">
        <f t="shared" si="9"/>
        <v>313.25</v>
      </c>
      <c r="Y66" s="9">
        <f t="shared" si="10"/>
        <v>61</v>
      </c>
      <c r="Z66" s="11">
        <f t="shared" si="11"/>
        <v>483.75</v>
      </c>
      <c r="AA66" s="9">
        <f t="shared" si="12"/>
        <v>64</v>
      </c>
    </row>
    <row r="67" ht="14.25" spans="1:27">
      <c r="A67" s="13">
        <v>831</v>
      </c>
      <c r="B67" s="15">
        <v>18</v>
      </c>
      <c r="C67" s="16">
        <v>8</v>
      </c>
      <c r="D67" s="15" t="s">
        <v>1660</v>
      </c>
      <c r="E67" s="15" t="s">
        <v>1661</v>
      </c>
      <c r="F67" s="174">
        <f>VLOOKUP(D67,原始分!$D:$N,3,0)</f>
        <v>112.5</v>
      </c>
      <c r="G67" s="174">
        <f t="shared" ref="G67:G130" si="13">RANK(F67,$F$3:$F$208)</f>
        <v>14</v>
      </c>
      <c r="H67" s="174">
        <f>VLOOKUP(D67,原始分!$D:$N,4,0)</f>
        <v>96</v>
      </c>
      <c r="I67" s="174">
        <f t="shared" ref="I67:I130" si="14">RANK(H67,$H$3:$H$208)</f>
        <v>87</v>
      </c>
      <c r="J67" s="174">
        <f>VLOOKUP(D67,原始分!$D:$N,5,0)</f>
        <v>107.75</v>
      </c>
      <c r="K67" s="174">
        <f t="shared" ref="K67:K130" si="15">RANK(J67,$J$3:$J$208)</f>
        <v>86</v>
      </c>
      <c r="L67" s="174">
        <f>VLOOKUP(D67,原始分!$D:$N,6,0)</f>
        <v>0</v>
      </c>
      <c r="M67" s="174">
        <f t="shared" ref="M67:M130" si="16">RANK(L67,$L$3:$L$270)</f>
        <v>1</v>
      </c>
      <c r="N67" s="174">
        <f>VLOOKUP(D67,原始分!$D:$N,7,0)</f>
        <v>56</v>
      </c>
      <c r="O67" s="174">
        <f t="shared" ref="O67:O130" si="17">RANK(N67,$N$3:$N$270)</f>
        <v>107</v>
      </c>
      <c r="P67" s="174">
        <f>VLOOKUP(D67,原始分!$D:$N,8,0)</f>
        <v>0</v>
      </c>
      <c r="Q67" s="174">
        <f t="shared" ref="Q67:Q130" si="18">RANK(P67,$P$3:$P$270)</f>
        <v>3</v>
      </c>
      <c r="R67" s="174">
        <f>VLOOKUP(D67,原始分!$D:$N,9,0)</f>
        <v>57.5</v>
      </c>
      <c r="S67" s="174">
        <f t="shared" ref="S67:S130" si="19">RANK(R67,$R$3:$R$270)</f>
        <v>21</v>
      </c>
      <c r="T67" s="174">
        <f>VLOOKUP(D67,原始分!$D:$N,10,0)</f>
        <v>54</v>
      </c>
      <c r="U67" s="174">
        <f t="shared" ref="U67:U130" si="20">RANK(T67,$T$3:$T$270)</f>
        <v>145</v>
      </c>
      <c r="V67" s="174">
        <f>VLOOKUP(D67,原始分!$D:$N,11,0)</f>
        <v>0</v>
      </c>
      <c r="W67" s="174">
        <f t="shared" ref="W67:W130" si="21">RANK(V67,$V$3:$V$270)</f>
        <v>105</v>
      </c>
      <c r="X67" s="11">
        <f t="shared" ref="X67:X130" si="22">SUM(F67,H67,J67)</f>
        <v>316.25</v>
      </c>
      <c r="Y67" s="9">
        <f t="shared" ref="Y67:Y130" si="23">RANK(X67,$X$3:$X$270)</f>
        <v>52</v>
      </c>
      <c r="Z67" s="11">
        <f t="shared" ref="Z67:Z130" si="24">SUM(F67,H67,J67,L67,N67,P67,R67,T67,V67)</f>
        <v>483.75</v>
      </c>
      <c r="AA67" s="9">
        <f t="shared" ref="AA67:AA130" si="25">RANK(Z67,$Z$3:$Z$270)</f>
        <v>64</v>
      </c>
    </row>
    <row r="68" ht="14.25" spans="1:27">
      <c r="A68" s="13">
        <v>859</v>
      </c>
      <c r="B68" s="15">
        <v>18</v>
      </c>
      <c r="C68" s="16">
        <v>42</v>
      </c>
      <c r="D68" s="15" t="s">
        <v>1716</v>
      </c>
      <c r="E68" s="15" t="s">
        <v>1717</v>
      </c>
      <c r="F68" s="174">
        <f>VLOOKUP(D68,原始分!$D:$N,3,0)</f>
        <v>101.5</v>
      </c>
      <c r="G68" s="174">
        <f t="shared" si="13"/>
        <v>110</v>
      </c>
      <c r="H68" s="174">
        <f>VLOOKUP(D68,原始分!$D:$N,4,0)</f>
        <v>103.5</v>
      </c>
      <c r="I68" s="174">
        <f t="shared" si="14"/>
        <v>53</v>
      </c>
      <c r="J68" s="174">
        <f>VLOOKUP(D68,原始分!$D:$N,5,0)</f>
        <v>99.25</v>
      </c>
      <c r="K68" s="174">
        <f t="shared" si="15"/>
        <v>128</v>
      </c>
      <c r="L68" s="174">
        <f>VLOOKUP(D68,原始分!$D:$N,6,0)</f>
        <v>0</v>
      </c>
      <c r="M68" s="174">
        <f t="shared" si="16"/>
        <v>1</v>
      </c>
      <c r="N68" s="174">
        <f>VLOOKUP(D68,原始分!$D:$N,7,0)</f>
        <v>60.5</v>
      </c>
      <c r="O68" s="174">
        <f t="shared" si="17"/>
        <v>63</v>
      </c>
      <c r="P68" s="174">
        <f>VLOOKUP(D68,原始分!$D:$N,8,0)</f>
        <v>0</v>
      </c>
      <c r="Q68" s="174">
        <f t="shared" si="18"/>
        <v>3</v>
      </c>
      <c r="R68" s="174">
        <f>VLOOKUP(D68,原始分!$D:$N,9,0)</f>
        <v>48.5</v>
      </c>
      <c r="S68" s="174">
        <f t="shared" si="19"/>
        <v>71</v>
      </c>
      <c r="T68" s="174">
        <f>VLOOKUP(D68,原始分!$D:$N,10,0)</f>
        <v>70.5</v>
      </c>
      <c r="U68" s="174">
        <f t="shared" si="20"/>
        <v>10</v>
      </c>
      <c r="V68" s="174">
        <f>VLOOKUP(D68,原始分!$D:$N,11,0)</f>
        <v>0</v>
      </c>
      <c r="W68" s="174">
        <f t="shared" si="21"/>
        <v>105</v>
      </c>
      <c r="X68" s="11">
        <f t="shared" si="22"/>
        <v>304.25</v>
      </c>
      <c r="Y68" s="9">
        <f t="shared" si="23"/>
        <v>83</v>
      </c>
      <c r="Z68" s="11">
        <f t="shared" si="24"/>
        <v>483.75</v>
      </c>
      <c r="AA68" s="9">
        <f t="shared" si="25"/>
        <v>64</v>
      </c>
    </row>
    <row r="69" ht="14.25" spans="1:27">
      <c r="A69" s="13">
        <v>782</v>
      </c>
      <c r="B69" s="15">
        <v>16</v>
      </c>
      <c r="C69" s="16">
        <v>39</v>
      </c>
      <c r="D69" s="15" t="s">
        <v>1562</v>
      </c>
      <c r="E69" s="15" t="s">
        <v>1563</v>
      </c>
      <c r="F69" s="174">
        <f>VLOOKUP(D69,原始分!$D:$N,3,0)</f>
        <v>106</v>
      </c>
      <c r="G69" s="174">
        <f t="shared" si="13"/>
        <v>59</v>
      </c>
      <c r="H69" s="174">
        <f>VLOOKUP(D69,原始分!$D:$N,4,0)</f>
        <v>95.5</v>
      </c>
      <c r="I69" s="174">
        <f t="shared" si="14"/>
        <v>88</v>
      </c>
      <c r="J69" s="174">
        <f>VLOOKUP(D69,原始分!$D:$N,5,0)</f>
        <v>117</v>
      </c>
      <c r="K69" s="174">
        <f t="shared" si="15"/>
        <v>36</v>
      </c>
      <c r="L69" s="174">
        <f>VLOOKUP(D69,原始分!$D:$N,6,0)</f>
        <v>0</v>
      </c>
      <c r="M69" s="174">
        <f t="shared" si="16"/>
        <v>1</v>
      </c>
      <c r="N69" s="174">
        <f>VLOOKUP(D69,原始分!$D:$N,7,0)</f>
        <v>56</v>
      </c>
      <c r="O69" s="174">
        <f t="shared" si="17"/>
        <v>107</v>
      </c>
      <c r="P69" s="174">
        <f>VLOOKUP(D69,原始分!$D:$N,8,0)</f>
        <v>0</v>
      </c>
      <c r="Q69" s="174">
        <f t="shared" si="18"/>
        <v>3</v>
      </c>
      <c r="R69" s="174">
        <f>VLOOKUP(D69,原始分!$D:$N,9,0)</f>
        <v>56.5</v>
      </c>
      <c r="S69" s="174">
        <f t="shared" si="19"/>
        <v>23</v>
      </c>
      <c r="T69" s="174">
        <f>VLOOKUP(D69,原始分!$D:$N,10,0)</f>
        <v>52.5</v>
      </c>
      <c r="U69" s="174">
        <f t="shared" si="20"/>
        <v>160</v>
      </c>
      <c r="V69" s="174">
        <f>VLOOKUP(D69,原始分!$D:$N,11,0)</f>
        <v>0</v>
      </c>
      <c r="W69" s="174">
        <f t="shared" si="21"/>
        <v>105</v>
      </c>
      <c r="X69" s="11">
        <f t="shared" si="22"/>
        <v>318.5</v>
      </c>
      <c r="Y69" s="9">
        <f t="shared" si="23"/>
        <v>45</v>
      </c>
      <c r="Z69" s="11">
        <f t="shared" si="24"/>
        <v>483.5</v>
      </c>
      <c r="AA69" s="9">
        <f t="shared" si="25"/>
        <v>67</v>
      </c>
    </row>
    <row r="70" ht="14.25" spans="1:27">
      <c r="A70" s="13">
        <v>849</v>
      </c>
      <c r="B70" s="15">
        <v>18</v>
      </c>
      <c r="C70" s="16">
        <v>29</v>
      </c>
      <c r="D70" s="15" t="s">
        <v>1696</v>
      </c>
      <c r="E70" s="15" t="s">
        <v>1697</v>
      </c>
      <c r="F70" s="174">
        <f>VLOOKUP(D70,原始分!$D:$N,3,0)</f>
        <v>107</v>
      </c>
      <c r="G70" s="174">
        <f t="shared" si="13"/>
        <v>50</v>
      </c>
      <c r="H70" s="174">
        <f>VLOOKUP(D70,原始分!$D:$N,4,0)</f>
        <v>88.5</v>
      </c>
      <c r="I70" s="174">
        <f t="shared" si="14"/>
        <v>128</v>
      </c>
      <c r="J70" s="174">
        <f>VLOOKUP(D70,原始分!$D:$N,5,0)</f>
        <v>116</v>
      </c>
      <c r="K70" s="174">
        <f t="shared" si="15"/>
        <v>44</v>
      </c>
      <c r="L70" s="174">
        <f>VLOOKUP(D70,原始分!$D:$N,6,0)</f>
        <v>0</v>
      </c>
      <c r="M70" s="174">
        <f t="shared" si="16"/>
        <v>1</v>
      </c>
      <c r="N70" s="174">
        <f>VLOOKUP(D70,原始分!$D:$N,7,0)</f>
        <v>56</v>
      </c>
      <c r="O70" s="174">
        <f t="shared" si="17"/>
        <v>107</v>
      </c>
      <c r="P70" s="174">
        <f>VLOOKUP(D70,原始分!$D:$N,8,0)</f>
        <v>0</v>
      </c>
      <c r="Q70" s="174">
        <f t="shared" si="18"/>
        <v>3</v>
      </c>
      <c r="R70" s="174">
        <f>VLOOKUP(D70,原始分!$D:$N,9,0)</f>
        <v>59</v>
      </c>
      <c r="S70" s="174">
        <f t="shared" si="19"/>
        <v>16</v>
      </c>
      <c r="T70" s="174">
        <f>VLOOKUP(D70,原始分!$D:$N,10,0)</f>
        <v>57</v>
      </c>
      <c r="U70" s="174">
        <f t="shared" si="20"/>
        <v>118</v>
      </c>
      <c r="V70" s="174">
        <f>VLOOKUP(D70,原始分!$D:$N,11,0)</f>
        <v>0</v>
      </c>
      <c r="W70" s="174">
        <f t="shared" si="21"/>
        <v>105</v>
      </c>
      <c r="X70" s="11">
        <f t="shared" si="22"/>
        <v>311.5</v>
      </c>
      <c r="Y70" s="9">
        <f t="shared" si="23"/>
        <v>67</v>
      </c>
      <c r="Z70" s="11">
        <f t="shared" si="24"/>
        <v>483.5</v>
      </c>
      <c r="AA70" s="9">
        <f t="shared" si="25"/>
        <v>67</v>
      </c>
    </row>
    <row r="71" ht="14.25" spans="1:27">
      <c r="A71" s="13">
        <v>682</v>
      </c>
      <c r="B71" s="15">
        <v>14</v>
      </c>
      <c r="C71" s="16">
        <v>23</v>
      </c>
      <c r="D71" s="15" t="s">
        <v>1370</v>
      </c>
      <c r="E71" s="15" t="s">
        <v>1371</v>
      </c>
      <c r="F71" s="174">
        <f>VLOOKUP(D71,原始分!$D:$N,3,0)</f>
        <v>107.5</v>
      </c>
      <c r="G71" s="174">
        <f t="shared" si="13"/>
        <v>40</v>
      </c>
      <c r="H71" s="174">
        <f>VLOOKUP(D71,原始分!$D:$N,4,0)</f>
        <v>91.5</v>
      </c>
      <c r="I71" s="174">
        <f t="shared" si="14"/>
        <v>112</v>
      </c>
      <c r="J71" s="174">
        <f>VLOOKUP(D71,原始分!$D:$N,5,0)</f>
        <v>102.5</v>
      </c>
      <c r="K71" s="174">
        <f t="shared" si="15"/>
        <v>112</v>
      </c>
      <c r="L71" s="174">
        <f>VLOOKUP(D71,原始分!$D:$N,6,0)</f>
        <v>0</v>
      </c>
      <c r="M71" s="174">
        <f t="shared" si="16"/>
        <v>1</v>
      </c>
      <c r="N71" s="174">
        <f>VLOOKUP(D71,原始分!$D:$N,7,0)</f>
        <v>60.5</v>
      </c>
      <c r="O71" s="174">
        <f t="shared" si="17"/>
        <v>63</v>
      </c>
      <c r="P71" s="174">
        <f>VLOOKUP(D71,原始分!$D:$N,8,0)</f>
        <v>0</v>
      </c>
      <c r="Q71" s="174">
        <f t="shared" si="18"/>
        <v>3</v>
      </c>
      <c r="R71" s="174">
        <f>VLOOKUP(D71,原始分!$D:$N,9,0)</f>
        <v>0</v>
      </c>
      <c r="S71" s="174">
        <f t="shared" si="19"/>
        <v>103</v>
      </c>
      <c r="T71" s="174">
        <f>VLOOKUP(D71,原始分!$D:$N,10,0)</f>
        <v>66</v>
      </c>
      <c r="U71" s="174">
        <f t="shared" si="20"/>
        <v>31</v>
      </c>
      <c r="V71" s="174">
        <f>VLOOKUP(D71,原始分!$D:$N,11,0)</f>
        <v>55</v>
      </c>
      <c r="W71" s="174">
        <f t="shared" si="21"/>
        <v>33</v>
      </c>
      <c r="X71" s="11">
        <f t="shared" si="22"/>
        <v>301.5</v>
      </c>
      <c r="Y71" s="9">
        <f t="shared" si="23"/>
        <v>93</v>
      </c>
      <c r="Z71" s="11">
        <f t="shared" si="24"/>
        <v>483</v>
      </c>
      <c r="AA71" s="9">
        <f t="shared" si="25"/>
        <v>69</v>
      </c>
    </row>
    <row r="72" ht="14.25" spans="1:27">
      <c r="A72" s="13">
        <v>806</v>
      </c>
      <c r="B72" s="15">
        <v>17</v>
      </c>
      <c r="C72" s="16">
        <v>29</v>
      </c>
      <c r="D72" s="15" t="s">
        <v>1610</v>
      </c>
      <c r="E72" s="15" t="s">
        <v>1611</v>
      </c>
      <c r="F72" s="174">
        <f>VLOOKUP(D72,原始分!$D:$N,3,0)</f>
        <v>102.5</v>
      </c>
      <c r="G72" s="174">
        <f t="shared" si="13"/>
        <v>97</v>
      </c>
      <c r="H72" s="174">
        <f>VLOOKUP(D72,原始分!$D:$N,4,0)</f>
        <v>106</v>
      </c>
      <c r="I72" s="174">
        <f t="shared" si="14"/>
        <v>43</v>
      </c>
      <c r="J72" s="174">
        <f>VLOOKUP(D72,原始分!$D:$N,5,0)</f>
        <v>109</v>
      </c>
      <c r="K72" s="174">
        <f t="shared" si="15"/>
        <v>78</v>
      </c>
      <c r="L72" s="174">
        <f>VLOOKUP(D72,原始分!$D:$N,6,0)</f>
        <v>0</v>
      </c>
      <c r="M72" s="174">
        <f t="shared" si="16"/>
        <v>1</v>
      </c>
      <c r="N72" s="174">
        <f>VLOOKUP(D72,原始分!$D:$N,7,0)</f>
        <v>57</v>
      </c>
      <c r="O72" s="174">
        <f t="shared" si="17"/>
        <v>100</v>
      </c>
      <c r="P72" s="174">
        <f>VLOOKUP(D72,原始分!$D:$N,8,0)</f>
        <v>0</v>
      </c>
      <c r="Q72" s="174">
        <f t="shared" si="18"/>
        <v>3</v>
      </c>
      <c r="R72" s="174">
        <f>VLOOKUP(D72,原始分!$D:$N,9,0)</f>
        <v>49</v>
      </c>
      <c r="S72" s="174">
        <f t="shared" si="19"/>
        <v>68</v>
      </c>
      <c r="T72" s="174">
        <f>VLOOKUP(D72,原始分!$D:$N,10,0)</f>
        <v>59.5</v>
      </c>
      <c r="U72" s="174">
        <f t="shared" si="20"/>
        <v>89</v>
      </c>
      <c r="V72" s="174">
        <f>VLOOKUP(D72,原始分!$D:$N,11,0)</f>
        <v>0</v>
      </c>
      <c r="W72" s="174">
        <f t="shared" si="21"/>
        <v>105</v>
      </c>
      <c r="X72" s="11">
        <f t="shared" si="22"/>
        <v>317.5</v>
      </c>
      <c r="Y72" s="9">
        <f t="shared" si="23"/>
        <v>50</v>
      </c>
      <c r="Z72" s="11">
        <f t="shared" si="24"/>
        <v>483</v>
      </c>
      <c r="AA72" s="9">
        <f t="shared" si="25"/>
        <v>69</v>
      </c>
    </row>
    <row r="73" ht="14.25" spans="1:27">
      <c r="A73" s="13">
        <v>812</v>
      </c>
      <c r="B73" s="15">
        <v>17</v>
      </c>
      <c r="C73" s="16">
        <v>37</v>
      </c>
      <c r="D73" s="15" t="s">
        <v>1622</v>
      </c>
      <c r="E73" s="15" t="s">
        <v>1623</v>
      </c>
      <c r="F73" s="174">
        <f>VLOOKUP(D73,原始分!$D:$N,3,0)</f>
        <v>101.5</v>
      </c>
      <c r="G73" s="174">
        <f t="shared" si="13"/>
        <v>110</v>
      </c>
      <c r="H73" s="174">
        <f>VLOOKUP(D73,原始分!$D:$N,4,0)</f>
        <v>102</v>
      </c>
      <c r="I73" s="174">
        <f t="shared" si="14"/>
        <v>61</v>
      </c>
      <c r="J73" s="174">
        <f>VLOOKUP(D73,原始分!$D:$N,5,0)</f>
        <v>111.25</v>
      </c>
      <c r="K73" s="174">
        <f t="shared" si="15"/>
        <v>65</v>
      </c>
      <c r="L73" s="174">
        <f>VLOOKUP(D73,原始分!$D:$N,6,0)</f>
        <v>0</v>
      </c>
      <c r="M73" s="174">
        <f t="shared" si="16"/>
        <v>1</v>
      </c>
      <c r="N73" s="174">
        <f>VLOOKUP(D73,原始分!$D:$N,7,0)</f>
        <v>61.5</v>
      </c>
      <c r="O73" s="174">
        <f t="shared" si="17"/>
        <v>56</v>
      </c>
      <c r="P73" s="174">
        <f>VLOOKUP(D73,原始分!$D:$N,8,0)</f>
        <v>0</v>
      </c>
      <c r="Q73" s="174">
        <f t="shared" si="18"/>
        <v>3</v>
      </c>
      <c r="R73" s="174">
        <f>VLOOKUP(D73,原始分!$D:$N,9,0)</f>
        <v>54</v>
      </c>
      <c r="S73" s="174">
        <f t="shared" si="19"/>
        <v>36</v>
      </c>
      <c r="T73" s="174">
        <f>VLOOKUP(D73,原始分!$D:$N,10,0)</f>
        <v>52</v>
      </c>
      <c r="U73" s="174">
        <f t="shared" si="20"/>
        <v>166</v>
      </c>
      <c r="V73" s="174">
        <f>VLOOKUP(D73,原始分!$D:$N,11,0)</f>
        <v>0</v>
      </c>
      <c r="W73" s="174">
        <f t="shared" si="21"/>
        <v>105</v>
      </c>
      <c r="X73" s="11">
        <f t="shared" si="22"/>
        <v>314.75</v>
      </c>
      <c r="Y73" s="9">
        <f t="shared" si="23"/>
        <v>57</v>
      </c>
      <c r="Z73" s="11">
        <f t="shared" si="24"/>
        <v>482.25</v>
      </c>
      <c r="AA73" s="9">
        <f t="shared" si="25"/>
        <v>71</v>
      </c>
    </row>
    <row r="74" ht="14.25" spans="1:27">
      <c r="A74" s="13">
        <v>719</v>
      </c>
      <c r="B74" s="15">
        <v>15</v>
      </c>
      <c r="C74" s="16">
        <v>18</v>
      </c>
      <c r="D74" s="15" t="s">
        <v>1441</v>
      </c>
      <c r="E74" s="15" t="s">
        <v>1442</v>
      </c>
      <c r="F74" s="174">
        <f>VLOOKUP(D74,原始分!$D:$N,3,0)</f>
        <v>105.5</v>
      </c>
      <c r="G74" s="174">
        <f t="shared" si="13"/>
        <v>61</v>
      </c>
      <c r="H74" s="174">
        <f>VLOOKUP(D74,原始分!$D:$N,4,0)</f>
        <v>91</v>
      </c>
      <c r="I74" s="174">
        <f t="shared" si="14"/>
        <v>114</v>
      </c>
      <c r="J74" s="174">
        <f>VLOOKUP(D74,原始分!$D:$N,5,0)</f>
        <v>116.25</v>
      </c>
      <c r="K74" s="174">
        <f t="shared" si="15"/>
        <v>41</v>
      </c>
      <c r="L74" s="174">
        <f>VLOOKUP(D74,原始分!$D:$N,6,0)</f>
        <v>0</v>
      </c>
      <c r="M74" s="174">
        <f t="shared" si="16"/>
        <v>1</v>
      </c>
      <c r="N74" s="174">
        <f>VLOOKUP(D74,原始分!$D:$N,7,0)</f>
        <v>58</v>
      </c>
      <c r="O74" s="174">
        <f t="shared" si="17"/>
        <v>84</v>
      </c>
      <c r="P74" s="174">
        <f>VLOOKUP(D74,原始分!$D:$N,8,0)</f>
        <v>0</v>
      </c>
      <c r="Q74" s="174">
        <f t="shared" si="18"/>
        <v>3</v>
      </c>
      <c r="R74" s="174">
        <f>VLOOKUP(D74,原始分!$D:$N,9,0)</f>
        <v>0</v>
      </c>
      <c r="S74" s="174">
        <f t="shared" si="19"/>
        <v>103</v>
      </c>
      <c r="T74" s="174">
        <f>VLOOKUP(D74,原始分!$D:$N,10,0)</f>
        <v>53.5</v>
      </c>
      <c r="U74" s="174">
        <f t="shared" si="20"/>
        <v>152</v>
      </c>
      <c r="V74" s="174">
        <f>VLOOKUP(D74,原始分!$D:$N,11,0)</f>
        <v>57.5</v>
      </c>
      <c r="W74" s="174">
        <f t="shared" si="21"/>
        <v>24</v>
      </c>
      <c r="X74" s="11">
        <f t="shared" si="22"/>
        <v>312.75</v>
      </c>
      <c r="Y74" s="9">
        <f t="shared" si="23"/>
        <v>62</v>
      </c>
      <c r="Z74" s="11">
        <f t="shared" si="24"/>
        <v>481.75</v>
      </c>
      <c r="AA74" s="9">
        <f t="shared" si="25"/>
        <v>72</v>
      </c>
    </row>
    <row r="75" ht="14.25" spans="1:27">
      <c r="A75" s="13">
        <v>708</v>
      </c>
      <c r="B75" s="15">
        <v>15</v>
      </c>
      <c r="C75" s="16">
        <v>6</v>
      </c>
      <c r="D75" s="15" t="s">
        <v>1419</v>
      </c>
      <c r="E75" s="15" t="s">
        <v>1420</v>
      </c>
      <c r="F75" s="174">
        <f>VLOOKUP(D75,原始分!$D:$N,3,0)</f>
        <v>100.5</v>
      </c>
      <c r="G75" s="174">
        <f t="shared" si="13"/>
        <v>119</v>
      </c>
      <c r="H75" s="174">
        <f>VLOOKUP(D75,原始分!$D:$N,4,0)</f>
        <v>112.5</v>
      </c>
      <c r="I75" s="174">
        <f t="shared" si="14"/>
        <v>20</v>
      </c>
      <c r="J75" s="174">
        <f>VLOOKUP(D75,原始分!$D:$N,5,0)</f>
        <v>93.5</v>
      </c>
      <c r="K75" s="174">
        <f t="shared" si="15"/>
        <v>152</v>
      </c>
      <c r="L75" s="174">
        <f>VLOOKUP(D75,原始分!$D:$N,6,0)</f>
        <v>0</v>
      </c>
      <c r="M75" s="174">
        <f t="shared" si="16"/>
        <v>1</v>
      </c>
      <c r="N75" s="174">
        <f>VLOOKUP(D75,原始分!$D:$N,7,0)</f>
        <v>62.5</v>
      </c>
      <c r="O75" s="174">
        <f t="shared" si="17"/>
        <v>45</v>
      </c>
      <c r="P75" s="174">
        <f>VLOOKUP(D75,原始分!$D:$N,8,0)</f>
        <v>0</v>
      </c>
      <c r="Q75" s="174">
        <f t="shared" si="18"/>
        <v>3</v>
      </c>
      <c r="R75" s="174">
        <f>VLOOKUP(D75,原始分!$D:$N,9,0)</f>
        <v>0</v>
      </c>
      <c r="S75" s="174">
        <f t="shared" si="19"/>
        <v>103</v>
      </c>
      <c r="T75" s="174">
        <f>VLOOKUP(D75,原始分!$D:$N,10,0)</f>
        <v>68</v>
      </c>
      <c r="U75" s="174">
        <f t="shared" si="20"/>
        <v>15</v>
      </c>
      <c r="V75" s="174">
        <f>VLOOKUP(D75,原始分!$D:$N,11,0)</f>
        <v>44</v>
      </c>
      <c r="W75" s="174">
        <f t="shared" si="21"/>
        <v>84</v>
      </c>
      <c r="X75" s="11">
        <f t="shared" si="22"/>
        <v>306.5</v>
      </c>
      <c r="Y75" s="9">
        <f t="shared" si="23"/>
        <v>80</v>
      </c>
      <c r="Z75" s="11">
        <f t="shared" si="24"/>
        <v>481</v>
      </c>
      <c r="AA75" s="9">
        <f t="shared" si="25"/>
        <v>73</v>
      </c>
    </row>
    <row r="76" ht="14.25" spans="1:27">
      <c r="A76" s="13">
        <v>804</v>
      </c>
      <c r="B76" s="15">
        <v>17</v>
      </c>
      <c r="C76" s="16">
        <v>27</v>
      </c>
      <c r="D76" s="15" t="s">
        <v>1606</v>
      </c>
      <c r="E76" s="15" t="s">
        <v>1607</v>
      </c>
      <c r="F76" s="174">
        <f>VLOOKUP(D76,原始分!$D:$N,3,0)</f>
        <v>97.25</v>
      </c>
      <c r="G76" s="174">
        <f t="shared" si="13"/>
        <v>164</v>
      </c>
      <c r="H76" s="174">
        <f>VLOOKUP(D76,原始分!$D:$N,4,0)</f>
        <v>105</v>
      </c>
      <c r="I76" s="174">
        <f t="shared" si="14"/>
        <v>47</v>
      </c>
      <c r="J76" s="174">
        <f>VLOOKUP(D76,原始分!$D:$N,5,0)</f>
        <v>113.5</v>
      </c>
      <c r="K76" s="174">
        <f t="shared" si="15"/>
        <v>57</v>
      </c>
      <c r="L76" s="174">
        <f>VLOOKUP(D76,原始分!$D:$N,6,0)</f>
        <v>0</v>
      </c>
      <c r="M76" s="174">
        <f t="shared" si="16"/>
        <v>1</v>
      </c>
      <c r="N76" s="174">
        <f>VLOOKUP(D76,原始分!$D:$N,7,0)</f>
        <v>55</v>
      </c>
      <c r="O76" s="174">
        <f t="shared" si="17"/>
        <v>124</v>
      </c>
      <c r="P76" s="174">
        <f>VLOOKUP(D76,原始分!$D:$N,8,0)</f>
        <v>0</v>
      </c>
      <c r="Q76" s="174">
        <f t="shared" si="18"/>
        <v>3</v>
      </c>
      <c r="R76" s="174">
        <f>VLOOKUP(D76,原始分!$D:$N,9,0)</f>
        <v>49</v>
      </c>
      <c r="S76" s="174">
        <f t="shared" si="19"/>
        <v>68</v>
      </c>
      <c r="T76" s="174">
        <f>VLOOKUP(D76,原始分!$D:$N,10,0)</f>
        <v>61</v>
      </c>
      <c r="U76" s="174">
        <f t="shared" si="20"/>
        <v>72</v>
      </c>
      <c r="V76" s="174">
        <f>VLOOKUP(D76,原始分!$D:$N,11,0)</f>
        <v>0</v>
      </c>
      <c r="W76" s="174">
        <f t="shared" si="21"/>
        <v>105</v>
      </c>
      <c r="X76" s="11">
        <f t="shared" si="22"/>
        <v>315.75</v>
      </c>
      <c r="Y76" s="9">
        <f t="shared" si="23"/>
        <v>53</v>
      </c>
      <c r="Z76" s="11">
        <f t="shared" si="24"/>
        <v>480.75</v>
      </c>
      <c r="AA76" s="9">
        <f t="shared" si="25"/>
        <v>74</v>
      </c>
    </row>
    <row r="77" ht="14.25" spans="1:27">
      <c r="A77" s="13">
        <v>796</v>
      </c>
      <c r="B77" s="15">
        <v>17</v>
      </c>
      <c r="C77" s="16">
        <v>19</v>
      </c>
      <c r="D77" s="15" t="s">
        <v>1590</v>
      </c>
      <c r="E77" s="15" t="s">
        <v>1591</v>
      </c>
      <c r="F77" s="174">
        <f>VLOOKUP(D77,原始分!$D:$N,3,0)</f>
        <v>102.75</v>
      </c>
      <c r="G77" s="174">
        <f t="shared" si="13"/>
        <v>95</v>
      </c>
      <c r="H77" s="174">
        <f>VLOOKUP(D77,原始分!$D:$N,4,0)</f>
        <v>90</v>
      </c>
      <c r="I77" s="174">
        <f t="shared" si="14"/>
        <v>121</v>
      </c>
      <c r="J77" s="174">
        <f>VLOOKUP(D77,原始分!$D:$N,5,0)</f>
        <v>105.75</v>
      </c>
      <c r="K77" s="174">
        <f t="shared" si="15"/>
        <v>96</v>
      </c>
      <c r="L77" s="174">
        <f>VLOOKUP(D77,原始分!$D:$N,6,0)</f>
        <v>0</v>
      </c>
      <c r="M77" s="174">
        <f t="shared" si="16"/>
        <v>1</v>
      </c>
      <c r="N77" s="174">
        <f>VLOOKUP(D77,原始分!$D:$N,7,0)</f>
        <v>55.5</v>
      </c>
      <c r="O77" s="174">
        <f t="shared" si="17"/>
        <v>118</v>
      </c>
      <c r="P77" s="174">
        <f>VLOOKUP(D77,原始分!$D:$N,8,0)</f>
        <v>0</v>
      </c>
      <c r="Q77" s="174">
        <f t="shared" si="18"/>
        <v>3</v>
      </c>
      <c r="R77" s="174">
        <f>VLOOKUP(D77,原始分!$D:$N,9,0)</f>
        <v>58</v>
      </c>
      <c r="S77" s="174">
        <f t="shared" si="19"/>
        <v>19</v>
      </c>
      <c r="T77" s="174">
        <f>VLOOKUP(D77,原始分!$D:$N,10,0)</f>
        <v>67.5</v>
      </c>
      <c r="U77" s="174">
        <f t="shared" si="20"/>
        <v>18</v>
      </c>
      <c r="V77" s="174">
        <f>VLOOKUP(D77,原始分!$D:$N,11,0)</f>
        <v>0</v>
      </c>
      <c r="W77" s="174">
        <f t="shared" si="21"/>
        <v>105</v>
      </c>
      <c r="X77" s="11">
        <f t="shared" si="22"/>
        <v>298.5</v>
      </c>
      <c r="Y77" s="9">
        <f t="shared" si="23"/>
        <v>102</v>
      </c>
      <c r="Z77" s="11">
        <f t="shared" si="24"/>
        <v>479.5</v>
      </c>
      <c r="AA77" s="9">
        <f t="shared" si="25"/>
        <v>75</v>
      </c>
    </row>
    <row r="78" ht="14.25" spans="1:27">
      <c r="A78" s="13">
        <v>690</v>
      </c>
      <c r="B78" s="15">
        <v>14</v>
      </c>
      <c r="C78" s="16">
        <v>31</v>
      </c>
      <c r="D78" s="15" t="s">
        <v>1386</v>
      </c>
      <c r="E78" s="15" t="s">
        <v>1387</v>
      </c>
      <c r="F78" s="174">
        <f>VLOOKUP(D78,原始分!$D:$N,3,0)</f>
        <v>91.5</v>
      </c>
      <c r="G78" s="174">
        <f t="shared" si="13"/>
        <v>193</v>
      </c>
      <c r="H78" s="174">
        <f>VLOOKUP(D78,原始分!$D:$N,4,0)</f>
        <v>106.5</v>
      </c>
      <c r="I78" s="174">
        <f t="shared" si="14"/>
        <v>41</v>
      </c>
      <c r="J78" s="174">
        <f>VLOOKUP(D78,原始分!$D:$N,5,0)</f>
        <v>110</v>
      </c>
      <c r="K78" s="174">
        <f t="shared" si="15"/>
        <v>71</v>
      </c>
      <c r="L78" s="174">
        <f>VLOOKUP(D78,原始分!$D:$N,6,0)</f>
        <v>0</v>
      </c>
      <c r="M78" s="174">
        <f t="shared" si="16"/>
        <v>1</v>
      </c>
      <c r="N78" s="174">
        <f>VLOOKUP(D78,原始分!$D:$N,7,0)</f>
        <v>55</v>
      </c>
      <c r="O78" s="174">
        <f t="shared" si="17"/>
        <v>124</v>
      </c>
      <c r="P78" s="174">
        <f>VLOOKUP(D78,原始分!$D:$N,8,0)</f>
        <v>0</v>
      </c>
      <c r="Q78" s="174">
        <f t="shared" si="18"/>
        <v>3</v>
      </c>
      <c r="R78" s="174">
        <f>VLOOKUP(D78,原始分!$D:$N,9,0)</f>
        <v>0</v>
      </c>
      <c r="S78" s="174">
        <f t="shared" si="19"/>
        <v>103</v>
      </c>
      <c r="T78" s="174">
        <f>VLOOKUP(D78,原始分!$D:$N,10,0)</f>
        <v>64.5</v>
      </c>
      <c r="U78" s="174">
        <f t="shared" si="20"/>
        <v>43</v>
      </c>
      <c r="V78" s="174">
        <f>VLOOKUP(D78,原始分!$D:$N,11,0)</f>
        <v>51</v>
      </c>
      <c r="W78" s="174">
        <f t="shared" si="21"/>
        <v>52</v>
      </c>
      <c r="X78" s="11">
        <f t="shared" si="22"/>
        <v>308</v>
      </c>
      <c r="Y78" s="9">
        <f t="shared" si="23"/>
        <v>77</v>
      </c>
      <c r="Z78" s="11">
        <f t="shared" si="24"/>
        <v>478.5</v>
      </c>
      <c r="AA78" s="9">
        <f t="shared" si="25"/>
        <v>76</v>
      </c>
    </row>
    <row r="79" ht="14.25" spans="1:27">
      <c r="A79" s="13">
        <v>715</v>
      </c>
      <c r="B79" s="15">
        <v>15</v>
      </c>
      <c r="C79" s="16">
        <v>14</v>
      </c>
      <c r="D79" s="15" t="s">
        <v>1433</v>
      </c>
      <c r="E79" s="15" t="s">
        <v>1434</v>
      </c>
      <c r="F79" s="174">
        <f>VLOOKUP(D79,原始分!$D:$N,3,0)</f>
        <v>98.5</v>
      </c>
      <c r="G79" s="174">
        <f t="shared" si="13"/>
        <v>146</v>
      </c>
      <c r="H79" s="174">
        <f>VLOOKUP(D79,原始分!$D:$N,4,0)</f>
        <v>110.5</v>
      </c>
      <c r="I79" s="174">
        <f t="shared" si="14"/>
        <v>28</v>
      </c>
      <c r="J79" s="174">
        <f>VLOOKUP(D79,原始分!$D:$N,5,0)</f>
        <v>102.5</v>
      </c>
      <c r="K79" s="174">
        <f t="shared" si="15"/>
        <v>112</v>
      </c>
      <c r="L79" s="174">
        <f>VLOOKUP(D79,原始分!$D:$N,6,0)</f>
        <v>0</v>
      </c>
      <c r="M79" s="174">
        <f t="shared" si="16"/>
        <v>1</v>
      </c>
      <c r="N79" s="174">
        <f>VLOOKUP(D79,原始分!$D:$N,7,0)</f>
        <v>56.5</v>
      </c>
      <c r="O79" s="174">
        <f t="shared" si="17"/>
        <v>101</v>
      </c>
      <c r="P79" s="174">
        <f>VLOOKUP(D79,原始分!$D:$N,8,0)</f>
        <v>0</v>
      </c>
      <c r="Q79" s="174">
        <f t="shared" si="18"/>
        <v>3</v>
      </c>
      <c r="R79" s="174">
        <f>VLOOKUP(D79,原始分!$D:$N,9,0)</f>
        <v>0</v>
      </c>
      <c r="S79" s="174">
        <f t="shared" si="19"/>
        <v>103</v>
      </c>
      <c r="T79" s="174">
        <f>VLOOKUP(D79,原始分!$D:$N,10,0)</f>
        <v>49.5</v>
      </c>
      <c r="U79" s="174">
        <f t="shared" si="20"/>
        <v>173</v>
      </c>
      <c r="V79" s="174">
        <f>VLOOKUP(D79,原始分!$D:$N,11,0)</f>
        <v>60.5</v>
      </c>
      <c r="W79" s="174">
        <f t="shared" si="21"/>
        <v>11</v>
      </c>
      <c r="X79" s="11">
        <f t="shared" si="22"/>
        <v>311.5</v>
      </c>
      <c r="Y79" s="9">
        <f t="shared" si="23"/>
        <v>67</v>
      </c>
      <c r="Z79" s="11">
        <f t="shared" si="24"/>
        <v>478</v>
      </c>
      <c r="AA79" s="9">
        <f t="shared" si="25"/>
        <v>77</v>
      </c>
    </row>
    <row r="80" ht="14.25" spans="1:27">
      <c r="A80" s="13">
        <v>821</v>
      </c>
      <c r="B80" s="15">
        <v>17</v>
      </c>
      <c r="C80" s="16">
        <v>48</v>
      </c>
      <c r="D80" s="15" t="s">
        <v>1640</v>
      </c>
      <c r="E80" s="15" t="s">
        <v>1641</v>
      </c>
      <c r="F80" s="174">
        <f>VLOOKUP(D80,原始分!$D:$N,3,0)</f>
        <v>103.75</v>
      </c>
      <c r="G80" s="174">
        <f t="shared" si="13"/>
        <v>84</v>
      </c>
      <c r="H80" s="174">
        <f>VLOOKUP(D80,原始分!$D:$N,4,0)</f>
        <v>93.5</v>
      </c>
      <c r="I80" s="174">
        <f t="shared" si="14"/>
        <v>102</v>
      </c>
      <c r="J80" s="174">
        <f>VLOOKUP(D80,原始分!$D:$N,5,0)</f>
        <v>102</v>
      </c>
      <c r="K80" s="174">
        <f t="shared" si="15"/>
        <v>115</v>
      </c>
      <c r="L80" s="174">
        <f>VLOOKUP(D80,原始分!$D:$N,6,0)</f>
        <v>0</v>
      </c>
      <c r="M80" s="174">
        <f t="shared" si="16"/>
        <v>1</v>
      </c>
      <c r="N80" s="174">
        <f>VLOOKUP(D80,原始分!$D:$N,7,0)</f>
        <v>65.5</v>
      </c>
      <c r="O80" s="174">
        <f t="shared" si="17"/>
        <v>27</v>
      </c>
      <c r="P80" s="174">
        <f>VLOOKUP(D80,原始分!$D:$N,8,0)</f>
        <v>0</v>
      </c>
      <c r="Q80" s="174">
        <f t="shared" si="18"/>
        <v>3</v>
      </c>
      <c r="R80" s="174">
        <f>VLOOKUP(D80,原始分!$D:$N,9,0)</f>
        <v>60</v>
      </c>
      <c r="S80" s="174">
        <f t="shared" si="19"/>
        <v>12</v>
      </c>
      <c r="T80" s="174">
        <f>VLOOKUP(D80,原始分!$D:$N,10,0)</f>
        <v>53.25</v>
      </c>
      <c r="U80" s="174">
        <f t="shared" si="20"/>
        <v>154</v>
      </c>
      <c r="V80" s="174">
        <f>VLOOKUP(D80,原始分!$D:$N,11,0)</f>
        <v>0</v>
      </c>
      <c r="W80" s="174">
        <f t="shared" si="21"/>
        <v>105</v>
      </c>
      <c r="X80" s="11">
        <f t="shared" si="22"/>
        <v>299.25</v>
      </c>
      <c r="Y80" s="9">
        <f t="shared" si="23"/>
        <v>99</v>
      </c>
      <c r="Z80" s="11">
        <f t="shared" si="24"/>
        <v>478</v>
      </c>
      <c r="AA80" s="9">
        <f t="shared" si="25"/>
        <v>77</v>
      </c>
    </row>
    <row r="81" ht="14.25" spans="1:27">
      <c r="A81" s="13">
        <v>737</v>
      </c>
      <c r="B81" s="15">
        <v>15</v>
      </c>
      <c r="C81" s="16">
        <v>37</v>
      </c>
      <c r="D81" s="15" t="s">
        <v>1476</v>
      </c>
      <c r="E81" s="15" t="s">
        <v>1477</v>
      </c>
      <c r="F81" s="174">
        <f>VLOOKUP(D81,原始分!$D:$N,3,0)</f>
        <v>94.75</v>
      </c>
      <c r="G81" s="174">
        <f t="shared" si="13"/>
        <v>181</v>
      </c>
      <c r="H81" s="174">
        <f>VLOOKUP(D81,原始分!$D:$N,4,0)</f>
        <v>111</v>
      </c>
      <c r="I81" s="174">
        <f t="shared" si="14"/>
        <v>26</v>
      </c>
      <c r="J81" s="174">
        <f>VLOOKUP(D81,原始分!$D:$N,5,0)</f>
        <v>108</v>
      </c>
      <c r="K81" s="174">
        <f t="shared" si="15"/>
        <v>82</v>
      </c>
      <c r="L81" s="174">
        <f>VLOOKUP(D81,原始分!$D:$N,6,0)</f>
        <v>0</v>
      </c>
      <c r="M81" s="174">
        <f t="shared" si="16"/>
        <v>1</v>
      </c>
      <c r="N81" s="174">
        <f>VLOOKUP(D81,原始分!$D:$N,7,0)</f>
        <v>57.5</v>
      </c>
      <c r="O81" s="174">
        <f t="shared" si="17"/>
        <v>92</v>
      </c>
      <c r="P81" s="174">
        <f>VLOOKUP(D81,原始分!$D:$N,8,0)</f>
        <v>0</v>
      </c>
      <c r="Q81" s="174">
        <f t="shared" si="18"/>
        <v>3</v>
      </c>
      <c r="R81" s="174">
        <f>VLOOKUP(D81,原始分!$D:$N,9,0)</f>
        <v>0</v>
      </c>
      <c r="S81" s="174">
        <f t="shared" si="19"/>
        <v>103</v>
      </c>
      <c r="T81" s="174">
        <f>VLOOKUP(D81,原始分!$D:$N,10,0)</f>
        <v>52.5</v>
      </c>
      <c r="U81" s="174">
        <f t="shared" si="20"/>
        <v>160</v>
      </c>
      <c r="V81" s="174">
        <f>VLOOKUP(D81,原始分!$D:$N,11,0)</f>
        <v>54</v>
      </c>
      <c r="W81" s="174">
        <f t="shared" si="21"/>
        <v>36</v>
      </c>
      <c r="X81" s="11">
        <f t="shared" si="22"/>
        <v>313.75</v>
      </c>
      <c r="Y81" s="9">
        <f t="shared" si="23"/>
        <v>60</v>
      </c>
      <c r="Z81" s="11">
        <f t="shared" si="24"/>
        <v>477.75</v>
      </c>
      <c r="AA81" s="9">
        <f t="shared" si="25"/>
        <v>79</v>
      </c>
    </row>
    <row r="82" ht="14.25" spans="1:27">
      <c r="A82" s="13">
        <v>867</v>
      </c>
      <c r="B82" s="15">
        <v>18</v>
      </c>
      <c r="C82" s="16">
        <v>53</v>
      </c>
      <c r="D82" s="15" t="s">
        <v>1732</v>
      </c>
      <c r="E82" s="15" t="s">
        <v>1733</v>
      </c>
      <c r="F82" s="174">
        <f>VLOOKUP(D82,原始分!$D:$N,3,0)</f>
        <v>102</v>
      </c>
      <c r="G82" s="174">
        <f t="shared" si="13"/>
        <v>106</v>
      </c>
      <c r="H82" s="174">
        <f>VLOOKUP(D82,原始分!$D:$N,4,0)</f>
        <v>92</v>
      </c>
      <c r="I82" s="174">
        <f t="shared" si="14"/>
        <v>110</v>
      </c>
      <c r="J82" s="174">
        <f>VLOOKUP(D82,原始分!$D:$N,5,0)</f>
        <v>109.5</v>
      </c>
      <c r="K82" s="174">
        <f t="shared" si="15"/>
        <v>74</v>
      </c>
      <c r="L82" s="174">
        <f>VLOOKUP(D82,原始分!$D:$N,6,0)</f>
        <v>0</v>
      </c>
      <c r="M82" s="174">
        <f t="shared" si="16"/>
        <v>1</v>
      </c>
      <c r="N82" s="174">
        <f>VLOOKUP(D82,原始分!$D:$N,7,0)</f>
        <v>61</v>
      </c>
      <c r="O82" s="174">
        <f t="shared" si="17"/>
        <v>60</v>
      </c>
      <c r="P82" s="174">
        <f>VLOOKUP(D82,原始分!$D:$N,8,0)</f>
        <v>0</v>
      </c>
      <c r="Q82" s="174">
        <f t="shared" si="18"/>
        <v>3</v>
      </c>
      <c r="R82" s="174">
        <f>VLOOKUP(D82,原始分!$D:$N,9,0)</f>
        <v>53</v>
      </c>
      <c r="S82" s="174">
        <f t="shared" si="19"/>
        <v>43</v>
      </c>
      <c r="T82" s="174">
        <f>VLOOKUP(D82,原始分!$D:$N,10,0)</f>
        <v>60</v>
      </c>
      <c r="U82" s="174">
        <f t="shared" si="20"/>
        <v>82</v>
      </c>
      <c r="V82" s="174">
        <f>VLOOKUP(D82,原始分!$D:$N,11,0)</f>
        <v>0</v>
      </c>
      <c r="W82" s="174">
        <f t="shared" si="21"/>
        <v>105</v>
      </c>
      <c r="X82" s="11">
        <f t="shared" si="22"/>
        <v>303.5</v>
      </c>
      <c r="Y82" s="9">
        <f t="shared" si="23"/>
        <v>84</v>
      </c>
      <c r="Z82" s="11">
        <f t="shared" si="24"/>
        <v>477.5</v>
      </c>
      <c r="AA82" s="9">
        <f t="shared" si="25"/>
        <v>80</v>
      </c>
    </row>
    <row r="83" ht="14.25" spans="1:27">
      <c r="A83" s="13">
        <v>795</v>
      </c>
      <c r="B83" s="15">
        <v>17</v>
      </c>
      <c r="C83" s="16">
        <v>17</v>
      </c>
      <c r="D83" s="15" t="s">
        <v>1588</v>
      </c>
      <c r="E83" s="15" t="s">
        <v>1589</v>
      </c>
      <c r="F83" s="174">
        <f>VLOOKUP(D83,原始分!$D:$N,3,0)</f>
        <v>105</v>
      </c>
      <c r="G83" s="174">
        <f t="shared" si="13"/>
        <v>65</v>
      </c>
      <c r="H83" s="174">
        <f>VLOOKUP(D83,原始分!$D:$N,4,0)</f>
        <v>95.5</v>
      </c>
      <c r="I83" s="174">
        <f t="shared" si="14"/>
        <v>88</v>
      </c>
      <c r="J83" s="174">
        <f>VLOOKUP(D83,原始分!$D:$N,5,0)</f>
        <v>105.75</v>
      </c>
      <c r="K83" s="174">
        <f t="shared" si="15"/>
        <v>96</v>
      </c>
      <c r="L83" s="174">
        <f>VLOOKUP(D83,原始分!$D:$N,6,0)</f>
        <v>0</v>
      </c>
      <c r="M83" s="174">
        <f t="shared" si="16"/>
        <v>1</v>
      </c>
      <c r="N83" s="174">
        <f>VLOOKUP(D83,原始分!$D:$N,7,0)</f>
        <v>58</v>
      </c>
      <c r="O83" s="174">
        <f t="shared" si="17"/>
        <v>84</v>
      </c>
      <c r="P83" s="174">
        <f>VLOOKUP(D83,原始分!$D:$N,8,0)</f>
        <v>0</v>
      </c>
      <c r="Q83" s="174">
        <f t="shared" si="18"/>
        <v>3</v>
      </c>
      <c r="R83" s="174">
        <f>VLOOKUP(D83,原始分!$D:$N,9,0)</f>
        <v>54</v>
      </c>
      <c r="S83" s="174">
        <f t="shared" si="19"/>
        <v>36</v>
      </c>
      <c r="T83" s="174">
        <f>VLOOKUP(D83,原始分!$D:$N,10,0)</f>
        <v>58.5</v>
      </c>
      <c r="U83" s="174">
        <f t="shared" si="20"/>
        <v>100</v>
      </c>
      <c r="V83" s="174">
        <f>VLOOKUP(D83,原始分!$D:$N,11,0)</f>
        <v>0</v>
      </c>
      <c r="W83" s="174">
        <f t="shared" si="21"/>
        <v>105</v>
      </c>
      <c r="X83" s="11">
        <f t="shared" si="22"/>
        <v>306.25</v>
      </c>
      <c r="Y83" s="9">
        <f t="shared" si="23"/>
        <v>81</v>
      </c>
      <c r="Z83" s="11">
        <f t="shared" si="24"/>
        <v>476.75</v>
      </c>
      <c r="AA83" s="9">
        <f t="shared" si="25"/>
        <v>81</v>
      </c>
    </row>
    <row r="84" ht="14.25" spans="1:27">
      <c r="A84" s="13">
        <v>692</v>
      </c>
      <c r="B84" s="15">
        <v>14</v>
      </c>
      <c r="C84" s="16">
        <v>34</v>
      </c>
      <c r="D84" s="15" t="s">
        <v>1390</v>
      </c>
      <c r="E84" s="15" t="s">
        <v>1115</v>
      </c>
      <c r="F84" s="174">
        <f>VLOOKUP(D84,原始分!$D:$N,3,0)</f>
        <v>104</v>
      </c>
      <c r="G84" s="174">
        <f t="shared" si="13"/>
        <v>80</v>
      </c>
      <c r="H84" s="174">
        <f>VLOOKUP(D84,原始分!$D:$N,4,0)</f>
        <v>94</v>
      </c>
      <c r="I84" s="174">
        <f t="shared" si="14"/>
        <v>97</v>
      </c>
      <c r="J84" s="174">
        <f>VLOOKUP(D84,原始分!$D:$N,5,0)</f>
        <v>114</v>
      </c>
      <c r="K84" s="174">
        <f t="shared" si="15"/>
        <v>51</v>
      </c>
      <c r="L84" s="174">
        <f>VLOOKUP(D84,原始分!$D:$N,6,0)</f>
        <v>0</v>
      </c>
      <c r="M84" s="174">
        <f t="shared" si="16"/>
        <v>1</v>
      </c>
      <c r="N84" s="174">
        <f>VLOOKUP(D84,原始分!$D:$N,7,0)</f>
        <v>60</v>
      </c>
      <c r="O84" s="174">
        <f t="shared" si="17"/>
        <v>67</v>
      </c>
      <c r="P84" s="174">
        <f>VLOOKUP(D84,原始分!$D:$N,8,0)</f>
        <v>0</v>
      </c>
      <c r="Q84" s="174">
        <f t="shared" si="18"/>
        <v>3</v>
      </c>
      <c r="R84" s="174">
        <f>VLOOKUP(D84,原始分!$D:$N,9,0)</f>
        <v>0</v>
      </c>
      <c r="S84" s="174">
        <f t="shared" si="19"/>
        <v>103</v>
      </c>
      <c r="T84" s="174">
        <f>VLOOKUP(D84,原始分!$D:$N,10,0)</f>
        <v>58</v>
      </c>
      <c r="U84" s="174">
        <f t="shared" si="20"/>
        <v>111</v>
      </c>
      <c r="V84" s="174">
        <f>VLOOKUP(D84,原始分!$D:$N,11,0)</f>
        <v>45</v>
      </c>
      <c r="W84" s="174">
        <f t="shared" si="21"/>
        <v>79</v>
      </c>
      <c r="X84" s="11">
        <f t="shared" si="22"/>
        <v>312</v>
      </c>
      <c r="Y84" s="9">
        <f t="shared" si="23"/>
        <v>65</v>
      </c>
      <c r="Z84" s="11">
        <f t="shared" si="24"/>
        <v>475</v>
      </c>
      <c r="AA84" s="9">
        <f t="shared" si="25"/>
        <v>82</v>
      </c>
    </row>
    <row r="85" ht="14.25" spans="1:27">
      <c r="A85" s="13">
        <v>838</v>
      </c>
      <c r="B85" s="15">
        <v>18</v>
      </c>
      <c r="C85" s="16">
        <v>18</v>
      </c>
      <c r="D85" s="15" t="s">
        <v>1674</v>
      </c>
      <c r="E85" s="15" t="s">
        <v>1675</v>
      </c>
      <c r="F85" s="174">
        <f>VLOOKUP(D85,原始分!$D:$N,3,0)</f>
        <v>107.5</v>
      </c>
      <c r="G85" s="174">
        <f t="shared" si="13"/>
        <v>40</v>
      </c>
      <c r="H85" s="174">
        <f>VLOOKUP(D85,原始分!$D:$N,4,0)</f>
        <v>69</v>
      </c>
      <c r="I85" s="174">
        <f t="shared" si="14"/>
        <v>185</v>
      </c>
      <c r="J85" s="174">
        <f>VLOOKUP(D85,原始分!$D:$N,5,0)</f>
        <v>125</v>
      </c>
      <c r="K85" s="174">
        <f t="shared" si="15"/>
        <v>6</v>
      </c>
      <c r="L85" s="174">
        <f>VLOOKUP(D85,原始分!$D:$N,6,0)</f>
        <v>0</v>
      </c>
      <c r="M85" s="174">
        <f t="shared" si="16"/>
        <v>1</v>
      </c>
      <c r="N85" s="174">
        <f>VLOOKUP(D85,原始分!$D:$N,7,0)</f>
        <v>64</v>
      </c>
      <c r="O85" s="174">
        <f t="shared" si="17"/>
        <v>37</v>
      </c>
      <c r="P85" s="174">
        <f>VLOOKUP(D85,原始分!$D:$N,8,0)</f>
        <v>0</v>
      </c>
      <c r="Q85" s="174">
        <f t="shared" si="18"/>
        <v>3</v>
      </c>
      <c r="R85" s="174">
        <f>VLOOKUP(D85,原始分!$D:$N,9,0)</f>
        <v>50</v>
      </c>
      <c r="S85" s="174">
        <f t="shared" si="19"/>
        <v>60</v>
      </c>
      <c r="T85" s="174">
        <f>VLOOKUP(D85,原始分!$D:$N,10,0)</f>
        <v>59</v>
      </c>
      <c r="U85" s="174">
        <f t="shared" si="20"/>
        <v>95</v>
      </c>
      <c r="V85" s="174">
        <f>VLOOKUP(D85,原始分!$D:$N,11,0)</f>
        <v>0</v>
      </c>
      <c r="W85" s="174">
        <f t="shared" si="21"/>
        <v>105</v>
      </c>
      <c r="X85" s="11">
        <f t="shared" si="22"/>
        <v>301.5</v>
      </c>
      <c r="Y85" s="9">
        <f t="shared" si="23"/>
        <v>93</v>
      </c>
      <c r="Z85" s="11">
        <f t="shared" si="24"/>
        <v>474.5</v>
      </c>
      <c r="AA85" s="9">
        <f t="shared" si="25"/>
        <v>83</v>
      </c>
    </row>
    <row r="86" ht="14.25" spans="1:27">
      <c r="A86" s="13">
        <v>677</v>
      </c>
      <c r="B86" s="15">
        <v>14</v>
      </c>
      <c r="C86" s="16">
        <v>18</v>
      </c>
      <c r="D86" s="15" t="s">
        <v>1360</v>
      </c>
      <c r="E86" s="15" t="s">
        <v>1361</v>
      </c>
      <c r="F86" s="174">
        <f>VLOOKUP(D86,原始分!$D:$N,3,0)</f>
        <v>91.5</v>
      </c>
      <c r="G86" s="174">
        <f t="shared" si="13"/>
        <v>193</v>
      </c>
      <c r="H86" s="174">
        <f>VLOOKUP(D86,原始分!$D:$N,4,0)</f>
        <v>114</v>
      </c>
      <c r="I86" s="174">
        <f t="shared" si="14"/>
        <v>15</v>
      </c>
      <c r="J86" s="174">
        <f>VLOOKUP(D86,原始分!$D:$N,5,0)</f>
        <v>105.25</v>
      </c>
      <c r="K86" s="174">
        <f t="shared" si="15"/>
        <v>101</v>
      </c>
      <c r="L86" s="174">
        <f>VLOOKUP(D86,原始分!$D:$N,6,0)</f>
        <v>0</v>
      </c>
      <c r="M86" s="174">
        <f t="shared" si="16"/>
        <v>1</v>
      </c>
      <c r="N86" s="174">
        <f>VLOOKUP(D86,原始分!$D:$N,7,0)</f>
        <v>55.25</v>
      </c>
      <c r="O86" s="174">
        <f t="shared" si="17"/>
        <v>123</v>
      </c>
      <c r="P86" s="174">
        <f>VLOOKUP(D86,原始分!$D:$N,8,0)</f>
        <v>0</v>
      </c>
      <c r="Q86" s="174">
        <f t="shared" si="18"/>
        <v>3</v>
      </c>
      <c r="R86" s="174">
        <f>VLOOKUP(D86,原始分!$D:$N,9,0)</f>
        <v>0</v>
      </c>
      <c r="S86" s="174">
        <f t="shared" si="19"/>
        <v>103</v>
      </c>
      <c r="T86" s="174">
        <f>VLOOKUP(D86,原始分!$D:$N,10,0)</f>
        <v>58.75</v>
      </c>
      <c r="U86" s="174">
        <f t="shared" si="20"/>
        <v>99</v>
      </c>
      <c r="V86" s="174">
        <f>VLOOKUP(D86,原始分!$D:$N,11,0)</f>
        <v>49.5</v>
      </c>
      <c r="W86" s="174">
        <f t="shared" si="21"/>
        <v>58</v>
      </c>
      <c r="X86" s="11">
        <f t="shared" si="22"/>
        <v>310.75</v>
      </c>
      <c r="Y86" s="9">
        <f t="shared" si="23"/>
        <v>70</v>
      </c>
      <c r="Z86" s="11">
        <f t="shared" si="24"/>
        <v>474.25</v>
      </c>
      <c r="AA86" s="9">
        <f t="shared" si="25"/>
        <v>84</v>
      </c>
    </row>
    <row r="87" ht="14.25" spans="1:27">
      <c r="A87" s="13">
        <v>834</v>
      </c>
      <c r="B87" s="15">
        <v>18</v>
      </c>
      <c r="C87" s="16">
        <v>12</v>
      </c>
      <c r="D87" s="15" t="s">
        <v>1666</v>
      </c>
      <c r="E87" s="15" t="s">
        <v>1667</v>
      </c>
      <c r="F87" s="174">
        <f>VLOOKUP(D87,原始分!$D:$N,3,0)</f>
        <v>111</v>
      </c>
      <c r="G87" s="174">
        <f t="shared" si="13"/>
        <v>19</v>
      </c>
      <c r="H87" s="174">
        <f>VLOOKUP(D87,原始分!$D:$N,4,0)</f>
        <v>111.5</v>
      </c>
      <c r="I87" s="174">
        <f t="shared" si="14"/>
        <v>23</v>
      </c>
      <c r="J87" s="174">
        <f>VLOOKUP(D87,原始分!$D:$N,5,0)</f>
        <v>88.25</v>
      </c>
      <c r="K87" s="174">
        <f t="shared" si="15"/>
        <v>173</v>
      </c>
      <c r="L87" s="174">
        <f>VLOOKUP(D87,原始分!$D:$N,6,0)</f>
        <v>0</v>
      </c>
      <c r="M87" s="174">
        <f t="shared" si="16"/>
        <v>1</v>
      </c>
      <c r="N87" s="174">
        <f>VLOOKUP(D87,原始分!$D:$N,7,0)</f>
        <v>57.5</v>
      </c>
      <c r="O87" s="174">
        <f t="shared" si="17"/>
        <v>92</v>
      </c>
      <c r="P87" s="174">
        <f>VLOOKUP(D87,原始分!$D:$N,8,0)</f>
        <v>0</v>
      </c>
      <c r="Q87" s="174">
        <f t="shared" si="18"/>
        <v>3</v>
      </c>
      <c r="R87" s="174">
        <f>VLOOKUP(D87,原始分!$D:$N,9,0)</f>
        <v>55.5</v>
      </c>
      <c r="S87" s="174">
        <f t="shared" si="19"/>
        <v>27</v>
      </c>
      <c r="T87" s="174">
        <f>VLOOKUP(D87,原始分!$D:$N,10,0)</f>
        <v>50.5</v>
      </c>
      <c r="U87" s="174">
        <f t="shared" si="20"/>
        <v>171</v>
      </c>
      <c r="V87" s="174">
        <f>VLOOKUP(D87,原始分!$D:$N,11,0)</f>
        <v>0</v>
      </c>
      <c r="W87" s="174">
        <f t="shared" si="21"/>
        <v>105</v>
      </c>
      <c r="X87" s="11">
        <f t="shared" si="22"/>
        <v>310.75</v>
      </c>
      <c r="Y87" s="9">
        <f t="shared" si="23"/>
        <v>70</v>
      </c>
      <c r="Z87" s="11">
        <f t="shared" si="24"/>
        <v>474.25</v>
      </c>
      <c r="AA87" s="9">
        <f t="shared" si="25"/>
        <v>84</v>
      </c>
    </row>
    <row r="88" ht="14.25" spans="1:27">
      <c r="A88" s="13">
        <v>860</v>
      </c>
      <c r="B88" s="15">
        <v>18</v>
      </c>
      <c r="C88" s="16">
        <v>43</v>
      </c>
      <c r="D88" s="15" t="s">
        <v>1718</v>
      </c>
      <c r="E88" s="15" t="s">
        <v>1719</v>
      </c>
      <c r="F88" s="174">
        <f>VLOOKUP(D88,原始分!$D:$N,3,0)</f>
        <v>106.5</v>
      </c>
      <c r="G88" s="174">
        <f t="shared" si="13"/>
        <v>57</v>
      </c>
      <c r="H88" s="174">
        <f>VLOOKUP(D88,原始分!$D:$N,4,0)</f>
        <v>92.5</v>
      </c>
      <c r="I88" s="174">
        <f t="shared" si="14"/>
        <v>108</v>
      </c>
      <c r="J88" s="174">
        <f>VLOOKUP(D88,原始分!$D:$N,5,0)</f>
        <v>100</v>
      </c>
      <c r="K88" s="174">
        <f t="shared" si="15"/>
        <v>126</v>
      </c>
      <c r="L88" s="174">
        <f>VLOOKUP(D88,原始分!$D:$N,6,0)</f>
        <v>0</v>
      </c>
      <c r="M88" s="174">
        <f t="shared" si="16"/>
        <v>1</v>
      </c>
      <c r="N88" s="174">
        <f>VLOOKUP(D88,原始分!$D:$N,7,0)</f>
        <v>61</v>
      </c>
      <c r="O88" s="174">
        <f t="shared" si="17"/>
        <v>60</v>
      </c>
      <c r="P88" s="174">
        <f>VLOOKUP(D88,原始分!$D:$N,8,0)</f>
        <v>0</v>
      </c>
      <c r="Q88" s="174">
        <f t="shared" si="18"/>
        <v>3</v>
      </c>
      <c r="R88" s="174">
        <f>VLOOKUP(D88,原始分!$D:$N,9,0)</f>
        <v>55</v>
      </c>
      <c r="S88" s="174">
        <f t="shared" si="19"/>
        <v>30</v>
      </c>
      <c r="T88" s="174">
        <f>VLOOKUP(D88,原始分!$D:$N,10,0)</f>
        <v>58.5</v>
      </c>
      <c r="U88" s="174">
        <f t="shared" si="20"/>
        <v>100</v>
      </c>
      <c r="V88" s="174">
        <f>VLOOKUP(D88,原始分!$D:$N,11,0)</f>
        <v>0</v>
      </c>
      <c r="W88" s="174">
        <f t="shared" si="21"/>
        <v>105</v>
      </c>
      <c r="X88" s="11">
        <f t="shared" si="22"/>
        <v>299</v>
      </c>
      <c r="Y88" s="9">
        <f t="shared" si="23"/>
        <v>100</v>
      </c>
      <c r="Z88" s="11">
        <f t="shared" si="24"/>
        <v>473.5</v>
      </c>
      <c r="AA88" s="9">
        <f t="shared" si="25"/>
        <v>86</v>
      </c>
    </row>
    <row r="89" ht="14.25" spans="1:27">
      <c r="A89" s="13">
        <v>723</v>
      </c>
      <c r="B89" s="15">
        <v>15</v>
      </c>
      <c r="C89" s="16">
        <v>22</v>
      </c>
      <c r="D89" s="15" t="s">
        <v>1449</v>
      </c>
      <c r="E89" s="15" t="s">
        <v>1450</v>
      </c>
      <c r="F89" s="174">
        <f>VLOOKUP(D89,原始分!$D:$N,3,0)</f>
        <v>98</v>
      </c>
      <c r="G89" s="174">
        <f t="shared" si="13"/>
        <v>152</v>
      </c>
      <c r="H89" s="174">
        <f>VLOOKUP(D89,原始分!$D:$N,4,0)</f>
        <v>107.5</v>
      </c>
      <c r="I89" s="174">
        <f t="shared" si="14"/>
        <v>38</v>
      </c>
      <c r="J89" s="174">
        <f>VLOOKUP(D89,原始分!$D:$N,5,0)</f>
        <v>121.25</v>
      </c>
      <c r="K89" s="174">
        <f t="shared" si="15"/>
        <v>18</v>
      </c>
      <c r="L89" s="174">
        <f>VLOOKUP(D89,原始分!$D:$N,6,0)</f>
        <v>0</v>
      </c>
      <c r="M89" s="174">
        <f t="shared" si="16"/>
        <v>1</v>
      </c>
      <c r="N89" s="174">
        <f>VLOOKUP(D89,原始分!$D:$N,7,0)</f>
        <v>56</v>
      </c>
      <c r="O89" s="174">
        <f t="shared" si="17"/>
        <v>107</v>
      </c>
      <c r="P89" s="174">
        <f>VLOOKUP(D89,原始分!$D:$N,8,0)</f>
        <v>0</v>
      </c>
      <c r="Q89" s="174">
        <f t="shared" si="18"/>
        <v>3</v>
      </c>
      <c r="R89" s="174">
        <f>VLOOKUP(D89,原始分!$D:$N,9,0)</f>
        <v>0</v>
      </c>
      <c r="S89" s="174">
        <f t="shared" si="19"/>
        <v>103</v>
      </c>
      <c r="T89" s="174">
        <f>VLOOKUP(D89,原始分!$D:$N,10,0)</f>
        <v>55</v>
      </c>
      <c r="U89" s="174">
        <f t="shared" si="20"/>
        <v>140</v>
      </c>
      <c r="V89" s="174">
        <f>VLOOKUP(D89,原始分!$D:$N,11,0)</f>
        <v>35.5</v>
      </c>
      <c r="W89" s="174">
        <f t="shared" si="21"/>
        <v>98</v>
      </c>
      <c r="X89" s="11">
        <f t="shared" si="22"/>
        <v>326.75</v>
      </c>
      <c r="Y89" s="9">
        <f t="shared" si="23"/>
        <v>28</v>
      </c>
      <c r="Z89" s="11">
        <f t="shared" si="24"/>
        <v>473.25</v>
      </c>
      <c r="AA89" s="9">
        <f t="shared" si="25"/>
        <v>87</v>
      </c>
    </row>
    <row r="90" ht="14.25" spans="1:27">
      <c r="A90" s="13">
        <v>679</v>
      </c>
      <c r="B90" s="15">
        <v>14</v>
      </c>
      <c r="C90" s="16">
        <v>20</v>
      </c>
      <c r="D90" s="15" t="s">
        <v>1364</v>
      </c>
      <c r="E90" s="15" t="s">
        <v>1365</v>
      </c>
      <c r="F90" s="174">
        <f>VLOOKUP(D90,原始分!$D:$N,3,0)</f>
        <v>107.5</v>
      </c>
      <c r="G90" s="174">
        <f t="shared" si="13"/>
        <v>40</v>
      </c>
      <c r="H90" s="174">
        <f>VLOOKUP(D90,原始分!$D:$N,4,0)</f>
        <v>101</v>
      </c>
      <c r="I90" s="174">
        <f t="shared" si="14"/>
        <v>65</v>
      </c>
      <c r="J90" s="174">
        <f>VLOOKUP(D90,原始分!$D:$N,5,0)</f>
        <v>118.25</v>
      </c>
      <c r="K90" s="174">
        <f t="shared" si="15"/>
        <v>31</v>
      </c>
      <c r="L90" s="174">
        <f>VLOOKUP(D90,原始分!$D:$N,6,0)</f>
        <v>0</v>
      </c>
      <c r="M90" s="174">
        <f t="shared" si="16"/>
        <v>1</v>
      </c>
      <c r="N90" s="174">
        <f>VLOOKUP(D90,原始分!$D:$N,7,0)</f>
        <v>43.5</v>
      </c>
      <c r="O90" s="174">
        <f t="shared" si="17"/>
        <v>197</v>
      </c>
      <c r="P90" s="174">
        <f>VLOOKUP(D90,原始分!$D:$N,8,0)</f>
        <v>0</v>
      </c>
      <c r="Q90" s="174">
        <f t="shared" si="18"/>
        <v>3</v>
      </c>
      <c r="R90" s="174">
        <f>VLOOKUP(D90,原始分!$D:$N,9,0)</f>
        <v>0</v>
      </c>
      <c r="S90" s="174">
        <f t="shared" si="19"/>
        <v>103</v>
      </c>
      <c r="T90" s="174">
        <f>VLOOKUP(D90,原始分!$D:$N,10,0)</f>
        <v>58.5</v>
      </c>
      <c r="U90" s="174">
        <f t="shared" si="20"/>
        <v>100</v>
      </c>
      <c r="V90" s="174">
        <f>VLOOKUP(D90,原始分!$D:$N,11,0)</f>
        <v>42.5</v>
      </c>
      <c r="W90" s="174">
        <f t="shared" si="21"/>
        <v>88</v>
      </c>
      <c r="X90" s="11">
        <f t="shared" si="22"/>
        <v>326.75</v>
      </c>
      <c r="Y90" s="9">
        <f t="shared" si="23"/>
        <v>28</v>
      </c>
      <c r="Z90" s="11">
        <f t="shared" si="24"/>
        <v>471.25</v>
      </c>
      <c r="AA90" s="9">
        <f t="shared" si="25"/>
        <v>88</v>
      </c>
    </row>
    <row r="91" ht="14.25" spans="1:27">
      <c r="A91" s="13">
        <v>805</v>
      </c>
      <c r="B91" s="15">
        <v>17</v>
      </c>
      <c r="C91" s="16">
        <v>28</v>
      </c>
      <c r="D91" s="15" t="s">
        <v>1608</v>
      </c>
      <c r="E91" s="15" t="s">
        <v>1609</v>
      </c>
      <c r="F91" s="174">
        <f>VLOOKUP(D91,原始分!$D:$N,3,0)</f>
        <v>98</v>
      </c>
      <c r="G91" s="174">
        <f t="shared" si="13"/>
        <v>152</v>
      </c>
      <c r="H91" s="174">
        <f>VLOOKUP(D91,原始分!$D:$N,4,0)</f>
        <v>110.5</v>
      </c>
      <c r="I91" s="174">
        <f t="shared" si="14"/>
        <v>28</v>
      </c>
      <c r="J91" s="174">
        <f>VLOOKUP(D91,原始分!$D:$N,5,0)</f>
        <v>103.5</v>
      </c>
      <c r="K91" s="174">
        <f t="shared" si="15"/>
        <v>110</v>
      </c>
      <c r="L91" s="174">
        <f>VLOOKUP(D91,原始分!$D:$N,6,0)</f>
        <v>0</v>
      </c>
      <c r="M91" s="174">
        <f t="shared" si="16"/>
        <v>1</v>
      </c>
      <c r="N91" s="174">
        <f>VLOOKUP(D91,原始分!$D:$N,7,0)</f>
        <v>65.5</v>
      </c>
      <c r="O91" s="174">
        <f t="shared" si="17"/>
        <v>27</v>
      </c>
      <c r="P91" s="174">
        <f>VLOOKUP(D91,原始分!$D:$N,8,0)</f>
        <v>0</v>
      </c>
      <c r="Q91" s="174">
        <f t="shared" si="18"/>
        <v>3</v>
      </c>
      <c r="R91" s="174">
        <f>VLOOKUP(D91,原始分!$D:$N,9,0)</f>
        <v>44</v>
      </c>
      <c r="S91" s="174">
        <f t="shared" si="19"/>
        <v>89</v>
      </c>
      <c r="T91" s="174">
        <f>VLOOKUP(D91,原始分!$D:$N,10,0)</f>
        <v>49.5</v>
      </c>
      <c r="U91" s="174">
        <f t="shared" si="20"/>
        <v>173</v>
      </c>
      <c r="V91" s="174">
        <f>VLOOKUP(D91,原始分!$D:$N,11,0)</f>
        <v>0</v>
      </c>
      <c r="W91" s="174">
        <f t="shared" si="21"/>
        <v>105</v>
      </c>
      <c r="X91" s="11">
        <f t="shared" si="22"/>
        <v>312</v>
      </c>
      <c r="Y91" s="9">
        <f t="shared" si="23"/>
        <v>65</v>
      </c>
      <c r="Z91" s="11">
        <f t="shared" si="24"/>
        <v>471</v>
      </c>
      <c r="AA91" s="9">
        <f t="shared" si="25"/>
        <v>89</v>
      </c>
    </row>
    <row r="92" ht="14.25" spans="1:27">
      <c r="A92" s="13">
        <v>718</v>
      </c>
      <c r="B92" s="15">
        <v>15</v>
      </c>
      <c r="C92" s="16">
        <v>17</v>
      </c>
      <c r="D92" s="15" t="s">
        <v>1439</v>
      </c>
      <c r="E92" s="15" t="s">
        <v>1440</v>
      </c>
      <c r="F92" s="174">
        <f>VLOOKUP(D92,原始分!$D:$N,3,0)</f>
        <v>96</v>
      </c>
      <c r="G92" s="174">
        <f t="shared" si="13"/>
        <v>173</v>
      </c>
      <c r="H92" s="174">
        <f>VLOOKUP(D92,原始分!$D:$N,4,0)</f>
        <v>102</v>
      </c>
      <c r="I92" s="174">
        <f t="shared" si="14"/>
        <v>61</v>
      </c>
      <c r="J92" s="174">
        <f>VLOOKUP(D92,原始分!$D:$N,5,0)</f>
        <v>88.5</v>
      </c>
      <c r="K92" s="174">
        <f t="shared" si="15"/>
        <v>170</v>
      </c>
      <c r="L92" s="174">
        <f>VLOOKUP(D92,原始分!$D:$N,6,0)</f>
        <v>0</v>
      </c>
      <c r="M92" s="174">
        <f t="shared" si="16"/>
        <v>1</v>
      </c>
      <c r="N92" s="174">
        <f>VLOOKUP(D92,原始分!$D:$N,7,0)</f>
        <v>57.5</v>
      </c>
      <c r="O92" s="174">
        <f t="shared" si="17"/>
        <v>92</v>
      </c>
      <c r="P92" s="174">
        <f>VLOOKUP(D92,原始分!$D:$N,8,0)</f>
        <v>0</v>
      </c>
      <c r="Q92" s="174">
        <f t="shared" si="18"/>
        <v>3</v>
      </c>
      <c r="R92" s="174">
        <f>VLOOKUP(D92,原始分!$D:$N,9,0)</f>
        <v>0</v>
      </c>
      <c r="S92" s="174">
        <f t="shared" si="19"/>
        <v>103</v>
      </c>
      <c r="T92" s="174">
        <f>VLOOKUP(D92,原始分!$D:$N,10,0)</f>
        <v>67</v>
      </c>
      <c r="U92" s="174">
        <f t="shared" si="20"/>
        <v>23</v>
      </c>
      <c r="V92" s="174">
        <f>VLOOKUP(D92,原始分!$D:$N,11,0)</f>
        <v>59.5</v>
      </c>
      <c r="W92" s="174">
        <f t="shared" si="21"/>
        <v>15</v>
      </c>
      <c r="X92" s="11">
        <f t="shared" si="22"/>
        <v>286.5</v>
      </c>
      <c r="Y92" s="9">
        <f t="shared" si="23"/>
        <v>140</v>
      </c>
      <c r="Z92" s="11">
        <f t="shared" si="24"/>
        <v>470.5</v>
      </c>
      <c r="AA92" s="9">
        <f t="shared" si="25"/>
        <v>90</v>
      </c>
    </row>
    <row r="93" ht="14.25" spans="1:27">
      <c r="A93" s="13">
        <v>769</v>
      </c>
      <c r="B93" s="15">
        <v>16</v>
      </c>
      <c r="C93" s="16">
        <v>25</v>
      </c>
      <c r="D93" s="15" t="s">
        <v>1537</v>
      </c>
      <c r="E93" s="15" t="s">
        <v>847</v>
      </c>
      <c r="F93" s="174">
        <f>VLOOKUP(D93,原始分!$D:$N,3,0)</f>
        <v>111</v>
      </c>
      <c r="G93" s="174">
        <f t="shared" si="13"/>
        <v>19</v>
      </c>
      <c r="H93" s="174">
        <f>VLOOKUP(D93,原始分!$D:$N,4,0)</f>
        <v>88.5</v>
      </c>
      <c r="I93" s="174">
        <f t="shared" si="14"/>
        <v>128</v>
      </c>
      <c r="J93" s="174">
        <f>VLOOKUP(D93,原始分!$D:$N,5,0)</f>
        <v>102.5</v>
      </c>
      <c r="K93" s="174">
        <f t="shared" si="15"/>
        <v>112</v>
      </c>
      <c r="L93" s="174">
        <f>VLOOKUP(D93,原始分!$D:$N,6,0)</f>
        <v>0</v>
      </c>
      <c r="M93" s="174">
        <f t="shared" si="16"/>
        <v>1</v>
      </c>
      <c r="N93" s="174">
        <f>VLOOKUP(D93,原始分!$D:$N,7,0)</f>
        <v>58.5</v>
      </c>
      <c r="O93" s="174">
        <f t="shared" si="17"/>
        <v>80</v>
      </c>
      <c r="P93" s="174">
        <f>VLOOKUP(D93,原始分!$D:$N,8,0)</f>
        <v>0</v>
      </c>
      <c r="Q93" s="174">
        <f t="shared" si="18"/>
        <v>3</v>
      </c>
      <c r="R93" s="174">
        <f>VLOOKUP(D93,原始分!$D:$N,9,0)</f>
        <v>50.5</v>
      </c>
      <c r="S93" s="174">
        <f t="shared" si="19"/>
        <v>55</v>
      </c>
      <c r="T93" s="174">
        <f>VLOOKUP(D93,原始分!$D:$N,10,0)</f>
        <v>59</v>
      </c>
      <c r="U93" s="174">
        <f t="shared" si="20"/>
        <v>95</v>
      </c>
      <c r="V93" s="174">
        <f>VLOOKUP(D93,原始分!$D:$N,11,0)</f>
        <v>0</v>
      </c>
      <c r="W93" s="174">
        <f t="shared" si="21"/>
        <v>105</v>
      </c>
      <c r="X93" s="11">
        <f t="shared" si="22"/>
        <v>302</v>
      </c>
      <c r="Y93" s="9">
        <f t="shared" si="23"/>
        <v>88</v>
      </c>
      <c r="Z93" s="11">
        <f t="shared" si="24"/>
        <v>470</v>
      </c>
      <c r="AA93" s="9">
        <f t="shared" si="25"/>
        <v>91</v>
      </c>
    </row>
    <row r="94" ht="14.25" spans="1:27">
      <c r="A94" s="13">
        <v>691</v>
      </c>
      <c r="B94" s="15">
        <v>14</v>
      </c>
      <c r="C94" s="16">
        <v>33</v>
      </c>
      <c r="D94" s="15" t="s">
        <v>1388</v>
      </c>
      <c r="E94" s="15" t="s">
        <v>1389</v>
      </c>
      <c r="F94" s="174">
        <f>VLOOKUP(D94,原始分!$D:$N,3,0)</f>
        <v>100.5</v>
      </c>
      <c r="G94" s="174">
        <f t="shared" si="13"/>
        <v>119</v>
      </c>
      <c r="H94" s="174">
        <f>VLOOKUP(D94,原始分!$D:$N,4,0)</f>
        <v>112</v>
      </c>
      <c r="I94" s="174">
        <f t="shared" si="14"/>
        <v>21</v>
      </c>
      <c r="J94" s="174">
        <f>VLOOKUP(D94,原始分!$D:$N,5,0)</f>
        <v>90.5</v>
      </c>
      <c r="K94" s="174">
        <f t="shared" si="15"/>
        <v>164</v>
      </c>
      <c r="L94" s="174">
        <f>VLOOKUP(D94,原始分!$D:$N,6,0)</f>
        <v>0</v>
      </c>
      <c r="M94" s="174">
        <f t="shared" si="16"/>
        <v>1</v>
      </c>
      <c r="N94" s="174">
        <f>VLOOKUP(D94,原始分!$D:$N,7,0)</f>
        <v>56</v>
      </c>
      <c r="O94" s="174">
        <f t="shared" si="17"/>
        <v>107</v>
      </c>
      <c r="P94" s="174">
        <f>VLOOKUP(D94,原始分!$D:$N,8,0)</f>
        <v>0</v>
      </c>
      <c r="Q94" s="174">
        <f t="shared" si="18"/>
        <v>3</v>
      </c>
      <c r="R94" s="174">
        <f>VLOOKUP(D94,原始分!$D:$N,9,0)</f>
        <v>0</v>
      </c>
      <c r="S94" s="174">
        <f t="shared" si="19"/>
        <v>103</v>
      </c>
      <c r="T94" s="174">
        <f>VLOOKUP(D94,原始分!$D:$N,10,0)</f>
        <v>65</v>
      </c>
      <c r="U94" s="174">
        <f t="shared" si="20"/>
        <v>37</v>
      </c>
      <c r="V94" s="174">
        <f>VLOOKUP(D94,原始分!$D:$N,11,0)</f>
        <v>45.5</v>
      </c>
      <c r="W94" s="174">
        <f t="shared" si="21"/>
        <v>74</v>
      </c>
      <c r="X94" s="11">
        <f t="shared" si="22"/>
        <v>303</v>
      </c>
      <c r="Y94" s="9">
        <f t="shared" si="23"/>
        <v>85</v>
      </c>
      <c r="Z94" s="11">
        <f t="shared" si="24"/>
        <v>469.5</v>
      </c>
      <c r="AA94" s="9">
        <f t="shared" si="25"/>
        <v>92</v>
      </c>
    </row>
    <row r="95" ht="14.25" spans="1:27">
      <c r="A95" s="13">
        <v>702</v>
      </c>
      <c r="B95" s="15">
        <v>14</v>
      </c>
      <c r="C95" s="16">
        <v>44</v>
      </c>
      <c r="D95" s="15" t="s">
        <v>1408</v>
      </c>
      <c r="E95" s="15" t="s">
        <v>1409</v>
      </c>
      <c r="F95" s="174">
        <f>VLOOKUP(D95,原始分!$D:$N,3,0)</f>
        <v>104.5</v>
      </c>
      <c r="G95" s="174">
        <f t="shared" si="13"/>
        <v>73</v>
      </c>
      <c r="H95" s="174">
        <f>VLOOKUP(D95,原始分!$D:$N,4,0)</f>
        <v>74.5</v>
      </c>
      <c r="I95" s="174">
        <f t="shared" si="14"/>
        <v>171</v>
      </c>
      <c r="J95" s="174">
        <f>VLOOKUP(D95,原始分!$D:$N,5,0)</f>
        <v>117.5</v>
      </c>
      <c r="K95" s="174">
        <f t="shared" si="15"/>
        <v>33</v>
      </c>
      <c r="L95" s="174">
        <f>VLOOKUP(D95,原始分!$D:$N,6,0)</f>
        <v>0</v>
      </c>
      <c r="M95" s="174">
        <f t="shared" si="16"/>
        <v>1</v>
      </c>
      <c r="N95" s="174">
        <f>VLOOKUP(D95,原始分!$D:$N,7,0)</f>
        <v>51.5</v>
      </c>
      <c r="O95" s="174">
        <f t="shared" si="17"/>
        <v>150</v>
      </c>
      <c r="P95" s="174">
        <f>VLOOKUP(D95,原始分!$D:$N,8,0)</f>
        <v>0</v>
      </c>
      <c r="Q95" s="174">
        <f t="shared" si="18"/>
        <v>3</v>
      </c>
      <c r="R95" s="174">
        <f>VLOOKUP(D95,原始分!$D:$N,9,0)</f>
        <v>0</v>
      </c>
      <c r="S95" s="174">
        <f t="shared" si="19"/>
        <v>103</v>
      </c>
      <c r="T95" s="174">
        <f>VLOOKUP(D95,原始分!$D:$N,10,0)</f>
        <v>69.5</v>
      </c>
      <c r="U95" s="174">
        <f t="shared" si="20"/>
        <v>13</v>
      </c>
      <c r="V95" s="174">
        <f>VLOOKUP(D95,原始分!$D:$N,11,0)</f>
        <v>52</v>
      </c>
      <c r="W95" s="174">
        <f t="shared" si="21"/>
        <v>45</v>
      </c>
      <c r="X95" s="11">
        <f t="shared" si="22"/>
        <v>296.5</v>
      </c>
      <c r="Y95" s="9">
        <f t="shared" si="23"/>
        <v>108</v>
      </c>
      <c r="Z95" s="11">
        <f t="shared" si="24"/>
        <v>469.5</v>
      </c>
      <c r="AA95" s="9">
        <f t="shared" si="25"/>
        <v>92</v>
      </c>
    </row>
    <row r="96" ht="14.25" spans="1:27">
      <c r="A96" s="13">
        <v>728</v>
      </c>
      <c r="B96" s="15">
        <v>15</v>
      </c>
      <c r="C96" s="16">
        <v>28</v>
      </c>
      <c r="D96" s="15" t="s">
        <v>1458</v>
      </c>
      <c r="E96" s="15" t="s">
        <v>1459</v>
      </c>
      <c r="F96" s="174">
        <f>VLOOKUP(D96,原始分!$D:$N,3,0)</f>
        <v>98</v>
      </c>
      <c r="G96" s="174">
        <f t="shared" si="13"/>
        <v>152</v>
      </c>
      <c r="H96" s="174">
        <f>VLOOKUP(D96,原始分!$D:$N,4,0)</f>
        <v>97</v>
      </c>
      <c r="I96" s="174">
        <f t="shared" si="14"/>
        <v>86</v>
      </c>
      <c r="J96" s="174">
        <f>VLOOKUP(D96,原始分!$D:$N,5,0)</f>
        <v>93.5</v>
      </c>
      <c r="K96" s="174">
        <f t="shared" si="15"/>
        <v>152</v>
      </c>
      <c r="L96" s="174">
        <f>VLOOKUP(D96,原始分!$D:$N,6,0)</f>
        <v>0</v>
      </c>
      <c r="M96" s="174">
        <f t="shared" si="16"/>
        <v>1</v>
      </c>
      <c r="N96" s="174">
        <f>VLOOKUP(D96,原始分!$D:$N,7,0)</f>
        <v>63.5</v>
      </c>
      <c r="O96" s="174">
        <f t="shared" si="17"/>
        <v>40</v>
      </c>
      <c r="P96" s="174">
        <f>VLOOKUP(D96,原始分!$D:$N,8,0)</f>
        <v>0</v>
      </c>
      <c r="Q96" s="174">
        <f t="shared" si="18"/>
        <v>3</v>
      </c>
      <c r="R96" s="174">
        <f>VLOOKUP(D96,原始分!$D:$N,9,0)</f>
        <v>0</v>
      </c>
      <c r="S96" s="174">
        <f t="shared" si="19"/>
        <v>103</v>
      </c>
      <c r="T96" s="174">
        <f>VLOOKUP(D96,原始分!$D:$N,10,0)</f>
        <v>58.5</v>
      </c>
      <c r="U96" s="174">
        <f t="shared" si="20"/>
        <v>100</v>
      </c>
      <c r="V96" s="174">
        <f>VLOOKUP(D96,原始分!$D:$N,11,0)</f>
        <v>59</v>
      </c>
      <c r="W96" s="174">
        <f t="shared" si="21"/>
        <v>18</v>
      </c>
      <c r="X96" s="11">
        <f t="shared" si="22"/>
        <v>288.5</v>
      </c>
      <c r="Y96" s="9">
        <f t="shared" si="23"/>
        <v>135</v>
      </c>
      <c r="Z96" s="11">
        <f t="shared" si="24"/>
        <v>469.5</v>
      </c>
      <c r="AA96" s="9">
        <f t="shared" si="25"/>
        <v>92</v>
      </c>
    </row>
    <row r="97" ht="14.25" spans="1:27">
      <c r="A97" s="13">
        <v>813</v>
      </c>
      <c r="B97" s="15">
        <v>17</v>
      </c>
      <c r="C97" s="16">
        <v>38</v>
      </c>
      <c r="D97" s="15" t="s">
        <v>1624</v>
      </c>
      <c r="E97" s="15" t="s">
        <v>1625</v>
      </c>
      <c r="F97" s="174">
        <f>VLOOKUP(D97,原始分!$D:$N,3,0)</f>
        <v>115</v>
      </c>
      <c r="G97" s="174">
        <f t="shared" si="13"/>
        <v>7</v>
      </c>
      <c r="H97" s="174">
        <f>VLOOKUP(D97,原始分!$D:$N,4,0)</f>
        <v>64.5</v>
      </c>
      <c r="I97" s="174">
        <f t="shared" si="14"/>
        <v>191</v>
      </c>
      <c r="J97" s="174">
        <f>VLOOKUP(D97,原始分!$D:$N,5,0)</f>
        <v>118.5</v>
      </c>
      <c r="K97" s="174">
        <f t="shared" si="15"/>
        <v>27</v>
      </c>
      <c r="L97" s="174">
        <f>VLOOKUP(D97,原始分!$D:$N,6,0)</f>
        <v>0</v>
      </c>
      <c r="M97" s="174">
        <f t="shared" si="16"/>
        <v>1</v>
      </c>
      <c r="N97" s="174">
        <f>VLOOKUP(D97,原始分!$D:$N,7,0)</f>
        <v>47.5</v>
      </c>
      <c r="O97" s="174">
        <f t="shared" si="17"/>
        <v>185</v>
      </c>
      <c r="P97" s="174">
        <f>VLOOKUP(D97,原始分!$D:$N,8,0)</f>
        <v>0</v>
      </c>
      <c r="Q97" s="174">
        <f t="shared" si="18"/>
        <v>3</v>
      </c>
      <c r="R97" s="174">
        <f>VLOOKUP(D97,原始分!$D:$N,9,0)</f>
        <v>55</v>
      </c>
      <c r="S97" s="174">
        <f t="shared" si="19"/>
        <v>30</v>
      </c>
      <c r="T97" s="174">
        <f>VLOOKUP(D97,原始分!$D:$N,10,0)</f>
        <v>68.5</v>
      </c>
      <c r="U97" s="174">
        <f t="shared" si="20"/>
        <v>14</v>
      </c>
      <c r="V97" s="174">
        <f>VLOOKUP(D97,原始分!$D:$N,11,0)</f>
        <v>0</v>
      </c>
      <c r="W97" s="174">
        <f t="shared" si="21"/>
        <v>105</v>
      </c>
      <c r="X97" s="11">
        <f t="shared" si="22"/>
        <v>298</v>
      </c>
      <c r="Y97" s="9">
        <f t="shared" si="23"/>
        <v>104</v>
      </c>
      <c r="Z97" s="11">
        <f t="shared" si="24"/>
        <v>469</v>
      </c>
      <c r="AA97" s="9">
        <f t="shared" si="25"/>
        <v>95</v>
      </c>
    </row>
    <row r="98" ht="14.25" spans="1:27">
      <c r="A98" s="13">
        <v>724</v>
      </c>
      <c r="B98" s="15">
        <v>15</v>
      </c>
      <c r="C98" s="16">
        <v>23</v>
      </c>
      <c r="D98" s="15" t="s">
        <v>1451</v>
      </c>
      <c r="E98" s="15" t="s">
        <v>1452</v>
      </c>
      <c r="F98" s="174">
        <f>VLOOKUP(D98,原始分!$D:$N,3,0)</f>
        <v>98</v>
      </c>
      <c r="G98" s="174">
        <f t="shared" si="13"/>
        <v>152</v>
      </c>
      <c r="H98" s="174">
        <f>VLOOKUP(D98,原始分!$D:$N,4,0)</f>
        <v>106</v>
      </c>
      <c r="I98" s="174">
        <f t="shared" si="14"/>
        <v>43</v>
      </c>
      <c r="J98" s="174">
        <f>VLOOKUP(D98,原始分!$D:$N,5,0)</f>
        <v>117.5</v>
      </c>
      <c r="K98" s="174">
        <f t="shared" si="15"/>
        <v>33</v>
      </c>
      <c r="L98" s="174">
        <f>VLOOKUP(D98,原始分!$D:$N,6,0)</f>
        <v>0</v>
      </c>
      <c r="M98" s="174">
        <f t="shared" si="16"/>
        <v>1</v>
      </c>
      <c r="N98" s="174">
        <f>VLOOKUP(D98,原始分!$D:$N,7,0)</f>
        <v>49</v>
      </c>
      <c r="O98" s="174">
        <f t="shared" si="17"/>
        <v>172</v>
      </c>
      <c r="P98" s="174">
        <f>VLOOKUP(D98,原始分!$D:$N,8,0)</f>
        <v>0</v>
      </c>
      <c r="Q98" s="174">
        <f t="shared" si="18"/>
        <v>3</v>
      </c>
      <c r="R98" s="174">
        <f>VLOOKUP(D98,原始分!$D:$N,9,0)</f>
        <v>0</v>
      </c>
      <c r="S98" s="174">
        <f t="shared" si="19"/>
        <v>103</v>
      </c>
      <c r="T98" s="174">
        <f>VLOOKUP(D98,原始分!$D:$N,10,0)</f>
        <v>45.5</v>
      </c>
      <c r="U98" s="174">
        <f t="shared" si="20"/>
        <v>190</v>
      </c>
      <c r="V98" s="174">
        <f>VLOOKUP(D98,原始分!$D:$N,11,0)</f>
        <v>52.5</v>
      </c>
      <c r="W98" s="174">
        <f t="shared" si="21"/>
        <v>41</v>
      </c>
      <c r="X98" s="11">
        <f t="shared" si="22"/>
        <v>321.5</v>
      </c>
      <c r="Y98" s="9">
        <f t="shared" si="23"/>
        <v>40</v>
      </c>
      <c r="Z98" s="11">
        <f t="shared" si="24"/>
        <v>468.5</v>
      </c>
      <c r="AA98" s="9">
        <f t="shared" si="25"/>
        <v>96</v>
      </c>
    </row>
    <row r="99" ht="14.25" spans="1:27">
      <c r="A99" s="13">
        <v>846</v>
      </c>
      <c r="B99" s="15">
        <v>18</v>
      </c>
      <c r="C99" s="16">
        <v>26</v>
      </c>
      <c r="D99" s="15" t="s">
        <v>1690</v>
      </c>
      <c r="E99" s="15" t="s">
        <v>1691</v>
      </c>
      <c r="F99" s="174">
        <f>VLOOKUP(D99,原始分!$D:$N,3,0)</f>
        <v>102</v>
      </c>
      <c r="G99" s="174">
        <f t="shared" si="13"/>
        <v>106</v>
      </c>
      <c r="H99" s="174">
        <f>VLOOKUP(D99,原始分!$D:$N,4,0)</f>
        <v>94</v>
      </c>
      <c r="I99" s="174">
        <f t="shared" si="14"/>
        <v>97</v>
      </c>
      <c r="J99" s="174">
        <f>VLOOKUP(D99,原始分!$D:$N,5,0)</f>
        <v>106</v>
      </c>
      <c r="K99" s="174">
        <f t="shared" si="15"/>
        <v>93</v>
      </c>
      <c r="L99" s="174">
        <f>VLOOKUP(D99,原始分!$D:$N,6,0)</f>
        <v>0</v>
      </c>
      <c r="M99" s="174">
        <f t="shared" si="16"/>
        <v>1</v>
      </c>
      <c r="N99" s="174">
        <f>VLOOKUP(D99,原始分!$D:$N,7,0)</f>
        <v>51</v>
      </c>
      <c r="O99" s="174">
        <f t="shared" si="17"/>
        <v>160</v>
      </c>
      <c r="P99" s="174">
        <f>VLOOKUP(D99,原始分!$D:$N,8,0)</f>
        <v>0</v>
      </c>
      <c r="Q99" s="174">
        <f t="shared" si="18"/>
        <v>3</v>
      </c>
      <c r="R99" s="174">
        <f>VLOOKUP(D99,原始分!$D:$N,9,0)</f>
        <v>58</v>
      </c>
      <c r="S99" s="174">
        <f t="shared" si="19"/>
        <v>19</v>
      </c>
      <c r="T99" s="174">
        <f>VLOOKUP(D99,原始分!$D:$N,10,0)</f>
        <v>57</v>
      </c>
      <c r="U99" s="174">
        <f t="shared" si="20"/>
        <v>118</v>
      </c>
      <c r="V99" s="174">
        <f>VLOOKUP(D99,原始分!$D:$N,11,0)</f>
        <v>0</v>
      </c>
      <c r="W99" s="174">
        <f t="shared" si="21"/>
        <v>105</v>
      </c>
      <c r="X99" s="11">
        <f t="shared" si="22"/>
        <v>302</v>
      </c>
      <c r="Y99" s="9">
        <f t="shared" si="23"/>
        <v>88</v>
      </c>
      <c r="Z99" s="11">
        <f t="shared" si="24"/>
        <v>468</v>
      </c>
      <c r="AA99" s="9">
        <f t="shared" si="25"/>
        <v>97</v>
      </c>
    </row>
    <row r="100" ht="14.25" spans="1:27">
      <c r="A100" s="13">
        <v>709</v>
      </c>
      <c r="B100" s="15">
        <v>15</v>
      </c>
      <c r="C100" s="16">
        <v>7</v>
      </c>
      <c r="D100" s="15" t="s">
        <v>1421</v>
      </c>
      <c r="E100" s="15" t="s">
        <v>1422</v>
      </c>
      <c r="F100" s="174">
        <f>VLOOKUP(D100,原始分!$D:$N,3,0)</f>
        <v>99</v>
      </c>
      <c r="G100" s="174">
        <f t="shared" si="13"/>
        <v>139</v>
      </c>
      <c r="H100" s="174">
        <f>VLOOKUP(D100,原始分!$D:$N,4,0)</f>
        <v>85.5</v>
      </c>
      <c r="I100" s="174">
        <f t="shared" si="14"/>
        <v>145</v>
      </c>
      <c r="J100" s="174">
        <f>VLOOKUP(D100,原始分!$D:$N,5,0)</f>
        <v>109.25</v>
      </c>
      <c r="K100" s="174">
        <f t="shared" si="15"/>
        <v>76</v>
      </c>
      <c r="L100" s="174">
        <f>VLOOKUP(D100,原始分!$D:$N,6,0)</f>
        <v>0</v>
      </c>
      <c r="M100" s="174">
        <f t="shared" si="16"/>
        <v>1</v>
      </c>
      <c r="N100" s="174">
        <f>VLOOKUP(D100,原始分!$D:$N,7,0)</f>
        <v>57.5</v>
      </c>
      <c r="O100" s="174">
        <f t="shared" si="17"/>
        <v>92</v>
      </c>
      <c r="P100" s="174">
        <f>VLOOKUP(D100,原始分!$D:$N,8,0)</f>
        <v>0</v>
      </c>
      <c r="Q100" s="174">
        <f t="shared" si="18"/>
        <v>3</v>
      </c>
      <c r="R100" s="174">
        <f>VLOOKUP(D100,原始分!$D:$N,9,0)</f>
        <v>0</v>
      </c>
      <c r="S100" s="174">
        <f t="shared" si="19"/>
        <v>103</v>
      </c>
      <c r="T100" s="174">
        <f>VLOOKUP(D100,原始分!$D:$N,10,0)</f>
        <v>57</v>
      </c>
      <c r="U100" s="174">
        <f t="shared" si="20"/>
        <v>118</v>
      </c>
      <c r="V100" s="174">
        <f>VLOOKUP(D100,原始分!$D:$N,11,0)</f>
        <v>59.5</v>
      </c>
      <c r="W100" s="174">
        <f t="shared" si="21"/>
        <v>15</v>
      </c>
      <c r="X100" s="11">
        <f t="shared" si="22"/>
        <v>293.75</v>
      </c>
      <c r="Y100" s="9">
        <f t="shared" si="23"/>
        <v>120</v>
      </c>
      <c r="Z100" s="11">
        <f t="shared" si="24"/>
        <v>467.75</v>
      </c>
      <c r="AA100" s="9">
        <f t="shared" si="25"/>
        <v>98</v>
      </c>
    </row>
    <row r="101" ht="14.25" spans="1:27">
      <c r="A101" s="13">
        <v>844</v>
      </c>
      <c r="B101" s="15">
        <v>18</v>
      </c>
      <c r="C101" s="16">
        <v>24</v>
      </c>
      <c r="D101" s="15" t="s">
        <v>1686</v>
      </c>
      <c r="E101" s="15" t="s">
        <v>1687</v>
      </c>
      <c r="F101" s="174">
        <f>VLOOKUP(D101,原始分!$D:$N,3,0)</f>
        <v>99</v>
      </c>
      <c r="G101" s="174">
        <f t="shared" si="13"/>
        <v>139</v>
      </c>
      <c r="H101" s="174">
        <f>VLOOKUP(D101,原始分!$D:$N,4,0)</f>
        <v>97.5</v>
      </c>
      <c r="I101" s="174">
        <f t="shared" si="14"/>
        <v>82</v>
      </c>
      <c r="J101" s="174">
        <f>VLOOKUP(D101,原始分!$D:$N,5,0)</f>
        <v>100.5</v>
      </c>
      <c r="K101" s="174">
        <f t="shared" si="15"/>
        <v>123</v>
      </c>
      <c r="L101" s="174">
        <f>VLOOKUP(D101,原始分!$D:$N,6,0)</f>
        <v>0</v>
      </c>
      <c r="M101" s="174">
        <f t="shared" si="16"/>
        <v>1</v>
      </c>
      <c r="N101" s="174">
        <f>VLOOKUP(D101,原始分!$D:$N,7,0)</f>
        <v>58</v>
      </c>
      <c r="O101" s="174">
        <f t="shared" si="17"/>
        <v>84</v>
      </c>
      <c r="P101" s="174">
        <f>VLOOKUP(D101,原始分!$D:$N,8,0)</f>
        <v>0</v>
      </c>
      <c r="Q101" s="174">
        <f t="shared" si="18"/>
        <v>3</v>
      </c>
      <c r="R101" s="174">
        <f>VLOOKUP(D101,原始分!$D:$N,9,0)</f>
        <v>54</v>
      </c>
      <c r="S101" s="174">
        <f t="shared" si="19"/>
        <v>36</v>
      </c>
      <c r="T101" s="174">
        <f>VLOOKUP(D101,原始分!$D:$N,10,0)</f>
        <v>58</v>
      </c>
      <c r="U101" s="174">
        <f t="shared" si="20"/>
        <v>111</v>
      </c>
      <c r="V101" s="174">
        <f>VLOOKUP(D101,原始分!$D:$N,11,0)</f>
        <v>0</v>
      </c>
      <c r="W101" s="174">
        <f t="shared" si="21"/>
        <v>105</v>
      </c>
      <c r="X101" s="11">
        <f t="shared" si="22"/>
        <v>297</v>
      </c>
      <c r="Y101" s="9">
        <f t="shared" si="23"/>
        <v>106</v>
      </c>
      <c r="Z101" s="11">
        <f t="shared" si="24"/>
        <v>467</v>
      </c>
      <c r="AA101" s="9">
        <f t="shared" si="25"/>
        <v>99</v>
      </c>
    </row>
    <row r="102" ht="14.25" spans="1:27">
      <c r="A102" s="13">
        <v>823</v>
      </c>
      <c r="B102" s="15">
        <v>17</v>
      </c>
      <c r="C102" s="16">
        <v>52</v>
      </c>
      <c r="D102" s="15" t="s">
        <v>1644</v>
      </c>
      <c r="E102" s="15" t="s">
        <v>1645</v>
      </c>
      <c r="F102" s="174">
        <f>VLOOKUP(D102,原始分!$D:$N,3,0)</f>
        <v>105.5</v>
      </c>
      <c r="G102" s="174">
        <f t="shared" si="13"/>
        <v>61</v>
      </c>
      <c r="H102" s="174">
        <f>VLOOKUP(D102,原始分!$D:$N,4,0)</f>
        <v>72.5</v>
      </c>
      <c r="I102" s="174">
        <f t="shared" si="14"/>
        <v>177</v>
      </c>
      <c r="J102" s="174">
        <f>VLOOKUP(D102,原始分!$D:$N,5,0)</f>
        <v>119</v>
      </c>
      <c r="K102" s="174">
        <f t="shared" si="15"/>
        <v>25</v>
      </c>
      <c r="L102" s="174">
        <f>VLOOKUP(D102,原始分!$D:$N,6,0)</f>
        <v>0</v>
      </c>
      <c r="M102" s="174">
        <f t="shared" si="16"/>
        <v>1</v>
      </c>
      <c r="N102" s="174">
        <f>VLOOKUP(D102,原始分!$D:$N,7,0)</f>
        <v>55.5</v>
      </c>
      <c r="O102" s="174">
        <f t="shared" si="17"/>
        <v>118</v>
      </c>
      <c r="P102" s="174">
        <f>VLOOKUP(D102,原始分!$D:$N,8,0)</f>
        <v>0</v>
      </c>
      <c r="Q102" s="174">
        <f t="shared" si="18"/>
        <v>3</v>
      </c>
      <c r="R102" s="174">
        <f>VLOOKUP(D102,原始分!$D:$N,9,0)</f>
        <v>53</v>
      </c>
      <c r="S102" s="174">
        <f t="shared" si="19"/>
        <v>43</v>
      </c>
      <c r="T102" s="174">
        <f>VLOOKUP(D102,原始分!$D:$N,10,0)</f>
        <v>60.5</v>
      </c>
      <c r="U102" s="174">
        <f t="shared" si="20"/>
        <v>77</v>
      </c>
      <c r="V102" s="174">
        <f>VLOOKUP(D102,原始分!$D:$N,11,0)</f>
        <v>0</v>
      </c>
      <c r="W102" s="174">
        <f t="shared" si="21"/>
        <v>105</v>
      </c>
      <c r="X102" s="11">
        <f t="shared" si="22"/>
        <v>297</v>
      </c>
      <c r="Y102" s="9">
        <f t="shared" si="23"/>
        <v>106</v>
      </c>
      <c r="Z102" s="11">
        <f t="shared" si="24"/>
        <v>466</v>
      </c>
      <c r="AA102" s="9">
        <f t="shared" si="25"/>
        <v>100</v>
      </c>
    </row>
    <row r="103" ht="14.25" spans="1:27">
      <c r="A103" s="13">
        <v>817</v>
      </c>
      <c r="B103" s="15">
        <v>17</v>
      </c>
      <c r="C103" s="16">
        <v>44</v>
      </c>
      <c r="D103" s="15" t="s">
        <v>1632</v>
      </c>
      <c r="E103" s="15" t="s">
        <v>1633</v>
      </c>
      <c r="F103" s="174">
        <f>VLOOKUP(D103,原始分!$D:$N,3,0)</f>
        <v>96.5</v>
      </c>
      <c r="G103" s="174">
        <f t="shared" si="13"/>
        <v>169</v>
      </c>
      <c r="H103" s="174">
        <f>VLOOKUP(D103,原始分!$D:$N,4,0)</f>
        <v>98</v>
      </c>
      <c r="I103" s="174">
        <f t="shared" si="14"/>
        <v>80</v>
      </c>
      <c r="J103" s="174">
        <f>VLOOKUP(D103,原始分!$D:$N,5,0)</f>
        <v>100.5</v>
      </c>
      <c r="K103" s="174">
        <f t="shared" si="15"/>
        <v>123</v>
      </c>
      <c r="L103" s="174">
        <f>VLOOKUP(D103,原始分!$D:$N,6,0)</f>
        <v>0</v>
      </c>
      <c r="M103" s="174">
        <f t="shared" si="16"/>
        <v>1</v>
      </c>
      <c r="N103" s="174">
        <f>VLOOKUP(D103,原始分!$D:$N,7,0)</f>
        <v>59.5</v>
      </c>
      <c r="O103" s="174">
        <f t="shared" si="17"/>
        <v>69</v>
      </c>
      <c r="P103" s="174">
        <f>VLOOKUP(D103,原始分!$D:$N,8,0)</f>
        <v>0</v>
      </c>
      <c r="Q103" s="174">
        <f t="shared" si="18"/>
        <v>3</v>
      </c>
      <c r="R103" s="174">
        <f>VLOOKUP(D103,原始分!$D:$N,9,0)</f>
        <v>44</v>
      </c>
      <c r="S103" s="174">
        <f t="shared" si="19"/>
        <v>89</v>
      </c>
      <c r="T103" s="174">
        <f>VLOOKUP(D103,原始分!$D:$N,10,0)</f>
        <v>67</v>
      </c>
      <c r="U103" s="174">
        <f t="shared" si="20"/>
        <v>23</v>
      </c>
      <c r="V103" s="174">
        <f>VLOOKUP(D103,原始分!$D:$N,11,0)</f>
        <v>0</v>
      </c>
      <c r="W103" s="174">
        <f t="shared" si="21"/>
        <v>105</v>
      </c>
      <c r="X103" s="11">
        <f t="shared" si="22"/>
        <v>295</v>
      </c>
      <c r="Y103" s="9">
        <f t="shared" si="23"/>
        <v>114</v>
      </c>
      <c r="Z103" s="11">
        <f t="shared" si="24"/>
        <v>465.5</v>
      </c>
      <c r="AA103" s="9">
        <f t="shared" si="25"/>
        <v>101</v>
      </c>
    </row>
    <row r="104" ht="14.25" spans="1:27">
      <c r="A104" s="13">
        <v>680</v>
      </c>
      <c r="B104" s="15">
        <v>14</v>
      </c>
      <c r="C104" s="16">
        <v>21</v>
      </c>
      <c r="D104" s="15" t="s">
        <v>1366</v>
      </c>
      <c r="E104" s="15" t="s">
        <v>1367</v>
      </c>
      <c r="F104" s="174">
        <f>VLOOKUP(D104,原始分!$D:$N,3,0)</f>
        <v>84.5</v>
      </c>
      <c r="G104" s="174">
        <f t="shared" si="13"/>
        <v>205</v>
      </c>
      <c r="H104" s="174">
        <f>VLOOKUP(D104,原始分!$D:$N,4,0)</f>
        <v>99.5</v>
      </c>
      <c r="I104" s="174">
        <f t="shared" si="14"/>
        <v>72</v>
      </c>
      <c r="J104" s="174">
        <f>VLOOKUP(D104,原始分!$D:$N,5,0)</f>
        <v>115</v>
      </c>
      <c r="K104" s="174">
        <f t="shared" si="15"/>
        <v>48</v>
      </c>
      <c r="L104" s="174">
        <f>VLOOKUP(D104,原始分!$D:$N,6,0)</f>
        <v>0</v>
      </c>
      <c r="M104" s="174">
        <f t="shared" si="16"/>
        <v>1</v>
      </c>
      <c r="N104" s="174">
        <f>VLOOKUP(D104,原始分!$D:$N,7,0)</f>
        <v>57.5</v>
      </c>
      <c r="O104" s="174">
        <f t="shared" si="17"/>
        <v>92</v>
      </c>
      <c r="P104" s="174">
        <f>VLOOKUP(D104,原始分!$D:$N,8,0)</f>
        <v>0</v>
      </c>
      <c r="Q104" s="174">
        <f t="shared" si="18"/>
        <v>3</v>
      </c>
      <c r="R104" s="174">
        <f>VLOOKUP(D104,原始分!$D:$N,9,0)</f>
        <v>0</v>
      </c>
      <c r="S104" s="174">
        <f t="shared" si="19"/>
        <v>103</v>
      </c>
      <c r="T104" s="174">
        <f>VLOOKUP(D104,原始分!$D:$N,10,0)</f>
        <v>51.5</v>
      </c>
      <c r="U104" s="174">
        <f t="shared" si="20"/>
        <v>167</v>
      </c>
      <c r="V104" s="174">
        <f>VLOOKUP(D104,原始分!$D:$N,11,0)</f>
        <v>57</v>
      </c>
      <c r="W104" s="174">
        <f t="shared" si="21"/>
        <v>28</v>
      </c>
      <c r="X104" s="11">
        <f t="shared" si="22"/>
        <v>299</v>
      </c>
      <c r="Y104" s="9">
        <f t="shared" si="23"/>
        <v>100</v>
      </c>
      <c r="Z104" s="11">
        <f t="shared" si="24"/>
        <v>465</v>
      </c>
      <c r="AA104" s="9">
        <f t="shared" si="25"/>
        <v>102</v>
      </c>
    </row>
    <row r="105" ht="14.25" spans="1:27">
      <c r="A105" s="13">
        <v>826</v>
      </c>
      <c r="B105" s="15">
        <v>17</v>
      </c>
      <c r="C105" s="16">
        <v>55</v>
      </c>
      <c r="D105" s="15" t="s">
        <v>1650</v>
      </c>
      <c r="E105" s="15" t="s">
        <v>1651</v>
      </c>
      <c r="F105" s="174">
        <f>VLOOKUP(D105,原始分!$D:$N,3,0)</f>
        <v>119.5</v>
      </c>
      <c r="G105" s="174">
        <f t="shared" si="13"/>
        <v>1</v>
      </c>
      <c r="H105" s="174">
        <f>VLOOKUP(D105,原始分!$D:$N,4,0)</f>
        <v>50.5</v>
      </c>
      <c r="I105" s="174">
        <f t="shared" si="14"/>
        <v>205</v>
      </c>
      <c r="J105" s="174">
        <f>VLOOKUP(D105,原始分!$D:$N,5,0)</f>
        <v>117</v>
      </c>
      <c r="K105" s="174">
        <f t="shared" si="15"/>
        <v>36</v>
      </c>
      <c r="L105" s="174">
        <f>VLOOKUP(D105,原始分!$D:$N,6,0)</f>
        <v>0</v>
      </c>
      <c r="M105" s="174">
        <f t="shared" si="16"/>
        <v>1</v>
      </c>
      <c r="N105" s="174">
        <f>VLOOKUP(D105,原始分!$D:$N,7,0)</f>
        <v>63.5</v>
      </c>
      <c r="O105" s="174">
        <f t="shared" si="17"/>
        <v>40</v>
      </c>
      <c r="P105" s="174">
        <f>VLOOKUP(D105,原始分!$D:$N,8,0)</f>
        <v>0</v>
      </c>
      <c r="Q105" s="174">
        <f t="shared" si="18"/>
        <v>3</v>
      </c>
      <c r="R105" s="174">
        <f>VLOOKUP(D105,原始分!$D:$N,9,0)</f>
        <v>49</v>
      </c>
      <c r="S105" s="174">
        <f t="shared" si="19"/>
        <v>68</v>
      </c>
      <c r="T105" s="174">
        <f>VLOOKUP(D105,原始分!$D:$N,10,0)</f>
        <v>65.5</v>
      </c>
      <c r="U105" s="174">
        <f t="shared" si="20"/>
        <v>33</v>
      </c>
      <c r="V105" s="174">
        <f>VLOOKUP(D105,原始分!$D:$N,11,0)</f>
        <v>0</v>
      </c>
      <c r="W105" s="174">
        <f t="shared" si="21"/>
        <v>105</v>
      </c>
      <c r="X105" s="11">
        <f t="shared" si="22"/>
        <v>287</v>
      </c>
      <c r="Y105" s="9">
        <f t="shared" si="23"/>
        <v>137</v>
      </c>
      <c r="Z105" s="11">
        <f t="shared" si="24"/>
        <v>465</v>
      </c>
      <c r="AA105" s="9">
        <f t="shared" si="25"/>
        <v>102</v>
      </c>
    </row>
    <row r="106" ht="14.25" spans="1:27">
      <c r="A106" s="13">
        <v>700</v>
      </c>
      <c r="B106" s="15">
        <v>14</v>
      </c>
      <c r="C106" s="16">
        <v>42</v>
      </c>
      <c r="D106" s="15" t="s">
        <v>1404</v>
      </c>
      <c r="E106" s="15" t="s">
        <v>1405</v>
      </c>
      <c r="F106" s="174">
        <f>VLOOKUP(D106,原始分!$D:$N,3,0)</f>
        <v>97.25</v>
      </c>
      <c r="G106" s="174">
        <f t="shared" si="13"/>
        <v>164</v>
      </c>
      <c r="H106" s="174">
        <f>VLOOKUP(D106,原始分!$D:$N,4,0)</f>
        <v>84.5</v>
      </c>
      <c r="I106" s="174">
        <f t="shared" si="14"/>
        <v>147</v>
      </c>
      <c r="J106" s="174">
        <f>VLOOKUP(D106,原始分!$D:$N,5,0)</f>
        <v>104.5</v>
      </c>
      <c r="K106" s="174">
        <f t="shared" si="15"/>
        <v>105</v>
      </c>
      <c r="L106" s="174">
        <f>VLOOKUP(D106,原始分!$D:$N,6,0)</f>
        <v>0</v>
      </c>
      <c r="M106" s="174">
        <f t="shared" si="16"/>
        <v>1</v>
      </c>
      <c r="N106" s="174">
        <f>VLOOKUP(D106,原始分!$D:$N,7,0)</f>
        <v>60.5</v>
      </c>
      <c r="O106" s="174">
        <f t="shared" si="17"/>
        <v>63</v>
      </c>
      <c r="P106" s="174">
        <f>VLOOKUP(D106,原始分!$D:$N,8,0)</f>
        <v>0</v>
      </c>
      <c r="Q106" s="174">
        <f t="shared" si="18"/>
        <v>3</v>
      </c>
      <c r="R106" s="174">
        <f>VLOOKUP(D106,原始分!$D:$N,9,0)</f>
        <v>0</v>
      </c>
      <c r="S106" s="174">
        <f t="shared" si="19"/>
        <v>103</v>
      </c>
      <c r="T106" s="174">
        <f>VLOOKUP(D106,原始分!$D:$N,10,0)</f>
        <v>64.5</v>
      </c>
      <c r="U106" s="174">
        <f t="shared" si="20"/>
        <v>43</v>
      </c>
      <c r="V106" s="174">
        <f>VLOOKUP(D106,原始分!$D:$N,11,0)</f>
        <v>53.5</v>
      </c>
      <c r="W106" s="174">
        <f t="shared" si="21"/>
        <v>38</v>
      </c>
      <c r="X106" s="11">
        <f t="shared" si="22"/>
        <v>286.25</v>
      </c>
      <c r="Y106" s="9">
        <f t="shared" si="23"/>
        <v>141</v>
      </c>
      <c r="Z106" s="11">
        <f t="shared" si="24"/>
        <v>464.75</v>
      </c>
      <c r="AA106" s="9">
        <f t="shared" si="25"/>
        <v>104</v>
      </c>
    </row>
    <row r="107" ht="14.25" spans="1:27">
      <c r="A107" s="13">
        <v>816</v>
      </c>
      <c r="B107" s="15">
        <v>17</v>
      </c>
      <c r="C107" s="16">
        <v>41</v>
      </c>
      <c r="D107" s="15" t="s">
        <v>1630</v>
      </c>
      <c r="E107" s="15" t="s">
        <v>1631</v>
      </c>
      <c r="F107" s="174">
        <f>VLOOKUP(D107,原始分!$D:$N,3,0)</f>
        <v>107</v>
      </c>
      <c r="G107" s="174">
        <f t="shared" si="13"/>
        <v>50</v>
      </c>
      <c r="H107" s="174">
        <f>VLOOKUP(D107,原始分!$D:$N,4,0)</f>
        <v>87</v>
      </c>
      <c r="I107" s="174">
        <f t="shared" si="14"/>
        <v>138</v>
      </c>
      <c r="J107" s="174">
        <f>VLOOKUP(D107,原始分!$D:$N,5,0)</f>
        <v>108.25</v>
      </c>
      <c r="K107" s="174">
        <f t="shared" si="15"/>
        <v>80</v>
      </c>
      <c r="L107" s="174">
        <f>VLOOKUP(D107,原始分!$D:$N,6,0)</f>
        <v>0</v>
      </c>
      <c r="M107" s="174">
        <f t="shared" si="16"/>
        <v>1</v>
      </c>
      <c r="N107" s="174">
        <f>VLOOKUP(D107,原始分!$D:$N,7,0)</f>
        <v>51</v>
      </c>
      <c r="O107" s="174">
        <f t="shared" si="17"/>
        <v>160</v>
      </c>
      <c r="P107" s="174">
        <f>VLOOKUP(D107,原始分!$D:$N,8,0)</f>
        <v>0</v>
      </c>
      <c r="Q107" s="174">
        <f t="shared" si="18"/>
        <v>3</v>
      </c>
      <c r="R107" s="174">
        <f>VLOOKUP(D107,原始分!$D:$N,9,0)</f>
        <v>44</v>
      </c>
      <c r="S107" s="174">
        <f t="shared" si="19"/>
        <v>89</v>
      </c>
      <c r="T107" s="174">
        <f>VLOOKUP(D107,原始分!$D:$N,10,0)</f>
        <v>67.5</v>
      </c>
      <c r="U107" s="174">
        <f t="shared" si="20"/>
        <v>18</v>
      </c>
      <c r="V107" s="174">
        <f>VLOOKUP(D107,原始分!$D:$N,11,0)</f>
        <v>0</v>
      </c>
      <c r="W107" s="174">
        <f t="shared" si="21"/>
        <v>105</v>
      </c>
      <c r="X107" s="11">
        <f t="shared" si="22"/>
        <v>302.25</v>
      </c>
      <c r="Y107" s="9">
        <f t="shared" si="23"/>
        <v>87</v>
      </c>
      <c r="Z107" s="11">
        <f t="shared" si="24"/>
        <v>464.75</v>
      </c>
      <c r="AA107" s="9">
        <f t="shared" si="25"/>
        <v>104</v>
      </c>
    </row>
    <row r="108" ht="14.25" spans="1:27">
      <c r="A108" s="13">
        <v>712</v>
      </c>
      <c r="B108" s="15">
        <v>15</v>
      </c>
      <c r="C108" s="16">
        <v>11</v>
      </c>
      <c r="D108" s="15" t="s">
        <v>1427</v>
      </c>
      <c r="E108" s="15" t="s">
        <v>1428</v>
      </c>
      <c r="F108" s="174">
        <f>VLOOKUP(D108,原始分!$D:$N,3,0)</f>
        <v>90</v>
      </c>
      <c r="G108" s="174">
        <f t="shared" si="13"/>
        <v>198</v>
      </c>
      <c r="H108" s="174">
        <f>VLOOKUP(D108,原始分!$D:$N,4,0)</f>
        <v>118</v>
      </c>
      <c r="I108" s="174">
        <f t="shared" si="14"/>
        <v>12</v>
      </c>
      <c r="J108" s="174">
        <f>VLOOKUP(D108,原始分!$D:$N,5,0)</f>
        <v>81.5</v>
      </c>
      <c r="K108" s="174">
        <f t="shared" si="15"/>
        <v>192</v>
      </c>
      <c r="L108" s="174">
        <f>VLOOKUP(D108,原始分!$D:$N,6,0)</f>
        <v>0</v>
      </c>
      <c r="M108" s="174">
        <f t="shared" si="16"/>
        <v>1</v>
      </c>
      <c r="N108" s="174">
        <f>VLOOKUP(D108,原始分!$D:$N,7,0)</f>
        <v>51.5</v>
      </c>
      <c r="O108" s="174">
        <f t="shared" si="17"/>
        <v>150</v>
      </c>
      <c r="P108" s="174">
        <f>VLOOKUP(D108,原始分!$D:$N,8,0)</f>
        <v>0</v>
      </c>
      <c r="Q108" s="174">
        <f t="shared" si="18"/>
        <v>3</v>
      </c>
      <c r="R108" s="174">
        <f>VLOOKUP(D108,原始分!$D:$N,9,0)</f>
        <v>0</v>
      </c>
      <c r="S108" s="174">
        <f t="shared" si="19"/>
        <v>103</v>
      </c>
      <c r="T108" s="174">
        <f>VLOOKUP(D108,原始分!$D:$N,10,0)</f>
        <v>64.5</v>
      </c>
      <c r="U108" s="174">
        <f t="shared" si="20"/>
        <v>43</v>
      </c>
      <c r="V108" s="174">
        <f>VLOOKUP(D108,原始分!$D:$N,11,0)</f>
        <v>59</v>
      </c>
      <c r="W108" s="174">
        <f t="shared" si="21"/>
        <v>18</v>
      </c>
      <c r="X108" s="11">
        <f t="shared" si="22"/>
        <v>289.5</v>
      </c>
      <c r="Y108" s="9">
        <f t="shared" si="23"/>
        <v>131</v>
      </c>
      <c r="Z108" s="11">
        <f t="shared" si="24"/>
        <v>464.5</v>
      </c>
      <c r="AA108" s="9">
        <f t="shared" si="25"/>
        <v>106</v>
      </c>
    </row>
    <row r="109" ht="14.25" spans="1:27">
      <c r="A109" s="13">
        <v>866</v>
      </c>
      <c r="B109" s="15">
        <v>18</v>
      </c>
      <c r="C109" s="16">
        <v>52</v>
      </c>
      <c r="D109" s="15" t="s">
        <v>1730</v>
      </c>
      <c r="E109" s="15" t="s">
        <v>1731</v>
      </c>
      <c r="F109" s="174">
        <f>VLOOKUP(D109,原始分!$D:$N,3,0)</f>
        <v>105.5</v>
      </c>
      <c r="G109" s="174">
        <f t="shared" si="13"/>
        <v>61</v>
      </c>
      <c r="H109" s="174">
        <f>VLOOKUP(D109,原始分!$D:$N,4,0)</f>
        <v>87</v>
      </c>
      <c r="I109" s="174">
        <f t="shared" si="14"/>
        <v>138</v>
      </c>
      <c r="J109" s="174">
        <f>VLOOKUP(D109,原始分!$D:$N,5,0)</f>
        <v>115</v>
      </c>
      <c r="K109" s="174">
        <f t="shared" si="15"/>
        <v>48</v>
      </c>
      <c r="L109" s="174">
        <f>VLOOKUP(D109,原始分!$D:$N,6,0)</f>
        <v>0</v>
      </c>
      <c r="M109" s="174">
        <f t="shared" si="16"/>
        <v>1</v>
      </c>
      <c r="N109" s="174">
        <f>VLOOKUP(D109,原始分!$D:$N,7,0)</f>
        <v>49</v>
      </c>
      <c r="O109" s="174">
        <f t="shared" si="17"/>
        <v>172</v>
      </c>
      <c r="P109" s="174">
        <f>VLOOKUP(D109,原始分!$D:$N,8,0)</f>
        <v>0</v>
      </c>
      <c r="Q109" s="174">
        <f t="shared" si="18"/>
        <v>3</v>
      </c>
      <c r="R109" s="174">
        <f>VLOOKUP(D109,原始分!$D:$N,9,0)</f>
        <v>55</v>
      </c>
      <c r="S109" s="174">
        <f t="shared" si="19"/>
        <v>30</v>
      </c>
      <c r="T109" s="174">
        <f>VLOOKUP(D109,原始分!$D:$N,10,0)</f>
        <v>53</v>
      </c>
      <c r="U109" s="174">
        <f t="shared" si="20"/>
        <v>156</v>
      </c>
      <c r="V109" s="174">
        <f>VLOOKUP(D109,原始分!$D:$N,11,0)</f>
        <v>0</v>
      </c>
      <c r="W109" s="174">
        <f t="shared" si="21"/>
        <v>105</v>
      </c>
      <c r="X109" s="11">
        <f t="shared" si="22"/>
        <v>307.5</v>
      </c>
      <c r="Y109" s="9">
        <f t="shared" si="23"/>
        <v>79</v>
      </c>
      <c r="Z109" s="11">
        <f t="shared" si="24"/>
        <v>464.5</v>
      </c>
      <c r="AA109" s="9">
        <f t="shared" si="25"/>
        <v>106</v>
      </c>
    </row>
    <row r="110" ht="14.25" spans="1:27">
      <c r="A110" s="13">
        <v>825</v>
      </c>
      <c r="B110" s="15">
        <v>17</v>
      </c>
      <c r="C110" s="16">
        <v>54</v>
      </c>
      <c r="D110" s="15" t="s">
        <v>1648</v>
      </c>
      <c r="E110" s="15" t="s">
        <v>1649</v>
      </c>
      <c r="F110" s="174">
        <f>VLOOKUP(D110,原始分!$D:$N,3,0)</f>
        <v>108</v>
      </c>
      <c r="G110" s="174">
        <f t="shared" si="13"/>
        <v>34</v>
      </c>
      <c r="H110" s="174">
        <f>VLOOKUP(D110,原始分!$D:$N,4,0)</f>
        <v>88</v>
      </c>
      <c r="I110" s="174">
        <f t="shared" si="14"/>
        <v>133</v>
      </c>
      <c r="J110" s="174">
        <f>VLOOKUP(D110,原始分!$D:$N,5,0)</f>
        <v>97.5</v>
      </c>
      <c r="K110" s="174">
        <f t="shared" si="15"/>
        <v>139</v>
      </c>
      <c r="L110" s="174">
        <f>VLOOKUP(D110,原始分!$D:$N,6,0)</f>
        <v>0</v>
      </c>
      <c r="M110" s="174">
        <f t="shared" si="16"/>
        <v>1</v>
      </c>
      <c r="N110" s="174">
        <f>VLOOKUP(D110,原始分!$D:$N,7,0)</f>
        <v>42.5</v>
      </c>
      <c r="O110" s="174">
        <f t="shared" si="17"/>
        <v>199</v>
      </c>
      <c r="P110" s="174">
        <f>VLOOKUP(D110,原始分!$D:$N,8,0)</f>
        <v>0</v>
      </c>
      <c r="Q110" s="174">
        <f t="shared" si="18"/>
        <v>3</v>
      </c>
      <c r="R110" s="174">
        <f>VLOOKUP(D110,原始分!$D:$N,9,0)</f>
        <v>58.5</v>
      </c>
      <c r="S110" s="174">
        <f t="shared" si="19"/>
        <v>17</v>
      </c>
      <c r="T110" s="174">
        <f>VLOOKUP(D110,原始分!$D:$N,10,0)</f>
        <v>68</v>
      </c>
      <c r="U110" s="174">
        <f t="shared" si="20"/>
        <v>15</v>
      </c>
      <c r="V110" s="174">
        <f>VLOOKUP(D110,原始分!$D:$N,11,0)</f>
        <v>0</v>
      </c>
      <c r="W110" s="174">
        <f t="shared" si="21"/>
        <v>105</v>
      </c>
      <c r="X110" s="11">
        <f t="shared" si="22"/>
        <v>293.5</v>
      </c>
      <c r="Y110" s="9">
        <f t="shared" si="23"/>
        <v>121</v>
      </c>
      <c r="Z110" s="11">
        <f t="shared" si="24"/>
        <v>462.5</v>
      </c>
      <c r="AA110" s="9">
        <f t="shared" si="25"/>
        <v>108</v>
      </c>
    </row>
    <row r="111" ht="14.25" spans="1:27">
      <c r="A111" s="13">
        <v>707</v>
      </c>
      <c r="B111" s="15">
        <v>15</v>
      </c>
      <c r="C111" s="16">
        <v>5</v>
      </c>
      <c r="D111" s="15" t="s">
        <v>1418</v>
      </c>
      <c r="E111" s="15" t="s">
        <v>1363</v>
      </c>
      <c r="F111" s="174">
        <f>VLOOKUP(D111,原始分!$D:$N,3,0)</f>
        <v>105</v>
      </c>
      <c r="G111" s="174">
        <f t="shared" si="13"/>
        <v>65</v>
      </c>
      <c r="H111" s="174">
        <f>VLOOKUP(D111,原始分!$D:$N,4,0)</f>
        <v>86</v>
      </c>
      <c r="I111" s="174">
        <f t="shared" si="14"/>
        <v>143</v>
      </c>
      <c r="J111" s="174">
        <f>VLOOKUP(D111,原始分!$D:$N,5,0)</f>
        <v>94.5</v>
      </c>
      <c r="K111" s="174">
        <f t="shared" si="15"/>
        <v>149</v>
      </c>
      <c r="L111" s="174">
        <f>VLOOKUP(D111,原始分!$D:$N,6,0)</f>
        <v>0</v>
      </c>
      <c r="M111" s="174">
        <f t="shared" si="16"/>
        <v>1</v>
      </c>
      <c r="N111" s="174">
        <f>VLOOKUP(D111,原始分!$D:$N,7,0)</f>
        <v>55</v>
      </c>
      <c r="O111" s="174">
        <f t="shared" si="17"/>
        <v>124</v>
      </c>
      <c r="P111" s="174">
        <f>VLOOKUP(D111,原始分!$D:$N,8,0)</f>
        <v>0</v>
      </c>
      <c r="Q111" s="174">
        <f t="shared" si="18"/>
        <v>3</v>
      </c>
      <c r="R111" s="174">
        <f>VLOOKUP(D111,原始分!$D:$N,9,0)</f>
        <v>0</v>
      </c>
      <c r="S111" s="174">
        <f t="shared" si="19"/>
        <v>103</v>
      </c>
      <c r="T111" s="174">
        <f>VLOOKUP(D111,原始分!$D:$N,10,0)</f>
        <v>72</v>
      </c>
      <c r="U111" s="174">
        <f t="shared" si="20"/>
        <v>8</v>
      </c>
      <c r="V111" s="174">
        <f>VLOOKUP(D111,原始分!$D:$N,11,0)</f>
        <v>49</v>
      </c>
      <c r="W111" s="174">
        <f t="shared" si="21"/>
        <v>62</v>
      </c>
      <c r="X111" s="11">
        <f t="shared" si="22"/>
        <v>285.5</v>
      </c>
      <c r="Y111" s="9">
        <f t="shared" si="23"/>
        <v>142</v>
      </c>
      <c r="Z111" s="11">
        <f t="shared" si="24"/>
        <v>461.5</v>
      </c>
      <c r="AA111" s="9">
        <f t="shared" si="25"/>
        <v>109</v>
      </c>
    </row>
    <row r="112" ht="14.25" spans="1:27">
      <c r="A112" s="13">
        <v>818</v>
      </c>
      <c r="B112" s="15">
        <v>17</v>
      </c>
      <c r="C112" s="16">
        <v>45</v>
      </c>
      <c r="D112" s="15" t="s">
        <v>1634</v>
      </c>
      <c r="E112" s="15" t="s">
        <v>1635</v>
      </c>
      <c r="F112" s="174">
        <f>VLOOKUP(D112,原始分!$D:$N,3,0)</f>
        <v>99</v>
      </c>
      <c r="G112" s="174">
        <f t="shared" si="13"/>
        <v>139</v>
      </c>
      <c r="H112" s="174">
        <f>VLOOKUP(D112,原始分!$D:$N,4,0)</f>
        <v>110.5</v>
      </c>
      <c r="I112" s="174">
        <f t="shared" si="14"/>
        <v>28</v>
      </c>
      <c r="J112" s="174">
        <f>VLOOKUP(D112,原始分!$D:$N,5,0)</f>
        <v>85.5</v>
      </c>
      <c r="K112" s="174">
        <f t="shared" si="15"/>
        <v>176</v>
      </c>
      <c r="L112" s="174">
        <f>VLOOKUP(D112,原始分!$D:$N,6,0)</f>
        <v>0</v>
      </c>
      <c r="M112" s="174">
        <f t="shared" si="16"/>
        <v>1</v>
      </c>
      <c r="N112" s="174">
        <f>VLOOKUP(D112,原始分!$D:$N,7,0)</f>
        <v>55.5</v>
      </c>
      <c r="O112" s="174">
        <f t="shared" si="17"/>
        <v>118</v>
      </c>
      <c r="P112" s="174">
        <f>VLOOKUP(D112,原始分!$D:$N,8,0)</f>
        <v>0</v>
      </c>
      <c r="Q112" s="174">
        <f t="shared" si="18"/>
        <v>3</v>
      </c>
      <c r="R112" s="174">
        <f>VLOOKUP(D112,原始分!$D:$N,9,0)</f>
        <v>44</v>
      </c>
      <c r="S112" s="174">
        <f t="shared" si="19"/>
        <v>89</v>
      </c>
      <c r="T112" s="174">
        <f>VLOOKUP(D112,原始分!$D:$N,10,0)</f>
        <v>67</v>
      </c>
      <c r="U112" s="174">
        <f t="shared" si="20"/>
        <v>23</v>
      </c>
      <c r="V112" s="174">
        <f>VLOOKUP(D112,原始分!$D:$N,11,0)</f>
        <v>0</v>
      </c>
      <c r="W112" s="174">
        <f t="shared" si="21"/>
        <v>105</v>
      </c>
      <c r="X112" s="11">
        <f t="shared" si="22"/>
        <v>295</v>
      </c>
      <c r="Y112" s="9">
        <f t="shared" si="23"/>
        <v>114</v>
      </c>
      <c r="Z112" s="11">
        <f t="shared" si="24"/>
        <v>461.5</v>
      </c>
      <c r="AA112" s="9">
        <f t="shared" si="25"/>
        <v>109</v>
      </c>
    </row>
    <row r="113" ht="14.25" spans="1:27">
      <c r="A113" s="13">
        <v>665</v>
      </c>
      <c r="B113" s="15">
        <v>14</v>
      </c>
      <c r="C113" s="16">
        <v>2</v>
      </c>
      <c r="D113" s="15" t="s">
        <v>1336</v>
      </c>
      <c r="E113" s="15" t="s">
        <v>1337</v>
      </c>
      <c r="F113" s="174">
        <f>VLOOKUP(D113,原始分!$D:$N,3,0)</f>
        <v>98</v>
      </c>
      <c r="G113" s="174">
        <f t="shared" si="13"/>
        <v>152</v>
      </c>
      <c r="H113" s="174">
        <f>VLOOKUP(D113,原始分!$D:$N,4,0)</f>
        <v>94.5</v>
      </c>
      <c r="I113" s="174">
        <f t="shared" si="14"/>
        <v>95</v>
      </c>
      <c r="J113" s="174">
        <f>VLOOKUP(D113,原始分!$D:$N,5,0)</f>
        <v>106</v>
      </c>
      <c r="K113" s="174">
        <f t="shared" si="15"/>
        <v>93</v>
      </c>
      <c r="L113" s="174">
        <f>VLOOKUP(D113,原始分!$D:$N,6,0)</f>
        <v>0</v>
      </c>
      <c r="M113" s="174">
        <f t="shared" si="16"/>
        <v>1</v>
      </c>
      <c r="N113" s="174">
        <f>VLOOKUP(D113,原始分!$D:$N,7,0)</f>
        <v>70</v>
      </c>
      <c r="O113" s="174">
        <f t="shared" si="17"/>
        <v>9</v>
      </c>
      <c r="P113" s="174">
        <f>VLOOKUP(D113,原始分!$D:$N,8,0)</f>
        <v>0</v>
      </c>
      <c r="Q113" s="174">
        <f t="shared" si="18"/>
        <v>3</v>
      </c>
      <c r="R113" s="174">
        <f>VLOOKUP(D113,原始分!$D:$N,9,0)</f>
        <v>0</v>
      </c>
      <c r="S113" s="174">
        <f t="shared" si="19"/>
        <v>103</v>
      </c>
      <c r="T113" s="174">
        <f>VLOOKUP(D113,原始分!$D:$N,10,0)</f>
        <v>53</v>
      </c>
      <c r="U113" s="174">
        <f t="shared" si="20"/>
        <v>156</v>
      </c>
      <c r="V113" s="174">
        <f>VLOOKUP(D113,原始分!$D:$N,11,0)</f>
        <v>38</v>
      </c>
      <c r="W113" s="174">
        <f t="shared" si="21"/>
        <v>96</v>
      </c>
      <c r="X113" s="11">
        <f t="shared" si="22"/>
        <v>298.5</v>
      </c>
      <c r="Y113" s="9">
        <f t="shared" si="23"/>
        <v>102</v>
      </c>
      <c r="Z113" s="11">
        <f t="shared" si="24"/>
        <v>459.5</v>
      </c>
      <c r="AA113" s="9">
        <f t="shared" si="25"/>
        <v>111</v>
      </c>
    </row>
    <row r="114" ht="14.25" spans="1:27">
      <c r="A114" s="13">
        <v>716</v>
      </c>
      <c r="B114" s="15">
        <v>15</v>
      </c>
      <c r="C114" s="16">
        <v>15</v>
      </c>
      <c r="D114" s="15" t="s">
        <v>1435</v>
      </c>
      <c r="E114" s="15" t="s">
        <v>1436</v>
      </c>
      <c r="F114" s="174">
        <f>VLOOKUP(D114,原始分!$D:$N,3,0)</f>
        <v>93</v>
      </c>
      <c r="G114" s="174">
        <f t="shared" si="13"/>
        <v>189</v>
      </c>
      <c r="H114" s="174">
        <f>VLOOKUP(D114,原始分!$D:$N,4,0)</f>
        <v>87.5</v>
      </c>
      <c r="I114" s="174">
        <f t="shared" si="14"/>
        <v>136</v>
      </c>
      <c r="J114" s="174">
        <f>VLOOKUP(D114,原始分!$D:$N,5,0)</f>
        <v>121.25</v>
      </c>
      <c r="K114" s="174">
        <f t="shared" si="15"/>
        <v>18</v>
      </c>
      <c r="L114" s="174">
        <f>VLOOKUP(D114,原始分!$D:$N,6,0)</f>
        <v>0</v>
      </c>
      <c r="M114" s="174">
        <f t="shared" si="16"/>
        <v>1</v>
      </c>
      <c r="N114" s="174">
        <f>VLOOKUP(D114,原始分!$D:$N,7,0)</f>
        <v>52</v>
      </c>
      <c r="O114" s="174">
        <f t="shared" si="17"/>
        <v>145</v>
      </c>
      <c r="P114" s="174">
        <f>VLOOKUP(D114,原始分!$D:$N,8,0)</f>
        <v>0</v>
      </c>
      <c r="Q114" s="174">
        <f t="shared" si="18"/>
        <v>3</v>
      </c>
      <c r="R114" s="174">
        <f>VLOOKUP(D114,原始分!$D:$N,9,0)</f>
        <v>0</v>
      </c>
      <c r="S114" s="174">
        <f t="shared" si="19"/>
        <v>103</v>
      </c>
      <c r="T114" s="174">
        <f>VLOOKUP(D114,原始分!$D:$N,10,0)</f>
        <v>48</v>
      </c>
      <c r="U114" s="174">
        <f t="shared" si="20"/>
        <v>185</v>
      </c>
      <c r="V114" s="174">
        <f>VLOOKUP(D114,原始分!$D:$N,11,0)</f>
        <v>57.5</v>
      </c>
      <c r="W114" s="174">
        <f t="shared" si="21"/>
        <v>24</v>
      </c>
      <c r="X114" s="11">
        <f t="shared" si="22"/>
        <v>301.75</v>
      </c>
      <c r="Y114" s="9">
        <f t="shared" si="23"/>
        <v>91</v>
      </c>
      <c r="Z114" s="11">
        <f t="shared" si="24"/>
        <v>459.25</v>
      </c>
      <c r="AA114" s="9">
        <f t="shared" si="25"/>
        <v>112</v>
      </c>
    </row>
    <row r="115" ht="14.25" spans="1:27">
      <c r="A115" s="13">
        <v>698</v>
      </c>
      <c r="B115" s="15">
        <v>14</v>
      </c>
      <c r="C115" s="16">
        <v>40</v>
      </c>
      <c r="D115" s="15" t="s">
        <v>1400</v>
      </c>
      <c r="E115" s="15" t="s">
        <v>1401</v>
      </c>
      <c r="F115" s="174">
        <f>VLOOKUP(D115,原始分!$D:$N,3,0)</f>
        <v>101</v>
      </c>
      <c r="G115" s="174">
        <f t="shared" si="13"/>
        <v>115</v>
      </c>
      <c r="H115" s="174">
        <f>VLOOKUP(D115,原始分!$D:$N,4,0)</f>
        <v>89.5</v>
      </c>
      <c r="I115" s="174">
        <f t="shared" si="14"/>
        <v>124</v>
      </c>
      <c r="J115" s="174">
        <f>VLOOKUP(D115,原始分!$D:$N,5,0)</f>
        <v>100.5</v>
      </c>
      <c r="K115" s="174">
        <f t="shared" si="15"/>
        <v>123</v>
      </c>
      <c r="L115" s="174">
        <f>VLOOKUP(D115,原始分!$D:$N,6,0)</f>
        <v>0</v>
      </c>
      <c r="M115" s="174">
        <f t="shared" si="16"/>
        <v>1</v>
      </c>
      <c r="N115" s="174">
        <f>VLOOKUP(D115,原始分!$D:$N,7,0)</f>
        <v>58</v>
      </c>
      <c r="O115" s="174">
        <f t="shared" si="17"/>
        <v>84</v>
      </c>
      <c r="P115" s="174">
        <f>VLOOKUP(D115,原始分!$D:$N,8,0)</f>
        <v>0</v>
      </c>
      <c r="Q115" s="174">
        <f t="shared" si="18"/>
        <v>3</v>
      </c>
      <c r="R115" s="174">
        <f>VLOOKUP(D115,原始分!$D:$N,9,0)</f>
        <v>0</v>
      </c>
      <c r="S115" s="174">
        <f t="shared" si="19"/>
        <v>103</v>
      </c>
      <c r="T115" s="174">
        <f>VLOOKUP(D115,原始分!$D:$N,10,0)</f>
        <v>62</v>
      </c>
      <c r="U115" s="174">
        <f t="shared" si="20"/>
        <v>63</v>
      </c>
      <c r="V115" s="174">
        <f>VLOOKUP(D115,原始分!$D:$N,11,0)</f>
        <v>48</v>
      </c>
      <c r="W115" s="174">
        <f t="shared" si="21"/>
        <v>65</v>
      </c>
      <c r="X115" s="11">
        <f t="shared" si="22"/>
        <v>291</v>
      </c>
      <c r="Y115" s="9">
        <f t="shared" si="23"/>
        <v>126</v>
      </c>
      <c r="Z115" s="11">
        <f t="shared" si="24"/>
        <v>459</v>
      </c>
      <c r="AA115" s="9">
        <f t="shared" si="25"/>
        <v>113</v>
      </c>
    </row>
    <row r="116" ht="14.25" spans="1:27">
      <c r="A116" s="13">
        <v>830</v>
      </c>
      <c r="B116" s="15">
        <v>18</v>
      </c>
      <c r="C116" s="16">
        <v>7</v>
      </c>
      <c r="D116" s="15" t="s">
        <v>1658</v>
      </c>
      <c r="E116" s="15" t="s">
        <v>1659</v>
      </c>
      <c r="F116" s="174">
        <f>VLOOKUP(D116,原始分!$D:$N,3,0)</f>
        <v>94.5</v>
      </c>
      <c r="G116" s="174">
        <f t="shared" si="13"/>
        <v>182</v>
      </c>
      <c r="H116" s="174">
        <f>VLOOKUP(D116,原始分!$D:$N,4,0)</f>
        <v>99.5</v>
      </c>
      <c r="I116" s="174">
        <f t="shared" si="14"/>
        <v>72</v>
      </c>
      <c r="J116" s="174">
        <f>VLOOKUP(D116,原始分!$D:$N,5,0)</f>
        <v>120.5</v>
      </c>
      <c r="K116" s="174">
        <f t="shared" si="15"/>
        <v>20</v>
      </c>
      <c r="L116" s="174">
        <f>VLOOKUP(D116,原始分!$D:$N,6,0)</f>
        <v>0</v>
      </c>
      <c r="M116" s="174">
        <f t="shared" si="16"/>
        <v>1</v>
      </c>
      <c r="N116" s="174">
        <f>VLOOKUP(D116,原始分!$D:$N,7,0)</f>
        <v>40.5</v>
      </c>
      <c r="O116" s="174">
        <f t="shared" si="17"/>
        <v>204</v>
      </c>
      <c r="P116" s="174">
        <f>VLOOKUP(D116,原始分!$D:$N,8,0)</f>
        <v>0</v>
      </c>
      <c r="Q116" s="174">
        <f t="shared" si="18"/>
        <v>3</v>
      </c>
      <c r="R116" s="174">
        <f>VLOOKUP(D116,原始分!$D:$N,9,0)</f>
        <v>43</v>
      </c>
      <c r="S116" s="174">
        <f t="shared" si="19"/>
        <v>95</v>
      </c>
      <c r="T116" s="174">
        <f>VLOOKUP(D116,原始分!$D:$N,10,0)</f>
        <v>61</v>
      </c>
      <c r="U116" s="174">
        <f t="shared" si="20"/>
        <v>72</v>
      </c>
      <c r="V116" s="174">
        <f>VLOOKUP(D116,原始分!$D:$N,11,0)</f>
        <v>0</v>
      </c>
      <c r="W116" s="174">
        <f t="shared" si="21"/>
        <v>105</v>
      </c>
      <c r="X116" s="11">
        <f t="shared" si="22"/>
        <v>314.5</v>
      </c>
      <c r="Y116" s="9">
        <f t="shared" si="23"/>
        <v>58</v>
      </c>
      <c r="Z116" s="11">
        <f t="shared" si="24"/>
        <v>459</v>
      </c>
      <c r="AA116" s="9">
        <f t="shared" si="25"/>
        <v>113</v>
      </c>
    </row>
    <row r="117" ht="14.25" spans="1:27">
      <c r="A117" s="13">
        <v>687</v>
      </c>
      <c r="B117" s="15">
        <v>14</v>
      </c>
      <c r="C117" s="16">
        <v>28</v>
      </c>
      <c r="D117" s="15" t="s">
        <v>1380</v>
      </c>
      <c r="E117" s="15" t="s">
        <v>1381</v>
      </c>
      <c r="F117" s="174">
        <f>VLOOKUP(D117,原始分!$D:$N,3,0)</f>
        <v>102.5</v>
      </c>
      <c r="G117" s="174">
        <f t="shared" si="13"/>
        <v>97</v>
      </c>
      <c r="H117" s="174">
        <f>VLOOKUP(D117,原始分!$D:$N,4,0)</f>
        <v>92</v>
      </c>
      <c r="I117" s="174">
        <f t="shared" si="14"/>
        <v>110</v>
      </c>
      <c r="J117" s="174">
        <f>VLOOKUP(D117,原始分!$D:$N,5,0)</f>
        <v>101</v>
      </c>
      <c r="K117" s="174">
        <f t="shared" si="15"/>
        <v>121</v>
      </c>
      <c r="L117" s="174">
        <f>VLOOKUP(D117,原始分!$D:$N,6,0)</f>
        <v>0</v>
      </c>
      <c r="M117" s="174">
        <f t="shared" si="16"/>
        <v>1</v>
      </c>
      <c r="N117" s="174">
        <f>VLOOKUP(D117,原始分!$D:$N,7,0)</f>
        <v>59.5</v>
      </c>
      <c r="O117" s="174">
        <f t="shared" si="17"/>
        <v>69</v>
      </c>
      <c r="P117" s="174">
        <f>VLOOKUP(D117,原始分!$D:$N,8,0)</f>
        <v>0</v>
      </c>
      <c r="Q117" s="174">
        <f t="shared" si="18"/>
        <v>3</v>
      </c>
      <c r="R117" s="174">
        <f>VLOOKUP(D117,原始分!$D:$N,9,0)</f>
        <v>0</v>
      </c>
      <c r="S117" s="174">
        <f t="shared" si="19"/>
        <v>103</v>
      </c>
      <c r="T117" s="174">
        <f>VLOOKUP(D117,原始分!$D:$N,10,0)</f>
        <v>55</v>
      </c>
      <c r="U117" s="174">
        <f t="shared" si="20"/>
        <v>140</v>
      </c>
      <c r="V117" s="174">
        <f>VLOOKUP(D117,原始分!$D:$N,11,0)</f>
        <v>48.5</v>
      </c>
      <c r="W117" s="174">
        <f t="shared" si="21"/>
        <v>64</v>
      </c>
      <c r="X117" s="11">
        <f t="shared" si="22"/>
        <v>295.5</v>
      </c>
      <c r="Y117" s="9">
        <f t="shared" si="23"/>
        <v>112</v>
      </c>
      <c r="Z117" s="11">
        <f t="shared" si="24"/>
        <v>458.5</v>
      </c>
      <c r="AA117" s="9">
        <f t="shared" si="25"/>
        <v>115</v>
      </c>
    </row>
    <row r="118" ht="14.25" spans="1:27">
      <c r="A118" s="13">
        <v>743</v>
      </c>
      <c r="B118" s="15">
        <v>15</v>
      </c>
      <c r="C118" s="16">
        <v>43</v>
      </c>
      <c r="D118" s="15" t="s">
        <v>1488</v>
      </c>
      <c r="E118" s="15" t="s">
        <v>1489</v>
      </c>
      <c r="F118" s="174">
        <f>VLOOKUP(D118,原始分!$D:$N,3,0)</f>
        <v>103.5</v>
      </c>
      <c r="G118" s="174">
        <f t="shared" si="13"/>
        <v>85</v>
      </c>
      <c r="H118" s="174">
        <f>VLOOKUP(D118,原始分!$D:$N,4,0)</f>
        <v>86.5</v>
      </c>
      <c r="I118" s="174">
        <f t="shared" si="14"/>
        <v>142</v>
      </c>
      <c r="J118" s="174">
        <f>VLOOKUP(D118,原始分!$D:$N,5,0)</f>
        <v>111</v>
      </c>
      <c r="K118" s="174">
        <f t="shared" si="15"/>
        <v>66</v>
      </c>
      <c r="L118" s="174">
        <f>VLOOKUP(D118,原始分!$D:$N,6,0)</f>
        <v>0</v>
      </c>
      <c r="M118" s="174">
        <f t="shared" si="16"/>
        <v>1</v>
      </c>
      <c r="N118" s="174">
        <f>VLOOKUP(D118,原始分!$D:$N,7,0)</f>
        <v>48.5</v>
      </c>
      <c r="O118" s="174">
        <f t="shared" si="17"/>
        <v>180</v>
      </c>
      <c r="P118" s="174">
        <f>VLOOKUP(D118,原始分!$D:$N,8,0)</f>
        <v>0</v>
      </c>
      <c r="Q118" s="174">
        <f t="shared" si="18"/>
        <v>3</v>
      </c>
      <c r="R118" s="174">
        <f>VLOOKUP(D118,原始分!$D:$N,9,0)</f>
        <v>0</v>
      </c>
      <c r="S118" s="174">
        <f t="shared" si="19"/>
        <v>103</v>
      </c>
      <c r="T118" s="174">
        <f>VLOOKUP(D118,原始分!$D:$N,10,0)</f>
        <v>57</v>
      </c>
      <c r="U118" s="174">
        <f t="shared" si="20"/>
        <v>118</v>
      </c>
      <c r="V118" s="174">
        <f>VLOOKUP(D118,原始分!$D:$N,11,0)</f>
        <v>51.5</v>
      </c>
      <c r="W118" s="174">
        <f t="shared" si="21"/>
        <v>50</v>
      </c>
      <c r="X118" s="11">
        <f t="shared" si="22"/>
        <v>301</v>
      </c>
      <c r="Y118" s="9">
        <f t="shared" si="23"/>
        <v>96</v>
      </c>
      <c r="Z118" s="11">
        <f t="shared" si="24"/>
        <v>458</v>
      </c>
      <c r="AA118" s="9">
        <f t="shared" si="25"/>
        <v>116</v>
      </c>
    </row>
    <row r="119" ht="14.25" spans="1:27">
      <c r="A119" s="13">
        <v>671</v>
      </c>
      <c r="B119" s="15">
        <v>14</v>
      </c>
      <c r="C119" s="16">
        <v>11</v>
      </c>
      <c r="D119" s="15" t="s">
        <v>1348</v>
      </c>
      <c r="E119" s="15" t="s">
        <v>1349</v>
      </c>
      <c r="F119" s="174">
        <f>VLOOKUP(D119,原始分!$D:$N,3,0)</f>
        <v>93.25</v>
      </c>
      <c r="G119" s="174">
        <f t="shared" si="13"/>
        <v>188</v>
      </c>
      <c r="H119" s="174">
        <f>VLOOKUP(D119,原始分!$D:$N,4,0)</f>
        <v>89</v>
      </c>
      <c r="I119" s="174">
        <f t="shared" si="14"/>
        <v>125</v>
      </c>
      <c r="J119" s="174">
        <f>VLOOKUP(D119,原始分!$D:$N,5,0)</f>
        <v>113</v>
      </c>
      <c r="K119" s="174">
        <f t="shared" si="15"/>
        <v>59</v>
      </c>
      <c r="L119" s="174">
        <f>VLOOKUP(D119,原始分!$D:$N,6,0)</f>
        <v>0</v>
      </c>
      <c r="M119" s="174">
        <f t="shared" si="16"/>
        <v>1</v>
      </c>
      <c r="N119" s="174">
        <f>VLOOKUP(D119,原始分!$D:$N,7,0)</f>
        <v>55.5</v>
      </c>
      <c r="O119" s="174">
        <f t="shared" si="17"/>
        <v>118</v>
      </c>
      <c r="P119" s="174">
        <f>VLOOKUP(D119,原始分!$D:$N,8,0)</f>
        <v>0</v>
      </c>
      <c r="Q119" s="174">
        <f t="shared" si="18"/>
        <v>3</v>
      </c>
      <c r="R119" s="174">
        <f>VLOOKUP(D119,原始分!$D:$N,9,0)</f>
        <v>0</v>
      </c>
      <c r="S119" s="174">
        <f t="shared" si="19"/>
        <v>103</v>
      </c>
      <c r="T119" s="174">
        <f>VLOOKUP(D119,原始分!$D:$N,10,0)</f>
        <v>57.5</v>
      </c>
      <c r="U119" s="174">
        <f t="shared" si="20"/>
        <v>115</v>
      </c>
      <c r="V119" s="174">
        <f>VLOOKUP(D119,原始分!$D:$N,11,0)</f>
        <v>49</v>
      </c>
      <c r="W119" s="174">
        <f t="shared" si="21"/>
        <v>62</v>
      </c>
      <c r="X119" s="11">
        <f t="shared" si="22"/>
        <v>295.25</v>
      </c>
      <c r="Y119" s="9">
        <f t="shared" si="23"/>
        <v>113</v>
      </c>
      <c r="Z119" s="11">
        <f t="shared" si="24"/>
        <v>457.25</v>
      </c>
      <c r="AA119" s="9">
        <f t="shared" si="25"/>
        <v>117</v>
      </c>
    </row>
    <row r="120" ht="14.25" spans="1:27">
      <c r="A120" s="13">
        <v>726</v>
      </c>
      <c r="B120" s="15">
        <v>15</v>
      </c>
      <c r="C120" s="16">
        <v>25</v>
      </c>
      <c r="D120" s="15" t="s">
        <v>1455</v>
      </c>
      <c r="E120" s="15" t="s">
        <v>712</v>
      </c>
      <c r="F120" s="174">
        <f>VLOOKUP(D120,原始分!$D:$N,3,0)</f>
        <v>99.5</v>
      </c>
      <c r="G120" s="174">
        <f t="shared" si="13"/>
        <v>133</v>
      </c>
      <c r="H120" s="174">
        <f>VLOOKUP(D120,原始分!$D:$N,4,0)</f>
        <v>104.5</v>
      </c>
      <c r="I120" s="174">
        <f t="shared" si="14"/>
        <v>51</v>
      </c>
      <c r="J120" s="174">
        <f>VLOOKUP(D120,原始分!$D:$N,5,0)</f>
        <v>97.75</v>
      </c>
      <c r="K120" s="174">
        <f t="shared" si="15"/>
        <v>138</v>
      </c>
      <c r="L120" s="174">
        <f>VLOOKUP(D120,原始分!$D:$N,6,0)</f>
        <v>0</v>
      </c>
      <c r="M120" s="174">
        <f t="shared" si="16"/>
        <v>1</v>
      </c>
      <c r="N120" s="174">
        <f>VLOOKUP(D120,原始分!$D:$N,7,0)</f>
        <v>46.5</v>
      </c>
      <c r="O120" s="174">
        <f t="shared" si="17"/>
        <v>189</v>
      </c>
      <c r="P120" s="174">
        <f>VLOOKUP(D120,原始分!$D:$N,8,0)</f>
        <v>0</v>
      </c>
      <c r="Q120" s="174">
        <f t="shared" si="18"/>
        <v>3</v>
      </c>
      <c r="R120" s="174">
        <f>VLOOKUP(D120,原始分!$D:$N,9,0)</f>
        <v>0</v>
      </c>
      <c r="S120" s="174">
        <f t="shared" si="19"/>
        <v>103</v>
      </c>
      <c r="T120" s="174">
        <f>VLOOKUP(D120,原始分!$D:$N,10,0)</f>
        <v>54.5</v>
      </c>
      <c r="U120" s="174">
        <f t="shared" si="20"/>
        <v>143</v>
      </c>
      <c r="V120" s="174">
        <f>VLOOKUP(D120,原始分!$D:$N,11,0)</f>
        <v>54.5</v>
      </c>
      <c r="W120" s="174">
        <f t="shared" si="21"/>
        <v>34</v>
      </c>
      <c r="X120" s="11">
        <f t="shared" si="22"/>
        <v>301.75</v>
      </c>
      <c r="Y120" s="9">
        <f t="shared" si="23"/>
        <v>91</v>
      </c>
      <c r="Z120" s="11">
        <f t="shared" si="24"/>
        <v>457.25</v>
      </c>
      <c r="AA120" s="9">
        <f t="shared" si="25"/>
        <v>117</v>
      </c>
    </row>
    <row r="121" ht="14.25" spans="1:27">
      <c r="A121" s="13">
        <v>845</v>
      </c>
      <c r="B121" s="15">
        <v>18</v>
      </c>
      <c r="C121" s="16">
        <v>25</v>
      </c>
      <c r="D121" s="15" t="s">
        <v>1688</v>
      </c>
      <c r="E121" s="15" t="s">
        <v>1689</v>
      </c>
      <c r="F121" s="174">
        <f>VLOOKUP(D121,原始分!$D:$N,3,0)</f>
        <v>111.75</v>
      </c>
      <c r="G121" s="174">
        <f t="shared" si="13"/>
        <v>18</v>
      </c>
      <c r="H121" s="174">
        <f>VLOOKUP(D121,原始分!$D:$N,4,0)</f>
        <v>56.5</v>
      </c>
      <c r="I121" s="174">
        <f t="shared" si="14"/>
        <v>202</v>
      </c>
      <c r="J121" s="174">
        <f>VLOOKUP(D121,原始分!$D:$N,5,0)</f>
        <v>101.75</v>
      </c>
      <c r="K121" s="174">
        <f t="shared" si="15"/>
        <v>117</v>
      </c>
      <c r="L121" s="174">
        <f>VLOOKUP(D121,原始分!$D:$N,6,0)</f>
        <v>0</v>
      </c>
      <c r="M121" s="174">
        <f t="shared" si="16"/>
        <v>1</v>
      </c>
      <c r="N121" s="174">
        <f>VLOOKUP(D121,原始分!$D:$N,7,0)</f>
        <v>71.5</v>
      </c>
      <c r="O121" s="174">
        <f t="shared" si="17"/>
        <v>4</v>
      </c>
      <c r="P121" s="174">
        <f>VLOOKUP(D121,原始分!$D:$N,8,0)</f>
        <v>0</v>
      </c>
      <c r="Q121" s="174">
        <f t="shared" si="18"/>
        <v>3</v>
      </c>
      <c r="R121" s="174">
        <f>VLOOKUP(D121,原始分!$D:$N,9,0)</f>
        <v>56</v>
      </c>
      <c r="S121" s="174">
        <f t="shared" si="19"/>
        <v>24</v>
      </c>
      <c r="T121" s="174">
        <f>VLOOKUP(D121,原始分!$D:$N,10,0)</f>
        <v>59.5</v>
      </c>
      <c r="U121" s="174">
        <f t="shared" si="20"/>
        <v>89</v>
      </c>
      <c r="V121" s="174">
        <f>VLOOKUP(D121,原始分!$D:$N,11,0)</f>
        <v>0</v>
      </c>
      <c r="W121" s="174">
        <f t="shared" si="21"/>
        <v>105</v>
      </c>
      <c r="X121" s="11">
        <f t="shared" si="22"/>
        <v>270</v>
      </c>
      <c r="Y121" s="9">
        <f t="shared" si="23"/>
        <v>170</v>
      </c>
      <c r="Z121" s="11">
        <f t="shared" si="24"/>
        <v>457</v>
      </c>
      <c r="AA121" s="9">
        <f t="shared" si="25"/>
        <v>119</v>
      </c>
    </row>
    <row r="122" ht="14.25" spans="1:27">
      <c r="A122" s="13">
        <v>694</v>
      </c>
      <c r="B122" s="15">
        <v>14</v>
      </c>
      <c r="C122" s="16">
        <v>36</v>
      </c>
      <c r="D122" s="15" t="s">
        <v>1393</v>
      </c>
      <c r="E122" s="15" t="s">
        <v>1394</v>
      </c>
      <c r="F122" s="174">
        <f>VLOOKUP(D122,原始分!$D:$N,3,0)</f>
        <v>103</v>
      </c>
      <c r="G122" s="174">
        <f t="shared" si="13"/>
        <v>93</v>
      </c>
      <c r="H122" s="174">
        <f>VLOOKUP(D122,原始分!$D:$N,4,0)</f>
        <v>88.5</v>
      </c>
      <c r="I122" s="174">
        <f t="shared" si="14"/>
        <v>128</v>
      </c>
      <c r="J122" s="174">
        <f>VLOOKUP(D122,原始分!$D:$N,5,0)</f>
        <v>98.5</v>
      </c>
      <c r="K122" s="174">
        <f t="shared" si="15"/>
        <v>134</v>
      </c>
      <c r="L122" s="174">
        <f>VLOOKUP(D122,原始分!$D:$N,6,0)</f>
        <v>0</v>
      </c>
      <c r="M122" s="174">
        <f t="shared" si="16"/>
        <v>1</v>
      </c>
      <c r="N122" s="174">
        <f>VLOOKUP(D122,原始分!$D:$N,7,0)</f>
        <v>53.5</v>
      </c>
      <c r="O122" s="174">
        <f t="shared" si="17"/>
        <v>136</v>
      </c>
      <c r="P122" s="174">
        <f>VLOOKUP(D122,原始分!$D:$N,8,0)</f>
        <v>0</v>
      </c>
      <c r="Q122" s="174">
        <f t="shared" si="18"/>
        <v>3</v>
      </c>
      <c r="R122" s="174">
        <f>VLOOKUP(D122,原始分!$D:$N,9,0)</f>
        <v>0</v>
      </c>
      <c r="S122" s="174">
        <f t="shared" si="19"/>
        <v>103</v>
      </c>
      <c r="T122" s="174">
        <f>VLOOKUP(D122,原始分!$D:$N,10,0)</f>
        <v>60.75</v>
      </c>
      <c r="U122" s="174">
        <f t="shared" si="20"/>
        <v>76</v>
      </c>
      <c r="V122" s="174">
        <f>VLOOKUP(D122,原始分!$D:$N,11,0)</f>
        <v>52.5</v>
      </c>
      <c r="W122" s="174">
        <f t="shared" si="21"/>
        <v>41</v>
      </c>
      <c r="X122" s="11">
        <f t="shared" si="22"/>
        <v>290</v>
      </c>
      <c r="Y122" s="9">
        <f t="shared" si="23"/>
        <v>130</v>
      </c>
      <c r="Z122" s="11">
        <f t="shared" si="24"/>
        <v>456.75</v>
      </c>
      <c r="AA122" s="9">
        <f t="shared" si="25"/>
        <v>120</v>
      </c>
    </row>
    <row r="123" ht="14.25" spans="1:27">
      <c r="A123" s="13">
        <v>704</v>
      </c>
      <c r="B123" s="15">
        <v>15</v>
      </c>
      <c r="C123" s="16">
        <v>1</v>
      </c>
      <c r="D123" s="15" t="s">
        <v>1412</v>
      </c>
      <c r="E123" s="15" t="s">
        <v>1413</v>
      </c>
      <c r="F123" s="174">
        <f>VLOOKUP(D123,原始分!$D:$N,3,0)</f>
        <v>97.5</v>
      </c>
      <c r="G123" s="174">
        <f t="shared" si="13"/>
        <v>160</v>
      </c>
      <c r="H123" s="174">
        <f>VLOOKUP(D123,原始分!$D:$N,4,0)</f>
        <v>89</v>
      </c>
      <c r="I123" s="174">
        <f t="shared" si="14"/>
        <v>125</v>
      </c>
      <c r="J123" s="174">
        <f>VLOOKUP(D123,原始分!$D:$N,5,0)</f>
        <v>109.5</v>
      </c>
      <c r="K123" s="174">
        <f t="shared" si="15"/>
        <v>74</v>
      </c>
      <c r="L123" s="174">
        <f>VLOOKUP(D123,原始分!$D:$N,6,0)</f>
        <v>0</v>
      </c>
      <c r="M123" s="174">
        <f t="shared" si="16"/>
        <v>1</v>
      </c>
      <c r="N123" s="174">
        <f>VLOOKUP(D123,原始分!$D:$N,7,0)</f>
        <v>51.5</v>
      </c>
      <c r="O123" s="174">
        <f t="shared" si="17"/>
        <v>150</v>
      </c>
      <c r="P123" s="174">
        <f>VLOOKUP(D123,原始分!$D:$N,8,0)</f>
        <v>0</v>
      </c>
      <c r="Q123" s="174">
        <f t="shared" si="18"/>
        <v>3</v>
      </c>
      <c r="R123" s="174">
        <f>VLOOKUP(D123,原始分!$D:$N,9,0)</f>
        <v>0</v>
      </c>
      <c r="S123" s="174">
        <f t="shared" si="19"/>
        <v>103</v>
      </c>
      <c r="T123" s="174">
        <f>VLOOKUP(D123,原始分!$D:$N,10,0)</f>
        <v>61.5</v>
      </c>
      <c r="U123" s="174">
        <f t="shared" si="20"/>
        <v>68</v>
      </c>
      <c r="V123" s="174">
        <f>VLOOKUP(D123,原始分!$D:$N,11,0)</f>
        <v>47.5</v>
      </c>
      <c r="W123" s="174">
        <f t="shared" si="21"/>
        <v>67</v>
      </c>
      <c r="X123" s="11">
        <f t="shared" si="22"/>
        <v>296</v>
      </c>
      <c r="Y123" s="9">
        <f t="shared" si="23"/>
        <v>111</v>
      </c>
      <c r="Z123" s="11">
        <f t="shared" si="24"/>
        <v>456.5</v>
      </c>
      <c r="AA123" s="9">
        <f t="shared" si="25"/>
        <v>121</v>
      </c>
    </row>
    <row r="124" ht="14.25" spans="1:27">
      <c r="A124" s="13">
        <v>739</v>
      </c>
      <c r="B124" s="15">
        <v>15</v>
      </c>
      <c r="C124" s="16">
        <v>39</v>
      </c>
      <c r="D124" s="15" t="s">
        <v>1480</v>
      </c>
      <c r="E124" s="15" t="s">
        <v>1481</v>
      </c>
      <c r="F124" s="174">
        <f>VLOOKUP(D124,原始分!$D:$N,3,0)</f>
        <v>102.25</v>
      </c>
      <c r="G124" s="174">
        <f t="shared" si="13"/>
        <v>104</v>
      </c>
      <c r="H124" s="174">
        <f>VLOOKUP(D124,原始分!$D:$N,4,0)</f>
        <v>82</v>
      </c>
      <c r="I124" s="174">
        <f t="shared" si="14"/>
        <v>153</v>
      </c>
      <c r="J124" s="174">
        <f>VLOOKUP(D124,原始分!$D:$N,5,0)</f>
        <v>113.75</v>
      </c>
      <c r="K124" s="174">
        <f t="shared" si="15"/>
        <v>54</v>
      </c>
      <c r="L124" s="174">
        <f>VLOOKUP(D124,原始分!$D:$N,6,0)</f>
        <v>0</v>
      </c>
      <c r="M124" s="174">
        <f t="shared" si="16"/>
        <v>1</v>
      </c>
      <c r="N124" s="174">
        <f>VLOOKUP(D124,原始分!$D:$N,7,0)</f>
        <v>52</v>
      </c>
      <c r="O124" s="174">
        <f t="shared" si="17"/>
        <v>145</v>
      </c>
      <c r="P124" s="174">
        <f>VLOOKUP(D124,原始分!$D:$N,8,0)</f>
        <v>0</v>
      </c>
      <c r="Q124" s="174">
        <f t="shared" si="18"/>
        <v>3</v>
      </c>
      <c r="R124" s="174">
        <f>VLOOKUP(D124,原始分!$D:$N,9,0)</f>
        <v>0</v>
      </c>
      <c r="S124" s="174">
        <f t="shared" si="19"/>
        <v>103</v>
      </c>
      <c r="T124" s="174">
        <f>VLOOKUP(D124,原始分!$D:$N,10,0)</f>
        <v>54</v>
      </c>
      <c r="U124" s="174">
        <f t="shared" si="20"/>
        <v>145</v>
      </c>
      <c r="V124" s="174">
        <f>VLOOKUP(D124,原始分!$D:$N,11,0)</f>
        <v>52</v>
      </c>
      <c r="W124" s="174">
        <f t="shared" si="21"/>
        <v>45</v>
      </c>
      <c r="X124" s="11">
        <f t="shared" si="22"/>
        <v>298</v>
      </c>
      <c r="Y124" s="9">
        <f t="shared" si="23"/>
        <v>104</v>
      </c>
      <c r="Z124" s="11">
        <f t="shared" si="24"/>
        <v>456</v>
      </c>
      <c r="AA124" s="9">
        <f t="shared" si="25"/>
        <v>122</v>
      </c>
    </row>
    <row r="125" ht="14.25" spans="1:27">
      <c r="A125" s="13">
        <v>681</v>
      </c>
      <c r="B125" s="15">
        <v>14</v>
      </c>
      <c r="C125" s="16">
        <v>22</v>
      </c>
      <c r="D125" s="15" t="s">
        <v>1368</v>
      </c>
      <c r="E125" s="15" t="s">
        <v>1369</v>
      </c>
      <c r="F125" s="174">
        <f>VLOOKUP(D125,原始分!$D:$N,3,0)</f>
        <v>102</v>
      </c>
      <c r="G125" s="174">
        <f t="shared" si="13"/>
        <v>106</v>
      </c>
      <c r="H125" s="174">
        <f>VLOOKUP(D125,原始分!$D:$N,4,0)</f>
        <v>93</v>
      </c>
      <c r="I125" s="174">
        <f t="shared" si="14"/>
        <v>105</v>
      </c>
      <c r="J125" s="174">
        <f>VLOOKUP(D125,原始分!$D:$N,5,0)</f>
        <v>108</v>
      </c>
      <c r="K125" s="174">
        <f t="shared" si="15"/>
        <v>82</v>
      </c>
      <c r="L125" s="174">
        <f>VLOOKUP(D125,原始分!$D:$N,6,0)</f>
        <v>0</v>
      </c>
      <c r="M125" s="174">
        <f t="shared" si="16"/>
        <v>1</v>
      </c>
      <c r="N125" s="174">
        <f>VLOOKUP(D125,原始分!$D:$N,7,0)</f>
        <v>48.5</v>
      </c>
      <c r="O125" s="174">
        <f t="shared" si="17"/>
        <v>180</v>
      </c>
      <c r="P125" s="174">
        <f>VLOOKUP(D125,原始分!$D:$N,8,0)</f>
        <v>0</v>
      </c>
      <c r="Q125" s="174">
        <f t="shared" si="18"/>
        <v>3</v>
      </c>
      <c r="R125" s="174">
        <f>VLOOKUP(D125,原始分!$D:$N,9,0)</f>
        <v>0</v>
      </c>
      <c r="S125" s="174">
        <f t="shared" si="19"/>
        <v>103</v>
      </c>
      <c r="T125" s="174">
        <f>VLOOKUP(D125,原始分!$D:$N,10,0)</f>
        <v>55.5</v>
      </c>
      <c r="U125" s="174">
        <f t="shared" si="20"/>
        <v>136</v>
      </c>
      <c r="V125" s="174">
        <f>VLOOKUP(D125,原始分!$D:$N,11,0)</f>
        <v>47.5</v>
      </c>
      <c r="W125" s="174">
        <f t="shared" si="21"/>
        <v>67</v>
      </c>
      <c r="X125" s="11">
        <f t="shared" si="22"/>
        <v>303</v>
      </c>
      <c r="Y125" s="9">
        <f t="shared" si="23"/>
        <v>85</v>
      </c>
      <c r="Z125" s="11">
        <f t="shared" si="24"/>
        <v>454.5</v>
      </c>
      <c r="AA125" s="9">
        <f t="shared" si="25"/>
        <v>123</v>
      </c>
    </row>
    <row r="126" ht="14.25" spans="1:27">
      <c r="A126" s="13">
        <v>850</v>
      </c>
      <c r="B126" s="15">
        <v>18</v>
      </c>
      <c r="C126" s="16">
        <v>30</v>
      </c>
      <c r="D126" s="15" t="s">
        <v>1698</v>
      </c>
      <c r="E126" s="15" t="s">
        <v>1699</v>
      </c>
      <c r="F126" s="174">
        <f>VLOOKUP(D126,原始分!$D:$N,3,0)</f>
        <v>108</v>
      </c>
      <c r="G126" s="174">
        <f t="shared" si="13"/>
        <v>34</v>
      </c>
      <c r="H126" s="174">
        <f>VLOOKUP(D126,原始分!$D:$N,4,0)</f>
        <v>88</v>
      </c>
      <c r="I126" s="174">
        <f t="shared" si="14"/>
        <v>133</v>
      </c>
      <c r="J126" s="174">
        <f>VLOOKUP(D126,原始分!$D:$N,5,0)</f>
        <v>112.5</v>
      </c>
      <c r="K126" s="174">
        <f t="shared" si="15"/>
        <v>61</v>
      </c>
      <c r="L126" s="174">
        <f>VLOOKUP(D126,原始分!$D:$N,6,0)</f>
        <v>0</v>
      </c>
      <c r="M126" s="174">
        <f t="shared" si="16"/>
        <v>1</v>
      </c>
      <c r="N126" s="174">
        <f>VLOOKUP(D126,原始分!$D:$N,7,0)</f>
        <v>50</v>
      </c>
      <c r="O126" s="174">
        <f t="shared" si="17"/>
        <v>168</v>
      </c>
      <c r="P126" s="174">
        <f>VLOOKUP(D126,原始分!$D:$N,8,0)</f>
        <v>0</v>
      </c>
      <c r="Q126" s="174">
        <f t="shared" si="18"/>
        <v>3</v>
      </c>
      <c r="R126" s="174">
        <f>VLOOKUP(D126,原始分!$D:$N,9,0)</f>
        <v>52</v>
      </c>
      <c r="S126" s="174">
        <f t="shared" si="19"/>
        <v>47</v>
      </c>
      <c r="T126" s="174">
        <f>VLOOKUP(D126,原始分!$D:$N,10,0)</f>
        <v>44</v>
      </c>
      <c r="U126" s="174">
        <f t="shared" si="20"/>
        <v>195</v>
      </c>
      <c r="V126" s="174">
        <f>VLOOKUP(D126,原始分!$D:$N,11,0)</f>
        <v>0</v>
      </c>
      <c r="W126" s="174">
        <f t="shared" si="21"/>
        <v>105</v>
      </c>
      <c r="X126" s="11">
        <f t="shared" si="22"/>
        <v>308.5</v>
      </c>
      <c r="Y126" s="9">
        <f t="shared" si="23"/>
        <v>74</v>
      </c>
      <c r="Z126" s="11">
        <f t="shared" si="24"/>
        <v>454.5</v>
      </c>
      <c r="AA126" s="9">
        <f t="shared" si="25"/>
        <v>123</v>
      </c>
    </row>
    <row r="127" ht="14.25" spans="1:27">
      <c r="A127" s="13">
        <v>670</v>
      </c>
      <c r="B127" s="15">
        <v>14</v>
      </c>
      <c r="C127" s="16">
        <v>9</v>
      </c>
      <c r="D127" s="15" t="s">
        <v>1346</v>
      </c>
      <c r="E127" s="15" t="s">
        <v>1347</v>
      </c>
      <c r="F127" s="174">
        <f>VLOOKUP(D127,原始分!$D:$N,3,0)</f>
        <v>108</v>
      </c>
      <c r="G127" s="174">
        <f t="shared" si="13"/>
        <v>34</v>
      </c>
      <c r="H127" s="174">
        <f>VLOOKUP(D127,原始分!$D:$N,4,0)</f>
        <v>82</v>
      </c>
      <c r="I127" s="174">
        <f t="shared" si="14"/>
        <v>153</v>
      </c>
      <c r="J127" s="174">
        <f>VLOOKUP(D127,原始分!$D:$N,5,0)</f>
        <v>104.5</v>
      </c>
      <c r="K127" s="174">
        <f t="shared" si="15"/>
        <v>105</v>
      </c>
      <c r="L127" s="174">
        <f>VLOOKUP(D127,原始分!$D:$N,6,0)</f>
        <v>0</v>
      </c>
      <c r="M127" s="174">
        <f t="shared" si="16"/>
        <v>1</v>
      </c>
      <c r="N127" s="174">
        <f>VLOOKUP(D127,原始分!$D:$N,7,0)</f>
        <v>56</v>
      </c>
      <c r="O127" s="174">
        <f t="shared" si="17"/>
        <v>107</v>
      </c>
      <c r="P127" s="174">
        <f>VLOOKUP(D127,原始分!$D:$N,8,0)</f>
        <v>0</v>
      </c>
      <c r="Q127" s="174">
        <f t="shared" si="18"/>
        <v>3</v>
      </c>
      <c r="R127" s="174">
        <f>VLOOKUP(D127,原始分!$D:$N,9,0)</f>
        <v>0</v>
      </c>
      <c r="S127" s="174">
        <f t="shared" si="19"/>
        <v>103</v>
      </c>
      <c r="T127" s="174">
        <f>VLOOKUP(D127,原始分!$D:$N,10,0)</f>
        <v>65</v>
      </c>
      <c r="U127" s="174">
        <f t="shared" si="20"/>
        <v>37</v>
      </c>
      <c r="V127" s="174">
        <f>VLOOKUP(D127,原始分!$D:$N,11,0)</f>
        <v>38.5</v>
      </c>
      <c r="W127" s="174">
        <f t="shared" si="21"/>
        <v>95</v>
      </c>
      <c r="X127" s="11">
        <f t="shared" si="22"/>
        <v>294.5</v>
      </c>
      <c r="Y127" s="9">
        <f t="shared" si="23"/>
        <v>116</v>
      </c>
      <c r="Z127" s="11">
        <f t="shared" si="24"/>
        <v>454</v>
      </c>
      <c r="AA127" s="9">
        <f t="shared" si="25"/>
        <v>125</v>
      </c>
    </row>
    <row r="128" ht="14.25" spans="1:27">
      <c r="A128" s="13">
        <v>703</v>
      </c>
      <c r="B128" s="15">
        <v>14</v>
      </c>
      <c r="C128" s="16">
        <v>45</v>
      </c>
      <c r="D128" s="15" t="s">
        <v>1410</v>
      </c>
      <c r="E128" s="15" t="s">
        <v>1411</v>
      </c>
      <c r="F128" s="174">
        <f>VLOOKUP(D128,原始分!$D:$N,3,0)</f>
        <v>102.5</v>
      </c>
      <c r="G128" s="174">
        <f t="shared" si="13"/>
        <v>97</v>
      </c>
      <c r="H128" s="174">
        <f>VLOOKUP(D128,原始分!$D:$N,4,0)</f>
        <v>102.5</v>
      </c>
      <c r="I128" s="174">
        <f t="shared" si="14"/>
        <v>56</v>
      </c>
      <c r="J128" s="174">
        <f>VLOOKUP(D128,原始分!$D:$N,5,0)</f>
        <v>84.5</v>
      </c>
      <c r="K128" s="174">
        <f t="shared" si="15"/>
        <v>182</v>
      </c>
      <c r="L128" s="174">
        <f>VLOOKUP(D128,原始分!$D:$N,6,0)</f>
        <v>0</v>
      </c>
      <c r="M128" s="174">
        <f t="shared" si="16"/>
        <v>1</v>
      </c>
      <c r="N128" s="174">
        <f>VLOOKUP(D128,原始分!$D:$N,7,0)</f>
        <v>47</v>
      </c>
      <c r="O128" s="174">
        <f t="shared" si="17"/>
        <v>187</v>
      </c>
      <c r="P128" s="174">
        <f>VLOOKUP(D128,原始分!$D:$N,8,0)</f>
        <v>0</v>
      </c>
      <c r="Q128" s="174">
        <f t="shared" si="18"/>
        <v>3</v>
      </c>
      <c r="R128" s="174">
        <f>VLOOKUP(D128,原始分!$D:$N,9,0)</f>
        <v>0</v>
      </c>
      <c r="S128" s="174">
        <f t="shared" si="19"/>
        <v>103</v>
      </c>
      <c r="T128" s="174">
        <f>VLOOKUP(D128,原始分!$D:$N,10,0)</f>
        <v>61.5</v>
      </c>
      <c r="U128" s="174">
        <f t="shared" si="20"/>
        <v>68</v>
      </c>
      <c r="V128" s="174">
        <f>VLOOKUP(D128,原始分!$D:$N,11,0)</f>
        <v>56</v>
      </c>
      <c r="W128" s="174">
        <f t="shared" si="21"/>
        <v>29</v>
      </c>
      <c r="X128" s="11">
        <f t="shared" si="22"/>
        <v>289.5</v>
      </c>
      <c r="Y128" s="9">
        <f t="shared" si="23"/>
        <v>131</v>
      </c>
      <c r="Z128" s="11">
        <f t="shared" si="24"/>
        <v>454</v>
      </c>
      <c r="AA128" s="9">
        <f t="shared" si="25"/>
        <v>125</v>
      </c>
    </row>
    <row r="129" ht="14.25" spans="1:27">
      <c r="A129" s="13">
        <v>784</v>
      </c>
      <c r="B129" s="15">
        <v>17</v>
      </c>
      <c r="C129" s="16">
        <v>1</v>
      </c>
      <c r="D129" s="15" t="s">
        <v>1566</v>
      </c>
      <c r="E129" s="15" t="s">
        <v>1567</v>
      </c>
      <c r="F129" s="174">
        <f>VLOOKUP(D129,原始分!$D:$N,3,0)</f>
        <v>104.5</v>
      </c>
      <c r="G129" s="174">
        <f t="shared" si="13"/>
        <v>73</v>
      </c>
      <c r="H129" s="174">
        <f>VLOOKUP(D129,原始分!$D:$N,4,0)</f>
        <v>84</v>
      </c>
      <c r="I129" s="174">
        <f t="shared" si="14"/>
        <v>148</v>
      </c>
      <c r="J129" s="174">
        <f>VLOOKUP(D129,原始分!$D:$N,5,0)</f>
        <v>106</v>
      </c>
      <c r="K129" s="174">
        <f t="shared" si="15"/>
        <v>93</v>
      </c>
      <c r="L129" s="174">
        <f>VLOOKUP(D129,原始分!$D:$N,6,0)</f>
        <v>0</v>
      </c>
      <c r="M129" s="174">
        <f t="shared" si="16"/>
        <v>1</v>
      </c>
      <c r="N129" s="174">
        <f>VLOOKUP(D129,原始分!$D:$N,7,0)</f>
        <v>51.5</v>
      </c>
      <c r="O129" s="174">
        <f t="shared" si="17"/>
        <v>150</v>
      </c>
      <c r="P129" s="174">
        <f>VLOOKUP(D129,原始分!$D:$N,8,0)</f>
        <v>0</v>
      </c>
      <c r="Q129" s="174">
        <f t="shared" si="18"/>
        <v>3</v>
      </c>
      <c r="R129" s="174">
        <f>VLOOKUP(D129,原始分!$D:$N,9,0)</f>
        <v>51.5</v>
      </c>
      <c r="S129" s="174">
        <f t="shared" si="19"/>
        <v>50</v>
      </c>
      <c r="T129" s="174">
        <f>VLOOKUP(D129,原始分!$D:$N,10,0)</f>
        <v>56.5</v>
      </c>
      <c r="U129" s="174">
        <f t="shared" si="20"/>
        <v>127</v>
      </c>
      <c r="V129" s="174">
        <f>VLOOKUP(D129,原始分!$D:$N,11,0)</f>
        <v>0</v>
      </c>
      <c r="W129" s="174">
        <f t="shared" si="21"/>
        <v>105</v>
      </c>
      <c r="X129" s="11">
        <f t="shared" si="22"/>
        <v>294.5</v>
      </c>
      <c r="Y129" s="9">
        <f t="shared" si="23"/>
        <v>116</v>
      </c>
      <c r="Z129" s="11">
        <f t="shared" si="24"/>
        <v>454</v>
      </c>
      <c r="AA129" s="9">
        <f t="shared" si="25"/>
        <v>125</v>
      </c>
    </row>
    <row r="130" ht="14.25" spans="1:27">
      <c r="A130" s="13">
        <v>863</v>
      </c>
      <c r="B130" s="15">
        <v>18</v>
      </c>
      <c r="C130" s="16">
        <v>47</v>
      </c>
      <c r="D130" s="15" t="s">
        <v>1724</v>
      </c>
      <c r="E130" s="15" t="s">
        <v>1725</v>
      </c>
      <c r="F130" s="174">
        <f>VLOOKUP(D130,原始分!$D:$N,3,0)</f>
        <v>104</v>
      </c>
      <c r="G130" s="174">
        <f t="shared" si="13"/>
        <v>80</v>
      </c>
      <c r="H130" s="174">
        <f>VLOOKUP(D130,原始分!$D:$N,4,0)</f>
        <v>77</v>
      </c>
      <c r="I130" s="174">
        <f t="shared" si="14"/>
        <v>166</v>
      </c>
      <c r="J130" s="174">
        <f>VLOOKUP(D130,原始分!$D:$N,5,0)</f>
        <v>100</v>
      </c>
      <c r="K130" s="174">
        <f t="shared" si="15"/>
        <v>126</v>
      </c>
      <c r="L130" s="174">
        <f>VLOOKUP(D130,原始分!$D:$N,6,0)</f>
        <v>0</v>
      </c>
      <c r="M130" s="174">
        <f t="shared" si="16"/>
        <v>1</v>
      </c>
      <c r="N130" s="174">
        <f>VLOOKUP(D130,原始分!$D:$N,7,0)</f>
        <v>53.5</v>
      </c>
      <c r="O130" s="174">
        <f t="shared" si="17"/>
        <v>136</v>
      </c>
      <c r="P130" s="174">
        <f>VLOOKUP(D130,原始分!$D:$N,8,0)</f>
        <v>0</v>
      </c>
      <c r="Q130" s="174">
        <f t="shared" si="18"/>
        <v>3</v>
      </c>
      <c r="R130" s="174">
        <f>VLOOKUP(D130,原始分!$D:$N,9,0)</f>
        <v>60</v>
      </c>
      <c r="S130" s="174">
        <f t="shared" si="19"/>
        <v>12</v>
      </c>
      <c r="T130" s="174">
        <f>VLOOKUP(D130,原始分!$D:$N,10,0)</f>
        <v>58.5</v>
      </c>
      <c r="U130" s="174">
        <f t="shared" si="20"/>
        <v>100</v>
      </c>
      <c r="V130" s="174">
        <f>VLOOKUP(D130,原始分!$D:$N,11,0)</f>
        <v>0</v>
      </c>
      <c r="W130" s="174">
        <f t="shared" si="21"/>
        <v>105</v>
      </c>
      <c r="X130" s="11">
        <f t="shared" si="22"/>
        <v>281</v>
      </c>
      <c r="Y130" s="9">
        <f t="shared" si="23"/>
        <v>150</v>
      </c>
      <c r="Z130" s="11">
        <f t="shared" si="24"/>
        <v>453</v>
      </c>
      <c r="AA130" s="9">
        <f t="shared" si="25"/>
        <v>128</v>
      </c>
    </row>
    <row r="131" ht="14.25" spans="1:27">
      <c r="A131" s="13">
        <v>786</v>
      </c>
      <c r="B131" s="15">
        <v>17</v>
      </c>
      <c r="C131" s="16">
        <v>3</v>
      </c>
      <c r="D131" s="15" t="s">
        <v>1570</v>
      </c>
      <c r="E131" s="15" t="s">
        <v>1571</v>
      </c>
      <c r="F131" s="174">
        <f>VLOOKUP(D131,原始分!$D:$N,3,0)</f>
        <v>104</v>
      </c>
      <c r="G131" s="174">
        <f t="shared" ref="G131:G194" si="26">RANK(F131,$F$3:$F$208)</f>
        <v>80</v>
      </c>
      <c r="H131" s="174">
        <f>VLOOKUP(D131,原始分!$D:$N,4,0)</f>
        <v>90</v>
      </c>
      <c r="I131" s="174">
        <f t="shared" ref="I131:I194" si="27">RANK(H131,$H$3:$H$208)</f>
        <v>121</v>
      </c>
      <c r="J131" s="174">
        <f>VLOOKUP(D131,原始分!$D:$N,5,0)</f>
        <v>96.5</v>
      </c>
      <c r="K131" s="174">
        <f t="shared" ref="K131:K194" si="28">RANK(J131,$J$3:$J$208)</f>
        <v>142</v>
      </c>
      <c r="L131" s="174">
        <f>VLOOKUP(D131,原始分!$D:$N,6,0)</f>
        <v>0</v>
      </c>
      <c r="M131" s="174">
        <f t="shared" ref="M131:M194" si="29">RANK(L131,$L$3:$L$270)</f>
        <v>1</v>
      </c>
      <c r="N131" s="174">
        <f>VLOOKUP(D131,原始分!$D:$N,7,0)</f>
        <v>50.5</v>
      </c>
      <c r="O131" s="174">
        <f t="shared" ref="O131:O194" si="30">RANK(N131,$N$3:$N$270)</f>
        <v>164</v>
      </c>
      <c r="P131" s="174">
        <f>VLOOKUP(D131,原始分!$D:$N,8,0)</f>
        <v>0</v>
      </c>
      <c r="Q131" s="174">
        <f t="shared" ref="Q131:Q194" si="31">RANK(P131,$P$3:$P$270)</f>
        <v>3</v>
      </c>
      <c r="R131" s="174">
        <f>VLOOKUP(D131,原始分!$D:$N,9,0)</f>
        <v>51.5</v>
      </c>
      <c r="S131" s="174">
        <f t="shared" ref="S131:S194" si="32">RANK(R131,$R$3:$R$270)</f>
        <v>50</v>
      </c>
      <c r="T131" s="174">
        <f>VLOOKUP(D131,原始分!$D:$N,10,0)</f>
        <v>60</v>
      </c>
      <c r="U131" s="174">
        <f t="shared" ref="U131:U194" si="33">RANK(T131,$T$3:$T$270)</f>
        <v>82</v>
      </c>
      <c r="V131" s="174">
        <f>VLOOKUP(D131,原始分!$D:$N,11,0)</f>
        <v>0</v>
      </c>
      <c r="W131" s="174">
        <f t="shared" ref="W131:W194" si="34">RANK(V131,$V$3:$V$270)</f>
        <v>105</v>
      </c>
      <c r="X131" s="11">
        <f t="shared" ref="X131:X194" si="35">SUM(F131,H131,J131)</f>
        <v>290.5</v>
      </c>
      <c r="Y131" s="9">
        <f t="shared" ref="Y131:Y194" si="36">RANK(X131,$X$3:$X$270)</f>
        <v>127</v>
      </c>
      <c r="Z131" s="11">
        <f t="shared" ref="Z131:Z194" si="37">SUM(F131,H131,J131,L131,N131,P131,R131,T131,V131)</f>
        <v>452.5</v>
      </c>
      <c r="AA131" s="9">
        <f t="shared" ref="AA131:AA194" si="38">RANK(Z131,$Z$3:$Z$270)</f>
        <v>129</v>
      </c>
    </row>
    <row r="132" ht="14.25" spans="1:27">
      <c r="A132" s="13">
        <v>789</v>
      </c>
      <c r="B132" s="15">
        <v>17</v>
      </c>
      <c r="C132" s="16">
        <v>10</v>
      </c>
      <c r="D132" s="15" t="s">
        <v>1576</v>
      </c>
      <c r="E132" s="15" t="s">
        <v>1577</v>
      </c>
      <c r="F132" s="174">
        <f>VLOOKUP(D132,原始分!$D:$N,3,0)</f>
        <v>104.5</v>
      </c>
      <c r="G132" s="174">
        <f t="shared" si="26"/>
        <v>73</v>
      </c>
      <c r="H132" s="174">
        <f>VLOOKUP(D132,原始分!$D:$N,4,0)</f>
        <v>88.5</v>
      </c>
      <c r="I132" s="174">
        <f t="shared" si="27"/>
        <v>128</v>
      </c>
      <c r="J132" s="174">
        <f>VLOOKUP(D132,原始分!$D:$N,5,0)</f>
        <v>76.5</v>
      </c>
      <c r="K132" s="174">
        <f t="shared" si="28"/>
        <v>199</v>
      </c>
      <c r="L132" s="174">
        <f>VLOOKUP(D132,原始分!$D:$N,6,0)</f>
        <v>0</v>
      </c>
      <c r="M132" s="174">
        <f t="shared" si="29"/>
        <v>1</v>
      </c>
      <c r="N132" s="174">
        <f>VLOOKUP(D132,原始分!$D:$N,7,0)</f>
        <v>64.5</v>
      </c>
      <c r="O132" s="174">
        <f t="shared" si="30"/>
        <v>32</v>
      </c>
      <c r="P132" s="174">
        <f>VLOOKUP(D132,原始分!$D:$N,8,0)</f>
        <v>0</v>
      </c>
      <c r="Q132" s="174">
        <f t="shared" si="31"/>
        <v>3</v>
      </c>
      <c r="R132" s="174">
        <f>VLOOKUP(D132,原始分!$D:$N,9,0)</f>
        <v>55.5</v>
      </c>
      <c r="S132" s="174">
        <f t="shared" si="32"/>
        <v>27</v>
      </c>
      <c r="T132" s="174">
        <f>VLOOKUP(D132,原始分!$D:$N,10,0)</f>
        <v>63</v>
      </c>
      <c r="U132" s="174">
        <f t="shared" si="33"/>
        <v>57</v>
      </c>
      <c r="V132" s="174">
        <f>VLOOKUP(D132,原始分!$D:$N,11,0)</f>
        <v>0</v>
      </c>
      <c r="W132" s="174">
        <f t="shared" si="34"/>
        <v>105</v>
      </c>
      <c r="X132" s="11">
        <f t="shared" si="35"/>
        <v>269.5</v>
      </c>
      <c r="Y132" s="9">
        <f t="shared" si="36"/>
        <v>175</v>
      </c>
      <c r="Z132" s="11">
        <f t="shared" si="37"/>
        <v>452.5</v>
      </c>
      <c r="AA132" s="9">
        <f t="shared" si="38"/>
        <v>129</v>
      </c>
    </row>
    <row r="133" ht="14.25" spans="1:27">
      <c r="A133" s="13">
        <v>695</v>
      </c>
      <c r="B133" s="15">
        <v>14</v>
      </c>
      <c r="C133" s="16">
        <v>37</v>
      </c>
      <c r="D133" s="15" t="s">
        <v>1395</v>
      </c>
      <c r="E133" s="15" t="s">
        <v>1396</v>
      </c>
      <c r="F133" s="174">
        <f>VLOOKUP(D133,原始分!$D:$N,3,0)</f>
        <v>102.5</v>
      </c>
      <c r="G133" s="174">
        <f t="shared" si="26"/>
        <v>97</v>
      </c>
      <c r="H133" s="174">
        <f>VLOOKUP(D133,原始分!$D:$N,4,0)</f>
        <v>91</v>
      </c>
      <c r="I133" s="174">
        <f t="shared" si="27"/>
        <v>114</v>
      </c>
      <c r="J133" s="174">
        <f>VLOOKUP(D133,原始分!$D:$N,5,0)</f>
        <v>97</v>
      </c>
      <c r="K133" s="174">
        <f t="shared" si="28"/>
        <v>140</v>
      </c>
      <c r="L133" s="174">
        <f>VLOOKUP(D133,原始分!$D:$N,6,0)</f>
        <v>0</v>
      </c>
      <c r="M133" s="174">
        <f t="shared" si="29"/>
        <v>1</v>
      </c>
      <c r="N133" s="174">
        <f>VLOOKUP(D133,原始分!$D:$N,7,0)</f>
        <v>59.5</v>
      </c>
      <c r="O133" s="174">
        <f t="shared" si="30"/>
        <v>69</v>
      </c>
      <c r="P133" s="174">
        <f>VLOOKUP(D133,原始分!$D:$N,8,0)</f>
        <v>0</v>
      </c>
      <c r="Q133" s="174">
        <f t="shared" si="31"/>
        <v>3</v>
      </c>
      <c r="R133" s="174">
        <f>VLOOKUP(D133,原始分!$D:$N,9,0)</f>
        <v>0</v>
      </c>
      <c r="S133" s="174">
        <f t="shared" si="32"/>
        <v>103</v>
      </c>
      <c r="T133" s="174">
        <f>VLOOKUP(D133,原始分!$D:$N,10,0)</f>
        <v>58.5</v>
      </c>
      <c r="U133" s="174">
        <f t="shared" si="33"/>
        <v>100</v>
      </c>
      <c r="V133" s="174">
        <f>VLOOKUP(D133,原始分!$D:$N,11,0)</f>
        <v>43</v>
      </c>
      <c r="W133" s="174">
        <f t="shared" si="34"/>
        <v>85</v>
      </c>
      <c r="X133" s="11">
        <f t="shared" si="35"/>
        <v>290.5</v>
      </c>
      <c r="Y133" s="9">
        <f t="shared" si="36"/>
        <v>127</v>
      </c>
      <c r="Z133" s="11">
        <f t="shared" si="37"/>
        <v>451.5</v>
      </c>
      <c r="AA133" s="9">
        <f t="shared" si="38"/>
        <v>131</v>
      </c>
    </row>
    <row r="134" ht="14.25" spans="1:27">
      <c r="A134" s="13">
        <v>673</v>
      </c>
      <c r="B134" s="15">
        <v>14</v>
      </c>
      <c r="C134" s="16">
        <v>13</v>
      </c>
      <c r="D134" s="15" t="s">
        <v>1352</v>
      </c>
      <c r="E134" s="15" t="s">
        <v>1353</v>
      </c>
      <c r="F134" s="174">
        <f>VLOOKUP(D134,原始分!$D:$N,3,0)</f>
        <v>103</v>
      </c>
      <c r="G134" s="174">
        <f t="shared" si="26"/>
        <v>93</v>
      </c>
      <c r="H134" s="174">
        <f>VLOOKUP(D134,原始分!$D:$N,4,0)</f>
        <v>105</v>
      </c>
      <c r="I134" s="174">
        <f t="shared" si="27"/>
        <v>47</v>
      </c>
      <c r="J134" s="174">
        <f>VLOOKUP(D134,原始分!$D:$N,5,0)</f>
        <v>88.5</v>
      </c>
      <c r="K134" s="174">
        <f t="shared" si="28"/>
        <v>170</v>
      </c>
      <c r="L134" s="174">
        <f>VLOOKUP(D134,原始分!$D:$N,6,0)</f>
        <v>0</v>
      </c>
      <c r="M134" s="174">
        <f t="shared" si="29"/>
        <v>1</v>
      </c>
      <c r="N134" s="174">
        <f>VLOOKUP(D134,原始分!$D:$N,7,0)</f>
        <v>64.5</v>
      </c>
      <c r="O134" s="174">
        <f t="shared" si="30"/>
        <v>32</v>
      </c>
      <c r="P134" s="174">
        <f>VLOOKUP(D134,原始分!$D:$N,8,0)</f>
        <v>0</v>
      </c>
      <c r="Q134" s="174">
        <f t="shared" si="31"/>
        <v>3</v>
      </c>
      <c r="R134" s="174">
        <f>VLOOKUP(D134,原始分!$D:$N,9,0)</f>
        <v>0</v>
      </c>
      <c r="S134" s="174">
        <f t="shared" si="32"/>
        <v>103</v>
      </c>
      <c r="T134" s="174">
        <f>VLOOKUP(D134,原始分!$D:$N,10,0)</f>
        <v>45</v>
      </c>
      <c r="U134" s="174">
        <f t="shared" si="33"/>
        <v>191</v>
      </c>
      <c r="V134" s="174">
        <f>VLOOKUP(D134,原始分!$D:$N,11,0)</f>
        <v>44.5</v>
      </c>
      <c r="W134" s="174">
        <f t="shared" si="34"/>
        <v>82</v>
      </c>
      <c r="X134" s="11">
        <f t="shared" si="35"/>
        <v>296.5</v>
      </c>
      <c r="Y134" s="9">
        <f t="shared" si="36"/>
        <v>108</v>
      </c>
      <c r="Z134" s="11">
        <f t="shared" si="37"/>
        <v>450.5</v>
      </c>
      <c r="AA134" s="9">
        <f t="shared" si="38"/>
        <v>132</v>
      </c>
    </row>
    <row r="135" ht="14.25" spans="1:27">
      <c r="A135" s="13">
        <v>685</v>
      </c>
      <c r="B135" s="15">
        <v>14</v>
      </c>
      <c r="C135" s="16">
        <v>26</v>
      </c>
      <c r="D135" s="15" t="s">
        <v>1376</v>
      </c>
      <c r="E135" s="15" t="s">
        <v>1377</v>
      </c>
      <c r="F135" s="174">
        <f>VLOOKUP(D135,原始分!$D:$N,3,0)</f>
        <v>90.5</v>
      </c>
      <c r="G135" s="174">
        <f t="shared" si="26"/>
        <v>195</v>
      </c>
      <c r="H135" s="174">
        <f>VLOOKUP(D135,原始分!$D:$N,4,0)</f>
        <v>86</v>
      </c>
      <c r="I135" s="174">
        <f t="shared" si="27"/>
        <v>143</v>
      </c>
      <c r="J135" s="174">
        <f>VLOOKUP(D135,原始分!$D:$N,5,0)</f>
        <v>106.5</v>
      </c>
      <c r="K135" s="174">
        <f t="shared" si="28"/>
        <v>91</v>
      </c>
      <c r="L135" s="174">
        <f>VLOOKUP(D135,原始分!$D:$N,6,0)</f>
        <v>0</v>
      </c>
      <c r="M135" s="174">
        <f t="shared" si="29"/>
        <v>1</v>
      </c>
      <c r="N135" s="174">
        <f>VLOOKUP(D135,原始分!$D:$N,7,0)</f>
        <v>70.5</v>
      </c>
      <c r="O135" s="174">
        <f t="shared" si="30"/>
        <v>7</v>
      </c>
      <c r="P135" s="174">
        <f>VLOOKUP(D135,原始分!$D:$N,8,0)</f>
        <v>0</v>
      </c>
      <c r="Q135" s="174">
        <f t="shared" si="31"/>
        <v>3</v>
      </c>
      <c r="R135" s="174">
        <f>VLOOKUP(D135,原始分!$D:$N,9,0)</f>
        <v>0</v>
      </c>
      <c r="S135" s="174">
        <f t="shared" si="32"/>
        <v>103</v>
      </c>
      <c r="T135" s="174">
        <f>VLOOKUP(D135,原始分!$D:$N,10,0)</f>
        <v>51</v>
      </c>
      <c r="U135" s="174">
        <f t="shared" si="33"/>
        <v>169</v>
      </c>
      <c r="V135" s="174">
        <f>VLOOKUP(D135,原始分!$D:$N,11,0)</f>
        <v>45</v>
      </c>
      <c r="W135" s="174">
        <f t="shared" si="34"/>
        <v>79</v>
      </c>
      <c r="X135" s="11">
        <f t="shared" si="35"/>
        <v>283</v>
      </c>
      <c r="Y135" s="9">
        <f t="shared" si="36"/>
        <v>145</v>
      </c>
      <c r="Z135" s="11">
        <f t="shared" si="37"/>
        <v>449.5</v>
      </c>
      <c r="AA135" s="9">
        <f t="shared" si="38"/>
        <v>133</v>
      </c>
    </row>
    <row r="136" ht="14.25" spans="1:27">
      <c r="A136" s="13">
        <v>851</v>
      </c>
      <c r="B136" s="15">
        <v>18</v>
      </c>
      <c r="C136" s="16">
        <v>31</v>
      </c>
      <c r="D136" s="15" t="s">
        <v>1700</v>
      </c>
      <c r="E136" s="15" t="s">
        <v>1701</v>
      </c>
      <c r="F136" s="174">
        <f>VLOOKUP(D136,原始分!$D:$N,3,0)</f>
        <v>107.5</v>
      </c>
      <c r="G136" s="174">
        <f t="shared" si="26"/>
        <v>40</v>
      </c>
      <c r="H136" s="174">
        <f>VLOOKUP(D136,原始分!$D:$N,4,0)</f>
        <v>92.5</v>
      </c>
      <c r="I136" s="174">
        <f t="shared" si="27"/>
        <v>108</v>
      </c>
      <c r="J136" s="174">
        <f>VLOOKUP(D136,原始分!$D:$N,5,0)</f>
        <v>96.5</v>
      </c>
      <c r="K136" s="174">
        <f t="shared" si="28"/>
        <v>142</v>
      </c>
      <c r="L136" s="174">
        <f>VLOOKUP(D136,原始分!$D:$N,6,0)</f>
        <v>0</v>
      </c>
      <c r="M136" s="174">
        <f t="shared" si="29"/>
        <v>1</v>
      </c>
      <c r="N136" s="174">
        <f>VLOOKUP(D136,原始分!$D:$N,7,0)</f>
        <v>59</v>
      </c>
      <c r="O136" s="174">
        <f t="shared" si="30"/>
        <v>77</v>
      </c>
      <c r="P136" s="174">
        <f>VLOOKUP(D136,原始分!$D:$N,8,0)</f>
        <v>0</v>
      </c>
      <c r="Q136" s="174">
        <f t="shared" si="31"/>
        <v>3</v>
      </c>
      <c r="R136" s="174">
        <f>VLOOKUP(D136,原始分!$D:$N,9,0)</f>
        <v>44.5</v>
      </c>
      <c r="S136" s="174">
        <f t="shared" si="32"/>
        <v>84</v>
      </c>
      <c r="T136" s="174">
        <f>VLOOKUP(D136,原始分!$D:$N,10,0)</f>
        <v>49.5</v>
      </c>
      <c r="U136" s="174">
        <f t="shared" si="33"/>
        <v>173</v>
      </c>
      <c r="V136" s="174">
        <f>VLOOKUP(D136,原始分!$D:$N,11,0)</f>
        <v>0</v>
      </c>
      <c r="W136" s="174">
        <f t="shared" si="34"/>
        <v>105</v>
      </c>
      <c r="X136" s="11">
        <f t="shared" si="35"/>
        <v>296.5</v>
      </c>
      <c r="Y136" s="9">
        <f t="shared" si="36"/>
        <v>108</v>
      </c>
      <c r="Z136" s="11">
        <f t="shared" si="37"/>
        <v>449.5</v>
      </c>
      <c r="AA136" s="9">
        <f t="shared" si="38"/>
        <v>133</v>
      </c>
    </row>
    <row r="137" ht="14.25" spans="1:27">
      <c r="A137" s="13">
        <v>837</v>
      </c>
      <c r="B137" s="15">
        <v>18</v>
      </c>
      <c r="C137" s="16">
        <v>17</v>
      </c>
      <c r="D137" s="15" t="s">
        <v>1672</v>
      </c>
      <c r="E137" s="15" t="s">
        <v>1673</v>
      </c>
      <c r="F137" s="174">
        <f>VLOOKUP(D137,原始分!$D:$N,3,0)</f>
        <v>99</v>
      </c>
      <c r="G137" s="174">
        <f t="shared" si="26"/>
        <v>139</v>
      </c>
      <c r="H137" s="174">
        <f>VLOOKUP(D137,原始分!$D:$N,4,0)</f>
        <v>101.5</v>
      </c>
      <c r="I137" s="174">
        <f t="shared" si="27"/>
        <v>64</v>
      </c>
      <c r="J137" s="174">
        <f>VLOOKUP(D137,原始分!$D:$N,5,0)</f>
        <v>99</v>
      </c>
      <c r="K137" s="174">
        <f t="shared" si="28"/>
        <v>131</v>
      </c>
      <c r="L137" s="174">
        <f>VLOOKUP(D137,原始分!$D:$N,6,0)</f>
        <v>0</v>
      </c>
      <c r="M137" s="174">
        <f t="shared" si="29"/>
        <v>1</v>
      </c>
      <c r="N137" s="174">
        <f>VLOOKUP(D137,原始分!$D:$N,7,0)</f>
        <v>43.5</v>
      </c>
      <c r="O137" s="174">
        <f t="shared" si="30"/>
        <v>197</v>
      </c>
      <c r="P137" s="174">
        <f>VLOOKUP(D137,原始分!$D:$N,8,0)</f>
        <v>0</v>
      </c>
      <c r="Q137" s="174">
        <f t="shared" si="31"/>
        <v>3</v>
      </c>
      <c r="R137" s="174">
        <f>VLOOKUP(D137,原始分!$D:$N,9,0)</f>
        <v>52</v>
      </c>
      <c r="S137" s="174">
        <f t="shared" si="32"/>
        <v>47</v>
      </c>
      <c r="T137" s="174">
        <f>VLOOKUP(D137,原始分!$D:$N,10,0)</f>
        <v>54</v>
      </c>
      <c r="U137" s="174">
        <f t="shared" si="33"/>
        <v>145</v>
      </c>
      <c r="V137" s="174">
        <f>VLOOKUP(D137,原始分!$D:$N,11,0)</f>
        <v>0</v>
      </c>
      <c r="W137" s="174">
        <f t="shared" si="34"/>
        <v>105</v>
      </c>
      <c r="X137" s="11">
        <f t="shared" si="35"/>
        <v>299.5</v>
      </c>
      <c r="Y137" s="9">
        <f t="shared" si="36"/>
        <v>98</v>
      </c>
      <c r="Z137" s="11">
        <f t="shared" si="37"/>
        <v>449</v>
      </c>
      <c r="AA137" s="9">
        <f t="shared" si="38"/>
        <v>135</v>
      </c>
    </row>
    <row r="138" ht="14.25" spans="1:27">
      <c r="A138" s="13">
        <v>693</v>
      </c>
      <c r="B138" s="15">
        <v>14</v>
      </c>
      <c r="C138" s="16">
        <v>35</v>
      </c>
      <c r="D138" s="15" t="s">
        <v>1391</v>
      </c>
      <c r="E138" s="15" t="s">
        <v>1392</v>
      </c>
      <c r="F138" s="174">
        <f>VLOOKUP(D138,原始分!$D:$N,3,0)</f>
        <v>100</v>
      </c>
      <c r="G138" s="174">
        <f t="shared" si="26"/>
        <v>127</v>
      </c>
      <c r="H138" s="174">
        <f>VLOOKUP(D138,原始分!$D:$N,4,0)</f>
        <v>100</v>
      </c>
      <c r="I138" s="174">
        <f t="shared" si="27"/>
        <v>69</v>
      </c>
      <c r="J138" s="174">
        <f>VLOOKUP(D138,原始分!$D:$N,5,0)</f>
        <v>92</v>
      </c>
      <c r="K138" s="174">
        <f t="shared" si="28"/>
        <v>159</v>
      </c>
      <c r="L138" s="174">
        <f>VLOOKUP(D138,原始分!$D:$N,6,0)</f>
        <v>0</v>
      </c>
      <c r="M138" s="174">
        <f t="shared" si="29"/>
        <v>1</v>
      </c>
      <c r="N138" s="174">
        <f>VLOOKUP(D138,原始分!$D:$N,7,0)</f>
        <v>62.5</v>
      </c>
      <c r="O138" s="174">
        <f t="shared" si="30"/>
        <v>45</v>
      </c>
      <c r="P138" s="174">
        <f>VLOOKUP(D138,原始分!$D:$N,8,0)</f>
        <v>0</v>
      </c>
      <c r="Q138" s="174">
        <f t="shared" si="31"/>
        <v>3</v>
      </c>
      <c r="R138" s="174">
        <f>VLOOKUP(D138,原始分!$D:$N,9,0)</f>
        <v>0</v>
      </c>
      <c r="S138" s="174">
        <f t="shared" si="32"/>
        <v>103</v>
      </c>
      <c r="T138" s="174">
        <f>VLOOKUP(D138,原始分!$D:$N,10,0)</f>
        <v>48.5</v>
      </c>
      <c r="U138" s="174">
        <f t="shared" si="33"/>
        <v>179</v>
      </c>
      <c r="V138" s="174">
        <f>VLOOKUP(D138,原始分!$D:$N,11,0)</f>
        <v>45.5</v>
      </c>
      <c r="W138" s="174">
        <f t="shared" si="34"/>
        <v>74</v>
      </c>
      <c r="X138" s="11">
        <f t="shared" si="35"/>
        <v>292</v>
      </c>
      <c r="Y138" s="9">
        <f t="shared" si="36"/>
        <v>123</v>
      </c>
      <c r="Z138" s="11">
        <f t="shared" si="37"/>
        <v>448.5</v>
      </c>
      <c r="AA138" s="9">
        <f t="shared" si="38"/>
        <v>136</v>
      </c>
    </row>
    <row r="139" ht="14.25" spans="1:27">
      <c r="A139" s="13">
        <v>735</v>
      </c>
      <c r="B139" s="15">
        <v>15</v>
      </c>
      <c r="C139" s="16">
        <v>35</v>
      </c>
      <c r="D139" s="15" t="s">
        <v>1472</v>
      </c>
      <c r="E139" s="15" t="s">
        <v>1473</v>
      </c>
      <c r="F139" s="174">
        <f>VLOOKUP(D139,原始分!$D:$N,3,0)</f>
        <v>108</v>
      </c>
      <c r="G139" s="174">
        <f t="shared" si="26"/>
        <v>34</v>
      </c>
      <c r="H139" s="174">
        <f>VLOOKUP(D139,原始分!$D:$N,4,0)</f>
        <v>87</v>
      </c>
      <c r="I139" s="174">
        <f t="shared" si="27"/>
        <v>138</v>
      </c>
      <c r="J139" s="174">
        <f>VLOOKUP(D139,原始分!$D:$N,5,0)</f>
        <v>92</v>
      </c>
      <c r="K139" s="174">
        <f t="shared" si="28"/>
        <v>159</v>
      </c>
      <c r="L139" s="174">
        <f>VLOOKUP(D139,原始分!$D:$N,6,0)</f>
        <v>0</v>
      </c>
      <c r="M139" s="174">
        <f t="shared" si="29"/>
        <v>1</v>
      </c>
      <c r="N139" s="174">
        <f>VLOOKUP(D139,原始分!$D:$N,7,0)</f>
        <v>58</v>
      </c>
      <c r="O139" s="174">
        <f t="shared" si="30"/>
        <v>84</v>
      </c>
      <c r="P139" s="174">
        <f>VLOOKUP(D139,原始分!$D:$N,8,0)</f>
        <v>0</v>
      </c>
      <c r="Q139" s="174">
        <f t="shared" si="31"/>
        <v>3</v>
      </c>
      <c r="R139" s="174">
        <f>VLOOKUP(D139,原始分!$D:$N,9,0)</f>
        <v>0</v>
      </c>
      <c r="S139" s="174">
        <f t="shared" si="32"/>
        <v>103</v>
      </c>
      <c r="T139" s="174">
        <f>VLOOKUP(D139,原始分!$D:$N,10,0)</f>
        <v>56</v>
      </c>
      <c r="U139" s="174">
        <f t="shared" si="33"/>
        <v>132</v>
      </c>
      <c r="V139" s="174">
        <f>VLOOKUP(D139,原始分!$D:$N,11,0)</f>
        <v>47.5</v>
      </c>
      <c r="W139" s="174">
        <f t="shared" si="34"/>
        <v>67</v>
      </c>
      <c r="X139" s="11">
        <f t="shared" si="35"/>
        <v>287</v>
      </c>
      <c r="Y139" s="9">
        <f t="shared" si="36"/>
        <v>137</v>
      </c>
      <c r="Z139" s="11">
        <f t="shared" si="37"/>
        <v>448.5</v>
      </c>
      <c r="AA139" s="9">
        <f t="shared" si="38"/>
        <v>136</v>
      </c>
    </row>
    <row r="140" ht="14.25" spans="1:27">
      <c r="A140" s="13">
        <v>741</v>
      </c>
      <c r="B140" s="15">
        <v>15</v>
      </c>
      <c r="C140" s="16">
        <v>41</v>
      </c>
      <c r="D140" s="15" t="s">
        <v>1484</v>
      </c>
      <c r="E140" s="15" t="s">
        <v>1485</v>
      </c>
      <c r="F140" s="174">
        <f>VLOOKUP(D140,原始分!$D:$N,3,0)</f>
        <v>115.25</v>
      </c>
      <c r="G140" s="174">
        <f t="shared" si="26"/>
        <v>6</v>
      </c>
      <c r="H140" s="174">
        <f>VLOOKUP(D140,原始分!$D:$N,4,0)</f>
        <v>70</v>
      </c>
      <c r="I140" s="174">
        <f t="shared" si="27"/>
        <v>181</v>
      </c>
      <c r="J140" s="174">
        <f>VLOOKUP(D140,原始分!$D:$N,5,0)</f>
        <v>98</v>
      </c>
      <c r="K140" s="174">
        <f t="shared" si="28"/>
        <v>136</v>
      </c>
      <c r="L140" s="174">
        <f>VLOOKUP(D140,原始分!$D:$N,6,0)</f>
        <v>0</v>
      </c>
      <c r="M140" s="174">
        <f t="shared" si="29"/>
        <v>1</v>
      </c>
      <c r="N140" s="174">
        <f>VLOOKUP(D140,原始分!$D:$N,7,0)</f>
        <v>54.5</v>
      </c>
      <c r="O140" s="174">
        <f t="shared" si="30"/>
        <v>128</v>
      </c>
      <c r="P140" s="174">
        <f>VLOOKUP(D140,原始分!$D:$N,8,0)</f>
        <v>0</v>
      </c>
      <c r="Q140" s="174">
        <f t="shared" si="31"/>
        <v>3</v>
      </c>
      <c r="R140" s="174">
        <f>VLOOKUP(D140,原始分!$D:$N,9,0)</f>
        <v>0</v>
      </c>
      <c r="S140" s="174">
        <f t="shared" si="32"/>
        <v>103</v>
      </c>
      <c r="T140" s="174">
        <f>VLOOKUP(D140,原始分!$D:$N,10,0)</f>
        <v>58.5</v>
      </c>
      <c r="U140" s="174">
        <f t="shared" si="33"/>
        <v>100</v>
      </c>
      <c r="V140" s="174">
        <f>VLOOKUP(D140,原始分!$D:$N,11,0)</f>
        <v>51.5</v>
      </c>
      <c r="W140" s="174">
        <f t="shared" si="34"/>
        <v>50</v>
      </c>
      <c r="X140" s="11">
        <f t="shared" si="35"/>
        <v>283.25</v>
      </c>
      <c r="Y140" s="9">
        <f t="shared" si="36"/>
        <v>144</v>
      </c>
      <c r="Z140" s="11">
        <f t="shared" si="37"/>
        <v>447.75</v>
      </c>
      <c r="AA140" s="9">
        <f t="shared" si="38"/>
        <v>138</v>
      </c>
    </row>
    <row r="141" ht="14.25" spans="1:27">
      <c r="A141" s="13">
        <v>788</v>
      </c>
      <c r="B141" s="15">
        <v>17</v>
      </c>
      <c r="C141" s="16">
        <v>7</v>
      </c>
      <c r="D141" s="15" t="s">
        <v>1574</v>
      </c>
      <c r="E141" s="15" t="s">
        <v>1575</v>
      </c>
      <c r="F141" s="174">
        <f>VLOOKUP(D141,原始分!$D:$N,3,0)</f>
        <v>102.25</v>
      </c>
      <c r="G141" s="174">
        <f t="shared" si="26"/>
        <v>104</v>
      </c>
      <c r="H141" s="174">
        <f>VLOOKUP(D141,原始分!$D:$N,4,0)</f>
        <v>99</v>
      </c>
      <c r="I141" s="174">
        <f t="shared" si="27"/>
        <v>75</v>
      </c>
      <c r="J141" s="174">
        <f>VLOOKUP(D141,原始分!$D:$N,5,0)</f>
        <v>89.25</v>
      </c>
      <c r="K141" s="174">
        <f t="shared" si="28"/>
        <v>167</v>
      </c>
      <c r="L141" s="174">
        <f>VLOOKUP(D141,原始分!$D:$N,6,0)</f>
        <v>0</v>
      </c>
      <c r="M141" s="174">
        <f t="shared" si="29"/>
        <v>1</v>
      </c>
      <c r="N141" s="174">
        <f>VLOOKUP(D141,原始分!$D:$N,7,0)</f>
        <v>56</v>
      </c>
      <c r="O141" s="174">
        <f t="shared" si="30"/>
        <v>107</v>
      </c>
      <c r="P141" s="174">
        <f>VLOOKUP(D141,原始分!$D:$N,8,0)</f>
        <v>0</v>
      </c>
      <c r="Q141" s="174">
        <f t="shared" si="31"/>
        <v>3</v>
      </c>
      <c r="R141" s="174">
        <f>VLOOKUP(D141,原始分!$D:$N,9,0)</f>
        <v>52.5</v>
      </c>
      <c r="S141" s="174">
        <f t="shared" si="32"/>
        <v>46</v>
      </c>
      <c r="T141" s="174">
        <f>VLOOKUP(D141,原始分!$D:$N,10,0)</f>
        <v>47.5</v>
      </c>
      <c r="U141" s="174">
        <f t="shared" si="33"/>
        <v>186</v>
      </c>
      <c r="V141" s="174">
        <f>VLOOKUP(D141,原始分!$D:$N,11,0)</f>
        <v>0</v>
      </c>
      <c r="W141" s="174">
        <f t="shared" si="34"/>
        <v>105</v>
      </c>
      <c r="X141" s="11">
        <f t="shared" si="35"/>
        <v>290.5</v>
      </c>
      <c r="Y141" s="9">
        <f t="shared" si="36"/>
        <v>127</v>
      </c>
      <c r="Z141" s="11">
        <f t="shared" si="37"/>
        <v>446.5</v>
      </c>
      <c r="AA141" s="9">
        <f t="shared" si="38"/>
        <v>139</v>
      </c>
    </row>
    <row r="142" ht="14.25" spans="1:27">
      <c r="A142" s="13">
        <v>841</v>
      </c>
      <c r="B142" s="15">
        <v>18</v>
      </c>
      <c r="C142" s="16">
        <v>21</v>
      </c>
      <c r="D142" s="15" t="s">
        <v>1680</v>
      </c>
      <c r="E142" s="15" t="s">
        <v>1681</v>
      </c>
      <c r="F142" s="174">
        <f>VLOOKUP(D142,原始分!$D:$N,3,0)</f>
        <v>102.5</v>
      </c>
      <c r="G142" s="174">
        <f t="shared" si="26"/>
        <v>97</v>
      </c>
      <c r="H142" s="174">
        <f>VLOOKUP(D142,原始分!$D:$N,4,0)</f>
        <v>78</v>
      </c>
      <c r="I142" s="174">
        <f t="shared" si="27"/>
        <v>162</v>
      </c>
      <c r="J142" s="174">
        <f>VLOOKUP(D142,原始分!$D:$N,5,0)</f>
        <v>111.5</v>
      </c>
      <c r="K142" s="174">
        <f t="shared" si="28"/>
        <v>63</v>
      </c>
      <c r="L142" s="174">
        <f>VLOOKUP(D142,原始分!$D:$N,6,0)</f>
        <v>0</v>
      </c>
      <c r="M142" s="174">
        <f t="shared" si="29"/>
        <v>1</v>
      </c>
      <c r="N142" s="174">
        <f>VLOOKUP(D142,原始分!$D:$N,7,0)</f>
        <v>50</v>
      </c>
      <c r="O142" s="174">
        <f t="shared" si="30"/>
        <v>168</v>
      </c>
      <c r="P142" s="174">
        <f>VLOOKUP(D142,原始分!$D:$N,8,0)</f>
        <v>0</v>
      </c>
      <c r="Q142" s="174">
        <f t="shared" si="31"/>
        <v>3</v>
      </c>
      <c r="R142" s="174">
        <f>VLOOKUP(D142,原始分!$D:$N,9,0)</f>
        <v>50.5</v>
      </c>
      <c r="S142" s="174">
        <f t="shared" si="32"/>
        <v>55</v>
      </c>
      <c r="T142" s="174">
        <f>VLOOKUP(D142,原始分!$D:$N,10,0)</f>
        <v>53</v>
      </c>
      <c r="U142" s="174">
        <f t="shared" si="33"/>
        <v>156</v>
      </c>
      <c r="V142" s="174">
        <f>VLOOKUP(D142,原始分!$D:$N,11,0)</f>
        <v>0</v>
      </c>
      <c r="W142" s="174">
        <f t="shared" si="34"/>
        <v>105</v>
      </c>
      <c r="X142" s="11">
        <f t="shared" si="35"/>
        <v>292</v>
      </c>
      <c r="Y142" s="9">
        <f t="shared" si="36"/>
        <v>123</v>
      </c>
      <c r="Z142" s="11">
        <f t="shared" si="37"/>
        <v>445.5</v>
      </c>
      <c r="AA142" s="9">
        <f t="shared" si="38"/>
        <v>140</v>
      </c>
    </row>
    <row r="143" ht="14.25" spans="1:27">
      <c r="A143" s="13">
        <v>725</v>
      </c>
      <c r="B143" s="15">
        <v>15</v>
      </c>
      <c r="C143" s="16">
        <v>24</v>
      </c>
      <c r="D143" s="15" t="s">
        <v>1453</v>
      </c>
      <c r="E143" s="15" t="s">
        <v>1454</v>
      </c>
      <c r="F143" s="174">
        <f>VLOOKUP(D143,原始分!$D:$N,3,0)</f>
        <v>99.5</v>
      </c>
      <c r="G143" s="174">
        <f t="shared" si="26"/>
        <v>133</v>
      </c>
      <c r="H143" s="174">
        <f>VLOOKUP(D143,原始分!$D:$N,4,0)</f>
        <v>102</v>
      </c>
      <c r="I143" s="174">
        <f t="shared" si="27"/>
        <v>61</v>
      </c>
      <c r="J143" s="174">
        <f>VLOOKUP(D143,原始分!$D:$N,5,0)</f>
        <v>92.75</v>
      </c>
      <c r="K143" s="174">
        <f t="shared" si="28"/>
        <v>156</v>
      </c>
      <c r="L143" s="174">
        <f>VLOOKUP(D143,原始分!$D:$N,6,0)</f>
        <v>0</v>
      </c>
      <c r="M143" s="174">
        <f t="shared" si="29"/>
        <v>1</v>
      </c>
      <c r="N143" s="174">
        <f>VLOOKUP(D143,原始分!$D:$N,7,0)</f>
        <v>51</v>
      </c>
      <c r="O143" s="174">
        <f t="shared" si="30"/>
        <v>160</v>
      </c>
      <c r="P143" s="174">
        <f>VLOOKUP(D143,原始分!$D:$N,8,0)</f>
        <v>0</v>
      </c>
      <c r="Q143" s="174">
        <f t="shared" si="31"/>
        <v>3</v>
      </c>
      <c r="R143" s="174">
        <f>VLOOKUP(D143,原始分!$D:$N,9,0)</f>
        <v>0</v>
      </c>
      <c r="S143" s="174">
        <f t="shared" si="32"/>
        <v>103</v>
      </c>
      <c r="T143" s="174">
        <f>VLOOKUP(D143,原始分!$D:$N,10,0)</f>
        <v>52.5</v>
      </c>
      <c r="U143" s="174">
        <f t="shared" si="33"/>
        <v>160</v>
      </c>
      <c r="V143" s="174">
        <f>VLOOKUP(D143,原始分!$D:$N,11,0)</f>
        <v>47.5</v>
      </c>
      <c r="W143" s="174">
        <f t="shared" si="34"/>
        <v>67</v>
      </c>
      <c r="X143" s="11">
        <f t="shared" si="35"/>
        <v>294.25</v>
      </c>
      <c r="Y143" s="9">
        <f t="shared" si="36"/>
        <v>118</v>
      </c>
      <c r="Z143" s="11">
        <f t="shared" si="37"/>
        <v>445.25</v>
      </c>
      <c r="AA143" s="9">
        <f t="shared" si="38"/>
        <v>141</v>
      </c>
    </row>
    <row r="144" ht="14.25" spans="1:27">
      <c r="A144" s="13">
        <v>738</v>
      </c>
      <c r="B144" s="15">
        <v>15</v>
      </c>
      <c r="C144" s="16">
        <v>38</v>
      </c>
      <c r="D144" s="15" t="s">
        <v>1478</v>
      </c>
      <c r="E144" s="15" t="s">
        <v>1479</v>
      </c>
      <c r="F144" s="174">
        <f>VLOOKUP(D144,原始分!$D:$N,3,0)</f>
        <v>96.5</v>
      </c>
      <c r="G144" s="174">
        <f t="shared" si="26"/>
        <v>169</v>
      </c>
      <c r="H144" s="174">
        <f>VLOOKUP(D144,原始分!$D:$N,4,0)</f>
        <v>100</v>
      </c>
      <c r="I144" s="174">
        <f t="shared" si="27"/>
        <v>69</v>
      </c>
      <c r="J144" s="174">
        <f>VLOOKUP(D144,原始分!$D:$N,5,0)</f>
        <v>92.75</v>
      </c>
      <c r="K144" s="174">
        <f t="shared" si="28"/>
        <v>156</v>
      </c>
      <c r="L144" s="174">
        <f>VLOOKUP(D144,原始分!$D:$N,6,0)</f>
        <v>0</v>
      </c>
      <c r="M144" s="174">
        <f t="shared" si="29"/>
        <v>1</v>
      </c>
      <c r="N144" s="174">
        <f>VLOOKUP(D144,原始分!$D:$N,7,0)</f>
        <v>58</v>
      </c>
      <c r="O144" s="174">
        <f t="shared" si="30"/>
        <v>84</v>
      </c>
      <c r="P144" s="174">
        <f>VLOOKUP(D144,原始分!$D:$N,8,0)</f>
        <v>0</v>
      </c>
      <c r="Q144" s="174">
        <f t="shared" si="31"/>
        <v>3</v>
      </c>
      <c r="R144" s="174">
        <f>VLOOKUP(D144,原始分!$D:$N,9,0)</f>
        <v>0</v>
      </c>
      <c r="S144" s="174">
        <f t="shared" si="32"/>
        <v>103</v>
      </c>
      <c r="T144" s="174">
        <f>VLOOKUP(D144,原始分!$D:$N,10,0)</f>
        <v>54.5</v>
      </c>
      <c r="U144" s="174">
        <f t="shared" si="33"/>
        <v>143</v>
      </c>
      <c r="V144" s="174">
        <f>VLOOKUP(D144,原始分!$D:$N,11,0)</f>
        <v>43</v>
      </c>
      <c r="W144" s="174">
        <f t="shared" si="34"/>
        <v>85</v>
      </c>
      <c r="X144" s="11">
        <f t="shared" si="35"/>
        <v>289.25</v>
      </c>
      <c r="Y144" s="9">
        <f t="shared" si="36"/>
        <v>134</v>
      </c>
      <c r="Z144" s="11">
        <f t="shared" si="37"/>
        <v>444.75</v>
      </c>
      <c r="AA144" s="9">
        <f t="shared" si="38"/>
        <v>142</v>
      </c>
    </row>
    <row r="145" ht="14.25" spans="1:27">
      <c r="A145" s="13">
        <v>713</v>
      </c>
      <c r="B145" s="15">
        <v>15</v>
      </c>
      <c r="C145" s="16">
        <v>12</v>
      </c>
      <c r="D145" s="15" t="s">
        <v>1429</v>
      </c>
      <c r="E145" s="15" t="s">
        <v>1430</v>
      </c>
      <c r="F145" s="174">
        <f>VLOOKUP(D145,原始分!$D:$N,3,0)</f>
        <v>109</v>
      </c>
      <c r="G145" s="174">
        <f t="shared" si="26"/>
        <v>30</v>
      </c>
      <c r="H145" s="174">
        <f>VLOOKUP(D145,原始分!$D:$N,4,0)</f>
        <v>90.5</v>
      </c>
      <c r="I145" s="174">
        <f t="shared" si="27"/>
        <v>118</v>
      </c>
      <c r="J145" s="174">
        <f>VLOOKUP(D145,原始分!$D:$N,5,0)</f>
        <v>87.25</v>
      </c>
      <c r="K145" s="174">
        <f t="shared" si="28"/>
        <v>175</v>
      </c>
      <c r="L145" s="174">
        <f>VLOOKUP(D145,原始分!$D:$N,6,0)</f>
        <v>0</v>
      </c>
      <c r="M145" s="174">
        <f t="shared" si="29"/>
        <v>1</v>
      </c>
      <c r="N145" s="174">
        <f>VLOOKUP(D145,原始分!$D:$N,7,0)</f>
        <v>50.25</v>
      </c>
      <c r="O145" s="174">
        <f t="shared" si="30"/>
        <v>167</v>
      </c>
      <c r="P145" s="174">
        <f>VLOOKUP(D145,原始分!$D:$N,8,0)</f>
        <v>0</v>
      </c>
      <c r="Q145" s="174">
        <f t="shared" si="31"/>
        <v>3</v>
      </c>
      <c r="R145" s="174">
        <f>VLOOKUP(D145,原始分!$D:$N,9,0)</f>
        <v>0</v>
      </c>
      <c r="S145" s="174">
        <f t="shared" si="32"/>
        <v>103</v>
      </c>
      <c r="T145" s="174">
        <f>VLOOKUP(D145,原始分!$D:$N,10,0)</f>
        <v>56.5</v>
      </c>
      <c r="U145" s="174">
        <f t="shared" si="33"/>
        <v>127</v>
      </c>
      <c r="V145" s="174">
        <f>VLOOKUP(D145,原始分!$D:$N,11,0)</f>
        <v>51</v>
      </c>
      <c r="W145" s="174">
        <f t="shared" si="34"/>
        <v>52</v>
      </c>
      <c r="X145" s="11">
        <f t="shared" si="35"/>
        <v>286.75</v>
      </c>
      <c r="Y145" s="9">
        <f t="shared" si="36"/>
        <v>139</v>
      </c>
      <c r="Z145" s="11">
        <f t="shared" si="37"/>
        <v>444.5</v>
      </c>
      <c r="AA145" s="9">
        <f t="shared" si="38"/>
        <v>143</v>
      </c>
    </row>
    <row r="146" ht="14.25" spans="1:27">
      <c r="A146" s="13">
        <v>787</v>
      </c>
      <c r="B146" s="15">
        <v>17</v>
      </c>
      <c r="C146" s="16">
        <v>6</v>
      </c>
      <c r="D146" s="15" t="s">
        <v>1572</v>
      </c>
      <c r="E146" s="15" t="s">
        <v>1573</v>
      </c>
      <c r="F146" s="174">
        <f>VLOOKUP(D146,原始分!$D:$N,3,0)</f>
        <v>92</v>
      </c>
      <c r="G146" s="174">
        <f t="shared" si="26"/>
        <v>190</v>
      </c>
      <c r="H146" s="174">
        <f>VLOOKUP(D146,原始分!$D:$N,4,0)</f>
        <v>72</v>
      </c>
      <c r="I146" s="174">
        <f t="shared" si="27"/>
        <v>178</v>
      </c>
      <c r="J146" s="174">
        <f>VLOOKUP(D146,原始分!$D:$N,5,0)</f>
        <v>115.5</v>
      </c>
      <c r="K146" s="174">
        <f t="shared" si="28"/>
        <v>47</v>
      </c>
      <c r="L146" s="174">
        <f>VLOOKUP(D146,原始分!$D:$N,6,0)</f>
        <v>0</v>
      </c>
      <c r="M146" s="174">
        <f t="shared" si="29"/>
        <v>1</v>
      </c>
      <c r="N146" s="174">
        <f>VLOOKUP(D146,原始分!$D:$N,7,0)</f>
        <v>60.5</v>
      </c>
      <c r="O146" s="174">
        <f t="shared" si="30"/>
        <v>63</v>
      </c>
      <c r="P146" s="174">
        <f>VLOOKUP(D146,原始分!$D:$N,8,0)</f>
        <v>0</v>
      </c>
      <c r="Q146" s="174">
        <f t="shared" si="31"/>
        <v>3</v>
      </c>
      <c r="R146" s="174">
        <f>VLOOKUP(D146,原始分!$D:$N,9,0)</f>
        <v>37.5</v>
      </c>
      <c r="S146" s="174">
        <f t="shared" si="32"/>
        <v>102</v>
      </c>
      <c r="T146" s="174">
        <f>VLOOKUP(D146,原始分!$D:$N,10,0)</f>
        <v>66</v>
      </c>
      <c r="U146" s="174">
        <f t="shared" si="33"/>
        <v>31</v>
      </c>
      <c r="V146" s="174">
        <f>VLOOKUP(D146,原始分!$D:$N,11,0)</f>
        <v>0</v>
      </c>
      <c r="W146" s="174">
        <f t="shared" si="34"/>
        <v>105</v>
      </c>
      <c r="X146" s="11">
        <f t="shared" si="35"/>
        <v>279.5</v>
      </c>
      <c r="Y146" s="9">
        <f t="shared" si="36"/>
        <v>151</v>
      </c>
      <c r="Z146" s="11">
        <f t="shared" si="37"/>
        <v>443.5</v>
      </c>
      <c r="AA146" s="9">
        <f t="shared" si="38"/>
        <v>144</v>
      </c>
    </row>
    <row r="147" ht="14.25" spans="1:27">
      <c r="A147" s="13">
        <v>802</v>
      </c>
      <c r="B147" s="15">
        <v>17</v>
      </c>
      <c r="C147" s="16">
        <v>25</v>
      </c>
      <c r="D147" s="15" t="s">
        <v>1602</v>
      </c>
      <c r="E147" s="15" t="s">
        <v>1603</v>
      </c>
      <c r="F147" s="174">
        <f>VLOOKUP(D147,原始分!$D:$N,3,0)</f>
        <v>99</v>
      </c>
      <c r="G147" s="174">
        <f t="shared" si="26"/>
        <v>139</v>
      </c>
      <c r="H147" s="174">
        <f>VLOOKUP(D147,原始分!$D:$N,4,0)</f>
        <v>100</v>
      </c>
      <c r="I147" s="174">
        <f t="shared" si="27"/>
        <v>69</v>
      </c>
      <c r="J147" s="174">
        <f>VLOOKUP(D147,原始分!$D:$N,5,0)</f>
        <v>93</v>
      </c>
      <c r="K147" s="174">
        <f t="shared" si="28"/>
        <v>154</v>
      </c>
      <c r="L147" s="174">
        <f>VLOOKUP(D147,原始分!$D:$N,6,0)</f>
        <v>0</v>
      </c>
      <c r="M147" s="174">
        <f t="shared" si="29"/>
        <v>1</v>
      </c>
      <c r="N147" s="174">
        <f>VLOOKUP(D147,原始分!$D:$N,7,0)</f>
        <v>49</v>
      </c>
      <c r="O147" s="174">
        <f t="shared" si="30"/>
        <v>172</v>
      </c>
      <c r="P147" s="174">
        <f>VLOOKUP(D147,原始分!$D:$N,8,0)</f>
        <v>0</v>
      </c>
      <c r="Q147" s="174">
        <f t="shared" si="31"/>
        <v>3</v>
      </c>
      <c r="R147" s="174">
        <f>VLOOKUP(D147,原始分!$D:$N,9,0)</f>
        <v>45</v>
      </c>
      <c r="S147" s="174">
        <f t="shared" si="32"/>
        <v>82</v>
      </c>
      <c r="T147" s="174">
        <f>VLOOKUP(D147,原始分!$D:$N,10,0)</f>
        <v>56</v>
      </c>
      <c r="U147" s="174">
        <f t="shared" si="33"/>
        <v>132</v>
      </c>
      <c r="V147" s="174">
        <f>VLOOKUP(D147,原始分!$D:$N,11,0)</f>
        <v>0</v>
      </c>
      <c r="W147" s="174">
        <f t="shared" si="34"/>
        <v>105</v>
      </c>
      <c r="X147" s="11">
        <f t="shared" si="35"/>
        <v>292</v>
      </c>
      <c r="Y147" s="9">
        <f t="shared" si="36"/>
        <v>123</v>
      </c>
      <c r="Z147" s="11">
        <f t="shared" si="37"/>
        <v>442</v>
      </c>
      <c r="AA147" s="9">
        <f t="shared" si="38"/>
        <v>145</v>
      </c>
    </row>
    <row r="148" ht="14.25" spans="1:27">
      <c r="A148" s="13">
        <v>854</v>
      </c>
      <c r="B148" s="15">
        <v>18</v>
      </c>
      <c r="C148" s="16">
        <v>37</v>
      </c>
      <c r="D148" s="15" t="s">
        <v>1706</v>
      </c>
      <c r="E148" s="15" t="s">
        <v>1707</v>
      </c>
      <c r="F148" s="174">
        <f>VLOOKUP(D148,原始分!$D:$N,3,0)</f>
        <v>106.5</v>
      </c>
      <c r="G148" s="174">
        <f t="shared" si="26"/>
        <v>57</v>
      </c>
      <c r="H148" s="174">
        <f>VLOOKUP(D148,原始分!$D:$N,4,0)</f>
        <v>88</v>
      </c>
      <c r="I148" s="174">
        <f t="shared" si="27"/>
        <v>133</v>
      </c>
      <c r="J148" s="174">
        <f>VLOOKUP(D148,原始分!$D:$N,5,0)</f>
        <v>95</v>
      </c>
      <c r="K148" s="174">
        <f t="shared" si="28"/>
        <v>147</v>
      </c>
      <c r="L148" s="174">
        <f>VLOOKUP(D148,原始分!$D:$N,6,0)</f>
        <v>0</v>
      </c>
      <c r="M148" s="174">
        <f t="shared" si="29"/>
        <v>1</v>
      </c>
      <c r="N148" s="174">
        <f>VLOOKUP(D148,原始分!$D:$N,7,0)</f>
        <v>59.5</v>
      </c>
      <c r="O148" s="174">
        <f t="shared" si="30"/>
        <v>69</v>
      </c>
      <c r="P148" s="174">
        <f>VLOOKUP(D148,原始分!$D:$N,8,0)</f>
        <v>0</v>
      </c>
      <c r="Q148" s="174">
        <f t="shared" si="31"/>
        <v>3</v>
      </c>
      <c r="R148" s="174">
        <f>VLOOKUP(D148,原始分!$D:$N,9,0)</f>
        <v>49.5</v>
      </c>
      <c r="S148" s="174">
        <f t="shared" si="32"/>
        <v>66</v>
      </c>
      <c r="T148" s="174">
        <f>VLOOKUP(D148,原始分!$D:$N,10,0)</f>
        <v>43</v>
      </c>
      <c r="U148" s="174">
        <f t="shared" si="33"/>
        <v>197</v>
      </c>
      <c r="V148" s="174">
        <f>VLOOKUP(D148,原始分!$D:$N,11,0)</f>
        <v>0</v>
      </c>
      <c r="W148" s="174">
        <f t="shared" si="34"/>
        <v>105</v>
      </c>
      <c r="X148" s="11">
        <f t="shared" si="35"/>
        <v>289.5</v>
      </c>
      <c r="Y148" s="9">
        <f t="shared" si="36"/>
        <v>131</v>
      </c>
      <c r="Z148" s="11">
        <f t="shared" si="37"/>
        <v>441.5</v>
      </c>
      <c r="AA148" s="9">
        <f t="shared" si="38"/>
        <v>146</v>
      </c>
    </row>
    <row r="149" ht="14.25" spans="1:27">
      <c r="A149" s="13">
        <v>793</v>
      </c>
      <c r="B149" s="15">
        <v>17</v>
      </c>
      <c r="C149" s="16">
        <v>14</v>
      </c>
      <c r="D149" s="15" t="s">
        <v>1584</v>
      </c>
      <c r="E149" s="15" t="s">
        <v>1585</v>
      </c>
      <c r="F149" s="174">
        <f>VLOOKUP(D149,原始分!$D:$N,3,0)</f>
        <v>95.5</v>
      </c>
      <c r="G149" s="174">
        <f t="shared" si="26"/>
        <v>174</v>
      </c>
      <c r="H149" s="174">
        <f>VLOOKUP(D149,原始分!$D:$N,4,0)</f>
        <v>84</v>
      </c>
      <c r="I149" s="174">
        <f t="shared" si="27"/>
        <v>148</v>
      </c>
      <c r="J149" s="174">
        <f>VLOOKUP(D149,原始分!$D:$N,5,0)</f>
        <v>98</v>
      </c>
      <c r="K149" s="174">
        <f t="shared" si="28"/>
        <v>136</v>
      </c>
      <c r="L149" s="174">
        <f>VLOOKUP(D149,原始分!$D:$N,6,0)</f>
        <v>0</v>
      </c>
      <c r="M149" s="174">
        <f t="shared" si="29"/>
        <v>1</v>
      </c>
      <c r="N149" s="174">
        <f>VLOOKUP(D149,原始分!$D:$N,7,0)</f>
        <v>56</v>
      </c>
      <c r="O149" s="174">
        <f t="shared" si="30"/>
        <v>107</v>
      </c>
      <c r="P149" s="174">
        <f>VLOOKUP(D149,原始分!$D:$N,8,0)</f>
        <v>0</v>
      </c>
      <c r="Q149" s="174">
        <f t="shared" si="31"/>
        <v>3</v>
      </c>
      <c r="R149" s="174">
        <f>VLOOKUP(D149,原始分!$D:$N,9,0)</f>
        <v>43.5</v>
      </c>
      <c r="S149" s="174">
        <f t="shared" si="32"/>
        <v>94</v>
      </c>
      <c r="T149" s="174">
        <f>VLOOKUP(D149,原始分!$D:$N,10,0)</f>
        <v>64</v>
      </c>
      <c r="U149" s="174">
        <f t="shared" si="33"/>
        <v>49</v>
      </c>
      <c r="V149" s="174">
        <f>VLOOKUP(D149,原始分!$D:$N,11,0)</f>
        <v>0</v>
      </c>
      <c r="W149" s="174">
        <f t="shared" si="34"/>
        <v>105</v>
      </c>
      <c r="X149" s="11">
        <f t="shared" si="35"/>
        <v>277.5</v>
      </c>
      <c r="Y149" s="9">
        <f t="shared" si="36"/>
        <v>153</v>
      </c>
      <c r="Z149" s="11">
        <f t="shared" si="37"/>
        <v>441</v>
      </c>
      <c r="AA149" s="9">
        <f t="shared" si="38"/>
        <v>147</v>
      </c>
    </row>
    <row r="150" ht="14.25" spans="1:27">
      <c r="A150" s="13">
        <v>736</v>
      </c>
      <c r="B150" s="15">
        <v>15</v>
      </c>
      <c r="C150" s="16">
        <v>36</v>
      </c>
      <c r="D150" s="15" t="s">
        <v>1474</v>
      </c>
      <c r="E150" s="15" t="s">
        <v>1475</v>
      </c>
      <c r="F150" s="174">
        <f>VLOOKUP(D150,原始分!$D:$N,3,0)</f>
        <v>95</v>
      </c>
      <c r="G150" s="174">
        <f t="shared" si="26"/>
        <v>179</v>
      </c>
      <c r="H150" s="174">
        <f>VLOOKUP(D150,原始分!$D:$N,4,0)</f>
        <v>69.5</v>
      </c>
      <c r="I150" s="174">
        <f t="shared" si="27"/>
        <v>183</v>
      </c>
      <c r="J150" s="174">
        <f>VLOOKUP(D150,原始分!$D:$N,5,0)</f>
        <v>102.75</v>
      </c>
      <c r="K150" s="174">
        <f t="shared" si="28"/>
        <v>111</v>
      </c>
      <c r="L150" s="174">
        <f>VLOOKUP(D150,原始分!$D:$N,6,0)</f>
        <v>0</v>
      </c>
      <c r="M150" s="174">
        <f t="shared" si="29"/>
        <v>1</v>
      </c>
      <c r="N150" s="174">
        <f>VLOOKUP(D150,原始分!$D:$N,7,0)</f>
        <v>64.5</v>
      </c>
      <c r="O150" s="174">
        <f t="shared" si="30"/>
        <v>32</v>
      </c>
      <c r="P150" s="174">
        <f>VLOOKUP(D150,原始分!$D:$N,8,0)</f>
        <v>0</v>
      </c>
      <c r="Q150" s="174">
        <f t="shared" si="31"/>
        <v>3</v>
      </c>
      <c r="R150" s="174">
        <f>VLOOKUP(D150,原始分!$D:$N,9,0)</f>
        <v>0</v>
      </c>
      <c r="S150" s="174">
        <f t="shared" si="32"/>
        <v>103</v>
      </c>
      <c r="T150" s="174">
        <f>VLOOKUP(D150,原始分!$D:$N,10,0)</f>
        <v>58.5</v>
      </c>
      <c r="U150" s="174">
        <f t="shared" si="33"/>
        <v>100</v>
      </c>
      <c r="V150" s="174">
        <f>VLOOKUP(D150,原始分!$D:$N,11,0)</f>
        <v>50</v>
      </c>
      <c r="W150" s="174">
        <f t="shared" si="34"/>
        <v>56</v>
      </c>
      <c r="X150" s="11">
        <f t="shared" si="35"/>
        <v>267.25</v>
      </c>
      <c r="Y150" s="9">
        <f t="shared" si="36"/>
        <v>181</v>
      </c>
      <c r="Z150" s="11">
        <f t="shared" si="37"/>
        <v>440.25</v>
      </c>
      <c r="AA150" s="9">
        <f t="shared" si="38"/>
        <v>148</v>
      </c>
    </row>
    <row r="151" ht="14.25" spans="1:27">
      <c r="A151" s="13">
        <v>814</v>
      </c>
      <c r="B151" s="15">
        <v>17</v>
      </c>
      <c r="C151" s="16">
        <v>39</v>
      </c>
      <c r="D151" s="15" t="s">
        <v>1626</v>
      </c>
      <c r="E151" s="15" t="s">
        <v>1627</v>
      </c>
      <c r="F151" s="174">
        <f>VLOOKUP(D151,原始分!$D:$N,3,0)</f>
        <v>97</v>
      </c>
      <c r="G151" s="174">
        <f t="shared" si="26"/>
        <v>166</v>
      </c>
      <c r="H151" s="174">
        <f>VLOOKUP(D151,原始分!$D:$N,4,0)</f>
        <v>99</v>
      </c>
      <c r="I151" s="174">
        <f t="shared" si="27"/>
        <v>75</v>
      </c>
      <c r="J151" s="174">
        <f>VLOOKUP(D151,原始分!$D:$N,5,0)</f>
        <v>91.75</v>
      </c>
      <c r="K151" s="174">
        <f t="shared" si="28"/>
        <v>161</v>
      </c>
      <c r="L151" s="174">
        <f>VLOOKUP(D151,原始分!$D:$N,6,0)</f>
        <v>0</v>
      </c>
      <c r="M151" s="174">
        <f t="shared" si="29"/>
        <v>1</v>
      </c>
      <c r="N151" s="174">
        <f>VLOOKUP(D151,原始分!$D:$N,7,0)</f>
        <v>47</v>
      </c>
      <c r="O151" s="174">
        <f t="shared" si="30"/>
        <v>187</v>
      </c>
      <c r="P151" s="174">
        <f>VLOOKUP(D151,原始分!$D:$N,8,0)</f>
        <v>0</v>
      </c>
      <c r="Q151" s="174">
        <f t="shared" si="31"/>
        <v>3</v>
      </c>
      <c r="R151" s="174">
        <f>VLOOKUP(D151,原始分!$D:$N,9,0)</f>
        <v>55.5</v>
      </c>
      <c r="S151" s="174">
        <f t="shared" si="32"/>
        <v>27</v>
      </c>
      <c r="T151" s="174">
        <f>VLOOKUP(D151,原始分!$D:$N,10,0)</f>
        <v>48.5</v>
      </c>
      <c r="U151" s="174">
        <f t="shared" si="33"/>
        <v>179</v>
      </c>
      <c r="V151" s="174">
        <f>VLOOKUP(D151,原始分!$D:$N,11,0)</f>
        <v>0</v>
      </c>
      <c r="W151" s="174">
        <f t="shared" si="34"/>
        <v>105</v>
      </c>
      <c r="X151" s="11">
        <f t="shared" si="35"/>
        <v>287.75</v>
      </c>
      <c r="Y151" s="9">
        <f t="shared" si="36"/>
        <v>136</v>
      </c>
      <c r="Z151" s="11">
        <f t="shared" si="37"/>
        <v>438.75</v>
      </c>
      <c r="AA151" s="9">
        <f t="shared" si="38"/>
        <v>149</v>
      </c>
    </row>
    <row r="152" ht="14.25" spans="1:27">
      <c r="A152" s="13">
        <v>815</v>
      </c>
      <c r="B152" s="15">
        <v>17</v>
      </c>
      <c r="C152" s="16">
        <v>40</v>
      </c>
      <c r="D152" s="15" t="s">
        <v>1628</v>
      </c>
      <c r="E152" s="15" t="s">
        <v>1629</v>
      </c>
      <c r="F152" s="174">
        <f>VLOOKUP(D152,原始分!$D:$N,3,0)</f>
        <v>95.25</v>
      </c>
      <c r="G152" s="174">
        <f t="shared" si="26"/>
        <v>176</v>
      </c>
      <c r="H152" s="174">
        <f>VLOOKUP(D152,原始分!$D:$N,4,0)</f>
        <v>76</v>
      </c>
      <c r="I152" s="174">
        <f t="shared" si="27"/>
        <v>169</v>
      </c>
      <c r="J152" s="174">
        <f>VLOOKUP(D152,原始分!$D:$N,5,0)</f>
        <v>101.5</v>
      </c>
      <c r="K152" s="174">
        <f t="shared" si="28"/>
        <v>118</v>
      </c>
      <c r="L152" s="174">
        <f>VLOOKUP(D152,原始分!$D:$N,6,0)</f>
        <v>0</v>
      </c>
      <c r="M152" s="174">
        <f t="shared" si="29"/>
        <v>1</v>
      </c>
      <c r="N152" s="174">
        <f>VLOOKUP(D152,原始分!$D:$N,7,0)</f>
        <v>59.5</v>
      </c>
      <c r="O152" s="174">
        <f t="shared" si="30"/>
        <v>69</v>
      </c>
      <c r="P152" s="174">
        <f>VLOOKUP(D152,原始分!$D:$N,8,0)</f>
        <v>0</v>
      </c>
      <c r="Q152" s="174">
        <f t="shared" si="31"/>
        <v>3</v>
      </c>
      <c r="R152" s="174">
        <f>VLOOKUP(D152,原始分!$D:$N,9,0)</f>
        <v>51.5</v>
      </c>
      <c r="S152" s="174">
        <f t="shared" si="32"/>
        <v>50</v>
      </c>
      <c r="T152" s="174">
        <f>VLOOKUP(D152,原始分!$D:$N,10,0)</f>
        <v>55</v>
      </c>
      <c r="U152" s="174">
        <f t="shared" si="33"/>
        <v>140</v>
      </c>
      <c r="V152" s="174">
        <f>VLOOKUP(D152,原始分!$D:$N,11,0)</f>
        <v>0</v>
      </c>
      <c r="W152" s="174">
        <f t="shared" si="34"/>
        <v>105</v>
      </c>
      <c r="X152" s="11">
        <f t="shared" si="35"/>
        <v>272.75</v>
      </c>
      <c r="Y152" s="9">
        <f t="shared" si="36"/>
        <v>161</v>
      </c>
      <c r="Z152" s="11">
        <f t="shared" si="37"/>
        <v>438.75</v>
      </c>
      <c r="AA152" s="9">
        <f t="shared" si="38"/>
        <v>149</v>
      </c>
    </row>
    <row r="153" ht="14.25" spans="1:27">
      <c r="A153" s="13">
        <v>840</v>
      </c>
      <c r="B153" s="15">
        <v>18</v>
      </c>
      <c r="C153" s="16">
        <v>20</v>
      </c>
      <c r="D153" s="15" t="s">
        <v>1678</v>
      </c>
      <c r="E153" s="15" t="s">
        <v>1679</v>
      </c>
      <c r="F153" s="174">
        <f>VLOOKUP(D153,原始分!$D:$N,3,0)</f>
        <v>100.75</v>
      </c>
      <c r="G153" s="174">
        <f t="shared" si="26"/>
        <v>117</v>
      </c>
      <c r="H153" s="174">
        <f>VLOOKUP(D153,原始分!$D:$N,4,0)</f>
        <v>85</v>
      </c>
      <c r="I153" s="174">
        <f t="shared" si="27"/>
        <v>146</v>
      </c>
      <c r="J153" s="174">
        <f>VLOOKUP(D153,原始分!$D:$N,5,0)</f>
        <v>85</v>
      </c>
      <c r="K153" s="174">
        <f t="shared" si="28"/>
        <v>180</v>
      </c>
      <c r="L153" s="174">
        <f>VLOOKUP(D153,原始分!$D:$N,6,0)</f>
        <v>0</v>
      </c>
      <c r="M153" s="174">
        <f t="shared" si="29"/>
        <v>1</v>
      </c>
      <c r="N153" s="174">
        <f>VLOOKUP(D153,原始分!$D:$N,7,0)</f>
        <v>51.5</v>
      </c>
      <c r="O153" s="174">
        <f t="shared" si="30"/>
        <v>150</v>
      </c>
      <c r="P153" s="174">
        <f>VLOOKUP(D153,原始分!$D:$N,8,0)</f>
        <v>0</v>
      </c>
      <c r="Q153" s="174">
        <f t="shared" si="31"/>
        <v>3</v>
      </c>
      <c r="R153" s="174">
        <f>VLOOKUP(D153,原始分!$D:$N,9,0)</f>
        <v>54.5</v>
      </c>
      <c r="S153" s="174">
        <f t="shared" si="32"/>
        <v>34</v>
      </c>
      <c r="T153" s="174">
        <f>VLOOKUP(D153,原始分!$D:$N,10,0)</f>
        <v>61</v>
      </c>
      <c r="U153" s="174">
        <f t="shared" si="33"/>
        <v>72</v>
      </c>
      <c r="V153" s="174">
        <f>VLOOKUP(D153,原始分!$D:$N,11,0)</f>
        <v>0</v>
      </c>
      <c r="W153" s="174">
        <f t="shared" si="34"/>
        <v>105</v>
      </c>
      <c r="X153" s="11">
        <f t="shared" si="35"/>
        <v>270.75</v>
      </c>
      <c r="Y153" s="9">
        <f t="shared" si="36"/>
        <v>167</v>
      </c>
      <c r="Z153" s="11">
        <f t="shared" si="37"/>
        <v>437.75</v>
      </c>
      <c r="AA153" s="9">
        <f t="shared" si="38"/>
        <v>151</v>
      </c>
    </row>
    <row r="154" ht="14.25" spans="1:27">
      <c r="A154" s="13">
        <v>858</v>
      </c>
      <c r="B154" s="15">
        <v>18</v>
      </c>
      <c r="C154" s="16">
        <v>41</v>
      </c>
      <c r="D154" s="15" t="s">
        <v>1714</v>
      </c>
      <c r="E154" s="15" t="s">
        <v>1715</v>
      </c>
      <c r="F154" s="174">
        <f>VLOOKUP(D154,原始分!$D:$N,3,0)</f>
        <v>100</v>
      </c>
      <c r="G154" s="174">
        <f t="shared" si="26"/>
        <v>127</v>
      </c>
      <c r="H154" s="174">
        <f>VLOOKUP(D154,原始分!$D:$N,4,0)</f>
        <v>83</v>
      </c>
      <c r="I154" s="174">
        <f t="shared" si="27"/>
        <v>152</v>
      </c>
      <c r="J154" s="174">
        <f>VLOOKUP(D154,原始分!$D:$N,5,0)</f>
        <v>89.5</v>
      </c>
      <c r="K154" s="174">
        <f t="shared" si="28"/>
        <v>166</v>
      </c>
      <c r="L154" s="174">
        <f>VLOOKUP(D154,原始分!$D:$N,6,0)</f>
        <v>0</v>
      </c>
      <c r="M154" s="174">
        <f t="shared" si="29"/>
        <v>1</v>
      </c>
      <c r="N154" s="174">
        <f>VLOOKUP(D154,原始分!$D:$N,7,0)</f>
        <v>54</v>
      </c>
      <c r="O154" s="174">
        <f t="shared" si="30"/>
        <v>134</v>
      </c>
      <c r="P154" s="174">
        <f>VLOOKUP(D154,原始分!$D:$N,8,0)</f>
        <v>0</v>
      </c>
      <c r="Q154" s="174">
        <f t="shared" si="31"/>
        <v>3</v>
      </c>
      <c r="R154" s="174">
        <f>VLOOKUP(D154,原始分!$D:$N,9,0)</f>
        <v>46</v>
      </c>
      <c r="S154" s="174">
        <f t="shared" si="32"/>
        <v>79</v>
      </c>
      <c r="T154" s="174">
        <f>VLOOKUP(D154,原始分!$D:$N,10,0)</f>
        <v>65</v>
      </c>
      <c r="U154" s="174">
        <f t="shared" si="33"/>
        <v>37</v>
      </c>
      <c r="V154" s="174">
        <f>VLOOKUP(D154,原始分!$D:$N,11,0)</f>
        <v>0</v>
      </c>
      <c r="W154" s="174">
        <f t="shared" si="34"/>
        <v>105</v>
      </c>
      <c r="X154" s="11">
        <f t="shared" si="35"/>
        <v>272.5</v>
      </c>
      <c r="Y154" s="9">
        <f t="shared" si="36"/>
        <v>162</v>
      </c>
      <c r="Z154" s="11">
        <f t="shared" si="37"/>
        <v>437.5</v>
      </c>
      <c r="AA154" s="9">
        <f t="shared" si="38"/>
        <v>152</v>
      </c>
    </row>
    <row r="155" ht="14.25" spans="1:27">
      <c r="A155" s="13">
        <v>664</v>
      </c>
      <c r="B155" s="15">
        <v>14</v>
      </c>
      <c r="C155" s="16">
        <v>1</v>
      </c>
      <c r="D155" s="15" t="s">
        <v>1334</v>
      </c>
      <c r="E155" s="15" t="s">
        <v>1335</v>
      </c>
      <c r="F155" s="174">
        <f>VLOOKUP(D155,原始分!$D:$N,3,0)</f>
        <v>98</v>
      </c>
      <c r="G155" s="174">
        <f t="shared" si="26"/>
        <v>152</v>
      </c>
      <c r="H155" s="174">
        <f>VLOOKUP(D155,原始分!$D:$N,4,0)</f>
        <v>79.5</v>
      </c>
      <c r="I155" s="174">
        <f t="shared" si="27"/>
        <v>158</v>
      </c>
      <c r="J155" s="174">
        <f>VLOOKUP(D155,原始分!$D:$N,5,0)</f>
        <v>95.75</v>
      </c>
      <c r="K155" s="174">
        <f t="shared" si="28"/>
        <v>145</v>
      </c>
      <c r="L155" s="174">
        <f>VLOOKUP(D155,原始分!$D:$N,6,0)</f>
        <v>0</v>
      </c>
      <c r="M155" s="174">
        <f t="shared" si="29"/>
        <v>1</v>
      </c>
      <c r="N155" s="174">
        <f>VLOOKUP(D155,原始分!$D:$N,7,0)</f>
        <v>68.5</v>
      </c>
      <c r="O155" s="174">
        <f t="shared" si="30"/>
        <v>14</v>
      </c>
      <c r="P155" s="174">
        <f>VLOOKUP(D155,原始分!$D:$N,8,0)</f>
        <v>0</v>
      </c>
      <c r="Q155" s="174">
        <f t="shared" si="31"/>
        <v>3</v>
      </c>
      <c r="R155" s="174">
        <f>VLOOKUP(D155,原始分!$D:$N,9,0)</f>
        <v>0</v>
      </c>
      <c r="S155" s="174">
        <f t="shared" si="32"/>
        <v>103</v>
      </c>
      <c r="T155" s="174">
        <f>VLOOKUP(D155,原始分!$D:$N,10,0)</f>
        <v>60.5</v>
      </c>
      <c r="U155" s="174">
        <f t="shared" si="33"/>
        <v>77</v>
      </c>
      <c r="V155" s="174">
        <f>VLOOKUP(D155,原始分!$D:$N,11,0)</f>
        <v>35</v>
      </c>
      <c r="W155" s="174">
        <f t="shared" si="34"/>
        <v>99</v>
      </c>
      <c r="X155" s="11">
        <f t="shared" si="35"/>
        <v>273.25</v>
      </c>
      <c r="Y155" s="9">
        <f t="shared" si="36"/>
        <v>160</v>
      </c>
      <c r="Z155" s="11">
        <f t="shared" si="37"/>
        <v>437.25</v>
      </c>
      <c r="AA155" s="9">
        <f t="shared" si="38"/>
        <v>153</v>
      </c>
    </row>
    <row r="156" ht="14.25" spans="1:27">
      <c r="A156" s="13">
        <v>861</v>
      </c>
      <c r="B156" s="15">
        <v>18</v>
      </c>
      <c r="C156" s="16">
        <v>44</v>
      </c>
      <c r="D156" s="15" t="s">
        <v>1720</v>
      </c>
      <c r="E156" s="15" t="s">
        <v>1721</v>
      </c>
      <c r="F156" s="174">
        <f>VLOOKUP(D156,原始分!$D:$N,3,0)</f>
        <v>100.5</v>
      </c>
      <c r="G156" s="174">
        <f t="shared" si="26"/>
        <v>119</v>
      </c>
      <c r="H156" s="174">
        <f>VLOOKUP(D156,原始分!$D:$N,4,0)</f>
        <v>90</v>
      </c>
      <c r="I156" s="174">
        <f t="shared" si="27"/>
        <v>121</v>
      </c>
      <c r="J156" s="174">
        <f>VLOOKUP(D156,原始分!$D:$N,5,0)</f>
        <v>91</v>
      </c>
      <c r="K156" s="174">
        <f t="shared" si="28"/>
        <v>163</v>
      </c>
      <c r="L156" s="174">
        <f>VLOOKUP(D156,原始分!$D:$N,6,0)</f>
        <v>0</v>
      </c>
      <c r="M156" s="174">
        <f t="shared" si="29"/>
        <v>1</v>
      </c>
      <c r="N156" s="174">
        <f>VLOOKUP(D156,原始分!$D:$N,7,0)</f>
        <v>51</v>
      </c>
      <c r="O156" s="174">
        <f t="shared" si="30"/>
        <v>160</v>
      </c>
      <c r="P156" s="174">
        <f>VLOOKUP(D156,原始分!$D:$N,8,0)</f>
        <v>0</v>
      </c>
      <c r="Q156" s="174">
        <f t="shared" si="31"/>
        <v>3</v>
      </c>
      <c r="R156" s="174">
        <f>VLOOKUP(D156,原始分!$D:$N,9,0)</f>
        <v>51.75</v>
      </c>
      <c r="S156" s="174">
        <f t="shared" si="32"/>
        <v>49</v>
      </c>
      <c r="T156" s="174">
        <f>VLOOKUP(D156,原始分!$D:$N,10,0)</f>
        <v>52.5</v>
      </c>
      <c r="U156" s="174">
        <f t="shared" si="33"/>
        <v>160</v>
      </c>
      <c r="V156" s="174">
        <f>VLOOKUP(D156,原始分!$D:$N,11,0)</f>
        <v>0</v>
      </c>
      <c r="W156" s="174">
        <f t="shared" si="34"/>
        <v>105</v>
      </c>
      <c r="X156" s="11">
        <f t="shared" si="35"/>
        <v>281.5</v>
      </c>
      <c r="Y156" s="9">
        <f t="shared" si="36"/>
        <v>149</v>
      </c>
      <c r="Z156" s="11">
        <f t="shared" si="37"/>
        <v>436.75</v>
      </c>
      <c r="AA156" s="9">
        <f t="shared" si="38"/>
        <v>154</v>
      </c>
    </row>
    <row r="157" ht="14.25" spans="1:27">
      <c r="A157" s="13">
        <v>740</v>
      </c>
      <c r="B157" s="15">
        <v>15</v>
      </c>
      <c r="C157" s="16">
        <v>40</v>
      </c>
      <c r="D157" s="15" t="s">
        <v>1482</v>
      </c>
      <c r="E157" s="15" t="s">
        <v>1483</v>
      </c>
      <c r="F157" s="174">
        <f>VLOOKUP(D157,原始分!$D:$N,3,0)</f>
        <v>93.5</v>
      </c>
      <c r="G157" s="174">
        <f t="shared" si="26"/>
        <v>186</v>
      </c>
      <c r="H157" s="174">
        <f>VLOOKUP(D157,原始分!$D:$N,4,0)</f>
        <v>83.5</v>
      </c>
      <c r="I157" s="174">
        <f t="shared" si="27"/>
        <v>150</v>
      </c>
      <c r="J157" s="174">
        <f>VLOOKUP(D157,原始分!$D:$N,5,0)</f>
        <v>99</v>
      </c>
      <c r="K157" s="174">
        <f t="shared" si="28"/>
        <v>131</v>
      </c>
      <c r="L157" s="174">
        <f>VLOOKUP(D157,原始分!$D:$N,6,0)</f>
        <v>0</v>
      </c>
      <c r="M157" s="174">
        <f t="shared" si="29"/>
        <v>1</v>
      </c>
      <c r="N157" s="174">
        <f>VLOOKUP(D157,原始分!$D:$N,7,0)</f>
        <v>62</v>
      </c>
      <c r="O157" s="174">
        <f t="shared" si="30"/>
        <v>50</v>
      </c>
      <c r="P157" s="174">
        <f>VLOOKUP(D157,原始分!$D:$N,8,0)</f>
        <v>0</v>
      </c>
      <c r="Q157" s="174">
        <f t="shared" si="31"/>
        <v>3</v>
      </c>
      <c r="R157" s="174">
        <f>VLOOKUP(D157,原始分!$D:$N,9,0)</f>
        <v>0</v>
      </c>
      <c r="S157" s="174">
        <f t="shared" si="32"/>
        <v>103</v>
      </c>
      <c r="T157" s="174">
        <f>VLOOKUP(D157,原始分!$D:$N,10,0)</f>
        <v>56</v>
      </c>
      <c r="U157" s="174">
        <f t="shared" si="33"/>
        <v>132</v>
      </c>
      <c r="V157" s="174">
        <f>VLOOKUP(D157,原始分!$D:$N,11,0)</f>
        <v>42.5</v>
      </c>
      <c r="W157" s="174">
        <f t="shared" si="34"/>
        <v>88</v>
      </c>
      <c r="X157" s="11">
        <f t="shared" si="35"/>
        <v>276</v>
      </c>
      <c r="Y157" s="9">
        <f t="shared" si="36"/>
        <v>158</v>
      </c>
      <c r="Z157" s="11">
        <f t="shared" si="37"/>
        <v>436.5</v>
      </c>
      <c r="AA157" s="9">
        <f t="shared" si="38"/>
        <v>155</v>
      </c>
    </row>
    <row r="158" ht="14.25" spans="1:27">
      <c r="A158" s="13">
        <v>732</v>
      </c>
      <c r="B158" s="15">
        <v>15</v>
      </c>
      <c r="C158" s="16">
        <v>32</v>
      </c>
      <c r="D158" s="15" t="s">
        <v>1466</v>
      </c>
      <c r="E158" s="15" t="s">
        <v>1467</v>
      </c>
      <c r="F158" s="174">
        <f>VLOOKUP(D158,原始分!$D:$N,3,0)</f>
        <v>92</v>
      </c>
      <c r="G158" s="174">
        <f t="shared" si="26"/>
        <v>190</v>
      </c>
      <c r="H158" s="174">
        <f>VLOOKUP(D158,原始分!$D:$N,4,0)</f>
        <v>93</v>
      </c>
      <c r="I158" s="174">
        <f t="shared" si="27"/>
        <v>105</v>
      </c>
      <c r="J158" s="174">
        <f>VLOOKUP(D158,原始分!$D:$N,5,0)</f>
        <v>64</v>
      </c>
      <c r="K158" s="174">
        <f t="shared" si="28"/>
        <v>205</v>
      </c>
      <c r="L158" s="174">
        <f>VLOOKUP(D158,原始分!$D:$N,6,0)</f>
        <v>0</v>
      </c>
      <c r="M158" s="174">
        <f t="shared" si="29"/>
        <v>1</v>
      </c>
      <c r="N158" s="174">
        <f>VLOOKUP(D158,原始分!$D:$N,7,0)</f>
        <v>56.5</v>
      </c>
      <c r="O158" s="174">
        <f t="shared" si="30"/>
        <v>101</v>
      </c>
      <c r="P158" s="174">
        <f>VLOOKUP(D158,原始分!$D:$N,8,0)</f>
        <v>0</v>
      </c>
      <c r="Q158" s="174">
        <f t="shared" si="31"/>
        <v>3</v>
      </c>
      <c r="R158" s="174">
        <f>VLOOKUP(D158,原始分!$D:$N,9,0)</f>
        <v>0</v>
      </c>
      <c r="S158" s="174">
        <f t="shared" si="32"/>
        <v>103</v>
      </c>
      <c r="T158" s="174">
        <f>VLOOKUP(D158,原始分!$D:$N,10,0)</f>
        <v>67.5</v>
      </c>
      <c r="U158" s="174">
        <f t="shared" si="33"/>
        <v>18</v>
      </c>
      <c r="V158" s="174">
        <f>VLOOKUP(D158,原始分!$D:$N,11,0)</f>
        <v>62</v>
      </c>
      <c r="W158" s="174">
        <f t="shared" si="34"/>
        <v>6</v>
      </c>
      <c r="X158" s="11">
        <f t="shared" si="35"/>
        <v>249</v>
      </c>
      <c r="Y158" s="9">
        <f t="shared" si="36"/>
        <v>195</v>
      </c>
      <c r="Z158" s="11">
        <f t="shared" si="37"/>
        <v>435</v>
      </c>
      <c r="AA158" s="9">
        <f t="shared" si="38"/>
        <v>156</v>
      </c>
    </row>
    <row r="159" ht="14.25" spans="1:27">
      <c r="A159" s="13">
        <v>827</v>
      </c>
      <c r="B159" s="15">
        <v>18</v>
      </c>
      <c r="C159" s="16">
        <v>2</v>
      </c>
      <c r="D159" s="15" t="s">
        <v>1652</v>
      </c>
      <c r="E159" s="15" t="s">
        <v>1653</v>
      </c>
      <c r="F159" s="174">
        <f>VLOOKUP(D159,原始分!$D:$N,3,0)</f>
        <v>100</v>
      </c>
      <c r="G159" s="174">
        <f t="shared" si="26"/>
        <v>127</v>
      </c>
      <c r="H159" s="174">
        <f>VLOOKUP(D159,原始分!$D:$N,4,0)</f>
        <v>105</v>
      </c>
      <c r="I159" s="174">
        <f t="shared" si="27"/>
        <v>47</v>
      </c>
      <c r="J159" s="174">
        <f>VLOOKUP(D159,原始分!$D:$N,5,0)</f>
        <v>79.5</v>
      </c>
      <c r="K159" s="174">
        <f t="shared" si="28"/>
        <v>196</v>
      </c>
      <c r="L159" s="174">
        <f>VLOOKUP(D159,原始分!$D:$N,6,0)</f>
        <v>0</v>
      </c>
      <c r="M159" s="174">
        <f t="shared" si="29"/>
        <v>1</v>
      </c>
      <c r="N159" s="174">
        <f>VLOOKUP(D159,原始分!$D:$N,7,0)</f>
        <v>45.5</v>
      </c>
      <c r="O159" s="174">
        <f t="shared" si="30"/>
        <v>192</v>
      </c>
      <c r="P159" s="174">
        <f>VLOOKUP(D159,原始分!$D:$N,8,0)</f>
        <v>0</v>
      </c>
      <c r="Q159" s="174">
        <f t="shared" si="31"/>
        <v>3</v>
      </c>
      <c r="R159" s="174">
        <f>VLOOKUP(D159,原始分!$D:$N,9,0)</f>
        <v>46.5</v>
      </c>
      <c r="S159" s="174">
        <f t="shared" si="32"/>
        <v>77</v>
      </c>
      <c r="T159" s="174">
        <f>VLOOKUP(D159,原始分!$D:$N,10,0)</f>
        <v>57</v>
      </c>
      <c r="U159" s="174">
        <f t="shared" si="33"/>
        <v>118</v>
      </c>
      <c r="V159" s="174">
        <f>VLOOKUP(D159,原始分!$D:$N,11,0)</f>
        <v>0</v>
      </c>
      <c r="W159" s="174">
        <f t="shared" si="34"/>
        <v>105</v>
      </c>
      <c r="X159" s="11">
        <f t="shared" si="35"/>
        <v>284.5</v>
      </c>
      <c r="Y159" s="9">
        <f t="shared" si="36"/>
        <v>143</v>
      </c>
      <c r="Z159" s="11">
        <f t="shared" si="37"/>
        <v>433.5</v>
      </c>
      <c r="AA159" s="9">
        <f t="shared" si="38"/>
        <v>157</v>
      </c>
    </row>
    <row r="160" ht="14.25" spans="1:27">
      <c r="A160" s="13">
        <v>836</v>
      </c>
      <c r="B160" s="15">
        <v>18</v>
      </c>
      <c r="C160" s="16">
        <v>14</v>
      </c>
      <c r="D160" s="15" t="s">
        <v>1670</v>
      </c>
      <c r="E160" s="15" t="s">
        <v>1671</v>
      </c>
      <c r="F160" s="174">
        <f>VLOOKUP(D160,原始分!$D:$N,3,0)</f>
        <v>105</v>
      </c>
      <c r="G160" s="174">
        <f t="shared" si="26"/>
        <v>65</v>
      </c>
      <c r="H160" s="174">
        <f>VLOOKUP(D160,原始分!$D:$N,4,0)</f>
        <v>64</v>
      </c>
      <c r="I160" s="174">
        <f t="shared" si="27"/>
        <v>192</v>
      </c>
      <c r="J160" s="174">
        <f>VLOOKUP(D160,原始分!$D:$N,5,0)</f>
        <v>107.5</v>
      </c>
      <c r="K160" s="174">
        <f t="shared" si="28"/>
        <v>87</v>
      </c>
      <c r="L160" s="174">
        <f>VLOOKUP(D160,原始分!$D:$N,6,0)</f>
        <v>0</v>
      </c>
      <c r="M160" s="174">
        <f t="shared" si="29"/>
        <v>1</v>
      </c>
      <c r="N160" s="174">
        <f>VLOOKUP(D160,原始分!$D:$N,7,0)</f>
        <v>53</v>
      </c>
      <c r="O160" s="174">
        <f t="shared" si="30"/>
        <v>139</v>
      </c>
      <c r="P160" s="174">
        <f>VLOOKUP(D160,原始分!$D:$N,8,0)</f>
        <v>0</v>
      </c>
      <c r="Q160" s="174">
        <f t="shared" si="31"/>
        <v>3</v>
      </c>
      <c r="R160" s="174">
        <f>VLOOKUP(D160,原始分!$D:$N,9,0)</f>
        <v>46</v>
      </c>
      <c r="S160" s="174">
        <f t="shared" si="32"/>
        <v>79</v>
      </c>
      <c r="T160" s="174">
        <f>VLOOKUP(D160,原始分!$D:$N,10,0)</f>
        <v>58</v>
      </c>
      <c r="U160" s="174">
        <f t="shared" si="33"/>
        <v>111</v>
      </c>
      <c r="V160" s="174">
        <f>VLOOKUP(D160,原始分!$D:$N,11,0)</f>
        <v>0</v>
      </c>
      <c r="W160" s="174">
        <f t="shared" si="34"/>
        <v>105</v>
      </c>
      <c r="X160" s="11">
        <f t="shared" si="35"/>
        <v>276.5</v>
      </c>
      <c r="Y160" s="9">
        <f t="shared" si="36"/>
        <v>155</v>
      </c>
      <c r="Z160" s="11">
        <f t="shared" si="37"/>
        <v>433.5</v>
      </c>
      <c r="AA160" s="9">
        <f t="shared" si="38"/>
        <v>157</v>
      </c>
    </row>
    <row r="161" ht="14.25" spans="1:27">
      <c r="A161" s="13">
        <v>701</v>
      </c>
      <c r="B161" s="15">
        <v>14</v>
      </c>
      <c r="C161" s="16">
        <v>43</v>
      </c>
      <c r="D161" s="15" t="s">
        <v>1406</v>
      </c>
      <c r="E161" s="15" t="s">
        <v>1407</v>
      </c>
      <c r="F161" s="174">
        <f>VLOOKUP(D161,原始分!$D:$N,3,0)</f>
        <v>98</v>
      </c>
      <c r="G161" s="174">
        <f t="shared" si="26"/>
        <v>152</v>
      </c>
      <c r="H161" s="174">
        <f>VLOOKUP(D161,原始分!$D:$N,4,0)</f>
        <v>69</v>
      </c>
      <c r="I161" s="174">
        <f t="shared" si="27"/>
        <v>185</v>
      </c>
      <c r="J161" s="174">
        <f>VLOOKUP(D161,原始分!$D:$N,5,0)</f>
        <v>105.5</v>
      </c>
      <c r="K161" s="174">
        <f t="shared" si="28"/>
        <v>98</v>
      </c>
      <c r="L161" s="174">
        <f>VLOOKUP(D161,原始分!$D:$N,6,0)</f>
        <v>0</v>
      </c>
      <c r="M161" s="174">
        <f t="shared" si="29"/>
        <v>1</v>
      </c>
      <c r="N161" s="174">
        <f>VLOOKUP(D161,原始分!$D:$N,7,0)</f>
        <v>54.5</v>
      </c>
      <c r="O161" s="174">
        <f t="shared" si="30"/>
        <v>128</v>
      </c>
      <c r="P161" s="174">
        <f>VLOOKUP(D161,原始分!$D:$N,8,0)</f>
        <v>0</v>
      </c>
      <c r="Q161" s="174">
        <f t="shared" si="31"/>
        <v>3</v>
      </c>
      <c r="R161" s="174">
        <f>VLOOKUP(D161,原始分!$D:$N,9,0)</f>
        <v>0</v>
      </c>
      <c r="S161" s="174">
        <f t="shared" si="32"/>
        <v>103</v>
      </c>
      <c r="T161" s="174">
        <f>VLOOKUP(D161,原始分!$D:$N,10,0)</f>
        <v>55.5</v>
      </c>
      <c r="U161" s="174">
        <f t="shared" si="33"/>
        <v>136</v>
      </c>
      <c r="V161" s="174">
        <f>VLOOKUP(D161,原始分!$D:$N,11,0)</f>
        <v>50.5</v>
      </c>
      <c r="W161" s="174">
        <f t="shared" si="34"/>
        <v>55</v>
      </c>
      <c r="X161" s="11">
        <f t="shared" si="35"/>
        <v>272.5</v>
      </c>
      <c r="Y161" s="9">
        <f t="shared" si="36"/>
        <v>162</v>
      </c>
      <c r="Z161" s="11">
        <f t="shared" si="37"/>
        <v>433</v>
      </c>
      <c r="AA161" s="9">
        <f t="shared" si="38"/>
        <v>159</v>
      </c>
    </row>
    <row r="162" ht="14.25" spans="1:27">
      <c r="A162" s="13">
        <v>785</v>
      </c>
      <c r="B162" s="15">
        <v>17</v>
      </c>
      <c r="C162" s="16">
        <v>2</v>
      </c>
      <c r="D162" s="15" t="s">
        <v>1568</v>
      </c>
      <c r="E162" s="15" t="s">
        <v>1569</v>
      </c>
      <c r="F162" s="174">
        <f>VLOOKUP(D162,原始分!$D:$N,3,0)</f>
        <v>94</v>
      </c>
      <c r="G162" s="174">
        <f t="shared" si="26"/>
        <v>184</v>
      </c>
      <c r="H162" s="174">
        <f>VLOOKUP(D162,原始分!$D:$N,4,0)</f>
        <v>106.5</v>
      </c>
      <c r="I162" s="174">
        <f t="shared" si="27"/>
        <v>41</v>
      </c>
      <c r="J162" s="174">
        <f>VLOOKUP(D162,原始分!$D:$N,5,0)</f>
        <v>70.25</v>
      </c>
      <c r="K162" s="174">
        <f t="shared" si="28"/>
        <v>204</v>
      </c>
      <c r="L162" s="174">
        <f>VLOOKUP(D162,原始分!$D:$N,6,0)</f>
        <v>0</v>
      </c>
      <c r="M162" s="174">
        <f t="shared" si="29"/>
        <v>1</v>
      </c>
      <c r="N162" s="174">
        <f>VLOOKUP(D162,原始分!$D:$N,7,0)</f>
        <v>55.5</v>
      </c>
      <c r="O162" s="174">
        <f t="shared" si="30"/>
        <v>118</v>
      </c>
      <c r="P162" s="174">
        <f>VLOOKUP(D162,原始分!$D:$N,8,0)</f>
        <v>0</v>
      </c>
      <c r="Q162" s="174">
        <f t="shared" si="31"/>
        <v>3</v>
      </c>
      <c r="R162" s="174">
        <f>VLOOKUP(D162,原始分!$D:$N,9,0)</f>
        <v>49.5</v>
      </c>
      <c r="S162" s="174">
        <f t="shared" si="32"/>
        <v>66</v>
      </c>
      <c r="T162" s="174">
        <f>VLOOKUP(D162,原始分!$D:$N,10,0)</f>
        <v>56.5</v>
      </c>
      <c r="U162" s="174">
        <f t="shared" si="33"/>
        <v>127</v>
      </c>
      <c r="V162" s="174">
        <f>VLOOKUP(D162,原始分!$D:$N,11,0)</f>
        <v>0</v>
      </c>
      <c r="W162" s="174">
        <f t="shared" si="34"/>
        <v>105</v>
      </c>
      <c r="X162" s="11">
        <f t="shared" si="35"/>
        <v>270.75</v>
      </c>
      <c r="Y162" s="9">
        <f t="shared" si="36"/>
        <v>167</v>
      </c>
      <c r="Z162" s="11">
        <f t="shared" si="37"/>
        <v>432.25</v>
      </c>
      <c r="AA162" s="9">
        <f t="shared" si="38"/>
        <v>160</v>
      </c>
    </row>
    <row r="163" ht="14.25" spans="1:27">
      <c r="A163" s="13">
        <v>744</v>
      </c>
      <c r="B163" s="15">
        <v>15</v>
      </c>
      <c r="C163" s="16">
        <v>44</v>
      </c>
      <c r="D163" s="15" t="s">
        <v>1490</v>
      </c>
      <c r="E163" s="15" t="s">
        <v>1491</v>
      </c>
      <c r="F163" s="174">
        <f>VLOOKUP(D163,原始分!$D:$N,3,0)</f>
        <v>90</v>
      </c>
      <c r="G163" s="174">
        <f t="shared" si="26"/>
        <v>198</v>
      </c>
      <c r="H163" s="174">
        <f>VLOOKUP(D163,原始分!$D:$N,4,0)</f>
        <v>90.5</v>
      </c>
      <c r="I163" s="174">
        <f t="shared" si="27"/>
        <v>118</v>
      </c>
      <c r="J163" s="174">
        <f>VLOOKUP(D163,原始分!$D:$N,5,0)</f>
        <v>101.5</v>
      </c>
      <c r="K163" s="174">
        <f t="shared" si="28"/>
        <v>118</v>
      </c>
      <c r="L163" s="174">
        <f>VLOOKUP(D163,原始分!$D:$N,6,0)</f>
        <v>0</v>
      </c>
      <c r="M163" s="174">
        <f t="shared" si="29"/>
        <v>1</v>
      </c>
      <c r="N163" s="174">
        <f>VLOOKUP(D163,原始分!$D:$N,7,0)</f>
        <v>54</v>
      </c>
      <c r="O163" s="174">
        <f t="shared" si="30"/>
        <v>134</v>
      </c>
      <c r="P163" s="174">
        <f>VLOOKUP(D163,原始分!$D:$N,8,0)</f>
        <v>0</v>
      </c>
      <c r="Q163" s="174">
        <f t="shared" si="31"/>
        <v>3</v>
      </c>
      <c r="R163" s="174">
        <f>VLOOKUP(D163,原始分!$D:$N,9,0)</f>
        <v>0</v>
      </c>
      <c r="S163" s="174">
        <f t="shared" si="32"/>
        <v>103</v>
      </c>
      <c r="T163" s="174">
        <f>VLOOKUP(D163,原始分!$D:$N,10,0)</f>
        <v>55.5</v>
      </c>
      <c r="U163" s="174">
        <f t="shared" si="33"/>
        <v>136</v>
      </c>
      <c r="V163" s="174">
        <f>VLOOKUP(D163,原始分!$D:$N,11,0)</f>
        <v>40.5</v>
      </c>
      <c r="W163" s="174">
        <f t="shared" si="34"/>
        <v>92</v>
      </c>
      <c r="X163" s="11">
        <f t="shared" si="35"/>
        <v>282</v>
      </c>
      <c r="Y163" s="9">
        <f t="shared" si="36"/>
        <v>148</v>
      </c>
      <c r="Z163" s="11">
        <f t="shared" si="37"/>
        <v>432</v>
      </c>
      <c r="AA163" s="9">
        <f t="shared" si="38"/>
        <v>161</v>
      </c>
    </row>
    <row r="164" ht="14.25" spans="1:27">
      <c r="A164" s="13">
        <v>822</v>
      </c>
      <c r="B164" s="15">
        <v>17</v>
      </c>
      <c r="C164" s="16">
        <v>49</v>
      </c>
      <c r="D164" s="15" t="s">
        <v>1642</v>
      </c>
      <c r="E164" s="15" t="s">
        <v>1643</v>
      </c>
      <c r="F164" s="174">
        <f>VLOOKUP(D164,原始分!$D:$N,3,0)</f>
        <v>97.5</v>
      </c>
      <c r="G164" s="174">
        <f t="shared" si="26"/>
        <v>160</v>
      </c>
      <c r="H164" s="174">
        <f>VLOOKUP(D164,原始分!$D:$N,4,0)</f>
        <v>67</v>
      </c>
      <c r="I164" s="174">
        <f t="shared" si="27"/>
        <v>188</v>
      </c>
      <c r="J164" s="174">
        <f>VLOOKUP(D164,原始分!$D:$N,5,0)</f>
        <v>107</v>
      </c>
      <c r="K164" s="174">
        <f t="shared" si="28"/>
        <v>90</v>
      </c>
      <c r="L164" s="174">
        <f>VLOOKUP(D164,原始分!$D:$N,6,0)</f>
        <v>0</v>
      </c>
      <c r="M164" s="174">
        <f t="shared" si="29"/>
        <v>1</v>
      </c>
      <c r="N164" s="174">
        <f>VLOOKUP(D164,原始分!$D:$N,7,0)</f>
        <v>49.5</v>
      </c>
      <c r="O164" s="174">
        <f t="shared" si="30"/>
        <v>171</v>
      </c>
      <c r="P164" s="174">
        <f>VLOOKUP(D164,原始分!$D:$N,8,0)</f>
        <v>0</v>
      </c>
      <c r="Q164" s="174">
        <f t="shared" si="31"/>
        <v>3</v>
      </c>
      <c r="R164" s="174">
        <f>VLOOKUP(D164,原始分!$D:$N,9,0)</f>
        <v>54</v>
      </c>
      <c r="S164" s="174">
        <f t="shared" si="32"/>
        <v>36</v>
      </c>
      <c r="T164" s="174">
        <f>VLOOKUP(D164,原始分!$D:$N,10,0)</f>
        <v>57</v>
      </c>
      <c r="U164" s="174">
        <f t="shared" si="33"/>
        <v>118</v>
      </c>
      <c r="V164" s="174">
        <f>VLOOKUP(D164,原始分!$D:$N,11,0)</f>
        <v>0</v>
      </c>
      <c r="W164" s="174">
        <f t="shared" si="34"/>
        <v>105</v>
      </c>
      <c r="X164" s="11">
        <f t="shared" si="35"/>
        <v>271.5</v>
      </c>
      <c r="Y164" s="9">
        <f t="shared" si="36"/>
        <v>166</v>
      </c>
      <c r="Z164" s="11">
        <f t="shared" si="37"/>
        <v>432</v>
      </c>
      <c r="AA164" s="9">
        <f t="shared" si="38"/>
        <v>161</v>
      </c>
    </row>
    <row r="165" ht="14.25" spans="1:27">
      <c r="A165" s="13">
        <v>801</v>
      </c>
      <c r="B165" s="15">
        <v>17</v>
      </c>
      <c r="C165" s="16">
        <v>24</v>
      </c>
      <c r="D165" s="15" t="s">
        <v>1600</v>
      </c>
      <c r="E165" s="15" t="s">
        <v>1601</v>
      </c>
      <c r="F165" s="174">
        <f>VLOOKUP(D165,原始分!$D:$N,3,0)</f>
        <v>99</v>
      </c>
      <c r="G165" s="174">
        <f t="shared" si="26"/>
        <v>139</v>
      </c>
      <c r="H165" s="174">
        <f>VLOOKUP(D165,原始分!$D:$N,4,0)</f>
        <v>70</v>
      </c>
      <c r="I165" s="174">
        <f t="shared" si="27"/>
        <v>181</v>
      </c>
      <c r="J165" s="174">
        <f>VLOOKUP(D165,原始分!$D:$N,5,0)</f>
        <v>96.75</v>
      </c>
      <c r="K165" s="174">
        <f t="shared" si="28"/>
        <v>141</v>
      </c>
      <c r="L165" s="174">
        <f>VLOOKUP(D165,原始分!$D:$N,6,0)</f>
        <v>0</v>
      </c>
      <c r="M165" s="174">
        <f t="shared" si="29"/>
        <v>1</v>
      </c>
      <c r="N165" s="174">
        <f>VLOOKUP(D165,原始分!$D:$N,7,0)</f>
        <v>44.5</v>
      </c>
      <c r="O165" s="174">
        <f t="shared" si="30"/>
        <v>195</v>
      </c>
      <c r="P165" s="174">
        <f>VLOOKUP(D165,原始分!$D:$N,8,0)</f>
        <v>0</v>
      </c>
      <c r="Q165" s="174">
        <f t="shared" si="31"/>
        <v>3</v>
      </c>
      <c r="R165" s="174">
        <f>VLOOKUP(D165,原始分!$D:$N,9,0)</f>
        <v>58.5</v>
      </c>
      <c r="S165" s="174">
        <f t="shared" si="32"/>
        <v>17</v>
      </c>
      <c r="T165" s="174">
        <f>VLOOKUP(D165,原始分!$D:$N,10,0)</f>
        <v>63</v>
      </c>
      <c r="U165" s="174">
        <f t="shared" si="33"/>
        <v>57</v>
      </c>
      <c r="V165" s="174">
        <f>VLOOKUP(D165,原始分!$D:$N,11,0)</f>
        <v>0</v>
      </c>
      <c r="W165" s="174">
        <f t="shared" si="34"/>
        <v>105</v>
      </c>
      <c r="X165" s="11">
        <f t="shared" si="35"/>
        <v>265.75</v>
      </c>
      <c r="Y165" s="9">
        <f t="shared" si="36"/>
        <v>185</v>
      </c>
      <c r="Z165" s="11">
        <f t="shared" si="37"/>
        <v>431.75</v>
      </c>
      <c r="AA165" s="9">
        <f t="shared" si="38"/>
        <v>163</v>
      </c>
    </row>
    <row r="166" ht="14.25" spans="1:27">
      <c r="A166" s="13">
        <v>733</v>
      </c>
      <c r="B166" s="15">
        <v>15</v>
      </c>
      <c r="C166" s="16">
        <v>33</v>
      </c>
      <c r="D166" s="15" t="s">
        <v>1468</v>
      </c>
      <c r="E166" s="15" t="s">
        <v>1469</v>
      </c>
      <c r="F166" s="174">
        <f>VLOOKUP(D166,原始分!$D:$N,3,0)</f>
        <v>109.5</v>
      </c>
      <c r="G166" s="174">
        <f t="shared" si="26"/>
        <v>27</v>
      </c>
      <c r="H166" s="174">
        <f>VLOOKUP(D166,原始分!$D:$N,4,0)</f>
        <v>74</v>
      </c>
      <c r="I166" s="174">
        <f t="shared" si="27"/>
        <v>175</v>
      </c>
      <c r="J166" s="174">
        <f>VLOOKUP(D166,原始分!$D:$N,5,0)</f>
        <v>83.75</v>
      </c>
      <c r="K166" s="174">
        <f t="shared" si="28"/>
        <v>186</v>
      </c>
      <c r="L166" s="174">
        <f>VLOOKUP(D166,原始分!$D:$N,6,0)</f>
        <v>0</v>
      </c>
      <c r="M166" s="174">
        <f t="shared" si="29"/>
        <v>1</v>
      </c>
      <c r="N166" s="174">
        <f>VLOOKUP(D166,原始分!$D:$N,7,0)</f>
        <v>56.5</v>
      </c>
      <c r="O166" s="174">
        <f t="shared" si="30"/>
        <v>101</v>
      </c>
      <c r="P166" s="174">
        <f>VLOOKUP(D166,原始分!$D:$N,8,0)</f>
        <v>0</v>
      </c>
      <c r="Q166" s="174">
        <f t="shared" si="31"/>
        <v>3</v>
      </c>
      <c r="R166" s="174">
        <f>VLOOKUP(D166,原始分!$D:$N,9,0)</f>
        <v>0</v>
      </c>
      <c r="S166" s="174">
        <f t="shared" si="32"/>
        <v>103</v>
      </c>
      <c r="T166" s="174">
        <f>VLOOKUP(D166,原始分!$D:$N,10,0)</f>
        <v>59</v>
      </c>
      <c r="U166" s="174">
        <f t="shared" si="33"/>
        <v>95</v>
      </c>
      <c r="V166" s="174">
        <f>VLOOKUP(D166,原始分!$D:$N,11,0)</f>
        <v>48</v>
      </c>
      <c r="W166" s="174">
        <f t="shared" si="34"/>
        <v>65</v>
      </c>
      <c r="X166" s="11">
        <f t="shared" si="35"/>
        <v>267.25</v>
      </c>
      <c r="Y166" s="9">
        <f t="shared" si="36"/>
        <v>181</v>
      </c>
      <c r="Z166" s="11">
        <f t="shared" si="37"/>
        <v>430.75</v>
      </c>
      <c r="AA166" s="9">
        <f t="shared" si="38"/>
        <v>164</v>
      </c>
    </row>
    <row r="167" ht="14.25" spans="1:27">
      <c r="A167" s="13">
        <v>727</v>
      </c>
      <c r="B167" s="15">
        <v>15</v>
      </c>
      <c r="C167" s="16">
        <v>26</v>
      </c>
      <c r="D167" s="15" t="s">
        <v>1456</v>
      </c>
      <c r="E167" s="15" t="s">
        <v>1457</v>
      </c>
      <c r="F167" s="174">
        <f>VLOOKUP(D167,原始分!$D:$N,3,0)</f>
        <v>80.5</v>
      </c>
      <c r="G167" s="174">
        <f t="shared" si="26"/>
        <v>206</v>
      </c>
      <c r="H167" s="174">
        <f>VLOOKUP(D167,原始分!$D:$N,4,0)</f>
        <v>87</v>
      </c>
      <c r="I167" s="174">
        <f t="shared" si="27"/>
        <v>138</v>
      </c>
      <c r="J167" s="174">
        <f>VLOOKUP(D167,原始分!$D:$N,5,0)</f>
        <v>99.25</v>
      </c>
      <c r="K167" s="174">
        <f t="shared" si="28"/>
        <v>128</v>
      </c>
      <c r="L167" s="174">
        <f>VLOOKUP(D167,原始分!$D:$N,6,0)</f>
        <v>0</v>
      </c>
      <c r="M167" s="174">
        <f t="shared" si="29"/>
        <v>1</v>
      </c>
      <c r="N167" s="174">
        <f>VLOOKUP(D167,原始分!$D:$N,7,0)</f>
        <v>59.5</v>
      </c>
      <c r="O167" s="174">
        <f t="shared" si="30"/>
        <v>69</v>
      </c>
      <c r="P167" s="174">
        <f>VLOOKUP(D167,原始分!$D:$N,8,0)</f>
        <v>0</v>
      </c>
      <c r="Q167" s="174">
        <f t="shared" si="31"/>
        <v>3</v>
      </c>
      <c r="R167" s="174">
        <f>VLOOKUP(D167,原始分!$D:$N,9,0)</f>
        <v>0</v>
      </c>
      <c r="S167" s="174">
        <f t="shared" si="32"/>
        <v>103</v>
      </c>
      <c r="T167" s="174">
        <f>VLOOKUP(D167,原始分!$D:$N,10,0)</f>
        <v>54</v>
      </c>
      <c r="U167" s="174">
        <f t="shared" si="33"/>
        <v>145</v>
      </c>
      <c r="V167" s="174">
        <f>VLOOKUP(D167,原始分!$D:$N,11,0)</f>
        <v>50</v>
      </c>
      <c r="W167" s="174">
        <f t="shared" si="34"/>
        <v>56</v>
      </c>
      <c r="X167" s="11">
        <f t="shared" si="35"/>
        <v>266.75</v>
      </c>
      <c r="Y167" s="9">
        <f t="shared" si="36"/>
        <v>183</v>
      </c>
      <c r="Z167" s="11">
        <f t="shared" si="37"/>
        <v>430.25</v>
      </c>
      <c r="AA167" s="9">
        <f t="shared" si="38"/>
        <v>165</v>
      </c>
    </row>
    <row r="168" ht="14.25" spans="1:27">
      <c r="A168" s="13">
        <v>729</v>
      </c>
      <c r="B168" s="15">
        <v>15</v>
      </c>
      <c r="C168" s="16">
        <v>29</v>
      </c>
      <c r="D168" s="15" t="s">
        <v>1460</v>
      </c>
      <c r="E168" s="15" t="s">
        <v>1461</v>
      </c>
      <c r="F168" s="174">
        <f>VLOOKUP(D168,原始分!$D:$N,3,0)</f>
        <v>107.5</v>
      </c>
      <c r="G168" s="174">
        <f t="shared" si="26"/>
        <v>40</v>
      </c>
      <c r="H168" s="174">
        <f>VLOOKUP(D168,原始分!$D:$N,4,0)</f>
        <v>91</v>
      </c>
      <c r="I168" s="174">
        <f t="shared" si="27"/>
        <v>114</v>
      </c>
      <c r="J168" s="174">
        <f>VLOOKUP(D168,原始分!$D:$N,5,0)</f>
        <v>84.5</v>
      </c>
      <c r="K168" s="174">
        <f t="shared" si="28"/>
        <v>182</v>
      </c>
      <c r="L168" s="174">
        <f>VLOOKUP(D168,原始分!$D:$N,6,0)</f>
        <v>0</v>
      </c>
      <c r="M168" s="174">
        <f t="shared" si="29"/>
        <v>1</v>
      </c>
      <c r="N168" s="174">
        <f>VLOOKUP(D168,原始分!$D:$N,7,0)</f>
        <v>42.5</v>
      </c>
      <c r="O168" s="174">
        <f t="shared" si="30"/>
        <v>199</v>
      </c>
      <c r="P168" s="174">
        <f>VLOOKUP(D168,原始分!$D:$N,8,0)</f>
        <v>0</v>
      </c>
      <c r="Q168" s="174">
        <f t="shared" si="31"/>
        <v>3</v>
      </c>
      <c r="R168" s="174">
        <f>VLOOKUP(D168,原始分!$D:$N,9,0)</f>
        <v>0</v>
      </c>
      <c r="S168" s="174">
        <f t="shared" si="32"/>
        <v>103</v>
      </c>
      <c r="T168" s="174">
        <f>VLOOKUP(D168,原始分!$D:$N,10,0)</f>
        <v>59.25</v>
      </c>
      <c r="U168" s="174">
        <f t="shared" si="33"/>
        <v>94</v>
      </c>
      <c r="V168" s="174">
        <f>VLOOKUP(D168,原始分!$D:$N,11,0)</f>
        <v>45.5</v>
      </c>
      <c r="W168" s="174">
        <f t="shared" si="34"/>
        <v>74</v>
      </c>
      <c r="X168" s="11">
        <f t="shared" si="35"/>
        <v>283</v>
      </c>
      <c r="Y168" s="9">
        <f t="shared" si="36"/>
        <v>145</v>
      </c>
      <c r="Z168" s="11">
        <f t="shared" si="37"/>
        <v>430.25</v>
      </c>
      <c r="AA168" s="9">
        <f t="shared" si="38"/>
        <v>165</v>
      </c>
    </row>
    <row r="169" ht="14.25" spans="1:27">
      <c r="A169" s="13">
        <v>865</v>
      </c>
      <c r="B169" s="15">
        <v>18</v>
      </c>
      <c r="C169" s="16">
        <v>51</v>
      </c>
      <c r="D169" s="15" t="s">
        <v>1728</v>
      </c>
      <c r="E169" s="15" t="s">
        <v>1729</v>
      </c>
      <c r="F169" s="174">
        <f>VLOOKUP(D169,原始分!$D:$N,3,0)</f>
        <v>108</v>
      </c>
      <c r="G169" s="174">
        <f t="shared" si="26"/>
        <v>34</v>
      </c>
      <c r="H169" s="174">
        <f>VLOOKUP(D169,原始分!$D:$N,4,0)</f>
        <v>78.5</v>
      </c>
      <c r="I169" s="174">
        <f t="shared" si="27"/>
        <v>161</v>
      </c>
      <c r="J169" s="174">
        <f>VLOOKUP(D169,原始分!$D:$N,5,0)</f>
        <v>83.5</v>
      </c>
      <c r="K169" s="174">
        <f t="shared" si="28"/>
        <v>187</v>
      </c>
      <c r="L169" s="174">
        <f>VLOOKUP(D169,原始分!$D:$N,6,0)</f>
        <v>0</v>
      </c>
      <c r="M169" s="174">
        <f t="shared" si="29"/>
        <v>1</v>
      </c>
      <c r="N169" s="174">
        <f>VLOOKUP(D169,原始分!$D:$N,7,0)</f>
        <v>52.5</v>
      </c>
      <c r="O169" s="174">
        <f t="shared" si="30"/>
        <v>142</v>
      </c>
      <c r="P169" s="174">
        <f>VLOOKUP(D169,原始分!$D:$N,8,0)</f>
        <v>0</v>
      </c>
      <c r="Q169" s="174">
        <f t="shared" si="31"/>
        <v>3</v>
      </c>
      <c r="R169" s="174">
        <f>VLOOKUP(D169,原始分!$D:$N,9,0)</f>
        <v>51.5</v>
      </c>
      <c r="S169" s="174">
        <f t="shared" si="32"/>
        <v>50</v>
      </c>
      <c r="T169" s="174">
        <f>VLOOKUP(D169,原始分!$D:$N,10,0)</f>
        <v>55.25</v>
      </c>
      <c r="U169" s="174">
        <f t="shared" si="33"/>
        <v>139</v>
      </c>
      <c r="V169" s="174">
        <f>VLOOKUP(D169,原始分!$D:$N,11,0)</f>
        <v>0</v>
      </c>
      <c r="W169" s="174">
        <f t="shared" si="34"/>
        <v>105</v>
      </c>
      <c r="X169" s="11">
        <f t="shared" si="35"/>
        <v>270</v>
      </c>
      <c r="Y169" s="9">
        <f t="shared" si="36"/>
        <v>170</v>
      </c>
      <c r="Z169" s="11">
        <f t="shared" si="37"/>
        <v>429.25</v>
      </c>
      <c r="AA169" s="9">
        <f t="shared" si="38"/>
        <v>167</v>
      </c>
    </row>
    <row r="170" ht="14.25" spans="1:27">
      <c r="A170" s="13">
        <v>734</v>
      </c>
      <c r="B170" s="15">
        <v>15</v>
      </c>
      <c r="C170" s="16">
        <v>34</v>
      </c>
      <c r="D170" s="15" t="s">
        <v>1470</v>
      </c>
      <c r="E170" s="15" t="s">
        <v>1471</v>
      </c>
      <c r="F170" s="174">
        <f>VLOOKUP(D170,原始分!$D:$N,3,0)</f>
        <v>99</v>
      </c>
      <c r="G170" s="174">
        <f t="shared" si="26"/>
        <v>139</v>
      </c>
      <c r="H170" s="174">
        <f>VLOOKUP(D170,原始分!$D:$N,4,0)</f>
        <v>75</v>
      </c>
      <c r="I170" s="174">
        <f t="shared" si="27"/>
        <v>170</v>
      </c>
      <c r="J170" s="174">
        <f>VLOOKUP(D170,原始分!$D:$N,5,0)</f>
        <v>96</v>
      </c>
      <c r="K170" s="174">
        <f t="shared" si="28"/>
        <v>144</v>
      </c>
      <c r="L170" s="174">
        <f>VLOOKUP(D170,原始分!$D:$N,6,0)</f>
        <v>0</v>
      </c>
      <c r="M170" s="174">
        <f t="shared" si="29"/>
        <v>1</v>
      </c>
      <c r="N170" s="174">
        <f>VLOOKUP(D170,原始分!$D:$N,7,0)</f>
        <v>62</v>
      </c>
      <c r="O170" s="174">
        <f t="shared" si="30"/>
        <v>50</v>
      </c>
      <c r="P170" s="174">
        <f>VLOOKUP(D170,原始分!$D:$N,8,0)</f>
        <v>0</v>
      </c>
      <c r="Q170" s="174">
        <f t="shared" si="31"/>
        <v>3</v>
      </c>
      <c r="R170" s="174">
        <f>VLOOKUP(D170,原始分!$D:$N,9,0)</f>
        <v>0</v>
      </c>
      <c r="S170" s="174">
        <f t="shared" si="32"/>
        <v>103</v>
      </c>
      <c r="T170" s="174">
        <f>VLOOKUP(D170,原始分!$D:$N,10,0)</f>
        <v>51.5</v>
      </c>
      <c r="U170" s="174">
        <f t="shared" si="33"/>
        <v>167</v>
      </c>
      <c r="V170" s="174">
        <f>VLOOKUP(D170,原始分!$D:$N,11,0)</f>
        <v>45.5</v>
      </c>
      <c r="W170" s="174">
        <f t="shared" si="34"/>
        <v>74</v>
      </c>
      <c r="X170" s="11">
        <f t="shared" si="35"/>
        <v>270</v>
      </c>
      <c r="Y170" s="9">
        <f t="shared" si="36"/>
        <v>170</v>
      </c>
      <c r="Z170" s="11">
        <f t="shared" si="37"/>
        <v>429</v>
      </c>
      <c r="AA170" s="9">
        <f t="shared" si="38"/>
        <v>168</v>
      </c>
    </row>
    <row r="171" ht="14.25" spans="1:27">
      <c r="A171" s="13">
        <v>699</v>
      </c>
      <c r="B171" s="15">
        <v>14</v>
      </c>
      <c r="C171" s="16">
        <v>41</v>
      </c>
      <c r="D171" s="15" t="s">
        <v>1402</v>
      </c>
      <c r="E171" s="15" t="s">
        <v>1403</v>
      </c>
      <c r="F171" s="174">
        <f>VLOOKUP(D171,原始分!$D:$N,3,0)</f>
        <v>95.25</v>
      </c>
      <c r="G171" s="174">
        <f t="shared" si="26"/>
        <v>176</v>
      </c>
      <c r="H171" s="174">
        <f>VLOOKUP(D171,原始分!$D:$N,4,0)</f>
        <v>77</v>
      </c>
      <c r="I171" s="174">
        <f t="shared" si="27"/>
        <v>166</v>
      </c>
      <c r="J171" s="174">
        <f>VLOOKUP(D171,原始分!$D:$N,5,0)</f>
        <v>105.25</v>
      </c>
      <c r="K171" s="174">
        <f t="shared" si="28"/>
        <v>101</v>
      </c>
      <c r="L171" s="174">
        <f>VLOOKUP(D171,原始分!$D:$N,6,0)</f>
        <v>0</v>
      </c>
      <c r="M171" s="174">
        <f t="shared" si="29"/>
        <v>1</v>
      </c>
      <c r="N171" s="174">
        <f>VLOOKUP(D171,原始分!$D:$N,7,0)</f>
        <v>52</v>
      </c>
      <c r="O171" s="174">
        <f t="shared" si="30"/>
        <v>145</v>
      </c>
      <c r="P171" s="174">
        <f>VLOOKUP(D171,原始分!$D:$N,8,0)</f>
        <v>0</v>
      </c>
      <c r="Q171" s="174">
        <f t="shared" si="31"/>
        <v>3</v>
      </c>
      <c r="R171" s="174">
        <f>VLOOKUP(D171,原始分!$D:$N,9,0)</f>
        <v>0</v>
      </c>
      <c r="S171" s="174">
        <f t="shared" si="32"/>
        <v>103</v>
      </c>
      <c r="T171" s="174">
        <f>VLOOKUP(D171,原始分!$D:$N,10,0)</f>
        <v>58</v>
      </c>
      <c r="U171" s="174">
        <f t="shared" si="33"/>
        <v>111</v>
      </c>
      <c r="V171" s="174">
        <f>VLOOKUP(D171,原始分!$D:$N,11,0)</f>
        <v>40.5</v>
      </c>
      <c r="W171" s="174">
        <f t="shared" si="34"/>
        <v>92</v>
      </c>
      <c r="X171" s="11">
        <f t="shared" si="35"/>
        <v>277.5</v>
      </c>
      <c r="Y171" s="9">
        <f t="shared" si="36"/>
        <v>153</v>
      </c>
      <c r="Z171" s="11">
        <f t="shared" si="37"/>
        <v>428</v>
      </c>
      <c r="AA171" s="9">
        <f t="shared" si="38"/>
        <v>169</v>
      </c>
    </row>
    <row r="172" ht="14.25" spans="1:27">
      <c r="A172" s="13">
        <v>711</v>
      </c>
      <c r="B172" s="15">
        <v>15</v>
      </c>
      <c r="C172" s="16">
        <v>9</v>
      </c>
      <c r="D172" s="15" t="s">
        <v>1425</v>
      </c>
      <c r="E172" s="15" t="s">
        <v>1426</v>
      </c>
      <c r="F172" s="174">
        <f>VLOOKUP(D172,原始分!$D:$N,3,0)</f>
        <v>98</v>
      </c>
      <c r="G172" s="174">
        <f t="shared" si="26"/>
        <v>152</v>
      </c>
      <c r="H172" s="174">
        <f>VLOOKUP(D172,原始分!$D:$N,4,0)</f>
        <v>76.5</v>
      </c>
      <c r="I172" s="174">
        <f t="shared" si="27"/>
        <v>168</v>
      </c>
      <c r="J172" s="174">
        <f>VLOOKUP(D172,原始分!$D:$N,5,0)</f>
        <v>85.5</v>
      </c>
      <c r="K172" s="174">
        <f t="shared" si="28"/>
        <v>176</v>
      </c>
      <c r="L172" s="174">
        <f>VLOOKUP(D172,原始分!$D:$N,6,0)</f>
        <v>0</v>
      </c>
      <c r="M172" s="174">
        <f t="shared" si="29"/>
        <v>1</v>
      </c>
      <c r="N172" s="174">
        <f>VLOOKUP(D172,原始分!$D:$N,7,0)</f>
        <v>56.5</v>
      </c>
      <c r="O172" s="174">
        <f t="shared" si="30"/>
        <v>101</v>
      </c>
      <c r="P172" s="174">
        <f>VLOOKUP(D172,原始分!$D:$N,8,0)</f>
        <v>0</v>
      </c>
      <c r="Q172" s="174">
        <f t="shared" si="31"/>
        <v>3</v>
      </c>
      <c r="R172" s="174">
        <f>VLOOKUP(D172,原始分!$D:$N,9,0)</f>
        <v>0</v>
      </c>
      <c r="S172" s="174">
        <f t="shared" si="32"/>
        <v>103</v>
      </c>
      <c r="T172" s="174">
        <f>VLOOKUP(D172,原始分!$D:$N,10,0)</f>
        <v>59</v>
      </c>
      <c r="U172" s="174">
        <f t="shared" si="33"/>
        <v>95</v>
      </c>
      <c r="V172" s="174">
        <f>VLOOKUP(D172,原始分!$D:$N,11,0)</f>
        <v>52.5</v>
      </c>
      <c r="W172" s="174">
        <f t="shared" si="34"/>
        <v>41</v>
      </c>
      <c r="X172" s="11">
        <f t="shared" si="35"/>
        <v>260</v>
      </c>
      <c r="Y172" s="9">
        <f t="shared" si="36"/>
        <v>191</v>
      </c>
      <c r="Z172" s="11">
        <f t="shared" si="37"/>
        <v>428</v>
      </c>
      <c r="AA172" s="9">
        <f t="shared" si="38"/>
        <v>169</v>
      </c>
    </row>
    <row r="173" ht="14.25" spans="1:27">
      <c r="A173" s="13">
        <v>811</v>
      </c>
      <c r="B173" s="15">
        <v>17</v>
      </c>
      <c r="C173" s="16">
        <v>36</v>
      </c>
      <c r="D173" s="15" t="s">
        <v>1620</v>
      </c>
      <c r="E173" s="15" t="s">
        <v>1621</v>
      </c>
      <c r="F173" s="174">
        <f>VLOOKUP(D173,原始分!$D:$N,3,0)</f>
        <v>110.5</v>
      </c>
      <c r="G173" s="174">
        <f t="shared" si="26"/>
        <v>24</v>
      </c>
      <c r="H173" s="174">
        <f>VLOOKUP(D173,原始分!$D:$N,4,0)</f>
        <v>74.5</v>
      </c>
      <c r="I173" s="174">
        <f t="shared" si="27"/>
        <v>171</v>
      </c>
      <c r="J173" s="174">
        <f>VLOOKUP(D173,原始分!$D:$N,5,0)</f>
        <v>84.5</v>
      </c>
      <c r="K173" s="174">
        <f t="shared" si="28"/>
        <v>182</v>
      </c>
      <c r="L173" s="174">
        <f>VLOOKUP(D173,原始分!$D:$N,6,0)</f>
        <v>0</v>
      </c>
      <c r="M173" s="174">
        <f t="shared" si="29"/>
        <v>1</v>
      </c>
      <c r="N173" s="174">
        <f>VLOOKUP(D173,原始分!$D:$N,7,0)</f>
        <v>61.5</v>
      </c>
      <c r="O173" s="174">
        <f t="shared" si="30"/>
        <v>56</v>
      </c>
      <c r="P173" s="174">
        <f>VLOOKUP(D173,原始分!$D:$N,8,0)</f>
        <v>0</v>
      </c>
      <c r="Q173" s="174">
        <f t="shared" si="31"/>
        <v>3</v>
      </c>
      <c r="R173" s="174">
        <f>VLOOKUP(D173,原始分!$D:$N,9,0)</f>
        <v>40.5</v>
      </c>
      <c r="S173" s="174">
        <f t="shared" si="32"/>
        <v>98</v>
      </c>
      <c r="T173" s="174">
        <f>VLOOKUP(D173,原始分!$D:$N,10,0)</f>
        <v>56.5</v>
      </c>
      <c r="U173" s="174">
        <f t="shared" si="33"/>
        <v>127</v>
      </c>
      <c r="V173" s="174">
        <f>VLOOKUP(D173,原始分!$D:$N,11,0)</f>
        <v>0</v>
      </c>
      <c r="W173" s="174">
        <f t="shared" si="34"/>
        <v>105</v>
      </c>
      <c r="X173" s="11">
        <f t="shared" si="35"/>
        <v>269.5</v>
      </c>
      <c r="Y173" s="9">
        <f t="shared" si="36"/>
        <v>175</v>
      </c>
      <c r="Z173" s="11">
        <f t="shared" si="37"/>
        <v>428</v>
      </c>
      <c r="AA173" s="9">
        <f t="shared" si="38"/>
        <v>169</v>
      </c>
    </row>
    <row r="174" ht="14.25" spans="1:27">
      <c r="A174" s="13">
        <v>720</v>
      </c>
      <c r="B174" s="15">
        <v>15</v>
      </c>
      <c r="C174" s="16">
        <v>19</v>
      </c>
      <c r="D174" s="15" t="s">
        <v>1443</v>
      </c>
      <c r="E174" s="15" t="s">
        <v>1444</v>
      </c>
      <c r="F174" s="174">
        <f>VLOOKUP(D174,原始分!$D:$N,3,0)</f>
        <v>95.25</v>
      </c>
      <c r="G174" s="174">
        <f t="shared" si="26"/>
        <v>176</v>
      </c>
      <c r="H174" s="174">
        <f>VLOOKUP(D174,原始分!$D:$N,4,0)</f>
        <v>63</v>
      </c>
      <c r="I174" s="174">
        <f t="shared" si="27"/>
        <v>193</v>
      </c>
      <c r="J174" s="174">
        <f>VLOOKUP(D174,原始分!$D:$N,5,0)</f>
        <v>92.75</v>
      </c>
      <c r="K174" s="174">
        <f t="shared" si="28"/>
        <v>156</v>
      </c>
      <c r="L174" s="174">
        <f>VLOOKUP(D174,原始分!$D:$N,6,0)</f>
        <v>0</v>
      </c>
      <c r="M174" s="174">
        <f t="shared" si="29"/>
        <v>1</v>
      </c>
      <c r="N174" s="174">
        <f>VLOOKUP(D174,原始分!$D:$N,7,0)</f>
        <v>41</v>
      </c>
      <c r="O174" s="174">
        <f t="shared" si="30"/>
        <v>202</v>
      </c>
      <c r="P174" s="174">
        <f>VLOOKUP(D174,原始分!$D:$N,8,0)</f>
        <v>0</v>
      </c>
      <c r="Q174" s="174">
        <f t="shared" si="31"/>
        <v>3</v>
      </c>
      <c r="R174" s="174">
        <f>VLOOKUP(D174,原始分!$D:$N,9,0)</f>
        <v>0</v>
      </c>
      <c r="S174" s="174">
        <f t="shared" si="32"/>
        <v>103</v>
      </c>
      <c r="T174" s="174">
        <f>VLOOKUP(D174,原始分!$D:$N,10,0)</f>
        <v>66.5</v>
      </c>
      <c r="U174" s="174">
        <f t="shared" si="33"/>
        <v>28</v>
      </c>
      <c r="V174" s="174">
        <f>VLOOKUP(D174,原始分!$D:$N,11,0)</f>
        <v>68</v>
      </c>
      <c r="W174" s="174">
        <f t="shared" si="34"/>
        <v>3</v>
      </c>
      <c r="X174" s="11">
        <f t="shared" si="35"/>
        <v>251</v>
      </c>
      <c r="Y174" s="9">
        <f t="shared" si="36"/>
        <v>193</v>
      </c>
      <c r="Z174" s="11">
        <f t="shared" si="37"/>
        <v>426.5</v>
      </c>
      <c r="AA174" s="9">
        <f t="shared" si="38"/>
        <v>172</v>
      </c>
    </row>
    <row r="175" ht="14.25" spans="1:27">
      <c r="A175" s="13">
        <v>835</v>
      </c>
      <c r="B175" s="15">
        <v>18</v>
      </c>
      <c r="C175" s="16">
        <v>13</v>
      </c>
      <c r="D175" s="15" t="s">
        <v>1668</v>
      </c>
      <c r="E175" s="15" t="s">
        <v>1669</v>
      </c>
      <c r="F175" s="174">
        <f>VLOOKUP(D175,原始分!$D:$N,3,0)</f>
        <v>100</v>
      </c>
      <c r="G175" s="174">
        <f t="shared" si="26"/>
        <v>127</v>
      </c>
      <c r="H175" s="174">
        <f>VLOOKUP(D175,原始分!$D:$N,4,0)</f>
        <v>95.5</v>
      </c>
      <c r="I175" s="174">
        <f t="shared" si="27"/>
        <v>88</v>
      </c>
      <c r="J175" s="174">
        <f>VLOOKUP(D175,原始分!$D:$N,5,0)</f>
        <v>98.75</v>
      </c>
      <c r="K175" s="174">
        <f t="shared" si="28"/>
        <v>133</v>
      </c>
      <c r="L175" s="174">
        <f>VLOOKUP(D175,原始分!$D:$N,6,0)</f>
        <v>0</v>
      </c>
      <c r="M175" s="174">
        <f t="shared" si="29"/>
        <v>1</v>
      </c>
      <c r="N175" s="174">
        <f>VLOOKUP(D175,原始分!$D:$N,7,0)</f>
        <v>36.5</v>
      </c>
      <c r="O175" s="174">
        <f t="shared" si="30"/>
        <v>206</v>
      </c>
      <c r="P175" s="174">
        <f>VLOOKUP(D175,原始分!$D:$N,8,0)</f>
        <v>0</v>
      </c>
      <c r="Q175" s="174">
        <f t="shared" si="31"/>
        <v>3</v>
      </c>
      <c r="R175" s="174">
        <f>VLOOKUP(D175,原始分!$D:$N,9,0)</f>
        <v>47</v>
      </c>
      <c r="S175" s="174">
        <f t="shared" si="32"/>
        <v>75</v>
      </c>
      <c r="T175" s="174">
        <f>VLOOKUP(D175,原始分!$D:$N,10,0)</f>
        <v>48.25</v>
      </c>
      <c r="U175" s="174">
        <f t="shared" si="33"/>
        <v>184</v>
      </c>
      <c r="V175" s="174">
        <f>VLOOKUP(D175,原始分!$D:$N,11,0)</f>
        <v>0</v>
      </c>
      <c r="W175" s="174">
        <f t="shared" si="34"/>
        <v>105</v>
      </c>
      <c r="X175" s="11">
        <f t="shared" si="35"/>
        <v>294.25</v>
      </c>
      <c r="Y175" s="9">
        <f t="shared" si="36"/>
        <v>118</v>
      </c>
      <c r="Z175" s="11">
        <f t="shared" si="37"/>
        <v>426</v>
      </c>
      <c r="AA175" s="9">
        <f t="shared" si="38"/>
        <v>173</v>
      </c>
    </row>
    <row r="176" ht="14.25" spans="1:27">
      <c r="A176" s="13">
        <v>742</v>
      </c>
      <c r="B176" s="15">
        <v>15</v>
      </c>
      <c r="C176" s="16">
        <v>42</v>
      </c>
      <c r="D176" s="15" t="s">
        <v>1486</v>
      </c>
      <c r="E176" s="15" t="s">
        <v>1487</v>
      </c>
      <c r="F176" s="174">
        <f>VLOOKUP(D176,原始分!$D:$N,3,0)</f>
        <v>103.5</v>
      </c>
      <c r="G176" s="174">
        <f t="shared" si="26"/>
        <v>85</v>
      </c>
      <c r="H176" s="174">
        <f>VLOOKUP(D176,原始分!$D:$N,4,0)</f>
        <v>79.5</v>
      </c>
      <c r="I176" s="174">
        <f t="shared" si="27"/>
        <v>158</v>
      </c>
      <c r="J176" s="174">
        <f>VLOOKUP(D176,原始分!$D:$N,5,0)</f>
        <v>84.5</v>
      </c>
      <c r="K176" s="174">
        <f t="shared" si="28"/>
        <v>182</v>
      </c>
      <c r="L176" s="174">
        <f>VLOOKUP(D176,原始分!$D:$N,6,0)</f>
        <v>0</v>
      </c>
      <c r="M176" s="174">
        <f t="shared" si="29"/>
        <v>1</v>
      </c>
      <c r="N176" s="174">
        <f>VLOOKUP(D176,原始分!$D:$N,7,0)</f>
        <v>59</v>
      </c>
      <c r="O176" s="174">
        <f t="shared" si="30"/>
        <v>77</v>
      </c>
      <c r="P176" s="174">
        <f>VLOOKUP(D176,原始分!$D:$N,8,0)</f>
        <v>0</v>
      </c>
      <c r="Q176" s="174">
        <f t="shared" si="31"/>
        <v>3</v>
      </c>
      <c r="R176" s="174">
        <f>VLOOKUP(D176,原始分!$D:$N,9,0)</f>
        <v>0</v>
      </c>
      <c r="S176" s="174">
        <f t="shared" si="32"/>
        <v>103</v>
      </c>
      <c r="T176" s="174">
        <f>VLOOKUP(D176,原始分!$D:$N,10,0)</f>
        <v>54</v>
      </c>
      <c r="U176" s="174">
        <f t="shared" si="33"/>
        <v>145</v>
      </c>
      <c r="V176" s="174">
        <f>VLOOKUP(D176,原始分!$D:$N,11,0)</f>
        <v>44.5</v>
      </c>
      <c r="W176" s="174">
        <f t="shared" si="34"/>
        <v>82</v>
      </c>
      <c r="X176" s="11">
        <f t="shared" si="35"/>
        <v>267.5</v>
      </c>
      <c r="Y176" s="9">
        <f t="shared" si="36"/>
        <v>179</v>
      </c>
      <c r="Z176" s="11">
        <f t="shared" si="37"/>
        <v>425</v>
      </c>
      <c r="AA176" s="9">
        <f t="shared" si="38"/>
        <v>174</v>
      </c>
    </row>
    <row r="177" ht="14.25" spans="1:27">
      <c r="A177" s="13">
        <v>810</v>
      </c>
      <c r="B177" s="15">
        <v>17</v>
      </c>
      <c r="C177" s="16">
        <v>35</v>
      </c>
      <c r="D177" s="15" t="s">
        <v>1618</v>
      </c>
      <c r="E177" s="15" t="s">
        <v>1619</v>
      </c>
      <c r="F177" s="174">
        <f>VLOOKUP(D177,原始分!$D:$N,3,0)</f>
        <v>103.25</v>
      </c>
      <c r="G177" s="174">
        <f t="shared" si="26"/>
        <v>92</v>
      </c>
      <c r="H177" s="174">
        <f>VLOOKUP(D177,原始分!$D:$N,4,0)</f>
        <v>78</v>
      </c>
      <c r="I177" s="174">
        <f t="shared" si="27"/>
        <v>162</v>
      </c>
      <c r="J177" s="174">
        <f>VLOOKUP(D177,原始分!$D:$N,5,0)</f>
        <v>81</v>
      </c>
      <c r="K177" s="174">
        <f t="shared" si="28"/>
        <v>193</v>
      </c>
      <c r="L177" s="174">
        <f>VLOOKUP(D177,原始分!$D:$N,6,0)</f>
        <v>0</v>
      </c>
      <c r="M177" s="174">
        <f t="shared" si="29"/>
        <v>1</v>
      </c>
      <c r="N177" s="174">
        <f>VLOOKUP(D177,原始分!$D:$N,7,0)</f>
        <v>62</v>
      </c>
      <c r="O177" s="174">
        <f t="shared" si="30"/>
        <v>50</v>
      </c>
      <c r="P177" s="174">
        <f>VLOOKUP(D177,原始分!$D:$N,8,0)</f>
        <v>0</v>
      </c>
      <c r="Q177" s="174">
        <f t="shared" si="31"/>
        <v>3</v>
      </c>
      <c r="R177" s="174">
        <f>VLOOKUP(D177,原始分!$D:$N,9,0)</f>
        <v>50</v>
      </c>
      <c r="S177" s="174">
        <f t="shared" si="32"/>
        <v>60</v>
      </c>
      <c r="T177" s="174">
        <f>VLOOKUP(D177,原始分!$D:$N,10,0)</f>
        <v>49</v>
      </c>
      <c r="U177" s="174">
        <f t="shared" si="33"/>
        <v>177</v>
      </c>
      <c r="V177" s="174">
        <f>VLOOKUP(D177,原始分!$D:$N,11,0)</f>
        <v>0</v>
      </c>
      <c r="W177" s="174">
        <f t="shared" si="34"/>
        <v>105</v>
      </c>
      <c r="X177" s="11">
        <f t="shared" si="35"/>
        <v>262.25</v>
      </c>
      <c r="Y177" s="9">
        <f t="shared" si="36"/>
        <v>189</v>
      </c>
      <c r="Z177" s="11">
        <f t="shared" si="37"/>
        <v>423.25</v>
      </c>
      <c r="AA177" s="9">
        <f t="shared" si="38"/>
        <v>175</v>
      </c>
    </row>
    <row r="178" ht="14.25" spans="1:27">
      <c r="A178" s="13">
        <v>731</v>
      </c>
      <c r="B178" s="15">
        <v>15</v>
      </c>
      <c r="C178" s="16">
        <v>31</v>
      </c>
      <c r="D178" s="15" t="s">
        <v>1464</v>
      </c>
      <c r="E178" s="15" t="s">
        <v>1465</v>
      </c>
      <c r="F178" s="174">
        <f>VLOOKUP(D178,原始分!$D:$N,3,0)</f>
        <v>101.5</v>
      </c>
      <c r="G178" s="174">
        <f t="shared" si="26"/>
        <v>110</v>
      </c>
      <c r="H178" s="174">
        <f>VLOOKUP(D178,原始分!$D:$N,4,0)</f>
        <v>65.5</v>
      </c>
      <c r="I178" s="174">
        <f t="shared" si="27"/>
        <v>190</v>
      </c>
      <c r="J178" s="174">
        <f>VLOOKUP(D178,原始分!$D:$N,5,0)</f>
        <v>109.25</v>
      </c>
      <c r="K178" s="174">
        <f t="shared" si="28"/>
        <v>76</v>
      </c>
      <c r="L178" s="174">
        <f>VLOOKUP(D178,原始分!$D:$N,6,0)</f>
        <v>0</v>
      </c>
      <c r="M178" s="174">
        <f t="shared" si="29"/>
        <v>1</v>
      </c>
      <c r="N178" s="174">
        <f>VLOOKUP(D178,原始分!$D:$N,7,0)</f>
        <v>57.5</v>
      </c>
      <c r="O178" s="174">
        <f t="shared" si="30"/>
        <v>92</v>
      </c>
      <c r="P178" s="174">
        <f>VLOOKUP(D178,原始分!$D:$N,8,0)</f>
        <v>0</v>
      </c>
      <c r="Q178" s="174">
        <f t="shared" si="31"/>
        <v>3</v>
      </c>
      <c r="R178" s="174">
        <f>VLOOKUP(D178,原始分!$D:$N,9,0)</f>
        <v>0</v>
      </c>
      <c r="S178" s="174">
        <f t="shared" si="32"/>
        <v>103</v>
      </c>
      <c r="T178" s="174">
        <f>VLOOKUP(D178,原始分!$D:$N,10,0)</f>
        <v>47.5</v>
      </c>
      <c r="U178" s="174">
        <f t="shared" si="33"/>
        <v>186</v>
      </c>
      <c r="V178" s="174">
        <f>VLOOKUP(D178,原始分!$D:$N,11,0)</f>
        <v>41.5</v>
      </c>
      <c r="W178" s="174">
        <f t="shared" si="34"/>
        <v>91</v>
      </c>
      <c r="X178" s="11">
        <f t="shared" si="35"/>
        <v>276.25</v>
      </c>
      <c r="Y178" s="9">
        <f t="shared" si="36"/>
        <v>156</v>
      </c>
      <c r="Z178" s="11">
        <f t="shared" si="37"/>
        <v>422.75</v>
      </c>
      <c r="AA178" s="9">
        <f t="shared" si="38"/>
        <v>176</v>
      </c>
    </row>
    <row r="179" ht="14.25" spans="1:27">
      <c r="A179" s="13">
        <v>686</v>
      </c>
      <c r="B179" s="15">
        <v>14</v>
      </c>
      <c r="C179" s="16">
        <v>27</v>
      </c>
      <c r="D179" s="15" t="s">
        <v>1378</v>
      </c>
      <c r="E179" s="15" t="s">
        <v>1379</v>
      </c>
      <c r="F179" s="174">
        <f>VLOOKUP(D179,原始分!$D:$N,3,0)</f>
        <v>98.5</v>
      </c>
      <c r="G179" s="174">
        <f t="shared" si="26"/>
        <v>146</v>
      </c>
      <c r="H179" s="174">
        <f>VLOOKUP(D179,原始分!$D:$N,4,0)</f>
        <v>106</v>
      </c>
      <c r="I179" s="174">
        <f t="shared" si="27"/>
        <v>43</v>
      </c>
      <c r="J179" s="174">
        <f>VLOOKUP(D179,原始分!$D:$N,5,0)</f>
        <v>78</v>
      </c>
      <c r="K179" s="174">
        <f t="shared" si="28"/>
        <v>198</v>
      </c>
      <c r="L179" s="174">
        <f>VLOOKUP(D179,原始分!$D:$N,6,0)</f>
        <v>0</v>
      </c>
      <c r="M179" s="174">
        <f t="shared" si="29"/>
        <v>1</v>
      </c>
      <c r="N179" s="174">
        <f>VLOOKUP(D179,原始分!$D:$N,7,0)</f>
        <v>51.5</v>
      </c>
      <c r="O179" s="174">
        <f t="shared" si="30"/>
        <v>150</v>
      </c>
      <c r="P179" s="174">
        <f>VLOOKUP(D179,原始分!$D:$N,8,0)</f>
        <v>0</v>
      </c>
      <c r="Q179" s="174">
        <f t="shared" si="31"/>
        <v>3</v>
      </c>
      <c r="R179" s="174">
        <f>VLOOKUP(D179,原始分!$D:$N,9,0)</f>
        <v>0</v>
      </c>
      <c r="S179" s="174">
        <f t="shared" si="32"/>
        <v>103</v>
      </c>
      <c r="T179" s="174">
        <f>VLOOKUP(D179,原始分!$D:$N,10,0)</f>
        <v>50.25</v>
      </c>
      <c r="U179" s="174">
        <f t="shared" si="33"/>
        <v>172</v>
      </c>
      <c r="V179" s="174">
        <f>VLOOKUP(D179,原始分!$D:$N,11,0)</f>
        <v>37</v>
      </c>
      <c r="W179" s="174">
        <f t="shared" si="34"/>
        <v>97</v>
      </c>
      <c r="X179" s="11">
        <f t="shared" si="35"/>
        <v>282.5</v>
      </c>
      <c r="Y179" s="9">
        <f t="shared" si="36"/>
        <v>147</v>
      </c>
      <c r="Z179" s="11">
        <f t="shared" si="37"/>
        <v>421.25</v>
      </c>
      <c r="AA179" s="9">
        <f t="shared" si="38"/>
        <v>177</v>
      </c>
    </row>
    <row r="180" ht="14.25" spans="1:27">
      <c r="A180" s="13">
        <v>697</v>
      </c>
      <c r="B180" s="15">
        <v>14</v>
      </c>
      <c r="C180" s="16">
        <v>39</v>
      </c>
      <c r="D180" s="15" t="s">
        <v>1398</v>
      </c>
      <c r="E180" s="15" t="s">
        <v>1399</v>
      </c>
      <c r="F180" s="174">
        <f>VLOOKUP(D180,原始分!$D:$N,3,0)</f>
        <v>108.25</v>
      </c>
      <c r="G180" s="174">
        <f t="shared" si="26"/>
        <v>33</v>
      </c>
      <c r="H180" s="174">
        <f>VLOOKUP(D180,原始分!$D:$N,4,0)</f>
        <v>57</v>
      </c>
      <c r="I180" s="174">
        <f t="shared" si="27"/>
        <v>200</v>
      </c>
      <c r="J180" s="174">
        <f>VLOOKUP(D180,原始分!$D:$N,5,0)</f>
        <v>104.5</v>
      </c>
      <c r="K180" s="174">
        <f t="shared" si="28"/>
        <v>105</v>
      </c>
      <c r="L180" s="174">
        <f>VLOOKUP(D180,原始分!$D:$N,6,0)</f>
        <v>0</v>
      </c>
      <c r="M180" s="174">
        <f t="shared" si="29"/>
        <v>1</v>
      </c>
      <c r="N180" s="174">
        <f>VLOOKUP(D180,原始分!$D:$N,7,0)</f>
        <v>52</v>
      </c>
      <c r="O180" s="174">
        <f t="shared" si="30"/>
        <v>145</v>
      </c>
      <c r="P180" s="174">
        <f>VLOOKUP(D180,原始分!$D:$N,8,0)</f>
        <v>0</v>
      </c>
      <c r="Q180" s="174">
        <f t="shared" si="31"/>
        <v>3</v>
      </c>
      <c r="R180" s="174">
        <f>VLOOKUP(D180,原始分!$D:$N,9,0)</f>
        <v>0</v>
      </c>
      <c r="S180" s="174">
        <f t="shared" si="32"/>
        <v>103</v>
      </c>
      <c r="T180" s="174">
        <f>VLOOKUP(D180,原始分!$D:$N,10,0)</f>
        <v>57</v>
      </c>
      <c r="U180" s="174">
        <f t="shared" si="33"/>
        <v>118</v>
      </c>
      <c r="V180" s="174">
        <f>VLOOKUP(D180,原始分!$D:$N,11,0)</f>
        <v>42</v>
      </c>
      <c r="W180" s="174">
        <f t="shared" si="34"/>
        <v>90</v>
      </c>
      <c r="X180" s="11">
        <f t="shared" si="35"/>
        <v>269.75</v>
      </c>
      <c r="Y180" s="9">
        <f t="shared" si="36"/>
        <v>173</v>
      </c>
      <c r="Z180" s="11">
        <f t="shared" si="37"/>
        <v>420.75</v>
      </c>
      <c r="AA180" s="9">
        <f t="shared" si="38"/>
        <v>178</v>
      </c>
    </row>
    <row r="181" ht="14.25" spans="1:27">
      <c r="A181" s="13">
        <v>856</v>
      </c>
      <c r="B181" s="15">
        <v>18</v>
      </c>
      <c r="C181" s="16">
        <v>39</v>
      </c>
      <c r="D181" s="15" t="s">
        <v>1710</v>
      </c>
      <c r="E181" s="15" t="s">
        <v>1711</v>
      </c>
      <c r="F181" s="174">
        <f>VLOOKUP(D181,原始分!$D:$N,3,0)</f>
        <v>98.5</v>
      </c>
      <c r="G181" s="174">
        <f t="shared" si="26"/>
        <v>146</v>
      </c>
      <c r="H181" s="174">
        <f>VLOOKUP(D181,原始分!$D:$N,4,0)</f>
        <v>77.5</v>
      </c>
      <c r="I181" s="174">
        <f t="shared" si="27"/>
        <v>165</v>
      </c>
      <c r="J181" s="174">
        <f>VLOOKUP(D181,原始分!$D:$N,5,0)</f>
        <v>93.75</v>
      </c>
      <c r="K181" s="174">
        <f t="shared" si="28"/>
        <v>151</v>
      </c>
      <c r="L181" s="174">
        <f>VLOOKUP(D181,原始分!$D:$N,6,0)</f>
        <v>0</v>
      </c>
      <c r="M181" s="174">
        <f t="shared" si="29"/>
        <v>1</v>
      </c>
      <c r="N181" s="174">
        <f>VLOOKUP(D181,原始分!$D:$N,7,0)</f>
        <v>53</v>
      </c>
      <c r="O181" s="174">
        <f t="shared" si="30"/>
        <v>139</v>
      </c>
      <c r="P181" s="174">
        <f>VLOOKUP(D181,原始分!$D:$N,8,0)</f>
        <v>0</v>
      </c>
      <c r="Q181" s="174">
        <f t="shared" si="31"/>
        <v>3</v>
      </c>
      <c r="R181" s="174">
        <f>VLOOKUP(D181,原始分!$D:$N,9,0)</f>
        <v>40.5</v>
      </c>
      <c r="S181" s="174">
        <f t="shared" si="32"/>
        <v>98</v>
      </c>
      <c r="T181" s="174">
        <f>VLOOKUP(D181,原始分!$D:$N,10,0)</f>
        <v>57.5</v>
      </c>
      <c r="U181" s="174">
        <f t="shared" si="33"/>
        <v>115</v>
      </c>
      <c r="V181" s="174">
        <f>VLOOKUP(D181,原始分!$D:$N,11,0)</f>
        <v>0</v>
      </c>
      <c r="W181" s="174">
        <f t="shared" si="34"/>
        <v>105</v>
      </c>
      <c r="X181" s="11">
        <f t="shared" si="35"/>
        <v>269.75</v>
      </c>
      <c r="Y181" s="9">
        <f t="shared" si="36"/>
        <v>173</v>
      </c>
      <c r="Z181" s="11">
        <f t="shared" si="37"/>
        <v>420.75</v>
      </c>
      <c r="AA181" s="9">
        <f t="shared" si="38"/>
        <v>178</v>
      </c>
    </row>
    <row r="182" ht="14.25" spans="1:27">
      <c r="A182" s="13">
        <v>864</v>
      </c>
      <c r="B182" s="15">
        <v>18</v>
      </c>
      <c r="C182" s="16">
        <v>48</v>
      </c>
      <c r="D182" s="15" t="s">
        <v>1726</v>
      </c>
      <c r="E182" s="15" t="s">
        <v>1727</v>
      </c>
      <c r="F182" s="174">
        <f>VLOOKUP(D182,原始分!$D:$N,3,0)</f>
        <v>98.25</v>
      </c>
      <c r="G182" s="174">
        <f t="shared" si="26"/>
        <v>151</v>
      </c>
      <c r="H182" s="174">
        <f>VLOOKUP(D182,原始分!$D:$N,4,0)</f>
        <v>87.5</v>
      </c>
      <c r="I182" s="174">
        <f t="shared" si="27"/>
        <v>136</v>
      </c>
      <c r="J182" s="174">
        <f>VLOOKUP(D182,原始分!$D:$N,5,0)</f>
        <v>82.75</v>
      </c>
      <c r="K182" s="174">
        <f t="shared" si="28"/>
        <v>189</v>
      </c>
      <c r="L182" s="174">
        <f>VLOOKUP(D182,原始分!$D:$N,6,0)</f>
        <v>0</v>
      </c>
      <c r="M182" s="174">
        <f t="shared" si="29"/>
        <v>1</v>
      </c>
      <c r="N182" s="174">
        <f>VLOOKUP(D182,原始分!$D:$N,7,0)</f>
        <v>52.5</v>
      </c>
      <c r="O182" s="174">
        <f t="shared" si="30"/>
        <v>142</v>
      </c>
      <c r="P182" s="174">
        <f>VLOOKUP(D182,原始分!$D:$N,8,0)</f>
        <v>0</v>
      </c>
      <c r="Q182" s="174">
        <f t="shared" si="31"/>
        <v>3</v>
      </c>
      <c r="R182" s="174">
        <f>VLOOKUP(D182,原始分!$D:$N,9,0)</f>
        <v>50.5</v>
      </c>
      <c r="S182" s="174">
        <f t="shared" si="32"/>
        <v>55</v>
      </c>
      <c r="T182" s="174">
        <f>VLOOKUP(D182,原始分!$D:$N,10,0)</f>
        <v>47.5</v>
      </c>
      <c r="U182" s="174">
        <f t="shared" si="33"/>
        <v>186</v>
      </c>
      <c r="V182" s="174">
        <f>VLOOKUP(D182,原始分!$D:$N,11,0)</f>
        <v>0</v>
      </c>
      <c r="W182" s="174">
        <f t="shared" si="34"/>
        <v>105</v>
      </c>
      <c r="X182" s="11">
        <f t="shared" si="35"/>
        <v>268.5</v>
      </c>
      <c r="Y182" s="9">
        <f t="shared" si="36"/>
        <v>177</v>
      </c>
      <c r="Z182" s="11">
        <f t="shared" si="37"/>
        <v>419</v>
      </c>
      <c r="AA182" s="9">
        <f t="shared" si="38"/>
        <v>180</v>
      </c>
    </row>
    <row r="183" ht="14.25" spans="1:27">
      <c r="A183" s="13">
        <v>745</v>
      </c>
      <c r="B183" s="15">
        <v>15</v>
      </c>
      <c r="C183" s="16">
        <v>45</v>
      </c>
      <c r="D183" s="15" t="s">
        <v>1492</v>
      </c>
      <c r="E183" s="15" t="s">
        <v>1493</v>
      </c>
      <c r="F183" s="174">
        <f>VLOOKUP(D183,原始分!$D:$N,3,0)</f>
        <v>97.5</v>
      </c>
      <c r="G183" s="174">
        <f t="shared" si="26"/>
        <v>160</v>
      </c>
      <c r="H183" s="174">
        <f>VLOOKUP(D183,原始分!$D:$N,4,0)</f>
        <v>81</v>
      </c>
      <c r="I183" s="174">
        <f t="shared" si="27"/>
        <v>155</v>
      </c>
      <c r="J183" s="174">
        <f>VLOOKUP(D183,原始分!$D:$N,5,0)</f>
        <v>85</v>
      </c>
      <c r="K183" s="174">
        <f t="shared" si="28"/>
        <v>180</v>
      </c>
      <c r="L183" s="174">
        <f>VLOOKUP(D183,原始分!$D:$N,6,0)</f>
        <v>0</v>
      </c>
      <c r="M183" s="174">
        <f t="shared" si="29"/>
        <v>1</v>
      </c>
      <c r="N183" s="174">
        <f>VLOOKUP(D183,原始分!$D:$N,7,0)</f>
        <v>52.5</v>
      </c>
      <c r="O183" s="174">
        <f t="shared" si="30"/>
        <v>142</v>
      </c>
      <c r="P183" s="174">
        <f>VLOOKUP(D183,原始分!$D:$N,8,0)</f>
        <v>0</v>
      </c>
      <c r="Q183" s="174">
        <f t="shared" si="31"/>
        <v>3</v>
      </c>
      <c r="R183" s="174">
        <f>VLOOKUP(D183,原始分!$D:$N,9,0)</f>
        <v>0</v>
      </c>
      <c r="S183" s="174">
        <f t="shared" si="32"/>
        <v>103</v>
      </c>
      <c r="T183" s="174">
        <f>VLOOKUP(D183,原始分!$D:$N,10,0)</f>
        <v>56.75</v>
      </c>
      <c r="U183" s="174">
        <f t="shared" si="33"/>
        <v>126</v>
      </c>
      <c r="V183" s="174">
        <f>VLOOKUP(D183,原始分!$D:$N,11,0)</f>
        <v>45.5</v>
      </c>
      <c r="W183" s="174">
        <f t="shared" si="34"/>
        <v>74</v>
      </c>
      <c r="X183" s="11">
        <f t="shared" si="35"/>
        <v>263.5</v>
      </c>
      <c r="Y183" s="9">
        <f t="shared" si="36"/>
        <v>188</v>
      </c>
      <c r="Z183" s="11">
        <f t="shared" si="37"/>
        <v>418.25</v>
      </c>
      <c r="AA183" s="9">
        <f t="shared" si="38"/>
        <v>181</v>
      </c>
    </row>
    <row r="184" ht="14.25" spans="1:27">
      <c r="A184" s="13">
        <v>855</v>
      </c>
      <c r="B184" s="15">
        <v>18</v>
      </c>
      <c r="C184" s="16">
        <v>38</v>
      </c>
      <c r="D184" s="15" t="s">
        <v>1708</v>
      </c>
      <c r="E184" s="15" t="s">
        <v>1709</v>
      </c>
      <c r="F184" s="174">
        <f>VLOOKUP(D184,原始分!$D:$N,3,0)</f>
        <v>94</v>
      </c>
      <c r="G184" s="174">
        <f t="shared" si="26"/>
        <v>184</v>
      </c>
      <c r="H184" s="174">
        <f>VLOOKUP(D184,原始分!$D:$N,4,0)</f>
        <v>72</v>
      </c>
      <c r="I184" s="174">
        <f t="shared" si="27"/>
        <v>178</v>
      </c>
      <c r="J184" s="174">
        <f>VLOOKUP(D184,原始分!$D:$N,5,0)</f>
        <v>98.5</v>
      </c>
      <c r="K184" s="174">
        <f t="shared" si="28"/>
        <v>134</v>
      </c>
      <c r="L184" s="174">
        <f>VLOOKUP(D184,原始分!$D:$N,6,0)</f>
        <v>0</v>
      </c>
      <c r="M184" s="174">
        <f t="shared" si="29"/>
        <v>1</v>
      </c>
      <c r="N184" s="174">
        <f>VLOOKUP(D184,原始分!$D:$N,7,0)</f>
        <v>54.5</v>
      </c>
      <c r="O184" s="174">
        <f t="shared" si="30"/>
        <v>128</v>
      </c>
      <c r="P184" s="174">
        <f>VLOOKUP(D184,原始分!$D:$N,8,0)</f>
        <v>0</v>
      </c>
      <c r="Q184" s="174">
        <f t="shared" si="31"/>
        <v>3</v>
      </c>
      <c r="R184" s="174">
        <f>VLOOKUP(D184,原始分!$D:$N,9,0)</f>
        <v>47.5</v>
      </c>
      <c r="S184" s="174">
        <f t="shared" si="32"/>
        <v>74</v>
      </c>
      <c r="T184" s="174">
        <f>VLOOKUP(D184,原始分!$D:$N,10,0)</f>
        <v>51</v>
      </c>
      <c r="U184" s="174">
        <f t="shared" si="33"/>
        <v>169</v>
      </c>
      <c r="V184" s="174">
        <f>VLOOKUP(D184,原始分!$D:$N,11,0)</f>
        <v>0</v>
      </c>
      <c r="W184" s="174">
        <f t="shared" si="34"/>
        <v>105</v>
      </c>
      <c r="X184" s="11">
        <f t="shared" si="35"/>
        <v>264.5</v>
      </c>
      <c r="Y184" s="9">
        <f t="shared" si="36"/>
        <v>187</v>
      </c>
      <c r="Z184" s="11">
        <f t="shared" si="37"/>
        <v>417.5</v>
      </c>
      <c r="AA184" s="9">
        <f t="shared" si="38"/>
        <v>182</v>
      </c>
    </row>
    <row r="185" ht="14.25" spans="1:27">
      <c r="A185" s="13">
        <v>809</v>
      </c>
      <c r="B185" s="15">
        <v>17</v>
      </c>
      <c r="C185" s="16">
        <v>33</v>
      </c>
      <c r="D185" s="15" t="s">
        <v>1616</v>
      </c>
      <c r="E185" s="15" t="s">
        <v>1617</v>
      </c>
      <c r="F185" s="174">
        <f>VLOOKUP(D185,原始分!$D:$N,3,0)</f>
        <v>97</v>
      </c>
      <c r="G185" s="174">
        <f t="shared" si="26"/>
        <v>166</v>
      </c>
      <c r="H185" s="174">
        <f>VLOOKUP(D185,原始分!$D:$N,4,0)</f>
        <v>94</v>
      </c>
      <c r="I185" s="174">
        <f t="shared" si="27"/>
        <v>97</v>
      </c>
      <c r="J185" s="174">
        <f>VLOOKUP(D185,原始分!$D:$N,5,0)</f>
        <v>85.25</v>
      </c>
      <c r="K185" s="174">
        <f t="shared" si="28"/>
        <v>179</v>
      </c>
      <c r="L185" s="174">
        <f>VLOOKUP(D185,原始分!$D:$N,6,0)</f>
        <v>0</v>
      </c>
      <c r="M185" s="174">
        <f t="shared" si="29"/>
        <v>1</v>
      </c>
      <c r="N185" s="174">
        <f>VLOOKUP(D185,原始分!$D:$N,7,0)</f>
        <v>49</v>
      </c>
      <c r="O185" s="174">
        <f t="shared" si="30"/>
        <v>172</v>
      </c>
      <c r="P185" s="174">
        <f>VLOOKUP(D185,原始分!$D:$N,8,0)</f>
        <v>0</v>
      </c>
      <c r="Q185" s="174">
        <f t="shared" si="31"/>
        <v>3</v>
      </c>
      <c r="R185" s="174">
        <f>VLOOKUP(D185,原始分!$D:$N,9,0)</f>
        <v>43</v>
      </c>
      <c r="S185" s="174">
        <f t="shared" si="32"/>
        <v>95</v>
      </c>
      <c r="T185" s="174">
        <f>VLOOKUP(D185,原始分!$D:$N,10,0)</f>
        <v>48.5</v>
      </c>
      <c r="U185" s="174">
        <f t="shared" si="33"/>
        <v>179</v>
      </c>
      <c r="V185" s="174">
        <f>VLOOKUP(D185,原始分!$D:$N,11,0)</f>
        <v>0</v>
      </c>
      <c r="W185" s="174">
        <f t="shared" si="34"/>
        <v>105</v>
      </c>
      <c r="X185" s="11">
        <f t="shared" si="35"/>
        <v>276.25</v>
      </c>
      <c r="Y185" s="9">
        <f t="shared" si="36"/>
        <v>156</v>
      </c>
      <c r="Z185" s="11">
        <f t="shared" si="37"/>
        <v>416.75</v>
      </c>
      <c r="AA185" s="9">
        <f t="shared" si="38"/>
        <v>183</v>
      </c>
    </row>
    <row r="186" ht="14.25" spans="1:27">
      <c r="A186" s="13">
        <v>857</v>
      </c>
      <c r="B186" s="15">
        <v>18</v>
      </c>
      <c r="C186" s="16">
        <v>40</v>
      </c>
      <c r="D186" s="15" t="s">
        <v>1712</v>
      </c>
      <c r="E186" s="15" t="s">
        <v>1713</v>
      </c>
      <c r="F186" s="174">
        <f>VLOOKUP(D186,原始分!$D:$N,3,0)</f>
        <v>104.5</v>
      </c>
      <c r="G186" s="174">
        <f t="shared" si="26"/>
        <v>73</v>
      </c>
      <c r="H186" s="174">
        <f>VLOOKUP(D186,原始分!$D:$N,4,0)</f>
        <v>83.5</v>
      </c>
      <c r="I186" s="174">
        <f t="shared" si="27"/>
        <v>150</v>
      </c>
      <c r="J186" s="174">
        <f>VLOOKUP(D186,原始分!$D:$N,5,0)</f>
        <v>82.5</v>
      </c>
      <c r="K186" s="174">
        <f t="shared" si="28"/>
        <v>190</v>
      </c>
      <c r="L186" s="174">
        <f>VLOOKUP(D186,原始分!$D:$N,6,0)</f>
        <v>0</v>
      </c>
      <c r="M186" s="174">
        <f t="shared" si="29"/>
        <v>1</v>
      </c>
      <c r="N186" s="174">
        <f>VLOOKUP(D186,原始分!$D:$N,7,0)</f>
        <v>51.5</v>
      </c>
      <c r="O186" s="174">
        <f t="shared" si="30"/>
        <v>150</v>
      </c>
      <c r="P186" s="174">
        <f>VLOOKUP(D186,原始分!$D:$N,8,0)</f>
        <v>0</v>
      </c>
      <c r="Q186" s="174">
        <f t="shared" si="31"/>
        <v>3</v>
      </c>
      <c r="R186" s="174">
        <f>VLOOKUP(D186,原始分!$D:$N,9,0)</f>
        <v>40.5</v>
      </c>
      <c r="S186" s="174">
        <f t="shared" si="32"/>
        <v>98</v>
      </c>
      <c r="T186" s="174">
        <f>VLOOKUP(D186,原始分!$D:$N,10,0)</f>
        <v>53</v>
      </c>
      <c r="U186" s="174">
        <f t="shared" si="33"/>
        <v>156</v>
      </c>
      <c r="V186" s="174">
        <f>VLOOKUP(D186,原始分!$D:$N,11,0)</f>
        <v>0</v>
      </c>
      <c r="W186" s="174">
        <f t="shared" si="34"/>
        <v>105</v>
      </c>
      <c r="X186" s="11">
        <f t="shared" si="35"/>
        <v>270.5</v>
      </c>
      <c r="Y186" s="9">
        <f t="shared" si="36"/>
        <v>169</v>
      </c>
      <c r="Z186" s="11">
        <f t="shared" si="37"/>
        <v>415.5</v>
      </c>
      <c r="AA186" s="9">
        <f t="shared" si="38"/>
        <v>184</v>
      </c>
    </row>
    <row r="187" ht="14.25" spans="1:27">
      <c r="A187" s="13">
        <v>672</v>
      </c>
      <c r="B187" s="15">
        <v>14</v>
      </c>
      <c r="C187" s="16">
        <v>12</v>
      </c>
      <c r="D187" s="15" t="s">
        <v>1350</v>
      </c>
      <c r="E187" s="15" t="s">
        <v>1351</v>
      </c>
      <c r="F187" s="174">
        <f>VLOOKUP(D187,原始分!$D:$N,3,0)</f>
        <v>97</v>
      </c>
      <c r="G187" s="174">
        <f t="shared" si="26"/>
        <v>166</v>
      </c>
      <c r="H187" s="174">
        <f>VLOOKUP(D187,原始分!$D:$N,4,0)</f>
        <v>74.5</v>
      </c>
      <c r="I187" s="174">
        <f t="shared" si="27"/>
        <v>171</v>
      </c>
      <c r="J187" s="174">
        <f>VLOOKUP(D187,原始分!$D:$N,5,0)</f>
        <v>94</v>
      </c>
      <c r="K187" s="174">
        <f t="shared" si="28"/>
        <v>150</v>
      </c>
      <c r="L187" s="174">
        <f>VLOOKUP(D187,原始分!$D:$N,6,0)</f>
        <v>0</v>
      </c>
      <c r="M187" s="174">
        <f t="shared" si="29"/>
        <v>1</v>
      </c>
      <c r="N187" s="174">
        <f>VLOOKUP(D187,原始分!$D:$N,7,0)</f>
        <v>58.5</v>
      </c>
      <c r="O187" s="174">
        <f t="shared" si="30"/>
        <v>80</v>
      </c>
      <c r="P187" s="174">
        <f>VLOOKUP(D187,原始分!$D:$N,8,0)</f>
        <v>0</v>
      </c>
      <c r="Q187" s="174">
        <f t="shared" si="31"/>
        <v>3</v>
      </c>
      <c r="R187" s="174">
        <f>VLOOKUP(D187,原始分!$D:$N,9,0)</f>
        <v>0</v>
      </c>
      <c r="S187" s="174">
        <f t="shared" si="32"/>
        <v>103</v>
      </c>
      <c r="T187" s="174">
        <f>VLOOKUP(D187,原始分!$D:$N,10,0)</f>
        <v>44.5</v>
      </c>
      <c r="U187" s="174">
        <f t="shared" si="33"/>
        <v>192</v>
      </c>
      <c r="V187" s="174">
        <f>VLOOKUP(D187,原始分!$D:$N,11,0)</f>
        <v>46</v>
      </c>
      <c r="W187" s="174">
        <f t="shared" si="34"/>
        <v>71</v>
      </c>
      <c r="X187" s="11">
        <f t="shared" si="35"/>
        <v>265.5</v>
      </c>
      <c r="Y187" s="9">
        <f t="shared" si="36"/>
        <v>186</v>
      </c>
      <c r="Z187" s="11">
        <f t="shared" si="37"/>
        <v>414.5</v>
      </c>
      <c r="AA187" s="9">
        <f t="shared" si="38"/>
        <v>185</v>
      </c>
    </row>
    <row r="188" ht="14.25" spans="1:27">
      <c r="A188" s="13">
        <v>820</v>
      </c>
      <c r="B188" s="15">
        <v>17</v>
      </c>
      <c r="C188" s="16">
        <v>47</v>
      </c>
      <c r="D188" s="15" t="s">
        <v>1638</v>
      </c>
      <c r="E188" s="15" t="s">
        <v>1639</v>
      </c>
      <c r="F188" s="174">
        <f>VLOOKUP(D188,原始分!$D:$N,3,0)</f>
        <v>96.25</v>
      </c>
      <c r="G188" s="174">
        <f t="shared" si="26"/>
        <v>172</v>
      </c>
      <c r="H188" s="174">
        <f>VLOOKUP(D188,原始分!$D:$N,4,0)</f>
        <v>68.5</v>
      </c>
      <c r="I188" s="174">
        <f t="shared" si="27"/>
        <v>187</v>
      </c>
      <c r="J188" s="174">
        <f>VLOOKUP(D188,原始分!$D:$N,5,0)</f>
        <v>107.5</v>
      </c>
      <c r="K188" s="174">
        <f t="shared" si="28"/>
        <v>87</v>
      </c>
      <c r="L188" s="174">
        <f>VLOOKUP(D188,原始分!$D:$N,6,0)</f>
        <v>0</v>
      </c>
      <c r="M188" s="174">
        <f t="shared" si="29"/>
        <v>1</v>
      </c>
      <c r="N188" s="174">
        <f>VLOOKUP(D188,原始分!$D:$N,7,0)</f>
        <v>48.5</v>
      </c>
      <c r="O188" s="174">
        <f t="shared" si="30"/>
        <v>180</v>
      </c>
      <c r="P188" s="174">
        <f>VLOOKUP(D188,原始分!$D:$N,8,0)</f>
        <v>0</v>
      </c>
      <c r="Q188" s="174">
        <f t="shared" si="31"/>
        <v>3</v>
      </c>
      <c r="R188" s="174">
        <f>VLOOKUP(D188,原始分!$D:$N,9,0)</f>
        <v>44.5</v>
      </c>
      <c r="S188" s="174">
        <f t="shared" si="32"/>
        <v>84</v>
      </c>
      <c r="T188" s="174">
        <f>VLOOKUP(D188,原始分!$D:$N,10,0)</f>
        <v>48.5</v>
      </c>
      <c r="U188" s="174">
        <f t="shared" si="33"/>
        <v>179</v>
      </c>
      <c r="V188" s="174">
        <f>VLOOKUP(D188,原始分!$D:$N,11,0)</f>
        <v>0</v>
      </c>
      <c r="W188" s="174">
        <f t="shared" si="34"/>
        <v>105</v>
      </c>
      <c r="X188" s="11">
        <f t="shared" si="35"/>
        <v>272.25</v>
      </c>
      <c r="Y188" s="9">
        <f t="shared" si="36"/>
        <v>165</v>
      </c>
      <c r="Z188" s="11">
        <f t="shared" si="37"/>
        <v>413.75</v>
      </c>
      <c r="AA188" s="9">
        <f t="shared" si="38"/>
        <v>186</v>
      </c>
    </row>
    <row r="189" ht="14.25" spans="1:27">
      <c r="A189" s="13">
        <v>696</v>
      </c>
      <c r="B189" s="15">
        <v>14</v>
      </c>
      <c r="C189" s="16">
        <v>38</v>
      </c>
      <c r="D189" s="15" t="s">
        <v>1397</v>
      </c>
      <c r="E189" s="15" t="s">
        <v>95</v>
      </c>
      <c r="F189" s="174">
        <f>VLOOKUP(D189,原始分!$D:$N,3,0)</f>
        <v>106</v>
      </c>
      <c r="G189" s="174">
        <f t="shared" si="26"/>
        <v>59</v>
      </c>
      <c r="H189" s="174">
        <f>VLOOKUP(D189,原始分!$D:$N,4,0)</f>
        <v>90.5</v>
      </c>
      <c r="I189" s="174">
        <f t="shared" si="27"/>
        <v>118</v>
      </c>
      <c r="J189" s="174">
        <f>VLOOKUP(D189,原始分!$D:$N,5,0)</f>
        <v>82</v>
      </c>
      <c r="K189" s="174">
        <f t="shared" si="28"/>
        <v>191</v>
      </c>
      <c r="L189" s="174">
        <f>VLOOKUP(D189,原始分!$D:$N,6,0)</f>
        <v>0</v>
      </c>
      <c r="M189" s="174">
        <f t="shared" si="29"/>
        <v>1</v>
      </c>
      <c r="N189" s="174">
        <f>VLOOKUP(D189,原始分!$D:$N,7,0)</f>
        <v>54.5</v>
      </c>
      <c r="O189" s="174">
        <f t="shared" si="30"/>
        <v>128</v>
      </c>
      <c r="P189" s="174">
        <f>VLOOKUP(D189,原始分!$D:$N,8,0)</f>
        <v>0</v>
      </c>
      <c r="Q189" s="174">
        <f t="shared" si="31"/>
        <v>3</v>
      </c>
      <c r="R189" s="174">
        <f>VLOOKUP(D189,原始分!$D:$N,9,0)</f>
        <v>0</v>
      </c>
      <c r="S189" s="174">
        <f t="shared" si="32"/>
        <v>103</v>
      </c>
      <c r="T189" s="174">
        <f>VLOOKUP(D189,原始分!$D:$N,10,0)</f>
        <v>41</v>
      </c>
      <c r="U189" s="174">
        <f t="shared" si="33"/>
        <v>200</v>
      </c>
      <c r="V189" s="174">
        <f>VLOOKUP(D189,原始分!$D:$N,11,0)</f>
        <v>35</v>
      </c>
      <c r="W189" s="174">
        <f t="shared" si="34"/>
        <v>99</v>
      </c>
      <c r="X189" s="11">
        <f t="shared" si="35"/>
        <v>278.5</v>
      </c>
      <c r="Y189" s="9">
        <f t="shared" si="36"/>
        <v>152</v>
      </c>
      <c r="Z189" s="11">
        <f t="shared" si="37"/>
        <v>409</v>
      </c>
      <c r="AA189" s="9">
        <f t="shared" si="38"/>
        <v>187</v>
      </c>
    </row>
    <row r="190" ht="14.25" spans="1:27">
      <c r="A190" s="13">
        <v>839</v>
      </c>
      <c r="B190" s="15">
        <v>18</v>
      </c>
      <c r="C190" s="16">
        <v>19</v>
      </c>
      <c r="D190" s="15" t="s">
        <v>1676</v>
      </c>
      <c r="E190" s="15" t="s">
        <v>1677</v>
      </c>
      <c r="F190" s="174">
        <f>VLOOKUP(D190,原始分!$D:$N,3,0)</f>
        <v>105</v>
      </c>
      <c r="G190" s="174">
        <f t="shared" si="26"/>
        <v>65</v>
      </c>
      <c r="H190" s="174">
        <f>VLOOKUP(D190,原始分!$D:$N,4,0)</f>
        <v>57.5</v>
      </c>
      <c r="I190" s="174">
        <f t="shared" si="27"/>
        <v>197</v>
      </c>
      <c r="J190" s="174">
        <f>VLOOKUP(D190,原始分!$D:$N,5,0)</f>
        <v>105.25</v>
      </c>
      <c r="K190" s="174">
        <f t="shared" si="28"/>
        <v>101</v>
      </c>
      <c r="L190" s="174">
        <f>VLOOKUP(D190,原始分!$D:$N,6,0)</f>
        <v>0</v>
      </c>
      <c r="M190" s="174">
        <f t="shared" si="29"/>
        <v>1</v>
      </c>
      <c r="N190" s="174">
        <f>VLOOKUP(D190,原始分!$D:$N,7,0)</f>
        <v>47.5</v>
      </c>
      <c r="O190" s="174">
        <f t="shared" si="30"/>
        <v>185</v>
      </c>
      <c r="P190" s="174">
        <f>VLOOKUP(D190,原始分!$D:$N,8,0)</f>
        <v>0</v>
      </c>
      <c r="Q190" s="174">
        <f t="shared" si="31"/>
        <v>3</v>
      </c>
      <c r="R190" s="174">
        <f>VLOOKUP(D190,原始分!$D:$N,9,0)</f>
        <v>48</v>
      </c>
      <c r="S190" s="174">
        <f t="shared" si="32"/>
        <v>72</v>
      </c>
      <c r="T190" s="174">
        <f>VLOOKUP(D190,原始分!$D:$N,10,0)</f>
        <v>44.5</v>
      </c>
      <c r="U190" s="174">
        <f t="shared" si="33"/>
        <v>192</v>
      </c>
      <c r="V190" s="174">
        <f>VLOOKUP(D190,原始分!$D:$N,11,0)</f>
        <v>0</v>
      </c>
      <c r="W190" s="174">
        <f t="shared" si="34"/>
        <v>105</v>
      </c>
      <c r="X190" s="11">
        <f t="shared" si="35"/>
        <v>267.75</v>
      </c>
      <c r="Y190" s="9">
        <f t="shared" si="36"/>
        <v>178</v>
      </c>
      <c r="Z190" s="11">
        <f t="shared" si="37"/>
        <v>407.75</v>
      </c>
      <c r="AA190" s="9">
        <f t="shared" si="38"/>
        <v>188</v>
      </c>
    </row>
    <row r="191" ht="14.25" spans="1:27">
      <c r="A191" s="13">
        <v>669</v>
      </c>
      <c r="B191" s="15">
        <v>14</v>
      </c>
      <c r="C191" s="16">
        <v>8</v>
      </c>
      <c r="D191" s="15" t="s">
        <v>1344</v>
      </c>
      <c r="E191" s="15" t="s">
        <v>1345</v>
      </c>
      <c r="F191" s="174">
        <f>VLOOKUP(D191,原始分!$D:$N,3,0)</f>
        <v>88.5</v>
      </c>
      <c r="G191" s="174">
        <f t="shared" si="26"/>
        <v>202</v>
      </c>
      <c r="H191" s="174">
        <f>VLOOKUP(D191,原始分!$D:$N,4,0)</f>
        <v>69.5</v>
      </c>
      <c r="I191" s="174">
        <f t="shared" si="27"/>
        <v>183</v>
      </c>
      <c r="J191" s="174">
        <f>VLOOKUP(D191,原始分!$D:$N,5,0)</f>
        <v>88.5</v>
      </c>
      <c r="K191" s="174">
        <f t="shared" si="28"/>
        <v>170</v>
      </c>
      <c r="L191" s="174">
        <f>VLOOKUP(D191,原始分!$D:$N,6,0)</f>
        <v>0</v>
      </c>
      <c r="M191" s="174">
        <f t="shared" si="29"/>
        <v>1</v>
      </c>
      <c r="N191" s="174">
        <f>VLOOKUP(D191,原始分!$D:$N,7,0)</f>
        <v>61</v>
      </c>
      <c r="O191" s="174">
        <f t="shared" si="30"/>
        <v>60</v>
      </c>
      <c r="P191" s="174">
        <f>VLOOKUP(D191,原始分!$D:$N,8,0)</f>
        <v>0</v>
      </c>
      <c r="Q191" s="174">
        <f t="shared" si="31"/>
        <v>3</v>
      </c>
      <c r="R191" s="174">
        <f>VLOOKUP(D191,原始分!$D:$N,9,0)</f>
        <v>0</v>
      </c>
      <c r="S191" s="174">
        <f t="shared" si="32"/>
        <v>103</v>
      </c>
      <c r="T191" s="174">
        <f>VLOOKUP(D191,原始分!$D:$N,10,0)</f>
        <v>58.5</v>
      </c>
      <c r="U191" s="174">
        <f t="shared" si="33"/>
        <v>100</v>
      </c>
      <c r="V191" s="174">
        <f>VLOOKUP(D191,原始分!$D:$N,11,0)</f>
        <v>39</v>
      </c>
      <c r="W191" s="174">
        <f t="shared" si="34"/>
        <v>94</v>
      </c>
      <c r="X191" s="11">
        <f t="shared" si="35"/>
        <v>246.5</v>
      </c>
      <c r="Y191" s="9">
        <f t="shared" si="36"/>
        <v>197</v>
      </c>
      <c r="Z191" s="11">
        <f t="shared" si="37"/>
        <v>405</v>
      </c>
      <c r="AA191" s="9">
        <f t="shared" si="38"/>
        <v>189</v>
      </c>
    </row>
    <row r="192" ht="14.25" spans="1:27">
      <c r="A192" s="13">
        <v>794</v>
      </c>
      <c r="B192" s="15">
        <v>17</v>
      </c>
      <c r="C192" s="16">
        <v>15</v>
      </c>
      <c r="D192" s="15" t="s">
        <v>1586</v>
      </c>
      <c r="E192" s="15" t="s">
        <v>1587</v>
      </c>
      <c r="F192" s="174">
        <f>VLOOKUP(D192,原始分!$D:$N,3,0)</f>
        <v>90.5</v>
      </c>
      <c r="G192" s="174">
        <f t="shared" si="26"/>
        <v>195</v>
      </c>
      <c r="H192" s="174">
        <f>VLOOKUP(D192,原始分!$D:$N,4,0)</f>
        <v>80.5</v>
      </c>
      <c r="I192" s="174">
        <f t="shared" si="27"/>
        <v>156</v>
      </c>
      <c r="J192" s="174">
        <f>VLOOKUP(D192,原始分!$D:$N,5,0)</f>
        <v>104</v>
      </c>
      <c r="K192" s="174">
        <f t="shared" si="28"/>
        <v>108</v>
      </c>
      <c r="L192" s="174">
        <f>VLOOKUP(D192,原始分!$D:$N,6,0)</f>
        <v>0</v>
      </c>
      <c r="M192" s="174">
        <f t="shared" si="29"/>
        <v>1</v>
      </c>
      <c r="N192" s="174">
        <f>VLOOKUP(D192,原始分!$D:$N,7,0)</f>
        <v>56</v>
      </c>
      <c r="O192" s="174">
        <f t="shared" si="30"/>
        <v>107</v>
      </c>
      <c r="P192" s="174">
        <f>VLOOKUP(D192,原始分!$D:$N,8,0)</f>
        <v>0</v>
      </c>
      <c r="Q192" s="174">
        <f t="shared" si="31"/>
        <v>3</v>
      </c>
      <c r="R192" s="174">
        <f>VLOOKUP(D192,原始分!$D:$N,9,0)</f>
        <v>38</v>
      </c>
      <c r="S192" s="174">
        <f t="shared" si="32"/>
        <v>101</v>
      </c>
      <c r="T192" s="174">
        <f>VLOOKUP(D192,原始分!$D:$N,10,0)</f>
        <v>35.5</v>
      </c>
      <c r="U192" s="174">
        <f t="shared" si="33"/>
        <v>204</v>
      </c>
      <c r="V192" s="174">
        <f>VLOOKUP(D192,原始分!$D:$N,11,0)</f>
        <v>0</v>
      </c>
      <c r="W192" s="174">
        <f t="shared" si="34"/>
        <v>105</v>
      </c>
      <c r="X192" s="11">
        <f t="shared" si="35"/>
        <v>275</v>
      </c>
      <c r="Y192" s="9">
        <f t="shared" si="36"/>
        <v>159</v>
      </c>
      <c r="Z192" s="11">
        <f t="shared" si="37"/>
        <v>404.5</v>
      </c>
      <c r="AA192" s="9">
        <f t="shared" si="38"/>
        <v>190</v>
      </c>
    </row>
    <row r="193" ht="14.25" spans="1:27">
      <c r="A193" s="13">
        <v>824</v>
      </c>
      <c r="B193" s="15">
        <v>17</v>
      </c>
      <c r="C193" s="16">
        <v>53</v>
      </c>
      <c r="D193" s="15" t="s">
        <v>1646</v>
      </c>
      <c r="E193" s="15" t="s">
        <v>1647</v>
      </c>
      <c r="F193" s="174">
        <f>VLOOKUP(D193,原始分!$D:$N,3,0)</f>
        <v>87.5</v>
      </c>
      <c r="G193" s="174">
        <f t="shared" si="26"/>
        <v>203</v>
      </c>
      <c r="H193" s="174">
        <f>VLOOKUP(D193,原始分!$D:$N,4,0)</f>
        <v>73</v>
      </c>
      <c r="I193" s="174">
        <f t="shared" si="27"/>
        <v>176</v>
      </c>
      <c r="J193" s="174">
        <f>VLOOKUP(D193,原始分!$D:$N,5,0)</f>
        <v>91.75</v>
      </c>
      <c r="K193" s="174">
        <f t="shared" si="28"/>
        <v>161</v>
      </c>
      <c r="L193" s="174">
        <f>VLOOKUP(D193,原始分!$D:$N,6,0)</f>
        <v>0</v>
      </c>
      <c r="M193" s="174">
        <f t="shared" si="29"/>
        <v>1</v>
      </c>
      <c r="N193" s="174">
        <f>VLOOKUP(D193,原始分!$D:$N,7,0)</f>
        <v>49</v>
      </c>
      <c r="O193" s="174">
        <f t="shared" si="30"/>
        <v>172</v>
      </c>
      <c r="P193" s="174">
        <f>VLOOKUP(D193,原始分!$D:$N,8,0)</f>
        <v>0</v>
      </c>
      <c r="Q193" s="174">
        <f t="shared" si="31"/>
        <v>3</v>
      </c>
      <c r="R193" s="174">
        <f>VLOOKUP(D193,原始分!$D:$N,9,0)</f>
        <v>42</v>
      </c>
      <c r="S193" s="174">
        <f t="shared" si="32"/>
        <v>97</v>
      </c>
      <c r="T193" s="174">
        <f>VLOOKUP(D193,原始分!$D:$N,10,0)</f>
        <v>60</v>
      </c>
      <c r="U193" s="174">
        <f t="shared" si="33"/>
        <v>82</v>
      </c>
      <c r="V193" s="174">
        <f>VLOOKUP(D193,原始分!$D:$N,11,0)</f>
        <v>0</v>
      </c>
      <c r="W193" s="174">
        <f t="shared" si="34"/>
        <v>105</v>
      </c>
      <c r="X193" s="11">
        <f t="shared" si="35"/>
        <v>252.25</v>
      </c>
      <c r="Y193" s="9">
        <f t="shared" si="36"/>
        <v>192</v>
      </c>
      <c r="Z193" s="11">
        <f t="shared" si="37"/>
        <v>403.25</v>
      </c>
      <c r="AA193" s="9">
        <f t="shared" si="38"/>
        <v>191</v>
      </c>
    </row>
    <row r="194" ht="14.25" spans="1:27">
      <c r="A194" s="13">
        <v>706</v>
      </c>
      <c r="B194" s="15">
        <v>15</v>
      </c>
      <c r="C194" s="16">
        <v>3</v>
      </c>
      <c r="D194" s="15" t="s">
        <v>1416</v>
      </c>
      <c r="E194" s="15" t="s">
        <v>1417</v>
      </c>
      <c r="F194" s="174">
        <f>VLOOKUP(D194,原始分!$D:$N,3,0)</f>
        <v>99.5</v>
      </c>
      <c r="G194" s="174">
        <f t="shared" si="26"/>
        <v>133</v>
      </c>
      <c r="H194" s="174">
        <f>VLOOKUP(D194,原始分!$D:$N,4,0)</f>
        <v>63</v>
      </c>
      <c r="I194" s="174">
        <f t="shared" si="27"/>
        <v>193</v>
      </c>
      <c r="J194" s="174">
        <f>VLOOKUP(D194,原始分!$D:$N,5,0)</f>
        <v>105</v>
      </c>
      <c r="K194" s="174">
        <f t="shared" si="28"/>
        <v>104</v>
      </c>
      <c r="L194" s="174">
        <f>VLOOKUP(D194,原始分!$D:$N,6,0)</f>
        <v>0</v>
      </c>
      <c r="M194" s="174">
        <f t="shared" si="29"/>
        <v>1</v>
      </c>
      <c r="N194" s="174">
        <f>VLOOKUP(D194,原始分!$D:$N,7,0)</f>
        <v>51.5</v>
      </c>
      <c r="O194" s="174">
        <f t="shared" si="30"/>
        <v>150</v>
      </c>
      <c r="P194" s="174">
        <f>VLOOKUP(D194,原始分!$D:$N,8,0)</f>
        <v>0</v>
      </c>
      <c r="Q194" s="174">
        <f t="shared" si="31"/>
        <v>3</v>
      </c>
      <c r="R194" s="174">
        <f>VLOOKUP(D194,原始分!$D:$N,9,0)</f>
        <v>0</v>
      </c>
      <c r="S194" s="174">
        <f t="shared" si="32"/>
        <v>103</v>
      </c>
      <c r="T194" s="174">
        <f>VLOOKUP(D194,原始分!$D:$N,10,0)</f>
        <v>52.5</v>
      </c>
      <c r="U194" s="174">
        <f t="shared" si="33"/>
        <v>160</v>
      </c>
      <c r="V194" s="174">
        <f>VLOOKUP(D194,原始分!$D:$N,11,0)</f>
        <v>30</v>
      </c>
      <c r="W194" s="174">
        <f t="shared" si="34"/>
        <v>103</v>
      </c>
      <c r="X194" s="11">
        <f t="shared" si="35"/>
        <v>267.5</v>
      </c>
      <c r="Y194" s="9">
        <f t="shared" si="36"/>
        <v>179</v>
      </c>
      <c r="Z194" s="11">
        <f t="shared" si="37"/>
        <v>401.5</v>
      </c>
      <c r="AA194" s="9">
        <f t="shared" si="38"/>
        <v>192</v>
      </c>
    </row>
    <row r="195" ht="14.25" spans="1:27">
      <c r="A195" s="13">
        <v>688</v>
      </c>
      <c r="B195" s="15">
        <v>14</v>
      </c>
      <c r="C195" s="16">
        <v>29</v>
      </c>
      <c r="D195" s="15" t="s">
        <v>1382</v>
      </c>
      <c r="E195" s="15" t="s">
        <v>1383</v>
      </c>
      <c r="F195" s="174">
        <f>VLOOKUP(D195,原始分!$D:$N,3,0)</f>
        <v>89.5</v>
      </c>
      <c r="G195" s="174">
        <f t="shared" ref="G195:G258" si="39">RANK(F195,$F$3:$F$208)</f>
        <v>201</v>
      </c>
      <c r="H195" s="174">
        <f>VLOOKUP(D195,原始分!$D:$N,4,0)</f>
        <v>97.5</v>
      </c>
      <c r="I195" s="174">
        <f t="shared" ref="I195:I258" si="40">RANK(H195,$H$3:$H$208)</f>
        <v>82</v>
      </c>
      <c r="J195" s="174">
        <f>VLOOKUP(D195,原始分!$D:$N,5,0)</f>
        <v>74</v>
      </c>
      <c r="K195" s="174">
        <f t="shared" ref="K195:K258" si="41">RANK(J195,$J$3:$J$208)</f>
        <v>200</v>
      </c>
      <c r="L195" s="174">
        <f>VLOOKUP(D195,原始分!$D:$N,6,0)</f>
        <v>0</v>
      </c>
      <c r="M195" s="174">
        <f t="shared" ref="M195:M258" si="42">RANK(L195,$L$3:$L$270)</f>
        <v>1</v>
      </c>
      <c r="N195" s="174">
        <f>VLOOKUP(D195,原始分!$D:$N,7,0)</f>
        <v>45</v>
      </c>
      <c r="O195" s="174">
        <f t="shared" ref="O195:O258" si="43">RANK(N195,$N$3:$N$270)</f>
        <v>193</v>
      </c>
      <c r="P195" s="174">
        <f>VLOOKUP(D195,原始分!$D:$N,8,0)</f>
        <v>0</v>
      </c>
      <c r="Q195" s="174">
        <f t="shared" ref="Q195:Q258" si="44">RANK(P195,$P$3:$P$270)</f>
        <v>3</v>
      </c>
      <c r="R195" s="174">
        <f>VLOOKUP(D195,原始分!$D:$N,9,0)</f>
        <v>0</v>
      </c>
      <c r="S195" s="174">
        <f t="shared" ref="S195:S258" si="45">RANK(R195,$R$3:$R$270)</f>
        <v>103</v>
      </c>
      <c r="T195" s="174">
        <f>VLOOKUP(D195,原始分!$D:$N,10,0)</f>
        <v>49</v>
      </c>
      <c r="U195" s="174">
        <f t="shared" ref="U195:U258" si="46">RANK(T195,$T$3:$T$270)</f>
        <v>177</v>
      </c>
      <c r="V195" s="174">
        <f>VLOOKUP(D195,原始分!$D:$N,11,0)</f>
        <v>46</v>
      </c>
      <c r="W195" s="174">
        <f t="shared" ref="W195:W258" si="47">RANK(V195,$V$3:$V$270)</f>
        <v>71</v>
      </c>
      <c r="X195" s="11">
        <f t="shared" ref="X195:X208" si="48">SUM(F195,H195,J195)</f>
        <v>261</v>
      </c>
      <c r="Y195" s="9">
        <f t="shared" ref="Y195:Y258" si="49">RANK(X195,$X$3:$X$270)</f>
        <v>190</v>
      </c>
      <c r="Z195" s="11">
        <f t="shared" ref="Z195:Z208" si="50">SUM(F195,H195,J195,L195,N195,P195,R195,T195,V195)</f>
        <v>401</v>
      </c>
      <c r="AA195" s="9">
        <f t="shared" ref="AA195:AA258" si="51">RANK(Z195,$Z$3:$Z$270)</f>
        <v>193</v>
      </c>
    </row>
    <row r="196" ht="14.25" spans="1:27">
      <c r="A196" s="13">
        <v>675</v>
      </c>
      <c r="B196" s="15">
        <v>14</v>
      </c>
      <c r="C196" s="16">
        <v>15</v>
      </c>
      <c r="D196" s="15" t="s">
        <v>1356</v>
      </c>
      <c r="E196" s="15" t="s">
        <v>1357</v>
      </c>
      <c r="F196" s="174">
        <f>VLOOKUP(D196,原始分!$D:$N,3,0)</f>
        <v>99.5</v>
      </c>
      <c r="G196" s="174">
        <f t="shared" si="39"/>
        <v>133</v>
      </c>
      <c r="H196" s="174">
        <f>VLOOKUP(D196,原始分!$D:$N,4,0)</f>
        <v>78</v>
      </c>
      <c r="I196" s="174">
        <f t="shared" si="40"/>
        <v>162</v>
      </c>
      <c r="J196" s="174">
        <f>VLOOKUP(D196,原始分!$D:$N,5,0)</f>
        <v>95</v>
      </c>
      <c r="K196" s="174">
        <f t="shared" si="41"/>
        <v>147</v>
      </c>
      <c r="L196" s="174">
        <f>VLOOKUP(D196,原始分!$D:$N,6,0)</f>
        <v>0</v>
      </c>
      <c r="M196" s="174">
        <f t="shared" si="42"/>
        <v>1</v>
      </c>
      <c r="N196" s="174">
        <f>VLOOKUP(D196,原始分!$D:$N,7,0)</f>
        <v>44</v>
      </c>
      <c r="O196" s="174">
        <f t="shared" si="43"/>
        <v>196</v>
      </c>
      <c r="P196" s="174">
        <f>VLOOKUP(D196,原始分!$D:$N,8,0)</f>
        <v>0</v>
      </c>
      <c r="Q196" s="174">
        <f t="shared" si="44"/>
        <v>3</v>
      </c>
      <c r="R196" s="174">
        <f>VLOOKUP(D196,原始分!$D:$N,9,0)</f>
        <v>0</v>
      </c>
      <c r="S196" s="174">
        <f t="shared" si="45"/>
        <v>103</v>
      </c>
      <c r="T196" s="174">
        <f>VLOOKUP(D196,原始分!$D:$N,10,0)</f>
        <v>48.5</v>
      </c>
      <c r="U196" s="174">
        <f t="shared" si="46"/>
        <v>179</v>
      </c>
      <c r="V196" s="174">
        <f>VLOOKUP(D196,原始分!$D:$N,11,0)</f>
        <v>32</v>
      </c>
      <c r="W196" s="174">
        <f t="shared" si="47"/>
        <v>102</v>
      </c>
      <c r="X196" s="11">
        <f t="shared" si="48"/>
        <v>272.5</v>
      </c>
      <c r="Y196" s="9">
        <f t="shared" si="49"/>
        <v>162</v>
      </c>
      <c r="Z196" s="11">
        <f t="shared" si="50"/>
        <v>397</v>
      </c>
      <c r="AA196" s="9">
        <f t="shared" si="51"/>
        <v>194</v>
      </c>
    </row>
    <row r="197" ht="14.25" spans="1:27">
      <c r="A197" s="13">
        <v>869</v>
      </c>
      <c r="B197" s="15">
        <v>18</v>
      </c>
      <c r="C197" s="16">
        <v>55</v>
      </c>
      <c r="D197" s="15" t="s">
        <v>1736</v>
      </c>
      <c r="E197" s="15" t="s">
        <v>1737</v>
      </c>
      <c r="F197" s="174">
        <f>VLOOKUP(D197,原始分!$D:$N,3,0)</f>
        <v>107.5</v>
      </c>
      <c r="G197" s="174">
        <f t="shared" si="39"/>
        <v>40</v>
      </c>
      <c r="H197" s="174">
        <f>VLOOKUP(D197,原始分!$D:$N,4,0)</f>
        <v>57.5</v>
      </c>
      <c r="I197" s="174">
        <f t="shared" si="40"/>
        <v>197</v>
      </c>
      <c r="J197" s="174">
        <f>VLOOKUP(D197,原始分!$D:$N,5,0)</f>
        <v>101.5</v>
      </c>
      <c r="K197" s="174">
        <f t="shared" si="41"/>
        <v>118</v>
      </c>
      <c r="L197" s="174">
        <f>VLOOKUP(D197,原始分!$D:$N,6,0)</f>
        <v>0</v>
      </c>
      <c r="M197" s="174">
        <f t="shared" si="42"/>
        <v>1</v>
      </c>
      <c r="N197" s="174">
        <f>VLOOKUP(D197,原始分!$D:$N,7,0)</f>
        <v>41</v>
      </c>
      <c r="O197" s="174">
        <f t="shared" si="43"/>
        <v>202</v>
      </c>
      <c r="P197" s="174">
        <f>VLOOKUP(D197,原始分!$D:$N,8,0)</f>
        <v>0</v>
      </c>
      <c r="Q197" s="174">
        <f t="shared" si="44"/>
        <v>3</v>
      </c>
      <c r="R197" s="174">
        <f>VLOOKUP(D197,原始分!$D:$N,9,0)</f>
        <v>46.5</v>
      </c>
      <c r="S197" s="174">
        <f t="shared" si="45"/>
        <v>77</v>
      </c>
      <c r="T197" s="174">
        <f>VLOOKUP(D197,原始分!$D:$N,10,0)</f>
        <v>41.5</v>
      </c>
      <c r="U197" s="174">
        <f t="shared" si="46"/>
        <v>199</v>
      </c>
      <c r="V197" s="174">
        <f>VLOOKUP(D197,原始分!$D:$N,11,0)</f>
        <v>0</v>
      </c>
      <c r="W197" s="174">
        <f t="shared" si="47"/>
        <v>105</v>
      </c>
      <c r="X197" s="11">
        <f t="shared" si="48"/>
        <v>266.5</v>
      </c>
      <c r="Y197" s="9">
        <f t="shared" si="49"/>
        <v>184</v>
      </c>
      <c r="Z197" s="11">
        <f t="shared" si="50"/>
        <v>395.5</v>
      </c>
      <c r="AA197" s="9">
        <f t="shared" si="51"/>
        <v>195</v>
      </c>
    </row>
    <row r="198" ht="14.25" spans="1:27">
      <c r="A198" s="13">
        <v>689</v>
      </c>
      <c r="B198" s="15">
        <v>14</v>
      </c>
      <c r="C198" s="16">
        <v>30</v>
      </c>
      <c r="D198" s="15" t="s">
        <v>1384</v>
      </c>
      <c r="E198" s="15" t="s">
        <v>1385</v>
      </c>
      <c r="F198" s="174">
        <f>VLOOKUP(D198,原始分!$D:$N,3,0)</f>
        <v>92</v>
      </c>
      <c r="G198" s="174">
        <f t="shared" si="39"/>
        <v>190</v>
      </c>
      <c r="H198" s="174">
        <f>VLOOKUP(D198,原始分!$D:$N,4,0)</f>
        <v>79</v>
      </c>
      <c r="I198" s="174">
        <f t="shared" si="40"/>
        <v>160</v>
      </c>
      <c r="J198" s="174">
        <f>VLOOKUP(D198,原始分!$D:$N,5,0)</f>
        <v>72.5</v>
      </c>
      <c r="K198" s="174">
        <f t="shared" si="41"/>
        <v>202</v>
      </c>
      <c r="L198" s="174">
        <f>VLOOKUP(D198,原始分!$D:$N,6,0)</f>
        <v>0</v>
      </c>
      <c r="M198" s="174">
        <f t="shared" si="42"/>
        <v>1</v>
      </c>
      <c r="N198" s="174">
        <f>VLOOKUP(D198,原始分!$D:$N,7,0)</f>
        <v>45</v>
      </c>
      <c r="O198" s="174">
        <f t="shared" si="43"/>
        <v>193</v>
      </c>
      <c r="P198" s="174">
        <f>VLOOKUP(D198,原始分!$D:$N,8,0)</f>
        <v>0</v>
      </c>
      <c r="Q198" s="174">
        <f t="shared" si="44"/>
        <v>3</v>
      </c>
      <c r="R198" s="174">
        <f>VLOOKUP(D198,原始分!$D:$N,9,0)</f>
        <v>0</v>
      </c>
      <c r="S198" s="174">
        <f t="shared" si="45"/>
        <v>103</v>
      </c>
      <c r="T198" s="174">
        <f>VLOOKUP(D198,原始分!$D:$N,10,0)</f>
        <v>47.5</v>
      </c>
      <c r="U198" s="174">
        <f t="shared" si="46"/>
        <v>186</v>
      </c>
      <c r="V198" s="174">
        <f>VLOOKUP(D198,原始分!$D:$N,11,0)</f>
        <v>57.5</v>
      </c>
      <c r="W198" s="174">
        <f t="shared" si="47"/>
        <v>24</v>
      </c>
      <c r="X198" s="11">
        <f t="shared" si="48"/>
        <v>243.5</v>
      </c>
      <c r="Y198" s="9">
        <f t="shared" si="49"/>
        <v>201</v>
      </c>
      <c r="Z198" s="11">
        <f t="shared" si="50"/>
        <v>393.5</v>
      </c>
      <c r="AA198" s="9">
        <f t="shared" si="51"/>
        <v>196</v>
      </c>
    </row>
    <row r="199" ht="14.25" spans="1:27">
      <c r="A199" s="13">
        <v>862</v>
      </c>
      <c r="B199" s="15">
        <v>18</v>
      </c>
      <c r="C199" s="16">
        <v>45</v>
      </c>
      <c r="D199" s="15" t="s">
        <v>1722</v>
      </c>
      <c r="E199" s="15" t="s">
        <v>1723</v>
      </c>
      <c r="F199" s="174">
        <f>VLOOKUP(D199,原始分!$D:$N,3,0)</f>
        <v>100.5</v>
      </c>
      <c r="G199" s="174">
        <f t="shared" si="39"/>
        <v>119</v>
      </c>
      <c r="H199" s="174">
        <f>VLOOKUP(D199,原始分!$D:$N,4,0)</f>
        <v>66.5</v>
      </c>
      <c r="I199" s="174">
        <f t="shared" si="40"/>
        <v>189</v>
      </c>
      <c r="J199" s="174">
        <f>VLOOKUP(D199,原始分!$D:$N,5,0)</f>
        <v>80.25</v>
      </c>
      <c r="K199" s="174">
        <f t="shared" si="41"/>
        <v>195</v>
      </c>
      <c r="L199" s="174">
        <f>VLOOKUP(D199,原始分!$D:$N,6,0)</f>
        <v>0</v>
      </c>
      <c r="M199" s="174">
        <f t="shared" si="42"/>
        <v>1</v>
      </c>
      <c r="N199" s="174">
        <f>VLOOKUP(D199,原始分!$D:$N,7,0)</f>
        <v>49</v>
      </c>
      <c r="O199" s="174">
        <f t="shared" si="43"/>
        <v>172</v>
      </c>
      <c r="P199" s="174">
        <f>VLOOKUP(D199,原始分!$D:$N,8,0)</f>
        <v>0</v>
      </c>
      <c r="Q199" s="174">
        <f t="shared" si="44"/>
        <v>3</v>
      </c>
      <c r="R199" s="174">
        <f>VLOOKUP(D199,原始分!$D:$N,9,0)</f>
        <v>51.5</v>
      </c>
      <c r="S199" s="174">
        <f t="shared" si="45"/>
        <v>50</v>
      </c>
      <c r="T199" s="174">
        <f>VLOOKUP(D199,原始分!$D:$N,10,0)</f>
        <v>44.5</v>
      </c>
      <c r="U199" s="174">
        <f t="shared" si="46"/>
        <v>192</v>
      </c>
      <c r="V199" s="174">
        <f>VLOOKUP(D199,原始分!$D:$N,11,0)</f>
        <v>0</v>
      </c>
      <c r="W199" s="174">
        <f t="shared" si="47"/>
        <v>105</v>
      </c>
      <c r="X199" s="11">
        <f t="shared" si="48"/>
        <v>247.25</v>
      </c>
      <c r="Y199" s="9">
        <f t="shared" si="49"/>
        <v>196</v>
      </c>
      <c r="Z199" s="11">
        <f t="shared" si="50"/>
        <v>392.25</v>
      </c>
      <c r="AA199" s="9">
        <f t="shared" si="51"/>
        <v>197</v>
      </c>
    </row>
    <row r="200" ht="14.25" spans="1:27">
      <c r="A200" s="13">
        <v>710</v>
      </c>
      <c r="B200" s="15">
        <v>15</v>
      </c>
      <c r="C200" s="16">
        <v>8</v>
      </c>
      <c r="D200" s="15" t="s">
        <v>1423</v>
      </c>
      <c r="E200" s="15" t="s">
        <v>1424</v>
      </c>
      <c r="F200" s="174">
        <f>VLOOKUP(D200,原始分!$D:$N,3,0)</f>
        <v>87.25</v>
      </c>
      <c r="G200" s="174">
        <f t="shared" si="39"/>
        <v>204</v>
      </c>
      <c r="H200" s="174">
        <f>VLOOKUP(D200,原始分!$D:$N,4,0)</f>
        <v>74.5</v>
      </c>
      <c r="I200" s="174">
        <f t="shared" si="40"/>
        <v>171</v>
      </c>
      <c r="J200" s="174">
        <f>VLOOKUP(D200,原始分!$D:$N,5,0)</f>
        <v>89</v>
      </c>
      <c r="K200" s="174">
        <f t="shared" si="41"/>
        <v>168</v>
      </c>
      <c r="L200" s="174">
        <f>VLOOKUP(D200,原始分!$D:$N,6,0)</f>
        <v>0</v>
      </c>
      <c r="M200" s="174">
        <f t="shared" si="42"/>
        <v>1</v>
      </c>
      <c r="N200" s="174">
        <f>VLOOKUP(D200,原始分!$D:$N,7,0)</f>
        <v>48.5</v>
      </c>
      <c r="O200" s="174">
        <f t="shared" si="43"/>
        <v>180</v>
      </c>
      <c r="P200" s="174">
        <f>VLOOKUP(D200,原始分!$D:$N,8,0)</f>
        <v>0</v>
      </c>
      <c r="Q200" s="174">
        <f t="shared" si="44"/>
        <v>3</v>
      </c>
      <c r="R200" s="174">
        <f>VLOOKUP(D200,原始分!$D:$N,9,0)</f>
        <v>0</v>
      </c>
      <c r="S200" s="174">
        <f t="shared" si="45"/>
        <v>103</v>
      </c>
      <c r="T200" s="174">
        <f>VLOOKUP(D200,原始分!$D:$N,10,0)</f>
        <v>58.25</v>
      </c>
      <c r="U200" s="174">
        <f t="shared" si="46"/>
        <v>110</v>
      </c>
      <c r="V200" s="174">
        <f>VLOOKUP(D200,原始分!$D:$N,11,0)</f>
        <v>33.5</v>
      </c>
      <c r="W200" s="174">
        <f t="shared" si="47"/>
        <v>101</v>
      </c>
      <c r="X200" s="11">
        <f t="shared" si="48"/>
        <v>250.75</v>
      </c>
      <c r="Y200" s="9">
        <f t="shared" si="49"/>
        <v>194</v>
      </c>
      <c r="Z200" s="11">
        <f t="shared" si="50"/>
        <v>391</v>
      </c>
      <c r="AA200" s="9">
        <f t="shared" si="51"/>
        <v>198</v>
      </c>
    </row>
    <row r="201" ht="14.25" spans="1:27">
      <c r="A201" s="13">
        <v>799</v>
      </c>
      <c r="B201" s="15">
        <v>17</v>
      </c>
      <c r="C201" s="16">
        <v>22</v>
      </c>
      <c r="D201" s="15" t="s">
        <v>1596</v>
      </c>
      <c r="E201" s="15" t="s">
        <v>1597</v>
      </c>
      <c r="F201" s="174">
        <f>VLOOKUP(D201,原始分!$D:$N,3,0)</f>
        <v>107</v>
      </c>
      <c r="G201" s="174">
        <f t="shared" si="39"/>
        <v>50</v>
      </c>
      <c r="H201" s="174">
        <f>VLOOKUP(D201,原始分!$D:$N,4,0)</f>
        <v>50</v>
      </c>
      <c r="I201" s="174">
        <f t="shared" si="40"/>
        <v>206</v>
      </c>
      <c r="J201" s="174">
        <f>VLOOKUP(D201,原始分!$D:$N,5,0)</f>
        <v>89</v>
      </c>
      <c r="K201" s="174">
        <f t="shared" si="41"/>
        <v>168</v>
      </c>
      <c r="L201" s="174">
        <f>VLOOKUP(D201,原始分!$D:$N,6,0)</f>
        <v>0</v>
      </c>
      <c r="M201" s="174">
        <f t="shared" si="42"/>
        <v>1</v>
      </c>
      <c r="N201" s="174">
        <f>VLOOKUP(D201,原始分!$D:$N,7,0)</f>
        <v>46</v>
      </c>
      <c r="O201" s="174">
        <f t="shared" si="43"/>
        <v>190</v>
      </c>
      <c r="P201" s="174">
        <f>VLOOKUP(D201,原始分!$D:$N,8,0)</f>
        <v>0</v>
      </c>
      <c r="Q201" s="174">
        <f t="shared" si="44"/>
        <v>3</v>
      </c>
      <c r="R201" s="174">
        <f>VLOOKUP(D201,原始分!$D:$N,9,0)</f>
        <v>45</v>
      </c>
      <c r="S201" s="174">
        <f t="shared" si="45"/>
        <v>82</v>
      </c>
      <c r="T201" s="174">
        <f>VLOOKUP(D201,原始分!$D:$N,10,0)</f>
        <v>54</v>
      </c>
      <c r="U201" s="174">
        <f t="shared" si="46"/>
        <v>145</v>
      </c>
      <c r="V201" s="174">
        <f>VLOOKUP(D201,原始分!$D:$N,11,0)</f>
        <v>0</v>
      </c>
      <c r="W201" s="174">
        <f t="shared" si="47"/>
        <v>105</v>
      </c>
      <c r="X201" s="11">
        <f t="shared" si="48"/>
        <v>246</v>
      </c>
      <c r="Y201" s="9">
        <f t="shared" si="49"/>
        <v>198</v>
      </c>
      <c r="Z201" s="11">
        <f t="shared" si="50"/>
        <v>391</v>
      </c>
      <c r="AA201" s="9">
        <f t="shared" si="51"/>
        <v>198</v>
      </c>
    </row>
    <row r="202" ht="14.25" spans="1:27">
      <c r="A202" s="13">
        <v>790</v>
      </c>
      <c r="B202" s="15">
        <v>17</v>
      </c>
      <c r="C202" s="16">
        <v>11</v>
      </c>
      <c r="D202" s="15" t="s">
        <v>1578</v>
      </c>
      <c r="E202" s="15" t="s">
        <v>1579</v>
      </c>
      <c r="F202" s="174">
        <f>VLOOKUP(D202,原始分!$D:$N,3,0)</f>
        <v>105</v>
      </c>
      <c r="G202" s="174">
        <f t="shared" si="39"/>
        <v>65</v>
      </c>
      <c r="H202" s="174">
        <f>VLOOKUP(D202,原始分!$D:$N,4,0)</f>
        <v>53.5</v>
      </c>
      <c r="I202" s="174">
        <f t="shared" si="40"/>
        <v>203</v>
      </c>
      <c r="J202" s="174">
        <f>VLOOKUP(D202,原始分!$D:$N,5,0)</f>
        <v>80.5</v>
      </c>
      <c r="K202" s="174">
        <f t="shared" si="41"/>
        <v>194</v>
      </c>
      <c r="L202" s="174">
        <f>VLOOKUP(D202,原始分!$D:$N,6,0)</f>
        <v>0</v>
      </c>
      <c r="M202" s="174">
        <f t="shared" si="42"/>
        <v>1</v>
      </c>
      <c r="N202" s="174">
        <f>VLOOKUP(D202,原始分!$D:$N,7,0)</f>
        <v>50</v>
      </c>
      <c r="O202" s="174">
        <f t="shared" si="43"/>
        <v>168</v>
      </c>
      <c r="P202" s="174">
        <f>VLOOKUP(D202,原始分!$D:$N,8,0)</f>
        <v>0</v>
      </c>
      <c r="Q202" s="174">
        <f t="shared" si="44"/>
        <v>3</v>
      </c>
      <c r="R202" s="174">
        <f>VLOOKUP(D202,原始分!$D:$N,9,0)</f>
        <v>46</v>
      </c>
      <c r="S202" s="174">
        <f t="shared" si="45"/>
        <v>79</v>
      </c>
      <c r="T202" s="174">
        <f>VLOOKUP(D202,原始分!$D:$N,10,0)</f>
        <v>53.5</v>
      </c>
      <c r="U202" s="174">
        <f t="shared" si="46"/>
        <v>152</v>
      </c>
      <c r="V202" s="174">
        <f>VLOOKUP(D202,原始分!$D:$N,11,0)</f>
        <v>0</v>
      </c>
      <c r="W202" s="174">
        <f t="shared" si="47"/>
        <v>105</v>
      </c>
      <c r="X202" s="11">
        <f t="shared" si="48"/>
        <v>239</v>
      </c>
      <c r="Y202" s="9">
        <f t="shared" si="49"/>
        <v>202</v>
      </c>
      <c r="Z202" s="11">
        <f t="shared" si="50"/>
        <v>388.5</v>
      </c>
      <c r="AA202" s="9">
        <f t="shared" si="51"/>
        <v>200</v>
      </c>
    </row>
    <row r="203" ht="14.25" spans="1:27">
      <c r="A203" s="13">
        <v>853</v>
      </c>
      <c r="B203" s="15">
        <v>18</v>
      </c>
      <c r="C203" s="16">
        <v>34</v>
      </c>
      <c r="D203" s="15" t="s">
        <v>1704</v>
      </c>
      <c r="E203" s="15" t="s">
        <v>1705</v>
      </c>
      <c r="F203" s="174">
        <f>VLOOKUP(D203,原始分!$D:$N,3,0)</f>
        <v>100.5</v>
      </c>
      <c r="G203" s="174">
        <f t="shared" si="39"/>
        <v>119</v>
      </c>
      <c r="H203" s="174">
        <f>VLOOKUP(D203,原始分!$D:$N,4,0)</f>
        <v>57.5</v>
      </c>
      <c r="I203" s="174">
        <f t="shared" si="40"/>
        <v>197</v>
      </c>
      <c r="J203" s="174">
        <f>VLOOKUP(D203,原始分!$D:$N,5,0)</f>
        <v>88</v>
      </c>
      <c r="K203" s="174">
        <f t="shared" si="41"/>
        <v>174</v>
      </c>
      <c r="L203" s="174">
        <f>VLOOKUP(D203,原始分!$D:$N,6,0)</f>
        <v>0</v>
      </c>
      <c r="M203" s="174">
        <f t="shared" si="42"/>
        <v>1</v>
      </c>
      <c r="N203" s="174">
        <f>VLOOKUP(D203,原始分!$D:$N,7,0)</f>
        <v>48.5</v>
      </c>
      <c r="O203" s="174">
        <f t="shared" si="43"/>
        <v>180</v>
      </c>
      <c r="P203" s="174">
        <f>VLOOKUP(D203,原始分!$D:$N,8,0)</f>
        <v>0</v>
      </c>
      <c r="Q203" s="174">
        <f t="shared" si="44"/>
        <v>3</v>
      </c>
      <c r="R203" s="174">
        <f>VLOOKUP(D203,原始分!$D:$N,9,0)</f>
        <v>44.5</v>
      </c>
      <c r="S203" s="174">
        <f t="shared" si="45"/>
        <v>84</v>
      </c>
      <c r="T203" s="174">
        <f>VLOOKUP(D203,原始分!$D:$N,10,0)</f>
        <v>40.5</v>
      </c>
      <c r="U203" s="174">
        <f t="shared" si="46"/>
        <v>201</v>
      </c>
      <c r="V203" s="174">
        <f>VLOOKUP(D203,原始分!$D:$N,11,0)</f>
        <v>0</v>
      </c>
      <c r="W203" s="174">
        <f t="shared" si="47"/>
        <v>105</v>
      </c>
      <c r="X203" s="11">
        <f t="shared" si="48"/>
        <v>246</v>
      </c>
      <c r="Y203" s="9">
        <f t="shared" si="49"/>
        <v>198</v>
      </c>
      <c r="Z203" s="11">
        <f t="shared" si="50"/>
        <v>379.5</v>
      </c>
      <c r="AA203" s="9">
        <f t="shared" si="51"/>
        <v>201</v>
      </c>
    </row>
    <row r="204" ht="14.25" spans="1:27">
      <c r="A204" s="13">
        <v>819</v>
      </c>
      <c r="B204" s="15">
        <v>17</v>
      </c>
      <c r="C204" s="16">
        <v>46</v>
      </c>
      <c r="D204" s="15" t="s">
        <v>1636</v>
      </c>
      <c r="E204" s="15" t="s">
        <v>1637</v>
      </c>
      <c r="F204" s="174">
        <f>VLOOKUP(D204,原始分!$D:$N,3,0)</f>
        <v>95</v>
      </c>
      <c r="G204" s="174">
        <f t="shared" si="39"/>
        <v>179</v>
      </c>
      <c r="H204" s="174">
        <f>VLOOKUP(D204,原始分!$D:$N,4,0)</f>
        <v>72</v>
      </c>
      <c r="I204" s="174">
        <f t="shared" si="40"/>
        <v>178</v>
      </c>
      <c r="J204" s="174">
        <f>VLOOKUP(D204,原始分!$D:$N,5,0)</f>
        <v>78.75</v>
      </c>
      <c r="K204" s="174">
        <f t="shared" si="41"/>
        <v>197</v>
      </c>
      <c r="L204" s="174">
        <f>VLOOKUP(D204,原始分!$D:$N,6,0)</f>
        <v>0</v>
      </c>
      <c r="M204" s="174">
        <f t="shared" si="42"/>
        <v>1</v>
      </c>
      <c r="N204" s="174">
        <f>VLOOKUP(D204,原始分!$D:$N,7,0)</f>
        <v>50.5</v>
      </c>
      <c r="O204" s="174">
        <f t="shared" si="43"/>
        <v>164</v>
      </c>
      <c r="P204" s="174">
        <f>VLOOKUP(D204,原始分!$D:$N,8,0)</f>
        <v>0</v>
      </c>
      <c r="Q204" s="174">
        <f t="shared" si="44"/>
        <v>3</v>
      </c>
      <c r="R204" s="174">
        <f>VLOOKUP(D204,原始分!$D:$N,9,0)</f>
        <v>44.5</v>
      </c>
      <c r="S204" s="174">
        <f t="shared" si="45"/>
        <v>84</v>
      </c>
      <c r="T204" s="174">
        <f>VLOOKUP(D204,原始分!$D:$N,10,0)</f>
        <v>36.5</v>
      </c>
      <c r="U204" s="174">
        <f t="shared" si="46"/>
        <v>203</v>
      </c>
      <c r="V204" s="174">
        <f>VLOOKUP(D204,原始分!$D:$N,11,0)</f>
        <v>0</v>
      </c>
      <c r="W204" s="174">
        <f t="shared" si="47"/>
        <v>105</v>
      </c>
      <c r="X204" s="11">
        <f t="shared" si="48"/>
        <v>245.75</v>
      </c>
      <c r="Y204" s="9">
        <f t="shared" si="49"/>
        <v>200</v>
      </c>
      <c r="Z204" s="11">
        <f t="shared" si="50"/>
        <v>377.25</v>
      </c>
      <c r="AA204" s="9">
        <f t="shared" si="51"/>
        <v>202</v>
      </c>
    </row>
    <row r="205" ht="14.25" spans="1:27">
      <c r="A205" s="13">
        <v>868</v>
      </c>
      <c r="B205" s="15">
        <v>18</v>
      </c>
      <c r="C205" s="16">
        <v>54</v>
      </c>
      <c r="D205" s="15" t="s">
        <v>1734</v>
      </c>
      <c r="E205" s="15" t="s">
        <v>1735</v>
      </c>
      <c r="F205" s="174">
        <f>VLOOKUP(D205,原始分!$D:$N,3,0)</f>
        <v>97.5</v>
      </c>
      <c r="G205" s="174">
        <f t="shared" si="39"/>
        <v>160</v>
      </c>
      <c r="H205" s="174">
        <f>VLOOKUP(D205,原始分!$D:$N,4,0)</f>
        <v>61.5</v>
      </c>
      <c r="I205" s="174">
        <f t="shared" si="40"/>
        <v>195</v>
      </c>
      <c r="J205" s="174">
        <f>VLOOKUP(D205,原始分!$D:$N,5,0)</f>
        <v>72</v>
      </c>
      <c r="K205" s="174">
        <f t="shared" si="41"/>
        <v>203</v>
      </c>
      <c r="L205" s="174">
        <f>VLOOKUP(D205,原始分!$D:$N,6,0)</f>
        <v>0</v>
      </c>
      <c r="M205" s="174">
        <f t="shared" si="42"/>
        <v>1</v>
      </c>
      <c r="N205" s="174">
        <f>VLOOKUP(D205,原始分!$D:$N,7,0)</f>
        <v>51.5</v>
      </c>
      <c r="O205" s="174">
        <f t="shared" si="43"/>
        <v>150</v>
      </c>
      <c r="P205" s="174">
        <f>VLOOKUP(D205,原始分!$D:$N,8,0)</f>
        <v>0</v>
      </c>
      <c r="Q205" s="174">
        <f t="shared" si="44"/>
        <v>3</v>
      </c>
      <c r="R205" s="174">
        <f>VLOOKUP(D205,原始分!$D:$N,9,0)</f>
        <v>50</v>
      </c>
      <c r="S205" s="174">
        <f t="shared" si="45"/>
        <v>60</v>
      </c>
      <c r="T205" s="174">
        <f>VLOOKUP(D205,原始分!$D:$N,10,0)</f>
        <v>43.5</v>
      </c>
      <c r="U205" s="174">
        <f t="shared" si="46"/>
        <v>196</v>
      </c>
      <c r="V205" s="174">
        <f>VLOOKUP(D205,原始分!$D:$N,11,0)</f>
        <v>0</v>
      </c>
      <c r="W205" s="174">
        <f t="shared" si="47"/>
        <v>105</v>
      </c>
      <c r="X205" s="11">
        <f t="shared" si="48"/>
        <v>231</v>
      </c>
      <c r="Y205" s="9">
        <f t="shared" si="49"/>
        <v>204</v>
      </c>
      <c r="Z205" s="11">
        <f t="shared" si="50"/>
        <v>376</v>
      </c>
      <c r="AA205" s="9">
        <f t="shared" si="51"/>
        <v>203</v>
      </c>
    </row>
    <row r="206" ht="14.25" spans="1:27">
      <c r="A206" s="13">
        <v>832</v>
      </c>
      <c r="B206" s="15">
        <v>18</v>
      </c>
      <c r="C206" s="16">
        <v>10</v>
      </c>
      <c r="D206" s="15" t="s">
        <v>1662</v>
      </c>
      <c r="E206" s="15" t="s">
        <v>1663</v>
      </c>
      <c r="F206" s="174">
        <f>VLOOKUP(D206,原始分!$D:$N,3,0)</f>
        <v>96.5</v>
      </c>
      <c r="G206" s="174">
        <f t="shared" si="39"/>
        <v>169</v>
      </c>
      <c r="H206" s="174">
        <f>VLOOKUP(D206,原始分!$D:$N,4,0)</f>
        <v>57</v>
      </c>
      <c r="I206" s="174">
        <f t="shared" si="40"/>
        <v>200</v>
      </c>
      <c r="J206" s="174">
        <f>VLOOKUP(D206,原始分!$D:$N,5,0)</f>
        <v>85.5</v>
      </c>
      <c r="K206" s="174">
        <f t="shared" si="41"/>
        <v>176</v>
      </c>
      <c r="L206" s="174">
        <f>VLOOKUP(D206,原始分!$D:$N,6,0)</f>
        <v>0</v>
      </c>
      <c r="M206" s="174">
        <f t="shared" si="42"/>
        <v>1</v>
      </c>
      <c r="N206" s="174">
        <f>VLOOKUP(D206,原始分!$D:$N,7,0)</f>
        <v>42</v>
      </c>
      <c r="O206" s="174">
        <f t="shared" si="43"/>
        <v>201</v>
      </c>
      <c r="P206" s="174">
        <f>VLOOKUP(D206,原始分!$D:$N,8,0)</f>
        <v>0</v>
      </c>
      <c r="Q206" s="174">
        <f t="shared" si="44"/>
        <v>3</v>
      </c>
      <c r="R206" s="174">
        <f>VLOOKUP(D206,原始分!$D:$N,9,0)</f>
        <v>50</v>
      </c>
      <c r="S206" s="174">
        <f t="shared" si="45"/>
        <v>60</v>
      </c>
      <c r="T206" s="174">
        <f>VLOOKUP(D206,原始分!$D:$N,10,0)</f>
        <v>39</v>
      </c>
      <c r="U206" s="174">
        <f t="shared" si="46"/>
        <v>202</v>
      </c>
      <c r="V206" s="174">
        <f>VLOOKUP(D206,原始分!$D:$N,11,0)</f>
        <v>0</v>
      </c>
      <c r="W206" s="174">
        <f t="shared" si="47"/>
        <v>105</v>
      </c>
      <c r="X206" s="11">
        <f t="shared" si="48"/>
        <v>239</v>
      </c>
      <c r="Y206" s="9">
        <f t="shared" si="49"/>
        <v>202</v>
      </c>
      <c r="Z206" s="11">
        <f t="shared" si="50"/>
        <v>370</v>
      </c>
      <c r="AA206" s="9">
        <f t="shared" si="51"/>
        <v>204</v>
      </c>
    </row>
    <row r="207" ht="14.25" spans="1:27">
      <c r="A207" s="13">
        <v>829</v>
      </c>
      <c r="B207" s="15">
        <v>18</v>
      </c>
      <c r="C207" s="16">
        <v>5</v>
      </c>
      <c r="D207" s="15" t="s">
        <v>1656</v>
      </c>
      <c r="E207" s="15" t="s">
        <v>1657</v>
      </c>
      <c r="F207" s="174">
        <f>VLOOKUP(D207,原始分!$D:$N,3,0)</f>
        <v>100.5</v>
      </c>
      <c r="G207" s="174">
        <f t="shared" si="39"/>
        <v>119</v>
      </c>
      <c r="H207" s="174">
        <f>VLOOKUP(D207,原始分!$D:$N,4,0)</f>
        <v>53</v>
      </c>
      <c r="I207" s="174">
        <f t="shared" si="40"/>
        <v>204</v>
      </c>
      <c r="J207" s="174">
        <f>VLOOKUP(D207,原始分!$D:$N,5,0)</f>
        <v>73</v>
      </c>
      <c r="K207" s="174">
        <f t="shared" si="41"/>
        <v>201</v>
      </c>
      <c r="L207" s="174">
        <f>VLOOKUP(D207,原始分!$D:$N,6,0)</f>
        <v>0</v>
      </c>
      <c r="M207" s="174">
        <f t="shared" si="42"/>
        <v>1</v>
      </c>
      <c r="N207" s="174">
        <f>VLOOKUP(D207,原始分!$D:$N,7,0)</f>
        <v>49</v>
      </c>
      <c r="O207" s="174">
        <f t="shared" si="43"/>
        <v>172</v>
      </c>
      <c r="P207" s="174">
        <f>VLOOKUP(D207,原始分!$D:$N,8,0)</f>
        <v>0</v>
      </c>
      <c r="Q207" s="174">
        <f t="shared" si="44"/>
        <v>3</v>
      </c>
      <c r="R207" s="174">
        <f>VLOOKUP(D207,原始分!$D:$N,9,0)</f>
        <v>44</v>
      </c>
      <c r="S207" s="174">
        <f t="shared" si="45"/>
        <v>89</v>
      </c>
      <c r="T207" s="174">
        <f>VLOOKUP(D207,原始分!$D:$N,10,0)</f>
        <v>49.5</v>
      </c>
      <c r="U207" s="174">
        <f t="shared" si="46"/>
        <v>173</v>
      </c>
      <c r="V207" s="174">
        <f>VLOOKUP(D207,原始分!$D:$N,11,0)</f>
        <v>0</v>
      </c>
      <c r="W207" s="174">
        <f t="shared" si="47"/>
        <v>105</v>
      </c>
      <c r="X207" s="11">
        <f t="shared" si="48"/>
        <v>226.5</v>
      </c>
      <c r="Y207" s="9">
        <f t="shared" si="49"/>
        <v>205</v>
      </c>
      <c r="Z207" s="11">
        <f t="shared" si="50"/>
        <v>369</v>
      </c>
      <c r="AA207" s="9">
        <f t="shared" si="51"/>
        <v>205</v>
      </c>
    </row>
    <row r="208" ht="14.25" spans="1:27">
      <c r="A208" s="13">
        <v>676</v>
      </c>
      <c r="B208" s="15">
        <v>14</v>
      </c>
      <c r="C208" s="16">
        <v>16</v>
      </c>
      <c r="D208" s="15" t="s">
        <v>1358</v>
      </c>
      <c r="E208" s="15" t="s">
        <v>1359</v>
      </c>
      <c r="F208" s="174">
        <f>VLOOKUP(D208,原始分!$D:$N,3,0)</f>
        <v>93.5</v>
      </c>
      <c r="G208" s="174">
        <f t="shared" si="39"/>
        <v>186</v>
      </c>
      <c r="H208" s="174">
        <f>VLOOKUP(D208,原始分!$D:$N,4,0)</f>
        <v>60</v>
      </c>
      <c r="I208" s="174">
        <f t="shared" si="40"/>
        <v>196</v>
      </c>
      <c r="J208" s="174">
        <f>VLOOKUP(D208,原始分!$D:$N,5,0)</f>
        <v>56.5</v>
      </c>
      <c r="K208" s="174">
        <f t="shared" si="41"/>
        <v>206</v>
      </c>
      <c r="L208" s="174">
        <f>VLOOKUP(D208,原始分!$D:$N,6,0)</f>
        <v>0</v>
      </c>
      <c r="M208" s="174">
        <f t="shared" si="42"/>
        <v>1</v>
      </c>
      <c r="N208" s="174">
        <f>VLOOKUP(D208,原始分!$D:$N,7,0)</f>
        <v>39.5</v>
      </c>
      <c r="O208" s="174">
        <f t="shared" si="43"/>
        <v>205</v>
      </c>
      <c r="P208" s="174">
        <f>VLOOKUP(D208,原始分!$D:$N,8,0)</f>
        <v>0</v>
      </c>
      <c r="Q208" s="174">
        <f t="shared" si="44"/>
        <v>3</v>
      </c>
      <c r="R208" s="174">
        <f>VLOOKUP(D208,原始分!$D:$N,9,0)</f>
        <v>0</v>
      </c>
      <c r="S208" s="174">
        <f t="shared" si="45"/>
        <v>103</v>
      </c>
      <c r="T208" s="174">
        <f>VLOOKUP(D208,原始分!$D:$N,10,0)</f>
        <v>42</v>
      </c>
      <c r="U208" s="174">
        <f t="shared" si="46"/>
        <v>198</v>
      </c>
      <c r="V208" s="174">
        <f>VLOOKUP(D208,原始分!$D:$N,11,0)</f>
        <v>17</v>
      </c>
      <c r="W208" s="174">
        <f t="shared" si="47"/>
        <v>104</v>
      </c>
      <c r="X208" s="11">
        <f t="shared" si="48"/>
        <v>210</v>
      </c>
      <c r="Y208" s="9">
        <f t="shared" si="49"/>
        <v>206</v>
      </c>
      <c r="Z208" s="11">
        <f t="shared" si="50"/>
        <v>308.5</v>
      </c>
      <c r="AA208" s="9">
        <f t="shared" si="51"/>
        <v>206</v>
      </c>
    </row>
    <row r="209" spans="3:26">
      <c r="C209" s="11"/>
      <c r="D209" s="11"/>
      <c r="M209" s="11"/>
      <c r="O209" s="11"/>
      <c r="X209" s="9"/>
      <c r="Z209" s="9"/>
    </row>
    <row r="210" spans="3:26">
      <c r="C210" s="11"/>
      <c r="D210" s="11"/>
      <c r="M210" s="11"/>
      <c r="O210" s="11"/>
      <c r="X210" s="9"/>
      <c r="Z210" s="9"/>
    </row>
    <row r="211" spans="3:26">
      <c r="C211" s="11"/>
      <c r="D211" s="11"/>
      <c r="M211" s="11"/>
      <c r="O211" s="11"/>
      <c r="X211" s="9"/>
      <c r="Z211" s="9"/>
    </row>
    <row r="212" spans="3:26">
      <c r="C212" s="11"/>
      <c r="D212" s="11"/>
      <c r="M212" s="11"/>
      <c r="O212" s="11"/>
      <c r="X212" s="9"/>
      <c r="Z212" s="9"/>
    </row>
    <row r="213" spans="3:26">
      <c r="C213" s="11"/>
      <c r="D213" s="11"/>
      <c r="M213" s="11"/>
      <c r="O213" s="11"/>
      <c r="X213" s="9"/>
      <c r="Z213" s="9"/>
    </row>
    <row r="214" spans="3:26">
      <c r="C214" s="11"/>
      <c r="D214" s="11"/>
      <c r="M214" s="11"/>
      <c r="O214" s="11"/>
      <c r="X214" s="9"/>
      <c r="Z214" s="9"/>
    </row>
    <row r="215" spans="3:26">
      <c r="C215" s="11"/>
      <c r="D215" s="11"/>
      <c r="M215" s="11"/>
      <c r="O215" s="11"/>
      <c r="X215" s="9"/>
      <c r="Z215" s="9"/>
    </row>
    <row r="216" spans="3:26">
      <c r="C216" s="11"/>
      <c r="D216" s="11"/>
      <c r="M216" s="11"/>
      <c r="O216" s="11"/>
      <c r="X216" s="9"/>
      <c r="Z216" s="9"/>
    </row>
    <row r="217" spans="3:26">
      <c r="C217" s="11"/>
      <c r="D217" s="11"/>
      <c r="M217" s="11"/>
      <c r="O217" s="11"/>
      <c r="X217" s="9"/>
      <c r="Z217" s="9"/>
    </row>
    <row r="218" spans="3:26">
      <c r="C218" s="11"/>
      <c r="D218" s="11"/>
      <c r="M218" s="11"/>
      <c r="O218" s="11"/>
      <c r="X218" s="9"/>
      <c r="Z218" s="9"/>
    </row>
    <row r="219" spans="3:26">
      <c r="C219" s="11"/>
      <c r="D219" s="11"/>
      <c r="M219" s="11"/>
      <c r="O219" s="11"/>
      <c r="X219" s="9"/>
      <c r="Z219" s="9"/>
    </row>
    <row r="220" spans="3:26">
      <c r="C220" s="11"/>
      <c r="D220" s="11"/>
      <c r="M220" s="11"/>
      <c r="O220" s="11"/>
      <c r="X220" s="9"/>
      <c r="Z220" s="9"/>
    </row>
    <row r="221" spans="3:26">
      <c r="C221" s="11"/>
      <c r="D221" s="11"/>
      <c r="M221" s="11"/>
      <c r="O221" s="11"/>
      <c r="X221" s="9"/>
      <c r="Z221" s="9"/>
    </row>
    <row r="222" spans="3:26">
      <c r="C222" s="11"/>
      <c r="D222" s="11"/>
      <c r="M222" s="11"/>
      <c r="O222" s="11"/>
      <c r="X222" s="9"/>
      <c r="Z222" s="9"/>
    </row>
    <row r="223" spans="3:26">
      <c r="C223" s="11"/>
      <c r="D223" s="11"/>
      <c r="M223" s="11"/>
      <c r="O223" s="11"/>
      <c r="X223" s="9"/>
      <c r="Z223" s="9"/>
    </row>
    <row r="224" spans="3:26">
      <c r="C224" s="11"/>
      <c r="D224" s="11"/>
      <c r="M224" s="11"/>
      <c r="O224" s="11"/>
      <c r="X224" s="9"/>
      <c r="Z224" s="9"/>
    </row>
    <row r="225" spans="3:26">
      <c r="C225" s="11"/>
      <c r="D225" s="11"/>
      <c r="M225" s="11"/>
      <c r="O225" s="11"/>
      <c r="X225" s="9"/>
      <c r="Z225" s="9"/>
    </row>
    <row r="226" spans="3:26">
      <c r="C226" s="11"/>
      <c r="D226" s="11"/>
      <c r="M226" s="11"/>
      <c r="O226" s="11"/>
      <c r="X226" s="9"/>
      <c r="Z226" s="9"/>
    </row>
    <row r="227" spans="3:26">
      <c r="C227" s="11"/>
      <c r="D227" s="11"/>
      <c r="M227" s="11"/>
      <c r="O227" s="11"/>
      <c r="X227" s="9"/>
      <c r="Z227" s="9"/>
    </row>
    <row r="228" spans="3:26">
      <c r="C228" s="11"/>
      <c r="D228" s="11"/>
      <c r="M228" s="11"/>
      <c r="O228" s="11"/>
      <c r="X228" s="9"/>
      <c r="Z228" s="9"/>
    </row>
    <row r="229" spans="3:26">
      <c r="C229" s="11"/>
      <c r="D229" s="11"/>
      <c r="M229" s="11"/>
      <c r="O229" s="11"/>
      <c r="X229" s="9"/>
      <c r="Z229" s="9"/>
    </row>
    <row r="230" spans="3:26">
      <c r="C230" s="11"/>
      <c r="D230" s="11"/>
      <c r="M230" s="11"/>
      <c r="O230" s="11"/>
      <c r="X230" s="9"/>
      <c r="Z230" s="9"/>
    </row>
    <row r="231" spans="3:26">
      <c r="C231" s="11"/>
      <c r="D231" s="11"/>
      <c r="M231" s="11"/>
      <c r="O231" s="11"/>
      <c r="X231" s="9"/>
      <c r="Z231" s="9"/>
    </row>
    <row r="232" spans="3:26">
      <c r="C232" s="11"/>
      <c r="D232" s="11"/>
      <c r="M232" s="11"/>
      <c r="O232" s="11"/>
      <c r="X232" s="9"/>
      <c r="Z232" s="9"/>
    </row>
    <row r="233" spans="3:26">
      <c r="C233" s="11"/>
      <c r="D233" s="11"/>
      <c r="M233" s="11"/>
      <c r="O233" s="11"/>
      <c r="X233" s="9"/>
      <c r="Z233" s="9"/>
    </row>
    <row r="234" spans="3:26">
      <c r="C234" s="11"/>
      <c r="D234" s="11"/>
      <c r="M234" s="11"/>
      <c r="O234" s="11"/>
      <c r="X234" s="9"/>
      <c r="Z234" s="9"/>
    </row>
    <row r="235" spans="3:26">
      <c r="C235" s="11"/>
      <c r="D235" s="11"/>
      <c r="M235" s="11"/>
      <c r="O235" s="11"/>
      <c r="X235" s="9"/>
      <c r="Z235" s="9"/>
    </row>
    <row r="236" spans="3:26">
      <c r="C236" s="11"/>
      <c r="D236" s="11"/>
      <c r="M236" s="11"/>
      <c r="O236" s="11"/>
      <c r="X236" s="9"/>
      <c r="Z236" s="9"/>
    </row>
    <row r="237" spans="3:26">
      <c r="C237" s="11"/>
      <c r="D237" s="11"/>
      <c r="M237" s="11"/>
      <c r="O237" s="11"/>
      <c r="X237" s="9"/>
      <c r="Z237" s="9"/>
    </row>
    <row r="238" spans="3:26">
      <c r="C238" s="11"/>
      <c r="D238" s="11"/>
      <c r="M238" s="11"/>
      <c r="O238" s="11"/>
      <c r="X238" s="9"/>
      <c r="Z238" s="9"/>
    </row>
    <row r="239" spans="3:26">
      <c r="C239" s="11"/>
      <c r="D239" s="11"/>
      <c r="M239" s="11"/>
      <c r="O239" s="11"/>
      <c r="X239" s="9"/>
      <c r="Z239" s="9"/>
    </row>
    <row r="240" spans="3:26">
      <c r="C240" s="11"/>
      <c r="D240" s="11"/>
      <c r="M240" s="11"/>
      <c r="O240" s="11"/>
      <c r="X240" s="9"/>
      <c r="Z240" s="9"/>
    </row>
    <row r="241" spans="3:26">
      <c r="C241" s="11"/>
      <c r="D241" s="11"/>
      <c r="M241" s="11"/>
      <c r="O241" s="11"/>
      <c r="X241" s="9"/>
      <c r="Z241" s="9"/>
    </row>
    <row r="242" spans="3:26">
      <c r="C242" s="11"/>
      <c r="D242" s="11"/>
      <c r="M242" s="11"/>
      <c r="O242" s="11"/>
      <c r="X242" s="9"/>
      <c r="Z242" s="9"/>
    </row>
    <row r="243" spans="3:26">
      <c r="C243" s="11"/>
      <c r="D243" s="11"/>
      <c r="M243" s="11"/>
      <c r="O243" s="11"/>
      <c r="X243" s="9"/>
      <c r="Z243" s="9"/>
    </row>
    <row r="244" spans="3:26">
      <c r="C244" s="11"/>
      <c r="D244" s="11"/>
      <c r="M244" s="11"/>
      <c r="O244" s="11"/>
      <c r="X244" s="9"/>
      <c r="Z244" s="9"/>
    </row>
    <row r="245" spans="3:26">
      <c r="C245" s="11"/>
      <c r="D245" s="11"/>
      <c r="M245" s="11"/>
      <c r="O245" s="11"/>
      <c r="X245" s="9"/>
      <c r="Z245" s="9"/>
    </row>
    <row r="246" spans="3:26">
      <c r="C246" s="11"/>
      <c r="D246" s="11"/>
      <c r="M246" s="11"/>
      <c r="O246" s="11"/>
      <c r="X246" s="9"/>
      <c r="Z246" s="9"/>
    </row>
    <row r="247" spans="3:26">
      <c r="C247" s="11"/>
      <c r="D247" s="11"/>
      <c r="M247" s="11"/>
      <c r="O247" s="11"/>
      <c r="X247" s="9"/>
      <c r="Z247" s="9"/>
    </row>
    <row r="248" spans="3:26">
      <c r="C248" s="11"/>
      <c r="D248" s="11"/>
      <c r="M248" s="11"/>
      <c r="O248" s="11"/>
      <c r="X248" s="9"/>
      <c r="Z248" s="9"/>
    </row>
    <row r="249" spans="3:26">
      <c r="C249" s="11"/>
      <c r="D249" s="11"/>
      <c r="M249" s="11"/>
      <c r="O249" s="11"/>
      <c r="X249" s="9"/>
      <c r="Z249" s="9"/>
    </row>
    <row r="250" spans="3:26">
      <c r="C250" s="11"/>
      <c r="D250" s="11"/>
      <c r="M250" s="11"/>
      <c r="O250" s="11"/>
      <c r="X250" s="9"/>
      <c r="Z250" s="9"/>
    </row>
    <row r="251" spans="3:26">
      <c r="C251" s="11"/>
      <c r="D251" s="11"/>
      <c r="M251" s="11"/>
      <c r="O251" s="11"/>
      <c r="X251" s="9"/>
      <c r="Z251" s="9"/>
    </row>
    <row r="252" spans="3:26">
      <c r="C252" s="11"/>
      <c r="D252" s="11"/>
      <c r="M252" s="11"/>
      <c r="O252" s="11"/>
      <c r="X252" s="9"/>
      <c r="Z252" s="9"/>
    </row>
    <row r="253" spans="3:26">
      <c r="C253" s="11"/>
      <c r="D253" s="11"/>
      <c r="M253" s="11"/>
      <c r="O253" s="11"/>
      <c r="X253" s="9"/>
      <c r="Z253" s="9"/>
    </row>
    <row r="254" spans="3:26">
      <c r="C254" s="11"/>
      <c r="D254" s="11"/>
      <c r="M254" s="11"/>
      <c r="O254" s="11"/>
      <c r="X254" s="9"/>
      <c r="Z254" s="9"/>
    </row>
    <row r="255" spans="3:26">
      <c r="C255" s="11"/>
      <c r="D255" s="11"/>
      <c r="M255" s="11"/>
      <c r="O255" s="11"/>
      <c r="X255" s="9"/>
      <c r="Z255" s="9"/>
    </row>
    <row r="256" spans="3:26">
      <c r="C256" s="11"/>
      <c r="D256" s="11"/>
      <c r="M256" s="11"/>
      <c r="O256" s="11"/>
      <c r="X256" s="9"/>
      <c r="Z256" s="9"/>
    </row>
    <row r="257" spans="3:26">
      <c r="C257" s="11"/>
      <c r="D257" s="11"/>
      <c r="M257" s="11"/>
      <c r="O257" s="11"/>
      <c r="X257" s="9"/>
      <c r="Z257" s="9"/>
    </row>
    <row r="258" spans="3:26">
      <c r="C258" s="11"/>
      <c r="D258" s="11"/>
      <c r="M258" s="11"/>
      <c r="O258" s="11"/>
      <c r="X258" s="9"/>
      <c r="Z258" s="9"/>
    </row>
    <row r="259" spans="3:26">
      <c r="C259" s="11"/>
      <c r="D259" s="11"/>
      <c r="M259" s="11"/>
      <c r="O259" s="11"/>
      <c r="X259" s="9"/>
      <c r="Z259" s="9"/>
    </row>
    <row r="260" spans="3:26">
      <c r="C260" s="11"/>
      <c r="D260" s="11"/>
      <c r="M260" s="11"/>
      <c r="O260" s="11"/>
      <c r="X260" s="9"/>
      <c r="Z260" s="9"/>
    </row>
    <row r="261" spans="3:26">
      <c r="C261" s="11"/>
      <c r="D261" s="11"/>
      <c r="M261" s="11"/>
      <c r="O261" s="11"/>
      <c r="X261" s="9"/>
      <c r="Z261" s="9"/>
    </row>
    <row r="262" spans="3:26">
      <c r="C262" s="11"/>
      <c r="D262" s="11"/>
      <c r="M262" s="11"/>
      <c r="O262" s="11"/>
      <c r="X262" s="9"/>
      <c r="Z262" s="9"/>
    </row>
    <row r="263" spans="3:26">
      <c r="C263" s="11"/>
      <c r="D263" s="11"/>
      <c r="M263" s="11"/>
      <c r="O263" s="11"/>
      <c r="X263" s="9"/>
      <c r="Z263" s="9"/>
    </row>
    <row r="264" spans="3:26">
      <c r="C264" s="11"/>
      <c r="D264" s="11"/>
      <c r="M264" s="11"/>
      <c r="O264" s="11"/>
      <c r="X264" s="9"/>
      <c r="Z264" s="9"/>
    </row>
    <row r="265" spans="3:26">
      <c r="C265" s="11"/>
      <c r="D265" s="11"/>
      <c r="M265" s="11"/>
      <c r="O265" s="11"/>
      <c r="X265" s="9"/>
      <c r="Z265" s="9"/>
    </row>
    <row r="266" spans="3:26">
      <c r="C266" s="11"/>
      <c r="D266" s="11"/>
      <c r="M266" s="11"/>
      <c r="O266" s="11"/>
      <c r="X266" s="9"/>
      <c r="Z266" s="9"/>
    </row>
    <row r="267" spans="3:26">
      <c r="C267" s="11"/>
      <c r="D267" s="11"/>
      <c r="M267" s="11"/>
      <c r="O267" s="11"/>
      <c r="X267" s="9"/>
      <c r="Z267" s="9"/>
    </row>
    <row r="268" spans="3:26">
      <c r="C268" s="11"/>
      <c r="D268" s="11"/>
      <c r="M268" s="11"/>
      <c r="O268" s="11"/>
      <c r="X268" s="9"/>
      <c r="Z268" s="9"/>
    </row>
    <row r="269" spans="3:26">
      <c r="C269" s="11"/>
      <c r="D269" s="11"/>
      <c r="M269" s="11"/>
      <c r="O269" s="11"/>
      <c r="X269" s="9"/>
      <c r="Z269" s="9"/>
    </row>
    <row r="270" spans="3:26">
      <c r="C270" s="11"/>
      <c r="D270" s="11"/>
      <c r="M270" s="11"/>
      <c r="O270" s="11"/>
      <c r="X270" s="9"/>
      <c r="Z270" s="9"/>
    </row>
    <row r="271" spans="3:26">
      <c r="C271" s="11"/>
      <c r="D271" s="11"/>
      <c r="M271" s="11"/>
      <c r="O271" s="11"/>
      <c r="X271" s="9"/>
      <c r="Z271" s="9"/>
    </row>
    <row r="272" spans="3:26">
      <c r="C272" s="11"/>
      <c r="D272" s="11"/>
      <c r="M272" s="11"/>
      <c r="O272" s="11"/>
      <c r="X272" s="9"/>
      <c r="Z272" s="9"/>
    </row>
    <row r="273" spans="3:26">
      <c r="C273" s="11"/>
      <c r="D273" s="11"/>
      <c r="M273" s="11"/>
      <c r="O273" s="11"/>
      <c r="X273" s="9"/>
      <c r="Z273" s="9"/>
    </row>
    <row r="274" spans="3:26">
      <c r="C274" s="11"/>
      <c r="D274" s="11"/>
      <c r="M274" s="11"/>
      <c r="O274" s="11"/>
      <c r="X274" s="9"/>
      <c r="Z274" s="9"/>
    </row>
    <row r="275" spans="3:26">
      <c r="C275" s="11"/>
      <c r="D275" s="11"/>
      <c r="M275" s="11"/>
      <c r="O275" s="11"/>
      <c r="X275" s="9"/>
      <c r="Z275" s="9"/>
    </row>
    <row r="276" spans="3:26">
      <c r="C276" s="11"/>
      <c r="D276" s="11"/>
      <c r="M276" s="11"/>
      <c r="O276" s="11"/>
      <c r="X276" s="9"/>
      <c r="Z276" s="9"/>
    </row>
    <row r="277" spans="3:26">
      <c r="C277" s="11"/>
      <c r="D277" s="11"/>
      <c r="M277" s="11"/>
      <c r="O277" s="11"/>
      <c r="X277" s="9"/>
      <c r="Z277" s="9"/>
    </row>
    <row r="278" spans="3:26">
      <c r="C278" s="11"/>
      <c r="D278" s="11"/>
      <c r="M278" s="11"/>
      <c r="O278" s="11"/>
      <c r="X278" s="9"/>
      <c r="Z278" s="9"/>
    </row>
    <row r="279" spans="3:26">
      <c r="C279" s="11"/>
      <c r="D279" s="11"/>
      <c r="M279" s="11"/>
      <c r="O279" s="11"/>
      <c r="X279" s="9"/>
      <c r="Z279" s="9"/>
    </row>
    <row r="280" spans="3:26">
      <c r="C280" s="11"/>
      <c r="D280" s="11"/>
      <c r="M280" s="11"/>
      <c r="O280" s="11"/>
      <c r="X280" s="9"/>
      <c r="Z280" s="9"/>
    </row>
    <row r="281" spans="3:26">
      <c r="C281" s="11"/>
      <c r="D281" s="11"/>
      <c r="M281" s="11"/>
      <c r="O281" s="11"/>
      <c r="X281" s="9"/>
      <c r="Z281" s="9"/>
    </row>
    <row r="282" spans="3:26">
      <c r="C282" s="11"/>
      <c r="D282" s="11"/>
      <c r="M282" s="11"/>
      <c r="O282" s="11"/>
      <c r="X282" s="9"/>
      <c r="Z282" s="9"/>
    </row>
    <row r="283" spans="3:26">
      <c r="C283" s="11"/>
      <c r="D283" s="11"/>
      <c r="M283" s="11"/>
      <c r="O283" s="11"/>
      <c r="X283" s="9"/>
      <c r="Z283" s="9"/>
    </row>
    <row r="284" spans="3:26">
      <c r="C284" s="11"/>
      <c r="D284" s="11"/>
      <c r="M284" s="11"/>
      <c r="O284" s="11"/>
      <c r="X284" s="9"/>
      <c r="Z284" s="9"/>
    </row>
    <row r="285" spans="3:26">
      <c r="C285" s="11"/>
      <c r="D285" s="11"/>
      <c r="M285" s="11"/>
      <c r="O285" s="11"/>
      <c r="X285" s="9"/>
      <c r="Z285" s="9"/>
    </row>
    <row r="286" spans="3:26">
      <c r="C286" s="11"/>
      <c r="D286" s="11"/>
      <c r="M286" s="11"/>
      <c r="O286" s="11"/>
      <c r="X286" s="9"/>
      <c r="Z286" s="9"/>
    </row>
    <row r="287" spans="3:26">
      <c r="C287" s="11"/>
      <c r="D287" s="11"/>
      <c r="M287" s="11"/>
      <c r="O287" s="11"/>
      <c r="X287" s="9"/>
      <c r="Z287" s="9"/>
    </row>
    <row r="288" spans="3:26">
      <c r="C288" s="11"/>
      <c r="D288" s="11"/>
      <c r="M288" s="11"/>
      <c r="O288" s="11"/>
      <c r="X288" s="9"/>
      <c r="Z288" s="9"/>
    </row>
    <row r="289" spans="3:26">
      <c r="C289" s="11"/>
      <c r="D289" s="11"/>
      <c r="M289" s="11"/>
      <c r="O289" s="11"/>
      <c r="X289" s="9"/>
      <c r="Z289" s="9"/>
    </row>
    <row r="290" spans="3:26">
      <c r="C290" s="11"/>
      <c r="D290" s="11"/>
      <c r="M290" s="11"/>
      <c r="O290" s="11"/>
      <c r="X290" s="9"/>
      <c r="Z290" s="9"/>
    </row>
    <row r="291" spans="3:26">
      <c r="C291" s="11"/>
      <c r="D291" s="11"/>
      <c r="M291" s="11"/>
      <c r="O291" s="11"/>
      <c r="X291" s="9"/>
      <c r="Z291" s="9"/>
    </row>
    <row r="292" spans="3:26">
      <c r="C292" s="11"/>
      <c r="D292" s="11"/>
      <c r="M292" s="11"/>
      <c r="O292" s="11"/>
      <c r="X292" s="9"/>
      <c r="Z292" s="9"/>
    </row>
    <row r="293" spans="3:26">
      <c r="C293" s="11"/>
      <c r="D293" s="11"/>
      <c r="M293" s="11"/>
      <c r="O293" s="11"/>
      <c r="X293" s="9"/>
      <c r="Z293" s="9"/>
    </row>
    <row r="294" spans="3:26">
      <c r="C294" s="11"/>
      <c r="D294" s="11"/>
      <c r="M294" s="11"/>
      <c r="O294" s="11"/>
      <c r="X294" s="9"/>
      <c r="Z294" s="9"/>
    </row>
    <row r="295" spans="3:26">
      <c r="C295" s="11"/>
      <c r="D295" s="11"/>
      <c r="M295" s="11"/>
      <c r="O295" s="11"/>
      <c r="X295" s="9"/>
      <c r="Z295" s="9"/>
    </row>
    <row r="296" spans="3:26">
      <c r="C296" s="11"/>
      <c r="D296" s="11"/>
      <c r="M296" s="11"/>
      <c r="O296" s="11"/>
      <c r="X296" s="9"/>
      <c r="Z296" s="9"/>
    </row>
    <row r="297" spans="3:26">
      <c r="C297" s="11"/>
      <c r="D297" s="11"/>
      <c r="M297" s="11"/>
      <c r="O297" s="11"/>
      <c r="X297" s="9"/>
      <c r="Z297" s="9"/>
    </row>
    <row r="298" spans="3:26">
      <c r="C298" s="11"/>
      <c r="D298" s="11"/>
      <c r="M298" s="11"/>
      <c r="O298" s="11"/>
      <c r="X298" s="9"/>
      <c r="Z298" s="9"/>
    </row>
    <row r="299" spans="3:26">
      <c r="C299" s="11"/>
      <c r="D299" s="11"/>
      <c r="M299" s="11"/>
      <c r="O299" s="11"/>
      <c r="X299" s="9"/>
      <c r="Z299" s="9"/>
    </row>
    <row r="300" spans="3:26">
      <c r="C300" s="11"/>
      <c r="D300" s="11"/>
      <c r="M300" s="11"/>
      <c r="O300" s="11"/>
      <c r="X300" s="9"/>
      <c r="Z300" s="9"/>
    </row>
    <row r="301" spans="3:26">
      <c r="C301" s="11"/>
      <c r="D301" s="11"/>
      <c r="M301" s="11"/>
      <c r="O301" s="11"/>
      <c r="X301" s="9"/>
      <c r="Z301" s="9"/>
    </row>
    <row r="302" spans="3:26">
      <c r="C302" s="11"/>
      <c r="D302" s="11"/>
      <c r="M302" s="11"/>
      <c r="O302" s="11"/>
      <c r="X302" s="9"/>
      <c r="Z302" s="9"/>
    </row>
    <row r="303" spans="3:26">
      <c r="C303" s="11"/>
      <c r="D303" s="11"/>
      <c r="M303" s="11"/>
      <c r="O303" s="11"/>
      <c r="X303" s="9"/>
      <c r="Z303" s="9"/>
    </row>
    <row r="304" spans="3:26">
      <c r="C304" s="11"/>
      <c r="D304" s="11"/>
      <c r="M304" s="11"/>
      <c r="O304" s="11"/>
      <c r="X304" s="9"/>
      <c r="Z304" s="9"/>
    </row>
    <row r="305" spans="3:26">
      <c r="C305" s="11"/>
      <c r="D305" s="11"/>
      <c r="M305" s="11"/>
      <c r="O305" s="11"/>
      <c r="X305" s="9"/>
      <c r="Z305" s="9"/>
    </row>
    <row r="306" spans="3:26">
      <c r="C306" s="11"/>
      <c r="D306" s="11"/>
      <c r="M306" s="11"/>
      <c r="O306" s="11"/>
      <c r="X306" s="9"/>
      <c r="Z306" s="9"/>
    </row>
    <row r="307" spans="3:26">
      <c r="C307" s="11"/>
      <c r="D307" s="11"/>
      <c r="M307" s="11"/>
      <c r="O307" s="11"/>
      <c r="X307" s="9"/>
      <c r="Z307" s="9"/>
    </row>
    <row r="308" spans="3:26">
      <c r="C308" s="11"/>
      <c r="D308" s="11"/>
      <c r="M308" s="11"/>
      <c r="O308" s="11"/>
      <c r="X308" s="9"/>
      <c r="Z308" s="9"/>
    </row>
    <row r="309" spans="3:26">
      <c r="C309" s="11"/>
      <c r="D309" s="11"/>
      <c r="M309" s="11"/>
      <c r="O309" s="11"/>
      <c r="X309" s="9"/>
      <c r="Z309" s="9"/>
    </row>
    <row r="310" spans="3:26">
      <c r="C310" s="11"/>
      <c r="D310" s="11"/>
      <c r="M310" s="11"/>
      <c r="O310" s="11"/>
      <c r="X310" s="9"/>
      <c r="Z310" s="9"/>
    </row>
    <row r="311" spans="3:26">
      <c r="C311" s="11"/>
      <c r="D311" s="11"/>
      <c r="M311" s="11"/>
      <c r="O311" s="11"/>
      <c r="X311" s="9"/>
      <c r="Z311" s="9"/>
    </row>
    <row r="312" spans="3:26">
      <c r="C312" s="11"/>
      <c r="D312" s="11"/>
      <c r="M312" s="11"/>
      <c r="O312" s="11"/>
      <c r="X312" s="9"/>
      <c r="Z312" s="9"/>
    </row>
    <row r="313" spans="3:26">
      <c r="C313" s="11"/>
      <c r="D313" s="11"/>
      <c r="M313" s="11"/>
      <c r="O313" s="11"/>
      <c r="X313" s="9"/>
      <c r="Z313" s="9"/>
    </row>
    <row r="314" spans="3:26">
      <c r="C314" s="11"/>
      <c r="D314" s="11"/>
      <c r="M314" s="11"/>
      <c r="O314" s="11"/>
      <c r="X314" s="9"/>
      <c r="Z314" s="9"/>
    </row>
    <row r="315" spans="3:26">
      <c r="C315" s="11"/>
      <c r="D315" s="11"/>
      <c r="M315" s="11"/>
      <c r="O315" s="11"/>
      <c r="X315" s="9"/>
      <c r="Z315" s="9"/>
    </row>
    <row r="316" spans="3:26">
      <c r="C316" s="11"/>
      <c r="D316" s="11"/>
      <c r="M316" s="11"/>
      <c r="O316" s="11"/>
      <c r="X316" s="9"/>
      <c r="Z316" s="9"/>
    </row>
    <row r="317" spans="3:26">
      <c r="C317" s="11"/>
      <c r="D317" s="11"/>
      <c r="M317" s="11"/>
      <c r="O317" s="11"/>
      <c r="X317" s="9"/>
      <c r="Z317" s="9"/>
    </row>
    <row r="318" spans="3:26">
      <c r="C318" s="11"/>
      <c r="D318" s="11"/>
      <c r="M318" s="11"/>
      <c r="O318" s="11"/>
      <c r="X318" s="9"/>
      <c r="Z318" s="9"/>
    </row>
    <row r="319" spans="3:26">
      <c r="C319" s="11"/>
      <c r="D319" s="11"/>
      <c r="M319" s="11"/>
      <c r="O319" s="11"/>
      <c r="X319" s="9"/>
      <c r="Z319" s="9"/>
    </row>
    <row r="320" spans="3:26">
      <c r="C320" s="11"/>
      <c r="D320" s="11"/>
      <c r="M320" s="11"/>
      <c r="O320" s="11"/>
      <c r="X320" s="9"/>
      <c r="Z320" s="9"/>
    </row>
    <row r="321" spans="3:26">
      <c r="C321" s="11"/>
      <c r="D321" s="11"/>
      <c r="M321" s="11"/>
      <c r="O321" s="11"/>
      <c r="X321" s="9"/>
      <c r="Z321" s="9"/>
    </row>
    <row r="322" spans="3:26">
      <c r="C322" s="11"/>
      <c r="D322" s="11"/>
      <c r="M322" s="11"/>
      <c r="O322" s="11"/>
      <c r="X322" s="9"/>
      <c r="Z322" s="9"/>
    </row>
    <row r="323" spans="3:26">
      <c r="C323" s="11"/>
      <c r="D323" s="11"/>
      <c r="M323" s="11"/>
      <c r="O323" s="11"/>
      <c r="X323" s="9"/>
      <c r="Z323" s="9"/>
    </row>
    <row r="324" spans="3:26">
      <c r="C324" s="11"/>
      <c r="D324" s="11"/>
      <c r="M324" s="11"/>
      <c r="O324" s="11"/>
      <c r="X324" s="9"/>
      <c r="Z324" s="9"/>
    </row>
    <row r="325" spans="3:26">
      <c r="C325" s="11"/>
      <c r="D325" s="11"/>
      <c r="M325" s="11"/>
      <c r="O325" s="11"/>
      <c r="X325" s="9"/>
      <c r="Z325" s="9"/>
    </row>
    <row r="326" spans="3:26">
      <c r="C326" s="11"/>
      <c r="D326" s="11"/>
      <c r="M326" s="11"/>
      <c r="O326" s="11"/>
      <c r="X326" s="9"/>
      <c r="Z326" s="9"/>
    </row>
    <row r="327" spans="3:26">
      <c r="C327" s="11"/>
      <c r="D327" s="11"/>
      <c r="M327" s="11"/>
      <c r="O327" s="11"/>
      <c r="X327" s="9"/>
      <c r="Z327" s="9"/>
    </row>
    <row r="328" spans="3:26">
      <c r="C328" s="11"/>
      <c r="D328" s="11"/>
      <c r="M328" s="11"/>
      <c r="O328" s="11"/>
      <c r="X328" s="9"/>
      <c r="Z328" s="9"/>
    </row>
    <row r="329" spans="3:26">
      <c r="C329" s="11"/>
      <c r="D329" s="11"/>
      <c r="M329" s="11"/>
      <c r="O329" s="11"/>
      <c r="X329" s="9"/>
      <c r="Z329" s="9"/>
    </row>
    <row r="330" spans="3:26">
      <c r="C330" s="11"/>
      <c r="D330" s="11"/>
      <c r="M330" s="11"/>
      <c r="O330" s="11"/>
      <c r="X330" s="9"/>
      <c r="Z330" s="9"/>
    </row>
    <row r="331" spans="3:26">
      <c r="C331" s="11"/>
      <c r="D331" s="11"/>
      <c r="M331" s="11"/>
      <c r="O331" s="11"/>
      <c r="X331" s="9"/>
      <c r="Z331" s="9"/>
    </row>
    <row r="332" spans="3:26">
      <c r="C332" s="11"/>
      <c r="D332" s="11"/>
      <c r="M332" s="11"/>
      <c r="O332" s="11"/>
      <c r="X332" s="9"/>
      <c r="Z332" s="9"/>
    </row>
    <row r="333" spans="3:26">
      <c r="C333" s="11"/>
      <c r="D333" s="11"/>
      <c r="M333" s="11"/>
      <c r="O333" s="11"/>
      <c r="X333" s="9"/>
      <c r="Z333" s="9"/>
    </row>
    <row r="334" spans="3:26">
      <c r="C334" s="11"/>
      <c r="D334" s="11"/>
      <c r="M334" s="11"/>
      <c r="O334" s="11"/>
      <c r="X334" s="9"/>
      <c r="Z334" s="9"/>
    </row>
    <row r="335" spans="3:26">
      <c r="C335" s="11"/>
      <c r="D335" s="11"/>
      <c r="M335" s="11"/>
      <c r="O335" s="11"/>
      <c r="X335" s="9"/>
      <c r="Z335" s="9"/>
    </row>
    <row r="336" spans="3:26">
      <c r="C336" s="11"/>
      <c r="D336" s="11"/>
      <c r="M336" s="11"/>
      <c r="O336" s="11"/>
      <c r="X336" s="9"/>
      <c r="Z336" s="9"/>
    </row>
    <row r="337" spans="3:26">
      <c r="C337" s="11"/>
      <c r="D337" s="11"/>
      <c r="M337" s="11"/>
      <c r="O337" s="11"/>
      <c r="X337" s="9"/>
      <c r="Z337" s="9"/>
    </row>
    <row r="338" spans="3:26">
      <c r="C338" s="11"/>
      <c r="D338" s="11"/>
      <c r="M338" s="11"/>
      <c r="O338" s="11"/>
      <c r="X338" s="9"/>
      <c r="Z338" s="9"/>
    </row>
    <row r="339" spans="3:26">
      <c r="C339" s="11"/>
      <c r="D339" s="11"/>
      <c r="M339" s="11"/>
      <c r="O339" s="11"/>
      <c r="X339" s="9"/>
      <c r="Z339" s="9"/>
    </row>
    <row r="340" spans="3:26">
      <c r="C340" s="11"/>
      <c r="D340" s="11"/>
      <c r="M340" s="11"/>
      <c r="O340" s="11"/>
      <c r="X340" s="9"/>
      <c r="Z340" s="9"/>
    </row>
    <row r="341" spans="3:26">
      <c r="C341" s="11"/>
      <c r="D341" s="11"/>
      <c r="M341" s="11"/>
      <c r="O341" s="11"/>
      <c r="X341" s="9"/>
      <c r="Z341" s="9"/>
    </row>
    <row r="342" spans="3:26">
      <c r="C342" s="11"/>
      <c r="D342" s="11"/>
      <c r="M342" s="11"/>
      <c r="O342" s="11"/>
      <c r="X342" s="9"/>
      <c r="Z342" s="9"/>
    </row>
    <row r="343" spans="3:26">
      <c r="C343" s="11"/>
      <c r="D343" s="11"/>
      <c r="M343" s="11"/>
      <c r="O343" s="11"/>
      <c r="X343" s="9"/>
      <c r="Z343" s="9"/>
    </row>
    <row r="344" spans="3:26">
      <c r="C344" s="11"/>
      <c r="D344" s="11"/>
      <c r="M344" s="11"/>
      <c r="O344" s="11"/>
      <c r="X344" s="9"/>
      <c r="Z344" s="9"/>
    </row>
    <row r="345" spans="3:26">
      <c r="C345" s="11"/>
      <c r="D345" s="11"/>
      <c r="M345" s="11"/>
      <c r="O345" s="11"/>
      <c r="X345" s="9"/>
      <c r="Z345" s="9"/>
    </row>
    <row r="346" spans="3:26">
      <c r="C346" s="11"/>
      <c r="D346" s="11"/>
      <c r="M346" s="11"/>
      <c r="O346" s="11"/>
      <c r="X346" s="9"/>
      <c r="Z346" s="9"/>
    </row>
    <row r="347" spans="3:26">
      <c r="C347" s="11"/>
      <c r="D347" s="11"/>
      <c r="M347" s="11"/>
      <c r="O347" s="11"/>
      <c r="X347" s="9"/>
      <c r="Z347" s="9"/>
    </row>
    <row r="348" spans="3:26">
      <c r="C348" s="11"/>
      <c r="D348" s="11"/>
      <c r="M348" s="11"/>
      <c r="O348" s="11"/>
      <c r="X348" s="9"/>
      <c r="Z348" s="9"/>
    </row>
    <row r="349" spans="3:26">
      <c r="C349" s="11"/>
      <c r="D349" s="11"/>
      <c r="M349" s="11"/>
      <c r="O349" s="11"/>
      <c r="X349" s="9"/>
      <c r="Z349" s="9"/>
    </row>
    <row r="350" spans="3:26">
      <c r="C350" s="11"/>
      <c r="D350" s="11"/>
      <c r="M350" s="11"/>
      <c r="O350" s="11"/>
      <c r="X350" s="9"/>
      <c r="Z350" s="9"/>
    </row>
    <row r="351" spans="3:26">
      <c r="C351" s="11"/>
      <c r="D351" s="11"/>
      <c r="M351" s="11"/>
      <c r="O351" s="11"/>
      <c r="X351" s="9"/>
      <c r="Z351" s="9"/>
    </row>
    <row r="352" spans="3:26">
      <c r="C352" s="11"/>
      <c r="D352" s="11"/>
      <c r="M352" s="11"/>
      <c r="O352" s="11"/>
      <c r="X352" s="9"/>
      <c r="Z352" s="9"/>
    </row>
    <row r="353" spans="3:26">
      <c r="C353" s="11"/>
      <c r="D353" s="11"/>
      <c r="M353" s="11"/>
      <c r="O353" s="11"/>
      <c r="X353" s="9"/>
      <c r="Z353" s="9"/>
    </row>
    <row r="354" spans="3:26">
      <c r="C354" s="11"/>
      <c r="D354" s="11"/>
      <c r="M354" s="11"/>
      <c r="O354" s="11"/>
      <c r="X354" s="9"/>
      <c r="Z354" s="9"/>
    </row>
    <row r="355" spans="3:26">
      <c r="C355" s="11"/>
      <c r="D355" s="11"/>
      <c r="M355" s="11"/>
      <c r="O355" s="11"/>
      <c r="X355" s="9"/>
      <c r="Z355" s="9"/>
    </row>
    <row r="356" spans="3:26">
      <c r="C356" s="11"/>
      <c r="D356" s="11"/>
      <c r="M356" s="11"/>
      <c r="O356" s="11"/>
      <c r="X356" s="9"/>
      <c r="Z356" s="9"/>
    </row>
    <row r="357" spans="3:26">
      <c r="C357" s="11"/>
      <c r="D357" s="11"/>
      <c r="M357" s="11"/>
      <c r="O357" s="11"/>
      <c r="X357" s="9"/>
      <c r="Z357" s="9"/>
    </row>
    <row r="358" spans="3:26">
      <c r="C358" s="11"/>
      <c r="D358" s="11"/>
      <c r="M358" s="11"/>
      <c r="O358" s="11"/>
      <c r="X358" s="9"/>
      <c r="Z358" s="9"/>
    </row>
    <row r="359" spans="3:26">
      <c r="C359" s="11"/>
      <c r="D359" s="11"/>
      <c r="M359" s="11"/>
      <c r="O359" s="11"/>
      <c r="X359" s="9"/>
      <c r="Z359" s="9"/>
    </row>
    <row r="360" spans="3:26">
      <c r="C360" s="11"/>
      <c r="D360" s="11"/>
      <c r="M360" s="11"/>
      <c r="O360" s="11"/>
      <c r="X360" s="9"/>
      <c r="Z360" s="9"/>
    </row>
    <row r="361" spans="3:26">
      <c r="C361" s="11"/>
      <c r="D361" s="11"/>
      <c r="M361" s="11"/>
      <c r="O361" s="11"/>
      <c r="X361" s="9"/>
      <c r="Z361" s="9"/>
    </row>
    <row r="362" spans="3:26">
      <c r="C362" s="11"/>
      <c r="D362" s="11"/>
      <c r="M362" s="11"/>
      <c r="O362" s="11"/>
      <c r="X362" s="9"/>
      <c r="Z362" s="9"/>
    </row>
    <row r="363" spans="3:26">
      <c r="C363" s="11"/>
      <c r="D363" s="11"/>
      <c r="M363" s="11"/>
      <c r="O363" s="11"/>
      <c r="X363" s="9"/>
      <c r="Z363" s="9"/>
    </row>
    <row r="364" spans="3:26">
      <c r="C364" s="11"/>
      <c r="D364" s="11"/>
      <c r="M364" s="11"/>
      <c r="O364" s="11"/>
      <c r="X364" s="9"/>
      <c r="Z364" s="9"/>
    </row>
    <row r="365" spans="3:26">
      <c r="C365" s="11"/>
      <c r="D365" s="11"/>
      <c r="M365" s="11"/>
      <c r="O365" s="11"/>
      <c r="X365" s="9"/>
      <c r="Z365" s="9"/>
    </row>
    <row r="366" spans="3:26">
      <c r="C366" s="11"/>
      <c r="D366" s="11"/>
      <c r="M366" s="11"/>
      <c r="O366" s="11"/>
      <c r="X366" s="9"/>
      <c r="Z366" s="9"/>
    </row>
    <row r="367" spans="3:26">
      <c r="C367" s="11"/>
      <c r="D367" s="11"/>
      <c r="M367" s="11"/>
      <c r="O367" s="11"/>
      <c r="X367" s="9"/>
      <c r="Z367" s="9"/>
    </row>
    <row r="368" spans="3:26">
      <c r="C368" s="11"/>
      <c r="D368" s="11"/>
      <c r="M368" s="11"/>
      <c r="O368" s="11"/>
      <c r="X368" s="9"/>
      <c r="Z368" s="9"/>
    </row>
    <row r="369" spans="3:26">
      <c r="C369" s="11"/>
      <c r="D369" s="11"/>
      <c r="M369" s="11"/>
      <c r="O369" s="11"/>
      <c r="X369" s="9"/>
      <c r="Z369" s="9"/>
    </row>
    <row r="370" spans="3:26">
      <c r="C370" s="11"/>
      <c r="D370" s="11"/>
      <c r="M370" s="11"/>
      <c r="O370" s="11"/>
      <c r="X370" s="9"/>
      <c r="Z370" s="9"/>
    </row>
    <row r="371" spans="3:26">
      <c r="C371" s="11"/>
      <c r="D371" s="11"/>
      <c r="M371" s="11"/>
      <c r="O371" s="11"/>
      <c r="X371" s="9"/>
      <c r="Z371" s="9"/>
    </row>
    <row r="372" spans="3:26">
      <c r="C372" s="11"/>
      <c r="D372" s="11"/>
      <c r="M372" s="11"/>
      <c r="O372" s="11"/>
      <c r="X372" s="9"/>
      <c r="Z372" s="9"/>
    </row>
    <row r="373" spans="3:26">
      <c r="C373" s="11"/>
      <c r="D373" s="11"/>
      <c r="M373" s="11"/>
      <c r="O373" s="11"/>
      <c r="X373" s="9"/>
      <c r="Z373" s="9"/>
    </row>
    <row r="374" spans="3:26">
      <c r="C374" s="11"/>
      <c r="D374" s="11"/>
      <c r="M374" s="11"/>
      <c r="O374" s="11"/>
      <c r="X374" s="9"/>
      <c r="Z374" s="9"/>
    </row>
    <row r="375" spans="3:26">
      <c r="C375" s="11"/>
      <c r="D375" s="11"/>
      <c r="M375" s="11"/>
      <c r="O375" s="11"/>
      <c r="X375" s="9"/>
      <c r="Z375" s="9"/>
    </row>
    <row r="376" spans="3:26">
      <c r="C376" s="11"/>
      <c r="D376" s="11"/>
      <c r="M376" s="11"/>
      <c r="O376" s="11"/>
      <c r="X376" s="9"/>
      <c r="Z376" s="9"/>
    </row>
    <row r="377" spans="3:26">
      <c r="C377" s="11"/>
      <c r="D377" s="11"/>
      <c r="M377" s="11"/>
      <c r="O377" s="11"/>
      <c r="X377" s="9"/>
      <c r="Z377" s="9"/>
    </row>
    <row r="378" spans="3:26">
      <c r="C378" s="11"/>
      <c r="D378" s="11"/>
      <c r="M378" s="11"/>
      <c r="O378" s="11"/>
      <c r="X378" s="9"/>
      <c r="Z378" s="9"/>
    </row>
    <row r="379" spans="3:26">
      <c r="C379" s="11"/>
      <c r="D379" s="11"/>
      <c r="M379" s="11"/>
      <c r="O379" s="11"/>
      <c r="X379" s="9"/>
      <c r="Z379" s="9"/>
    </row>
    <row r="380" spans="3:26">
      <c r="C380" s="11"/>
      <c r="D380" s="11"/>
      <c r="M380" s="11"/>
      <c r="O380" s="11"/>
      <c r="X380" s="9"/>
      <c r="Z380" s="9"/>
    </row>
    <row r="381" spans="3:26">
      <c r="C381" s="11"/>
      <c r="D381" s="11"/>
      <c r="M381" s="11"/>
      <c r="O381" s="11"/>
      <c r="X381" s="9"/>
      <c r="Z381" s="9"/>
    </row>
    <row r="382" spans="3:26">
      <c r="C382" s="11"/>
      <c r="D382" s="11"/>
      <c r="M382" s="11"/>
      <c r="O382" s="11"/>
      <c r="X382" s="9"/>
      <c r="Z382" s="9"/>
    </row>
    <row r="383" spans="3:26">
      <c r="C383" s="11"/>
      <c r="D383" s="11"/>
      <c r="M383" s="11"/>
      <c r="O383" s="11"/>
      <c r="X383" s="9"/>
      <c r="Z383" s="9"/>
    </row>
    <row r="384" spans="3:26">
      <c r="C384" s="11"/>
      <c r="D384" s="11"/>
      <c r="M384" s="11"/>
      <c r="O384" s="11"/>
      <c r="X384" s="9"/>
      <c r="Z384" s="9"/>
    </row>
    <row r="385" spans="3:26">
      <c r="C385" s="11"/>
      <c r="D385" s="11"/>
      <c r="M385" s="11"/>
      <c r="O385" s="11"/>
      <c r="X385" s="9"/>
      <c r="Z385" s="9"/>
    </row>
    <row r="386" spans="3:26">
      <c r="C386" s="11"/>
      <c r="D386" s="11"/>
      <c r="M386" s="11"/>
      <c r="O386" s="11"/>
      <c r="X386" s="9"/>
      <c r="Z386" s="9"/>
    </row>
    <row r="387" spans="3:26">
      <c r="C387" s="11"/>
      <c r="D387" s="11"/>
      <c r="M387" s="11"/>
      <c r="O387" s="11"/>
      <c r="X387" s="9"/>
      <c r="Z387" s="9"/>
    </row>
    <row r="388" spans="3:26">
      <c r="C388" s="11"/>
      <c r="D388" s="11"/>
      <c r="M388" s="11"/>
      <c r="O388" s="11"/>
      <c r="X388" s="9"/>
      <c r="Z388" s="9"/>
    </row>
    <row r="389" spans="3:26">
      <c r="C389" s="11"/>
      <c r="D389" s="11"/>
      <c r="M389" s="11"/>
      <c r="O389" s="11"/>
      <c r="X389" s="9"/>
      <c r="Z389" s="9"/>
    </row>
    <row r="390" spans="3:26">
      <c r="C390" s="11"/>
      <c r="D390" s="11"/>
      <c r="M390" s="11"/>
      <c r="O390" s="11"/>
      <c r="X390" s="9"/>
      <c r="Z390" s="9"/>
    </row>
    <row r="391" spans="3:26">
      <c r="C391" s="11"/>
      <c r="D391" s="11"/>
      <c r="M391" s="11"/>
      <c r="O391" s="11"/>
      <c r="X391" s="9"/>
      <c r="Z391" s="9"/>
    </row>
    <row r="392" spans="3:26">
      <c r="C392" s="11"/>
      <c r="D392" s="11"/>
      <c r="M392" s="11"/>
      <c r="O392" s="11"/>
      <c r="X392" s="9"/>
      <c r="Z392" s="9"/>
    </row>
    <row r="393" spans="3:26">
      <c r="C393" s="11"/>
      <c r="D393" s="11"/>
      <c r="M393" s="11"/>
      <c r="O393" s="11"/>
      <c r="X393" s="9"/>
      <c r="Z393" s="9"/>
    </row>
    <row r="394" spans="3:26">
      <c r="C394" s="11"/>
      <c r="D394" s="11"/>
      <c r="M394" s="11"/>
      <c r="O394" s="11"/>
      <c r="X394" s="9"/>
      <c r="Z394" s="9"/>
    </row>
    <row r="395" spans="3:26">
      <c r="C395" s="11"/>
      <c r="D395" s="11"/>
      <c r="M395" s="11"/>
      <c r="O395" s="11"/>
      <c r="X395" s="9"/>
      <c r="Z395" s="9"/>
    </row>
    <row r="396" spans="3:26">
      <c r="C396" s="11"/>
      <c r="D396" s="11"/>
      <c r="M396" s="11"/>
      <c r="O396" s="11"/>
      <c r="X396" s="9"/>
      <c r="Z396" s="9"/>
    </row>
    <row r="397" spans="3:26">
      <c r="C397" s="11"/>
      <c r="D397" s="11"/>
      <c r="M397" s="11"/>
      <c r="O397" s="11"/>
      <c r="X397" s="9"/>
      <c r="Z397" s="9"/>
    </row>
    <row r="398" spans="3:26">
      <c r="C398" s="11"/>
      <c r="D398" s="11"/>
      <c r="M398" s="11"/>
      <c r="O398" s="11"/>
      <c r="X398" s="9"/>
      <c r="Z398" s="9"/>
    </row>
    <row r="399" spans="3:26">
      <c r="C399" s="11"/>
      <c r="D399" s="11"/>
      <c r="M399" s="11"/>
      <c r="O399" s="11"/>
      <c r="X399" s="9"/>
      <c r="Z399" s="9"/>
    </row>
    <row r="400" spans="3:26">
      <c r="C400" s="11"/>
      <c r="D400" s="11"/>
      <c r="M400" s="11"/>
      <c r="O400" s="11"/>
      <c r="X400" s="9"/>
      <c r="Z400" s="9"/>
    </row>
    <row r="401" spans="3:26">
      <c r="C401" s="11"/>
      <c r="D401" s="11"/>
      <c r="M401" s="11"/>
      <c r="O401" s="11"/>
      <c r="X401" s="9"/>
      <c r="Z401" s="9"/>
    </row>
    <row r="402" spans="3:26">
      <c r="C402" s="11"/>
      <c r="D402" s="11"/>
      <c r="M402" s="11"/>
      <c r="O402" s="11"/>
      <c r="X402" s="9"/>
      <c r="Z402" s="9"/>
    </row>
    <row r="403" spans="3:26">
      <c r="C403" s="11"/>
      <c r="D403" s="11"/>
      <c r="M403" s="11"/>
      <c r="O403" s="11"/>
      <c r="X403" s="9"/>
      <c r="Z403" s="9"/>
    </row>
    <row r="404" spans="3:26">
      <c r="C404" s="11"/>
      <c r="D404" s="11"/>
      <c r="M404" s="11"/>
      <c r="O404" s="11"/>
      <c r="X404" s="9"/>
      <c r="Z404" s="9"/>
    </row>
    <row r="405" spans="3:26">
      <c r="C405" s="11"/>
      <c r="D405" s="11"/>
      <c r="M405" s="11"/>
      <c r="O405" s="11"/>
      <c r="X405" s="9"/>
      <c r="Z405" s="9"/>
    </row>
    <row r="406" spans="3:26">
      <c r="C406" s="11"/>
      <c r="D406" s="11"/>
      <c r="M406" s="11"/>
      <c r="O406" s="11"/>
      <c r="X406" s="9"/>
      <c r="Z406" s="9"/>
    </row>
    <row r="407" spans="3:26">
      <c r="C407" s="11"/>
      <c r="D407" s="11"/>
      <c r="M407" s="11"/>
      <c r="O407" s="11"/>
      <c r="X407" s="9"/>
      <c r="Z407" s="9"/>
    </row>
    <row r="408" spans="3:26">
      <c r="C408" s="11"/>
      <c r="D408" s="11"/>
      <c r="M408" s="11"/>
      <c r="O408" s="11"/>
      <c r="X408" s="9"/>
      <c r="Z408" s="9"/>
    </row>
    <row r="409" spans="3:26">
      <c r="C409" s="11"/>
      <c r="D409" s="11"/>
      <c r="M409" s="11"/>
      <c r="O409" s="11"/>
      <c r="X409" s="9"/>
      <c r="Z409" s="9"/>
    </row>
    <row r="410" spans="3:26">
      <c r="C410" s="11"/>
      <c r="D410" s="11"/>
      <c r="M410" s="11"/>
      <c r="O410" s="11"/>
      <c r="X410" s="9"/>
      <c r="Z410" s="9"/>
    </row>
    <row r="411" spans="3:26">
      <c r="C411" s="11"/>
      <c r="D411" s="11"/>
      <c r="M411" s="11"/>
      <c r="O411" s="11"/>
      <c r="X411" s="9"/>
      <c r="Z411" s="9"/>
    </row>
    <row r="412" spans="3:26">
      <c r="C412" s="11"/>
      <c r="D412" s="11"/>
      <c r="M412" s="11"/>
      <c r="O412" s="11"/>
      <c r="X412" s="9"/>
      <c r="Z412" s="9"/>
    </row>
    <row r="413" spans="3:26">
      <c r="C413" s="11"/>
      <c r="D413" s="11"/>
      <c r="M413" s="11"/>
      <c r="O413" s="11"/>
      <c r="X413" s="9"/>
      <c r="Z413" s="9"/>
    </row>
    <row r="414" spans="3:26">
      <c r="C414" s="11"/>
      <c r="D414" s="11"/>
      <c r="M414" s="11"/>
      <c r="O414" s="11"/>
      <c r="X414" s="9"/>
      <c r="Z414" s="9"/>
    </row>
    <row r="415" spans="3:26">
      <c r="C415" s="11"/>
      <c r="D415" s="11"/>
      <c r="M415" s="11"/>
      <c r="O415" s="11"/>
      <c r="X415" s="9"/>
      <c r="Z415" s="9"/>
    </row>
    <row r="416" spans="3:26">
      <c r="C416" s="11"/>
      <c r="D416" s="11"/>
      <c r="M416" s="11"/>
      <c r="O416" s="11"/>
      <c r="X416" s="9"/>
      <c r="Z416" s="9"/>
    </row>
    <row r="417" spans="3:26">
      <c r="C417" s="11"/>
      <c r="D417" s="11"/>
      <c r="M417" s="11"/>
      <c r="O417" s="11"/>
      <c r="X417" s="9"/>
      <c r="Z417" s="9"/>
    </row>
    <row r="418" spans="3:26">
      <c r="C418" s="11"/>
      <c r="D418" s="11"/>
      <c r="M418" s="11"/>
      <c r="O418" s="11"/>
      <c r="X418" s="9"/>
      <c r="Z418" s="9"/>
    </row>
    <row r="419" spans="3:26">
      <c r="C419" s="11"/>
      <c r="D419" s="11"/>
      <c r="M419" s="11"/>
      <c r="O419" s="11"/>
      <c r="X419" s="9"/>
      <c r="Z419" s="9"/>
    </row>
    <row r="420" spans="3:26">
      <c r="C420" s="11"/>
      <c r="D420" s="11"/>
      <c r="M420" s="11"/>
      <c r="O420" s="11"/>
      <c r="X420" s="9"/>
      <c r="Z420" s="9"/>
    </row>
    <row r="421" spans="3:26">
      <c r="C421" s="11"/>
      <c r="D421" s="11"/>
      <c r="M421" s="11"/>
      <c r="O421" s="11"/>
      <c r="X421" s="9"/>
      <c r="Z421" s="9"/>
    </row>
    <row r="422" spans="3:26">
      <c r="C422" s="11"/>
      <c r="D422" s="11"/>
      <c r="M422" s="11"/>
      <c r="O422" s="11"/>
      <c r="X422" s="9"/>
      <c r="Z422" s="9"/>
    </row>
    <row r="423" spans="3:26">
      <c r="C423" s="11"/>
      <c r="D423" s="11"/>
      <c r="M423" s="11"/>
      <c r="O423" s="11"/>
      <c r="X423" s="9"/>
      <c r="Z423" s="9"/>
    </row>
    <row r="424" spans="3:26">
      <c r="C424" s="11"/>
      <c r="D424" s="11"/>
      <c r="M424" s="11"/>
      <c r="O424" s="11"/>
      <c r="X424" s="9"/>
      <c r="Z424" s="9"/>
    </row>
    <row r="425" spans="3:26">
      <c r="C425" s="11"/>
      <c r="D425" s="11"/>
      <c r="M425" s="11"/>
      <c r="O425" s="11"/>
      <c r="X425" s="9"/>
      <c r="Z425" s="9"/>
    </row>
    <row r="426" spans="3:26">
      <c r="C426" s="11"/>
      <c r="D426" s="11"/>
      <c r="M426" s="11"/>
      <c r="O426" s="11"/>
      <c r="X426" s="9"/>
      <c r="Z426" s="9"/>
    </row>
    <row r="427" spans="3:26">
      <c r="C427" s="11"/>
      <c r="D427" s="11"/>
      <c r="M427" s="11"/>
      <c r="O427" s="11"/>
      <c r="X427" s="9"/>
      <c r="Z427" s="9"/>
    </row>
    <row r="428" spans="3:26">
      <c r="C428" s="11"/>
      <c r="D428" s="11"/>
      <c r="M428" s="11"/>
      <c r="O428" s="11"/>
      <c r="X428" s="9"/>
      <c r="Z428" s="9"/>
    </row>
    <row r="429" spans="3:26">
      <c r="C429" s="11"/>
      <c r="D429" s="11"/>
      <c r="M429" s="11"/>
      <c r="O429" s="11"/>
      <c r="X429" s="9"/>
      <c r="Z429" s="9"/>
    </row>
    <row r="430" spans="3:26">
      <c r="C430" s="11"/>
      <c r="D430" s="11"/>
      <c r="M430" s="11"/>
      <c r="O430" s="11"/>
      <c r="X430" s="9"/>
      <c r="Z430" s="9"/>
    </row>
    <row r="431" spans="3:26">
      <c r="C431" s="11"/>
      <c r="D431" s="11"/>
      <c r="M431" s="11"/>
      <c r="O431" s="11"/>
      <c r="X431" s="9"/>
      <c r="Z431" s="9"/>
    </row>
    <row r="432" spans="3:26">
      <c r="C432" s="11"/>
      <c r="D432" s="11"/>
      <c r="M432" s="11"/>
      <c r="O432" s="11"/>
      <c r="X432" s="9"/>
      <c r="Z432" s="9"/>
    </row>
    <row r="433" spans="3:26">
      <c r="C433" s="11"/>
      <c r="D433" s="11"/>
      <c r="M433" s="11"/>
      <c r="O433" s="11"/>
      <c r="X433" s="9"/>
      <c r="Z433" s="9"/>
    </row>
    <row r="434" spans="3:26">
      <c r="C434" s="11"/>
      <c r="D434" s="11"/>
      <c r="M434" s="11"/>
      <c r="O434" s="11"/>
      <c r="X434" s="9"/>
      <c r="Z434" s="9"/>
    </row>
    <row r="435" spans="3:26">
      <c r="C435" s="11"/>
      <c r="D435" s="11"/>
      <c r="M435" s="11"/>
      <c r="O435" s="11"/>
      <c r="X435" s="9"/>
      <c r="Z435" s="9"/>
    </row>
    <row r="436" spans="3:26">
      <c r="C436" s="11"/>
      <c r="D436" s="11"/>
      <c r="M436" s="11"/>
      <c r="O436" s="11"/>
      <c r="X436" s="9"/>
      <c r="Z436" s="9"/>
    </row>
    <row r="437" spans="3:26">
      <c r="C437" s="11"/>
      <c r="D437" s="11"/>
      <c r="M437" s="11"/>
      <c r="O437" s="11"/>
      <c r="X437" s="9"/>
      <c r="Z437" s="9"/>
    </row>
    <row r="438" spans="3:26">
      <c r="C438" s="11"/>
      <c r="D438" s="11"/>
      <c r="M438" s="11"/>
      <c r="O438" s="11"/>
      <c r="X438" s="9"/>
      <c r="Z438" s="9"/>
    </row>
    <row r="439" spans="3:26">
      <c r="C439" s="11"/>
      <c r="D439" s="11"/>
      <c r="M439" s="11"/>
      <c r="O439" s="11"/>
      <c r="X439" s="9"/>
      <c r="Z439" s="9"/>
    </row>
    <row r="440" spans="3:26">
      <c r="C440" s="11"/>
      <c r="D440" s="11"/>
      <c r="M440" s="11"/>
      <c r="O440" s="11"/>
      <c r="X440" s="9"/>
      <c r="Z440" s="9"/>
    </row>
    <row r="441" spans="3:26">
      <c r="C441" s="11"/>
      <c r="D441" s="11"/>
      <c r="M441" s="11"/>
      <c r="O441" s="11"/>
      <c r="X441" s="9"/>
      <c r="Z441" s="9"/>
    </row>
    <row r="442" spans="3:26">
      <c r="C442" s="11"/>
      <c r="D442" s="11"/>
      <c r="M442" s="11"/>
      <c r="O442" s="11"/>
      <c r="X442" s="9"/>
      <c r="Z442" s="9"/>
    </row>
    <row r="443" spans="3:26">
      <c r="C443" s="11"/>
      <c r="D443" s="11"/>
      <c r="M443" s="11"/>
      <c r="O443" s="11"/>
      <c r="X443" s="9"/>
      <c r="Z443" s="9"/>
    </row>
    <row r="444" spans="3:26">
      <c r="C444" s="11"/>
      <c r="D444" s="11"/>
      <c r="M444" s="11"/>
      <c r="O444" s="11"/>
      <c r="X444" s="9"/>
      <c r="Z444" s="9"/>
    </row>
    <row r="445" spans="3:26">
      <c r="C445" s="11"/>
      <c r="D445" s="11"/>
      <c r="M445" s="11"/>
      <c r="O445" s="11"/>
      <c r="X445" s="9"/>
      <c r="Z445" s="9"/>
    </row>
    <row r="446" spans="3:26">
      <c r="C446" s="11"/>
      <c r="D446" s="11"/>
      <c r="M446" s="11"/>
      <c r="O446" s="11"/>
      <c r="X446" s="9"/>
      <c r="Z446" s="9"/>
    </row>
    <row r="447" spans="3:26">
      <c r="C447" s="11"/>
      <c r="D447" s="11"/>
      <c r="M447" s="11"/>
      <c r="O447" s="11"/>
      <c r="X447" s="9"/>
      <c r="Z447" s="9"/>
    </row>
    <row r="448" spans="3:26">
      <c r="C448" s="11"/>
      <c r="D448" s="11"/>
      <c r="M448" s="11"/>
      <c r="O448" s="11"/>
      <c r="X448" s="9"/>
      <c r="Z448" s="9"/>
    </row>
    <row r="449" spans="3:26">
      <c r="C449" s="11"/>
      <c r="D449" s="11"/>
      <c r="M449" s="11"/>
      <c r="O449" s="11"/>
      <c r="X449" s="9"/>
      <c r="Z449" s="9"/>
    </row>
    <row r="450" spans="3:26">
      <c r="C450" s="11"/>
      <c r="D450" s="11"/>
      <c r="M450" s="11"/>
      <c r="O450" s="11"/>
      <c r="X450" s="9"/>
      <c r="Z450" s="9"/>
    </row>
    <row r="451" spans="3:26">
      <c r="C451" s="11"/>
      <c r="D451" s="11"/>
      <c r="M451" s="11"/>
      <c r="O451" s="11"/>
      <c r="X451" s="9"/>
      <c r="Z451" s="9"/>
    </row>
    <row r="452" spans="3:26">
      <c r="C452" s="11"/>
      <c r="D452" s="11"/>
      <c r="M452" s="11"/>
      <c r="O452" s="11"/>
      <c r="X452" s="9"/>
      <c r="Z452" s="9"/>
    </row>
    <row r="453" spans="3:26">
      <c r="C453" s="11"/>
      <c r="D453" s="11"/>
      <c r="M453" s="11"/>
      <c r="O453" s="11"/>
      <c r="X453" s="9"/>
      <c r="Z453" s="9"/>
    </row>
    <row r="454" spans="3:26">
      <c r="C454" s="11"/>
      <c r="D454" s="11"/>
      <c r="M454" s="11"/>
      <c r="O454" s="11"/>
      <c r="X454" s="9"/>
      <c r="Z454" s="9"/>
    </row>
    <row r="455" spans="3:26">
      <c r="C455" s="11"/>
      <c r="D455" s="11"/>
      <c r="M455" s="11"/>
      <c r="O455" s="11"/>
      <c r="X455" s="9"/>
      <c r="Z455" s="9"/>
    </row>
    <row r="456" spans="3:26">
      <c r="C456" s="11"/>
      <c r="D456" s="11"/>
      <c r="M456" s="11"/>
      <c r="O456" s="11"/>
      <c r="X456" s="9"/>
      <c r="Z456" s="9"/>
    </row>
    <row r="457" spans="3:26">
      <c r="C457" s="11"/>
      <c r="D457" s="11"/>
      <c r="M457" s="11"/>
      <c r="O457" s="11"/>
      <c r="X457" s="9"/>
      <c r="Z457" s="9"/>
    </row>
    <row r="458" spans="3:26">
      <c r="C458" s="11"/>
      <c r="D458" s="11"/>
      <c r="M458" s="11"/>
      <c r="O458" s="11"/>
      <c r="X458" s="9"/>
      <c r="Z458" s="9"/>
    </row>
    <row r="459" spans="3:26">
      <c r="C459" s="11"/>
      <c r="D459" s="11"/>
      <c r="M459" s="11"/>
      <c r="O459" s="11"/>
      <c r="X459" s="9"/>
      <c r="Z459" s="9"/>
    </row>
    <row r="460" spans="3:26">
      <c r="C460" s="11"/>
      <c r="D460" s="11"/>
      <c r="M460" s="11"/>
      <c r="O460" s="11"/>
      <c r="X460" s="9"/>
      <c r="Z460" s="9"/>
    </row>
    <row r="461" spans="3:26">
      <c r="C461" s="11"/>
      <c r="D461" s="11"/>
      <c r="M461" s="11"/>
      <c r="O461" s="11"/>
      <c r="X461" s="9"/>
      <c r="Z461" s="9"/>
    </row>
    <row r="462" spans="3:26">
      <c r="C462" s="11"/>
      <c r="D462" s="11"/>
      <c r="M462" s="11"/>
      <c r="O462" s="11"/>
      <c r="X462" s="9"/>
      <c r="Z462" s="9"/>
    </row>
    <row r="463" spans="3:26">
      <c r="C463" s="11"/>
      <c r="D463" s="11"/>
      <c r="M463" s="11"/>
      <c r="O463" s="11"/>
      <c r="X463" s="9"/>
      <c r="Z463" s="9"/>
    </row>
    <row r="464" spans="3:26">
      <c r="C464" s="11"/>
      <c r="D464" s="11"/>
      <c r="M464" s="11"/>
      <c r="O464" s="11"/>
      <c r="X464" s="9"/>
      <c r="Z464" s="9"/>
    </row>
    <row r="465" spans="3:26">
      <c r="C465" s="11"/>
      <c r="D465" s="11"/>
      <c r="M465" s="11"/>
      <c r="O465" s="11"/>
      <c r="X465" s="9"/>
      <c r="Z465" s="9"/>
    </row>
    <row r="466" spans="3:26">
      <c r="C466" s="11"/>
      <c r="D466" s="11"/>
      <c r="M466" s="11"/>
      <c r="O466" s="11"/>
      <c r="X466" s="9"/>
      <c r="Z466" s="9"/>
    </row>
    <row r="467" spans="3:26">
      <c r="C467" s="11"/>
      <c r="D467" s="11"/>
      <c r="M467" s="11"/>
      <c r="O467" s="11"/>
      <c r="X467" s="9"/>
      <c r="Z467" s="9"/>
    </row>
    <row r="468" spans="3:26">
      <c r="C468" s="11"/>
      <c r="D468" s="11"/>
      <c r="M468" s="11"/>
      <c r="O468" s="11"/>
      <c r="X468" s="9"/>
      <c r="Z468" s="9"/>
    </row>
    <row r="469" spans="3:26">
      <c r="C469" s="11"/>
      <c r="D469" s="11"/>
      <c r="M469" s="11"/>
      <c r="O469" s="11"/>
      <c r="X469" s="9"/>
      <c r="Z469" s="9"/>
    </row>
    <row r="470" spans="3:26">
      <c r="C470" s="11"/>
      <c r="D470" s="11"/>
      <c r="M470" s="11"/>
      <c r="O470" s="11"/>
      <c r="X470" s="9"/>
      <c r="Z470" s="9"/>
    </row>
    <row r="471" spans="3:26">
      <c r="C471" s="11"/>
      <c r="D471" s="11"/>
      <c r="M471" s="11"/>
      <c r="O471" s="11"/>
      <c r="X471" s="9"/>
      <c r="Z471" s="9"/>
    </row>
    <row r="472" spans="3:26">
      <c r="C472" s="11"/>
      <c r="D472" s="11"/>
      <c r="M472" s="11"/>
      <c r="O472" s="11"/>
      <c r="X472" s="9"/>
      <c r="Z472" s="9"/>
    </row>
    <row r="473" spans="3:26">
      <c r="C473" s="11"/>
      <c r="D473" s="11"/>
      <c r="M473" s="11"/>
      <c r="O473" s="11"/>
      <c r="X473" s="9"/>
      <c r="Z473" s="9"/>
    </row>
    <row r="474" spans="3:26">
      <c r="C474" s="11"/>
      <c r="D474" s="11"/>
      <c r="M474" s="11"/>
      <c r="O474" s="11"/>
      <c r="X474" s="9"/>
      <c r="Z474" s="9"/>
    </row>
    <row r="475" spans="3:26">
      <c r="C475" s="11"/>
      <c r="D475" s="11"/>
      <c r="M475" s="11"/>
      <c r="O475" s="11"/>
      <c r="X475" s="9"/>
      <c r="Z475" s="9"/>
    </row>
    <row r="476" spans="3:26">
      <c r="C476" s="11"/>
      <c r="D476" s="11"/>
      <c r="M476" s="11"/>
      <c r="O476" s="11"/>
      <c r="X476" s="9"/>
      <c r="Z476" s="9"/>
    </row>
    <row r="477" spans="3:26">
      <c r="C477" s="11"/>
      <c r="D477" s="11"/>
      <c r="M477" s="11"/>
      <c r="O477" s="11"/>
      <c r="X477" s="9"/>
      <c r="Z477" s="9"/>
    </row>
    <row r="478" spans="3:26">
      <c r="C478" s="11"/>
      <c r="D478" s="11"/>
      <c r="M478" s="11"/>
      <c r="O478" s="11"/>
      <c r="X478" s="9"/>
      <c r="Z478" s="9"/>
    </row>
    <row r="479" spans="3:26">
      <c r="C479" s="11"/>
      <c r="D479" s="11"/>
      <c r="M479" s="11"/>
      <c r="O479" s="11"/>
      <c r="X479" s="9"/>
      <c r="Z479" s="9"/>
    </row>
    <row r="480" spans="3:26">
      <c r="C480" s="11"/>
      <c r="D480" s="11"/>
      <c r="M480" s="11"/>
      <c r="O480" s="11"/>
      <c r="X480" s="9"/>
      <c r="Z480" s="9"/>
    </row>
    <row r="481" spans="3:26">
      <c r="C481" s="11"/>
      <c r="D481" s="11"/>
      <c r="M481" s="11"/>
      <c r="O481" s="11"/>
      <c r="X481" s="9"/>
      <c r="Z481" s="9"/>
    </row>
    <row r="482" spans="3:26">
      <c r="C482" s="11"/>
      <c r="D482" s="11"/>
      <c r="M482" s="11"/>
      <c r="O482" s="11"/>
      <c r="X482" s="9"/>
      <c r="Z482" s="9"/>
    </row>
    <row r="483" spans="3:26">
      <c r="C483" s="11"/>
      <c r="D483" s="11"/>
      <c r="M483" s="11"/>
      <c r="O483" s="11"/>
      <c r="X483" s="9"/>
      <c r="Z483" s="9"/>
    </row>
    <row r="484" spans="3:26">
      <c r="C484" s="11"/>
      <c r="D484" s="11"/>
      <c r="M484" s="11"/>
      <c r="O484" s="11"/>
      <c r="X484" s="9"/>
      <c r="Z484" s="9"/>
    </row>
    <row r="485" spans="3:26">
      <c r="C485" s="11"/>
      <c r="D485" s="11"/>
      <c r="M485" s="11"/>
      <c r="O485" s="11"/>
      <c r="X485" s="9"/>
      <c r="Z485" s="9"/>
    </row>
    <row r="486" spans="3:26">
      <c r="C486" s="11"/>
      <c r="D486" s="11"/>
      <c r="M486" s="11"/>
      <c r="O486" s="11"/>
      <c r="X486" s="9"/>
      <c r="Z486" s="9"/>
    </row>
    <row r="487" spans="3:26">
      <c r="C487" s="11"/>
      <c r="D487" s="11"/>
      <c r="M487" s="11"/>
      <c r="O487" s="11"/>
      <c r="X487" s="9"/>
      <c r="Z487" s="9"/>
    </row>
    <row r="488" spans="3:26">
      <c r="C488" s="11"/>
      <c r="D488" s="11"/>
      <c r="M488" s="11"/>
      <c r="O488" s="11"/>
      <c r="X488" s="9"/>
      <c r="Z488" s="9"/>
    </row>
    <row r="489" spans="3:26">
      <c r="C489" s="11"/>
      <c r="D489" s="11"/>
      <c r="M489" s="11"/>
      <c r="O489" s="11"/>
      <c r="X489" s="9"/>
      <c r="Z489" s="9"/>
    </row>
    <row r="490" spans="3:26">
      <c r="C490" s="11"/>
      <c r="D490" s="11"/>
      <c r="M490" s="11"/>
      <c r="O490" s="11"/>
      <c r="X490" s="9"/>
      <c r="Z490" s="9"/>
    </row>
    <row r="491" spans="3:26">
      <c r="C491" s="11"/>
      <c r="D491" s="11"/>
      <c r="M491" s="11"/>
      <c r="O491" s="11"/>
      <c r="X491" s="9"/>
      <c r="Z491" s="9"/>
    </row>
    <row r="492" spans="3:26">
      <c r="C492" s="11"/>
      <c r="D492" s="11"/>
      <c r="M492" s="11"/>
      <c r="O492" s="11"/>
      <c r="X492" s="9"/>
      <c r="Z492" s="9"/>
    </row>
    <row r="493" spans="3:26">
      <c r="C493" s="11"/>
      <c r="D493" s="11"/>
      <c r="M493" s="11"/>
      <c r="O493" s="11"/>
      <c r="X493" s="9"/>
      <c r="Z493" s="9"/>
    </row>
    <row r="494" spans="3:26">
      <c r="C494" s="11"/>
      <c r="D494" s="11"/>
      <c r="M494" s="11"/>
      <c r="O494" s="11"/>
      <c r="X494" s="9"/>
      <c r="Z494" s="9"/>
    </row>
    <row r="495" spans="3:26">
      <c r="C495" s="11"/>
      <c r="D495" s="11"/>
      <c r="M495" s="11"/>
      <c r="O495" s="11"/>
      <c r="X495" s="9"/>
      <c r="Z495" s="9"/>
    </row>
    <row r="496" spans="3:26">
      <c r="C496" s="11"/>
      <c r="D496" s="11"/>
      <c r="M496" s="11"/>
      <c r="O496" s="11"/>
      <c r="X496" s="9"/>
      <c r="Z496" s="9"/>
    </row>
    <row r="497" spans="3:26">
      <c r="C497" s="11"/>
      <c r="D497" s="11"/>
      <c r="M497" s="11"/>
      <c r="O497" s="11"/>
      <c r="X497" s="9"/>
      <c r="Z497" s="9"/>
    </row>
    <row r="498" spans="3:26">
      <c r="C498" s="11"/>
      <c r="D498" s="11"/>
      <c r="M498" s="11"/>
      <c r="O498" s="11"/>
      <c r="X498" s="9"/>
      <c r="Z498" s="9"/>
    </row>
    <row r="499" spans="3:26">
      <c r="C499" s="11"/>
      <c r="D499" s="11"/>
      <c r="M499" s="11"/>
      <c r="O499" s="11"/>
      <c r="X499" s="9"/>
      <c r="Z499" s="9"/>
    </row>
    <row r="500" spans="3:26">
      <c r="C500" s="11"/>
      <c r="D500" s="11"/>
      <c r="M500" s="11"/>
      <c r="O500" s="11"/>
      <c r="X500" s="9"/>
      <c r="Z500" s="9"/>
    </row>
    <row r="501" spans="3:26">
      <c r="C501" s="11"/>
      <c r="D501" s="11"/>
      <c r="M501" s="11"/>
      <c r="O501" s="11"/>
      <c r="X501" s="9"/>
      <c r="Z501" s="9"/>
    </row>
    <row r="502" spans="3:26">
      <c r="C502" s="11"/>
      <c r="D502" s="11"/>
      <c r="M502" s="11"/>
      <c r="O502" s="11"/>
      <c r="X502" s="9"/>
      <c r="Z502" s="9"/>
    </row>
    <row r="503" spans="3:26">
      <c r="C503" s="11"/>
      <c r="D503" s="11"/>
      <c r="M503" s="11"/>
      <c r="O503" s="11"/>
      <c r="X503" s="9"/>
      <c r="Z503" s="9"/>
    </row>
    <row r="504" spans="3:26">
      <c r="C504" s="11"/>
      <c r="D504" s="11"/>
      <c r="M504" s="11"/>
      <c r="O504" s="11"/>
      <c r="X504" s="9"/>
      <c r="Z504" s="9"/>
    </row>
    <row r="505" spans="3:26">
      <c r="C505" s="11"/>
      <c r="D505" s="11"/>
      <c r="M505" s="11"/>
      <c r="O505" s="11"/>
      <c r="X505" s="9"/>
      <c r="Z505" s="9"/>
    </row>
    <row r="506" spans="3:26">
      <c r="C506" s="11"/>
      <c r="D506" s="11"/>
      <c r="M506" s="11"/>
      <c r="O506" s="11"/>
      <c r="X506" s="9"/>
      <c r="Z506" s="9"/>
    </row>
    <row r="507" spans="3:26">
      <c r="C507" s="11"/>
      <c r="D507" s="11"/>
      <c r="M507" s="11"/>
      <c r="O507" s="11"/>
      <c r="X507" s="9"/>
      <c r="Z507" s="9"/>
    </row>
    <row r="508" spans="3:26">
      <c r="C508" s="11"/>
      <c r="D508" s="11"/>
      <c r="M508" s="11"/>
      <c r="O508" s="11"/>
      <c r="X508" s="9"/>
      <c r="Z508" s="9"/>
    </row>
    <row r="509" spans="3:26">
      <c r="C509" s="11"/>
      <c r="D509" s="11"/>
      <c r="M509" s="11"/>
      <c r="O509" s="11"/>
      <c r="X509" s="9"/>
      <c r="Z509" s="9"/>
    </row>
    <row r="510" spans="3:26">
      <c r="C510" s="11"/>
      <c r="D510" s="11"/>
      <c r="M510" s="11"/>
      <c r="O510" s="11"/>
      <c r="X510" s="9"/>
      <c r="Z510" s="9"/>
    </row>
    <row r="511" spans="3:26">
      <c r="C511" s="11"/>
      <c r="D511" s="11"/>
      <c r="M511" s="11"/>
      <c r="O511" s="11"/>
      <c r="X511" s="9"/>
      <c r="Z511" s="9"/>
    </row>
    <row r="512" spans="3:26">
      <c r="C512" s="11"/>
      <c r="D512" s="11"/>
      <c r="M512" s="11"/>
      <c r="O512" s="11"/>
      <c r="X512" s="9"/>
      <c r="Z512" s="9"/>
    </row>
    <row r="513" spans="3:26">
      <c r="C513" s="11"/>
      <c r="D513" s="11"/>
      <c r="M513" s="11"/>
      <c r="O513" s="11"/>
      <c r="X513" s="9"/>
      <c r="Z513" s="9"/>
    </row>
    <row r="514" spans="3:26">
      <c r="C514" s="11"/>
      <c r="D514" s="11"/>
      <c r="M514" s="11"/>
      <c r="O514" s="11"/>
      <c r="X514" s="9"/>
      <c r="Z514" s="9"/>
    </row>
    <row r="515" spans="3:26">
      <c r="C515" s="11"/>
      <c r="D515" s="11"/>
      <c r="M515" s="11"/>
      <c r="O515" s="11"/>
      <c r="X515" s="9"/>
      <c r="Z515" s="9"/>
    </row>
    <row r="516" spans="3:26">
      <c r="C516" s="11"/>
      <c r="D516" s="11"/>
      <c r="M516" s="11"/>
      <c r="O516" s="11"/>
      <c r="X516" s="9"/>
      <c r="Z516" s="9"/>
    </row>
    <row r="517" spans="3:26">
      <c r="C517" s="11"/>
      <c r="D517" s="11"/>
      <c r="M517" s="11"/>
      <c r="O517" s="11"/>
      <c r="X517" s="9"/>
      <c r="Z517" s="9"/>
    </row>
    <row r="518" spans="3:26">
      <c r="C518" s="11"/>
      <c r="D518" s="11"/>
      <c r="M518" s="11"/>
      <c r="O518" s="11"/>
      <c r="X518" s="9"/>
      <c r="Z518" s="9"/>
    </row>
    <row r="519" spans="3:26">
      <c r="C519" s="11"/>
      <c r="D519" s="11"/>
      <c r="M519" s="11"/>
      <c r="O519" s="11"/>
      <c r="X519" s="9"/>
      <c r="Z519" s="9"/>
    </row>
    <row r="520" spans="3:26">
      <c r="C520" s="11"/>
      <c r="D520" s="11"/>
      <c r="M520" s="11"/>
      <c r="O520" s="11"/>
      <c r="X520" s="9"/>
      <c r="Z520" s="9"/>
    </row>
    <row r="521" spans="3:26">
      <c r="C521" s="11"/>
      <c r="D521" s="11"/>
      <c r="M521" s="11"/>
      <c r="O521" s="11"/>
      <c r="X521" s="9"/>
      <c r="Z521" s="9"/>
    </row>
    <row r="522" spans="3:26">
      <c r="C522" s="11"/>
      <c r="D522" s="11"/>
      <c r="M522" s="11"/>
      <c r="O522" s="11"/>
      <c r="X522" s="9"/>
      <c r="Z522" s="9"/>
    </row>
    <row r="523" spans="3:26">
      <c r="C523" s="11"/>
      <c r="D523" s="11"/>
      <c r="M523" s="11"/>
      <c r="O523" s="11"/>
      <c r="X523" s="9"/>
      <c r="Z523" s="9"/>
    </row>
    <row r="524" spans="3:26">
      <c r="C524" s="11"/>
      <c r="D524" s="11"/>
      <c r="M524" s="11"/>
      <c r="O524" s="11"/>
      <c r="X524" s="9"/>
      <c r="Z524" s="9"/>
    </row>
    <row r="525" spans="3:26">
      <c r="C525" s="11"/>
      <c r="D525" s="11"/>
      <c r="M525" s="11"/>
      <c r="O525" s="11"/>
      <c r="X525" s="9"/>
      <c r="Z525" s="9"/>
    </row>
    <row r="526" spans="3:26">
      <c r="C526" s="11"/>
      <c r="D526" s="11"/>
      <c r="M526" s="11"/>
      <c r="O526" s="11"/>
      <c r="X526" s="9"/>
      <c r="Z526" s="9"/>
    </row>
    <row r="527" spans="3:26">
      <c r="C527" s="11"/>
      <c r="D527" s="11"/>
      <c r="M527" s="11"/>
      <c r="O527" s="11"/>
      <c r="X527" s="9"/>
      <c r="Z527" s="9"/>
    </row>
    <row r="528" spans="3:26">
      <c r="C528" s="11"/>
      <c r="D528" s="11"/>
      <c r="M528" s="11"/>
      <c r="O528" s="11"/>
      <c r="X528" s="9"/>
      <c r="Z528" s="9"/>
    </row>
    <row r="529" spans="3:26">
      <c r="C529" s="11"/>
      <c r="D529" s="11"/>
      <c r="M529" s="11"/>
      <c r="O529" s="11"/>
      <c r="X529" s="9"/>
      <c r="Z529" s="9"/>
    </row>
    <row r="530" spans="3:26">
      <c r="C530" s="11"/>
      <c r="D530" s="11"/>
      <c r="M530" s="11"/>
      <c r="O530" s="11"/>
      <c r="X530" s="9"/>
      <c r="Z530" s="9"/>
    </row>
    <row r="531" spans="3:26">
      <c r="C531" s="11"/>
      <c r="D531" s="11"/>
      <c r="M531" s="11"/>
      <c r="O531" s="11"/>
      <c r="X531" s="9"/>
      <c r="Z531" s="9"/>
    </row>
    <row r="532" spans="3:26">
      <c r="C532" s="11"/>
      <c r="D532" s="11"/>
      <c r="M532" s="11"/>
      <c r="O532" s="11"/>
      <c r="X532" s="9"/>
      <c r="Z532" s="9"/>
    </row>
    <row r="533" spans="3:26">
      <c r="C533" s="11"/>
      <c r="D533" s="11"/>
      <c r="M533" s="11"/>
      <c r="O533" s="11"/>
      <c r="X533" s="9"/>
      <c r="Z533" s="9"/>
    </row>
    <row r="534" spans="3:26">
      <c r="C534" s="11"/>
      <c r="D534" s="11"/>
      <c r="M534" s="11"/>
      <c r="O534" s="11"/>
      <c r="X534" s="9"/>
      <c r="Z534" s="9"/>
    </row>
    <row r="535" spans="3:26">
      <c r="C535" s="11"/>
      <c r="D535" s="11"/>
      <c r="M535" s="11"/>
      <c r="O535" s="11"/>
      <c r="X535" s="9"/>
      <c r="Z535" s="9"/>
    </row>
    <row r="536" spans="3:26">
      <c r="C536" s="11"/>
      <c r="D536" s="11"/>
      <c r="M536" s="11"/>
      <c r="O536" s="11"/>
      <c r="X536" s="9"/>
      <c r="Z536" s="9"/>
    </row>
    <row r="537" spans="3:26">
      <c r="C537" s="11"/>
      <c r="D537" s="11"/>
      <c r="M537" s="11"/>
      <c r="O537" s="11"/>
      <c r="X537" s="9"/>
      <c r="Z537" s="9"/>
    </row>
    <row r="538" spans="3:26">
      <c r="C538" s="11"/>
      <c r="D538" s="11"/>
      <c r="M538" s="11"/>
      <c r="O538" s="11"/>
      <c r="X538" s="9"/>
      <c r="Z538" s="9"/>
    </row>
    <row r="539" spans="3:26">
      <c r="C539" s="11"/>
      <c r="D539" s="11"/>
      <c r="M539" s="11"/>
      <c r="O539" s="11"/>
      <c r="X539" s="9"/>
      <c r="Z539" s="9"/>
    </row>
    <row r="540" spans="3:26">
      <c r="C540" s="11"/>
      <c r="D540" s="11"/>
      <c r="M540" s="11"/>
      <c r="O540" s="11"/>
      <c r="X540" s="9"/>
      <c r="Z540" s="9"/>
    </row>
    <row r="541" spans="3:26">
      <c r="C541" s="11"/>
      <c r="D541" s="11"/>
      <c r="M541" s="11"/>
      <c r="O541" s="11"/>
      <c r="X541" s="9"/>
      <c r="Z541" s="9"/>
    </row>
    <row r="542" spans="3:26">
      <c r="C542" s="11"/>
      <c r="D542" s="11"/>
      <c r="M542" s="11"/>
      <c r="O542" s="11"/>
      <c r="X542" s="9"/>
      <c r="Z542" s="9"/>
    </row>
    <row r="543" spans="3:26">
      <c r="C543" s="11"/>
      <c r="D543" s="11"/>
      <c r="M543" s="11"/>
      <c r="O543" s="11"/>
      <c r="X543" s="9"/>
      <c r="Z543" s="9"/>
    </row>
    <row r="544" spans="3:26">
      <c r="C544" s="11"/>
      <c r="D544" s="11"/>
      <c r="M544" s="11"/>
      <c r="O544" s="11"/>
      <c r="X544" s="9"/>
      <c r="Z544" s="9"/>
    </row>
    <row r="545" spans="3:26">
      <c r="C545" s="11"/>
      <c r="D545" s="11"/>
      <c r="M545" s="11"/>
      <c r="O545" s="11"/>
      <c r="X545" s="9"/>
      <c r="Z545" s="9"/>
    </row>
    <row r="546" spans="3:26">
      <c r="C546" s="11"/>
      <c r="D546" s="11"/>
      <c r="M546" s="11"/>
      <c r="O546" s="11"/>
      <c r="X546" s="9"/>
      <c r="Z546" s="9"/>
    </row>
    <row r="547" spans="3:26">
      <c r="C547" s="11"/>
      <c r="D547" s="11"/>
      <c r="M547" s="11"/>
      <c r="O547" s="11"/>
      <c r="X547" s="9"/>
      <c r="Z547" s="9"/>
    </row>
    <row r="548" spans="3:26">
      <c r="C548" s="11"/>
      <c r="D548" s="11"/>
      <c r="M548" s="11"/>
      <c r="O548" s="11"/>
      <c r="X548" s="9"/>
      <c r="Z548" s="9"/>
    </row>
    <row r="549" spans="3:26">
      <c r="C549" s="11"/>
      <c r="D549" s="11"/>
      <c r="M549" s="11"/>
      <c r="O549" s="11"/>
      <c r="X549" s="9"/>
      <c r="Z549" s="9"/>
    </row>
    <row r="550" spans="3:26">
      <c r="C550" s="11"/>
      <c r="D550" s="11"/>
      <c r="M550" s="11"/>
      <c r="O550" s="11"/>
      <c r="X550" s="9"/>
      <c r="Z550" s="9"/>
    </row>
    <row r="551" spans="3:26">
      <c r="C551" s="11"/>
      <c r="D551" s="11"/>
      <c r="M551" s="11"/>
      <c r="O551" s="11"/>
      <c r="X551" s="9"/>
      <c r="Z551" s="9"/>
    </row>
    <row r="552" spans="3:26">
      <c r="C552" s="11"/>
      <c r="D552" s="11"/>
      <c r="M552" s="11"/>
      <c r="O552" s="11"/>
      <c r="X552" s="9"/>
      <c r="Z552" s="9"/>
    </row>
    <row r="553" spans="3:26">
      <c r="C553" s="11"/>
      <c r="D553" s="11"/>
      <c r="M553" s="11"/>
      <c r="O553" s="11"/>
      <c r="X553" s="9"/>
      <c r="Z553" s="9"/>
    </row>
    <row r="554" spans="3:26">
      <c r="C554" s="11"/>
      <c r="D554" s="11"/>
      <c r="M554" s="11"/>
      <c r="O554" s="11"/>
      <c r="X554" s="9"/>
      <c r="Z554" s="9"/>
    </row>
    <row r="555" spans="3:26">
      <c r="C555" s="11"/>
      <c r="D555" s="11"/>
      <c r="M555" s="11"/>
      <c r="O555" s="11"/>
      <c r="X555" s="9"/>
      <c r="Z555" s="9"/>
    </row>
    <row r="556" spans="3:26">
      <c r="C556" s="11"/>
      <c r="D556" s="11"/>
      <c r="M556" s="11"/>
      <c r="O556" s="11"/>
      <c r="X556" s="9"/>
      <c r="Z556" s="9"/>
    </row>
    <row r="557" spans="3:26">
      <c r="C557" s="11"/>
      <c r="D557" s="11"/>
      <c r="M557" s="11"/>
      <c r="O557" s="11"/>
      <c r="X557" s="9"/>
      <c r="Z557" s="9"/>
    </row>
    <row r="558" spans="3:26">
      <c r="C558" s="11"/>
      <c r="D558" s="11"/>
      <c r="M558" s="11"/>
      <c r="O558" s="11"/>
      <c r="X558" s="9"/>
      <c r="Z558" s="9"/>
    </row>
    <row r="559" spans="3:26">
      <c r="C559" s="11"/>
      <c r="D559" s="11"/>
      <c r="M559" s="11"/>
      <c r="O559" s="11"/>
      <c r="X559" s="9"/>
      <c r="Z559" s="9"/>
    </row>
    <row r="560" spans="3:26">
      <c r="C560" s="11"/>
      <c r="D560" s="11"/>
      <c r="M560" s="11"/>
      <c r="O560" s="11"/>
      <c r="X560" s="9"/>
      <c r="Z560" s="9"/>
    </row>
    <row r="561" spans="3:26">
      <c r="C561" s="11"/>
      <c r="D561" s="11"/>
      <c r="M561" s="11"/>
      <c r="O561" s="11"/>
      <c r="X561" s="9"/>
      <c r="Z561" s="9"/>
    </row>
    <row r="562" spans="3:26">
      <c r="C562" s="11"/>
      <c r="D562" s="11"/>
      <c r="M562" s="11"/>
      <c r="O562" s="11"/>
      <c r="X562" s="9"/>
      <c r="Z562" s="9"/>
    </row>
    <row r="563" spans="3:26">
      <c r="C563" s="11"/>
      <c r="D563" s="11"/>
      <c r="M563" s="11"/>
      <c r="O563" s="11"/>
      <c r="X563" s="9"/>
      <c r="Z563" s="9"/>
    </row>
    <row r="564" spans="3:26">
      <c r="C564" s="11"/>
      <c r="D564" s="11"/>
      <c r="M564" s="11"/>
      <c r="O564" s="11"/>
      <c r="X564" s="9"/>
      <c r="Z564" s="9"/>
    </row>
    <row r="565" spans="3:26">
      <c r="C565" s="11"/>
      <c r="D565" s="11"/>
      <c r="M565" s="11"/>
      <c r="O565" s="11"/>
      <c r="X565" s="9"/>
      <c r="Z565" s="9"/>
    </row>
    <row r="566" spans="3:26">
      <c r="C566" s="11"/>
      <c r="D566" s="11"/>
      <c r="M566" s="11"/>
      <c r="O566" s="11"/>
      <c r="X566" s="9"/>
      <c r="Z566" s="9"/>
    </row>
    <row r="567" spans="3:26">
      <c r="C567" s="11"/>
      <c r="D567" s="11"/>
      <c r="M567" s="11"/>
      <c r="O567" s="11"/>
      <c r="X567" s="9"/>
      <c r="Z567" s="9"/>
    </row>
    <row r="568" spans="3:26">
      <c r="C568" s="11"/>
      <c r="D568" s="11"/>
      <c r="M568" s="11"/>
      <c r="O568" s="11"/>
      <c r="X568" s="9"/>
      <c r="Z568" s="9"/>
    </row>
    <row r="569" spans="3:26">
      <c r="C569" s="11"/>
      <c r="D569" s="11"/>
      <c r="M569" s="11"/>
      <c r="O569" s="11"/>
      <c r="X569" s="9"/>
      <c r="Z569" s="9"/>
    </row>
    <row r="570" spans="3:26">
      <c r="C570" s="11"/>
      <c r="D570" s="11"/>
      <c r="M570" s="11"/>
      <c r="O570" s="11"/>
      <c r="X570" s="9"/>
      <c r="Z570" s="9"/>
    </row>
    <row r="571" spans="3:26">
      <c r="C571" s="11"/>
      <c r="D571" s="11"/>
      <c r="M571" s="11"/>
      <c r="O571" s="11"/>
      <c r="X571" s="9"/>
      <c r="Z571" s="9"/>
    </row>
    <row r="572" spans="3:26">
      <c r="C572" s="11"/>
      <c r="D572" s="11"/>
      <c r="M572" s="11"/>
      <c r="O572" s="11"/>
      <c r="X572" s="9"/>
      <c r="Z572" s="9"/>
    </row>
    <row r="573" spans="3:26">
      <c r="C573" s="11"/>
      <c r="D573" s="11"/>
      <c r="M573" s="11"/>
      <c r="O573" s="11"/>
      <c r="X573" s="9"/>
      <c r="Z573" s="9"/>
    </row>
    <row r="574" spans="3:26">
      <c r="C574" s="11"/>
      <c r="D574" s="11"/>
      <c r="M574" s="11"/>
      <c r="O574" s="11"/>
      <c r="X574" s="9"/>
      <c r="Z574" s="9"/>
    </row>
    <row r="575" spans="3:26">
      <c r="C575" s="11"/>
      <c r="D575" s="11"/>
      <c r="M575" s="11"/>
      <c r="O575" s="11"/>
      <c r="X575" s="9"/>
      <c r="Z575" s="9"/>
    </row>
    <row r="576" spans="3:26">
      <c r="C576" s="11"/>
      <c r="D576" s="11"/>
      <c r="M576" s="11"/>
      <c r="O576" s="11"/>
      <c r="X576" s="9"/>
      <c r="Z576" s="9"/>
    </row>
    <row r="577" spans="3:26">
      <c r="C577" s="11"/>
      <c r="D577" s="11"/>
      <c r="M577" s="11"/>
      <c r="O577" s="11"/>
      <c r="X577" s="9"/>
      <c r="Z577" s="9"/>
    </row>
    <row r="578" spans="3:26">
      <c r="C578" s="11"/>
      <c r="D578" s="11"/>
      <c r="M578" s="11"/>
      <c r="O578" s="11"/>
      <c r="X578" s="9"/>
      <c r="Z578" s="9"/>
    </row>
    <row r="579" spans="3:26">
      <c r="C579" s="11"/>
      <c r="D579" s="11"/>
      <c r="M579" s="11"/>
      <c r="O579" s="11"/>
      <c r="X579" s="9"/>
      <c r="Z579" s="9"/>
    </row>
    <row r="580" spans="3:26">
      <c r="C580" s="11"/>
      <c r="D580" s="11"/>
      <c r="M580" s="11"/>
      <c r="O580" s="11"/>
      <c r="X580" s="9"/>
      <c r="Z580" s="9"/>
    </row>
    <row r="581" spans="3:26">
      <c r="C581" s="11"/>
      <c r="D581" s="11"/>
      <c r="M581" s="11"/>
      <c r="O581" s="11"/>
      <c r="X581" s="9"/>
      <c r="Z581" s="9"/>
    </row>
    <row r="582" spans="3:26">
      <c r="C582" s="11"/>
      <c r="D582" s="11"/>
      <c r="M582" s="11"/>
      <c r="O582" s="11"/>
      <c r="X582" s="9"/>
      <c r="Z582" s="9"/>
    </row>
    <row r="583" spans="3:26">
      <c r="C583" s="11"/>
      <c r="D583" s="11"/>
      <c r="M583" s="11"/>
      <c r="O583" s="11"/>
      <c r="X583" s="9"/>
      <c r="Z583" s="9"/>
    </row>
    <row r="584" spans="3:26">
      <c r="C584" s="11"/>
      <c r="D584" s="11"/>
      <c r="M584" s="11"/>
      <c r="O584" s="11"/>
      <c r="X584" s="9"/>
      <c r="Z584" s="9"/>
    </row>
    <row r="585" spans="3:26">
      <c r="C585" s="11"/>
      <c r="D585" s="11"/>
      <c r="M585" s="11"/>
      <c r="O585" s="11"/>
      <c r="X585" s="9"/>
      <c r="Z585" s="9"/>
    </row>
    <row r="586" spans="3:26">
      <c r="C586" s="11"/>
      <c r="D586" s="11"/>
      <c r="M586" s="11"/>
      <c r="O586" s="11"/>
      <c r="X586" s="9"/>
      <c r="Z586" s="9"/>
    </row>
    <row r="587" spans="3:26">
      <c r="C587" s="11"/>
      <c r="D587" s="11"/>
      <c r="M587" s="11"/>
      <c r="O587" s="11"/>
      <c r="X587" s="9"/>
      <c r="Z587" s="9"/>
    </row>
    <row r="588" spans="3:26">
      <c r="C588" s="11"/>
      <c r="D588" s="11"/>
      <c r="M588" s="11"/>
      <c r="O588" s="11"/>
      <c r="X588" s="9"/>
      <c r="Z588" s="9"/>
    </row>
    <row r="589" spans="3:26">
      <c r="C589" s="11"/>
      <c r="D589" s="11"/>
      <c r="M589" s="11"/>
      <c r="O589" s="11"/>
      <c r="X589" s="9"/>
      <c r="Z589" s="9"/>
    </row>
    <row r="590" spans="3:26">
      <c r="C590" s="11"/>
      <c r="D590" s="11"/>
      <c r="M590" s="11"/>
      <c r="O590" s="11"/>
      <c r="X590" s="9"/>
      <c r="Z590" s="9"/>
    </row>
    <row r="591" spans="3:26">
      <c r="C591" s="11"/>
      <c r="D591" s="11"/>
      <c r="M591" s="11"/>
      <c r="O591" s="11"/>
      <c r="X591" s="9"/>
      <c r="Z591" s="9"/>
    </row>
    <row r="592" spans="3:26">
      <c r="C592" s="11"/>
      <c r="D592" s="11"/>
      <c r="M592" s="11"/>
      <c r="O592" s="11"/>
      <c r="X592" s="9"/>
      <c r="Z592" s="9"/>
    </row>
    <row r="593" spans="3:26">
      <c r="C593" s="11"/>
      <c r="D593" s="11"/>
      <c r="M593" s="11"/>
      <c r="O593" s="11"/>
      <c r="X593" s="9"/>
      <c r="Z593" s="9"/>
    </row>
    <row r="594" spans="3:26">
      <c r="C594" s="11"/>
      <c r="D594" s="11"/>
      <c r="M594" s="11"/>
      <c r="O594" s="11"/>
      <c r="X594" s="9"/>
      <c r="Z594" s="9"/>
    </row>
    <row r="595" spans="3:26">
      <c r="C595" s="11"/>
      <c r="D595" s="11"/>
      <c r="M595" s="11"/>
      <c r="O595" s="11"/>
      <c r="X595" s="9"/>
      <c r="Z595" s="9"/>
    </row>
    <row r="596" spans="3:26">
      <c r="C596" s="11"/>
      <c r="D596" s="11"/>
      <c r="M596" s="11"/>
      <c r="O596" s="11"/>
      <c r="X596" s="9"/>
      <c r="Z596" s="9"/>
    </row>
    <row r="597" spans="3:26">
      <c r="C597" s="11"/>
      <c r="D597" s="11"/>
      <c r="M597" s="11"/>
      <c r="O597" s="11"/>
      <c r="X597" s="9"/>
      <c r="Z597" s="9"/>
    </row>
    <row r="598" spans="3:26">
      <c r="C598" s="11"/>
      <c r="D598" s="11"/>
      <c r="M598" s="11"/>
      <c r="O598" s="11"/>
      <c r="X598" s="9"/>
      <c r="Z598" s="9"/>
    </row>
    <row r="599" spans="3:26">
      <c r="C599" s="11"/>
      <c r="D599" s="11"/>
      <c r="M599" s="11"/>
      <c r="O599" s="11"/>
      <c r="X599" s="9"/>
      <c r="Z599" s="9"/>
    </row>
    <row r="600" spans="3:26">
      <c r="C600" s="11"/>
      <c r="D600" s="11"/>
      <c r="M600" s="11"/>
      <c r="O600" s="11"/>
      <c r="X600" s="9"/>
      <c r="Z600" s="9"/>
    </row>
    <row r="601" spans="3:26">
      <c r="C601" s="11"/>
      <c r="D601" s="11"/>
      <c r="M601" s="11"/>
      <c r="O601" s="11"/>
      <c r="X601" s="9"/>
      <c r="Z601" s="9"/>
    </row>
    <row r="602" spans="3:26">
      <c r="C602" s="11"/>
      <c r="D602" s="11"/>
      <c r="M602" s="11"/>
      <c r="O602" s="11"/>
      <c r="X602" s="9"/>
      <c r="Z602" s="9"/>
    </row>
    <row r="603" spans="3:26">
      <c r="C603" s="11"/>
      <c r="D603" s="11"/>
      <c r="M603" s="11"/>
      <c r="O603" s="11"/>
      <c r="X603" s="9"/>
      <c r="Z603" s="9"/>
    </row>
    <row r="604" spans="3:26">
      <c r="C604" s="11"/>
      <c r="D604" s="11"/>
      <c r="M604" s="11"/>
      <c r="O604" s="11"/>
      <c r="X604" s="9"/>
      <c r="Z604" s="9"/>
    </row>
    <row r="605" spans="3:26">
      <c r="C605" s="11"/>
      <c r="D605" s="11"/>
      <c r="M605" s="11"/>
      <c r="O605" s="11"/>
      <c r="X605" s="9"/>
      <c r="Z605" s="9"/>
    </row>
    <row r="606" spans="3:26">
      <c r="C606" s="11"/>
      <c r="D606" s="11"/>
      <c r="M606" s="11"/>
      <c r="O606" s="11"/>
      <c r="X606" s="9"/>
      <c r="Z606" s="9"/>
    </row>
    <row r="607" spans="3:26">
      <c r="C607" s="11"/>
      <c r="D607" s="11"/>
      <c r="M607" s="11"/>
      <c r="O607" s="11"/>
      <c r="X607" s="9"/>
      <c r="Z607" s="9"/>
    </row>
    <row r="608" spans="3:26">
      <c r="C608" s="11"/>
      <c r="D608" s="11"/>
      <c r="M608" s="11"/>
      <c r="O608" s="11"/>
      <c r="X608" s="9"/>
      <c r="Z608" s="9"/>
    </row>
    <row r="609" spans="3:26">
      <c r="C609" s="11"/>
      <c r="D609" s="11"/>
      <c r="M609" s="11"/>
      <c r="O609" s="11"/>
      <c r="X609" s="9"/>
      <c r="Z609" s="9"/>
    </row>
    <row r="610" spans="3:26">
      <c r="C610" s="11"/>
      <c r="D610" s="11"/>
      <c r="M610" s="11"/>
      <c r="O610" s="11"/>
      <c r="X610" s="9"/>
      <c r="Z610" s="9"/>
    </row>
    <row r="611" spans="3:26">
      <c r="C611" s="11"/>
      <c r="D611" s="11"/>
      <c r="M611" s="11"/>
      <c r="O611" s="11"/>
      <c r="X611" s="9"/>
      <c r="Z611" s="9"/>
    </row>
    <row r="612" spans="3:26">
      <c r="C612" s="11"/>
      <c r="D612" s="11"/>
      <c r="M612" s="11"/>
      <c r="O612" s="11"/>
      <c r="X612" s="9"/>
      <c r="Z612" s="9"/>
    </row>
    <row r="613" spans="3:26">
      <c r="C613" s="11"/>
      <c r="D613" s="11"/>
      <c r="M613" s="11"/>
      <c r="O613" s="11"/>
      <c r="X613" s="9"/>
      <c r="Z613" s="9"/>
    </row>
    <row r="614" spans="3:26">
      <c r="C614" s="11"/>
      <c r="D614" s="11"/>
      <c r="M614" s="11"/>
      <c r="O614" s="11"/>
      <c r="X614" s="9"/>
      <c r="Z614" s="9"/>
    </row>
    <row r="615" spans="3:26">
      <c r="C615" s="11"/>
      <c r="D615" s="11"/>
      <c r="M615" s="11"/>
      <c r="O615" s="11"/>
      <c r="X615" s="9"/>
      <c r="Z615" s="9"/>
    </row>
    <row r="616" spans="3:26">
      <c r="C616" s="11"/>
      <c r="D616" s="11"/>
      <c r="M616" s="11"/>
      <c r="O616" s="11"/>
      <c r="X616" s="9"/>
      <c r="Z616" s="9"/>
    </row>
    <row r="617" spans="3:26">
      <c r="C617" s="11"/>
      <c r="D617" s="11"/>
      <c r="M617" s="11"/>
      <c r="O617" s="11"/>
      <c r="X617" s="9"/>
      <c r="Z617" s="9"/>
    </row>
    <row r="618" spans="3:26">
      <c r="C618" s="11"/>
      <c r="D618" s="11"/>
      <c r="M618" s="11"/>
      <c r="O618" s="11"/>
      <c r="X618" s="9"/>
      <c r="Z618" s="9"/>
    </row>
    <row r="619" spans="3:26">
      <c r="C619" s="11"/>
      <c r="D619" s="11"/>
      <c r="M619" s="11"/>
      <c r="O619" s="11"/>
      <c r="X619" s="9"/>
      <c r="Z619" s="9"/>
    </row>
    <row r="620" spans="3:26">
      <c r="C620" s="11"/>
      <c r="D620" s="11"/>
      <c r="M620" s="11"/>
      <c r="O620" s="11"/>
      <c r="X620" s="9"/>
      <c r="Z620" s="9"/>
    </row>
    <row r="621" spans="3:26">
      <c r="C621" s="11"/>
      <c r="D621" s="11"/>
      <c r="M621" s="11"/>
      <c r="O621" s="11"/>
      <c r="X621" s="9"/>
      <c r="Z621" s="9"/>
    </row>
    <row r="622" spans="3:26">
      <c r="C622" s="11"/>
      <c r="D622" s="11"/>
      <c r="M622" s="11"/>
      <c r="O622" s="11"/>
      <c r="X622" s="9"/>
      <c r="Z622" s="9"/>
    </row>
    <row r="623" spans="3:26">
      <c r="C623" s="11"/>
      <c r="D623" s="11"/>
      <c r="M623" s="11"/>
      <c r="O623" s="11"/>
      <c r="X623" s="9"/>
      <c r="Z623" s="9"/>
    </row>
    <row r="624" spans="3:26">
      <c r="C624" s="11"/>
      <c r="D624" s="11"/>
      <c r="M624" s="11"/>
      <c r="O624" s="11"/>
      <c r="X624" s="9"/>
      <c r="Z624" s="9"/>
    </row>
    <row r="625" spans="3:26">
      <c r="C625" s="11"/>
      <c r="D625" s="11"/>
      <c r="M625" s="11"/>
      <c r="O625" s="11"/>
      <c r="X625" s="9"/>
      <c r="Z625" s="9"/>
    </row>
    <row r="626" spans="3:26">
      <c r="C626" s="11"/>
      <c r="D626" s="11"/>
      <c r="M626" s="11"/>
      <c r="O626" s="11"/>
      <c r="X626" s="9"/>
      <c r="Z626" s="9"/>
    </row>
    <row r="627" spans="3:26">
      <c r="C627" s="11"/>
      <c r="D627" s="11"/>
      <c r="M627" s="11"/>
      <c r="O627" s="11"/>
      <c r="X627" s="9"/>
      <c r="Z627" s="9"/>
    </row>
    <row r="628" spans="3:26">
      <c r="C628" s="11"/>
      <c r="D628" s="11"/>
      <c r="M628" s="11"/>
      <c r="O628" s="11"/>
      <c r="X628" s="9"/>
      <c r="Z628" s="9"/>
    </row>
    <row r="629" spans="3:26">
      <c r="C629" s="11"/>
      <c r="D629" s="11"/>
      <c r="M629" s="11"/>
      <c r="O629" s="11"/>
      <c r="X629" s="9"/>
      <c r="Z629" s="9"/>
    </row>
    <row r="630" spans="3:26">
      <c r="C630" s="11"/>
      <c r="D630" s="11"/>
      <c r="M630" s="11"/>
      <c r="O630" s="11"/>
      <c r="X630" s="9"/>
      <c r="Z630" s="9"/>
    </row>
    <row r="631" spans="3:26">
      <c r="C631" s="11"/>
      <c r="D631" s="11"/>
      <c r="M631" s="11"/>
      <c r="O631" s="11"/>
      <c r="X631" s="9"/>
      <c r="Z631" s="9"/>
    </row>
    <row r="632" spans="3:26">
      <c r="C632" s="11"/>
      <c r="D632" s="11"/>
      <c r="M632" s="11"/>
      <c r="O632" s="11"/>
      <c r="X632" s="9"/>
      <c r="Z632" s="9"/>
    </row>
    <row r="633" spans="3:26">
      <c r="C633" s="11"/>
      <c r="D633" s="11"/>
      <c r="M633" s="11"/>
      <c r="O633" s="11"/>
      <c r="X633" s="9"/>
      <c r="Z633" s="9"/>
    </row>
    <row r="634" spans="3:26">
      <c r="C634" s="11"/>
      <c r="D634" s="11"/>
      <c r="M634" s="11"/>
      <c r="O634" s="11"/>
      <c r="X634" s="9"/>
      <c r="Z634" s="9"/>
    </row>
    <row r="635" spans="3:26">
      <c r="C635" s="11"/>
      <c r="D635" s="11"/>
      <c r="M635" s="11"/>
      <c r="O635" s="11"/>
      <c r="X635" s="9"/>
      <c r="Z635" s="9"/>
    </row>
    <row r="636" spans="3:26">
      <c r="C636" s="11"/>
      <c r="D636" s="11"/>
      <c r="M636" s="11"/>
      <c r="O636" s="11"/>
      <c r="X636" s="9"/>
      <c r="Z636" s="9"/>
    </row>
    <row r="637" spans="3:26">
      <c r="C637" s="11"/>
      <c r="D637" s="11"/>
      <c r="M637" s="11"/>
      <c r="O637" s="11"/>
      <c r="X637" s="9"/>
      <c r="Z637" s="9"/>
    </row>
    <row r="638" spans="3:26">
      <c r="C638" s="11"/>
      <c r="D638" s="11"/>
      <c r="M638" s="11"/>
      <c r="O638" s="11"/>
      <c r="X638" s="9"/>
      <c r="Z638" s="9"/>
    </row>
    <row r="639" spans="3:26">
      <c r="C639" s="11"/>
      <c r="D639" s="11"/>
      <c r="M639" s="11"/>
      <c r="O639" s="11"/>
      <c r="X639" s="9"/>
      <c r="Z639" s="9"/>
    </row>
    <row r="640" spans="3:26">
      <c r="C640" s="11"/>
      <c r="D640" s="11"/>
      <c r="M640" s="11"/>
      <c r="O640" s="11"/>
      <c r="X640" s="9"/>
      <c r="Z640" s="9"/>
    </row>
    <row r="641" spans="3:26">
      <c r="C641" s="11"/>
      <c r="D641" s="11"/>
      <c r="M641" s="11"/>
      <c r="O641" s="11"/>
      <c r="X641" s="9"/>
      <c r="Z641" s="9"/>
    </row>
    <row r="642" spans="3:26">
      <c r="C642" s="11"/>
      <c r="D642" s="11"/>
      <c r="M642" s="11"/>
      <c r="O642" s="11"/>
      <c r="X642" s="9"/>
      <c r="Z642" s="9"/>
    </row>
    <row r="643" spans="3:26">
      <c r="C643" s="11"/>
      <c r="D643" s="11"/>
      <c r="M643" s="11"/>
      <c r="O643" s="11"/>
      <c r="X643" s="9"/>
      <c r="Z643" s="9"/>
    </row>
    <row r="644" spans="3:26">
      <c r="C644" s="11"/>
      <c r="D644" s="11"/>
      <c r="M644" s="11"/>
      <c r="O644" s="11"/>
      <c r="X644" s="9"/>
      <c r="Z644" s="9"/>
    </row>
    <row r="645" spans="3:26">
      <c r="C645" s="11"/>
      <c r="D645" s="11"/>
      <c r="M645" s="11"/>
      <c r="O645" s="11"/>
      <c r="X645" s="9"/>
      <c r="Z645" s="9"/>
    </row>
    <row r="646" spans="3:26">
      <c r="C646" s="11"/>
      <c r="D646" s="11"/>
      <c r="M646" s="11"/>
      <c r="O646" s="11"/>
      <c r="X646" s="9"/>
      <c r="Z646" s="9"/>
    </row>
    <row r="647" spans="3:26">
      <c r="C647" s="11"/>
      <c r="D647" s="11"/>
      <c r="M647" s="11"/>
      <c r="O647" s="11"/>
      <c r="X647" s="9"/>
      <c r="Z647" s="9"/>
    </row>
    <row r="648" spans="3:26">
      <c r="C648" s="11"/>
      <c r="D648" s="11"/>
      <c r="M648" s="11"/>
      <c r="O648" s="11"/>
      <c r="X648" s="9"/>
      <c r="Z648" s="9"/>
    </row>
    <row r="649" spans="3:26">
      <c r="C649" s="11"/>
      <c r="D649" s="11"/>
      <c r="M649" s="11"/>
      <c r="O649" s="11"/>
      <c r="X649" s="9"/>
      <c r="Z649" s="9"/>
    </row>
    <row r="650" spans="3:26">
      <c r="C650" s="11"/>
      <c r="D650" s="11"/>
      <c r="M650" s="11"/>
      <c r="O650" s="11"/>
      <c r="X650" s="9"/>
      <c r="Z650" s="9"/>
    </row>
    <row r="651" spans="3:26">
      <c r="C651" s="11"/>
      <c r="D651" s="11"/>
      <c r="M651" s="11"/>
      <c r="O651" s="11"/>
      <c r="X651" s="9"/>
      <c r="Z651" s="9"/>
    </row>
    <row r="652" spans="3:26">
      <c r="C652" s="11"/>
      <c r="D652" s="11"/>
      <c r="M652" s="11"/>
      <c r="O652" s="11"/>
      <c r="X652" s="9"/>
      <c r="Z652" s="9"/>
    </row>
    <row r="653" spans="3:26">
      <c r="C653" s="11"/>
      <c r="D653" s="11"/>
      <c r="M653" s="11"/>
      <c r="O653" s="11"/>
      <c r="X653" s="9"/>
      <c r="Z653" s="9"/>
    </row>
    <row r="654" spans="3:26">
      <c r="C654" s="11"/>
      <c r="D654" s="11"/>
      <c r="M654" s="11"/>
      <c r="O654" s="11"/>
      <c r="X654" s="9"/>
      <c r="Z654" s="9"/>
    </row>
    <row r="655" spans="3:26">
      <c r="C655" s="11"/>
      <c r="D655" s="11"/>
      <c r="M655" s="11"/>
      <c r="O655" s="11"/>
      <c r="X655" s="9"/>
      <c r="Z655" s="9"/>
    </row>
    <row r="656" spans="3:26">
      <c r="C656" s="11"/>
      <c r="D656" s="11"/>
      <c r="M656" s="11"/>
      <c r="O656" s="11"/>
      <c r="X656" s="9"/>
      <c r="Z656" s="9"/>
    </row>
    <row r="657" spans="3:26">
      <c r="C657" s="11"/>
      <c r="D657" s="11"/>
      <c r="M657" s="11"/>
      <c r="O657" s="11"/>
      <c r="X657" s="9"/>
      <c r="Z657" s="9"/>
    </row>
    <row r="658" spans="3:26">
      <c r="C658" s="11"/>
      <c r="D658" s="11"/>
      <c r="M658" s="11"/>
      <c r="O658" s="11"/>
      <c r="X658" s="9"/>
      <c r="Z658" s="9"/>
    </row>
    <row r="659" spans="3:26">
      <c r="C659" s="11"/>
      <c r="D659" s="11"/>
      <c r="M659" s="11"/>
      <c r="O659" s="11"/>
      <c r="X659" s="9"/>
      <c r="Z659" s="9"/>
    </row>
    <row r="660" spans="3:26">
      <c r="C660" s="11"/>
      <c r="D660" s="11"/>
      <c r="M660" s="11"/>
      <c r="O660" s="11"/>
      <c r="X660" s="9"/>
      <c r="Z660" s="9"/>
    </row>
    <row r="661" spans="3:26">
      <c r="C661" s="11"/>
      <c r="D661" s="11"/>
      <c r="M661" s="11"/>
      <c r="O661" s="11"/>
      <c r="X661" s="9"/>
      <c r="Z661" s="9"/>
    </row>
    <row r="662" spans="3:26">
      <c r="C662" s="11"/>
      <c r="D662" s="11"/>
      <c r="M662" s="11"/>
      <c r="O662" s="11"/>
      <c r="X662" s="9"/>
      <c r="Z662" s="9"/>
    </row>
    <row r="663" spans="3:26">
      <c r="C663" s="11"/>
      <c r="D663" s="11"/>
      <c r="M663" s="11"/>
      <c r="O663" s="11"/>
      <c r="X663" s="9"/>
      <c r="Z663" s="9"/>
    </row>
    <row r="664" spans="3:26">
      <c r="C664" s="11"/>
      <c r="D664" s="11"/>
      <c r="M664" s="11"/>
      <c r="O664" s="11"/>
      <c r="X664" s="9"/>
      <c r="Z664" s="9"/>
    </row>
    <row r="665" spans="3:26">
      <c r="C665" s="11"/>
      <c r="D665" s="11"/>
      <c r="M665" s="11"/>
      <c r="O665" s="11"/>
      <c r="X665" s="9"/>
      <c r="Z665" s="9"/>
    </row>
    <row r="666" spans="3:26">
      <c r="C666" s="11"/>
      <c r="D666" s="11"/>
      <c r="M666" s="11"/>
      <c r="O666" s="11"/>
      <c r="X666" s="9"/>
      <c r="Z666" s="9"/>
    </row>
    <row r="667" spans="3:26">
      <c r="C667" s="11"/>
      <c r="D667" s="11"/>
      <c r="M667" s="11"/>
      <c r="O667" s="11"/>
      <c r="X667" s="9"/>
      <c r="Z667" s="9"/>
    </row>
    <row r="668" spans="3:26">
      <c r="C668" s="11"/>
      <c r="D668" s="11"/>
      <c r="M668" s="11"/>
      <c r="O668" s="11"/>
      <c r="X668" s="9"/>
      <c r="Z668" s="9"/>
    </row>
    <row r="669" spans="3:26">
      <c r="C669" s="11"/>
      <c r="D669" s="11"/>
      <c r="M669" s="11"/>
      <c r="O669" s="11"/>
      <c r="X669" s="9"/>
      <c r="Z669" s="9"/>
    </row>
    <row r="670" spans="3:26">
      <c r="C670" s="11"/>
      <c r="D670" s="11"/>
      <c r="M670" s="11"/>
      <c r="O670" s="11"/>
      <c r="X670" s="9"/>
      <c r="Z670" s="9"/>
    </row>
    <row r="671" spans="3:26">
      <c r="C671" s="11"/>
      <c r="D671" s="11"/>
      <c r="M671" s="11"/>
      <c r="O671" s="11"/>
      <c r="X671" s="9"/>
      <c r="Z671" s="9"/>
    </row>
    <row r="672" spans="3:26">
      <c r="C672" s="11"/>
      <c r="D672" s="11"/>
      <c r="M672" s="11"/>
      <c r="O672" s="11"/>
      <c r="X672" s="9"/>
      <c r="Z672" s="9"/>
    </row>
    <row r="673" spans="3:26">
      <c r="C673" s="11"/>
      <c r="D673" s="11"/>
      <c r="M673" s="11"/>
      <c r="O673" s="11"/>
      <c r="X673" s="9"/>
      <c r="Z673" s="9"/>
    </row>
    <row r="674" spans="3:26">
      <c r="C674" s="11"/>
      <c r="D674" s="11"/>
      <c r="M674" s="11"/>
      <c r="O674" s="11"/>
      <c r="X674" s="9"/>
      <c r="Z674" s="9"/>
    </row>
    <row r="675" spans="3:26">
      <c r="C675" s="11"/>
      <c r="D675" s="11"/>
      <c r="M675" s="11"/>
      <c r="O675" s="11"/>
      <c r="X675" s="9"/>
      <c r="Z675" s="9"/>
    </row>
    <row r="676" spans="3:26">
      <c r="C676" s="11"/>
      <c r="D676" s="11"/>
      <c r="M676" s="11"/>
      <c r="O676" s="11"/>
      <c r="X676" s="9"/>
      <c r="Z676" s="9"/>
    </row>
    <row r="677" spans="3:26">
      <c r="C677" s="11"/>
      <c r="D677" s="11"/>
      <c r="M677" s="11"/>
      <c r="O677" s="11"/>
      <c r="X677" s="9"/>
      <c r="Z677" s="9"/>
    </row>
    <row r="678" spans="3:26">
      <c r="C678" s="11"/>
      <c r="D678" s="11"/>
      <c r="M678" s="11"/>
      <c r="O678" s="11"/>
      <c r="X678" s="9"/>
      <c r="Z678" s="9"/>
    </row>
    <row r="679" spans="3:26">
      <c r="C679" s="11"/>
      <c r="D679" s="11"/>
      <c r="M679" s="11"/>
      <c r="O679" s="11"/>
      <c r="X679" s="9"/>
      <c r="Z679" s="9"/>
    </row>
    <row r="680" spans="3:26">
      <c r="C680" s="11"/>
      <c r="D680" s="11"/>
      <c r="M680" s="11"/>
      <c r="O680" s="11"/>
      <c r="X680" s="9"/>
      <c r="Z680" s="9"/>
    </row>
    <row r="681" spans="3:26">
      <c r="C681" s="11"/>
      <c r="D681" s="11"/>
      <c r="M681" s="11"/>
      <c r="O681" s="11"/>
      <c r="X681" s="9"/>
      <c r="Z681" s="9"/>
    </row>
    <row r="682" spans="3:26">
      <c r="C682" s="11"/>
      <c r="D682" s="11"/>
      <c r="M682" s="11"/>
      <c r="O682" s="11"/>
      <c r="X682" s="9"/>
      <c r="Z682" s="9"/>
    </row>
    <row r="683" spans="3:26">
      <c r="C683" s="11"/>
      <c r="D683" s="11"/>
      <c r="M683" s="11"/>
      <c r="O683" s="11"/>
      <c r="X683" s="9"/>
      <c r="Z683" s="9"/>
    </row>
    <row r="684" spans="3:26">
      <c r="C684" s="11"/>
      <c r="D684" s="11"/>
      <c r="M684" s="11"/>
      <c r="O684" s="11"/>
      <c r="X684" s="9"/>
      <c r="Z684" s="9"/>
    </row>
    <row r="685" spans="3:26">
      <c r="C685" s="11"/>
      <c r="D685" s="11"/>
      <c r="M685" s="11"/>
      <c r="O685" s="11"/>
      <c r="X685" s="9"/>
      <c r="Z685" s="9"/>
    </row>
    <row r="686" spans="3:26">
      <c r="C686" s="11"/>
      <c r="D686" s="11"/>
      <c r="M686" s="11"/>
      <c r="O686" s="11"/>
      <c r="X686" s="9"/>
      <c r="Z686" s="9"/>
    </row>
    <row r="687" spans="3:26">
      <c r="C687" s="11"/>
      <c r="D687" s="11"/>
      <c r="M687" s="11"/>
      <c r="O687" s="11"/>
      <c r="X687" s="9"/>
      <c r="Z687" s="9"/>
    </row>
    <row r="688" spans="3:26">
      <c r="C688" s="11"/>
      <c r="D688" s="11"/>
      <c r="M688" s="11"/>
      <c r="O688" s="11"/>
      <c r="X688" s="9"/>
      <c r="Z688" s="9"/>
    </row>
    <row r="689" spans="3:26">
      <c r="C689" s="11"/>
      <c r="D689" s="11"/>
      <c r="M689" s="11"/>
      <c r="O689" s="11"/>
      <c r="X689" s="9"/>
      <c r="Z689" s="9"/>
    </row>
    <row r="690" spans="3:26">
      <c r="C690" s="11"/>
      <c r="D690" s="11"/>
      <c r="M690" s="11"/>
      <c r="O690" s="11"/>
      <c r="X690" s="9"/>
      <c r="Z690" s="9"/>
    </row>
    <row r="691" spans="3:26">
      <c r="C691" s="11"/>
      <c r="D691" s="11"/>
      <c r="M691" s="11"/>
      <c r="O691" s="11"/>
      <c r="X691" s="9"/>
      <c r="Z691" s="9"/>
    </row>
    <row r="692" spans="3:26">
      <c r="C692" s="11"/>
      <c r="D692" s="11"/>
      <c r="M692" s="11"/>
      <c r="O692" s="11"/>
      <c r="X692" s="9"/>
      <c r="Z692" s="9"/>
    </row>
    <row r="693" spans="3:26">
      <c r="C693" s="11"/>
      <c r="D693" s="11"/>
      <c r="M693" s="11"/>
      <c r="O693" s="11"/>
      <c r="X693" s="9"/>
      <c r="Z693" s="9"/>
    </row>
    <row r="694" spans="3:26">
      <c r="C694" s="11"/>
      <c r="D694" s="11"/>
      <c r="M694" s="11"/>
      <c r="O694" s="11"/>
      <c r="X694" s="9"/>
      <c r="Z694" s="9"/>
    </row>
    <row r="695" spans="3:26">
      <c r="C695" s="11"/>
      <c r="D695" s="11"/>
      <c r="M695" s="11"/>
      <c r="O695" s="11"/>
      <c r="X695" s="9"/>
      <c r="Z695" s="9"/>
    </row>
    <row r="696" spans="3:26">
      <c r="C696" s="11"/>
      <c r="D696" s="11"/>
      <c r="M696" s="11"/>
      <c r="O696" s="11"/>
      <c r="X696" s="9"/>
      <c r="Z696" s="9"/>
    </row>
    <row r="697" spans="3:26">
      <c r="C697" s="11"/>
      <c r="D697" s="11"/>
      <c r="M697" s="11"/>
      <c r="O697" s="11"/>
      <c r="X697" s="9"/>
      <c r="Z697" s="9"/>
    </row>
    <row r="698" spans="3:26">
      <c r="C698" s="11"/>
      <c r="D698" s="11"/>
      <c r="M698" s="11"/>
      <c r="O698" s="11"/>
      <c r="X698" s="9"/>
      <c r="Z698" s="9"/>
    </row>
    <row r="699" spans="3:26">
      <c r="C699" s="11"/>
      <c r="D699" s="11"/>
      <c r="M699" s="11"/>
      <c r="O699" s="11"/>
      <c r="X699" s="9"/>
      <c r="Z699" s="9"/>
    </row>
    <row r="700" spans="3:26">
      <c r="C700" s="11"/>
      <c r="D700" s="11"/>
      <c r="M700" s="11"/>
      <c r="O700" s="11"/>
      <c r="X700" s="9"/>
      <c r="Z700" s="9"/>
    </row>
    <row r="701" spans="3:26">
      <c r="C701" s="11"/>
      <c r="D701" s="11"/>
      <c r="M701" s="11"/>
      <c r="O701" s="11"/>
      <c r="X701" s="9"/>
      <c r="Z701" s="9"/>
    </row>
    <row r="702" spans="3:26">
      <c r="C702" s="11"/>
      <c r="D702" s="11"/>
      <c r="M702" s="11"/>
      <c r="O702" s="11"/>
      <c r="X702" s="9"/>
      <c r="Z702" s="9"/>
    </row>
    <row r="703" spans="3:26">
      <c r="C703" s="11"/>
      <c r="D703" s="11"/>
      <c r="M703" s="11"/>
      <c r="O703" s="11"/>
      <c r="X703" s="9"/>
      <c r="Z703" s="9"/>
    </row>
    <row r="704" spans="3:26">
      <c r="C704" s="11"/>
      <c r="D704" s="11"/>
      <c r="M704" s="11"/>
      <c r="O704" s="11"/>
      <c r="X704" s="9"/>
      <c r="Z704" s="9"/>
    </row>
    <row r="705" spans="3:26">
      <c r="C705" s="11"/>
      <c r="D705" s="11"/>
      <c r="M705" s="11"/>
      <c r="O705" s="11"/>
      <c r="X705" s="9"/>
      <c r="Z705" s="9"/>
    </row>
    <row r="706" spans="3:26">
      <c r="C706" s="11"/>
      <c r="D706" s="11"/>
      <c r="M706" s="11"/>
      <c r="O706" s="11"/>
      <c r="X706" s="9"/>
      <c r="Z706" s="9"/>
    </row>
    <row r="707" spans="3:26">
      <c r="C707" s="11"/>
      <c r="D707" s="11"/>
      <c r="M707" s="11"/>
      <c r="O707" s="11"/>
      <c r="X707" s="9"/>
      <c r="Z707" s="9"/>
    </row>
    <row r="708" spans="3:26">
      <c r="C708" s="11"/>
      <c r="D708" s="11"/>
      <c r="M708" s="11"/>
      <c r="O708" s="11"/>
      <c r="X708" s="9"/>
      <c r="Z708" s="9"/>
    </row>
    <row r="709" spans="3:26">
      <c r="C709" s="11"/>
      <c r="D709" s="11"/>
      <c r="M709" s="11"/>
      <c r="O709" s="11"/>
      <c r="X709" s="9"/>
      <c r="Z709" s="9"/>
    </row>
    <row r="710" spans="3:26">
      <c r="C710" s="11"/>
      <c r="D710" s="11"/>
      <c r="M710" s="11"/>
      <c r="O710" s="11"/>
      <c r="X710" s="9"/>
      <c r="Z710" s="9"/>
    </row>
    <row r="711" spans="3:26">
      <c r="C711" s="11"/>
      <c r="D711" s="11"/>
      <c r="M711" s="11"/>
      <c r="O711" s="11"/>
      <c r="X711" s="9"/>
      <c r="Z711" s="9"/>
    </row>
    <row r="712" spans="3:26">
      <c r="C712" s="11"/>
      <c r="D712" s="11"/>
      <c r="M712" s="11"/>
      <c r="O712" s="11"/>
      <c r="X712" s="9"/>
      <c r="Z712" s="9"/>
    </row>
    <row r="713" spans="3:26">
      <c r="C713" s="11"/>
      <c r="D713" s="11"/>
      <c r="M713" s="11"/>
      <c r="O713" s="11"/>
      <c r="X713" s="9"/>
      <c r="Z713" s="9"/>
    </row>
    <row r="714" spans="3:26">
      <c r="C714" s="11"/>
      <c r="D714" s="11"/>
      <c r="M714" s="11"/>
      <c r="O714" s="11"/>
      <c r="X714" s="9"/>
      <c r="Z714" s="9"/>
    </row>
    <row r="715" spans="3:26">
      <c r="C715" s="11"/>
      <c r="D715" s="11"/>
      <c r="M715" s="11"/>
      <c r="O715" s="11"/>
      <c r="X715" s="9"/>
      <c r="Z715" s="9"/>
    </row>
    <row r="716" spans="3:26">
      <c r="C716" s="11"/>
      <c r="D716" s="11"/>
      <c r="M716" s="11"/>
      <c r="O716" s="11"/>
      <c r="X716" s="9"/>
      <c r="Z716" s="9"/>
    </row>
    <row r="717" spans="3:26">
      <c r="C717" s="11"/>
      <c r="D717" s="11"/>
      <c r="M717" s="11"/>
      <c r="O717" s="11"/>
      <c r="X717" s="9"/>
      <c r="Z717" s="9"/>
    </row>
    <row r="718" spans="3:26">
      <c r="C718" s="11"/>
      <c r="D718" s="11"/>
      <c r="M718" s="11"/>
      <c r="O718" s="11"/>
      <c r="X718" s="9"/>
      <c r="Z718" s="9"/>
    </row>
    <row r="719" spans="3:26">
      <c r="C719" s="11"/>
      <c r="D719" s="11"/>
      <c r="M719" s="11"/>
      <c r="O719" s="11"/>
      <c r="X719" s="9"/>
      <c r="Z719" s="9"/>
    </row>
    <row r="720" spans="3:26">
      <c r="C720" s="11"/>
      <c r="D720" s="11"/>
      <c r="M720" s="11"/>
      <c r="O720" s="11"/>
      <c r="X720" s="9"/>
      <c r="Z720" s="9"/>
    </row>
    <row r="721" spans="3:26">
      <c r="C721" s="11"/>
      <c r="D721" s="11"/>
      <c r="M721" s="11"/>
      <c r="O721" s="11"/>
      <c r="X721" s="9"/>
      <c r="Z721" s="9"/>
    </row>
    <row r="722" spans="3:26">
      <c r="C722" s="11"/>
      <c r="D722" s="11"/>
      <c r="M722" s="11"/>
      <c r="O722" s="11"/>
      <c r="X722" s="9"/>
      <c r="Z722" s="9"/>
    </row>
    <row r="723" spans="3:26">
      <c r="C723" s="11"/>
      <c r="D723" s="11"/>
      <c r="M723" s="11"/>
      <c r="O723" s="11"/>
      <c r="X723" s="9"/>
      <c r="Z723" s="9"/>
    </row>
    <row r="724" spans="3:26">
      <c r="C724" s="11"/>
      <c r="D724" s="11"/>
      <c r="M724" s="11"/>
      <c r="O724" s="11"/>
      <c r="X724" s="9"/>
      <c r="Z724" s="9"/>
    </row>
    <row r="725" spans="3:26">
      <c r="C725" s="11"/>
      <c r="D725" s="11"/>
      <c r="M725" s="11"/>
      <c r="O725" s="11"/>
      <c r="X725" s="9"/>
      <c r="Z725" s="9"/>
    </row>
    <row r="726" spans="3:26">
      <c r="C726" s="11"/>
      <c r="D726" s="11"/>
      <c r="M726" s="11"/>
      <c r="O726" s="11"/>
      <c r="X726" s="9"/>
      <c r="Z726" s="9"/>
    </row>
    <row r="727" spans="3:26">
      <c r="C727" s="11"/>
      <c r="D727" s="11"/>
      <c r="M727" s="11"/>
      <c r="O727" s="11"/>
      <c r="X727" s="9"/>
      <c r="Z727" s="9"/>
    </row>
    <row r="728" spans="3:26">
      <c r="C728" s="11"/>
      <c r="D728" s="11"/>
      <c r="M728" s="11"/>
      <c r="O728" s="11"/>
      <c r="X728" s="9"/>
      <c r="Z728" s="9"/>
    </row>
    <row r="729" spans="3:26">
      <c r="C729" s="11"/>
      <c r="D729" s="11"/>
      <c r="M729" s="11"/>
      <c r="O729" s="11"/>
      <c r="X729" s="9"/>
      <c r="Z729" s="9"/>
    </row>
    <row r="730" spans="3:26">
      <c r="C730" s="11"/>
      <c r="D730" s="11"/>
      <c r="M730" s="11"/>
      <c r="O730" s="11"/>
      <c r="X730" s="9"/>
      <c r="Z730" s="9"/>
    </row>
    <row r="731" spans="3:26">
      <c r="C731" s="11"/>
      <c r="D731" s="11"/>
      <c r="M731" s="11"/>
      <c r="O731" s="11"/>
      <c r="X731" s="9"/>
      <c r="Z731" s="9"/>
    </row>
    <row r="732" spans="3:26">
      <c r="C732" s="11"/>
      <c r="D732" s="11"/>
      <c r="M732" s="11"/>
      <c r="O732" s="11"/>
      <c r="X732" s="9"/>
      <c r="Z732" s="9"/>
    </row>
    <row r="733" spans="3:26">
      <c r="C733" s="11"/>
      <c r="D733" s="11"/>
      <c r="M733" s="11"/>
      <c r="O733" s="11"/>
      <c r="X733" s="9"/>
      <c r="Z733" s="9"/>
    </row>
    <row r="734" spans="3:26">
      <c r="C734" s="11"/>
      <c r="D734" s="11"/>
      <c r="M734" s="11"/>
      <c r="O734" s="11"/>
      <c r="X734" s="9"/>
      <c r="Z734" s="9"/>
    </row>
    <row r="735" spans="3:26">
      <c r="C735" s="11"/>
      <c r="D735" s="11"/>
      <c r="M735" s="11"/>
      <c r="O735" s="11"/>
      <c r="X735" s="9"/>
      <c r="Z735" s="9"/>
    </row>
    <row r="736" spans="3:26">
      <c r="C736" s="11"/>
      <c r="D736" s="11"/>
      <c r="M736" s="11"/>
      <c r="O736" s="11"/>
      <c r="X736" s="9"/>
      <c r="Z736" s="9"/>
    </row>
    <row r="737" spans="3:26">
      <c r="C737" s="11"/>
      <c r="D737" s="11"/>
      <c r="M737" s="11"/>
      <c r="O737" s="11"/>
      <c r="X737" s="9"/>
      <c r="Z737" s="9"/>
    </row>
    <row r="738" spans="3:26">
      <c r="C738" s="11"/>
      <c r="D738" s="11"/>
      <c r="M738" s="11"/>
      <c r="O738" s="11"/>
      <c r="X738" s="9"/>
      <c r="Z738" s="9"/>
    </row>
    <row r="739" spans="3:26">
      <c r="C739" s="11"/>
      <c r="D739" s="11"/>
      <c r="M739" s="11"/>
      <c r="O739" s="11"/>
      <c r="X739" s="9"/>
      <c r="Z739" s="9"/>
    </row>
    <row r="740" spans="3:26">
      <c r="C740" s="11"/>
      <c r="D740" s="11"/>
      <c r="M740" s="11"/>
      <c r="O740" s="11"/>
      <c r="X740" s="9"/>
      <c r="Z740" s="9"/>
    </row>
    <row r="741" spans="3:26">
      <c r="C741" s="11"/>
      <c r="D741" s="11"/>
      <c r="M741" s="11"/>
      <c r="O741" s="11"/>
      <c r="X741" s="9"/>
      <c r="Z741" s="9"/>
    </row>
    <row r="742" spans="3:26">
      <c r="C742" s="11"/>
      <c r="D742" s="11"/>
      <c r="M742" s="11"/>
      <c r="O742" s="11"/>
      <c r="X742" s="9"/>
      <c r="Z742" s="9"/>
    </row>
    <row r="743" spans="3:26">
      <c r="C743" s="11"/>
      <c r="D743" s="11"/>
      <c r="M743" s="11"/>
      <c r="O743" s="11"/>
      <c r="X743" s="9"/>
      <c r="Z743" s="9"/>
    </row>
    <row r="744" spans="3:26">
      <c r="C744" s="11"/>
      <c r="D744" s="11"/>
      <c r="M744" s="11"/>
      <c r="O744" s="11"/>
      <c r="X744" s="9"/>
      <c r="Z744" s="9"/>
    </row>
    <row r="745" spans="3:26">
      <c r="C745" s="11"/>
      <c r="D745" s="11"/>
      <c r="M745" s="11"/>
      <c r="O745" s="11"/>
      <c r="X745" s="9"/>
      <c r="Z745" s="9"/>
    </row>
    <row r="746" spans="3:26">
      <c r="C746" s="11"/>
      <c r="D746" s="11"/>
      <c r="M746" s="11"/>
      <c r="O746" s="11"/>
      <c r="X746" s="9"/>
      <c r="Z746" s="9"/>
    </row>
    <row r="747" spans="3:26">
      <c r="C747" s="11"/>
      <c r="D747" s="11"/>
      <c r="M747" s="11"/>
      <c r="O747" s="11"/>
      <c r="X747" s="9"/>
      <c r="Z747" s="9"/>
    </row>
    <row r="748" spans="3:26">
      <c r="C748" s="11"/>
      <c r="D748" s="11"/>
      <c r="M748" s="11"/>
      <c r="O748" s="11"/>
      <c r="X748" s="9"/>
      <c r="Z748" s="9"/>
    </row>
    <row r="749" spans="3:26">
      <c r="C749" s="11"/>
      <c r="D749" s="11"/>
      <c r="M749" s="11"/>
      <c r="O749" s="11"/>
      <c r="X749" s="9"/>
      <c r="Z749" s="9"/>
    </row>
    <row r="750" spans="3:26">
      <c r="C750" s="11"/>
      <c r="D750" s="11"/>
      <c r="M750" s="11"/>
      <c r="O750" s="11"/>
      <c r="X750" s="9"/>
      <c r="Z750" s="9"/>
    </row>
    <row r="751" spans="3:26">
      <c r="C751" s="11"/>
      <c r="D751" s="11"/>
      <c r="M751" s="11"/>
      <c r="O751" s="11"/>
      <c r="X751" s="9"/>
      <c r="Z751" s="9"/>
    </row>
    <row r="752" spans="3:26">
      <c r="C752" s="11"/>
      <c r="D752" s="11"/>
      <c r="M752" s="11"/>
      <c r="O752" s="11"/>
      <c r="X752" s="9"/>
      <c r="Z752" s="9"/>
    </row>
    <row r="753" spans="3:26">
      <c r="C753" s="11"/>
      <c r="D753" s="11"/>
      <c r="M753" s="11"/>
      <c r="O753" s="11"/>
      <c r="X753" s="9"/>
      <c r="Z753" s="9"/>
    </row>
    <row r="754" spans="3:26">
      <c r="C754" s="11"/>
      <c r="D754" s="11"/>
      <c r="M754" s="11"/>
      <c r="O754" s="11"/>
      <c r="X754" s="9"/>
      <c r="Z754" s="9"/>
    </row>
    <row r="755" spans="3:26">
      <c r="C755" s="11"/>
      <c r="D755" s="11"/>
      <c r="M755" s="11"/>
      <c r="O755" s="11"/>
      <c r="X755" s="9"/>
      <c r="Z755" s="9"/>
    </row>
    <row r="756" spans="3:26">
      <c r="C756" s="11"/>
      <c r="D756" s="11"/>
      <c r="M756" s="11"/>
      <c r="O756" s="11"/>
      <c r="X756" s="9"/>
      <c r="Z756" s="9"/>
    </row>
    <row r="757" spans="3:26">
      <c r="C757" s="11"/>
      <c r="D757" s="11"/>
      <c r="M757" s="11"/>
      <c r="O757" s="11"/>
      <c r="X757" s="9"/>
      <c r="Z757" s="9"/>
    </row>
    <row r="758" spans="3:26">
      <c r="C758" s="11"/>
      <c r="D758" s="11"/>
      <c r="M758" s="11"/>
      <c r="O758" s="11"/>
      <c r="X758" s="9"/>
      <c r="Z758" s="9"/>
    </row>
    <row r="759" spans="3:26">
      <c r="C759" s="11"/>
      <c r="D759" s="11"/>
      <c r="M759" s="11"/>
      <c r="O759" s="11"/>
      <c r="X759" s="9"/>
      <c r="Z759" s="9"/>
    </row>
    <row r="760" spans="3:26">
      <c r="C760" s="11"/>
      <c r="D760" s="11"/>
      <c r="M760" s="11"/>
      <c r="O760" s="11"/>
      <c r="X760" s="9"/>
      <c r="Z760" s="9"/>
    </row>
    <row r="761" spans="3:26">
      <c r="C761" s="11"/>
      <c r="D761" s="11"/>
      <c r="M761" s="11"/>
      <c r="O761" s="11"/>
      <c r="X761" s="9"/>
      <c r="Z761" s="9"/>
    </row>
    <row r="762" spans="3:26">
      <c r="C762" s="11"/>
      <c r="D762" s="11"/>
      <c r="M762" s="11"/>
      <c r="O762" s="11"/>
      <c r="X762" s="9"/>
      <c r="Z762" s="9"/>
    </row>
    <row r="763" spans="3:26">
      <c r="C763" s="11"/>
      <c r="D763" s="11"/>
      <c r="M763" s="11"/>
      <c r="O763" s="11"/>
      <c r="X763" s="9"/>
      <c r="Z763" s="9"/>
    </row>
    <row r="764" spans="3:26">
      <c r="C764" s="11"/>
      <c r="D764" s="11"/>
      <c r="M764" s="11"/>
      <c r="O764" s="11"/>
      <c r="X764" s="9"/>
      <c r="Z764" s="9"/>
    </row>
    <row r="765" spans="3:26">
      <c r="C765" s="11"/>
      <c r="D765" s="11"/>
      <c r="M765" s="11"/>
      <c r="O765" s="11"/>
      <c r="X765" s="9"/>
      <c r="Z765" s="9"/>
    </row>
    <row r="766" spans="3:26">
      <c r="C766" s="11"/>
      <c r="D766" s="11"/>
      <c r="M766" s="11"/>
      <c r="O766" s="11"/>
      <c r="X766" s="9"/>
      <c r="Z766" s="9"/>
    </row>
    <row r="767" spans="3:26">
      <c r="C767" s="11"/>
      <c r="D767" s="11"/>
      <c r="M767" s="11"/>
      <c r="O767" s="11"/>
      <c r="X767" s="9"/>
      <c r="Z767" s="9"/>
    </row>
    <row r="768" spans="3:26">
      <c r="C768" s="11"/>
      <c r="D768" s="11"/>
      <c r="M768" s="11"/>
      <c r="O768" s="11"/>
      <c r="X768" s="9"/>
      <c r="Z768" s="9"/>
    </row>
    <row r="769" spans="3:26">
      <c r="C769" s="11"/>
      <c r="D769" s="11"/>
      <c r="M769" s="11"/>
      <c r="O769" s="11"/>
      <c r="X769" s="9"/>
      <c r="Z769" s="9"/>
    </row>
    <row r="770" spans="3:26">
      <c r="C770" s="11"/>
      <c r="D770" s="11"/>
      <c r="M770" s="11"/>
      <c r="O770" s="11"/>
      <c r="X770" s="9"/>
      <c r="Z770" s="9"/>
    </row>
    <row r="771" spans="3:26">
      <c r="C771" s="11"/>
      <c r="D771" s="11"/>
      <c r="M771" s="11"/>
      <c r="O771" s="11"/>
      <c r="X771" s="9"/>
      <c r="Z771" s="9"/>
    </row>
    <row r="772" spans="3:26">
      <c r="C772" s="11"/>
      <c r="D772" s="11"/>
      <c r="M772" s="11"/>
      <c r="O772" s="11"/>
      <c r="X772" s="9"/>
      <c r="Z772" s="9"/>
    </row>
    <row r="773" spans="3:26">
      <c r="C773" s="11"/>
      <c r="D773" s="11"/>
      <c r="M773" s="11"/>
      <c r="O773" s="11"/>
      <c r="X773" s="9"/>
      <c r="Z773" s="9"/>
    </row>
    <row r="774" spans="3:26">
      <c r="C774" s="11"/>
      <c r="D774" s="11"/>
      <c r="M774" s="11"/>
      <c r="O774" s="11"/>
      <c r="X774" s="9"/>
      <c r="Z774" s="9"/>
    </row>
    <row r="775" spans="3:26">
      <c r="C775" s="11"/>
      <c r="D775" s="11"/>
      <c r="M775" s="11"/>
      <c r="O775" s="11"/>
      <c r="X775" s="9"/>
      <c r="Z775" s="9"/>
    </row>
    <row r="776" spans="3:26">
      <c r="C776" s="11"/>
      <c r="D776" s="11"/>
      <c r="M776" s="11"/>
      <c r="O776" s="11"/>
      <c r="X776" s="9"/>
      <c r="Z776" s="9"/>
    </row>
    <row r="777" spans="3:26">
      <c r="C777" s="11"/>
      <c r="D777" s="11"/>
      <c r="M777" s="11"/>
      <c r="O777" s="11"/>
      <c r="X777" s="9"/>
      <c r="Z777" s="9"/>
    </row>
    <row r="778" spans="3:26">
      <c r="C778" s="11"/>
      <c r="D778" s="11"/>
      <c r="M778" s="11"/>
      <c r="O778" s="11"/>
      <c r="X778" s="9"/>
      <c r="Z778" s="9"/>
    </row>
    <row r="779" spans="3:26">
      <c r="C779" s="11"/>
      <c r="D779" s="11"/>
      <c r="M779" s="11"/>
      <c r="O779" s="11"/>
      <c r="X779" s="9"/>
      <c r="Z779" s="9"/>
    </row>
    <row r="780" spans="3:26">
      <c r="C780" s="11"/>
      <c r="D780" s="11"/>
      <c r="M780" s="11"/>
      <c r="O780" s="11"/>
      <c r="X780" s="9"/>
      <c r="Z780" s="9"/>
    </row>
    <row r="781" spans="3:26">
      <c r="C781" s="11"/>
      <c r="D781" s="11"/>
      <c r="M781" s="11"/>
      <c r="O781" s="11"/>
      <c r="X781" s="9"/>
      <c r="Z781" s="9"/>
    </row>
    <row r="782" spans="3:26">
      <c r="C782" s="11"/>
      <c r="D782" s="11"/>
      <c r="M782" s="11"/>
      <c r="O782" s="11"/>
      <c r="X782" s="9"/>
      <c r="Z782" s="9"/>
    </row>
    <row r="783" spans="3:26">
      <c r="C783" s="11"/>
      <c r="D783" s="11"/>
      <c r="M783" s="11"/>
      <c r="O783" s="11"/>
      <c r="X783" s="9"/>
      <c r="Z783" s="9"/>
    </row>
    <row r="784" spans="3:26">
      <c r="C784" s="11"/>
      <c r="D784" s="11"/>
      <c r="M784" s="11"/>
      <c r="O784" s="11"/>
      <c r="X784" s="9"/>
      <c r="Z784" s="9"/>
    </row>
    <row r="785" spans="3:26">
      <c r="C785" s="11"/>
      <c r="D785" s="11"/>
      <c r="M785" s="11"/>
      <c r="O785" s="11"/>
      <c r="X785" s="9"/>
      <c r="Z785" s="9"/>
    </row>
    <row r="786" spans="3:26">
      <c r="C786" s="11"/>
      <c r="D786" s="11"/>
      <c r="M786" s="11"/>
      <c r="O786" s="11"/>
      <c r="X786" s="9"/>
      <c r="Z786" s="9"/>
    </row>
    <row r="787" spans="3:26">
      <c r="C787" s="11"/>
      <c r="D787" s="11"/>
      <c r="M787" s="11"/>
      <c r="O787" s="11"/>
      <c r="X787" s="9"/>
      <c r="Z787" s="9"/>
    </row>
    <row r="788" spans="3:26">
      <c r="C788" s="11"/>
      <c r="D788" s="11"/>
      <c r="M788" s="11"/>
      <c r="O788" s="11"/>
      <c r="X788" s="9"/>
      <c r="Z788" s="9"/>
    </row>
    <row r="789" spans="3:26">
      <c r="C789" s="11"/>
      <c r="D789" s="11"/>
      <c r="M789" s="11"/>
      <c r="O789" s="11"/>
      <c r="X789" s="9"/>
      <c r="Z789" s="9"/>
    </row>
    <row r="790" spans="3:26">
      <c r="C790" s="11"/>
      <c r="D790" s="11"/>
      <c r="M790" s="11"/>
      <c r="O790" s="11"/>
      <c r="X790" s="9"/>
      <c r="Z790" s="9"/>
    </row>
    <row r="791" spans="3:26">
      <c r="C791" s="11"/>
      <c r="D791" s="11"/>
      <c r="M791" s="11"/>
      <c r="O791" s="11"/>
      <c r="X791" s="9"/>
      <c r="Z791" s="9"/>
    </row>
    <row r="792" spans="3:26">
      <c r="C792" s="11"/>
      <c r="D792" s="11"/>
      <c r="M792" s="11"/>
      <c r="O792" s="11"/>
      <c r="X792" s="9"/>
      <c r="Z792" s="9"/>
    </row>
    <row r="793" spans="3:26">
      <c r="C793" s="11"/>
      <c r="D793" s="11"/>
      <c r="M793" s="11"/>
      <c r="O793" s="11"/>
      <c r="X793" s="9"/>
      <c r="Z793" s="9"/>
    </row>
    <row r="794" spans="3:26">
      <c r="C794" s="11"/>
      <c r="D794" s="11"/>
      <c r="M794" s="11"/>
      <c r="O794" s="11"/>
      <c r="X794" s="9"/>
      <c r="Z794" s="9"/>
    </row>
    <row r="795" spans="3:26">
      <c r="C795" s="11"/>
      <c r="D795" s="11"/>
      <c r="M795" s="11"/>
      <c r="O795" s="11"/>
      <c r="X795" s="9"/>
      <c r="Z795" s="9"/>
    </row>
    <row r="796" spans="3:26">
      <c r="C796" s="11"/>
      <c r="D796" s="11"/>
      <c r="M796" s="11"/>
      <c r="O796" s="11"/>
      <c r="X796" s="9"/>
      <c r="Z796" s="9"/>
    </row>
    <row r="797" spans="3:26">
      <c r="C797" s="11"/>
      <c r="D797" s="11"/>
      <c r="M797" s="11"/>
      <c r="O797" s="11"/>
      <c r="X797" s="9"/>
      <c r="Z797" s="9"/>
    </row>
    <row r="798" spans="3:26">
      <c r="C798" s="11"/>
      <c r="D798" s="11"/>
      <c r="M798" s="11"/>
      <c r="O798" s="11"/>
      <c r="X798" s="9"/>
      <c r="Z798" s="9"/>
    </row>
    <row r="799" spans="3:26">
      <c r="C799" s="11"/>
      <c r="D799" s="11"/>
      <c r="M799" s="11"/>
      <c r="O799" s="11"/>
      <c r="X799" s="9"/>
      <c r="Z799" s="9"/>
    </row>
    <row r="800" spans="3:26">
      <c r="C800" s="11"/>
      <c r="D800" s="11"/>
      <c r="M800" s="11"/>
      <c r="O800" s="11"/>
      <c r="X800" s="9"/>
      <c r="Z800" s="9"/>
    </row>
    <row r="801" spans="3:26">
      <c r="C801" s="11"/>
      <c r="D801" s="11"/>
      <c r="M801" s="11"/>
      <c r="O801" s="11"/>
      <c r="X801" s="9"/>
      <c r="Z801" s="9"/>
    </row>
    <row r="802" spans="3:26">
      <c r="C802" s="11"/>
      <c r="D802" s="11"/>
      <c r="M802" s="11"/>
      <c r="O802" s="11"/>
      <c r="X802" s="9"/>
      <c r="Z802" s="9"/>
    </row>
    <row r="803" spans="3:26">
      <c r="C803" s="11"/>
      <c r="D803" s="11"/>
      <c r="M803" s="11"/>
      <c r="O803" s="11"/>
      <c r="X803" s="9"/>
      <c r="Z803" s="9"/>
    </row>
    <row r="804" spans="3:26">
      <c r="C804" s="11"/>
      <c r="D804" s="11"/>
      <c r="M804" s="11"/>
      <c r="O804" s="11"/>
      <c r="X804" s="9"/>
      <c r="Z804" s="9"/>
    </row>
    <row r="805" spans="3:26">
      <c r="C805" s="11"/>
      <c r="D805" s="11"/>
      <c r="M805" s="11"/>
      <c r="O805" s="11"/>
      <c r="X805" s="9"/>
      <c r="Z805" s="9"/>
    </row>
    <row r="806" spans="3:26">
      <c r="C806" s="11"/>
      <c r="D806" s="11"/>
      <c r="M806" s="11"/>
      <c r="O806" s="11"/>
      <c r="X806" s="9"/>
      <c r="Z806" s="9"/>
    </row>
    <row r="807" spans="3:26">
      <c r="C807" s="11"/>
      <c r="D807" s="11"/>
      <c r="M807" s="11"/>
      <c r="O807" s="11"/>
      <c r="X807" s="9"/>
      <c r="Z807" s="9"/>
    </row>
    <row r="808" spans="3:26">
      <c r="C808" s="11"/>
      <c r="D808" s="11"/>
      <c r="M808" s="11"/>
      <c r="O808" s="11"/>
      <c r="X808" s="9"/>
      <c r="Z808" s="9"/>
    </row>
    <row r="809" spans="3:26">
      <c r="C809" s="11"/>
      <c r="D809" s="11"/>
      <c r="M809" s="11"/>
      <c r="O809" s="11"/>
      <c r="X809" s="9"/>
      <c r="Z809" s="9"/>
    </row>
    <row r="810" spans="3:26">
      <c r="C810" s="11"/>
      <c r="D810" s="11"/>
      <c r="M810" s="11"/>
      <c r="O810" s="11"/>
      <c r="X810" s="9"/>
      <c r="Z810" s="9"/>
    </row>
    <row r="811" spans="3:26">
      <c r="C811" s="11"/>
      <c r="D811" s="11"/>
      <c r="M811" s="11"/>
      <c r="O811" s="11"/>
      <c r="X811" s="9"/>
      <c r="Z811" s="9"/>
    </row>
    <row r="812" spans="3:26">
      <c r="C812" s="11"/>
      <c r="D812" s="11"/>
      <c r="M812" s="11"/>
      <c r="O812" s="11"/>
      <c r="X812" s="9"/>
      <c r="Z812" s="9"/>
    </row>
    <row r="813" spans="3:26">
      <c r="C813" s="11"/>
      <c r="D813" s="11"/>
      <c r="M813" s="11"/>
      <c r="O813" s="11"/>
      <c r="X813" s="9"/>
      <c r="Z813" s="9"/>
    </row>
    <row r="814" spans="3:26">
      <c r="C814" s="11"/>
      <c r="D814" s="11"/>
      <c r="M814" s="11"/>
      <c r="O814" s="11"/>
      <c r="X814" s="9"/>
      <c r="Z814" s="9"/>
    </row>
    <row r="815" spans="3:26">
      <c r="C815" s="11"/>
      <c r="D815" s="11"/>
      <c r="M815" s="11"/>
      <c r="O815" s="11"/>
      <c r="X815" s="9"/>
      <c r="Z815" s="9"/>
    </row>
    <row r="816" spans="3:26">
      <c r="C816" s="11"/>
      <c r="D816" s="11"/>
      <c r="M816" s="11"/>
      <c r="O816" s="11"/>
      <c r="X816" s="9"/>
      <c r="Z816" s="9"/>
    </row>
    <row r="817" spans="3:26">
      <c r="C817" s="11"/>
      <c r="D817" s="11"/>
      <c r="M817" s="11"/>
      <c r="O817" s="11"/>
      <c r="X817" s="9"/>
      <c r="Z817" s="9"/>
    </row>
    <row r="818" spans="3:26">
      <c r="C818" s="11"/>
      <c r="D818" s="11"/>
      <c r="M818" s="11"/>
      <c r="O818" s="11"/>
      <c r="X818" s="9"/>
      <c r="Z818" s="9"/>
    </row>
    <row r="819" spans="3:26">
      <c r="C819" s="11"/>
      <c r="D819" s="11"/>
      <c r="M819" s="11"/>
      <c r="O819" s="11"/>
      <c r="X819" s="9"/>
      <c r="Z819" s="9"/>
    </row>
    <row r="820" spans="3:26">
      <c r="C820" s="11"/>
      <c r="D820" s="11"/>
      <c r="M820" s="11"/>
      <c r="O820" s="11"/>
      <c r="X820" s="9"/>
      <c r="Z820" s="9"/>
    </row>
    <row r="821" spans="3:26">
      <c r="C821" s="11"/>
      <c r="D821" s="11"/>
      <c r="M821" s="11"/>
      <c r="O821" s="11"/>
      <c r="X821" s="9"/>
      <c r="Z821" s="9"/>
    </row>
    <row r="822" spans="3:26">
      <c r="C822" s="11"/>
      <c r="D822" s="11"/>
      <c r="M822" s="11"/>
      <c r="O822" s="11"/>
      <c r="X822" s="9"/>
      <c r="Z822" s="9"/>
    </row>
    <row r="823" spans="3:26">
      <c r="C823" s="11"/>
      <c r="D823" s="11"/>
      <c r="M823" s="11"/>
      <c r="O823" s="11"/>
      <c r="X823" s="9"/>
      <c r="Z823" s="9"/>
    </row>
    <row r="824" spans="3:26">
      <c r="C824" s="11"/>
      <c r="D824" s="11"/>
      <c r="M824" s="11"/>
      <c r="O824" s="11"/>
      <c r="X824" s="9"/>
      <c r="Z824" s="9"/>
    </row>
    <row r="825" spans="3:26">
      <c r="C825" s="11"/>
      <c r="D825" s="11"/>
      <c r="M825" s="11"/>
      <c r="O825" s="11"/>
      <c r="X825" s="9"/>
      <c r="Z825" s="9"/>
    </row>
    <row r="826" spans="3:26">
      <c r="C826" s="11"/>
      <c r="D826" s="11"/>
      <c r="M826" s="11"/>
      <c r="O826" s="11"/>
      <c r="X826" s="9"/>
      <c r="Z826" s="9"/>
    </row>
    <row r="827" spans="3:26">
      <c r="C827" s="11"/>
      <c r="D827" s="11"/>
      <c r="M827" s="11"/>
      <c r="O827" s="11"/>
      <c r="X827" s="9"/>
      <c r="Z827" s="9"/>
    </row>
    <row r="828" spans="3:26">
      <c r="C828" s="11"/>
      <c r="D828" s="11"/>
      <c r="M828" s="11"/>
      <c r="O828" s="11"/>
      <c r="X828" s="9"/>
      <c r="Z828" s="9"/>
    </row>
    <row r="829" spans="3:26">
      <c r="C829" s="11"/>
      <c r="D829" s="11"/>
      <c r="M829" s="11"/>
      <c r="O829" s="11"/>
      <c r="X829" s="9"/>
      <c r="Z829" s="9"/>
    </row>
    <row r="830" spans="3:26">
      <c r="C830" s="11"/>
      <c r="D830" s="11"/>
      <c r="M830" s="11"/>
      <c r="O830" s="11"/>
      <c r="X830" s="9"/>
      <c r="Z830" s="9"/>
    </row>
    <row r="831" spans="3:26">
      <c r="C831" s="11"/>
      <c r="D831" s="11"/>
      <c r="M831" s="11"/>
      <c r="O831" s="11"/>
      <c r="X831" s="9"/>
      <c r="Z831" s="9"/>
    </row>
    <row r="832" spans="3:26">
      <c r="C832" s="11"/>
      <c r="D832" s="11"/>
      <c r="M832" s="11"/>
      <c r="O832" s="11"/>
      <c r="X832" s="9"/>
      <c r="Z832" s="9"/>
    </row>
    <row r="833" spans="3:26">
      <c r="C833" s="11"/>
      <c r="D833" s="11"/>
      <c r="M833" s="11"/>
      <c r="O833" s="11"/>
      <c r="X833" s="9"/>
      <c r="Z833" s="9"/>
    </row>
    <row r="834" spans="3:26">
      <c r="C834" s="11"/>
      <c r="D834" s="11"/>
      <c r="M834" s="11"/>
      <c r="O834" s="11"/>
      <c r="X834" s="9"/>
      <c r="Z834" s="9"/>
    </row>
    <row r="835" spans="3:26">
      <c r="C835" s="11"/>
      <c r="D835" s="11"/>
      <c r="M835" s="11"/>
      <c r="O835" s="11"/>
      <c r="X835" s="9"/>
      <c r="Z835" s="9"/>
    </row>
    <row r="836" spans="3:26">
      <c r="C836" s="11"/>
      <c r="D836" s="11"/>
      <c r="M836" s="11"/>
      <c r="O836" s="11"/>
      <c r="X836" s="9"/>
      <c r="Z836" s="9"/>
    </row>
    <row r="837" spans="3:26">
      <c r="C837" s="11"/>
      <c r="D837" s="11"/>
      <c r="M837" s="11"/>
      <c r="O837" s="11"/>
      <c r="X837" s="9"/>
      <c r="Z837" s="9"/>
    </row>
    <row r="838" spans="3:26">
      <c r="C838" s="11"/>
      <c r="D838" s="11"/>
      <c r="M838" s="11"/>
      <c r="O838" s="11"/>
      <c r="X838" s="9"/>
      <c r="Z838" s="9"/>
    </row>
    <row r="839" spans="3:26">
      <c r="C839" s="11"/>
      <c r="D839" s="11"/>
      <c r="M839" s="11"/>
      <c r="O839" s="11"/>
      <c r="X839" s="9"/>
      <c r="Z839" s="9"/>
    </row>
    <row r="840" spans="3:26">
      <c r="C840" s="11"/>
      <c r="D840" s="11"/>
      <c r="M840" s="11"/>
      <c r="O840" s="11"/>
      <c r="X840" s="9"/>
      <c r="Z840" s="9"/>
    </row>
    <row r="841" spans="3:26">
      <c r="C841" s="11"/>
      <c r="D841" s="11"/>
      <c r="M841" s="11"/>
      <c r="O841" s="11"/>
      <c r="X841" s="9"/>
      <c r="Z841" s="9"/>
    </row>
    <row r="842" spans="3:26">
      <c r="C842" s="11"/>
      <c r="D842" s="11"/>
      <c r="M842" s="11"/>
      <c r="O842" s="11"/>
      <c r="X842" s="9"/>
      <c r="Z842" s="9"/>
    </row>
    <row r="843" spans="1:26">
      <c r="A843" s="23"/>
      <c r="B843" s="23"/>
      <c r="C843" s="11"/>
      <c r="D843" s="11"/>
      <c r="E843" s="23"/>
      <c r="F843" s="23"/>
      <c r="G843" s="23"/>
      <c r="H843" s="23"/>
      <c r="I843" s="23"/>
      <c r="J843" s="23"/>
      <c r="K843" s="23"/>
      <c r="L843" s="23"/>
      <c r="M843" s="24"/>
      <c r="O843" s="24"/>
      <c r="P843" s="23"/>
      <c r="X843" s="9"/>
      <c r="Z843" s="9"/>
    </row>
    <row r="844" spans="3:26">
      <c r="C844" s="11"/>
      <c r="D844" s="11"/>
      <c r="M844" s="11"/>
      <c r="O844" s="11"/>
      <c r="X844" s="9"/>
      <c r="Z844" s="9"/>
    </row>
    <row r="845" spans="3:26">
      <c r="C845" s="11"/>
      <c r="D845" s="11"/>
      <c r="M845" s="11"/>
      <c r="O845" s="11"/>
      <c r="X845" s="9"/>
      <c r="Z845" s="9"/>
    </row>
    <row r="846" spans="3:26">
      <c r="C846" s="11"/>
      <c r="D846" s="11"/>
      <c r="M846" s="11"/>
      <c r="O846" s="11"/>
      <c r="X846" s="9"/>
      <c r="Z846" s="9"/>
    </row>
    <row r="847" spans="3:26">
      <c r="C847" s="11"/>
      <c r="D847" s="11"/>
      <c r="M847" s="11"/>
      <c r="O847" s="11"/>
      <c r="X847" s="9"/>
      <c r="Z847" s="9"/>
    </row>
    <row r="848" spans="3:26">
      <c r="C848" s="11"/>
      <c r="D848" s="11"/>
      <c r="M848" s="11"/>
      <c r="O848" s="11"/>
      <c r="X848" s="9"/>
      <c r="Z848" s="9"/>
    </row>
    <row r="849" spans="3:26">
      <c r="C849" s="11"/>
      <c r="D849" s="11"/>
      <c r="M849" s="11"/>
      <c r="O849" s="11"/>
      <c r="X849" s="9"/>
      <c r="Z849" s="9"/>
    </row>
    <row r="850" spans="3:26">
      <c r="C850" s="11"/>
      <c r="D850" s="11"/>
      <c r="M850" s="11"/>
      <c r="O850" s="11"/>
      <c r="X850" s="9"/>
      <c r="Z850" s="9"/>
    </row>
    <row r="851" spans="3:26">
      <c r="C851" s="11"/>
      <c r="D851" s="11"/>
      <c r="M851" s="11"/>
      <c r="O851" s="11"/>
      <c r="X851" s="9"/>
      <c r="Z851" s="9"/>
    </row>
    <row r="852" spans="3:26">
      <c r="C852" s="11"/>
      <c r="D852" s="11"/>
      <c r="M852" s="11"/>
      <c r="O852" s="11"/>
      <c r="X852" s="9"/>
      <c r="Z852" s="9"/>
    </row>
    <row r="853" spans="3:26">
      <c r="C853" s="11"/>
      <c r="D853" s="11"/>
      <c r="M853" s="11"/>
      <c r="O853" s="11"/>
      <c r="X853" s="9"/>
      <c r="Z853" s="9"/>
    </row>
    <row r="854" spans="3:26">
      <c r="C854" s="11"/>
      <c r="D854" s="11"/>
      <c r="M854" s="11"/>
      <c r="O854" s="11"/>
      <c r="X854" s="9"/>
      <c r="Z854" s="9"/>
    </row>
    <row r="855" spans="3:26">
      <c r="C855" s="11"/>
      <c r="D855" s="11"/>
      <c r="M855" s="11"/>
      <c r="O855" s="11"/>
      <c r="X855" s="9"/>
      <c r="Z855" s="9"/>
    </row>
    <row r="856" spans="3:26">
      <c r="C856" s="11"/>
      <c r="D856" s="11"/>
      <c r="M856" s="11"/>
      <c r="O856" s="11"/>
      <c r="X856" s="9"/>
      <c r="Z856" s="9"/>
    </row>
    <row r="857" spans="3:26">
      <c r="C857" s="11"/>
      <c r="D857" s="11"/>
      <c r="M857" s="11"/>
      <c r="O857" s="11"/>
      <c r="X857" s="9"/>
      <c r="Z857" s="9"/>
    </row>
    <row r="858" spans="3:26">
      <c r="C858" s="11"/>
      <c r="D858" s="11"/>
      <c r="M858" s="11"/>
      <c r="O858" s="11"/>
      <c r="X858" s="9"/>
      <c r="Z858" s="9"/>
    </row>
    <row r="859" spans="3:26">
      <c r="C859" s="11"/>
      <c r="D859" s="11"/>
      <c r="M859" s="11"/>
      <c r="O859" s="11"/>
      <c r="X859" s="9"/>
      <c r="Z859" s="9"/>
    </row>
    <row r="860" spans="3:26">
      <c r="C860" s="11"/>
      <c r="D860" s="11"/>
      <c r="M860" s="11"/>
      <c r="O860" s="11"/>
      <c r="X860" s="9"/>
      <c r="Z860" s="9"/>
    </row>
    <row r="861" spans="3:26">
      <c r="C861" s="11"/>
      <c r="D861" s="11"/>
      <c r="M861" s="11"/>
      <c r="O861" s="11"/>
      <c r="X861" s="9"/>
      <c r="Z861" s="9"/>
    </row>
    <row r="862" spans="3:26">
      <c r="C862" s="11"/>
      <c r="D862" s="11"/>
      <c r="M862" s="11"/>
      <c r="O862" s="11"/>
      <c r="X862" s="9"/>
      <c r="Z862" s="9"/>
    </row>
    <row r="863" spans="3:26">
      <c r="C863" s="11"/>
      <c r="D863" s="11"/>
      <c r="M863" s="11"/>
      <c r="O863" s="11"/>
      <c r="X863" s="9"/>
      <c r="Z863" s="9"/>
    </row>
    <row r="864" spans="3:26">
      <c r="C864" s="11"/>
      <c r="D864" s="11"/>
      <c r="M864" s="11"/>
      <c r="O864" s="11"/>
      <c r="X864" s="9"/>
      <c r="Z864" s="9"/>
    </row>
    <row r="865" spans="3:26">
      <c r="C865" s="11"/>
      <c r="D865" s="11"/>
      <c r="M865" s="11"/>
      <c r="O865" s="11"/>
      <c r="X865" s="9"/>
      <c r="Z865" s="9"/>
    </row>
    <row r="866" spans="3:26">
      <c r="C866" s="11"/>
      <c r="D866" s="11"/>
      <c r="M866" s="11"/>
      <c r="O866" s="11"/>
      <c r="X866" s="9"/>
      <c r="Z866" s="9"/>
    </row>
    <row r="867" spans="3:26">
      <c r="C867" s="11"/>
      <c r="D867" s="11"/>
      <c r="M867" s="11"/>
      <c r="O867" s="11"/>
      <c r="X867" s="9"/>
      <c r="Z867" s="9"/>
    </row>
    <row r="868" spans="3:26">
      <c r="C868" s="11"/>
      <c r="D868" s="11"/>
      <c r="M868" s="11"/>
      <c r="O868" s="11"/>
      <c r="X868" s="9"/>
      <c r="Z868" s="9"/>
    </row>
    <row r="869" spans="3:26">
      <c r="C869" s="11"/>
      <c r="D869" s="11"/>
      <c r="M869" s="11"/>
      <c r="O869" s="11"/>
      <c r="X869" s="9"/>
      <c r="Z869" s="9"/>
    </row>
    <row r="870" spans="3:26">
      <c r="C870" s="11"/>
      <c r="D870" s="11"/>
      <c r="M870" s="11"/>
      <c r="O870" s="11"/>
      <c r="X870" s="9"/>
      <c r="Z870" s="9"/>
    </row>
    <row r="871" spans="3:26">
      <c r="C871" s="11"/>
      <c r="D871" s="11"/>
      <c r="M871" s="11"/>
      <c r="O871" s="11"/>
      <c r="X871" s="9"/>
      <c r="Z871" s="9"/>
    </row>
    <row r="872" spans="3:26">
      <c r="C872" s="11"/>
      <c r="D872" s="11"/>
      <c r="M872" s="11"/>
      <c r="O872" s="11"/>
      <c r="X872" s="9"/>
      <c r="Z872" s="9"/>
    </row>
    <row r="873" spans="3:26">
      <c r="C873" s="11"/>
      <c r="D873" s="11"/>
      <c r="M873" s="11"/>
      <c r="O873" s="11"/>
      <c r="X873" s="9"/>
      <c r="Z873" s="9"/>
    </row>
    <row r="874" spans="3:26">
      <c r="C874" s="11"/>
      <c r="D874" s="11"/>
      <c r="M874" s="11"/>
      <c r="O874" s="11"/>
      <c r="X874" s="9"/>
      <c r="Z874" s="9"/>
    </row>
    <row r="875" spans="3:26">
      <c r="C875" s="11"/>
      <c r="D875" s="11"/>
      <c r="M875" s="11"/>
      <c r="O875" s="11"/>
      <c r="X875" s="9"/>
      <c r="Z875" s="9"/>
    </row>
    <row r="876" spans="3:26">
      <c r="C876" s="11"/>
      <c r="D876" s="11"/>
      <c r="M876" s="11"/>
      <c r="O876" s="11"/>
      <c r="X876" s="9"/>
      <c r="Z876" s="9"/>
    </row>
    <row r="877" spans="3:26">
      <c r="C877" s="11"/>
      <c r="D877" s="11"/>
      <c r="M877" s="11"/>
      <c r="O877" s="11"/>
      <c r="X877" s="9"/>
      <c r="Z877" s="9"/>
    </row>
    <row r="878" spans="3:26">
      <c r="C878" s="11"/>
      <c r="D878" s="11"/>
      <c r="M878" s="11"/>
      <c r="O878" s="11"/>
      <c r="X878" s="9"/>
      <c r="Z878" s="9"/>
    </row>
    <row r="879" spans="3:26">
      <c r="C879" s="11"/>
      <c r="D879" s="11"/>
      <c r="M879" s="11"/>
      <c r="O879" s="11"/>
      <c r="X879" s="9"/>
      <c r="Z879" s="9"/>
    </row>
    <row r="880" spans="3:26">
      <c r="C880" s="11"/>
      <c r="D880" s="11"/>
      <c r="M880" s="11"/>
      <c r="O880" s="11"/>
      <c r="X880" s="9"/>
      <c r="Z880" s="9"/>
    </row>
    <row r="881" spans="3:26">
      <c r="C881" s="11"/>
      <c r="D881" s="11"/>
      <c r="M881" s="11"/>
      <c r="O881" s="11"/>
      <c r="X881" s="9"/>
      <c r="Z881" s="9"/>
    </row>
    <row r="882" spans="3:26">
      <c r="C882" s="11"/>
      <c r="D882" s="11"/>
      <c r="M882" s="11"/>
      <c r="O882" s="11"/>
      <c r="X882" s="9"/>
      <c r="Z882" s="9"/>
    </row>
    <row r="883" spans="3:26">
      <c r="C883" s="11"/>
      <c r="D883" s="11"/>
      <c r="M883" s="11"/>
      <c r="O883" s="11"/>
      <c r="X883" s="9"/>
      <c r="Z883" s="9"/>
    </row>
    <row r="884" spans="3:26">
      <c r="C884" s="11"/>
      <c r="D884" s="11"/>
      <c r="M884" s="11"/>
      <c r="O884" s="11"/>
      <c r="X884" s="9"/>
      <c r="Z884" s="9"/>
    </row>
    <row r="885" spans="3:26">
      <c r="C885" s="11"/>
      <c r="D885" s="11"/>
      <c r="M885" s="11"/>
      <c r="O885" s="11"/>
      <c r="X885" s="9"/>
      <c r="Z885" s="9"/>
    </row>
    <row r="886" spans="3:26">
      <c r="C886" s="11"/>
      <c r="D886" s="11"/>
      <c r="M886" s="11"/>
      <c r="O886" s="11"/>
      <c r="X886" s="9"/>
      <c r="Z886" s="9"/>
    </row>
    <row r="887" spans="3:26">
      <c r="C887" s="11"/>
      <c r="D887" s="11"/>
      <c r="M887" s="11"/>
      <c r="O887" s="11"/>
      <c r="X887" s="9"/>
      <c r="Z887" s="9"/>
    </row>
    <row r="888" spans="3:26">
      <c r="C888" s="11"/>
      <c r="D888" s="11"/>
      <c r="M888" s="11"/>
      <c r="O888" s="11"/>
      <c r="X888" s="9"/>
      <c r="Z888" s="9"/>
    </row>
    <row r="889" spans="3:26">
      <c r="C889" s="11"/>
      <c r="D889" s="11"/>
      <c r="M889" s="11"/>
      <c r="O889" s="11"/>
      <c r="X889" s="9"/>
      <c r="Z889" s="9"/>
    </row>
    <row r="890" spans="3:26">
      <c r="C890" s="11"/>
      <c r="D890" s="11"/>
      <c r="M890" s="11"/>
      <c r="O890" s="11"/>
      <c r="X890" s="9"/>
      <c r="Z890" s="9"/>
    </row>
    <row r="891" spans="3:26">
      <c r="C891" s="11"/>
      <c r="D891" s="11"/>
      <c r="M891" s="11"/>
      <c r="O891" s="11"/>
      <c r="X891" s="9"/>
      <c r="Z891" s="9"/>
    </row>
    <row r="892" spans="3:26">
      <c r="C892" s="11"/>
      <c r="D892" s="11"/>
      <c r="M892" s="11"/>
      <c r="O892" s="11"/>
      <c r="X892" s="9"/>
      <c r="Z892" s="9"/>
    </row>
    <row r="893" spans="3:26">
      <c r="C893" s="11"/>
      <c r="D893" s="11"/>
      <c r="M893" s="11"/>
      <c r="O893" s="11"/>
      <c r="X893" s="9"/>
      <c r="Z893" s="9"/>
    </row>
    <row r="894" spans="3:26">
      <c r="C894" s="11"/>
      <c r="D894" s="11"/>
      <c r="M894" s="11"/>
      <c r="O894" s="11"/>
      <c r="X894" s="9"/>
      <c r="Z894" s="9"/>
    </row>
    <row r="895" spans="3:26">
      <c r="C895" s="11"/>
      <c r="D895" s="11"/>
      <c r="M895" s="11"/>
      <c r="O895" s="11"/>
      <c r="X895" s="9"/>
      <c r="Z895" s="9"/>
    </row>
    <row r="896" spans="3:26">
      <c r="C896" s="11"/>
      <c r="D896" s="11"/>
      <c r="M896" s="11"/>
      <c r="O896" s="11"/>
      <c r="X896" s="9"/>
      <c r="Z896" s="9"/>
    </row>
    <row r="897" spans="3:26">
      <c r="C897" s="11"/>
      <c r="D897" s="11"/>
      <c r="M897" s="11"/>
      <c r="O897" s="11"/>
      <c r="X897" s="9"/>
      <c r="Z897" s="9"/>
    </row>
    <row r="898" spans="3:26">
      <c r="C898" s="11"/>
      <c r="D898" s="11"/>
      <c r="M898" s="11"/>
      <c r="O898" s="11"/>
      <c r="X898" s="9"/>
      <c r="Z898" s="9"/>
    </row>
    <row r="899" spans="3:26">
      <c r="C899" s="11"/>
      <c r="D899" s="11"/>
      <c r="M899" s="11"/>
      <c r="O899" s="11"/>
      <c r="X899" s="9"/>
      <c r="Z899" s="9"/>
    </row>
    <row r="900" spans="3:26">
      <c r="C900" s="11"/>
      <c r="D900" s="11"/>
      <c r="M900" s="11"/>
      <c r="O900" s="11"/>
      <c r="X900" s="9"/>
      <c r="Z900" s="9"/>
    </row>
    <row r="901" spans="3:26">
      <c r="C901" s="11"/>
      <c r="D901" s="11"/>
      <c r="M901" s="11"/>
      <c r="O901" s="11"/>
      <c r="X901" s="9"/>
      <c r="Z901" s="9"/>
    </row>
    <row r="902" spans="3:26">
      <c r="C902" s="11"/>
      <c r="D902" s="11"/>
      <c r="M902" s="11"/>
      <c r="O902" s="11"/>
      <c r="X902" s="9"/>
      <c r="Z902" s="9"/>
    </row>
    <row r="903" spans="3:26">
      <c r="C903" s="11"/>
      <c r="D903" s="11"/>
      <c r="M903" s="11"/>
      <c r="O903" s="11"/>
      <c r="X903" s="9"/>
      <c r="Z903" s="9"/>
    </row>
    <row r="904" spans="3:26">
      <c r="C904" s="11"/>
      <c r="D904" s="11"/>
      <c r="M904" s="11"/>
      <c r="O904" s="11"/>
      <c r="X904" s="9"/>
      <c r="Z904" s="9"/>
    </row>
    <row r="905" spans="3:26">
      <c r="C905" s="11"/>
      <c r="D905" s="11"/>
      <c r="M905" s="11"/>
      <c r="O905" s="11"/>
      <c r="X905" s="9"/>
      <c r="Z905" s="9"/>
    </row>
    <row r="906" spans="3:26">
      <c r="C906" s="11"/>
      <c r="D906" s="11"/>
      <c r="M906" s="11"/>
      <c r="O906" s="11"/>
      <c r="X906" s="9"/>
      <c r="Z906" s="9"/>
    </row>
    <row r="907" spans="3:26">
      <c r="C907" s="11"/>
      <c r="D907" s="11"/>
      <c r="M907" s="11"/>
      <c r="O907" s="11"/>
      <c r="X907" s="9"/>
      <c r="Z907" s="9"/>
    </row>
    <row r="908" spans="3:26">
      <c r="C908" s="11"/>
      <c r="D908" s="11"/>
      <c r="M908" s="11"/>
      <c r="O908" s="11"/>
      <c r="X908" s="9"/>
      <c r="Z908" s="9"/>
    </row>
    <row r="909" spans="3:26">
      <c r="C909" s="11"/>
      <c r="D909" s="11"/>
      <c r="M909" s="11"/>
      <c r="O909" s="11"/>
      <c r="X909" s="9"/>
      <c r="Z909" s="9"/>
    </row>
    <row r="910" spans="3:26">
      <c r="C910" s="11"/>
      <c r="D910" s="11"/>
      <c r="M910" s="11"/>
      <c r="O910" s="11"/>
      <c r="X910" s="9"/>
      <c r="Z910" s="9"/>
    </row>
    <row r="911" spans="3:26">
      <c r="C911" s="11"/>
      <c r="D911" s="11"/>
      <c r="M911" s="11"/>
      <c r="O911" s="11"/>
      <c r="X911" s="9"/>
      <c r="Z911" s="9"/>
    </row>
    <row r="912" spans="3:26">
      <c r="C912" s="11"/>
      <c r="D912" s="11"/>
      <c r="M912" s="11"/>
      <c r="O912" s="11"/>
      <c r="X912" s="9"/>
      <c r="Z912" s="9"/>
    </row>
    <row r="913" spans="3:26">
      <c r="C913" s="11"/>
      <c r="D913" s="11"/>
      <c r="M913" s="11"/>
      <c r="O913" s="11"/>
      <c r="X913" s="9"/>
      <c r="Z913" s="9"/>
    </row>
    <row r="914" spans="3:26">
      <c r="C914" s="11"/>
      <c r="D914" s="11"/>
      <c r="M914" s="11"/>
      <c r="O914" s="11"/>
      <c r="X914" s="9"/>
      <c r="Z914" s="9"/>
    </row>
    <row r="915" spans="3:26">
      <c r="C915" s="11"/>
      <c r="D915" s="11"/>
      <c r="M915" s="11"/>
      <c r="O915" s="11"/>
      <c r="X915" s="9"/>
      <c r="Z915" s="9"/>
    </row>
    <row r="916" spans="3:26">
      <c r="C916" s="11"/>
      <c r="D916" s="11"/>
      <c r="M916" s="11"/>
      <c r="O916" s="11"/>
      <c r="X916" s="9"/>
      <c r="Z916" s="9"/>
    </row>
    <row r="917" spans="3:26">
      <c r="C917" s="11"/>
      <c r="D917" s="11"/>
      <c r="M917" s="11"/>
      <c r="O917" s="11"/>
      <c r="X917" s="9"/>
      <c r="Z917" s="9"/>
    </row>
    <row r="918" spans="3:26">
      <c r="C918" s="11"/>
      <c r="D918" s="11"/>
      <c r="M918" s="11"/>
      <c r="O918" s="11"/>
      <c r="X918" s="9"/>
      <c r="Z918" s="9"/>
    </row>
    <row r="919" spans="3:26">
      <c r="C919" s="11"/>
      <c r="D919" s="11"/>
      <c r="M919" s="11"/>
      <c r="O919" s="11"/>
      <c r="X919" s="9"/>
      <c r="Z919" s="9"/>
    </row>
    <row r="920" spans="3:26">
      <c r="C920" s="11"/>
      <c r="D920" s="11"/>
      <c r="M920" s="11"/>
      <c r="O920" s="11"/>
      <c r="X920" s="9"/>
      <c r="Z920" s="9"/>
    </row>
    <row r="921" spans="3:26">
      <c r="C921" s="11"/>
      <c r="D921" s="11"/>
      <c r="M921" s="11"/>
      <c r="O921" s="11"/>
      <c r="X921" s="9"/>
      <c r="Z921" s="9"/>
    </row>
    <row r="922" spans="3:26">
      <c r="C922" s="11"/>
      <c r="D922" s="11"/>
      <c r="M922" s="11"/>
      <c r="O922" s="11"/>
      <c r="X922" s="9"/>
      <c r="Z922" s="9"/>
    </row>
    <row r="923" spans="3:26">
      <c r="C923" s="11"/>
      <c r="D923" s="11"/>
      <c r="M923" s="11"/>
      <c r="O923" s="11"/>
      <c r="X923" s="9"/>
      <c r="Z923" s="9"/>
    </row>
    <row r="924" spans="3:26">
      <c r="C924" s="11"/>
      <c r="D924" s="11"/>
      <c r="M924" s="11"/>
      <c r="O924" s="11"/>
      <c r="X924" s="9"/>
      <c r="Z924" s="9"/>
    </row>
    <row r="925" spans="3:26">
      <c r="C925" s="11"/>
      <c r="D925" s="11"/>
      <c r="M925" s="11"/>
      <c r="O925" s="11"/>
      <c r="X925" s="9"/>
      <c r="Z925" s="9"/>
    </row>
    <row r="926" spans="3:26">
      <c r="C926" s="11"/>
      <c r="D926" s="11"/>
      <c r="M926" s="11"/>
      <c r="O926" s="11"/>
      <c r="X926" s="9"/>
      <c r="Z926" s="9"/>
    </row>
    <row r="927" spans="3:26">
      <c r="C927" s="11"/>
      <c r="D927" s="11"/>
      <c r="M927" s="11"/>
      <c r="O927" s="11"/>
      <c r="X927" s="9"/>
      <c r="Z927" s="9"/>
    </row>
    <row r="928" spans="3:26">
      <c r="C928" s="11"/>
      <c r="D928" s="11"/>
      <c r="M928" s="11"/>
      <c r="O928" s="11"/>
      <c r="X928" s="9"/>
      <c r="Z928" s="9"/>
    </row>
    <row r="929" spans="3:26">
      <c r="C929" s="11"/>
      <c r="D929" s="11"/>
      <c r="M929" s="11"/>
      <c r="O929" s="11"/>
      <c r="X929" s="9"/>
      <c r="Z929" s="9"/>
    </row>
    <row r="930" spans="3:26">
      <c r="C930" s="11"/>
      <c r="D930" s="11"/>
      <c r="M930" s="11"/>
      <c r="O930" s="11"/>
      <c r="X930" s="9"/>
      <c r="Z930" s="9"/>
    </row>
    <row r="931" spans="3:26">
      <c r="C931" s="11"/>
      <c r="D931" s="11"/>
      <c r="M931" s="11"/>
      <c r="O931" s="11"/>
      <c r="X931" s="9"/>
      <c r="Z931" s="9"/>
    </row>
    <row r="932" spans="3:26">
      <c r="C932" s="11"/>
      <c r="D932" s="11"/>
      <c r="M932" s="11"/>
      <c r="O932" s="11"/>
      <c r="X932" s="9"/>
      <c r="Z932" s="9"/>
    </row>
    <row r="933" spans="3:26">
      <c r="C933" s="11"/>
      <c r="D933" s="11"/>
      <c r="M933" s="11"/>
      <c r="O933" s="11"/>
      <c r="X933" s="9"/>
      <c r="Z933" s="9"/>
    </row>
    <row r="934" spans="3:26">
      <c r="C934" s="11"/>
      <c r="D934" s="11"/>
      <c r="M934" s="11"/>
      <c r="O934" s="11"/>
      <c r="X934" s="9"/>
      <c r="Z934" s="9"/>
    </row>
    <row r="935" spans="3:26">
      <c r="C935" s="11"/>
      <c r="D935" s="11"/>
      <c r="M935" s="11"/>
      <c r="O935" s="11"/>
      <c r="X935" s="9"/>
      <c r="Z935" s="9"/>
    </row>
    <row r="936" spans="3:26">
      <c r="C936" s="11"/>
      <c r="D936" s="11"/>
      <c r="M936" s="11"/>
      <c r="O936" s="11"/>
      <c r="X936" s="9"/>
      <c r="Z936" s="9"/>
    </row>
    <row r="937" spans="3:26">
      <c r="C937" s="11"/>
      <c r="D937" s="11"/>
      <c r="M937" s="11"/>
      <c r="O937" s="11"/>
      <c r="X937" s="9"/>
      <c r="Z937" s="9"/>
    </row>
    <row r="938" spans="3:26">
      <c r="C938" s="11"/>
      <c r="D938" s="11"/>
      <c r="M938" s="11"/>
      <c r="O938" s="11"/>
      <c r="X938" s="9"/>
      <c r="Z938" s="9"/>
    </row>
    <row r="939" spans="3:26">
      <c r="C939" s="11"/>
      <c r="D939" s="11"/>
      <c r="M939" s="11"/>
      <c r="O939" s="11"/>
      <c r="X939" s="9"/>
      <c r="Z939" s="9"/>
    </row>
    <row r="940" spans="3:26">
      <c r="C940" s="11"/>
      <c r="D940" s="11"/>
      <c r="M940" s="11"/>
      <c r="O940" s="11"/>
      <c r="X940" s="9"/>
      <c r="Z940" s="9"/>
    </row>
    <row r="941" spans="3:26">
      <c r="C941" s="11"/>
      <c r="D941" s="11"/>
      <c r="M941" s="11"/>
      <c r="O941" s="11"/>
      <c r="X941" s="9"/>
      <c r="Z941" s="9"/>
    </row>
    <row r="942" spans="3:26">
      <c r="C942" s="11"/>
      <c r="D942" s="11"/>
      <c r="M942" s="11"/>
      <c r="O942" s="11"/>
      <c r="X942" s="9"/>
      <c r="Z942" s="9"/>
    </row>
    <row r="943" spans="3:26">
      <c r="C943" s="11"/>
      <c r="D943" s="11"/>
      <c r="M943" s="11"/>
      <c r="O943" s="11"/>
      <c r="X943" s="9"/>
      <c r="Z943" s="9"/>
    </row>
    <row r="944" spans="3:26">
      <c r="C944" s="11"/>
      <c r="D944" s="11"/>
      <c r="M944" s="11"/>
      <c r="O944" s="11"/>
      <c r="X944" s="9"/>
      <c r="Z944" s="9"/>
    </row>
    <row r="945" spans="3:26">
      <c r="C945" s="11"/>
      <c r="D945" s="11"/>
      <c r="M945" s="11"/>
      <c r="O945" s="11"/>
      <c r="X945" s="9"/>
      <c r="Z945" s="9"/>
    </row>
    <row r="946" spans="3:26">
      <c r="C946" s="11"/>
      <c r="D946" s="11"/>
      <c r="M946" s="11"/>
      <c r="O946" s="11"/>
      <c r="X946" s="9"/>
      <c r="Z946" s="9"/>
    </row>
    <row r="947" spans="3:26">
      <c r="C947" s="11"/>
      <c r="D947" s="11"/>
      <c r="M947" s="11"/>
      <c r="O947" s="11"/>
      <c r="X947" s="9"/>
      <c r="Z947" s="9"/>
    </row>
    <row r="948" spans="3:26">
      <c r="C948" s="11"/>
      <c r="D948" s="11"/>
      <c r="M948" s="11"/>
      <c r="O948" s="11"/>
      <c r="X948" s="9"/>
      <c r="Z948" s="9"/>
    </row>
    <row r="949" spans="3:26">
      <c r="C949" s="11"/>
      <c r="D949" s="11"/>
      <c r="M949" s="11"/>
      <c r="O949" s="11"/>
      <c r="X949" s="9"/>
      <c r="Z949" s="9"/>
    </row>
    <row r="950" spans="3:26">
      <c r="C950" s="11"/>
      <c r="D950" s="11"/>
      <c r="M950" s="11"/>
      <c r="O950" s="11"/>
      <c r="X950" s="9"/>
      <c r="Z950" s="9"/>
    </row>
    <row r="951" spans="3:26">
      <c r="C951" s="11"/>
      <c r="D951" s="11"/>
      <c r="M951" s="11"/>
      <c r="O951" s="11"/>
      <c r="X951" s="9"/>
      <c r="Z951" s="9"/>
    </row>
    <row r="952" spans="3:26">
      <c r="C952" s="11"/>
      <c r="D952" s="11"/>
      <c r="M952" s="11"/>
      <c r="O952" s="11"/>
      <c r="X952" s="9"/>
      <c r="Z952" s="9"/>
    </row>
    <row r="953" spans="3:26">
      <c r="C953" s="11"/>
      <c r="D953" s="11"/>
      <c r="M953" s="11"/>
      <c r="O953" s="11"/>
      <c r="X953" s="9"/>
      <c r="Z953" s="9"/>
    </row>
    <row r="954" spans="3:26">
      <c r="C954" s="11"/>
      <c r="D954" s="11"/>
      <c r="M954" s="11"/>
      <c r="O954" s="11"/>
      <c r="X954" s="9"/>
      <c r="Z954" s="9"/>
    </row>
    <row r="955" spans="3:26">
      <c r="C955" s="11"/>
      <c r="D955" s="11"/>
      <c r="M955" s="11"/>
      <c r="O955" s="11"/>
      <c r="X955" s="9"/>
      <c r="Z955" s="9"/>
    </row>
    <row r="956" spans="3:26">
      <c r="C956" s="11"/>
      <c r="D956" s="11"/>
      <c r="M956" s="11"/>
      <c r="O956" s="11"/>
      <c r="X956" s="9"/>
      <c r="Z956" s="9"/>
    </row>
    <row r="957" spans="3:26">
      <c r="C957" s="11"/>
      <c r="D957" s="11"/>
      <c r="M957" s="11"/>
      <c r="O957" s="11"/>
      <c r="X957" s="9"/>
      <c r="Z957" s="9"/>
    </row>
    <row r="958" spans="3:26">
      <c r="C958" s="11"/>
      <c r="D958" s="11"/>
      <c r="M958" s="11"/>
      <c r="O958" s="11"/>
      <c r="X958" s="9"/>
      <c r="Z958" s="9"/>
    </row>
    <row r="959" spans="3:26">
      <c r="C959" s="11"/>
      <c r="D959" s="11"/>
      <c r="M959" s="11"/>
      <c r="O959" s="11"/>
      <c r="X959" s="9"/>
      <c r="Z959" s="9"/>
    </row>
    <row r="960" spans="3:26">
      <c r="C960" s="11"/>
      <c r="D960" s="11"/>
      <c r="M960" s="11"/>
      <c r="O960" s="11"/>
      <c r="X960" s="9"/>
      <c r="Z960" s="9"/>
    </row>
    <row r="961" spans="3:26">
      <c r="C961" s="11"/>
      <c r="D961" s="11"/>
      <c r="M961" s="11"/>
      <c r="O961" s="11"/>
      <c r="X961" s="9"/>
      <c r="Z961" s="9"/>
    </row>
    <row r="962" spans="3:26">
      <c r="C962" s="11"/>
      <c r="D962" s="11"/>
      <c r="M962" s="11"/>
      <c r="O962" s="11"/>
      <c r="X962" s="9"/>
      <c r="Z962" s="9"/>
    </row>
    <row r="963" spans="3:26">
      <c r="C963" s="11"/>
      <c r="D963" s="11"/>
      <c r="M963" s="11"/>
      <c r="O963" s="11"/>
      <c r="X963" s="9"/>
      <c r="Z963" s="9"/>
    </row>
    <row r="964" spans="3:26">
      <c r="C964" s="11"/>
      <c r="D964" s="11"/>
      <c r="M964" s="11"/>
      <c r="O964" s="11"/>
      <c r="X964" s="9"/>
      <c r="Z964" s="9"/>
    </row>
    <row r="965" spans="3:26">
      <c r="C965" s="11"/>
      <c r="D965" s="11"/>
      <c r="M965" s="11"/>
      <c r="O965" s="11"/>
      <c r="X965" s="9"/>
      <c r="Z965" s="9"/>
    </row>
    <row r="966" spans="3:26">
      <c r="C966" s="11"/>
      <c r="D966" s="11"/>
      <c r="M966" s="11"/>
      <c r="O966" s="11"/>
      <c r="X966" s="9"/>
      <c r="Z966" s="9"/>
    </row>
    <row r="967" spans="3:26">
      <c r="C967" s="11"/>
      <c r="D967" s="11"/>
      <c r="M967" s="11"/>
      <c r="O967" s="11"/>
      <c r="X967" s="9"/>
      <c r="Z967" s="9"/>
    </row>
    <row r="968" spans="3:26">
      <c r="C968" s="11"/>
      <c r="D968" s="11"/>
      <c r="M968" s="11"/>
      <c r="O968" s="11"/>
      <c r="X968" s="9"/>
      <c r="Z968" s="9"/>
    </row>
    <row r="969" spans="3:26">
      <c r="C969" s="11"/>
      <c r="D969" s="11"/>
      <c r="M969" s="11"/>
      <c r="O969" s="11"/>
      <c r="X969" s="9"/>
      <c r="Z969" s="9"/>
    </row>
    <row r="970" spans="3:26">
      <c r="C970" s="11"/>
      <c r="D970" s="11"/>
      <c r="M970" s="11"/>
      <c r="O970" s="11"/>
      <c r="X970" s="9"/>
      <c r="Z970" s="9"/>
    </row>
    <row r="971" spans="3:26">
      <c r="C971" s="11"/>
      <c r="D971" s="11"/>
      <c r="M971" s="11"/>
      <c r="O971" s="11"/>
      <c r="X971" s="9"/>
      <c r="Z971" s="9"/>
    </row>
    <row r="972" spans="3:26">
      <c r="C972" s="11"/>
      <c r="D972" s="11"/>
      <c r="M972" s="11"/>
      <c r="O972" s="11"/>
      <c r="X972" s="9"/>
      <c r="Z972" s="9"/>
    </row>
    <row r="973" spans="3:26">
      <c r="C973" s="11"/>
      <c r="D973" s="11"/>
      <c r="M973" s="11"/>
      <c r="O973" s="11"/>
      <c r="X973" s="9"/>
      <c r="Z973" s="9"/>
    </row>
    <row r="974" spans="3:26">
      <c r="C974" s="11"/>
      <c r="D974" s="11"/>
      <c r="M974" s="11"/>
      <c r="O974" s="11"/>
      <c r="X974" s="9"/>
      <c r="Z974" s="9"/>
    </row>
    <row r="975" spans="3:26">
      <c r="C975" s="11"/>
      <c r="D975" s="11"/>
      <c r="M975" s="11"/>
      <c r="O975" s="11"/>
      <c r="X975" s="9"/>
      <c r="Z975" s="9"/>
    </row>
    <row r="976" spans="3:26">
      <c r="C976" s="11"/>
      <c r="D976" s="11"/>
      <c r="M976" s="11"/>
      <c r="O976" s="11"/>
      <c r="X976" s="9"/>
      <c r="Z976" s="9"/>
    </row>
    <row r="977" spans="3:26">
      <c r="C977" s="11"/>
      <c r="D977" s="11"/>
      <c r="M977" s="11"/>
      <c r="O977" s="11"/>
      <c r="X977" s="9"/>
      <c r="Z977" s="9"/>
    </row>
    <row r="978" spans="3:26">
      <c r="C978" s="11"/>
      <c r="D978" s="11"/>
      <c r="M978" s="11"/>
      <c r="O978" s="11"/>
      <c r="X978" s="9"/>
      <c r="Z978" s="9"/>
    </row>
    <row r="979" spans="3:26">
      <c r="C979" s="11"/>
      <c r="D979" s="11"/>
      <c r="M979" s="11"/>
      <c r="O979" s="11"/>
      <c r="X979" s="9"/>
      <c r="Z979" s="9"/>
    </row>
    <row r="980" spans="3:26">
      <c r="C980" s="11"/>
      <c r="D980" s="11"/>
      <c r="M980" s="11"/>
      <c r="O980" s="11"/>
      <c r="X980" s="9"/>
      <c r="Z980" s="9"/>
    </row>
    <row r="981" spans="3:26">
      <c r="C981" s="11"/>
      <c r="D981" s="11"/>
      <c r="M981" s="11"/>
      <c r="O981" s="11"/>
      <c r="X981" s="9"/>
      <c r="Z981" s="9"/>
    </row>
    <row r="982" spans="3:26">
      <c r="C982" s="11"/>
      <c r="D982" s="11"/>
      <c r="M982" s="11"/>
      <c r="O982" s="11"/>
      <c r="X982" s="9"/>
      <c r="Z982" s="9"/>
    </row>
    <row r="983" spans="3:26">
      <c r="C983" s="11"/>
      <c r="D983" s="11"/>
      <c r="M983" s="11"/>
      <c r="O983" s="11"/>
      <c r="X983" s="9"/>
      <c r="Z983" s="9"/>
    </row>
    <row r="984" spans="3:26">
      <c r="C984" s="11"/>
      <c r="D984" s="11"/>
      <c r="M984" s="11"/>
      <c r="O984" s="11"/>
      <c r="X984" s="9"/>
      <c r="Z984" s="9"/>
    </row>
    <row r="985" spans="3:26">
      <c r="C985" s="11"/>
      <c r="D985" s="11"/>
      <c r="M985" s="11"/>
      <c r="O985" s="11"/>
      <c r="X985" s="9"/>
      <c r="Z985" s="9"/>
    </row>
    <row r="986" spans="3:26">
      <c r="C986" s="11"/>
      <c r="D986" s="11"/>
      <c r="M986" s="11"/>
      <c r="O986" s="11"/>
      <c r="X986" s="9"/>
      <c r="Z986" s="9"/>
    </row>
    <row r="987" spans="3:26">
      <c r="C987" s="11"/>
      <c r="D987" s="11"/>
      <c r="M987" s="11"/>
      <c r="O987" s="11"/>
      <c r="X987" s="9"/>
      <c r="Z987" s="9"/>
    </row>
    <row r="988" spans="3:26">
      <c r="C988" s="11"/>
      <c r="D988" s="11"/>
      <c r="M988" s="11"/>
      <c r="O988" s="11"/>
      <c r="X988" s="9"/>
      <c r="Z988" s="9"/>
    </row>
    <row r="989" spans="3:26">
      <c r="C989" s="11"/>
      <c r="D989" s="11"/>
      <c r="M989" s="11"/>
      <c r="O989" s="11"/>
      <c r="X989" s="9"/>
      <c r="Z989" s="9"/>
    </row>
    <row r="990" spans="3:26">
      <c r="C990" s="11"/>
      <c r="D990" s="11"/>
      <c r="M990" s="11"/>
      <c r="O990" s="11"/>
      <c r="X990" s="9"/>
      <c r="Z990" s="9"/>
    </row>
    <row r="991" spans="3:26">
      <c r="C991" s="11"/>
      <c r="D991" s="11"/>
      <c r="M991" s="11"/>
      <c r="O991" s="11"/>
      <c r="X991" s="9"/>
      <c r="Z991" s="9"/>
    </row>
    <row r="992" spans="3:26">
      <c r="C992" s="11"/>
      <c r="D992" s="11"/>
      <c r="M992" s="11"/>
      <c r="O992" s="11"/>
      <c r="X992" s="9"/>
      <c r="Z992" s="9"/>
    </row>
    <row r="993" spans="3:26">
      <c r="C993" s="11"/>
      <c r="D993" s="11"/>
      <c r="M993" s="11"/>
      <c r="O993" s="11"/>
      <c r="X993" s="9"/>
      <c r="Z993" s="9"/>
    </row>
    <row r="994" spans="3:26">
      <c r="C994" s="11"/>
      <c r="D994" s="11"/>
      <c r="M994" s="11"/>
      <c r="O994" s="11"/>
      <c r="X994" s="9"/>
      <c r="Z994" s="9"/>
    </row>
    <row r="995" spans="3:26">
      <c r="C995" s="11"/>
      <c r="D995" s="11"/>
      <c r="M995" s="11"/>
      <c r="O995" s="11"/>
      <c r="X995" s="9"/>
      <c r="Z995" s="9"/>
    </row>
    <row r="996" spans="3:26">
      <c r="C996" s="11"/>
      <c r="D996" s="11"/>
      <c r="M996" s="11"/>
      <c r="O996" s="11"/>
      <c r="X996" s="9"/>
      <c r="Z996" s="9"/>
    </row>
    <row r="997" spans="3:26">
      <c r="C997" s="11"/>
      <c r="D997" s="11"/>
      <c r="M997" s="11"/>
      <c r="O997" s="11"/>
      <c r="X997" s="9"/>
      <c r="Z997" s="9"/>
    </row>
    <row r="998" spans="3:26">
      <c r="C998" s="11"/>
      <c r="D998" s="11"/>
      <c r="M998" s="11"/>
      <c r="O998" s="11"/>
      <c r="X998" s="9"/>
      <c r="Z998" s="9"/>
    </row>
    <row r="999" spans="3:26">
      <c r="C999" s="11"/>
      <c r="D999" s="11"/>
      <c r="M999" s="11"/>
      <c r="O999" s="11"/>
      <c r="X999" s="9"/>
      <c r="Z999" s="9"/>
    </row>
    <row r="1000" spans="3:26">
      <c r="C1000" s="11"/>
      <c r="D1000" s="11"/>
      <c r="M1000" s="11"/>
      <c r="O1000" s="11"/>
      <c r="X1000" s="9"/>
      <c r="Z1000" s="9"/>
    </row>
    <row r="1001" spans="3:26">
      <c r="C1001" s="11"/>
      <c r="D1001" s="11"/>
      <c r="M1001" s="11"/>
      <c r="O1001" s="11"/>
      <c r="X1001" s="9"/>
      <c r="Z1001" s="9"/>
    </row>
    <row r="1002" spans="3:26">
      <c r="C1002" s="11"/>
      <c r="D1002" s="11"/>
      <c r="M1002" s="11"/>
      <c r="O1002" s="11"/>
      <c r="X1002" s="9"/>
      <c r="Z1002" s="9"/>
    </row>
    <row r="1003" spans="3:26">
      <c r="C1003" s="11"/>
      <c r="D1003" s="11"/>
      <c r="M1003" s="11"/>
      <c r="O1003" s="11"/>
      <c r="X1003" s="9"/>
      <c r="Z1003" s="9"/>
    </row>
    <row r="1004" spans="3:26">
      <c r="C1004" s="11"/>
      <c r="D1004" s="11"/>
      <c r="M1004" s="11"/>
      <c r="O1004" s="11"/>
      <c r="X1004" s="9"/>
      <c r="Z1004" s="9"/>
    </row>
    <row r="1005" spans="3:26">
      <c r="C1005" s="11"/>
      <c r="D1005" s="11"/>
      <c r="M1005" s="11"/>
      <c r="O1005" s="11"/>
      <c r="X1005" s="9"/>
      <c r="Z1005" s="9"/>
    </row>
    <row r="1006" spans="3:26">
      <c r="C1006" s="11"/>
      <c r="D1006" s="11"/>
      <c r="M1006" s="11"/>
      <c r="O1006" s="11"/>
      <c r="X1006" s="9"/>
      <c r="Z1006" s="9"/>
    </row>
    <row r="1007" spans="3:26">
      <c r="C1007" s="11"/>
      <c r="D1007" s="11"/>
      <c r="M1007" s="11"/>
      <c r="O1007" s="11"/>
      <c r="X1007" s="9"/>
      <c r="Z1007" s="9"/>
    </row>
    <row r="1008" spans="3:26">
      <c r="C1008" s="11"/>
      <c r="D1008" s="11"/>
      <c r="M1008" s="11"/>
      <c r="O1008" s="11"/>
      <c r="X1008" s="9"/>
      <c r="Z1008" s="9"/>
    </row>
    <row r="1009" spans="3:26">
      <c r="C1009" s="11"/>
      <c r="D1009" s="11"/>
      <c r="M1009" s="11"/>
      <c r="O1009" s="11"/>
      <c r="X1009" s="9"/>
      <c r="Z1009" s="9"/>
    </row>
    <row r="1010" spans="3:26">
      <c r="C1010" s="11"/>
      <c r="D1010" s="11"/>
      <c r="M1010" s="11"/>
      <c r="O1010" s="11"/>
      <c r="X1010" s="9"/>
      <c r="Z1010" s="9"/>
    </row>
    <row r="1011" spans="3:26">
      <c r="C1011" s="11"/>
      <c r="D1011" s="11"/>
      <c r="M1011" s="11"/>
      <c r="O1011" s="11"/>
      <c r="X1011" s="9"/>
      <c r="Z1011" s="9"/>
    </row>
    <row r="1012" spans="3:26">
      <c r="C1012" s="11"/>
      <c r="D1012" s="11"/>
      <c r="M1012" s="11"/>
      <c r="O1012" s="11"/>
      <c r="X1012" s="9"/>
      <c r="Z1012" s="9"/>
    </row>
    <row r="1013" spans="3:26">
      <c r="C1013" s="11"/>
      <c r="D1013" s="11"/>
      <c r="M1013" s="11"/>
      <c r="O1013" s="11"/>
      <c r="X1013" s="9"/>
      <c r="Z1013" s="9"/>
    </row>
    <row r="1014" spans="3:26">
      <c r="C1014" s="11"/>
      <c r="D1014" s="11"/>
      <c r="M1014" s="11"/>
      <c r="O1014" s="11"/>
      <c r="X1014" s="9"/>
      <c r="Z1014" s="9"/>
    </row>
    <row r="1015" spans="3:26">
      <c r="C1015" s="11"/>
      <c r="D1015" s="11"/>
      <c r="M1015" s="11"/>
      <c r="O1015" s="11"/>
      <c r="X1015" s="9"/>
      <c r="Z1015" s="9"/>
    </row>
    <row r="1016" spans="3:26">
      <c r="C1016" s="11"/>
      <c r="D1016" s="11"/>
      <c r="M1016" s="11"/>
      <c r="O1016" s="11"/>
      <c r="X1016" s="9"/>
      <c r="Z1016" s="9"/>
    </row>
    <row r="1017" spans="3:26">
      <c r="C1017" s="11"/>
      <c r="D1017" s="11"/>
      <c r="M1017" s="11"/>
      <c r="O1017" s="11"/>
      <c r="X1017" s="9"/>
      <c r="Z1017" s="9"/>
    </row>
    <row r="1018" spans="3:26">
      <c r="C1018" s="11"/>
      <c r="D1018" s="11"/>
      <c r="M1018" s="11"/>
      <c r="O1018" s="11"/>
      <c r="X1018" s="9"/>
      <c r="Z1018" s="9"/>
    </row>
    <row r="1019" spans="3:26">
      <c r="C1019" s="11"/>
      <c r="D1019" s="11"/>
      <c r="M1019" s="11"/>
      <c r="O1019" s="11"/>
      <c r="X1019" s="9"/>
      <c r="Z1019" s="9"/>
    </row>
    <row r="1020" spans="3:26">
      <c r="C1020" s="11"/>
      <c r="D1020" s="11"/>
      <c r="M1020" s="11"/>
      <c r="O1020" s="11"/>
      <c r="X1020" s="9"/>
      <c r="Z1020" s="9"/>
    </row>
    <row r="1021" spans="3:26">
      <c r="C1021" s="11"/>
      <c r="D1021" s="11"/>
      <c r="M1021" s="11"/>
      <c r="O1021" s="11"/>
      <c r="X1021" s="9"/>
      <c r="Z1021" s="9"/>
    </row>
    <row r="1022" spans="3:26">
      <c r="C1022" s="11"/>
      <c r="D1022" s="11"/>
      <c r="M1022" s="11"/>
      <c r="O1022" s="11"/>
      <c r="X1022" s="9"/>
      <c r="Z1022" s="9"/>
    </row>
    <row r="1023" spans="3:26">
      <c r="C1023" s="11"/>
      <c r="D1023" s="11"/>
      <c r="M1023" s="11"/>
      <c r="O1023" s="11"/>
      <c r="X1023" s="9"/>
      <c r="Z1023" s="9"/>
    </row>
    <row r="1024" spans="3:26">
      <c r="C1024" s="11"/>
      <c r="D1024" s="11"/>
      <c r="M1024" s="11"/>
      <c r="O1024" s="11"/>
      <c r="X1024" s="9"/>
      <c r="Z1024" s="9"/>
    </row>
    <row r="1025" spans="3:26">
      <c r="C1025" s="11"/>
      <c r="D1025" s="11"/>
      <c r="M1025" s="11"/>
      <c r="O1025" s="11"/>
      <c r="X1025" s="9"/>
      <c r="Z1025" s="9"/>
    </row>
    <row r="1026" spans="3:26">
      <c r="C1026" s="11"/>
      <c r="D1026" s="11"/>
      <c r="M1026" s="11"/>
      <c r="O1026" s="11"/>
      <c r="X1026" s="9"/>
      <c r="Z1026" s="9"/>
    </row>
    <row r="1027" spans="3:26">
      <c r="C1027" s="11"/>
      <c r="D1027" s="11"/>
      <c r="M1027" s="11"/>
      <c r="O1027" s="11"/>
      <c r="X1027" s="9"/>
      <c r="Z1027" s="9"/>
    </row>
    <row r="1028" spans="14:15">
      <c r="N1028" s="11"/>
      <c r="O1028" s="11"/>
    </row>
    <row r="1029" spans="14:15">
      <c r="N1029" s="11"/>
      <c r="O1029" s="11"/>
    </row>
    <row r="1030" spans="14:15">
      <c r="N1030" s="11"/>
      <c r="O1030" s="11"/>
    </row>
    <row r="1031" spans="14:15">
      <c r="N1031" s="11"/>
      <c r="O1031" s="11"/>
    </row>
    <row r="1032" spans="14:15">
      <c r="N1032" s="11"/>
      <c r="O1032" s="11"/>
    </row>
    <row r="1033" spans="14:15">
      <c r="N1033" s="11"/>
      <c r="O1033" s="11"/>
    </row>
    <row r="1034" spans="14:15">
      <c r="N1034" s="11"/>
      <c r="O1034" s="11"/>
    </row>
    <row r="1035" spans="14:15">
      <c r="N1035" s="11"/>
      <c r="O1035" s="11"/>
    </row>
    <row r="1036" spans="14:15">
      <c r="N1036" s="11"/>
      <c r="O1036" s="11"/>
    </row>
    <row r="1037" spans="14:15">
      <c r="N1037" s="11"/>
      <c r="O1037" s="11"/>
    </row>
    <row r="1038" spans="14:15">
      <c r="N1038" s="11"/>
      <c r="O1038" s="11"/>
    </row>
    <row r="1039" spans="14:15">
      <c r="N1039" s="11"/>
      <c r="O1039" s="11"/>
    </row>
    <row r="1040" ht="14.25" spans="6:25"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Y1040" s="25"/>
    </row>
  </sheetData>
  <sortState ref="A3:AA208">
    <sortCondition ref="AA5"/>
  </sortState>
  <mergeCells count="1">
    <mergeCell ref="A1:AA1"/>
  </mergeCells>
  <printOptions horizontalCentered="1"/>
  <pageMargins left="0.554166666666667" right="0.554166666666667" top="0.605555555555556" bottom="0.605555555555556" header="0.511805555555556" footer="0.511805555555556"/>
  <pageSetup paperSize="9" scale="87" orientation="portrait"/>
  <headerFooter/>
  <rowBreaks count="2" manualBreakCount="2">
    <brk id="60" max="16383" man="1"/>
    <brk id="120" max="16383" man="1"/>
  </rowBreaks>
  <colBreaks count="1" manualBreakCount="1">
    <brk id="27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workbookViewId="0">
      <selection activeCell="Q33" sqref="Q33"/>
    </sheetView>
  </sheetViews>
  <sheetFormatPr defaultColWidth="9" defaultRowHeight="13.5"/>
  <cols>
    <col min="1" max="16384" width="9" style="26"/>
  </cols>
  <sheetData>
    <row r="1" ht="20.25" spans="1:17">
      <c r="A1" s="27" t="s">
        <v>1852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spans="1:17">
      <c r="A2" s="9" t="s">
        <v>1</v>
      </c>
      <c r="B2" s="9" t="s">
        <v>1853</v>
      </c>
      <c r="C2" s="9" t="s">
        <v>1854</v>
      </c>
      <c r="D2" s="9" t="s">
        <v>1855</v>
      </c>
      <c r="E2" s="9" t="s">
        <v>1856</v>
      </c>
      <c r="F2" s="9" t="s">
        <v>1857</v>
      </c>
      <c r="G2" s="9" t="s">
        <v>1858</v>
      </c>
      <c r="H2" s="9" t="s">
        <v>1859</v>
      </c>
      <c r="I2" s="9" t="s">
        <v>1860</v>
      </c>
      <c r="J2" s="9" t="s">
        <v>1861</v>
      </c>
      <c r="K2" s="9" t="s">
        <v>1862</v>
      </c>
      <c r="L2" s="9" t="s">
        <v>1863</v>
      </c>
      <c r="M2" s="9" t="s">
        <v>1864</v>
      </c>
      <c r="N2" s="9" t="s">
        <v>1865</v>
      </c>
      <c r="O2" s="9" t="s">
        <v>1866</v>
      </c>
      <c r="P2" s="9" t="s">
        <v>1867</v>
      </c>
      <c r="Q2" s="9" t="s">
        <v>1749</v>
      </c>
    </row>
    <row r="3" spans="1:17">
      <c r="A3" s="9">
        <v>1</v>
      </c>
      <c r="B3" s="9">
        <f t="array" ref="B3">SUM((物原排!$B$3:$B$1491=A3)*(物原排!$Z$3:$Z$1491&gt;=649.5))</f>
        <v>0</v>
      </c>
      <c r="C3" s="9">
        <f t="array" ref="C3">SUM((物原排!$B$3:$B$1491=A3)*(物原排!$Z$3:$Z$1491&gt;=639.5)*(物原排!$Z$3:$Z$1491&lt;649.5))</f>
        <v>0</v>
      </c>
      <c r="D3" s="9">
        <f t="array" ref="D3">SUM((物原排!$B$3:$B$1491=A3)*(物原排!$Z$3:$Z$1491&gt;=619.5)*(物原排!$Z$3:$Z$1491&lt;639.5))</f>
        <v>0</v>
      </c>
      <c r="E3" s="9">
        <f t="array" ref="E3">SUM((物原排!$B$3:$B$1491=A3)*(物原排!$Z$3:$Z$1491&gt;=599.5)*(物原排!$Z$3:$Z$1491&lt;619.5))</f>
        <v>0</v>
      </c>
      <c r="F3" s="9">
        <f t="array" ref="F3">SUM((物原排!$B$3:$B$1491=A3)*(物原排!$Z$3:$Z$1491&gt;=579.5)*(物原排!$Z$3:$Z$1491&lt;599.5))</f>
        <v>0</v>
      </c>
      <c r="G3" s="9">
        <f t="array" ref="G3">SUM((物原排!$B$3:$B$1491=A3)*(物原排!$Z$3:$Z$1491&gt;=559.5)*(物原排!$Z$3:$Z$1491&lt;579.5))</f>
        <v>0</v>
      </c>
      <c r="H3" s="9">
        <f t="array" ref="H3">SUM((物原排!$B$3:$B$1491=A3)*(物原排!$Z$3:$Z$1491&gt;=539.5)*(物原排!$Z$3:$Z$1491&lt;559.5))</f>
        <v>0</v>
      </c>
      <c r="I3" s="9">
        <f t="array" ref="I3">SUM((物原排!$B$3:$B$1491=A3)*(物原排!$Z$3:$Z$1491&gt;=519.5)*(物原排!$Z$3:$Z$1491&lt;539.5))</f>
        <v>1</v>
      </c>
      <c r="J3" s="9">
        <f t="array" ref="J3">SUM((物原排!$B$3:$B$1491=A3)*(物原排!$Z$3:$Z$1491&gt;=499.5)*(物原排!$Z$3:$Z$1491&lt;519.5))</f>
        <v>4</v>
      </c>
      <c r="K3" s="9">
        <f t="array" ref="K3">SUM((物原排!$B$3:$B$1491=A3)*(物原排!$Z$3:$Z$1491&gt;=479.5)*(物原排!$Z$3:$Z$1491&lt;499.5))</f>
        <v>1</v>
      </c>
      <c r="L3" s="9">
        <f t="array" ref="L3">SUM((物原排!$B$3:$B$1491=A3)*(物原排!$Z$3:$Z$1491&gt;=459.5)*(物原排!$Z$3:$Z$1491&lt;479.5))</f>
        <v>10</v>
      </c>
      <c r="M3" s="9">
        <f t="array" ref="M3">SUM((物原排!$B$3:$B$1491=A3)*(物原排!$Z$3:$Z$1491&gt;=439.5)*(物原排!$Z$3:$Z$1491&lt;459.5))</f>
        <v>16</v>
      </c>
      <c r="N3" s="9">
        <f t="array" ref="N3">SUM((物原排!$B$3:$B$1491=A3)*(物原排!$Z$3:$Z$1491&gt;=419.5)*(物原排!$Z$3:$Z$1491&lt;439.5))</f>
        <v>6</v>
      </c>
      <c r="O3" s="9">
        <f t="array" ref="O3">SUM((物原排!$B$3:$B$1491=A3)*(物原排!$Z$3:$Z$1491&gt;=399.5)*(物原排!$Z$3:$Z$1491&lt;419.5))</f>
        <v>17</v>
      </c>
      <c r="P3" s="9">
        <f t="array" ref="P3">SUM((物原排!$B$3:$B$1491=A3)*(物原排!$Z$3:$Z$1491&lt;399.5))</f>
        <v>8</v>
      </c>
      <c r="Q3" s="9">
        <f>SUM(B3:P3)</f>
        <v>63</v>
      </c>
    </row>
    <row r="4" spans="1:17">
      <c r="A4" s="9">
        <v>2</v>
      </c>
      <c r="B4" s="9">
        <f t="array" ref="B4">SUM((物原排!$B$3:$B$1491=A4)*(物原排!$Z$3:$Z$1491&gt;=649.5))</f>
        <v>0</v>
      </c>
      <c r="C4" s="9">
        <f t="array" ref="C4">SUM((物原排!$B$3:$B$1491=A4)*(物原排!$Z$3:$Z$1491&gt;=639.5)*(物原排!$Z$3:$Z$1491&lt;649.5))</f>
        <v>0</v>
      </c>
      <c r="D4" s="9">
        <f t="array" ref="D4">SUM((物原排!$B$3:$B$1491=A4)*(物原排!$Z$3:$Z$1491&gt;=619.5)*(物原排!$Z$3:$Z$1491&lt;639.5))</f>
        <v>0</v>
      </c>
      <c r="E4" s="9">
        <f t="array" ref="E4">SUM((物原排!$B$3:$B$1491=A4)*(物原排!$Z$3:$Z$1491&gt;=599.5)*(物原排!$Z$3:$Z$1491&lt;619.5))</f>
        <v>0</v>
      </c>
      <c r="F4" s="9">
        <f t="array" ref="F4">SUM((物原排!$B$3:$B$1491=A4)*(物原排!$Z$3:$Z$1491&gt;=579.5)*(物原排!$Z$3:$Z$1491&lt;599.5))</f>
        <v>0</v>
      </c>
      <c r="G4" s="9">
        <f t="array" ref="G4">SUM((物原排!$B$3:$B$1491=A4)*(物原排!$Z$3:$Z$1491&gt;=559.5)*(物原排!$Z$3:$Z$1491&lt;579.5))</f>
        <v>0</v>
      </c>
      <c r="H4" s="9">
        <f t="array" ref="H4">SUM((物原排!$B$3:$B$1491=A4)*(物原排!$Z$3:$Z$1491&gt;=539.5)*(物原排!$Z$3:$Z$1491&lt;559.5))</f>
        <v>0</v>
      </c>
      <c r="I4" s="9">
        <f t="array" ref="I4">SUM((物原排!$B$3:$B$1491=A4)*(物原排!$Z$3:$Z$1491&gt;=519.5)*(物原排!$Z$3:$Z$1491&lt;539.5))</f>
        <v>0</v>
      </c>
      <c r="J4" s="9">
        <f t="array" ref="J4">SUM((物原排!$B$3:$B$1491=A4)*(物原排!$Z$3:$Z$1491&gt;=499.5)*(物原排!$Z$3:$Z$1491&lt;519.5))</f>
        <v>2</v>
      </c>
      <c r="K4" s="9">
        <f t="array" ref="K4">SUM((物原排!$B$3:$B$1491=A4)*(物原排!$Z$3:$Z$1491&gt;=479.5)*(物原排!$Z$3:$Z$1491&lt;499.5))</f>
        <v>4</v>
      </c>
      <c r="L4" s="9">
        <f t="array" ref="L4">SUM((物原排!$B$3:$B$1491=A4)*(物原排!$Z$3:$Z$1491&gt;=459.5)*(物原排!$Z$3:$Z$1491&lt;479.5))</f>
        <v>12</v>
      </c>
      <c r="M4" s="9">
        <f t="array" ref="M4">SUM((物原排!$B$3:$B$1491=A4)*(物原排!$Z$3:$Z$1491&gt;=439.5)*(物原排!$Z$3:$Z$1491&lt;459.5))</f>
        <v>7</v>
      </c>
      <c r="N4" s="9">
        <f t="array" ref="N4">SUM((物原排!$B$3:$B$1491=A4)*(物原排!$Z$3:$Z$1491&gt;=419.5)*(物原排!$Z$3:$Z$1491&lt;439.5))</f>
        <v>9</v>
      </c>
      <c r="O4" s="9">
        <f t="array" ref="O4">SUM((物原排!$B$3:$B$1491=A4)*(物原排!$Z$3:$Z$1491&gt;=399.5)*(物原排!$Z$3:$Z$1491&lt;419.5))</f>
        <v>8</v>
      </c>
      <c r="P4" s="9">
        <f t="array" ref="P4">SUM((物原排!$B$3:$B$1491=A4)*(物原排!$Z$3:$Z$1491&lt;399.5))</f>
        <v>6</v>
      </c>
      <c r="Q4" s="9">
        <f t="shared" ref="Q4:Q15" si="0">SUM(B4:P4)</f>
        <v>48</v>
      </c>
    </row>
    <row r="5" spans="1:17">
      <c r="A5" s="9">
        <v>3</v>
      </c>
      <c r="B5" s="9">
        <f t="array" ref="B5">SUM((物原排!$B$3:$B$1491=A5)*(物原排!$Z$3:$Z$1491&gt;=649.5))</f>
        <v>0</v>
      </c>
      <c r="C5" s="9">
        <f t="array" ref="C5">SUM((物原排!$B$3:$B$1491=A5)*(物原排!$Z$3:$Z$1491&gt;=639.5)*(物原排!$Z$3:$Z$1491&lt;649.5))</f>
        <v>0</v>
      </c>
      <c r="D5" s="9">
        <f t="array" ref="D5">SUM((物原排!$B$3:$B$1491=A5)*(物原排!$Z$3:$Z$1491&gt;=619.5)*(物原排!$Z$3:$Z$1491&lt;639.5))</f>
        <v>0</v>
      </c>
      <c r="E5" s="9">
        <f t="array" ref="E5">SUM((物原排!$B$3:$B$1491=A5)*(物原排!$Z$3:$Z$1491&gt;=599.5)*(物原排!$Z$3:$Z$1491&lt;619.5))</f>
        <v>0</v>
      </c>
      <c r="F5" s="9">
        <f t="array" ref="F5">SUM((物原排!$B$3:$B$1491=A5)*(物原排!$Z$3:$Z$1491&gt;=579.5)*(物原排!$Z$3:$Z$1491&lt;599.5))</f>
        <v>0</v>
      </c>
      <c r="G5" s="9">
        <f t="array" ref="G5">SUM((物原排!$B$3:$B$1491=A5)*(物原排!$Z$3:$Z$1491&gt;=559.5)*(物原排!$Z$3:$Z$1491&lt;579.5))</f>
        <v>0</v>
      </c>
      <c r="H5" s="9">
        <f t="array" ref="H5">SUM((物原排!$B$3:$B$1491=A5)*(物原排!$Z$3:$Z$1491&gt;=539.5)*(物原排!$Z$3:$Z$1491&lt;559.5))</f>
        <v>0</v>
      </c>
      <c r="I5" s="9">
        <f t="array" ref="I5">SUM((物原排!$B$3:$B$1491=A5)*(物原排!$Z$3:$Z$1491&gt;=519.5)*(物原排!$Z$3:$Z$1491&lt;539.5))</f>
        <v>0</v>
      </c>
      <c r="J5" s="9">
        <f t="array" ref="J5">SUM((物原排!$B$3:$B$1491=A5)*(物原排!$Z$3:$Z$1491&gt;=499.5)*(物原排!$Z$3:$Z$1491&lt;519.5))</f>
        <v>2</v>
      </c>
      <c r="K5" s="9">
        <f t="array" ref="K5">SUM((物原排!$B$3:$B$1491=A5)*(物原排!$Z$3:$Z$1491&gt;=479.5)*(物原排!$Z$3:$Z$1491&lt;499.5))</f>
        <v>2</v>
      </c>
      <c r="L5" s="9">
        <f t="array" ref="L5">SUM((物原排!$B$3:$B$1491=A5)*(物原排!$Z$3:$Z$1491&gt;=459.5)*(物原排!$Z$3:$Z$1491&lt;479.5))</f>
        <v>7</v>
      </c>
      <c r="M5" s="9">
        <f t="array" ref="M5">SUM((物原排!$B$3:$B$1491=A5)*(物原排!$Z$3:$Z$1491&gt;=439.5)*(物原排!$Z$3:$Z$1491&lt;459.5))</f>
        <v>8</v>
      </c>
      <c r="N5" s="9">
        <f t="array" ref="N5">SUM((物原排!$B$3:$B$1491=A5)*(物原排!$Z$3:$Z$1491&gt;=419.5)*(物原排!$Z$3:$Z$1491&lt;439.5))</f>
        <v>9</v>
      </c>
      <c r="O5" s="9">
        <f t="array" ref="O5">SUM((物原排!$B$3:$B$1491=A5)*(物原排!$Z$3:$Z$1491&gt;=399.5)*(物原排!$Z$3:$Z$1491&lt;419.5))</f>
        <v>5</v>
      </c>
      <c r="P5" s="9">
        <f t="array" ref="P5">SUM((物原排!$B$3:$B$1491=A5)*(物原排!$Z$3:$Z$1491&lt;399.5))</f>
        <v>16</v>
      </c>
      <c r="Q5" s="9">
        <f t="shared" si="0"/>
        <v>49</v>
      </c>
    </row>
    <row r="6" spans="1:17">
      <c r="A6" s="9">
        <v>4</v>
      </c>
      <c r="B6" s="9">
        <f t="array" ref="B6">SUM((物原排!$B$3:$B$1491=A6)*(物原排!$Z$3:$Z$1491&gt;=649.5))</f>
        <v>0</v>
      </c>
      <c r="C6" s="9">
        <f t="array" ref="C6">SUM((物原排!$B$3:$B$1491=A6)*(物原排!$Z$3:$Z$1491&gt;=639.5)*(物原排!$Z$3:$Z$1491&lt;649.5))</f>
        <v>0</v>
      </c>
      <c r="D6" s="9">
        <f t="array" ref="D6">SUM((物原排!$B$3:$B$1491=A6)*(物原排!$Z$3:$Z$1491&gt;=619.5)*(物原排!$Z$3:$Z$1491&lt;639.5))</f>
        <v>0</v>
      </c>
      <c r="E6" s="9">
        <f t="array" ref="E6">SUM((物原排!$B$3:$B$1491=A6)*(物原排!$Z$3:$Z$1491&gt;=599.5)*(物原排!$Z$3:$Z$1491&lt;619.5))</f>
        <v>0</v>
      </c>
      <c r="F6" s="9">
        <f t="array" ref="F6">SUM((物原排!$B$3:$B$1491=A6)*(物原排!$Z$3:$Z$1491&gt;=579.5)*(物原排!$Z$3:$Z$1491&lt;599.5))</f>
        <v>0</v>
      </c>
      <c r="G6" s="9">
        <f t="array" ref="G6">SUM((物原排!$B$3:$B$1491=A6)*(物原排!$Z$3:$Z$1491&gt;=559.5)*(物原排!$Z$3:$Z$1491&lt;579.5))</f>
        <v>0</v>
      </c>
      <c r="H6" s="9">
        <f t="array" ref="H6">SUM((物原排!$B$3:$B$1491=A6)*(物原排!$Z$3:$Z$1491&gt;=539.5)*(物原排!$Z$3:$Z$1491&lt;559.5))</f>
        <v>0</v>
      </c>
      <c r="I6" s="9">
        <f t="array" ref="I6">SUM((物原排!$B$3:$B$1491=A6)*(物原排!$Z$3:$Z$1491&gt;=519.5)*(物原排!$Z$3:$Z$1491&lt;539.5))</f>
        <v>0</v>
      </c>
      <c r="J6" s="9">
        <f t="array" ref="J6">SUM((物原排!$B$3:$B$1491=A6)*(物原排!$Z$3:$Z$1491&gt;=499.5)*(物原排!$Z$3:$Z$1491&lt;519.5))</f>
        <v>1</v>
      </c>
      <c r="K6" s="9">
        <f t="array" ref="K6">SUM((物原排!$B$3:$B$1491=A6)*(物原排!$Z$3:$Z$1491&gt;=479.5)*(物原排!$Z$3:$Z$1491&lt;499.5))</f>
        <v>5</v>
      </c>
      <c r="L6" s="9">
        <f t="array" ref="L6">SUM((物原排!$B$3:$B$1491=A6)*(物原排!$Z$3:$Z$1491&gt;=459.5)*(物原排!$Z$3:$Z$1491&lt;479.5))</f>
        <v>4</v>
      </c>
      <c r="M6" s="9">
        <f t="array" ref="M6">SUM((物原排!$B$3:$B$1491=A6)*(物原排!$Z$3:$Z$1491&gt;=439.5)*(物原排!$Z$3:$Z$1491&lt;459.5))</f>
        <v>8</v>
      </c>
      <c r="N6" s="9">
        <f t="array" ref="N6">SUM((物原排!$B$3:$B$1491=A6)*(物原排!$Z$3:$Z$1491&gt;=419.5)*(物原排!$Z$3:$Z$1491&lt;439.5))</f>
        <v>12</v>
      </c>
      <c r="O6" s="9">
        <f t="array" ref="O6">SUM((物原排!$B$3:$B$1491=A6)*(物原排!$Z$3:$Z$1491&gt;=399.5)*(物原排!$Z$3:$Z$1491&lt;419.5))</f>
        <v>5</v>
      </c>
      <c r="P6" s="9">
        <f t="array" ref="P6">SUM((物原排!$B$3:$B$1491=A6)*(物原排!$Z$3:$Z$1491&lt;399.5))</f>
        <v>9</v>
      </c>
      <c r="Q6" s="9">
        <f t="shared" si="0"/>
        <v>44</v>
      </c>
    </row>
    <row r="7" spans="1:17">
      <c r="A7" s="9">
        <v>5</v>
      </c>
      <c r="B7" s="9">
        <f t="array" ref="B7">SUM((物原排!$B$3:$B$1491=A7)*(物原排!$Z$3:$Z$1491&gt;=649.5))</f>
        <v>0</v>
      </c>
      <c r="C7" s="9">
        <f t="array" ref="C7">SUM((物原排!$B$3:$B$1491=A7)*(物原排!$Z$3:$Z$1491&gt;=639.5)*(物原排!$Z$3:$Z$1491&lt;649.5))</f>
        <v>0</v>
      </c>
      <c r="D7" s="9">
        <f t="array" ref="D7">SUM((物原排!$B$3:$B$1491=A7)*(物原排!$Z$3:$Z$1491&gt;=619.5)*(物原排!$Z$3:$Z$1491&lt;639.5))</f>
        <v>0</v>
      </c>
      <c r="E7" s="9">
        <f t="array" ref="E7">SUM((物原排!$B$3:$B$1491=A7)*(物原排!$Z$3:$Z$1491&gt;=599.5)*(物原排!$Z$3:$Z$1491&lt;619.5))</f>
        <v>0</v>
      </c>
      <c r="F7" s="9">
        <f t="array" ref="F7">SUM((物原排!$B$3:$B$1491=A7)*(物原排!$Z$3:$Z$1491&gt;=579.5)*(物原排!$Z$3:$Z$1491&lt;599.5))</f>
        <v>0</v>
      </c>
      <c r="G7" s="9">
        <f t="array" ref="G7">SUM((物原排!$B$3:$B$1491=A7)*(物原排!$Z$3:$Z$1491&gt;=559.5)*(物原排!$Z$3:$Z$1491&lt;579.5))</f>
        <v>0</v>
      </c>
      <c r="H7" s="9">
        <f t="array" ref="H7">SUM((物原排!$B$3:$B$1491=A7)*(物原排!$Z$3:$Z$1491&gt;=539.5)*(物原排!$Z$3:$Z$1491&lt;559.5))</f>
        <v>0</v>
      </c>
      <c r="I7" s="9">
        <f t="array" ref="I7">SUM((物原排!$B$3:$B$1491=A7)*(物原排!$Z$3:$Z$1491&gt;=519.5)*(物原排!$Z$3:$Z$1491&lt;539.5))</f>
        <v>0</v>
      </c>
      <c r="J7" s="9">
        <f t="array" ref="J7">SUM((物原排!$B$3:$B$1491=A7)*(物原排!$Z$3:$Z$1491&gt;=499.5)*(物原排!$Z$3:$Z$1491&lt;519.5))</f>
        <v>2</v>
      </c>
      <c r="K7" s="9">
        <f t="array" ref="K7">SUM((物原排!$B$3:$B$1491=A7)*(物原排!$Z$3:$Z$1491&gt;=479.5)*(物原排!$Z$3:$Z$1491&lt;499.5))</f>
        <v>4</v>
      </c>
      <c r="L7" s="9">
        <f t="array" ref="L7">SUM((物原排!$B$3:$B$1491=A7)*(物原排!$Z$3:$Z$1491&gt;=459.5)*(物原排!$Z$3:$Z$1491&lt;479.5))</f>
        <v>9</v>
      </c>
      <c r="M7" s="9">
        <f t="array" ref="M7">SUM((物原排!$B$3:$B$1491=A7)*(物原排!$Z$3:$Z$1491&gt;=439.5)*(物原排!$Z$3:$Z$1491&lt;459.5))</f>
        <v>9</v>
      </c>
      <c r="N7" s="9">
        <f t="array" ref="N7">SUM((物原排!$B$3:$B$1491=A7)*(物原排!$Z$3:$Z$1491&gt;=419.5)*(物原排!$Z$3:$Z$1491&lt;439.5))</f>
        <v>10</v>
      </c>
      <c r="O7" s="9">
        <f t="array" ref="O7">SUM((物原排!$B$3:$B$1491=A7)*(物原排!$Z$3:$Z$1491&gt;=399.5)*(物原排!$Z$3:$Z$1491&lt;419.5))</f>
        <v>5</v>
      </c>
      <c r="P7" s="9">
        <f t="array" ref="P7">SUM((物原排!$B$3:$B$1491=A7)*(物原排!$Z$3:$Z$1491&lt;399.5))</f>
        <v>8</v>
      </c>
      <c r="Q7" s="9">
        <f t="shared" si="0"/>
        <v>47</v>
      </c>
    </row>
    <row r="8" spans="1:17">
      <c r="A8" s="9">
        <v>6</v>
      </c>
      <c r="B8" s="9">
        <f t="array" ref="B8">SUM((物原排!$B$3:$B$1491=A8)*(物原排!$Z$3:$Z$1491&gt;=649.5))</f>
        <v>0</v>
      </c>
      <c r="C8" s="9">
        <f t="array" ref="C8">SUM((物原排!$B$3:$B$1491=A8)*(物原排!$Z$3:$Z$1491&gt;=639.5)*(物原排!$Z$3:$Z$1491&lt;649.5))</f>
        <v>0</v>
      </c>
      <c r="D8" s="9">
        <f t="array" ref="D8">SUM((物原排!$B$3:$B$1491=A8)*(物原排!$Z$3:$Z$1491&gt;=619.5)*(物原排!$Z$3:$Z$1491&lt;639.5))</f>
        <v>0</v>
      </c>
      <c r="E8" s="9">
        <f t="array" ref="E8">SUM((物原排!$B$3:$B$1491=A8)*(物原排!$Z$3:$Z$1491&gt;=599.5)*(物原排!$Z$3:$Z$1491&lt;619.5))</f>
        <v>0</v>
      </c>
      <c r="F8" s="9">
        <f t="array" ref="F8">SUM((物原排!$B$3:$B$1491=A8)*(物原排!$Z$3:$Z$1491&gt;=579.5)*(物原排!$Z$3:$Z$1491&lt;599.5))</f>
        <v>0</v>
      </c>
      <c r="G8" s="9">
        <f t="array" ref="G8">SUM((物原排!$B$3:$B$1491=A8)*(物原排!$Z$3:$Z$1491&gt;=559.5)*(物原排!$Z$3:$Z$1491&lt;579.5))</f>
        <v>0</v>
      </c>
      <c r="H8" s="9">
        <f t="array" ref="H8">SUM((物原排!$B$3:$B$1491=A8)*(物原排!$Z$3:$Z$1491&gt;=539.5)*(物原排!$Z$3:$Z$1491&lt;559.5))</f>
        <v>0</v>
      </c>
      <c r="I8" s="9">
        <f t="array" ref="I8">SUM((物原排!$B$3:$B$1491=A8)*(物原排!$Z$3:$Z$1491&gt;=519.5)*(物原排!$Z$3:$Z$1491&lt;539.5))</f>
        <v>0</v>
      </c>
      <c r="J8" s="9">
        <f t="array" ref="J8">SUM((物原排!$B$3:$B$1491=A8)*(物原排!$Z$3:$Z$1491&gt;=499.5)*(物原排!$Z$3:$Z$1491&lt;519.5))</f>
        <v>0</v>
      </c>
      <c r="K8" s="9">
        <f t="array" ref="K8">SUM((物原排!$B$3:$B$1491=A8)*(物原排!$Z$3:$Z$1491&gt;=479.5)*(物原排!$Z$3:$Z$1491&lt;499.5))</f>
        <v>5</v>
      </c>
      <c r="L8" s="9">
        <f t="array" ref="L8">SUM((物原排!$B$3:$B$1491=A8)*(物原排!$Z$3:$Z$1491&gt;=459.5)*(物原排!$Z$3:$Z$1491&lt;479.5))</f>
        <v>5</v>
      </c>
      <c r="M8" s="9">
        <f t="array" ref="M8">SUM((物原排!$B$3:$B$1491=A8)*(物原排!$Z$3:$Z$1491&gt;=439.5)*(物原排!$Z$3:$Z$1491&lt;459.5))</f>
        <v>4</v>
      </c>
      <c r="N8" s="9">
        <f t="array" ref="N8">SUM((物原排!$B$3:$B$1491=A8)*(物原排!$Z$3:$Z$1491&gt;=419.5)*(物原排!$Z$3:$Z$1491&lt;439.5))</f>
        <v>7</v>
      </c>
      <c r="O8" s="9">
        <f t="array" ref="O8">SUM((物原排!$B$3:$B$1491=A8)*(物原排!$Z$3:$Z$1491&gt;=399.5)*(物原排!$Z$3:$Z$1491&lt;419.5))</f>
        <v>4</v>
      </c>
      <c r="P8" s="9">
        <f t="array" ref="P8">SUM((物原排!$B$3:$B$1491=A8)*(物原排!$Z$3:$Z$1491&lt;399.5))</f>
        <v>14</v>
      </c>
      <c r="Q8" s="9">
        <f t="shared" si="0"/>
        <v>39</v>
      </c>
    </row>
    <row r="9" spans="1:17">
      <c r="A9" s="9">
        <v>7</v>
      </c>
      <c r="B9" s="9">
        <f t="array" ref="B9">SUM((物原排!$B$3:$B$1491=A9)*(物原排!$Z$3:$Z$1491&gt;=649.5))</f>
        <v>0</v>
      </c>
      <c r="C9" s="9">
        <f t="array" ref="C9">SUM((物原排!$B$3:$B$1491=A9)*(物原排!$Z$3:$Z$1491&gt;=639.5)*(物原排!$Z$3:$Z$1491&lt;649.5))</f>
        <v>0</v>
      </c>
      <c r="D9" s="9">
        <f t="array" ref="D9">SUM((物原排!$B$3:$B$1491=A9)*(物原排!$Z$3:$Z$1491&gt;=619.5)*(物原排!$Z$3:$Z$1491&lt;639.5))</f>
        <v>0</v>
      </c>
      <c r="E9" s="9">
        <f t="array" ref="E9">SUM((物原排!$B$3:$B$1491=A9)*(物原排!$Z$3:$Z$1491&gt;=599.5)*(物原排!$Z$3:$Z$1491&lt;619.5))</f>
        <v>0</v>
      </c>
      <c r="F9" s="9">
        <f t="array" ref="F9">SUM((物原排!$B$3:$B$1491=A9)*(物原排!$Z$3:$Z$1491&gt;=579.5)*(物原排!$Z$3:$Z$1491&lt;599.5))</f>
        <v>0</v>
      </c>
      <c r="G9" s="9">
        <f t="array" ref="G9">SUM((物原排!$B$3:$B$1491=A9)*(物原排!$Z$3:$Z$1491&gt;=559.5)*(物原排!$Z$3:$Z$1491&lt;579.5))</f>
        <v>0</v>
      </c>
      <c r="H9" s="9">
        <f t="array" ref="H9">SUM((物原排!$B$3:$B$1491=A9)*(物原排!$Z$3:$Z$1491&gt;=539.5)*(物原排!$Z$3:$Z$1491&lt;559.5))</f>
        <v>0</v>
      </c>
      <c r="I9" s="9">
        <f t="array" ref="I9">SUM((物原排!$B$3:$B$1491=A9)*(物原排!$Z$3:$Z$1491&gt;=519.5)*(物原排!$Z$3:$Z$1491&lt;539.5))</f>
        <v>0</v>
      </c>
      <c r="J9" s="9">
        <f t="array" ref="J9">SUM((物原排!$B$3:$B$1491=A9)*(物原排!$Z$3:$Z$1491&gt;=499.5)*(物原排!$Z$3:$Z$1491&lt;519.5))</f>
        <v>0</v>
      </c>
      <c r="K9" s="9">
        <f t="array" ref="K9">SUM((物原排!$B$3:$B$1491=A9)*(物原排!$Z$3:$Z$1491&gt;=479.5)*(物原排!$Z$3:$Z$1491&lt;499.5))</f>
        <v>1</v>
      </c>
      <c r="L9" s="9">
        <f t="array" ref="L9">SUM((物原排!$B$3:$B$1491=A9)*(物原排!$Z$3:$Z$1491&gt;=459.5)*(物原排!$Z$3:$Z$1491&lt;479.5))</f>
        <v>3</v>
      </c>
      <c r="M9" s="9">
        <f t="array" ref="M9">SUM((物原排!$B$3:$B$1491=A9)*(物原排!$Z$3:$Z$1491&gt;=439.5)*(物原排!$Z$3:$Z$1491&lt;459.5))</f>
        <v>4</v>
      </c>
      <c r="N9" s="9">
        <f t="array" ref="N9">SUM((物原排!$B$3:$B$1491=A9)*(物原排!$Z$3:$Z$1491&gt;=419.5)*(物原排!$Z$3:$Z$1491&lt;439.5))</f>
        <v>3</v>
      </c>
      <c r="O9" s="9">
        <f t="array" ref="O9">SUM((物原排!$B$3:$B$1491=A9)*(物原排!$Z$3:$Z$1491&gt;=399.5)*(物原排!$Z$3:$Z$1491&lt;419.5))</f>
        <v>7</v>
      </c>
      <c r="P9" s="9">
        <f t="array" ref="P9">SUM((物原排!$B$3:$B$1491=A9)*(物原排!$Z$3:$Z$1491&lt;399.5))</f>
        <v>20</v>
      </c>
      <c r="Q9" s="9">
        <f t="shared" si="0"/>
        <v>38</v>
      </c>
    </row>
    <row r="10" spans="1:17">
      <c r="A10" s="9">
        <v>8</v>
      </c>
      <c r="B10" s="9">
        <f t="array" ref="B10">SUM((物原排!$B$3:$B$1491=A10)*(物原排!$Z$3:$Z$1491&gt;=649.5))</f>
        <v>0</v>
      </c>
      <c r="C10" s="9">
        <f t="array" ref="C10">SUM((物原排!$B$3:$B$1491=A10)*(物原排!$Z$3:$Z$1491&gt;=639.5)*(物原排!$Z$3:$Z$1491&lt;649.5))</f>
        <v>0</v>
      </c>
      <c r="D10" s="9">
        <f t="array" ref="D10">SUM((物原排!$B$3:$B$1491=A10)*(物原排!$Z$3:$Z$1491&gt;=619.5)*(物原排!$Z$3:$Z$1491&lt;639.5))</f>
        <v>0</v>
      </c>
      <c r="E10" s="9">
        <f t="array" ref="E10">SUM((物原排!$B$3:$B$1491=A10)*(物原排!$Z$3:$Z$1491&gt;=599.5)*(物原排!$Z$3:$Z$1491&lt;619.5))</f>
        <v>0</v>
      </c>
      <c r="F10" s="9">
        <f t="array" ref="F10">SUM((物原排!$B$3:$B$1491=A10)*(物原排!$Z$3:$Z$1491&gt;=579.5)*(物原排!$Z$3:$Z$1491&lt;599.5))</f>
        <v>0</v>
      </c>
      <c r="G10" s="9">
        <f t="array" ref="G10">SUM((物原排!$B$3:$B$1491=A10)*(物原排!$Z$3:$Z$1491&gt;=559.5)*(物原排!$Z$3:$Z$1491&lt;579.5))</f>
        <v>0</v>
      </c>
      <c r="H10" s="9">
        <f t="array" ref="H10">SUM((物原排!$B$3:$B$1491=A10)*(物原排!$Z$3:$Z$1491&gt;=539.5)*(物原排!$Z$3:$Z$1491&lt;559.5))</f>
        <v>0</v>
      </c>
      <c r="I10" s="9">
        <f t="array" ref="I10">SUM((物原排!$B$3:$B$1491=A10)*(物原排!$Z$3:$Z$1491&gt;=519.5)*(物原排!$Z$3:$Z$1491&lt;539.5))</f>
        <v>1</v>
      </c>
      <c r="J10" s="9">
        <f t="array" ref="J10">SUM((物原排!$B$3:$B$1491=A10)*(物原排!$Z$3:$Z$1491&gt;=499.5)*(物原排!$Z$3:$Z$1491&lt;519.5))</f>
        <v>0</v>
      </c>
      <c r="K10" s="9">
        <f t="array" ref="K10">SUM((物原排!$B$3:$B$1491=A10)*(物原排!$Z$3:$Z$1491&gt;=479.5)*(物原排!$Z$3:$Z$1491&lt;499.5))</f>
        <v>4</v>
      </c>
      <c r="L10" s="9">
        <f t="array" ref="L10">SUM((物原排!$B$3:$B$1491=A10)*(物原排!$Z$3:$Z$1491&gt;=459.5)*(物原排!$Z$3:$Z$1491&lt;479.5))</f>
        <v>9</v>
      </c>
      <c r="M10" s="9">
        <f t="array" ref="M10">SUM((物原排!$B$3:$B$1491=A10)*(物原排!$Z$3:$Z$1491&gt;=439.5)*(物原排!$Z$3:$Z$1491&lt;459.5))</f>
        <v>10</v>
      </c>
      <c r="N10" s="9">
        <f t="array" ref="N10">SUM((物原排!$B$3:$B$1491=A10)*(物原排!$Z$3:$Z$1491&gt;=419.5)*(物原排!$Z$3:$Z$1491&lt;439.5))</f>
        <v>15</v>
      </c>
      <c r="O10" s="9">
        <f t="array" ref="O10">SUM((物原排!$B$3:$B$1491=A10)*(物原排!$Z$3:$Z$1491&gt;=399.5)*(物原排!$Z$3:$Z$1491&lt;419.5))</f>
        <v>7</v>
      </c>
      <c r="P10" s="9">
        <f t="array" ref="P10">SUM((物原排!$B$3:$B$1491=A10)*(物原排!$Z$3:$Z$1491&lt;399.5))</f>
        <v>11</v>
      </c>
      <c r="Q10" s="9">
        <f t="shared" si="0"/>
        <v>57</v>
      </c>
    </row>
    <row r="11" spans="1:17">
      <c r="A11" s="9">
        <v>9</v>
      </c>
      <c r="B11" s="9">
        <f t="array" ref="B11">SUM((物原排!$B$3:$B$1491=A11)*(物原排!$Z$3:$Z$1491&gt;=649.5))</f>
        <v>0</v>
      </c>
      <c r="C11" s="9">
        <f t="array" ref="C11">SUM((物原排!$B$3:$B$1491=A11)*(物原排!$Z$3:$Z$1491&gt;=639.5)*(物原排!$Z$3:$Z$1491&lt;649.5))</f>
        <v>0</v>
      </c>
      <c r="D11" s="9">
        <f t="array" ref="D11">SUM((物原排!$B$3:$B$1491=A11)*(物原排!$Z$3:$Z$1491&gt;=619.5)*(物原排!$Z$3:$Z$1491&lt;639.5))</f>
        <v>0</v>
      </c>
      <c r="E11" s="9">
        <f t="array" ref="E11">SUM((物原排!$B$3:$B$1491=A11)*(物原排!$Z$3:$Z$1491&gt;=599.5)*(物原排!$Z$3:$Z$1491&lt;619.5))</f>
        <v>1</v>
      </c>
      <c r="F11" s="9">
        <f t="array" ref="F11">SUM((物原排!$B$3:$B$1491=A11)*(物原排!$Z$3:$Z$1491&gt;=579.5)*(物原排!$Z$3:$Z$1491&lt;599.5))</f>
        <v>1</v>
      </c>
      <c r="G11" s="9">
        <f t="array" ref="G11">SUM((物原排!$B$3:$B$1491=A11)*(物原排!$Z$3:$Z$1491&gt;=559.5)*(物原排!$Z$3:$Z$1491&lt;579.5))</f>
        <v>3</v>
      </c>
      <c r="H11" s="9">
        <f t="array" ref="H11">SUM((物原排!$B$3:$B$1491=A11)*(物原排!$Z$3:$Z$1491&gt;=539.5)*(物原排!$Z$3:$Z$1491&lt;559.5))</f>
        <v>6</v>
      </c>
      <c r="I11" s="9">
        <f t="array" ref="I11">SUM((物原排!$B$3:$B$1491=A11)*(物原排!$Z$3:$Z$1491&gt;=519.5)*(物原排!$Z$3:$Z$1491&lt;539.5))</f>
        <v>16</v>
      </c>
      <c r="J11" s="9">
        <f t="array" ref="J11">SUM((物原排!$B$3:$B$1491=A11)*(物原排!$Z$3:$Z$1491&gt;=499.5)*(物原排!$Z$3:$Z$1491&lt;519.5))</f>
        <v>16</v>
      </c>
      <c r="K11" s="9">
        <f t="array" ref="K11">SUM((物原排!$B$3:$B$1491=A11)*(物原排!$Z$3:$Z$1491&gt;=479.5)*(物原排!$Z$3:$Z$1491&lt;499.5))</f>
        <v>6</v>
      </c>
      <c r="L11" s="9">
        <f t="array" ref="L11">SUM((物原排!$B$3:$B$1491=A11)*(物原排!$Z$3:$Z$1491&gt;=459.5)*(物原排!$Z$3:$Z$1491&lt;479.5))</f>
        <v>5</v>
      </c>
      <c r="M11" s="9">
        <f t="array" ref="M11">SUM((物原排!$B$3:$B$1491=A11)*(物原排!$Z$3:$Z$1491&gt;=439.5)*(物原排!$Z$3:$Z$1491&lt;459.5))</f>
        <v>0</v>
      </c>
      <c r="N11" s="9">
        <f t="array" ref="N11">SUM((物原排!$B$3:$B$1491=A11)*(物原排!$Z$3:$Z$1491&gt;=419.5)*(物原排!$Z$3:$Z$1491&lt;439.5))</f>
        <v>0</v>
      </c>
      <c r="O11" s="9">
        <f t="array" ref="O11">SUM((物原排!$B$3:$B$1491=A11)*(物原排!$Z$3:$Z$1491&gt;=399.5)*(物原排!$Z$3:$Z$1491&lt;419.5))</f>
        <v>0</v>
      </c>
      <c r="P11" s="9">
        <f t="array" ref="P11">SUM((物原排!$B$3:$B$1491=A11)*(物原排!$Z$3:$Z$1491&lt;399.5))</f>
        <v>0</v>
      </c>
      <c r="Q11" s="9">
        <f t="shared" si="0"/>
        <v>54</v>
      </c>
    </row>
    <row r="12" spans="1:17">
      <c r="A12" s="9">
        <v>10</v>
      </c>
      <c r="B12" s="9">
        <f t="array" ref="B12">SUM((物原排!$B$3:$B$1491=A12)*(物原排!$Z$3:$Z$1491&gt;=649.5))</f>
        <v>0</v>
      </c>
      <c r="C12" s="9">
        <f t="array" ref="C12">SUM((物原排!$B$3:$B$1491=A12)*(物原排!$Z$3:$Z$1491&gt;=639.5)*(物原排!$Z$3:$Z$1491&lt;649.5))</f>
        <v>0</v>
      </c>
      <c r="D12" s="9">
        <f t="array" ref="D12">SUM((物原排!$B$3:$B$1491=A12)*(物原排!$Z$3:$Z$1491&gt;=619.5)*(物原排!$Z$3:$Z$1491&lt;639.5))</f>
        <v>0</v>
      </c>
      <c r="E12" s="9">
        <f t="array" ref="E12">SUM((物原排!$B$3:$B$1491=A12)*(物原排!$Z$3:$Z$1491&gt;=599.5)*(物原排!$Z$3:$Z$1491&lt;619.5))</f>
        <v>0</v>
      </c>
      <c r="F12" s="9">
        <f t="array" ref="F12">SUM((物原排!$B$3:$B$1491=A12)*(物原排!$Z$3:$Z$1491&gt;=579.5)*(物原排!$Z$3:$Z$1491&lt;599.5))</f>
        <v>0</v>
      </c>
      <c r="G12" s="9">
        <f t="array" ref="G12">SUM((物原排!$B$3:$B$1491=A12)*(物原排!$Z$3:$Z$1491&gt;=559.5)*(物原排!$Z$3:$Z$1491&lt;579.5))</f>
        <v>0</v>
      </c>
      <c r="H12" s="9">
        <f t="array" ref="H12">SUM((物原排!$B$3:$B$1491=A12)*(物原排!$Z$3:$Z$1491&gt;=539.5)*(物原排!$Z$3:$Z$1491&lt;559.5))</f>
        <v>3</v>
      </c>
      <c r="I12" s="9">
        <f t="array" ref="I12">SUM((物原排!$B$3:$B$1491=A12)*(物原排!$Z$3:$Z$1491&gt;=519.5)*(物原排!$Z$3:$Z$1491&lt;539.5))</f>
        <v>3</v>
      </c>
      <c r="J12" s="9">
        <f t="array" ref="J12">SUM((物原排!$B$3:$B$1491=A12)*(物原排!$Z$3:$Z$1491&gt;=499.5)*(物原排!$Z$3:$Z$1491&lt;519.5))</f>
        <v>9</v>
      </c>
      <c r="K12" s="9">
        <f t="array" ref="K12">SUM((物原排!$B$3:$B$1491=A12)*(物原排!$Z$3:$Z$1491&gt;=479.5)*(物原排!$Z$3:$Z$1491&lt;499.5))</f>
        <v>18</v>
      </c>
      <c r="L12" s="9">
        <f t="array" ref="L12">SUM((物原排!$B$3:$B$1491=A12)*(物原排!$Z$3:$Z$1491&gt;=459.5)*(物原排!$Z$3:$Z$1491&lt;479.5))</f>
        <v>14</v>
      </c>
      <c r="M12" s="9">
        <f t="array" ref="M12">SUM((物原排!$B$3:$B$1491=A12)*(物原排!$Z$3:$Z$1491&gt;=439.5)*(物原排!$Z$3:$Z$1491&lt;459.5))</f>
        <v>8</v>
      </c>
      <c r="N12" s="9">
        <f t="array" ref="N12">SUM((物原排!$B$3:$B$1491=A12)*(物原排!$Z$3:$Z$1491&gt;=419.5)*(物原排!$Z$3:$Z$1491&lt;439.5))</f>
        <v>2</v>
      </c>
      <c r="O12" s="9">
        <f t="array" ref="O12">SUM((物原排!$B$3:$B$1491=A12)*(物原排!$Z$3:$Z$1491&gt;=399.5)*(物原排!$Z$3:$Z$1491&lt;419.5))</f>
        <v>0</v>
      </c>
      <c r="P12" s="9">
        <f t="array" ref="P12">SUM((物原排!$B$3:$B$1491=A12)*(物原排!$Z$3:$Z$1491&lt;399.5))</f>
        <v>0</v>
      </c>
      <c r="Q12" s="9">
        <f t="shared" si="0"/>
        <v>57</v>
      </c>
    </row>
    <row r="13" spans="1:17">
      <c r="A13" s="9">
        <v>11</v>
      </c>
      <c r="B13" s="9">
        <f t="array" ref="B13">SUM((物原排!$B$3:$B$1491=A13)*(物原排!$Z$3:$Z$1491&gt;=649.5))</f>
        <v>0</v>
      </c>
      <c r="C13" s="9">
        <f t="array" ref="C13">SUM((物原排!$B$3:$B$1491=A13)*(物原排!$Z$3:$Z$1491&gt;=639.5)*(物原排!$Z$3:$Z$1491&lt;649.5))</f>
        <v>0</v>
      </c>
      <c r="D13" s="9">
        <f t="array" ref="D13">SUM((物原排!$B$3:$B$1491=A13)*(物原排!$Z$3:$Z$1491&gt;=619.5)*(物原排!$Z$3:$Z$1491&lt;639.5))</f>
        <v>0</v>
      </c>
      <c r="E13" s="9">
        <f t="array" ref="E13">SUM((物原排!$B$3:$B$1491=A13)*(物原排!$Z$3:$Z$1491&gt;=599.5)*(物原排!$Z$3:$Z$1491&lt;619.5))</f>
        <v>0</v>
      </c>
      <c r="F13" s="9">
        <f t="array" ref="F13">SUM((物原排!$B$3:$B$1491=A13)*(物原排!$Z$3:$Z$1491&gt;=579.5)*(物原排!$Z$3:$Z$1491&lt;599.5))</f>
        <v>0</v>
      </c>
      <c r="G13" s="9">
        <f t="array" ref="G13">SUM((物原排!$B$3:$B$1491=A13)*(物原排!$Z$3:$Z$1491&gt;=559.5)*(物原排!$Z$3:$Z$1491&lt;579.5))</f>
        <v>0</v>
      </c>
      <c r="H13" s="9">
        <f t="array" ref="H13">SUM((物原排!$B$3:$B$1491=A13)*(物原排!$Z$3:$Z$1491&gt;=539.5)*(物原排!$Z$3:$Z$1491&lt;559.5))</f>
        <v>0</v>
      </c>
      <c r="I13" s="9">
        <f t="array" ref="I13">SUM((物原排!$B$3:$B$1491=A13)*(物原排!$Z$3:$Z$1491&gt;=519.5)*(物原排!$Z$3:$Z$1491&lt;539.5))</f>
        <v>0</v>
      </c>
      <c r="J13" s="9">
        <f t="array" ref="J13">SUM((物原排!$B$3:$B$1491=A13)*(物原排!$Z$3:$Z$1491&gt;=499.5)*(物原排!$Z$3:$Z$1491&lt;519.5))</f>
        <v>1</v>
      </c>
      <c r="K13" s="9">
        <f t="array" ref="K13">SUM((物原排!$B$3:$B$1491=A13)*(物原排!$Z$3:$Z$1491&gt;=479.5)*(物原排!$Z$3:$Z$1491&lt;499.5))</f>
        <v>3</v>
      </c>
      <c r="L13" s="9">
        <f t="array" ref="L13">SUM((物原排!$B$3:$B$1491=A13)*(物原排!$Z$3:$Z$1491&gt;=459.5)*(物原排!$Z$3:$Z$1491&lt;479.5))</f>
        <v>8</v>
      </c>
      <c r="M13" s="9">
        <f t="array" ref="M13">SUM((物原排!$B$3:$B$1491=A13)*(物原排!$Z$3:$Z$1491&gt;=439.5)*(物原排!$Z$3:$Z$1491&lt;459.5))</f>
        <v>12</v>
      </c>
      <c r="N13" s="9">
        <f t="array" ref="N13">SUM((物原排!$B$3:$B$1491=A13)*(物原排!$Z$3:$Z$1491&gt;=419.5)*(物原排!$Z$3:$Z$1491&lt;439.5))</f>
        <v>7</v>
      </c>
      <c r="O13" s="9">
        <f t="array" ref="O13">SUM((物原排!$B$3:$B$1491=A13)*(物原排!$Z$3:$Z$1491&gt;=399.5)*(物原排!$Z$3:$Z$1491&lt;419.5))</f>
        <v>11</v>
      </c>
      <c r="P13" s="9">
        <f t="array" ref="P13">SUM((物原排!$B$3:$B$1491=A13)*(物原排!$Z$3:$Z$1491&lt;399.5))</f>
        <v>15</v>
      </c>
      <c r="Q13" s="9">
        <f t="shared" si="0"/>
        <v>57</v>
      </c>
    </row>
    <row r="14" spans="1:17">
      <c r="A14" s="9">
        <v>12</v>
      </c>
      <c r="B14" s="9">
        <f t="array" ref="B14">SUM((物原排!$B$3:$B$1491=A14)*(物原排!$Z$3:$Z$1491&gt;=649.5))</f>
        <v>0</v>
      </c>
      <c r="C14" s="9">
        <f t="array" ref="C14">SUM((物原排!$B$3:$B$1491=A14)*(物原排!$Z$3:$Z$1491&gt;=639.5)*(物原排!$Z$3:$Z$1491&lt;649.5))</f>
        <v>0</v>
      </c>
      <c r="D14" s="9">
        <f t="array" ref="D14">SUM((物原排!$B$3:$B$1491=A14)*(物原排!$Z$3:$Z$1491&gt;=619.5)*(物原排!$Z$3:$Z$1491&lt;639.5))</f>
        <v>0</v>
      </c>
      <c r="E14" s="9">
        <f t="array" ref="E14">SUM((物原排!$B$3:$B$1491=A14)*(物原排!$Z$3:$Z$1491&gt;=599.5)*(物原排!$Z$3:$Z$1491&lt;619.5))</f>
        <v>0</v>
      </c>
      <c r="F14" s="9">
        <f t="array" ref="F14">SUM((物原排!$B$3:$B$1491=A14)*(物原排!$Z$3:$Z$1491&gt;=579.5)*(物原排!$Z$3:$Z$1491&lt;599.5))</f>
        <v>0</v>
      </c>
      <c r="G14" s="9">
        <f t="array" ref="G14">SUM((物原排!$B$3:$B$1491=A14)*(物原排!$Z$3:$Z$1491&gt;=559.5)*(物原排!$Z$3:$Z$1491&lt;579.5))</f>
        <v>0</v>
      </c>
      <c r="H14" s="9">
        <f t="array" ref="H14">SUM((物原排!$B$3:$B$1491=A14)*(物原排!$Z$3:$Z$1491&gt;=539.5)*(物原排!$Z$3:$Z$1491&lt;559.5))</f>
        <v>0</v>
      </c>
      <c r="I14" s="9">
        <f t="array" ref="I14">SUM((物原排!$B$3:$B$1491=A14)*(物原排!$Z$3:$Z$1491&gt;=519.5)*(物原排!$Z$3:$Z$1491&lt;539.5))</f>
        <v>1</v>
      </c>
      <c r="J14" s="9">
        <f t="array" ref="J14">SUM((物原排!$B$3:$B$1491=A14)*(物原排!$Z$3:$Z$1491&gt;=499.5)*(物原排!$Z$3:$Z$1491&lt;519.5))</f>
        <v>1</v>
      </c>
      <c r="K14" s="9">
        <f t="array" ref="K14">SUM((物原排!$B$3:$B$1491=A14)*(物原排!$Z$3:$Z$1491&gt;=479.5)*(物原排!$Z$3:$Z$1491&lt;499.5))</f>
        <v>2</v>
      </c>
      <c r="L14" s="9">
        <f t="array" ref="L14">SUM((物原排!$B$3:$B$1491=A14)*(物原排!$Z$3:$Z$1491&gt;=459.5)*(物原排!$Z$3:$Z$1491&lt;479.5))</f>
        <v>3</v>
      </c>
      <c r="M14" s="9">
        <f t="array" ref="M14">SUM((物原排!$B$3:$B$1491=A14)*(物原排!$Z$3:$Z$1491&gt;=439.5)*(物原排!$Z$3:$Z$1491&lt;459.5))</f>
        <v>10</v>
      </c>
      <c r="N14" s="9">
        <f t="array" ref="N14">SUM((物原排!$B$3:$B$1491=A14)*(物原排!$Z$3:$Z$1491&gt;=419.5)*(物原排!$Z$3:$Z$1491&lt;439.5))</f>
        <v>9</v>
      </c>
      <c r="O14" s="9">
        <f t="array" ref="O14">SUM((物原排!$B$3:$B$1491=A14)*(物原排!$Z$3:$Z$1491&gt;=399.5)*(物原排!$Z$3:$Z$1491&lt;419.5))</f>
        <v>8</v>
      </c>
      <c r="P14" s="9">
        <f t="array" ref="P14">SUM((物原排!$B$3:$B$1491=A14)*(物原排!$Z$3:$Z$1491&lt;399.5))</f>
        <v>22</v>
      </c>
      <c r="Q14" s="9">
        <f t="shared" si="0"/>
        <v>56</v>
      </c>
    </row>
    <row r="15" spans="1:17">
      <c r="A15" s="9">
        <v>13</v>
      </c>
      <c r="B15" s="9">
        <f t="array" ref="B15">SUM((物原排!$B$3:$B$1491=A15)*(物原排!$Z$3:$Z$1491&gt;=649.5))</f>
        <v>0</v>
      </c>
      <c r="C15" s="9">
        <f t="array" ref="C15">SUM((物原排!$B$3:$B$1491=A15)*(物原排!$Z$3:$Z$1491&gt;=639.5)*(物原排!$Z$3:$Z$1491&lt;649.5))</f>
        <v>0</v>
      </c>
      <c r="D15" s="9">
        <f t="array" ref="D15">SUM((物原排!$B$3:$B$1491=A15)*(物原排!$Z$3:$Z$1491&gt;=619.5)*(物原排!$Z$3:$Z$1491&lt;639.5))</f>
        <v>0</v>
      </c>
      <c r="E15" s="9">
        <f t="array" ref="E15">SUM((物原排!$B$3:$B$1491=A15)*(物原排!$Z$3:$Z$1491&gt;=599.5)*(物原排!$Z$3:$Z$1491&lt;619.5))</f>
        <v>0</v>
      </c>
      <c r="F15" s="9">
        <f t="array" ref="F15">SUM((物原排!$B$3:$B$1491=A15)*(物原排!$Z$3:$Z$1491&gt;=579.5)*(物原排!$Z$3:$Z$1491&lt;599.5))</f>
        <v>0</v>
      </c>
      <c r="G15" s="9">
        <f t="array" ref="G15">SUM((物原排!$B$3:$B$1491=A15)*(物原排!$Z$3:$Z$1491&gt;=559.5)*(物原排!$Z$3:$Z$1491&lt;579.5))</f>
        <v>0</v>
      </c>
      <c r="H15" s="9">
        <f t="array" ref="H15">SUM((物原排!$B$3:$B$1491=A15)*(物原排!$Z$3:$Z$1491&gt;=539.5)*(物原排!$Z$3:$Z$1491&lt;559.5))</f>
        <v>0</v>
      </c>
      <c r="I15" s="9">
        <f t="array" ref="I15">SUM((物原排!$B$3:$B$1491=A15)*(物原排!$Z$3:$Z$1491&gt;=519.5)*(物原排!$Z$3:$Z$1491&lt;539.5))</f>
        <v>0</v>
      </c>
      <c r="J15" s="9">
        <f t="array" ref="J15">SUM((物原排!$B$3:$B$1491=A15)*(物原排!$Z$3:$Z$1491&gt;=499.5)*(物原排!$Z$3:$Z$1491&lt;519.5))</f>
        <v>4</v>
      </c>
      <c r="K15" s="9">
        <f t="array" ref="K15">SUM((物原排!$B$3:$B$1491=A15)*(物原排!$Z$3:$Z$1491&gt;=479.5)*(物原排!$Z$3:$Z$1491&lt;499.5))</f>
        <v>1</v>
      </c>
      <c r="L15" s="9">
        <f t="array" ref="L15">SUM((物原排!$B$3:$B$1491=A15)*(物原排!$Z$3:$Z$1491&gt;=459.5)*(物原排!$Z$3:$Z$1491&lt;479.5))</f>
        <v>4</v>
      </c>
      <c r="M15" s="9">
        <f t="array" ref="M15">SUM((物原排!$B$3:$B$1491=A15)*(物原排!$Z$3:$Z$1491&gt;=439.5)*(物原排!$Z$3:$Z$1491&lt;459.5))</f>
        <v>12</v>
      </c>
      <c r="N15" s="9">
        <f t="array" ref="N15">SUM((物原排!$B$3:$B$1491=A15)*(物原排!$Z$3:$Z$1491&gt;=419.5)*(物原排!$Z$3:$Z$1491&lt;439.5))</f>
        <v>7</v>
      </c>
      <c r="O15" s="9">
        <f t="array" ref="O15">SUM((物原排!$B$3:$B$1491=A15)*(物原排!$Z$3:$Z$1491&gt;=399.5)*(物原排!$Z$3:$Z$1491&lt;419.5))</f>
        <v>16</v>
      </c>
      <c r="P15" s="9">
        <f t="array" ref="P15">SUM((物原排!$B$3:$B$1491=A15)*(物原排!$Z$3:$Z$1491&lt;399.5))</f>
        <v>10</v>
      </c>
      <c r="Q15" s="9">
        <f t="shared" si="0"/>
        <v>54</v>
      </c>
    </row>
    <row r="16" spans="1:17">
      <c r="A16" s="126" t="s">
        <v>1868</v>
      </c>
      <c r="B16" s="126">
        <f>SUM(B3:B15)</f>
        <v>0</v>
      </c>
      <c r="C16" s="126">
        <f t="shared" ref="C16:Q16" si="1">SUM(C3:C15)</f>
        <v>0</v>
      </c>
      <c r="D16" s="126">
        <f t="shared" si="1"/>
        <v>0</v>
      </c>
      <c r="E16" s="126">
        <f t="shared" si="1"/>
        <v>1</v>
      </c>
      <c r="F16" s="126">
        <f t="shared" si="1"/>
        <v>1</v>
      </c>
      <c r="G16" s="126">
        <f t="shared" si="1"/>
        <v>3</v>
      </c>
      <c r="H16" s="126">
        <f t="shared" si="1"/>
        <v>9</v>
      </c>
      <c r="I16" s="126">
        <f t="shared" si="1"/>
        <v>22</v>
      </c>
      <c r="J16" s="126">
        <f t="shared" si="1"/>
        <v>42</v>
      </c>
      <c r="K16" s="126">
        <f t="shared" si="1"/>
        <v>56</v>
      </c>
      <c r="L16" s="126">
        <f t="shared" si="1"/>
        <v>93</v>
      </c>
      <c r="M16" s="126">
        <f t="shared" si="1"/>
        <v>108</v>
      </c>
      <c r="N16" s="126">
        <f t="shared" si="1"/>
        <v>96</v>
      </c>
      <c r="O16" s="126">
        <f t="shared" si="1"/>
        <v>93</v>
      </c>
      <c r="P16" s="126">
        <f t="shared" si="1"/>
        <v>139</v>
      </c>
      <c r="Q16" s="126">
        <f t="shared" si="1"/>
        <v>663</v>
      </c>
    </row>
    <row r="17" ht="5.1" customHeight="1" spans="1: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>
      <c r="A18" s="9">
        <v>14</v>
      </c>
      <c r="B18" s="9">
        <f t="array" ref="B18">SUM((史原排!$B$3:$B$1458=A18)*(史原排!$Z$3:$Z$1458&gt;=649.5))</f>
        <v>0</v>
      </c>
      <c r="C18" s="9">
        <f t="array" ref="C18">SUM((史原排!$B$3:$B$1458=A18)*(史原排!$Z$3:$Z$1458&gt;=639.5)*(史原排!$Z$3:$Z$1458&lt;649.5))</f>
        <v>0</v>
      </c>
      <c r="D18" s="9">
        <f t="array" ref="D18">SUM((史原排!$B$3:$B$1458=A18)*(史原排!$Z$3:$Z$1458&gt;=619.5)*(史原排!$Z$3:$Z$1458&lt;639.5))</f>
        <v>0</v>
      </c>
      <c r="E18" s="9">
        <f t="array" ref="E18">SUM((史原排!$B$3:$B$1458=A18)*(史原排!$Z$3:$Z$1458&gt;=599.5)*(史原排!$Z$3:$Z$1458&lt;619.5))</f>
        <v>0</v>
      </c>
      <c r="F18" s="9">
        <f t="array" ref="F18">SUM((史原排!$B$3:$B$1458=A18)*(史原排!$Z$3:$Z$1458&gt;=579.5)*(史原排!$Z$3:$Z$1458&lt;599.5))</f>
        <v>0</v>
      </c>
      <c r="G18" s="9">
        <f t="array" ref="G18">SUM((史原排!$B$3:$B$1458=A18)*(史原排!$Z$3:$Z$1458&gt;=559.5)*(史原排!$Z$3:$Z$1458&lt;579.5))</f>
        <v>0</v>
      </c>
      <c r="H18" s="9">
        <f t="array" ref="H18">SUM((史原排!$B$3:$B$1458=A18)*(史原排!$Z$3:$Z$1458&gt;=539.5)*(史原排!$Z$3:$Z$1458&lt;559.5))</f>
        <v>0</v>
      </c>
      <c r="I18" s="9">
        <f t="array" ref="I18">SUM((史原排!$B$3:$B$1458=A18)*(史原排!$Z$3:$Z$1458&gt;=519.5)*(史原排!$Z$3:$Z$1458&lt;539.5))</f>
        <v>0</v>
      </c>
      <c r="J18" s="9">
        <f t="array" ref="J18">SUM((史原排!$B$3:$B$1458=A18)*(史原排!$Z$3:$Z$1458&gt;=499.5)*(史原排!$Z$3:$Z$1458&lt;519.5))</f>
        <v>2</v>
      </c>
      <c r="K18" s="9">
        <f t="array" ref="K18">SUM((史原排!$B$3:$B$1458=A18)*(史原排!$Z$3:$Z$1458&gt;=479.5)*(史原排!$Z$3:$Z$1458&lt;499.5))</f>
        <v>6</v>
      </c>
      <c r="L18" s="9">
        <f t="array" ref="L18">SUM((史原排!$B$3:$B$1458=A18)*(史原排!$Z$3:$Z$1458&gt;=459.5)*(史原排!$Z$3:$Z$1458&lt;479.5))</f>
        <v>9</v>
      </c>
      <c r="M18" s="9">
        <f t="array" ref="M18">SUM((史原排!$B$3:$B$1458=A18)*(史原排!$Z$3:$Z$1458&gt;=439.5)*(史原排!$Z$3:$Z$1458&lt;459.5))</f>
        <v>11</v>
      </c>
      <c r="N18" s="9">
        <f t="array" ref="N18">SUM((史原排!$B$3:$B$1458=A18)*(史原排!$Z$3:$Z$1458&gt;=419.5)*(史原排!$Z$3:$Z$1458&lt;439.5))</f>
        <v>5</v>
      </c>
      <c r="O18" s="9">
        <f t="array" ref="O18">SUM((史原排!$B$3:$B$1458=A18)*(史原排!$Z$3:$Z$1458&gt;=399.5)*(史原排!$Z$3:$Z$1458&lt;419.5))</f>
        <v>4</v>
      </c>
      <c r="P18" s="9">
        <f t="array" ref="P18">SUM((史原排!$B$3:$B$1458=A18)*(史原排!$Z$3:$Z$1458&lt;399.5))</f>
        <v>3</v>
      </c>
      <c r="Q18" s="9">
        <f>SUM(B18:P18)</f>
        <v>40</v>
      </c>
    </row>
    <row r="19" spans="1:17">
      <c r="A19" s="9">
        <v>15</v>
      </c>
      <c r="B19" s="9">
        <f t="array" ref="B19">SUM((史原排!$B$3:$B$1458=A19)*(史原排!$Z$3:$Z$1458&gt;=649.5))</f>
        <v>0</v>
      </c>
      <c r="C19" s="9">
        <f t="array" ref="C19">SUM((史原排!$B$3:$B$1458=A19)*(史原排!$Z$3:$Z$1458&gt;=639.5)*(史原排!$Z$3:$Z$1458&lt;649.5))</f>
        <v>0</v>
      </c>
      <c r="D19" s="9">
        <f t="array" ref="D19">SUM((史原排!$B$3:$B$1458=A19)*(史原排!$Z$3:$Z$1458&gt;=619.5)*(史原排!$Z$3:$Z$1458&lt;639.5))</f>
        <v>0</v>
      </c>
      <c r="E19" s="9">
        <f t="array" ref="E19">SUM((史原排!$B$3:$B$1458=A19)*(史原排!$Z$3:$Z$1458&gt;=599.5)*(史原排!$Z$3:$Z$1458&lt;619.5))</f>
        <v>0</v>
      </c>
      <c r="F19" s="9">
        <f t="array" ref="F19">SUM((史原排!$B$3:$B$1458=A19)*(史原排!$Z$3:$Z$1458&gt;=579.5)*(史原排!$Z$3:$Z$1458&lt;599.5))</f>
        <v>0</v>
      </c>
      <c r="G19" s="9">
        <f t="array" ref="G19">SUM((史原排!$B$3:$B$1458=A19)*(史原排!$Z$3:$Z$1458&gt;=559.5)*(史原排!$Z$3:$Z$1458&lt;579.5))</f>
        <v>0</v>
      </c>
      <c r="H19" s="9">
        <f t="array" ref="H19">SUM((史原排!$B$3:$B$1458=A19)*(史原排!$Z$3:$Z$1458&gt;=539.5)*(史原排!$Z$3:$Z$1458&lt;559.5))</f>
        <v>0</v>
      </c>
      <c r="I19" s="9">
        <f t="array" ref="I19">SUM((史原排!$B$3:$B$1458=A19)*(史原排!$Z$3:$Z$1458&gt;=519.5)*(史原排!$Z$3:$Z$1458&lt;539.5))</f>
        <v>0</v>
      </c>
      <c r="J19" s="9">
        <f t="array" ref="J19">SUM((史原排!$B$3:$B$1458=A19)*(史原排!$Z$3:$Z$1458&gt;=499.5)*(史原排!$Z$3:$Z$1458&lt;519.5))</f>
        <v>2</v>
      </c>
      <c r="K19" s="9">
        <f t="array" ref="K19">SUM((史原排!$B$3:$B$1458=A19)*(史原排!$Z$3:$Z$1458&gt;=479.5)*(史原排!$Z$3:$Z$1458&lt;499.5))</f>
        <v>6</v>
      </c>
      <c r="L19" s="9">
        <f t="array" ref="L19">SUM((史原排!$B$3:$B$1458=A19)*(史原排!$Z$3:$Z$1458&gt;=459.5)*(史原排!$Z$3:$Z$1458&lt;479.5))</f>
        <v>9</v>
      </c>
      <c r="M19" s="9">
        <f t="array" ref="M19">SUM((史原排!$B$3:$B$1458=A19)*(史原排!$Z$3:$Z$1458&gt;=439.5)*(史原排!$Z$3:$Z$1458&lt;459.5))</f>
        <v>11</v>
      </c>
      <c r="N19" s="9">
        <f t="array" ref="N19">SUM((史原排!$B$3:$B$1458=A19)*(史原排!$Z$3:$Z$1458&gt;=419.5)*(史原排!$Z$3:$Z$1458&lt;439.5))</f>
        <v>11</v>
      </c>
      <c r="O19" s="9">
        <f t="array" ref="O19">SUM((史原排!$B$3:$B$1458=A19)*(史原排!$Z$3:$Z$1458&gt;=399.5)*(史原排!$Z$3:$Z$1458&lt;419.5))</f>
        <v>2</v>
      </c>
      <c r="P19" s="9">
        <f t="array" ref="P19">SUM((史原排!$B$3:$B$1458=A19)*(史原排!$Z$3:$Z$1458&lt;399.5))</f>
        <v>1</v>
      </c>
      <c r="Q19" s="9">
        <f>SUM(B19:P19)</f>
        <v>42</v>
      </c>
    </row>
    <row r="20" spans="1:17">
      <c r="A20" s="9">
        <v>16</v>
      </c>
      <c r="B20" s="9">
        <f t="array" ref="B20">SUM((史原排!$B$3:$B$1458=A20)*(史原排!$Z$3:$Z$1458&gt;=649.5))</f>
        <v>0</v>
      </c>
      <c r="C20" s="9">
        <f t="array" ref="C20">SUM((史原排!$B$3:$B$1458=A20)*(史原排!$Z$3:$Z$1458&gt;=639.5)*(史原排!$Z$3:$Z$1458&lt;649.5))</f>
        <v>0</v>
      </c>
      <c r="D20" s="9">
        <f t="array" ref="D20">SUM((史原排!$B$3:$B$1458=A20)*(史原排!$Z$3:$Z$1458&gt;=619.5)*(史原排!$Z$3:$Z$1458&lt;639.5))</f>
        <v>0</v>
      </c>
      <c r="E20" s="9">
        <f t="array" ref="E20">SUM((史原排!$B$3:$B$1458=A20)*(史原排!$Z$3:$Z$1458&gt;=599.5)*(史原排!$Z$3:$Z$1458&lt;619.5))</f>
        <v>0</v>
      </c>
      <c r="F20" s="9">
        <f t="array" ref="F20">SUM((史原排!$B$3:$B$1458=A20)*(史原排!$Z$3:$Z$1458&gt;=579.5)*(史原排!$Z$3:$Z$1458&lt;599.5))</f>
        <v>0</v>
      </c>
      <c r="G20" s="9">
        <f t="array" ref="G20">SUM((史原排!$B$3:$B$1458=A20)*(史原排!$Z$3:$Z$1458&gt;=559.5)*(史原排!$Z$3:$Z$1458&lt;579.5))</f>
        <v>1</v>
      </c>
      <c r="H20" s="9">
        <f t="array" ref="H20">SUM((史原排!$B$3:$B$1458=A20)*(史原排!$Z$3:$Z$1458&gt;=539.5)*(史原排!$Z$3:$Z$1458&lt;559.5))</f>
        <v>1</v>
      </c>
      <c r="I20" s="9">
        <f t="array" ref="I20">SUM((史原排!$B$3:$B$1458=A20)*(史原排!$Z$3:$Z$1458&gt;=519.5)*(史原排!$Z$3:$Z$1458&lt;539.5))</f>
        <v>16</v>
      </c>
      <c r="J20" s="9">
        <f t="array" ref="J20">SUM((史原排!$B$3:$B$1458=A20)*(史原排!$Z$3:$Z$1458&gt;=499.5)*(史原排!$Z$3:$Z$1458&lt;519.5))</f>
        <v>11</v>
      </c>
      <c r="K20" s="9">
        <f t="array" ref="K20">SUM((史原排!$B$3:$B$1458=A20)*(史原排!$Z$3:$Z$1458&gt;=479.5)*(史原排!$Z$3:$Z$1458&lt;499.5))</f>
        <v>8</v>
      </c>
      <c r="L20" s="9">
        <f t="array" ref="L20">SUM((史原排!$B$3:$B$1458=A20)*(史原排!$Z$3:$Z$1458&gt;=459.5)*(史原排!$Z$3:$Z$1458&lt;479.5))</f>
        <v>1</v>
      </c>
      <c r="M20" s="9">
        <f t="array" ref="M20">SUM((史原排!$B$3:$B$1458=A20)*(史原排!$Z$3:$Z$1458&gt;=439.5)*(史原排!$Z$3:$Z$1458&lt;459.5))</f>
        <v>0</v>
      </c>
      <c r="N20" s="9">
        <f t="array" ref="N20">SUM((史原排!$B$3:$B$1458=A20)*(史原排!$Z$3:$Z$1458&gt;=419.5)*(史原排!$Z$3:$Z$1458&lt;439.5))</f>
        <v>0</v>
      </c>
      <c r="O20" s="9">
        <f t="array" ref="O20">SUM((史原排!$B$3:$B$1458=A20)*(史原排!$Z$3:$Z$1458&gt;=399.5)*(史原排!$Z$3:$Z$1458&lt;419.5))</f>
        <v>0</v>
      </c>
      <c r="P20" s="9">
        <f t="array" ref="P20">SUM((史原排!$B$3:$B$1458=A20)*(史原排!$Z$3:$Z$1458&lt;399.5))</f>
        <v>0</v>
      </c>
      <c r="Q20" s="9">
        <f>SUM(B20:P20)</f>
        <v>38</v>
      </c>
    </row>
    <row r="21" spans="1:17">
      <c r="A21" s="9">
        <v>17</v>
      </c>
      <c r="B21" s="9">
        <f t="array" ref="B21">SUM((史原排!$B$3:$B$1458=A21)*(史原排!$Z$3:$Z$1458&gt;=649.5))</f>
        <v>0</v>
      </c>
      <c r="C21" s="9">
        <f t="array" ref="C21">SUM((史原排!$B$3:$B$1458=A21)*(史原排!$Z$3:$Z$1458&gt;=639.5)*(史原排!$Z$3:$Z$1458&lt;649.5))</f>
        <v>0</v>
      </c>
      <c r="D21" s="9">
        <f t="array" ref="D21">SUM((史原排!$B$3:$B$1458=A21)*(史原排!$Z$3:$Z$1458&gt;=619.5)*(史原排!$Z$3:$Z$1458&lt;639.5))</f>
        <v>0</v>
      </c>
      <c r="E21" s="9">
        <f t="array" ref="E21">SUM((史原排!$B$3:$B$1458=A21)*(史原排!$Z$3:$Z$1458&gt;=599.5)*(史原排!$Z$3:$Z$1458&lt;619.5))</f>
        <v>0</v>
      </c>
      <c r="F21" s="9">
        <f t="array" ref="F21">SUM((史原排!$B$3:$B$1458=A21)*(史原排!$Z$3:$Z$1458&gt;=579.5)*(史原排!$Z$3:$Z$1458&lt;599.5))</f>
        <v>0</v>
      </c>
      <c r="G21" s="9">
        <f t="array" ref="G21">SUM((史原排!$B$3:$B$1458=A21)*(史原排!$Z$3:$Z$1458&gt;=559.5)*(史原排!$Z$3:$Z$1458&lt;579.5))</f>
        <v>0</v>
      </c>
      <c r="H21" s="9">
        <f t="array" ref="H21">SUM((史原排!$B$3:$B$1458=A21)*(史原排!$Z$3:$Z$1458&gt;=539.5)*(史原排!$Z$3:$Z$1458&lt;559.5))</f>
        <v>0</v>
      </c>
      <c r="I21" s="9">
        <f t="array" ref="I21">SUM((史原排!$B$3:$B$1458=A21)*(史原排!$Z$3:$Z$1458&gt;=519.5)*(史原排!$Z$3:$Z$1458&lt;539.5))</f>
        <v>0</v>
      </c>
      <c r="J21" s="9">
        <f t="array" ref="J21">SUM((史原排!$B$3:$B$1458=A21)*(史原排!$Z$3:$Z$1458&gt;=499.5)*(史原排!$Z$3:$Z$1458&lt;519.5))</f>
        <v>3</v>
      </c>
      <c r="K21" s="9">
        <f t="array" ref="K21">SUM((史原排!$B$3:$B$1458=A21)*(史原排!$Z$3:$Z$1458&gt;=479.5)*(史原排!$Z$3:$Z$1458&lt;499.5))</f>
        <v>9</v>
      </c>
      <c r="L21" s="9">
        <f t="array" ref="L21">SUM((史原排!$B$3:$B$1458=A21)*(史原排!$Z$3:$Z$1458&gt;=459.5)*(史原排!$Z$3:$Z$1458&lt;479.5))</f>
        <v>10</v>
      </c>
      <c r="M21" s="9">
        <f t="array" ref="M21">SUM((史原排!$B$3:$B$1458=A21)*(史原排!$Z$3:$Z$1458&gt;=439.5)*(史原排!$Z$3:$Z$1458&lt;459.5))</f>
        <v>7</v>
      </c>
      <c r="N21" s="9">
        <f t="array" ref="N21">SUM((史原排!$B$3:$B$1458=A21)*(史原排!$Z$3:$Z$1458&gt;=419.5)*(史原排!$Z$3:$Z$1458&lt;439.5))</f>
        <v>7</v>
      </c>
      <c r="O21" s="9">
        <f t="array" ref="O21">SUM((史原排!$B$3:$B$1458=A21)*(史原排!$Z$3:$Z$1458&gt;=399.5)*(史原排!$Z$3:$Z$1458&lt;419.5))</f>
        <v>4</v>
      </c>
      <c r="P21" s="9">
        <f t="array" ref="P21">SUM((史原排!$B$3:$B$1458=A21)*(史原排!$Z$3:$Z$1458&lt;399.5))</f>
        <v>3</v>
      </c>
      <c r="Q21" s="9">
        <f>SUM(B21:P21)</f>
        <v>43</v>
      </c>
    </row>
    <row r="22" spans="1:17">
      <c r="A22" s="9">
        <v>18</v>
      </c>
      <c r="B22" s="9">
        <f t="array" ref="B22">SUM((史原排!$B$3:$B$1458=A22)*(史原排!$Z$3:$Z$1458&gt;=649.5))</f>
        <v>0</v>
      </c>
      <c r="C22" s="9">
        <f t="array" ref="C22">SUM((史原排!$B$3:$B$1458=A22)*(史原排!$Z$3:$Z$1458&gt;=639.5)*(史原排!$Z$3:$Z$1458&lt;649.5))</f>
        <v>0</v>
      </c>
      <c r="D22" s="9">
        <f t="array" ref="D22">SUM((史原排!$B$3:$B$1458=A22)*(史原排!$Z$3:$Z$1458&gt;=619.5)*(史原排!$Z$3:$Z$1458&lt;639.5))</f>
        <v>0</v>
      </c>
      <c r="E22" s="9">
        <f t="array" ref="E22">SUM((史原排!$B$3:$B$1458=A22)*(史原排!$Z$3:$Z$1458&gt;=599.5)*(史原排!$Z$3:$Z$1458&lt;619.5))</f>
        <v>0</v>
      </c>
      <c r="F22" s="9">
        <f t="array" ref="F22">SUM((史原排!$B$3:$B$1458=A22)*(史原排!$Z$3:$Z$1458&gt;=579.5)*(史原排!$Z$3:$Z$1458&lt;599.5))</f>
        <v>0</v>
      </c>
      <c r="G22" s="9">
        <f t="array" ref="G22">SUM((史原排!$B$3:$B$1458=A22)*(史原排!$Z$3:$Z$1458&gt;=559.5)*(史原排!$Z$3:$Z$1458&lt;579.5))</f>
        <v>0</v>
      </c>
      <c r="H22" s="9">
        <f t="array" ref="H22">SUM((史原排!$B$3:$B$1458=A22)*(史原排!$Z$3:$Z$1458&gt;=539.5)*(史原排!$Z$3:$Z$1458&lt;559.5))</f>
        <v>0</v>
      </c>
      <c r="I22" s="9">
        <f t="array" ref="I22">SUM((史原排!$B$3:$B$1458=A22)*(史原排!$Z$3:$Z$1458&gt;=519.5)*(史原排!$Z$3:$Z$1458&lt;539.5))</f>
        <v>0</v>
      </c>
      <c r="J22" s="9">
        <f t="array" ref="J22">SUM((史原排!$B$3:$B$1458=A22)*(史原排!$Z$3:$Z$1458&gt;=499.5)*(史原排!$Z$3:$Z$1458&lt;519.5))</f>
        <v>2</v>
      </c>
      <c r="K22" s="9">
        <f t="array" ref="K22">SUM((史原排!$B$3:$B$1458=A22)*(史原排!$Z$3:$Z$1458&gt;=479.5)*(史原排!$Z$3:$Z$1458&lt;499.5))</f>
        <v>8</v>
      </c>
      <c r="L22" s="9">
        <f t="array" ref="L22">SUM((史原排!$B$3:$B$1458=A22)*(史原排!$Z$3:$Z$1458&gt;=459.5)*(史原排!$Z$3:$Z$1458&lt;479.5))</f>
        <v>7</v>
      </c>
      <c r="M22" s="9">
        <f t="array" ref="M22">SUM((史原排!$B$3:$B$1458=A22)*(史原排!$Z$3:$Z$1458&gt;=439.5)*(史原排!$Z$3:$Z$1458&lt;459.5))</f>
        <v>8</v>
      </c>
      <c r="N22" s="9">
        <f t="array" ref="N22">SUM((史原排!$B$3:$B$1458=A22)*(史原排!$Z$3:$Z$1458&gt;=419.5)*(史原排!$Z$3:$Z$1458&lt;439.5))</f>
        <v>8</v>
      </c>
      <c r="O22" s="9">
        <f t="array" ref="O22">SUM((史原排!$B$3:$B$1458=A22)*(史原排!$Z$3:$Z$1458&gt;=399.5)*(史原排!$Z$3:$Z$1458&lt;419.5))</f>
        <v>4</v>
      </c>
      <c r="P22" s="9">
        <f t="array" ref="P22">SUM((史原排!$B$3:$B$1458=A22)*(史原排!$Z$3:$Z$1458&lt;399.5))</f>
        <v>6</v>
      </c>
      <c r="Q22" s="9">
        <f>SUM(B22:P22)</f>
        <v>43</v>
      </c>
    </row>
    <row r="23" spans="1:17">
      <c r="A23" s="126" t="s">
        <v>1868</v>
      </c>
      <c r="B23" s="126">
        <f>SUM(B18:B22)</f>
        <v>0</v>
      </c>
      <c r="C23" s="126">
        <f t="shared" ref="C23:Q23" si="2">SUM(C18:C22)</f>
        <v>0</v>
      </c>
      <c r="D23" s="126">
        <f t="shared" si="2"/>
        <v>0</v>
      </c>
      <c r="E23" s="126">
        <f t="shared" si="2"/>
        <v>0</v>
      </c>
      <c r="F23" s="126">
        <f t="shared" si="2"/>
        <v>0</v>
      </c>
      <c r="G23" s="126">
        <f t="shared" si="2"/>
        <v>1</v>
      </c>
      <c r="H23" s="126">
        <f t="shared" si="2"/>
        <v>1</v>
      </c>
      <c r="I23" s="126">
        <f t="shared" si="2"/>
        <v>16</v>
      </c>
      <c r="J23" s="126">
        <f t="shared" si="2"/>
        <v>20</v>
      </c>
      <c r="K23" s="126">
        <f t="shared" si="2"/>
        <v>37</v>
      </c>
      <c r="L23" s="126">
        <f t="shared" si="2"/>
        <v>36</v>
      </c>
      <c r="M23" s="126">
        <f t="shared" si="2"/>
        <v>37</v>
      </c>
      <c r="N23" s="126">
        <f t="shared" si="2"/>
        <v>31</v>
      </c>
      <c r="O23" s="126">
        <f t="shared" si="2"/>
        <v>14</v>
      </c>
      <c r="P23" s="126">
        <f t="shared" si="2"/>
        <v>13</v>
      </c>
      <c r="Q23" s="126">
        <f t="shared" si="2"/>
        <v>206</v>
      </c>
    </row>
    <row r="24" spans="1:17">
      <c r="A24" s="138" t="s">
        <v>1849</v>
      </c>
      <c r="B24" s="138">
        <f>B16+B23</f>
        <v>0</v>
      </c>
      <c r="C24" s="138">
        <f t="shared" ref="C24:Q24" si="3">C16+C23</f>
        <v>0</v>
      </c>
      <c r="D24" s="138">
        <f t="shared" si="3"/>
        <v>0</v>
      </c>
      <c r="E24" s="138">
        <f t="shared" si="3"/>
        <v>1</v>
      </c>
      <c r="F24" s="138">
        <f t="shared" si="3"/>
        <v>1</v>
      </c>
      <c r="G24" s="138">
        <f t="shared" si="3"/>
        <v>4</v>
      </c>
      <c r="H24" s="138">
        <f t="shared" si="3"/>
        <v>10</v>
      </c>
      <c r="I24" s="138">
        <f t="shared" si="3"/>
        <v>38</v>
      </c>
      <c r="J24" s="138">
        <f t="shared" si="3"/>
        <v>62</v>
      </c>
      <c r="K24" s="138">
        <f t="shared" si="3"/>
        <v>93</v>
      </c>
      <c r="L24" s="138">
        <f t="shared" si="3"/>
        <v>129</v>
      </c>
      <c r="M24" s="138">
        <f t="shared" si="3"/>
        <v>145</v>
      </c>
      <c r="N24" s="138">
        <f t="shared" si="3"/>
        <v>127</v>
      </c>
      <c r="O24" s="138">
        <f t="shared" si="3"/>
        <v>107</v>
      </c>
      <c r="P24" s="138">
        <f t="shared" si="3"/>
        <v>152</v>
      </c>
      <c r="Q24" s="138">
        <f t="shared" si="3"/>
        <v>869</v>
      </c>
    </row>
    <row r="26" ht="20.25" spans="1:19">
      <c r="A26" s="27" t="s">
        <v>1869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144"/>
      <c r="P26" s="144"/>
      <c r="Q26" s="144"/>
      <c r="R26" s="144"/>
      <c r="S26" s="144"/>
    </row>
    <row r="27" ht="24" spans="1:14">
      <c r="A27" s="139" t="s">
        <v>1870</v>
      </c>
      <c r="B27" s="140" t="s">
        <v>1871</v>
      </c>
      <c r="C27" s="141" t="s">
        <v>1872</v>
      </c>
      <c r="D27" s="142" t="s">
        <v>1873</v>
      </c>
      <c r="E27" s="142" t="s">
        <v>1874</v>
      </c>
      <c r="F27" s="142" t="s">
        <v>1875</v>
      </c>
      <c r="G27" s="142" t="s">
        <v>1876</v>
      </c>
      <c r="H27" s="142" t="s">
        <v>1877</v>
      </c>
      <c r="I27" s="142" t="s">
        <v>1878</v>
      </c>
      <c r="J27" s="142" t="s">
        <v>1879</v>
      </c>
      <c r="K27" s="142" t="s">
        <v>1880</v>
      </c>
      <c r="L27" s="142" t="s">
        <v>1881</v>
      </c>
      <c r="M27" s="142" t="s">
        <v>1882</v>
      </c>
      <c r="N27" s="142" t="s">
        <v>1749</v>
      </c>
    </row>
    <row r="28" spans="1:14">
      <c r="A28" s="9">
        <v>1</v>
      </c>
      <c r="B28" s="9">
        <f t="array" ref="B28">SUM((物原排!$B$3:$B$1491=A28)*(物原排!$AA$3:$AA$1491&lt;=20))</f>
        <v>0</v>
      </c>
      <c r="C28" s="9">
        <f t="array" ref="C28">SUM((物原排!$B$3:$B$1491=A28)*(物原排!$AA$3:$AA$1491&gt;=21)*(物原排!$AA$3:$AA$1491&lt;=50))</f>
        <v>2</v>
      </c>
      <c r="D28" s="9">
        <f t="array" ref="D28">SUM((物原排!$B$3:$B$1491=A28)*(物原排!$AA$3:$AA$1491&gt;=51)*(物原排!$AA$3:$AA$1491&lt;=100))</f>
        <v>4</v>
      </c>
      <c r="E28" s="9">
        <f t="array" ref="E28">SUM((物原排!$B$3:$B$1491=A28)*(物原排!$AA$3:$AA$1491&gt;=101)*(物原排!$AA$3:$AA$1491&lt;=150))</f>
        <v>2</v>
      </c>
      <c r="F28" s="9">
        <f t="array" ref="F28">SUM((物原排!$B$3:$B$1491=A28)*(物原排!$AA$3:$AA$1491&gt;=151)*(物原排!$AA$3:$AA$1491&lt;=200))</f>
        <v>3</v>
      </c>
      <c r="G28" s="9">
        <f t="array" ref="G28">SUM((物原排!$B$3:$B$1491=A28)*(物原排!$AA$3:$AA$1491&gt;=201)*(物原排!$AA$3:$AA$1491&lt;=250))</f>
        <v>7</v>
      </c>
      <c r="H28" s="9">
        <f t="array" ref="H28">SUM((物原排!$B$3:$B$1491=A28)*(物原排!$AA$3:$AA$1491&gt;=251)*(物原排!$AA$3:$AA$1491&lt;=300))</f>
        <v>6</v>
      </c>
      <c r="I28" s="9">
        <f t="array" ref="I28">SUM((物原排!$B$3:$B$1491=A28)*(物原排!$AA$3:$AA$1491&gt;=301)*(物原排!$AA$3:$AA$1491&lt;=350))</f>
        <v>9</v>
      </c>
      <c r="J28" s="9">
        <f t="array" ref="J28">SUM((物原排!$B$3:$B$1491=A28)*(物原排!$AA$3:$AA$1491&gt;=351)*(物原排!$AA$3:$AA$1491&lt;=400))</f>
        <v>1</v>
      </c>
      <c r="K28" s="9">
        <f t="array" ref="K28">SUM((物原排!$B$3:$B$1491=A28)*(物原排!$AA$3:$AA$1491&gt;=401)*(物原排!$AA$3:$AA$1491&lt;=500))</f>
        <v>19</v>
      </c>
      <c r="L28" s="9">
        <f t="array" ref="L28">SUM((物原排!$B$3:$B$1491=A28)*(物原排!$AA$3:$AA$1491&gt;=501)*(物原排!$AA$3:$AA$1491&lt;=600))</f>
        <v>6</v>
      </c>
      <c r="M28" s="9">
        <f t="array" ref="M28">SUM((物原排!$B$3:$B$1491=A28)*(物原排!$AA$3:$AA$1491&gt;=601)*(物原排!$AA$3:$AA$1491&lt;=700))</f>
        <v>4</v>
      </c>
      <c r="N28" s="9">
        <f>SUM(B28:M28)</f>
        <v>63</v>
      </c>
    </row>
    <row r="29" spans="1:14">
      <c r="A29" s="9">
        <v>2</v>
      </c>
      <c r="B29" s="9">
        <f t="array" ref="B29">SUM((物原排!$B$3:$B$1491=A29)*(物原排!$AA$3:$AA$1491&lt;=20))</f>
        <v>0</v>
      </c>
      <c r="C29" s="9">
        <f t="array" ref="C29">SUM((物原排!$B$3:$B$1491=A29)*(物原排!$AA$3:$AA$1491&gt;=21)*(物原排!$AA$3:$AA$1491&lt;=50))</f>
        <v>2</v>
      </c>
      <c r="D29" s="9">
        <f t="array" ref="D29">SUM((物原排!$B$3:$B$1491=A29)*(物原排!$AA$3:$AA$1491&gt;=51)*(物原排!$AA$3:$AA$1491&lt;=100))</f>
        <v>2</v>
      </c>
      <c r="E29" s="9">
        <f t="array" ref="E29">SUM((物原排!$B$3:$B$1491=A29)*(物原排!$AA$3:$AA$1491&gt;=101)*(物原排!$AA$3:$AA$1491&lt;=150))</f>
        <v>3</v>
      </c>
      <c r="F29" s="9">
        <f t="array" ref="F29">SUM((物原排!$B$3:$B$1491=A29)*(物原排!$AA$3:$AA$1491&gt;=151)*(物原排!$AA$3:$AA$1491&lt;=200))</f>
        <v>9</v>
      </c>
      <c r="G29" s="9">
        <f t="array" ref="G29">SUM((物原排!$B$3:$B$1491=A29)*(物原排!$AA$3:$AA$1491&gt;=201)*(物原排!$AA$3:$AA$1491&lt;=250))</f>
        <v>4</v>
      </c>
      <c r="H29" s="9">
        <f t="array" ref="H29">SUM((物原排!$B$3:$B$1491=A29)*(物原排!$AA$3:$AA$1491&gt;=251)*(物原排!$AA$3:$AA$1491&lt;=300))</f>
        <v>2</v>
      </c>
      <c r="I29" s="9">
        <f t="array" ref="I29">SUM((物原排!$B$3:$B$1491=A29)*(物原排!$AA$3:$AA$1491&gt;=301)*(物原排!$AA$3:$AA$1491&lt;=350))</f>
        <v>5</v>
      </c>
      <c r="J29" s="9">
        <f t="array" ref="J29">SUM((物原排!$B$3:$B$1491=A29)*(物原排!$AA$3:$AA$1491&gt;=351)*(物原排!$AA$3:$AA$1491&lt;=400))</f>
        <v>6</v>
      </c>
      <c r="K29" s="9">
        <f t="array" ref="K29">SUM((物原排!$B$3:$B$1491=A29)*(物原排!$AA$3:$AA$1491&gt;=401)*(物原排!$AA$3:$AA$1491&lt;=500))</f>
        <v>7</v>
      </c>
      <c r="L29" s="9">
        <f t="array" ref="L29">SUM((物原排!$B$3:$B$1491=A29)*(物原排!$AA$3:$AA$1491&gt;=501)*(物原排!$AA$3:$AA$1491&lt;=600))</f>
        <v>6</v>
      </c>
      <c r="M29" s="9">
        <f t="array" ref="M29">SUM((物原排!$B$3:$B$1491=A29)*(物原排!$AA$3:$AA$1491&gt;=601)*(物原排!$AA$3:$AA$1491&lt;=700))</f>
        <v>2</v>
      </c>
      <c r="N29" s="9">
        <f t="shared" ref="N29:N40" si="4">SUM(B29:M29)</f>
        <v>48</v>
      </c>
    </row>
    <row r="30" spans="1:14">
      <c r="A30" s="9">
        <v>3</v>
      </c>
      <c r="B30" s="9">
        <f t="array" ref="B30">SUM((物原排!$B$3:$B$1491=A30)*(物原排!$AA$3:$AA$1491&lt;=20))</f>
        <v>0</v>
      </c>
      <c r="C30" s="9">
        <f t="array" ref="C30">SUM((物原排!$B$3:$B$1491=A30)*(物原排!$AA$3:$AA$1491&gt;=21)*(物原排!$AA$3:$AA$1491&lt;=50))</f>
        <v>1</v>
      </c>
      <c r="D30" s="9">
        <f t="array" ref="D30">SUM((物原排!$B$3:$B$1491=A30)*(物原排!$AA$3:$AA$1491&gt;=51)*(物原排!$AA$3:$AA$1491&lt;=100))</f>
        <v>2</v>
      </c>
      <c r="E30" s="9">
        <f t="array" ref="E30">SUM((物原排!$B$3:$B$1491=A30)*(物原排!$AA$3:$AA$1491&gt;=101)*(物原排!$AA$3:$AA$1491&lt;=150))</f>
        <v>2</v>
      </c>
      <c r="F30" s="9">
        <f t="array" ref="F30">SUM((物原排!$B$3:$B$1491=A30)*(物原排!$AA$3:$AA$1491&gt;=151)*(物原排!$AA$3:$AA$1491&lt;=200))</f>
        <v>4</v>
      </c>
      <c r="G30" s="9">
        <f t="array" ref="G30">SUM((物原排!$B$3:$B$1491=A30)*(物原排!$AA$3:$AA$1491&gt;=201)*(物原排!$AA$3:$AA$1491&lt;=250))</f>
        <v>3</v>
      </c>
      <c r="H30" s="9">
        <f t="array" ref="H30">SUM((物原排!$B$3:$B$1491=A30)*(物原排!$AA$3:$AA$1491&gt;=251)*(物原排!$AA$3:$AA$1491&lt;=300))</f>
        <v>5</v>
      </c>
      <c r="I30" s="9">
        <f t="array" ref="I30">SUM((物原排!$B$3:$B$1491=A30)*(物原排!$AA$3:$AA$1491&gt;=301)*(物原排!$AA$3:$AA$1491&lt;=350))</f>
        <v>4</v>
      </c>
      <c r="J30" s="9">
        <f t="array" ref="J30">SUM((物原排!$B$3:$B$1491=A30)*(物原排!$AA$3:$AA$1491&gt;=351)*(物原排!$AA$3:$AA$1491&lt;=400))</f>
        <v>2</v>
      </c>
      <c r="K30" s="9">
        <f t="array" ref="K30">SUM((物原排!$B$3:$B$1491=A30)*(物原排!$AA$3:$AA$1491&gt;=401)*(物原排!$AA$3:$AA$1491&lt;=500))</f>
        <v>8</v>
      </c>
      <c r="L30" s="9">
        <f t="array" ref="L30">SUM((物原排!$B$3:$B$1491=A30)*(物原排!$AA$3:$AA$1491&gt;=501)*(物原排!$AA$3:$AA$1491&lt;=600))</f>
        <v>13</v>
      </c>
      <c r="M30" s="9">
        <f t="array" ref="M30">SUM((物原排!$B$3:$B$1491=A30)*(物原排!$AA$3:$AA$1491&gt;=601)*(物原排!$AA$3:$AA$1491&lt;=700))</f>
        <v>5</v>
      </c>
      <c r="N30" s="9">
        <f t="shared" si="4"/>
        <v>49</v>
      </c>
    </row>
    <row r="31" spans="1:14">
      <c r="A31" s="9">
        <v>4</v>
      </c>
      <c r="B31" s="9">
        <f t="array" ref="B31">SUM((物原排!$B$3:$B$1491=A31)*(物原排!$AA$3:$AA$1491&lt;=20))</f>
        <v>0</v>
      </c>
      <c r="C31" s="9">
        <f t="array" ref="C31">SUM((物原排!$B$3:$B$1491=A31)*(物原排!$AA$3:$AA$1491&gt;=21)*(物原排!$AA$3:$AA$1491&lt;=50))</f>
        <v>0</v>
      </c>
      <c r="D31" s="9">
        <f t="array" ref="D31">SUM((物原排!$B$3:$B$1491=A31)*(物原排!$AA$3:$AA$1491&gt;=51)*(物原排!$AA$3:$AA$1491&lt;=100))</f>
        <v>1</v>
      </c>
      <c r="E31" s="9">
        <f t="array" ref="E31">SUM((物原排!$B$3:$B$1491=A31)*(物原排!$AA$3:$AA$1491&gt;=101)*(物原排!$AA$3:$AA$1491&lt;=150))</f>
        <v>6</v>
      </c>
      <c r="F31" s="9">
        <f t="array" ref="F31">SUM((物原排!$B$3:$B$1491=A31)*(物原排!$AA$3:$AA$1491&gt;=151)*(物原排!$AA$3:$AA$1491&lt;=200))</f>
        <v>1</v>
      </c>
      <c r="G31" s="9">
        <f t="array" ref="G31">SUM((物原排!$B$3:$B$1491=A31)*(物原排!$AA$3:$AA$1491&gt;=201)*(物原排!$AA$3:$AA$1491&lt;=250))</f>
        <v>5</v>
      </c>
      <c r="H31" s="9">
        <f t="array" ref="H31">SUM((物原排!$B$3:$B$1491=A31)*(物原排!$AA$3:$AA$1491&gt;=251)*(物原排!$AA$3:$AA$1491&lt;=300))</f>
        <v>3</v>
      </c>
      <c r="I31" s="9">
        <f t="array" ref="I31">SUM((物原排!$B$3:$B$1491=A31)*(物原排!$AA$3:$AA$1491&gt;=301)*(物原排!$AA$3:$AA$1491&lt;=350))</f>
        <v>4</v>
      </c>
      <c r="J31" s="9">
        <f t="array" ref="J31">SUM((物原排!$B$3:$B$1491=A31)*(物原排!$AA$3:$AA$1491&gt;=351)*(物原排!$AA$3:$AA$1491&lt;=400))</f>
        <v>8</v>
      </c>
      <c r="K31" s="9">
        <f t="array" ref="K31">SUM((物原排!$B$3:$B$1491=A31)*(物原排!$AA$3:$AA$1491&gt;=401)*(物原排!$AA$3:$AA$1491&lt;=500))</f>
        <v>5</v>
      </c>
      <c r="L31" s="9">
        <f t="array" ref="L31">SUM((物原排!$B$3:$B$1491=A31)*(物原排!$AA$3:$AA$1491&gt;=501)*(物原排!$AA$3:$AA$1491&lt;=600))</f>
        <v>6</v>
      </c>
      <c r="M31" s="9">
        <f t="array" ref="M31">SUM((物原排!$B$3:$B$1491=A31)*(物原排!$AA$3:$AA$1491&gt;=601)*(物原排!$AA$3:$AA$1491&lt;=700))</f>
        <v>5</v>
      </c>
      <c r="N31" s="9">
        <f t="shared" si="4"/>
        <v>44</v>
      </c>
    </row>
    <row r="32" spans="1:14">
      <c r="A32" s="9">
        <v>5</v>
      </c>
      <c r="B32" s="9">
        <f t="array" ref="B32">SUM((物原排!$B$3:$B$1491=A32)*(物原排!$AA$3:$AA$1491&lt;=20))</f>
        <v>0</v>
      </c>
      <c r="C32" s="9">
        <f t="array" ref="C32">SUM((物原排!$B$3:$B$1491=A32)*(物原排!$AA$3:$AA$1491&gt;=21)*(物原排!$AA$3:$AA$1491&lt;=50))</f>
        <v>1</v>
      </c>
      <c r="D32" s="9">
        <f t="array" ref="D32">SUM((物原排!$B$3:$B$1491=A32)*(物原排!$AA$3:$AA$1491&gt;=51)*(物原排!$AA$3:$AA$1491&lt;=100))</f>
        <v>2</v>
      </c>
      <c r="E32" s="9">
        <f t="array" ref="E32">SUM((物原排!$B$3:$B$1491=A32)*(物原排!$AA$3:$AA$1491&gt;=101)*(物原排!$AA$3:$AA$1491&lt;=150))</f>
        <v>4</v>
      </c>
      <c r="F32" s="9">
        <f t="array" ref="F32">SUM((物原排!$B$3:$B$1491=A32)*(物原排!$AA$3:$AA$1491&gt;=151)*(物原排!$AA$3:$AA$1491&lt;=200))</f>
        <v>4</v>
      </c>
      <c r="G32" s="9">
        <f t="array" ref="G32">SUM((物原排!$B$3:$B$1491=A32)*(物原排!$AA$3:$AA$1491&gt;=201)*(物原排!$AA$3:$AA$1491&lt;=250))</f>
        <v>7</v>
      </c>
      <c r="H32" s="9">
        <f t="array" ref="H32">SUM((物原排!$B$3:$B$1491=A32)*(物原排!$AA$3:$AA$1491&gt;=251)*(物原排!$AA$3:$AA$1491&lt;=300))</f>
        <v>5</v>
      </c>
      <c r="I32" s="9">
        <f t="array" ref="I32">SUM((物原排!$B$3:$B$1491=A32)*(物原排!$AA$3:$AA$1491&gt;=301)*(物原排!$AA$3:$AA$1491&lt;=350))</f>
        <v>3</v>
      </c>
      <c r="J32" s="9">
        <f t="array" ref="J32">SUM((物原排!$B$3:$B$1491=A32)*(物原排!$AA$3:$AA$1491&gt;=351)*(物原排!$AA$3:$AA$1491&lt;=400))</f>
        <v>5</v>
      </c>
      <c r="K32" s="9">
        <f t="array" ref="K32">SUM((物原排!$B$3:$B$1491=A32)*(物原排!$AA$3:$AA$1491&gt;=401)*(物原排!$AA$3:$AA$1491&lt;=500))</f>
        <v>8</v>
      </c>
      <c r="L32" s="9">
        <f t="array" ref="L32">SUM((物原排!$B$3:$B$1491=A32)*(物原排!$AA$3:$AA$1491&gt;=501)*(物原排!$AA$3:$AA$1491&lt;=600))</f>
        <v>4</v>
      </c>
      <c r="M32" s="9">
        <f t="array" ref="M32">SUM((物原排!$B$3:$B$1491=A32)*(物原排!$AA$3:$AA$1491&gt;=601)*(物原排!$AA$3:$AA$1491&lt;=700))</f>
        <v>4</v>
      </c>
      <c r="N32" s="9">
        <f t="shared" si="4"/>
        <v>47</v>
      </c>
    </row>
    <row r="33" spans="1:14">
      <c r="A33" s="9">
        <v>6</v>
      </c>
      <c r="B33" s="9">
        <f t="array" ref="B33">SUM((物原排!$B$3:$B$1491=A33)*(物原排!$AA$3:$AA$1491&lt;=20))</f>
        <v>0</v>
      </c>
      <c r="C33" s="9">
        <f t="array" ref="C33">SUM((物原排!$B$3:$B$1491=A33)*(物原排!$AA$3:$AA$1491&gt;=21)*(物原排!$AA$3:$AA$1491&lt;=50))</f>
        <v>0</v>
      </c>
      <c r="D33" s="9">
        <f t="array" ref="D33">SUM((物原排!$B$3:$B$1491=A33)*(物原排!$AA$3:$AA$1491&gt;=51)*(物原排!$AA$3:$AA$1491&lt;=100))</f>
        <v>1</v>
      </c>
      <c r="E33" s="9">
        <f t="array" ref="E33">SUM((物原排!$B$3:$B$1491=A33)*(物原排!$AA$3:$AA$1491&gt;=101)*(物原排!$AA$3:$AA$1491&lt;=150))</f>
        <v>6</v>
      </c>
      <c r="F33" s="9">
        <f t="array" ref="F33">SUM((物原排!$B$3:$B$1491=A33)*(物原排!$AA$3:$AA$1491&gt;=151)*(物原排!$AA$3:$AA$1491&lt;=200))</f>
        <v>1</v>
      </c>
      <c r="G33" s="9">
        <f t="array" ref="G33">SUM((物原排!$B$3:$B$1491=A33)*(物原排!$AA$3:$AA$1491&gt;=201)*(物原排!$AA$3:$AA$1491&lt;=250))</f>
        <v>2</v>
      </c>
      <c r="H33" s="9">
        <f t="array" ref="H33">SUM((物原排!$B$3:$B$1491=A33)*(物原排!$AA$3:$AA$1491&gt;=251)*(物原排!$AA$3:$AA$1491&lt;=300))</f>
        <v>4</v>
      </c>
      <c r="I33" s="9">
        <f t="array" ref="I33">SUM((物原排!$B$3:$B$1491=A33)*(物原排!$AA$3:$AA$1491&gt;=301)*(物原排!$AA$3:$AA$1491&lt;=350))</f>
        <v>1</v>
      </c>
      <c r="J33" s="9">
        <f t="array" ref="J33">SUM((物原排!$B$3:$B$1491=A33)*(物原排!$AA$3:$AA$1491&gt;=351)*(物原排!$AA$3:$AA$1491&lt;=400))</f>
        <v>4</v>
      </c>
      <c r="K33" s="9">
        <f t="array" ref="K33">SUM((物原排!$B$3:$B$1491=A33)*(物原排!$AA$3:$AA$1491&gt;=401)*(物原排!$AA$3:$AA$1491&lt;=500))</f>
        <v>4</v>
      </c>
      <c r="L33" s="9">
        <f t="array" ref="L33">SUM((物原排!$B$3:$B$1491=A33)*(物原排!$AA$3:$AA$1491&gt;=501)*(物原排!$AA$3:$AA$1491&lt;=600))</f>
        <v>13</v>
      </c>
      <c r="M33" s="9">
        <f t="array" ref="M33">SUM((物原排!$B$3:$B$1491=A33)*(物原排!$AA$3:$AA$1491&gt;=601)*(物原排!$AA$3:$AA$1491&lt;=700))</f>
        <v>3</v>
      </c>
      <c r="N33" s="9">
        <f t="shared" si="4"/>
        <v>39</v>
      </c>
    </row>
    <row r="34" spans="1:14">
      <c r="A34" s="9">
        <v>7</v>
      </c>
      <c r="B34" s="9">
        <f t="array" ref="B34">SUM((物原排!$B$3:$B$1491=A34)*(物原排!$AA$3:$AA$1491&lt;=20))</f>
        <v>0</v>
      </c>
      <c r="C34" s="9">
        <f t="array" ref="C34">SUM((物原排!$B$3:$B$1491=A34)*(物原排!$AA$3:$AA$1491&gt;=21)*(物原排!$AA$3:$AA$1491&lt;=50))</f>
        <v>0</v>
      </c>
      <c r="D34" s="9">
        <f t="array" ref="D34">SUM((物原排!$B$3:$B$1491=A34)*(物原排!$AA$3:$AA$1491&gt;=51)*(物原排!$AA$3:$AA$1491&lt;=100))</f>
        <v>0</v>
      </c>
      <c r="E34" s="9">
        <f t="array" ref="E34">SUM((物原排!$B$3:$B$1491=A34)*(物原排!$AA$3:$AA$1491&gt;=101)*(物原排!$AA$3:$AA$1491&lt;=150))</f>
        <v>1</v>
      </c>
      <c r="F34" s="9">
        <f t="array" ref="F34">SUM((物原排!$B$3:$B$1491=A34)*(物原排!$AA$3:$AA$1491&gt;=151)*(物原排!$AA$3:$AA$1491&lt;=200))</f>
        <v>2</v>
      </c>
      <c r="G34" s="9">
        <f t="array" ref="G34">SUM((物原排!$B$3:$B$1491=A34)*(物原排!$AA$3:$AA$1491&gt;=201)*(物原排!$AA$3:$AA$1491&lt;=250))</f>
        <v>1</v>
      </c>
      <c r="H34" s="9">
        <f t="array" ref="H34">SUM((物原排!$B$3:$B$1491=A34)*(物原排!$AA$3:$AA$1491&gt;=251)*(物原排!$AA$3:$AA$1491&lt;=300))</f>
        <v>4</v>
      </c>
      <c r="I34" s="9">
        <f t="array" ref="I34">SUM((物原排!$B$3:$B$1491=A34)*(物原排!$AA$3:$AA$1491&gt;=301)*(物原排!$AA$3:$AA$1491&lt;=350))</f>
        <v>1</v>
      </c>
      <c r="J34" s="9">
        <f t="array" ref="J34">SUM((物原排!$B$3:$B$1491=A34)*(物原排!$AA$3:$AA$1491&gt;=351)*(物原排!$AA$3:$AA$1491&lt;=400))</f>
        <v>2</v>
      </c>
      <c r="K34" s="9">
        <f t="array" ref="K34">SUM((物原排!$B$3:$B$1491=A34)*(物原排!$AA$3:$AA$1491&gt;=401)*(物原排!$AA$3:$AA$1491&lt;=500))</f>
        <v>3</v>
      </c>
      <c r="L34" s="9">
        <f t="array" ref="L34">SUM((物原排!$B$3:$B$1491=A34)*(物原排!$AA$3:$AA$1491&gt;=501)*(物原排!$AA$3:$AA$1491&lt;=600))</f>
        <v>18</v>
      </c>
      <c r="M34" s="9">
        <f t="array" ref="M34">SUM((物原排!$B$3:$B$1491=A34)*(物原排!$AA$3:$AA$1491&gt;=601)*(物原排!$AA$3:$AA$1491&lt;=700))</f>
        <v>6</v>
      </c>
      <c r="N34" s="9">
        <f t="shared" si="4"/>
        <v>38</v>
      </c>
    </row>
    <row r="35" spans="1:14">
      <c r="A35" s="9">
        <v>8</v>
      </c>
      <c r="B35" s="9">
        <f t="array" ref="B35">SUM((物原排!$B$3:$B$1491=A35)*(物原排!$AA$3:$AA$1491&lt;=20))</f>
        <v>1</v>
      </c>
      <c r="C35" s="9">
        <f t="array" ref="C35">SUM((物原排!$B$3:$B$1491=A35)*(物原排!$AA$3:$AA$1491&gt;=21)*(物原排!$AA$3:$AA$1491&lt;=50))</f>
        <v>0</v>
      </c>
      <c r="D35" s="9">
        <f t="array" ref="D35">SUM((物原排!$B$3:$B$1491=A35)*(物原排!$AA$3:$AA$1491&gt;=51)*(物原排!$AA$3:$AA$1491&lt;=100))</f>
        <v>1</v>
      </c>
      <c r="E35" s="9">
        <f t="array" ref="E35">SUM((物原排!$B$3:$B$1491=A35)*(物原排!$AA$3:$AA$1491&gt;=101)*(物原排!$AA$3:$AA$1491&lt;=150))</f>
        <v>5</v>
      </c>
      <c r="F35" s="9">
        <f t="array" ref="F35">SUM((物原排!$B$3:$B$1491=A35)*(物原排!$AA$3:$AA$1491&gt;=151)*(物原排!$AA$3:$AA$1491&lt;=200))</f>
        <v>6</v>
      </c>
      <c r="G35" s="9">
        <f t="array" ref="G35">SUM((物原排!$B$3:$B$1491=A35)*(物原排!$AA$3:$AA$1491&gt;=201)*(物原排!$AA$3:$AA$1491&lt;=250))</f>
        <v>4</v>
      </c>
      <c r="H35" s="9">
        <f t="array" ref="H35">SUM((物原排!$B$3:$B$1491=A35)*(物原排!$AA$3:$AA$1491&gt;=251)*(物原排!$AA$3:$AA$1491&lt;=300))</f>
        <v>4</v>
      </c>
      <c r="I35" s="9">
        <f t="array" ref="I35">SUM((物原排!$B$3:$B$1491=A35)*(物原排!$AA$3:$AA$1491&gt;=301)*(物原排!$AA$3:$AA$1491&lt;=350))</f>
        <v>3</v>
      </c>
      <c r="J35" s="9">
        <f t="array" ref="J35">SUM((物原排!$B$3:$B$1491=A35)*(物原排!$AA$3:$AA$1491&gt;=351)*(物原排!$AA$3:$AA$1491&lt;=400))</f>
        <v>9</v>
      </c>
      <c r="K35" s="9">
        <f t="array" ref="K35">SUM((物原排!$B$3:$B$1491=A35)*(物原排!$AA$3:$AA$1491&gt;=401)*(物原排!$AA$3:$AA$1491&lt;=500))</f>
        <v>12</v>
      </c>
      <c r="L35" s="9">
        <f t="array" ref="L35">SUM((物原排!$B$3:$B$1491=A35)*(物原排!$AA$3:$AA$1491&gt;=501)*(物原排!$AA$3:$AA$1491&lt;=600))</f>
        <v>8</v>
      </c>
      <c r="M35" s="9">
        <f t="array" ref="M35">SUM((物原排!$B$3:$B$1491=A35)*(物原排!$AA$3:$AA$1491&gt;=601)*(物原排!$AA$3:$AA$1491&lt;=700))</f>
        <v>4</v>
      </c>
      <c r="N35" s="9">
        <f t="shared" si="4"/>
        <v>57</v>
      </c>
    </row>
    <row r="36" spans="1:14">
      <c r="A36" s="9">
        <v>9</v>
      </c>
      <c r="B36" s="9">
        <f t="array" ref="B36">SUM((物原排!$B$3:$B$1491=A36)*(物原排!$AA$3:$AA$1491&lt;=20))</f>
        <v>16</v>
      </c>
      <c r="C36" s="9">
        <f t="array" ref="C36">SUM((物原排!$B$3:$B$1491=A36)*(物原排!$AA$3:$AA$1491&gt;=21)*(物原排!$AA$3:$AA$1491&lt;=50))</f>
        <v>16</v>
      </c>
      <c r="D36" s="9">
        <f t="array" ref="D36">SUM((物原排!$B$3:$B$1491=A36)*(物原排!$AA$3:$AA$1491&gt;=51)*(物原排!$AA$3:$AA$1491&lt;=100))</f>
        <v>17</v>
      </c>
      <c r="E36" s="9">
        <f t="array" ref="E36">SUM((物原排!$B$3:$B$1491=A36)*(物原排!$AA$3:$AA$1491&gt;=101)*(物原排!$AA$3:$AA$1491&lt;=150))</f>
        <v>1</v>
      </c>
      <c r="F36" s="9">
        <f t="array" ref="F36">SUM((物原排!$B$3:$B$1491=A36)*(物原排!$AA$3:$AA$1491&gt;=151)*(物原排!$AA$3:$AA$1491&lt;=200))</f>
        <v>4</v>
      </c>
      <c r="G36" s="9">
        <f t="array" ref="G36">SUM((物原排!$B$3:$B$1491=A36)*(物原排!$AA$3:$AA$1491&gt;=201)*(物原排!$AA$3:$AA$1491&lt;=250))</f>
        <v>0</v>
      </c>
      <c r="H36" s="9">
        <f t="array" ref="H36">SUM((物原排!$B$3:$B$1491=A36)*(物原排!$AA$3:$AA$1491&gt;=251)*(物原排!$AA$3:$AA$1491&lt;=300))</f>
        <v>0</v>
      </c>
      <c r="I36" s="9">
        <f t="array" ref="I36">SUM((物原排!$B$3:$B$1491=A36)*(物原排!$AA$3:$AA$1491&gt;=301)*(物原排!$AA$3:$AA$1491&lt;=350))</f>
        <v>0</v>
      </c>
      <c r="J36" s="9">
        <f t="array" ref="J36">SUM((物原排!$B$3:$B$1491=A36)*(物原排!$AA$3:$AA$1491&gt;=351)*(物原排!$AA$3:$AA$1491&lt;=400))</f>
        <v>0</v>
      </c>
      <c r="K36" s="9">
        <f t="array" ref="K36">SUM((物原排!$B$3:$B$1491=A36)*(物原排!$AA$3:$AA$1491&gt;=401)*(物原排!$AA$3:$AA$1491&lt;=500))</f>
        <v>0</v>
      </c>
      <c r="L36" s="9">
        <f t="array" ref="L36">SUM((物原排!$B$3:$B$1491=A36)*(物原排!$AA$3:$AA$1491&gt;=501)*(物原排!$AA$3:$AA$1491&lt;=600))</f>
        <v>0</v>
      </c>
      <c r="M36" s="9">
        <f t="array" ref="M36">SUM((物原排!$B$3:$B$1491=A36)*(物原排!$AA$3:$AA$1491&gt;=601)*(物原排!$AA$3:$AA$1491&lt;=700))</f>
        <v>0</v>
      </c>
      <c r="N36" s="9">
        <f t="shared" si="4"/>
        <v>54</v>
      </c>
    </row>
    <row r="37" spans="1:14">
      <c r="A37" s="9">
        <v>10</v>
      </c>
      <c r="B37" s="9">
        <f t="array" ref="B37">SUM((物原排!$B$3:$B$1491=A37)*(物原排!$AA$3:$AA$1491&lt;=20))</f>
        <v>3</v>
      </c>
      <c r="C37" s="9">
        <f t="array" ref="C37">SUM((物原排!$B$3:$B$1491=A37)*(物原排!$AA$3:$AA$1491&gt;=21)*(物原排!$AA$3:$AA$1491&lt;=50))</f>
        <v>5</v>
      </c>
      <c r="D37" s="9">
        <f t="array" ref="D37">SUM((物原排!$B$3:$B$1491=A37)*(物原排!$AA$3:$AA$1491&gt;=51)*(物原排!$AA$3:$AA$1491&lt;=100))</f>
        <v>14</v>
      </c>
      <c r="E37" s="9">
        <f t="array" ref="E37">SUM((物原排!$B$3:$B$1491=A37)*(物原排!$AA$3:$AA$1491&gt;=101)*(物原排!$AA$3:$AA$1491&lt;=150))</f>
        <v>14</v>
      </c>
      <c r="F37" s="9">
        <f t="array" ref="F37">SUM((物原排!$B$3:$B$1491=A37)*(物原排!$AA$3:$AA$1491&gt;=151)*(物原排!$AA$3:$AA$1491&lt;=200))</f>
        <v>10</v>
      </c>
      <c r="G37" s="9">
        <f t="array" ref="G37">SUM((物原排!$B$3:$B$1491=A37)*(物原排!$AA$3:$AA$1491&gt;=201)*(物原排!$AA$3:$AA$1491&lt;=250))</f>
        <v>2</v>
      </c>
      <c r="H37" s="9">
        <f t="array" ref="H37">SUM((物原排!$B$3:$B$1491=A37)*(物原排!$AA$3:$AA$1491&gt;=251)*(物原排!$AA$3:$AA$1491&lt;=300))</f>
        <v>5</v>
      </c>
      <c r="I37" s="9">
        <f t="array" ref="I37">SUM((物原排!$B$3:$B$1491=A37)*(物原排!$AA$3:$AA$1491&gt;=301)*(物原排!$AA$3:$AA$1491&lt;=350))</f>
        <v>2</v>
      </c>
      <c r="J37" s="9">
        <f t="array" ref="J37">SUM((物原排!$B$3:$B$1491=A37)*(物原排!$AA$3:$AA$1491&gt;=351)*(物原排!$AA$3:$AA$1491&lt;=400))</f>
        <v>1</v>
      </c>
      <c r="K37" s="9">
        <f t="array" ref="K37">SUM((物原排!$B$3:$B$1491=A37)*(物原排!$AA$3:$AA$1491&gt;=401)*(物原排!$AA$3:$AA$1491&lt;=500))</f>
        <v>1</v>
      </c>
      <c r="L37" s="9">
        <f t="array" ref="L37">SUM((物原排!$B$3:$B$1491=A37)*(物原排!$AA$3:$AA$1491&gt;=501)*(物原排!$AA$3:$AA$1491&lt;=600))</f>
        <v>0</v>
      </c>
      <c r="M37" s="9">
        <f t="array" ref="M37">SUM((物原排!$B$3:$B$1491=A37)*(物原排!$AA$3:$AA$1491&gt;=601)*(物原排!$AA$3:$AA$1491&lt;=700))</f>
        <v>0</v>
      </c>
      <c r="N37" s="9">
        <f t="shared" si="4"/>
        <v>57</v>
      </c>
    </row>
    <row r="38" spans="1:14">
      <c r="A38" s="9">
        <v>11</v>
      </c>
      <c r="B38" s="9">
        <f t="array" ref="B38">SUM((物原排!$B$3:$B$1491=A38)*(物原排!$AA$3:$AA$1491&lt;=20))</f>
        <v>0</v>
      </c>
      <c r="C38" s="9">
        <f t="array" ref="C38">SUM((物原排!$B$3:$B$1491=A38)*(物原排!$AA$3:$AA$1491&gt;=21)*(物原排!$AA$3:$AA$1491&lt;=50))</f>
        <v>0</v>
      </c>
      <c r="D38" s="9">
        <f t="array" ref="D38">SUM((物原排!$B$3:$B$1491=A38)*(物原排!$AA$3:$AA$1491&gt;=51)*(物原排!$AA$3:$AA$1491&lt;=100))</f>
        <v>2</v>
      </c>
      <c r="E38" s="9">
        <f t="array" ref="E38">SUM((物原排!$B$3:$B$1491=A38)*(物原排!$AA$3:$AA$1491&gt;=101)*(物原排!$AA$3:$AA$1491&lt;=150))</f>
        <v>3</v>
      </c>
      <c r="F38" s="9">
        <f t="array" ref="F38">SUM((物原排!$B$3:$B$1491=A38)*(物原排!$AA$3:$AA$1491&gt;=151)*(物原排!$AA$3:$AA$1491&lt;=200))</f>
        <v>4</v>
      </c>
      <c r="G38" s="9">
        <f t="array" ref="G38">SUM((物原排!$B$3:$B$1491=A38)*(物原排!$AA$3:$AA$1491&gt;=201)*(物原排!$AA$3:$AA$1491&lt;=250))</f>
        <v>6</v>
      </c>
      <c r="H38" s="9">
        <f t="array" ref="H38">SUM((物原排!$B$3:$B$1491=A38)*(物原排!$AA$3:$AA$1491&gt;=251)*(物原排!$AA$3:$AA$1491&lt;=300))</f>
        <v>7</v>
      </c>
      <c r="I38" s="9">
        <f t="array" ref="I38">SUM((物原排!$B$3:$B$1491=A38)*(物原排!$AA$3:$AA$1491&gt;=301)*(物原排!$AA$3:$AA$1491&lt;=350))</f>
        <v>4</v>
      </c>
      <c r="J38" s="9">
        <f t="array" ref="J38">SUM((物原排!$B$3:$B$1491=A38)*(物原排!$AA$3:$AA$1491&gt;=351)*(物原排!$AA$3:$AA$1491&lt;=400))</f>
        <v>5</v>
      </c>
      <c r="K38" s="9">
        <f t="array" ref="K38">SUM((物原排!$B$3:$B$1491=A38)*(物原排!$AA$3:$AA$1491&gt;=401)*(物原排!$AA$3:$AA$1491&lt;=500))</f>
        <v>7</v>
      </c>
      <c r="L38" s="9">
        <f t="array" ref="L38">SUM((物原排!$B$3:$B$1491=A38)*(物原排!$AA$3:$AA$1491&gt;=501)*(物原排!$AA$3:$AA$1491&lt;=600))</f>
        <v>9</v>
      </c>
      <c r="M38" s="9">
        <f t="array" ref="M38">SUM((物原排!$B$3:$B$1491=A38)*(物原排!$AA$3:$AA$1491&gt;=601)*(物原排!$AA$3:$AA$1491&lt;=700))</f>
        <v>10</v>
      </c>
      <c r="N38" s="9">
        <f t="shared" si="4"/>
        <v>57</v>
      </c>
    </row>
    <row r="39" spans="1:14">
      <c r="A39" s="9">
        <v>12</v>
      </c>
      <c r="B39" s="9">
        <f t="array" ref="B39">SUM((物原排!$B$3:$B$1491=A39)*(物原排!$AA$3:$AA$1491&lt;=20))</f>
        <v>0</v>
      </c>
      <c r="C39" s="9">
        <f t="array" ref="C39">SUM((物原排!$B$3:$B$1491=A39)*(物原排!$AA$3:$AA$1491&gt;=21)*(物原排!$AA$3:$AA$1491&lt;=50))</f>
        <v>1</v>
      </c>
      <c r="D39" s="9">
        <f t="array" ref="D39">SUM((物原排!$B$3:$B$1491=A39)*(物原排!$AA$3:$AA$1491&gt;=51)*(物原排!$AA$3:$AA$1491&lt;=100))</f>
        <v>2</v>
      </c>
      <c r="E39" s="9">
        <f t="array" ref="E39">SUM((物原排!$B$3:$B$1491=A39)*(物原排!$AA$3:$AA$1491&gt;=101)*(物原排!$AA$3:$AA$1491&lt;=150))</f>
        <v>2</v>
      </c>
      <c r="F39" s="9">
        <f t="array" ref="F39">SUM((物原排!$B$3:$B$1491=A39)*(物原排!$AA$3:$AA$1491&gt;=151)*(物原排!$AA$3:$AA$1491&lt;=200))</f>
        <v>1</v>
      </c>
      <c r="G39" s="9">
        <f t="array" ref="G39">SUM((物原排!$B$3:$B$1491=A39)*(物原排!$AA$3:$AA$1491&gt;=201)*(物原排!$AA$3:$AA$1491&lt;=250))</f>
        <v>3</v>
      </c>
      <c r="H39" s="9">
        <f t="array" ref="H39">SUM((物原排!$B$3:$B$1491=A39)*(物原排!$AA$3:$AA$1491&gt;=251)*(物原排!$AA$3:$AA$1491&lt;=300))</f>
        <v>2</v>
      </c>
      <c r="I39" s="9">
        <f t="array" ref="I39">SUM((物原排!$B$3:$B$1491=A39)*(物原排!$AA$3:$AA$1491&gt;=301)*(物原排!$AA$3:$AA$1491&lt;=350))</f>
        <v>7</v>
      </c>
      <c r="J39" s="9">
        <f t="array" ref="J39">SUM((物原排!$B$3:$B$1491=A39)*(物原排!$AA$3:$AA$1491&gt;=351)*(物原排!$AA$3:$AA$1491&lt;=400))</f>
        <v>4</v>
      </c>
      <c r="K39" s="9">
        <f t="array" ref="K39">SUM((物原排!$B$3:$B$1491=A39)*(物原排!$AA$3:$AA$1491&gt;=401)*(物原排!$AA$3:$AA$1491&lt;=500))</f>
        <v>11</v>
      </c>
      <c r="L39" s="9">
        <f t="array" ref="L39">SUM((物原排!$B$3:$B$1491=A39)*(物原排!$AA$3:$AA$1491&gt;=501)*(物原排!$AA$3:$AA$1491&lt;=600))</f>
        <v>10</v>
      </c>
      <c r="M39" s="9">
        <f t="array" ref="M39">SUM((物原排!$B$3:$B$1491=A39)*(物原排!$AA$3:$AA$1491&gt;=601)*(物原排!$AA$3:$AA$1491&lt;=700))</f>
        <v>13</v>
      </c>
      <c r="N39" s="9">
        <f t="shared" si="4"/>
        <v>56</v>
      </c>
    </row>
    <row r="40" spans="1:14">
      <c r="A40" s="9">
        <v>13</v>
      </c>
      <c r="B40" s="9">
        <f t="array" ref="B40">SUM((物原排!$B$3:$B$1491=A40)*(物原排!$AA$3:$AA$1491&lt;=20))</f>
        <v>0</v>
      </c>
      <c r="C40" s="9">
        <f t="array" ref="C40">SUM((物原排!$B$3:$B$1491=A40)*(物原排!$AA$3:$AA$1491&gt;=21)*(物原排!$AA$3:$AA$1491&lt;=50))</f>
        <v>2</v>
      </c>
      <c r="D40" s="9">
        <f t="array" ref="D40">SUM((物原排!$B$3:$B$1491=A40)*(物原排!$AA$3:$AA$1491&gt;=51)*(物原排!$AA$3:$AA$1491&lt;=100))</f>
        <v>2</v>
      </c>
      <c r="E40" s="9">
        <f t="array" ref="E40">SUM((物原排!$B$3:$B$1491=A40)*(物原排!$AA$3:$AA$1491&gt;=101)*(物原排!$AA$3:$AA$1491&lt;=150))</f>
        <v>1</v>
      </c>
      <c r="F40" s="9">
        <f t="array" ref="F40">SUM((物原排!$B$3:$B$1491=A40)*(物原排!$AA$3:$AA$1491&gt;=151)*(物原排!$AA$3:$AA$1491&lt;=200))</f>
        <v>1</v>
      </c>
      <c r="G40" s="9">
        <f t="array" ref="G40">SUM((物原排!$B$3:$B$1491=A40)*(物原排!$AA$3:$AA$1491&gt;=201)*(物原排!$AA$3:$AA$1491&lt;=250))</f>
        <v>7</v>
      </c>
      <c r="H40" s="9">
        <f t="array" ref="H40">SUM((物原排!$B$3:$B$1491=A40)*(物原排!$AA$3:$AA$1491&gt;=251)*(物原排!$AA$3:$AA$1491&lt;=300))</f>
        <v>3</v>
      </c>
      <c r="I40" s="9">
        <f t="array" ref="I40">SUM((物原排!$B$3:$B$1491=A40)*(物原排!$AA$3:$AA$1491&gt;=301)*(物原排!$AA$3:$AA$1491&lt;=350))</f>
        <v>6</v>
      </c>
      <c r="J40" s="9">
        <f t="array" ref="J40">SUM((物原排!$B$3:$B$1491=A40)*(物原排!$AA$3:$AA$1491&gt;=351)*(物原排!$AA$3:$AA$1491&lt;=400))</f>
        <v>3</v>
      </c>
      <c r="K40" s="9">
        <f t="array" ref="K40">SUM((物原排!$B$3:$B$1491=A40)*(物原排!$AA$3:$AA$1491&gt;=401)*(物原排!$AA$3:$AA$1491&lt;=500))</f>
        <v>15</v>
      </c>
      <c r="L40" s="9">
        <f t="array" ref="L40">SUM((物原排!$B$3:$B$1491=A40)*(物原排!$AA$3:$AA$1491&gt;=501)*(物原排!$AA$3:$AA$1491&lt;=600))</f>
        <v>8</v>
      </c>
      <c r="M40" s="9">
        <f t="array" ref="M40">SUM((物原排!$B$3:$B$1491=A40)*(物原排!$AA$3:$AA$1491&gt;=601)*(物原排!$AA$3:$AA$1491&lt;=700))</f>
        <v>6</v>
      </c>
      <c r="N40" s="9">
        <f t="shared" si="4"/>
        <v>54</v>
      </c>
    </row>
    <row r="41" spans="1:14">
      <c r="A41" s="9" t="s">
        <v>1868</v>
      </c>
      <c r="B41" s="9">
        <f>SUM(B28:B40)</f>
        <v>20</v>
      </c>
      <c r="C41" s="9">
        <f t="shared" ref="C41:N41" si="5">SUM(C28:C40)</f>
        <v>30</v>
      </c>
      <c r="D41" s="9">
        <f t="shared" si="5"/>
        <v>50</v>
      </c>
      <c r="E41" s="9">
        <f t="shared" si="5"/>
        <v>50</v>
      </c>
      <c r="F41" s="9">
        <f t="shared" si="5"/>
        <v>50</v>
      </c>
      <c r="G41" s="9">
        <f t="shared" si="5"/>
        <v>51</v>
      </c>
      <c r="H41" s="9">
        <f t="shared" si="5"/>
        <v>50</v>
      </c>
      <c r="I41" s="9">
        <f t="shared" si="5"/>
        <v>49</v>
      </c>
      <c r="J41" s="9">
        <f t="shared" si="5"/>
        <v>50</v>
      </c>
      <c r="K41" s="9">
        <f t="shared" si="5"/>
        <v>100</v>
      </c>
      <c r="L41" s="9">
        <f t="shared" si="5"/>
        <v>101</v>
      </c>
      <c r="M41" s="9">
        <f t="shared" si="5"/>
        <v>62</v>
      </c>
      <c r="N41" s="9">
        <f t="shared" si="5"/>
        <v>663</v>
      </c>
    </row>
    <row r="42" spans="1:14">
      <c r="A42" s="9" t="s">
        <v>1883</v>
      </c>
      <c r="B42" s="9">
        <f>SUM(B41:B41)</f>
        <v>20</v>
      </c>
      <c r="C42" s="9">
        <f>SUM(C41,B42)</f>
        <v>50</v>
      </c>
      <c r="D42" s="9">
        <f t="shared" ref="D42:M42" si="6">SUM(D41,C42)</f>
        <v>100</v>
      </c>
      <c r="E42" s="9">
        <f t="shared" si="6"/>
        <v>150</v>
      </c>
      <c r="F42" s="9">
        <f t="shared" si="6"/>
        <v>200</v>
      </c>
      <c r="G42" s="9">
        <f t="shared" si="6"/>
        <v>251</v>
      </c>
      <c r="H42" s="9">
        <f t="shared" si="6"/>
        <v>301</v>
      </c>
      <c r="I42" s="9">
        <f t="shared" si="6"/>
        <v>350</v>
      </c>
      <c r="J42" s="9">
        <f t="shared" si="6"/>
        <v>400</v>
      </c>
      <c r="K42" s="9">
        <f t="shared" si="6"/>
        <v>500</v>
      </c>
      <c r="L42" s="9">
        <f t="shared" si="6"/>
        <v>601</v>
      </c>
      <c r="M42" s="9">
        <f t="shared" si="6"/>
        <v>663</v>
      </c>
      <c r="N42" s="9"/>
    </row>
    <row r="43" ht="5.1" customHeight="1" spans="1:14">
      <c r="A43" s="28"/>
      <c r="B43" s="143"/>
      <c r="C43" s="143"/>
      <c r="D43" s="143"/>
      <c r="E43" s="143"/>
      <c r="F43" s="143"/>
      <c r="G43" s="143"/>
      <c r="H43" s="143"/>
      <c r="I43" s="143"/>
      <c r="J43" s="143"/>
      <c r="K43" s="143"/>
      <c r="L43" s="143"/>
      <c r="M43" s="143"/>
      <c r="N43" s="29"/>
    </row>
    <row r="44" ht="24" spans="1:8">
      <c r="A44" s="139" t="s">
        <v>1870</v>
      </c>
      <c r="B44" s="140" t="s">
        <v>1871</v>
      </c>
      <c r="C44" s="141" t="s">
        <v>1872</v>
      </c>
      <c r="D44" s="142" t="s">
        <v>1873</v>
      </c>
      <c r="E44" s="142" t="s">
        <v>1874</v>
      </c>
      <c r="F44" s="142" t="s">
        <v>1875</v>
      </c>
      <c r="G44" s="142" t="s">
        <v>1876</v>
      </c>
      <c r="H44" s="142" t="s">
        <v>1749</v>
      </c>
    </row>
    <row r="45" spans="1:8">
      <c r="A45" s="9">
        <v>14</v>
      </c>
      <c r="B45" s="9">
        <f t="array" ref="B45">SUM((史原排!$B$3:$B$1458=A45)*(史原排!$AA$3:$AA$1458&lt;=20))</f>
        <v>0</v>
      </c>
      <c r="C45" s="9">
        <f t="array" ref="C45">SUM((史原排!$B$3:$B$1458=A45)*(史原排!$AA$3:$AA$1458&gt;=21)*(史原排!$AA$3:$AA$1458&lt;=50))</f>
        <v>3</v>
      </c>
      <c r="D45" s="9">
        <f t="array" ref="D45">SUM((史原排!$B$3:$B$1458=A45)*(史原排!$AA$3:$AA$1458&gt;=51)*(史原排!$AA$3:$AA$1458&lt;=100))</f>
        <v>11</v>
      </c>
      <c r="E45" s="9">
        <f t="array" ref="E45">SUM((史原排!$B$3:$B$1458=A45)*(史原排!$AA$3:$AA$1458&gt;=101)*(史原排!$AA$3:$AA$1458&lt;=150))</f>
        <v>14</v>
      </c>
      <c r="F45" s="9">
        <f t="array" ref="F45">SUM((史原排!$B$3:$B$1458=A45)*(史原排!$AA$3:$AA$1458&gt;=151)*(史原排!$AA$3:$AA$1458&lt;=200))</f>
        <v>11</v>
      </c>
      <c r="G45" s="9">
        <f t="array" ref="G45">SUM((史原排!$B$3:$B$1458=A45)*(史原排!$AA$3:$AA$1458&gt;=201)*(史原排!$AA$3:$AA$1458&lt;=250))</f>
        <v>1</v>
      </c>
      <c r="H45" s="9">
        <f>SUM(B45:G45)</f>
        <v>40</v>
      </c>
    </row>
    <row r="46" spans="1:8">
      <c r="A46" s="9">
        <v>15</v>
      </c>
      <c r="B46" s="9">
        <f t="array" ref="B46">SUM((史原排!$B$3:$B$1458=A46)*(史原排!$AA$3:$AA$1458&lt;=20))</f>
        <v>0</v>
      </c>
      <c r="C46" s="9">
        <f t="array" ref="C46">SUM((史原排!$B$3:$B$1458=A46)*(史原排!$AA$3:$AA$1458&gt;=21)*(史原排!$AA$3:$AA$1458&lt;=50))</f>
        <v>3</v>
      </c>
      <c r="D46" s="9">
        <f t="array" ref="D46">SUM((史原排!$B$3:$B$1458=A46)*(史原排!$AA$3:$AA$1458&gt;=51)*(史原排!$AA$3:$AA$1458&lt;=100))</f>
        <v>12</v>
      </c>
      <c r="E46" s="9">
        <f t="array" ref="E46">SUM((史原排!$B$3:$B$1458=A46)*(史原排!$AA$3:$AA$1458&gt;=101)*(史原排!$AA$3:$AA$1458&lt;=150))</f>
        <v>13</v>
      </c>
      <c r="F46" s="9">
        <f t="array" ref="F46">SUM((史原排!$B$3:$B$1458=A46)*(史原排!$AA$3:$AA$1458&gt;=151)*(史原排!$AA$3:$AA$1458&lt;=200))</f>
        <v>14</v>
      </c>
      <c r="G46" s="9">
        <f t="array" ref="G46">SUM((史原排!$B$3:$B$1458=A46)*(史原排!$AA$3:$AA$1458&gt;=201)*(史原排!$AA$3:$AA$1458&lt;=250))</f>
        <v>0</v>
      </c>
      <c r="H46" s="9">
        <f>SUM(B46:G46)</f>
        <v>42</v>
      </c>
    </row>
    <row r="47" spans="1:8">
      <c r="A47" s="9">
        <v>16</v>
      </c>
      <c r="B47" s="9">
        <f t="array" ref="B47">SUM((史原排!$B$3:$B$1458=A47)*(史原排!$AA$3:$AA$1458&lt;=20))</f>
        <v>19</v>
      </c>
      <c r="C47" s="9">
        <f t="array" ref="C47">SUM((史原排!$B$3:$B$1458=A47)*(史原排!$AA$3:$AA$1458&gt;=21)*(史原排!$AA$3:$AA$1458&lt;=50))</f>
        <v>16</v>
      </c>
      <c r="D47" s="9">
        <f t="array" ref="D47">SUM((史原排!$B$3:$B$1458=A47)*(史原排!$AA$3:$AA$1458&gt;=51)*(史原排!$AA$3:$AA$1458&lt;=100))</f>
        <v>3</v>
      </c>
      <c r="E47" s="9">
        <f t="array" ref="E47">SUM((史原排!$B$3:$B$1458=A47)*(史原排!$AA$3:$AA$1458&gt;=101)*(史原排!$AA$3:$AA$1458&lt;=150))</f>
        <v>0</v>
      </c>
      <c r="F47" s="9">
        <f t="array" ref="F47">SUM((史原排!$B$3:$B$1458=A47)*(史原排!$AA$3:$AA$1458&gt;=151)*(史原排!$AA$3:$AA$1458&lt;=200))</f>
        <v>0</v>
      </c>
      <c r="G47" s="9">
        <f t="array" ref="G47">SUM((史原排!$B$3:$B$1458=A47)*(史原排!$AA$3:$AA$1458&gt;=201)*(史原排!$AA$3:$AA$1458&lt;=250))</f>
        <v>0</v>
      </c>
      <c r="H47" s="9">
        <f>SUM(B47:G47)</f>
        <v>38</v>
      </c>
    </row>
    <row r="48" spans="1:8">
      <c r="A48" s="9">
        <v>17</v>
      </c>
      <c r="B48" s="9">
        <f t="array" ref="B48">SUM((史原排!$B$3:$B$1458=A48)*(史原排!$AA$3:$AA$1458&lt;=20))</f>
        <v>0</v>
      </c>
      <c r="C48" s="9">
        <f t="array" ref="C48">SUM((史原排!$B$3:$B$1458=A48)*(史原排!$AA$3:$AA$1458&gt;=21)*(史原排!$AA$3:$AA$1458&lt;=50))</f>
        <v>6</v>
      </c>
      <c r="D48" s="9">
        <f t="array" ref="D48">SUM((史原排!$B$3:$B$1458=A48)*(史原排!$AA$3:$AA$1458&gt;=51)*(史原排!$AA$3:$AA$1458&lt;=100))</f>
        <v>11</v>
      </c>
      <c r="E48" s="9">
        <f t="array" ref="E48">SUM((史原排!$B$3:$B$1458=A48)*(史原排!$AA$3:$AA$1458&gt;=101)*(史原排!$AA$3:$AA$1458&lt;=150))</f>
        <v>14</v>
      </c>
      <c r="F48" s="9">
        <f t="array" ref="F48">SUM((史原排!$B$3:$B$1458=A48)*(史原排!$AA$3:$AA$1458&gt;=151)*(史原排!$AA$3:$AA$1458&lt;=200))</f>
        <v>11</v>
      </c>
      <c r="G48" s="9">
        <f t="array" ref="G48">SUM((史原排!$B$3:$B$1458=A48)*(史原排!$AA$3:$AA$1458&gt;=201)*(史原排!$AA$3:$AA$1458&lt;=250))</f>
        <v>1</v>
      </c>
      <c r="H48" s="9">
        <f>SUM(B48:G48)</f>
        <v>43</v>
      </c>
    </row>
    <row r="49" spans="1:8">
      <c r="A49" s="9">
        <v>18</v>
      </c>
      <c r="B49" s="9">
        <f t="array" ref="B49">SUM((史原排!$B$3:$B$1458=A49)*(史原排!$AA$3:$AA$1458&lt;=20))</f>
        <v>1</v>
      </c>
      <c r="C49" s="9">
        <f t="array" ref="C49">SUM((史原排!$B$3:$B$1458=A49)*(史原排!$AA$3:$AA$1458&gt;=21)*(史原排!$AA$3:$AA$1458&lt;=50))</f>
        <v>2</v>
      </c>
      <c r="D49" s="9">
        <f t="array" ref="D49">SUM((史原排!$B$3:$B$1458=A49)*(史原排!$AA$3:$AA$1458&gt;=51)*(史原排!$AA$3:$AA$1458&lt;=100))</f>
        <v>13</v>
      </c>
      <c r="E49" s="9">
        <f t="array" ref="E49">SUM((史原排!$B$3:$B$1458=A49)*(史原排!$AA$3:$AA$1458&gt;=101)*(史原排!$AA$3:$AA$1458&lt;=150))</f>
        <v>9</v>
      </c>
      <c r="F49" s="9">
        <f t="array" ref="F49">SUM((史原排!$B$3:$B$1458=A49)*(史原排!$AA$3:$AA$1458&gt;=151)*(史原排!$AA$3:$AA$1458&lt;=200))</f>
        <v>14</v>
      </c>
      <c r="G49" s="9">
        <f t="array" ref="G49">SUM((史原排!$B$3:$B$1458=A49)*(史原排!$AA$3:$AA$1458&gt;=201)*(史原排!$AA$3:$AA$1458&lt;=250))</f>
        <v>4</v>
      </c>
      <c r="H49" s="9">
        <f>SUM(B49:G49)</f>
        <v>43</v>
      </c>
    </row>
    <row r="50" spans="1:8">
      <c r="A50" s="9" t="s">
        <v>1868</v>
      </c>
      <c r="B50" s="9">
        <f>SUM(B45:B49)</f>
        <v>20</v>
      </c>
      <c r="C50" s="9">
        <f t="shared" ref="C50:H50" si="7">SUM(C45:C49)</f>
        <v>30</v>
      </c>
      <c r="D50" s="9">
        <f t="shared" si="7"/>
        <v>50</v>
      </c>
      <c r="E50" s="9">
        <f t="shared" si="7"/>
        <v>50</v>
      </c>
      <c r="F50" s="9">
        <f t="shared" si="7"/>
        <v>50</v>
      </c>
      <c r="G50" s="9">
        <f t="shared" si="7"/>
        <v>6</v>
      </c>
      <c r="H50" s="9">
        <f t="shared" si="7"/>
        <v>206</v>
      </c>
    </row>
    <row r="51" spans="1:8">
      <c r="A51" s="9" t="s">
        <v>1883</v>
      </c>
      <c r="B51" s="9">
        <f>B50</f>
        <v>20</v>
      </c>
      <c r="C51" s="9">
        <f>B51+C50</f>
        <v>50</v>
      </c>
      <c r="D51" s="9">
        <f>C51+D50</f>
        <v>100</v>
      </c>
      <c r="E51" s="9">
        <f>D51+E50</f>
        <v>150</v>
      </c>
      <c r="F51" s="9">
        <f>E51+F50</f>
        <v>200</v>
      </c>
      <c r="G51" s="9">
        <f>F51+G50</f>
        <v>206</v>
      </c>
      <c r="H51" s="9"/>
    </row>
  </sheetData>
  <mergeCells count="3">
    <mergeCell ref="A1:Q1"/>
    <mergeCell ref="A26:N26"/>
    <mergeCell ref="A43:N43"/>
  </mergeCells>
  <conditionalFormatting sqref="A27:N27">
    <cfRule type="cellIs" dxfId="2" priority="4" stopIfTrue="1" operator="equal">
      <formula>0</formula>
    </cfRule>
  </conditionalFormatting>
  <conditionalFormatting sqref="A44:H44">
    <cfRule type="cellIs" dxfId="2" priority="1" stopIfTrue="1" operator="equal">
      <formula>0</formula>
    </cfRule>
  </conditionalFormatting>
  <conditionalFormatting sqref="B3:P15 B17:P22">
    <cfRule type="cellIs" dxfId="3" priority="2" operator="equal">
      <formula>0</formula>
    </cfRule>
  </conditionalFormatting>
  <conditionalFormatting sqref="B28:M42 N41 B45:G49">
    <cfRule type="cellIs" dxfId="3" priority="3" operator="equal">
      <formula>0</formula>
    </cfRule>
  </conditionalFormatting>
  <printOptions horizontalCentered="1"/>
  <pageMargins left="0.554166666666667" right="0.554166666666667" top="0.118055555555556" bottom="0.236111111111111" header="0.511805555555556" footer="0.511805555555556"/>
  <pageSetup paperSize="286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99"/>
  <sheetViews>
    <sheetView workbookViewId="0">
      <pane xSplit="5" ySplit="1" topLeftCell="F2" activePane="bottomRight" state="frozen"/>
      <selection/>
      <selection pane="topRight"/>
      <selection pane="bottomLeft"/>
      <selection pane="bottomRight" activeCell="T25" sqref="T25"/>
    </sheetView>
  </sheetViews>
  <sheetFormatPr defaultColWidth="8.75" defaultRowHeight="13.5"/>
  <cols>
    <col min="1" max="1" width="5.125" style="161" customWidth="1"/>
    <col min="2" max="3" width="5.125" style="13" customWidth="1"/>
    <col min="4" max="4" width="5.375" style="162" customWidth="1"/>
    <col min="5" max="5" width="9.375" style="163" customWidth="1"/>
    <col min="6" max="8" width="7.375" style="164" customWidth="1"/>
    <col min="9" max="9" width="5.375" style="164" customWidth="1"/>
    <col min="10" max="10" width="6.375" style="164" customWidth="1"/>
    <col min="11" max="14" width="5.125" style="164" customWidth="1"/>
    <col min="15" max="16" width="7.375" style="165" customWidth="1"/>
  </cols>
  <sheetData>
    <row r="1" spans="1:16">
      <c r="A1" s="13" t="s">
        <v>0</v>
      </c>
      <c r="B1" s="13" t="s">
        <v>1</v>
      </c>
      <c r="C1" s="13" t="s">
        <v>2</v>
      </c>
      <c r="D1" s="14" t="s">
        <v>3</v>
      </c>
      <c r="E1" s="14" t="s">
        <v>4</v>
      </c>
      <c r="F1" s="115" t="s">
        <v>5</v>
      </c>
      <c r="G1" s="115" t="s">
        <v>6</v>
      </c>
      <c r="H1" s="115" t="s">
        <v>7</v>
      </c>
      <c r="I1" s="115" t="s">
        <v>8</v>
      </c>
      <c r="J1" s="115" t="s">
        <v>9</v>
      </c>
      <c r="K1" s="115" t="s">
        <v>10</v>
      </c>
      <c r="L1" s="115" t="s">
        <v>11</v>
      </c>
      <c r="M1" s="115" t="s">
        <v>12</v>
      </c>
      <c r="N1" s="115" t="s">
        <v>13</v>
      </c>
      <c r="O1" s="165" t="s">
        <v>14</v>
      </c>
      <c r="P1" s="165" t="s">
        <v>15</v>
      </c>
    </row>
    <row r="2" ht="14.25" spans="1:16">
      <c r="A2" s="13">
        <v>1</v>
      </c>
      <c r="B2" s="15">
        <v>1</v>
      </c>
      <c r="C2" s="16">
        <v>1</v>
      </c>
      <c r="D2" s="17" t="s">
        <v>16</v>
      </c>
      <c r="E2" s="17" t="s">
        <v>17</v>
      </c>
      <c r="F2" s="15">
        <v>95.5</v>
      </c>
      <c r="G2" s="15">
        <v>86.5</v>
      </c>
      <c r="H2" s="15">
        <v>96.5</v>
      </c>
      <c r="I2" s="15">
        <v>39.5</v>
      </c>
      <c r="J2" s="15"/>
      <c r="K2" s="15">
        <v>62</v>
      </c>
      <c r="L2" s="15"/>
      <c r="M2" s="15">
        <v>73</v>
      </c>
      <c r="N2" s="15"/>
      <c r="O2" s="15">
        <v>278.5</v>
      </c>
      <c r="P2" s="15">
        <v>453</v>
      </c>
    </row>
    <row r="3" ht="14.25" spans="1:16">
      <c r="A3" s="13">
        <v>2</v>
      </c>
      <c r="B3" s="15">
        <v>1</v>
      </c>
      <c r="C3" s="16">
        <v>2</v>
      </c>
      <c r="D3" s="17" t="s">
        <v>18</v>
      </c>
      <c r="E3" s="17" t="s">
        <v>19</v>
      </c>
      <c r="F3" s="15">
        <v>97.5</v>
      </c>
      <c r="G3" s="15">
        <v>101.5</v>
      </c>
      <c r="H3" s="15">
        <v>83.5</v>
      </c>
      <c r="I3" s="15">
        <v>32</v>
      </c>
      <c r="J3" s="15"/>
      <c r="K3" s="15">
        <v>68</v>
      </c>
      <c r="L3" s="15"/>
      <c r="M3" s="15">
        <v>83</v>
      </c>
      <c r="N3" s="15"/>
      <c r="O3" s="15">
        <v>282.5</v>
      </c>
      <c r="P3" s="15">
        <v>465.5</v>
      </c>
    </row>
    <row r="4" ht="14.25" spans="1:16">
      <c r="A4" s="13">
        <v>3</v>
      </c>
      <c r="B4" s="15">
        <v>1</v>
      </c>
      <c r="C4" s="16">
        <v>4</v>
      </c>
      <c r="D4" s="17" t="s">
        <v>20</v>
      </c>
      <c r="E4" s="17" t="s">
        <v>21</v>
      </c>
      <c r="F4" s="15">
        <v>83</v>
      </c>
      <c r="G4" s="15">
        <v>96.5</v>
      </c>
      <c r="H4" s="15">
        <v>90.5</v>
      </c>
      <c r="I4" s="15">
        <v>56.5</v>
      </c>
      <c r="J4" s="15"/>
      <c r="K4" s="15">
        <v>66</v>
      </c>
      <c r="L4" s="15"/>
      <c r="M4" s="15">
        <v>73</v>
      </c>
      <c r="N4" s="15"/>
      <c r="O4" s="15">
        <v>270</v>
      </c>
      <c r="P4" s="15">
        <v>465.5</v>
      </c>
    </row>
    <row r="5" ht="14.25" spans="1:16">
      <c r="A5" s="13">
        <v>4</v>
      </c>
      <c r="B5" s="15">
        <v>1</v>
      </c>
      <c r="C5" s="16">
        <v>5</v>
      </c>
      <c r="D5" s="17" t="s">
        <v>22</v>
      </c>
      <c r="E5" s="17" t="s">
        <v>23</v>
      </c>
      <c r="F5" s="15">
        <v>92.5</v>
      </c>
      <c r="G5" s="15">
        <v>114.5</v>
      </c>
      <c r="H5" s="15">
        <v>71.75</v>
      </c>
      <c r="I5" s="15">
        <v>48.5</v>
      </c>
      <c r="J5" s="15"/>
      <c r="K5" s="15">
        <v>72</v>
      </c>
      <c r="L5" s="15"/>
      <c r="M5" s="15">
        <v>67</v>
      </c>
      <c r="N5" s="15"/>
      <c r="O5" s="15">
        <v>278.75</v>
      </c>
      <c r="P5" s="15">
        <v>466.25</v>
      </c>
    </row>
    <row r="6" ht="14.25" spans="1:16">
      <c r="A6" s="13">
        <v>5</v>
      </c>
      <c r="B6" s="15">
        <v>1</v>
      </c>
      <c r="C6" s="16">
        <v>6</v>
      </c>
      <c r="D6" s="17" t="s">
        <v>24</v>
      </c>
      <c r="E6" s="17" t="s">
        <v>25</v>
      </c>
      <c r="F6" s="15">
        <v>111</v>
      </c>
      <c r="G6" s="15">
        <v>107.5</v>
      </c>
      <c r="H6" s="15">
        <v>83.5</v>
      </c>
      <c r="I6" s="15">
        <v>48.5</v>
      </c>
      <c r="J6" s="15"/>
      <c r="K6" s="15">
        <v>76</v>
      </c>
      <c r="L6" s="15"/>
      <c r="M6" s="15">
        <v>77</v>
      </c>
      <c r="N6" s="15"/>
      <c r="O6" s="15">
        <v>302</v>
      </c>
      <c r="P6" s="15">
        <v>503.5</v>
      </c>
    </row>
    <row r="7" ht="14.25" spans="1:16">
      <c r="A7" s="13">
        <v>6</v>
      </c>
      <c r="B7" s="15">
        <v>1</v>
      </c>
      <c r="C7" s="16">
        <v>7</v>
      </c>
      <c r="D7" s="17" t="s">
        <v>26</v>
      </c>
      <c r="E7" s="17" t="s">
        <v>27</v>
      </c>
      <c r="F7" s="15">
        <v>99.5</v>
      </c>
      <c r="G7" s="15">
        <v>96.5</v>
      </c>
      <c r="H7" s="15">
        <v>109.75</v>
      </c>
      <c r="I7" s="15">
        <v>57</v>
      </c>
      <c r="J7" s="15"/>
      <c r="K7" s="15">
        <v>86</v>
      </c>
      <c r="L7" s="15"/>
      <c r="M7" s="15">
        <v>87</v>
      </c>
      <c r="N7" s="15"/>
      <c r="O7" s="15">
        <v>305.75</v>
      </c>
      <c r="P7" s="15">
        <v>535.75</v>
      </c>
    </row>
    <row r="8" ht="14.25" spans="1:16">
      <c r="A8" s="13">
        <v>7</v>
      </c>
      <c r="B8" s="15">
        <v>1</v>
      </c>
      <c r="C8" s="16">
        <v>8</v>
      </c>
      <c r="D8" s="17" t="s">
        <v>28</v>
      </c>
      <c r="E8" s="17" t="s">
        <v>29</v>
      </c>
      <c r="F8" s="15">
        <v>101.5</v>
      </c>
      <c r="G8" s="15">
        <v>114</v>
      </c>
      <c r="H8" s="15">
        <v>114</v>
      </c>
      <c r="I8" s="15">
        <v>69.5</v>
      </c>
      <c r="J8" s="15"/>
      <c r="K8" s="15">
        <v>87</v>
      </c>
      <c r="L8" s="15"/>
      <c r="M8" s="15">
        <v>88</v>
      </c>
      <c r="N8" s="15"/>
      <c r="O8" s="15">
        <v>329.5</v>
      </c>
      <c r="P8" s="15">
        <v>574</v>
      </c>
    </row>
    <row r="9" ht="14.25" spans="1:16">
      <c r="A9" s="13">
        <v>8</v>
      </c>
      <c r="B9" s="15">
        <v>1</v>
      </c>
      <c r="C9" s="16">
        <v>9</v>
      </c>
      <c r="D9" s="17" t="s">
        <v>30</v>
      </c>
      <c r="E9" s="17" t="s">
        <v>31</v>
      </c>
      <c r="F9" s="15">
        <v>100.5</v>
      </c>
      <c r="G9" s="15">
        <v>90.5</v>
      </c>
      <c r="H9" s="15">
        <v>119</v>
      </c>
      <c r="I9" s="15">
        <v>45.5</v>
      </c>
      <c r="J9" s="15"/>
      <c r="K9" s="15">
        <v>82</v>
      </c>
      <c r="L9" s="15"/>
      <c r="M9" s="15">
        <v>88</v>
      </c>
      <c r="N9" s="15"/>
      <c r="O9" s="15">
        <v>310</v>
      </c>
      <c r="P9" s="15">
        <v>525.5</v>
      </c>
    </row>
    <row r="10" ht="14.25" spans="1:16">
      <c r="A10" s="13">
        <v>9</v>
      </c>
      <c r="B10" s="15">
        <v>1</v>
      </c>
      <c r="C10" s="16">
        <v>10</v>
      </c>
      <c r="D10" s="17" t="s">
        <v>32</v>
      </c>
      <c r="E10" s="17" t="s">
        <v>33</v>
      </c>
      <c r="F10" s="15">
        <v>98.5</v>
      </c>
      <c r="G10" s="15">
        <v>94.5</v>
      </c>
      <c r="H10" s="15">
        <v>98.5</v>
      </c>
      <c r="I10" s="15">
        <v>66.5</v>
      </c>
      <c r="J10" s="15"/>
      <c r="K10" s="15">
        <v>61</v>
      </c>
      <c r="L10" s="15"/>
      <c r="M10" s="15">
        <v>80</v>
      </c>
      <c r="N10" s="15"/>
      <c r="O10" s="15">
        <v>291.5</v>
      </c>
      <c r="P10" s="15">
        <v>499</v>
      </c>
    </row>
    <row r="11" ht="14.25" spans="1:16">
      <c r="A11" s="13">
        <v>10</v>
      </c>
      <c r="B11" s="15">
        <v>1</v>
      </c>
      <c r="C11" s="16">
        <v>11</v>
      </c>
      <c r="D11" s="17" t="s">
        <v>34</v>
      </c>
      <c r="E11" s="17" t="s">
        <v>35</v>
      </c>
      <c r="F11" s="15">
        <v>104.5</v>
      </c>
      <c r="G11" s="15">
        <v>75</v>
      </c>
      <c r="H11" s="15">
        <v>85.75</v>
      </c>
      <c r="I11" s="15">
        <v>21</v>
      </c>
      <c r="J11" s="15"/>
      <c r="K11" s="15">
        <v>73</v>
      </c>
      <c r="L11" s="15"/>
      <c r="M11" s="15">
        <v>64</v>
      </c>
      <c r="N11" s="15"/>
      <c r="O11" s="15">
        <v>265.25</v>
      </c>
      <c r="P11" s="15">
        <v>423.25</v>
      </c>
    </row>
    <row r="12" ht="14.25" spans="1:16">
      <c r="A12" s="13">
        <v>11</v>
      </c>
      <c r="B12" s="15">
        <v>1</v>
      </c>
      <c r="C12" s="16">
        <v>12</v>
      </c>
      <c r="D12" s="17" t="s">
        <v>36</v>
      </c>
      <c r="E12" s="17" t="s">
        <v>37</v>
      </c>
      <c r="F12" s="15">
        <v>87.5</v>
      </c>
      <c r="G12" s="15">
        <v>98.5</v>
      </c>
      <c r="H12" s="15">
        <v>85.5</v>
      </c>
      <c r="I12" s="15">
        <v>55</v>
      </c>
      <c r="J12" s="15"/>
      <c r="K12" s="15">
        <v>77</v>
      </c>
      <c r="L12" s="15"/>
      <c r="M12" s="15">
        <v>80</v>
      </c>
      <c r="N12" s="15"/>
      <c r="O12" s="15">
        <v>271.5</v>
      </c>
      <c r="P12" s="15">
        <v>483.5</v>
      </c>
    </row>
    <row r="13" ht="14.25" spans="1:16">
      <c r="A13" s="13">
        <v>12</v>
      </c>
      <c r="B13" s="15">
        <v>1</v>
      </c>
      <c r="C13" s="16">
        <v>13</v>
      </c>
      <c r="D13" s="17" t="s">
        <v>38</v>
      </c>
      <c r="E13" s="17" t="s">
        <v>39</v>
      </c>
      <c r="F13" s="15">
        <v>98</v>
      </c>
      <c r="G13" s="15">
        <v>85</v>
      </c>
      <c r="H13" s="15">
        <v>104</v>
      </c>
      <c r="I13" s="15">
        <v>39</v>
      </c>
      <c r="J13" s="15"/>
      <c r="K13" s="15">
        <v>81</v>
      </c>
      <c r="L13" s="15"/>
      <c r="M13" s="15">
        <v>67</v>
      </c>
      <c r="N13" s="15"/>
      <c r="O13" s="15">
        <v>287</v>
      </c>
      <c r="P13" s="15">
        <v>474</v>
      </c>
    </row>
    <row r="14" ht="14.25" spans="1:16">
      <c r="A14" s="13">
        <v>13</v>
      </c>
      <c r="B14" s="15">
        <v>1</v>
      </c>
      <c r="C14" s="16">
        <v>14</v>
      </c>
      <c r="D14" s="17" t="s">
        <v>40</v>
      </c>
      <c r="E14" s="17" t="s">
        <v>41</v>
      </c>
      <c r="F14" s="15">
        <v>111</v>
      </c>
      <c r="G14" s="15">
        <v>119.5</v>
      </c>
      <c r="H14" s="15">
        <v>106.5</v>
      </c>
      <c r="I14" s="15">
        <v>63.5</v>
      </c>
      <c r="J14" s="15"/>
      <c r="K14" s="15">
        <v>88</v>
      </c>
      <c r="L14" s="15"/>
      <c r="M14" s="15">
        <v>82</v>
      </c>
      <c r="N14" s="15"/>
      <c r="O14" s="15">
        <v>337</v>
      </c>
      <c r="P14" s="15">
        <v>570.5</v>
      </c>
    </row>
    <row r="15" ht="14.25" spans="1:16">
      <c r="A15" s="13">
        <v>14</v>
      </c>
      <c r="B15" s="15">
        <v>1</v>
      </c>
      <c r="C15" s="16">
        <v>15</v>
      </c>
      <c r="D15" s="17" t="s">
        <v>42</v>
      </c>
      <c r="E15" s="17" t="s">
        <v>43</v>
      </c>
      <c r="F15" s="15">
        <v>104</v>
      </c>
      <c r="G15" s="15">
        <v>112</v>
      </c>
      <c r="H15" s="15">
        <v>107.5</v>
      </c>
      <c r="I15" s="15">
        <v>56.5</v>
      </c>
      <c r="J15" s="15"/>
      <c r="K15" s="15">
        <v>87</v>
      </c>
      <c r="L15" s="15"/>
      <c r="M15" s="15">
        <v>89</v>
      </c>
      <c r="N15" s="15"/>
      <c r="O15" s="15">
        <v>323.5</v>
      </c>
      <c r="P15" s="15">
        <v>556</v>
      </c>
    </row>
    <row r="16" ht="14.25" spans="1:16">
      <c r="A16" s="13">
        <v>15</v>
      </c>
      <c r="B16" s="15">
        <v>1</v>
      </c>
      <c r="C16" s="16">
        <v>17</v>
      </c>
      <c r="D16" s="17" t="s">
        <v>44</v>
      </c>
      <c r="E16" s="17" t="s">
        <v>45</v>
      </c>
      <c r="F16" s="15">
        <v>95.5</v>
      </c>
      <c r="G16" s="15">
        <v>124.5</v>
      </c>
      <c r="H16" s="15">
        <v>91.25</v>
      </c>
      <c r="I16" s="15">
        <v>71</v>
      </c>
      <c r="J16" s="15"/>
      <c r="K16" s="15">
        <v>73</v>
      </c>
      <c r="L16" s="15"/>
      <c r="M16" s="15">
        <v>80</v>
      </c>
      <c r="N16" s="15"/>
      <c r="O16" s="15">
        <v>311.25</v>
      </c>
      <c r="P16" s="15">
        <v>535.25</v>
      </c>
    </row>
    <row r="17" ht="14.25" spans="1:16">
      <c r="A17" s="13">
        <v>16</v>
      </c>
      <c r="B17" s="15">
        <v>1</v>
      </c>
      <c r="C17" s="16">
        <v>18</v>
      </c>
      <c r="D17" s="17" t="s">
        <v>46</v>
      </c>
      <c r="E17" s="17" t="s">
        <v>47</v>
      </c>
      <c r="F17" s="15">
        <v>97.5</v>
      </c>
      <c r="G17" s="15">
        <v>87</v>
      </c>
      <c r="H17" s="15">
        <v>86</v>
      </c>
      <c r="I17" s="15">
        <v>52</v>
      </c>
      <c r="J17" s="15"/>
      <c r="K17" s="15">
        <v>73</v>
      </c>
      <c r="L17" s="15"/>
      <c r="M17" s="15">
        <v>77</v>
      </c>
      <c r="N17" s="15"/>
      <c r="O17" s="15">
        <v>270.5</v>
      </c>
      <c r="P17" s="15">
        <v>472.5</v>
      </c>
    </row>
    <row r="18" ht="14.25" spans="1:16">
      <c r="A18" s="13">
        <v>17</v>
      </c>
      <c r="B18" s="15">
        <v>1</v>
      </c>
      <c r="C18" s="16">
        <v>19</v>
      </c>
      <c r="D18" s="17" t="s">
        <v>48</v>
      </c>
      <c r="E18" s="17" t="s">
        <v>49</v>
      </c>
      <c r="F18" s="15">
        <v>106</v>
      </c>
      <c r="G18" s="15">
        <v>89</v>
      </c>
      <c r="H18" s="15">
        <v>98.75</v>
      </c>
      <c r="I18" s="15">
        <v>57</v>
      </c>
      <c r="J18" s="15"/>
      <c r="K18" s="15">
        <v>74</v>
      </c>
      <c r="L18" s="15"/>
      <c r="M18" s="15">
        <v>74</v>
      </c>
      <c r="N18" s="15"/>
      <c r="O18" s="15">
        <v>293.75</v>
      </c>
      <c r="P18" s="15">
        <v>498.75</v>
      </c>
    </row>
    <row r="19" ht="14.25" spans="1:16">
      <c r="A19" s="13">
        <v>18</v>
      </c>
      <c r="B19" s="15">
        <v>1</v>
      </c>
      <c r="C19" s="16">
        <v>20</v>
      </c>
      <c r="D19" s="17" t="s">
        <v>50</v>
      </c>
      <c r="E19" s="17" t="s">
        <v>51</v>
      </c>
      <c r="F19" s="15">
        <v>104.5</v>
      </c>
      <c r="G19" s="15">
        <v>94.5</v>
      </c>
      <c r="H19" s="15">
        <v>88.25</v>
      </c>
      <c r="I19" s="15">
        <v>62</v>
      </c>
      <c r="J19" s="15"/>
      <c r="K19" s="15">
        <v>72</v>
      </c>
      <c r="L19" s="15"/>
      <c r="M19" s="15">
        <v>79</v>
      </c>
      <c r="N19" s="15"/>
      <c r="O19" s="15">
        <v>287.25</v>
      </c>
      <c r="P19" s="15">
        <v>500.25</v>
      </c>
    </row>
    <row r="20" ht="14.25" spans="1:16">
      <c r="A20" s="13">
        <v>19</v>
      </c>
      <c r="B20" s="15">
        <v>1</v>
      </c>
      <c r="C20" s="16">
        <v>21</v>
      </c>
      <c r="D20" s="17" t="s">
        <v>52</v>
      </c>
      <c r="E20" s="17" t="s">
        <v>53</v>
      </c>
      <c r="F20" s="15">
        <v>85.5</v>
      </c>
      <c r="G20" s="15">
        <v>125</v>
      </c>
      <c r="H20" s="15">
        <v>87.5</v>
      </c>
      <c r="I20" s="15">
        <v>55</v>
      </c>
      <c r="J20" s="15"/>
      <c r="K20" s="15">
        <v>72</v>
      </c>
      <c r="L20" s="15"/>
      <c r="M20" s="15">
        <v>86</v>
      </c>
      <c r="N20" s="15"/>
      <c r="O20" s="15">
        <v>298</v>
      </c>
      <c r="P20" s="15">
        <v>511</v>
      </c>
    </row>
    <row r="21" ht="14.25" spans="1:16">
      <c r="A21" s="13">
        <v>20</v>
      </c>
      <c r="B21" s="15">
        <v>1</v>
      </c>
      <c r="C21" s="16">
        <v>22</v>
      </c>
      <c r="D21" s="17" t="s">
        <v>54</v>
      </c>
      <c r="E21" s="17" t="s">
        <v>55</v>
      </c>
      <c r="F21" s="15">
        <v>93.5</v>
      </c>
      <c r="G21" s="15">
        <v>96.5</v>
      </c>
      <c r="H21" s="15">
        <v>93.25</v>
      </c>
      <c r="I21" s="15">
        <v>46.5</v>
      </c>
      <c r="J21" s="15"/>
      <c r="K21" s="15">
        <v>59</v>
      </c>
      <c r="L21" s="15"/>
      <c r="M21" s="15">
        <v>72</v>
      </c>
      <c r="N21" s="15"/>
      <c r="O21" s="15">
        <v>283.25</v>
      </c>
      <c r="P21" s="15">
        <v>460.75</v>
      </c>
    </row>
    <row r="22" ht="14.25" spans="1:16">
      <c r="A22" s="13">
        <v>21</v>
      </c>
      <c r="B22" s="15">
        <v>1</v>
      </c>
      <c r="C22" s="16">
        <v>23</v>
      </c>
      <c r="D22" s="17" t="s">
        <v>56</v>
      </c>
      <c r="E22" s="17" t="s">
        <v>57</v>
      </c>
      <c r="F22" s="15">
        <v>91</v>
      </c>
      <c r="G22" s="15">
        <v>64</v>
      </c>
      <c r="H22" s="15">
        <v>113.25</v>
      </c>
      <c r="I22" s="15">
        <v>43</v>
      </c>
      <c r="J22" s="15"/>
      <c r="K22" s="15">
        <v>72</v>
      </c>
      <c r="L22" s="15"/>
      <c r="M22" s="15">
        <v>78</v>
      </c>
      <c r="N22" s="15"/>
      <c r="O22" s="15">
        <v>268.25</v>
      </c>
      <c r="P22" s="15">
        <v>461.25</v>
      </c>
    </row>
    <row r="23" ht="14.25" spans="1:16">
      <c r="A23" s="13">
        <v>22</v>
      </c>
      <c r="B23" s="15">
        <v>1</v>
      </c>
      <c r="C23" s="16">
        <v>24</v>
      </c>
      <c r="D23" s="17" t="s">
        <v>58</v>
      </c>
      <c r="E23" s="17" t="s">
        <v>59</v>
      </c>
      <c r="F23" s="15">
        <v>91.25</v>
      </c>
      <c r="G23" s="15">
        <v>102</v>
      </c>
      <c r="H23" s="15">
        <v>87</v>
      </c>
      <c r="I23" s="15">
        <v>43</v>
      </c>
      <c r="J23" s="15"/>
      <c r="K23" s="15">
        <v>71</v>
      </c>
      <c r="L23" s="15"/>
      <c r="M23" s="15">
        <v>73</v>
      </c>
      <c r="N23" s="15"/>
      <c r="O23" s="15">
        <v>280.25</v>
      </c>
      <c r="P23" s="15">
        <v>467.25</v>
      </c>
    </row>
    <row r="24" ht="14.25" spans="1:16">
      <c r="A24" s="13">
        <v>23</v>
      </c>
      <c r="B24" s="15">
        <v>1</v>
      </c>
      <c r="C24" s="16">
        <v>25</v>
      </c>
      <c r="D24" s="17" t="s">
        <v>60</v>
      </c>
      <c r="E24" s="17" t="s">
        <v>61</v>
      </c>
      <c r="F24" s="15">
        <v>102</v>
      </c>
      <c r="G24" s="15">
        <v>103</v>
      </c>
      <c r="H24" s="15">
        <v>95</v>
      </c>
      <c r="I24" s="15">
        <v>32.5</v>
      </c>
      <c r="J24" s="15"/>
      <c r="K24" s="15">
        <v>60</v>
      </c>
      <c r="L24" s="15"/>
      <c r="M24" s="15">
        <v>82</v>
      </c>
      <c r="N24" s="15"/>
      <c r="O24" s="15">
        <v>300</v>
      </c>
      <c r="P24" s="15">
        <v>474.5</v>
      </c>
    </row>
    <row r="25" ht="14.25" spans="1:16">
      <c r="A25" s="13">
        <v>24</v>
      </c>
      <c r="B25" s="15">
        <v>1</v>
      </c>
      <c r="C25" s="16">
        <v>26</v>
      </c>
      <c r="D25" s="17" t="s">
        <v>62</v>
      </c>
      <c r="E25" s="17" t="s">
        <v>63</v>
      </c>
      <c r="F25" s="15">
        <v>104.25</v>
      </c>
      <c r="G25" s="15">
        <v>94.5</v>
      </c>
      <c r="H25" s="15">
        <v>102.5</v>
      </c>
      <c r="I25" s="15">
        <v>51</v>
      </c>
      <c r="J25" s="15"/>
      <c r="K25" s="15">
        <v>64</v>
      </c>
      <c r="L25" s="15"/>
      <c r="M25" s="15">
        <v>88</v>
      </c>
      <c r="N25" s="15"/>
      <c r="O25" s="15">
        <v>301.25</v>
      </c>
      <c r="P25" s="15">
        <v>504.25</v>
      </c>
    </row>
    <row r="26" ht="14.25" spans="1:16">
      <c r="A26" s="13">
        <v>25</v>
      </c>
      <c r="B26" s="15">
        <v>1</v>
      </c>
      <c r="C26" s="16">
        <v>27</v>
      </c>
      <c r="D26" s="17" t="s">
        <v>64</v>
      </c>
      <c r="E26" s="17" t="s">
        <v>65</v>
      </c>
      <c r="F26" s="15">
        <v>111</v>
      </c>
      <c r="G26" s="15">
        <v>107.5</v>
      </c>
      <c r="H26" s="15">
        <v>91</v>
      </c>
      <c r="I26" s="15">
        <v>56</v>
      </c>
      <c r="J26" s="15"/>
      <c r="K26" s="15">
        <v>70</v>
      </c>
      <c r="L26" s="15"/>
      <c r="M26" s="15">
        <v>80</v>
      </c>
      <c r="N26" s="15"/>
      <c r="O26" s="15">
        <v>309.5</v>
      </c>
      <c r="P26" s="15">
        <v>515.5</v>
      </c>
    </row>
    <row r="27" ht="14.25" spans="1:16">
      <c r="A27" s="13">
        <v>26</v>
      </c>
      <c r="B27" s="15">
        <v>1</v>
      </c>
      <c r="C27" s="16">
        <v>28</v>
      </c>
      <c r="D27" s="17" t="s">
        <v>66</v>
      </c>
      <c r="E27" s="17" t="s">
        <v>67</v>
      </c>
      <c r="F27" s="15">
        <v>95.5</v>
      </c>
      <c r="G27" s="15">
        <v>115</v>
      </c>
      <c r="H27" s="15">
        <v>109.5</v>
      </c>
      <c r="I27" s="15">
        <v>56.5</v>
      </c>
      <c r="J27" s="15"/>
      <c r="K27" s="15">
        <v>66</v>
      </c>
      <c r="L27" s="15"/>
      <c r="M27" s="15">
        <v>75</v>
      </c>
      <c r="N27" s="15"/>
      <c r="O27" s="15">
        <v>320</v>
      </c>
      <c r="P27" s="15">
        <v>517.5</v>
      </c>
    </row>
    <row r="28" ht="14.25" spans="1:16">
      <c r="A28" s="13">
        <v>27</v>
      </c>
      <c r="B28" s="15">
        <v>1</v>
      </c>
      <c r="C28" s="16">
        <v>29</v>
      </c>
      <c r="D28" s="17" t="s">
        <v>68</v>
      </c>
      <c r="E28" s="17" t="s">
        <v>69</v>
      </c>
      <c r="F28" s="15">
        <v>108</v>
      </c>
      <c r="G28" s="15">
        <v>108</v>
      </c>
      <c r="H28" s="15">
        <v>121.75</v>
      </c>
      <c r="I28" s="15">
        <v>48</v>
      </c>
      <c r="J28" s="15"/>
      <c r="K28" s="15">
        <v>82</v>
      </c>
      <c r="L28" s="15"/>
      <c r="M28" s="15">
        <v>81</v>
      </c>
      <c r="N28" s="15"/>
      <c r="O28" s="15">
        <v>337.75</v>
      </c>
      <c r="P28" s="15">
        <v>548.75</v>
      </c>
    </row>
    <row r="29" ht="14.25" spans="1:16">
      <c r="A29" s="13">
        <v>28</v>
      </c>
      <c r="B29" s="15">
        <v>1</v>
      </c>
      <c r="C29" s="16">
        <v>30</v>
      </c>
      <c r="D29" s="17" t="s">
        <v>70</v>
      </c>
      <c r="E29" s="17" t="s">
        <v>71</v>
      </c>
      <c r="F29" s="15">
        <v>109.5</v>
      </c>
      <c r="G29" s="15">
        <v>113</v>
      </c>
      <c r="H29" s="15">
        <v>117.5</v>
      </c>
      <c r="I29" s="15">
        <v>50.5</v>
      </c>
      <c r="J29" s="15"/>
      <c r="K29" s="15">
        <v>81</v>
      </c>
      <c r="L29" s="15"/>
      <c r="M29" s="15">
        <v>89</v>
      </c>
      <c r="N29" s="15"/>
      <c r="O29" s="15">
        <v>340</v>
      </c>
      <c r="P29" s="15">
        <v>560.5</v>
      </c>
    </row>
    <row r="30" ht="14.25" spans="1:16">
      <c r="A30" s="13">
        <v>29</v>
      </c>
      <c r="B30" s="15">
        <v>1</v>
      </c>
      <c r="C30" s="16">
        <v>31</v>
      </c>
      <c r="D30" s="17" t="s">
        <v>72</v>
      </c>
      <c r="E30" s="17" t="s">
        <v>73</v>
      </c>
      <c r="F30" s="15">
        <v>105.5</v>
      </c>
      <c r="G30" s="15">
        <v>120.5</v>
      </c>
      <c r="H30" s="15">
        <v>92</v>
      </c>
      <c r="I30" s="15">
        <v>50.5</v>
      </c>
      <c r="J30" s="15"/>
      <c r="K30" s="15">
        <v>68</v>
      </c>
      <c r="L30" s="15"/>
      <c r="M30" s="15">
        <v>72</v>
      </c>
      <c r="N30" s="15"/>
      <c r="O30" s="15">
        <v>318</v>
      </c>
      <c r="P30" s="15">
        <v>508.5</v>
      </c>
    </row>
    <row r="31" ht="14.25" spans="1:16">
      <c r="A31" s="13">
        <v>30</v>
      </c>
      <c r="B31" s="15">
        <v>1</v>
      </c>
      <c r="C31" s="16">
        <v>32</v>
      </c>
      <c r="D31" s="17" t="s">
        <v>74</v>
      </c>
      <c r="E31" s="17" t="s">
        <v>75</v>
      </c>
      <c r="F31" s="15">
        <v>94</v>
      </c>
      <c r="G31" s="15">
        <v>95</v>
      </c>
      <c r="H31" s="15">
        <v>81</v>
      </c>
      <c r="I31" s="15">
        <v>64.5</v>
      </c>
      <c r="J31" s="15"/>
      <c r="K31" s="15">
        <v>63</v>
      </c>
      <c r="L31" s="15"/>
      <c r="M31" s="15">
        <v>70</v>
      </c>
      <c r="N31" s="15"/>
      <c r="O31" s="15">
        <v>270</v>
      </c>
      <c r="P31" s="15">
        <v>467.5</v>
      </c>
    </row>
    <row r="32" ht="14.25" spans="1:16">
      <c r="A32" s="13">
        <v>31</v>
      </c>
      <c r="B32" s="15">
        <v>1</v>
      </c>
      <c r="C32" s="16">
        <v>33</v>
      </c>
      <c r="D32" s="17" t="s">
        <v>76</v>
      </c>
      <c r="E32" s="17" t="s">
        <v>77</v>
      </c>
      <c r="F32" s="15">
        <v>101.75</v>
      </c>
      <c r="G32" s="15">
        <v>114.5</v>
      </c>
      <c r="H32" s="15">
        <v>94</v>
      </c>
      <c r="I32" s="15">
        <v>41.5</v>
      </c>
      <c r="J32" s="15"/>
      <c r="K32" s="15">
        <v>68</v>
      </c>
      <c r="L32" s="15"/>
      <c r="M32" s="15">
        <v>79</v>
      </c>
      <c r="N32" s="15"/>
      <c r="O32" s="15">
        <v>310.25</v>
      </c>
      <c r="P32" s="15">
        <v>498.75</v>
      </c>
    </row>
    <row r="33" ht="14.25" spans="1:16">
      <c r="A33" s="13">
        <v>32</v>
      </c>
      <c r="B33" s="15">
        <v>1</v>
      </c>
      <c r="C33" s="16">
        <v>34</v>
      </c>
      <c r="D33" s="17" t="s">
        <v>78</v>
      </c>
      <c r="E33" s="17" t="s">
        <v>79</v>
      </c>
      <c r="F33" s="15">
        <v>100.5</v>
      </c>
      <c r="G33" s="15">
        <v>113</v>
      </c>
      <c r="H33" s="15">
        <v>95.5</v>
      </c>
      <c r="I33" s="15">
        <v>47.5</v>
      </c>
      <c r="J33" s="15"/>
      <c r="K33" s="15">
        <v>66</v>
      </c>
      <c r="L33" s="15"/>
      <c r="M33" s="15">
        <v>80</v>
      </c>
      <c r="N33" s="15"/>
      <c r="O33" s="15">
        <v>309</v>
      </c>
      <c r="P33" s="15">
        <v>502.5</v>
      </c>
    </row>
    <row r="34" ht="14.25" spans="1:16">
      <c r="A34" s="13">
        <v>33</v>
      </c>
      <c r="B34" s="15">
        <v>1</v>
      </c>
      <c r="C34" s="16">
        <v>35</v>
      </c>
      <c r="D34" s="17" t="s">
        <v>80</v>
      </c>
      <c r="E34" s="17" t="s">
        <v>81</v>
      </c>
      <c r="F34" s="15">
        <v>85</v>
      </c>
      <c r="G34" s="15">
        <v>77.5</v>
      </c>
      <c r="H34" s="15">
        <v>83</v>
      </c>
      <c r="I34" s="15">
        <v>65.5</v>
      </c>
      <c r="J34" s="15"/>
      <c r="K34" s="15">
        <v>73</v>
      </c>
      <c r="L34" s="15"/>
      <c r="M34" s="15">
        <v>59</v>
      </c>
      <c r="N34" s="15"/>
      <c r="O34" s="15">
        <v>245.5</v>
      </c>
      <c r="P34" s="15">
        <v>443</v>
      </c>
    </row>
    <row r="35" ht="14.25" spans="1:16">
      <c r="A35" s="13">
        <v>34</v>
      </c>
      <c r="B35" s="15">
        <v>1</v>
      </c>
      <c r="C35" s="16">
        <v>36</v>
      </c>
      <c r="D35" s="17" t="s">
        <v>82</v>
      </c>
      <c r="E35" s="17" t="s">
        <v>83</v>
      </c>
      <c r="F35" s="15">
        <v>105.5</v>
      </c>
      <c r="G35" s="15">
        <v>102.5</v>
      </c>
      <c r="H35" s="15">
        <v>102</v>
      </c>
      <c r="I35" s="15">
        <v>49</v>
      </c>
      <c r="J35" s="15"/>
      <c r="K35" s="15">
        <v>80</v>
      </c>
      <c r="L35" s="15"/>
      <c r="M35" s="15">
        <v>83</v>
      </c>
      <c r="N35" s="15"/>
      <c r="O35" s="15">
        <v>310</v>
      </c>
      <c r="P35" s="15">
        <v>522</v>
      </c>
    </row>
    <row r="36" ht="14.25" spans="1:16">
      <c r="A36" s="13">
        <v>35</v>
      </c>
      <c r="B36" s="15">
        <v>1</v>
      </c>
      <c r="C36" s="16">
        <v>37</v>
      </c>
      <c r="D36" s="17" t="s">
        <v>84</v>
      </c>
      <c r="E36" s="17" t="s">
        <v>85</v>
      </c>
      <c r="F36" s="15">
        <v>105.5</v>
      </c>
      <c r="G36" s="15">
        <v>97.5</v>
      </c>
      <c r="H36" s="15">
        <v>108.5</v>
      </c>
      <c r="I36" s="15">
        <v>57</v>
      </c>
      <c r="J36" s="15"/>
      <c r="K36" s="15">
        <v>74</v>
      </c>
      <c r="L36" s="15"/>
      <c r="M36" s="15">
        <v>77</v>
      </c>
      <c r="N36" s="15"/>
      <c r="O36" s="15">
        <v>311.5</v>
      </c>
      <c r="P36" s="15">
        <v>519.5</v>
      </c>
    </row>
    <row r="37" ht="14.25" spans="1:16">
      <c r="A37" s="13">
        <v>36</v>
      </c>
      <c r="B37" s="15">
        <v>1</v>
      </c>
      <c r="C37" s="16">
        <v>38</v>
      </c>
      <c r="D37" s="17" t="s">
        <v>86</v>
      </c>
      <c r="E37" s="17" t="s">
        <v>87</v>
      </c>
      <c r="F37" s="15">
        <v>94.5</v>
      </c>
      <c r="G37" s="15">
        <v>121.5</v>
      </c>
      <c r="H37" s="15">
        <v>87</v>
      </c>
      <c r="I37" s="15">
        <v>37.5</v>
      </c>
      <c r="J37" s="15"/>
      <c r="K37" s="15">
        <v>86</v>
      </c>
      <c r="L37" s="15"/>
      <c r="M37" s="15">
        <v>73</v>
      </c>
      <c r="N37" s="15"/>
      <c r="O37" s="15">
        <v>303</v>
      </c>
      <c r="P37" s="15">
        <v>499.5</v>
      </c>
    </row>
    <row r="38" ht="14.25" spans="1:16">
      <c r="A38" s="13">
        <v>37</v>
      </c>
      <c r="B38" s="15">
        <v>1</v>
      </c>
      <c r="C38" s="16">
        <v>39</v>
      </c>
      <c r="D38" s="17" t="s">
        <v>88</v>
      </c>
      <c r="E38" s="17" t="s">
        <v>89</v>
      </c>
      <c r="F38" s="15">
        <v>103.5</v>
      </c>
      <c r="G38" s="15">
        <v>99</v>
      </c>
      <c r="H38" s="15">
        <v>53</v>
      </c>
      <c r="I38" s="15">
        <v>60.5</v>
      </c>
      <c r="J38" s="15"/>
      <c r="K38" s="15">
        <v>77</v>
      </c>
      <c r="L38" s="15"/>
      <c r="M38" s="15">
        <v>81</v>
      </c>
      <c r="N38" s="15"/>
      <c r="O38" s="15">
        <v>255.5</v>
      </c>
      <c r="P38" s="15">
        <v>474</v>
      </c>
    </row>
    <row r="39" ht="14.25" spans="1:16">
      <c r="A39" s="13">
        <v>38</v>
      </c>
      <c r="B39" s="15">
        <v>1</v>
      </c>
      <c r="C39" s="16">
        <v>40</v>
      </c>
      <c r="D39" s="17" t="s">
        <v>90</v>
      </c>
      <c r="E39" s="17" t="s">
        <v>91</v>
      </c>
      <c r="F39" s="15">
        <v>102.5</v>
      </c>
      <c r="G39" s="15">
        <v>92</v>
      </c>
      <c r="H39" s="15">
        <v>80</v>
      </c>
      <c r="I39" s="15">
        <v>46</v>
      </c>
      <c r="J39" s="15"/>
      <c r="K39" s="15">
        <v>74</v>
      </c>
      <c r="L39" s="15"/>
      <c r="M39" s="15">
        <v>69</v>
      </c>
      <c r="N39" s="15"/>
      <c r="O39" s="15">
        <v>274.5</v>
      </c>
      <c r="P39" s="15">
        <v>463.5</v>
      </c>
    </row>
    <row r="40" ht="14.25" spans="1:16">
      <c r="A40" s="13">
        <v>39</v>
      </c>
      <c r="B40" s="15">
        <v>1</v>
      </c>
      <c r="C40" s="16">
        <v>41</v>
      </c>
      <c r="D40" s="17" t="s">
        <v>92</v>
      </c>
      <c r="E40" s="17" t="s">
        <v>93</v>
      </c>
      <c r="F40" s="15">
        <v>112</v>
      </c>
      <c r="G40" s="15">
        <v>110.5</v>
      </c>
      <c r="H40" s="15">
        <v>106.25</v>
      </c>
      <c r="I40" s="15">
        <v>65.5</v>
      </c>
      <c r="J40" s="15"/>
      <c r="K40" s="15">
        <v>80</v>
      </c>
      <c r="L40" s="15"/>
      <c r="M40" s="15">
        <v>89</v>
      </c>
      <c r="N40" s="15"/>
      <c r="O40" s="15">
        <v>328.75</v>
      </c>
      <c r="P40" s="15">
        <v>563.25</v>
      </c>
    </row>
    <row r="41" ht="14.25" spans="1:16">
      <c r="A41" s="13">
        <v>40</v>
      </c>
      <c r="B41" s="15">
        <v>1</v>
      </c>
      <c r="C41" s="16">
        <v>42</v>
      </c>
      <c r="D41" s="17" t="s">
        <v>94</v>
      </c>
      <c r="E41" s="17" t="s">
        <v>95</v>
      </c>
      <c r="F41" s="15">
        <v>93</v>
      </c>
      <c r="G41" s="15">
        <v>106</v>
      </c>
      <c r="H41" s="15">
        <v>91.5</v>
      </c>
      <c r="I41" s="15">
        <v>67.5</v>
      </c>
      <c r="J41" s="15"/>
      <c r="K41" s="15">
        <v>74</v>
      </c>
      <c r="L41" s="15"/>
      <c r="M41" s="15">
        <v>86</v>
      </c>
      <c r="N41" s="15"/>
      <c r="O41" s="15">
        <v>290.5</v>
      </c>
      <c r="P41" s="15">
        <v>518</v>
      </c>
    </row>
    <row r="42" ht="14.25" spans="1:16">
      <c r="A42" s="13">
        <v>41</v>
      </c>
      <c r="B42" s="15">
        <v>1</v>
      </c>
      <c r="C42" s="16">
        <v>43</v>
      </c>
      <c r="D42" s="17" t="s">
        <v>96</v>
      </c>
      <c r="E42" s="17" t="s">
        <v>97</v>
      </c>
      <c r="F42" s="15">
        <v>109.5</v>
      </c>
      <c r="G42" s="15">
        <v>111</v>
      </c>
      <c r="H42" s="15">
        <v>100.25</v>
      </c>
      <c r="I42" s="15">
        <v>54.5</v>
      </c>
      <c r="J42" s="15"/>
      <c r="K42" s="15">
        <v>65</v>
      </c>
      <c r="L42" s="15"/>
      <c r="M42" s="15">
        <v>86</v>
      </c>
      <c r="N42" s="15"/>
      <c r="O42" s="15">
        <v>320.75</v>
      </c>
      <c r="P42" s="15">
        <v>526.25</v>
      </c>
    </row>
    <row r="43" ht="14.25" spans="1:16">
      <c r="A43" s="13">
        <v>42</v>
      </c>
      <c r="B43" s="15">
        <v>1</v>
      </c>
      <c r="C43" s="16">
        <v>44</v>
      </c>
      <c r="D43" s="17" t="s">
        <v>98</v>
      </c>
      <c r="E43" s="17" t="s">
        <v>99</v>
      </c>
      <c r="F43" s="15">
        <v>95.5</v>
      </c>
      <c r="G43" s="15">
        <v>84.5</v>
      </c>
      <c r="H43" s="15">
        <v>83.5</v>
      </c>
      <c r="I43" s="15">
        <v>50.5</v>
      </c>
      <c r="J43" s="15"/>
      <c r="K43" s="15">
        <v>86</v>
      </c>
      <c r="L43" s="15"/>
      <c r="M43" s="15">
        <v>65</v>
      </c>
      <c r="N43" s="15"/>
      <c r="O43" s="15">
        <v>263.5</v>
      </c>
      <c r="P43" s="15">
        <v>465</v>
      </c>
    </row>
    <row r="44" ht="14.25" spans="1:16">
      <c r="A44" s="13">
        <v>43</v>
      </c>
      <c r="B44" s="15">
        <v>1</v>
      </c>
      <c r="C44" s="16">
        <v>45</v>
      </c>
      <c r="D44" s="17" t="s">
        <v>100</v>
      </c>
      <c r="E44" s="17" t="s">
        <v>101</v>
      </c>
      <c r="F44" s="15">
        <v>89.5</v>
      </c>
      <c r="G44" s="15">
        <v>104</v>
      </c>
      <c r="H44" s="15">
        <v>85.5</v>
      </c>
      <c r="I44" s="15">
        <v>65</v>
      </c>
      <c r="J44" s="15"/>
      <c r="K44" s="15">
        <v>80</v>
      </c>
      <c r="L44" s="15"/>
      <c r="M44" s="15">
        <v>66</v>
      </c>
      <c r="N44" s="15"/>
      <c r="O44" s="15">
        <v>279</v>
      </c>
      <c r="P44" s="15">
        <v>490</v>
      </c>
    </row>
    <row r="45" ht="14.25" spans="1:16">
      <c r="A45" s="13">
        <v>44</v>
      </c>
      <c r="B45" s="15">
        <v>1</v>
      </c>
      <c r="C45" s="16">
        <v>46</v>
      </c>
      <c r="D45" s="17" t="s">
        <v>102</v>
      </c>
      <c r="E45" s="17" t="s">
        <v>103</v>
      </c>
      <c r="F45" s="15">
        <v>105.5</v>
      </c>
      <c r="G45" s="15">
        <v>112</v>
      </c>
      <c r="H45" s="15">
        <v>85.5</v>
      </c>
      <c r="I45" s="15">
        <v>46.5</v>
      </c>
      <c r="J45" s="15"/>
      <c r="K45" s="15">
        <v>65</v>
      </c>
      <c r="L45" s="15"/>
      <c r="M45" s="15">
        <v>87</v>
      </c>
      <c r="N45" s="15"/>
      <c r="O45" s="15">
        <v>303</v>
      </c>
      <c r="P45" s="15">
        <v>501.5</v>
      </c>
    </row>
    <row r="46" ht="14.25" spans="1:16">
      <c r="A46" s="13">
        <v>45</v>
      </c>
      <c r="B46" s="15">
        <v>1</v>
      </c>
      <c r="C46" s="16">
        <v>47</v>
      </c>
      <c r="D46" s="17" t="s">
        <v>104</v>
      </c>
      <c r="E46" s="17" t="s">
        <v>105</v>
      </c>
      <c r="F46" s="15">
        <v>112.25</v>
      </c>
      <c r="G46" s="15">
        <v>97.5</v>
      </c>
      <c r="H46" s="15">
        <v>101.5</v>
      </c>
      <c r="I46" s="15">
        <v>38</v>
      </c>
      <c r="J46" s="15"/>
      <c r="K46" s="15">
        <v>72</v>
      </c>
      <c r="L46" s="15"/>
      <c r="M46" s="15">
        <v>87</v>
      </c>
      <c r="N46" s="15"/>
      <c r="O46" s="15">
        <v>311.25</v>
      </c>
      <c r="P46" s="15">
        <v>508.25</v>
      </c>
    </row>
    <row r="47" ht="14.25" spans="1:16">
      <c r="A47" s="13">
        <v>46</v>
      </c>
      <c r="B47" s="15">
        <v>1</v>
      </c>
      <c r="C47" s="16">
        <v>48</v>
      </c>
      <c r="D47" s="17" t="s">
        <v>106</v>
      </c>
      <c r="E47" s="17" t="s">
        <v>107</v>
      </c>
      <c r="F47" s="15">
        <v>103.5</v>
      </c>
      <c r="G47" s="15">
        <v>99</v>
      </c>
      <c r="H47" s="15">
        <v>92</v>
      </c>
      <c r="I47" s="15">
        <v>59</v>
      </c>
      <c r="J47" s="15"/>
      <c r="K47" s="15">
        <v>82</v>
      </c>
      <c r="L47" s="15"/>
      <c r="M47" s="15">
        <v>86</v>
      </c>
      <c r="N47" s="15"/>
      <c r="O47" s="15">
        <v>294.5</v>
      </c>
      <c r="P47" s="15">
        <v>521.5</v>
      </c>
    </row>
    <row r="48" ht="14.25" spans="1:16">
      <c r="A48" s="13">
        <v>47</v>
      </c>
      <c r="B48" s="15">
        <v>1</v>
      </c>
      <c r="C48" s="16">
        <v>49</v>
      </c>
      <c r="D48" s="17" t="s">
        <v>108</v>
      </c>
      <c r="E48" s="17" t="s">
        <v>109</v>
      </c>
      <c r="F48" s="15">
        <v>99.5</v>
      </c>
      <c r="G48" s="15">
        <v>108.5</v>
      </c>
      <c r="H48" s="15">
        <v>77.5</v>
      </c>
      <c r="I48" s="15">
        <v>44</v>
      </c>
      <c r="J48" s="15"/>
      <c r="K48" s="15">
        <v>75</v>
      </c>
      <c r="L48" s="15"/>
      <c r="M48" s="15">
        <v>73</v>
      </c>
      <c r="N48" s="15"/>
      <c r="O48" s="15">
        <v>285.5</v>
      </c>
      <c r="P48" s="15">
        <v>477.5</v>
      </c>
    </row>
    <row r="49" ht="14.25" spans="1:16">
      <c r="A49" s="13">
        <v>48</v>
      </c>
      <c r="B49" s="15">
        <v>1</v>
      </c>
      <c r="C49" s="16">
        <v>50</v>
      </c>
      <c r="D49" s="17" t="s">
        <v>110</v>
      </c>
      <c r="E49" s="17" t="s">
        <v>111</v>
      </c>
      <c r="F49" s="15">
        <v>90</v>
      </c>
      <c r="G49" s="15">
        <v>85</v>
      </c>
      <c r="H49" s="15">
        <v>97</v>
      </c>
      <c r="I49" s="15">
        <v>38.5</v>
      </c>
      <c r="J49" s="15"/>
      <c r="K49" s="15">
        <v>77</v>
      </c>
      <c r="L49" s="15"/>
      <c r="M49" s="15">
        <v>83</v>
      </c>
      <c r="N49" s="15"/>
      <c r="O49" s="15">
        <v>272</v>
      </c>
      <c r="P49" s="15">
        <v>470.5</v>
      </c>
    </row>
    <row r="50" ht="14.25" spans="1:16">
      <c r="A50" s="13">
        <v>49</v>
      </c>
      <c r="B50" s="15">
        <v>1</v>
      </c>
      <c r="C50" s="16">
        <v>51</v>
      </c>
      <c r="D50" s="17" t="s">
        <v>112</v>
      </c>
      <c r="E50" s="17" t="s">
        <v>113</v>
      </c>
      <c r="F50" s="15">
        <v>101.5</v>
      </c>
      <c r="G50" s="15">
        <v>85</v>
      </c>
      <c r="H50" s="15">
        <v>93</v>
      </c>
      <c r="I50" s="15">
        <v>30</v>
      </c>
      <c r="J50" s="15"/>
      <c r="K50" s="15">
        <v>71</v>
      </c>
      <c r="L50" s="15"/>
      <c r="M50" s="15">
        <v>66</v>
      </c>
      <c r="N50" s="15"/>
      <c r="O50" s="15">
        <v>279.5</v>
      </c>
      <c r="P50" s="15">
        <v>446.5</v>
      </c>
    </row>
    <row r="51" ht="14.25" spans="1:16">
      <c r="A51" s="13">
        <v>50</v>
      </c>
      <c r="B51" s="15">
        <v>1</v>
      </c>
      <c r="C51" s="16">
        <v>52</v>
      </c>
      <c r="D51" s="17" t="s">
        <v>114</v>
      </c>
      <c r="E51" s="17" t="s">
        <v>115</v>
      </c>
      <c r="F51" s="15">
        <v>95</v>
      </c>
      <c r="G51" s="15">
        <v>77</v>
      </c>
      <c r="H51" s="15">
        <v>105.5</v>
      </c>
      <c r="I51" s="15">
        <v>47</v>
      </c>
      <c r="J51" s="15"/>
      <c r="K51" s="15">
        <v>80</v>
      </c>
      <c r="L51" s="15"/>
      <c r="M51" s="15">
        <v>73</v>
      </c>
      <c r="N51" s="15"/>
      <c r="O51" s="15">
        <v>277.5</v>
      </c>
      <c r="P51" s="15">
        <v>477.5</v>
      </c>
    </row>
    <row r="52" ht="14.25" spans="1:16">
      <c r="A52" s="13">
        <v>51</v>
      </c>
      <c r="B52" s="15">
        <v>1</v>
      </c>
      <c r="C52" s="16">
        <v>53</v>
      </c>
      <c r="D52" s="17" t="s">
        <v>116</v>
      </c>
      <c r="E52" s="17" t="s">
        <v>117</v>
      </c>
      <c r="F52" s="15">
        <v>91</v>
      </c>
      <c r="G52" s="15">
        <v>50</v>
      </c>
      <c r="H52" s="15">
        <v>74</v>
      </c>
      <c r="I52" s="15">
        <v>27</v>
      </c>
      <c r="J52" s="15"/>
      <c r="K52" s="15">
        <v>51</v>
      </c>
      <c r="L52" s="15"/>
      <c r="M52" s="15">
        <v>66</v>
      </c>
      <c r="N52" s="15"/>
      <c r="O52" s="15">
        <v>215</v>
      </c>
      <c r="P52" s="15">
        <v>359</v>
      </c>
    </row>
    <row r="53" ht="14.25" spans="1:16">
      <c r="A53" s="13">
        <v>52</v>
      </c>
      <c r="B53" s="15">
        <v>1</v>
      </c>
      <c r="C53" s="16">
        <v>54</v>
      </c>
      <c r="D53" s="17" t="s">
        <v>118</v>
      </c>
      <c r="E53" s="17" t="s">
        <v>119</v>
      </c>
      <c r="F53" s="15">
        <v>99.5</v>
      </c>
      <c r="G53" s="15">
        <v>100.5</v>
      </c>
      <c r="H53" s="15">
        <v>109</v>
      </c>
      <c r="I53" s="15">
        <v>54.5</v>
      </c>
      <c r="J53" s="15"/>
      <c r="K53" s="15">
        <v>71</v>
      </c>
      <c r="L53" s="15"/>
      <c r="M53" s="15">
        <v>80</v>
      </c>
      <c r="N53" s="15"/>
      <c r="O53" s="15">
        <v>309</v>
      </c>
      <c r="P53" s="15">
        <v>514.5</v>
      </c>
    </row>
    <row r="54" ht="14.25" spans="1:16">
      <c r="A54" s="13">
        <v>53</v>
      </c>
      <c r="B54" s="15">
        <v>1</v>
      </c>
      <c r="C54" s="16">
        <v>55</v>
      </c>
      <c r="D54" s="17" t="s">
        <v>120</v>
      </c>
      <c r="E54" s="17" t="s">
        <v>121</v>
      </c>
      <c r="F54" s="15">
        <v>98.25</v>
      </c>
      <c r="G54" s="15">
        <v>50</v>
      </c>
      <c r="H54" s="15">
        <v>94.5</v>
      </c>
      <c r="I54" s="15">
        <v>27.5</v>
      </c>
      <c r="J54" s="15"/>
      <c r="K54" s="15">
        <v>68</v>
      </c>
      <c r="L54" s="15"/>
      <c r="M54" s="15">
        <v>83</v>
      </c>
      <c r="N54" s="15"/>
      <c r="O54" s="15">
        <v>242.75</v>
      </c>
      <c r="P54" s="15">
        <v>421.25</v>
      </c>
    </row>
    <row r="55" ht="14.25" spans="1:16">
      <c r="A55" s="13">
        <v>54</v>
      </c>
      <c r="B55" s="15">
        <v>1</v>
      </c>
      <c r="C55" s="16">
        <v>56</v>
      </c>
      <c r="D55" s="17" t="s">
        <v>122</v>
      </c>
      <c r="E55" s="17" t="s">
        <v>123</v>
      </c>
      <c r="F55" s="15">
        <v>85</v>
      </c>
      <c r="G55" s="15">
        <v>98.5</v>
      </c>
      <c r="H55" s="15">
        <v>88</v>
      </c>
      <c r="I55" s="15">
        <v>35</v>
      </c>
      <c r="J55" s="15"/>
      <c r="K55" s="15">
        <v>75</v>
      </c>
      <c r="L55" s="15"/>
      <c r="M55" s="15">
        <v>78</v>
      </c>
      <c r="N55" s="15"/>
      <c r="O55" s="15">
        <v>271.5</v>
      </c>
      <c r="P55" s="15">
        <v>459.5</v>
      </c>
    </row>
    <row r="56" ht="14.25" spans="1:16">
      <c r="A56" s="13">
        <v>55</v>
      </c>
      <c r="B56" s="15">
        <v>1</v>
      </c>
      <c r="C56" s="16">
        <v>57</v>
      </c>
      <c r="D56" s="17" t="s">
        <v>124</v>
      </c>
      <c r="E56" s="17" t="s">
        <v>125</v>
      </c>
      <c r="F56" s="15">
        <v>101</v>
      </c>
      <c r="G56" s="15">
        <v>72.5</v>
      </c>
      <c r="H56" s="15">
        <v>87.5</v>
      </c>
      <c r="I56" s="15">
        <v>40</v>
      </c>
      <c r="J56" s="15"/>
      <c r="K56" s="15">
        <v>68</v>
      </c>
      <c r="L56" s="15"/>
      <c r="M56" s="15">
        <v>67</v>
      </c>
      <c r="N56" s="15"/>
      <c r="O56" s="15">
        <v>261</v>
      </c>
      <c r="P56" s="15">
        <v>436</v>
      </c>
    </row>
    <row r="57" ht="14.25" spans="1:16">
      <c r="A57" s="13">
        <v>56</v>
      </c>
      <c r="B57" s="15">
        <v>1</v>
      </c>
      <c r="C57" s="16">
        <v>58</v>
      </c>
      <c r="D57" s="17" t="s">
        <v>126</v>
      </c>
      <c r="E57" s="17" t="s">
        <v>127</v>
      </c>
      <c r="F57" s="15">
        <v>91</v>
      </c>
      <c r="G57" s="15">
        <v>86</v>
      </c>
      <c r="H57" s="15">
        <v>84.25</v>
      </c>
      <c r="I57" s="15">
        <v>36.5</v>
      </c>
      <c r="J57" s="15"/>
      <c r="K57" s="15">
        <v>64</v>
      </c>
      <c r="L57" s="15"/>
      <c r="M57" s="15">
        <v>68</v>
      </c>
      <c r="N57" s="15"/>
      <c r="O57" s="15">
        <v>261.25</v>
      </c>
      <c r="P57" s="15">
        <v>429.75</v>
      </c>
    </row>
    <row r="58" ht="14.25" spans="1:16">
      <c r="A58" s="13">
        <v>57</v>
      </c>
      <c r="B58" s="15">
        <v>1</v>
      </c>
      <c r="C58" s="16">
        <v>59</v>
      </c>
      <c r="D58" s="17" t="s">
        <v>128</v>
      </c>
      <c r="E58" s="17" t="s">
        <v>129</v>
      </c>
      <c r="F58" s="15">
        <v>104</v>
      </c>
      <c r="G58" s="15">
        <v>103.5</v>
      </c>
      <c r="H58" s="15">
        <v>115.25</v>
      </c>
      <c r="I58" s="15">
        <v>46.5</v>
      </c>
      <c r="J58" s="15"/>
      <c r="K58" s="15">
        <v>62</v>
      </c>
      <c r="L58" s="15"/>
      <c r="M58" s="15">
        <v>68</v>
      </c>
      <c r="N58" s="15"/>
      <c r="O58" s="15">
        <v>322.75</v>
      </c>
      <c r="P58" s="15">
        <v>499.25</v>
      </c>
    </row>
    <row r="59" ht="14.25" spans="1:16">
      <c r="A59" s="13">
        <v>58</v>
      </c>
      <c r="B59" s="15">
        <v>1</v>
      </c>
      <c r="C59" s="16">
        <v>60</v>
      </c>
      <c r="D59" s="17" t="s">
        <v>130</v>
      </c>
      <c r="E59" s="17" t="s">
        <v>131</v>
      </c>
      <c r="F59" s="15">
        <v>101</v>
      </c>
      <c r="G59" s="15">
        <v>106</v>
      </c>
      <c r="H59" s="15">
        <v>77.5</v>
      </c>
      <c r="I59" s="15">
        <v>35</v>
      </c>
      <c r="J59" s="15"/>
      <c r="K59" s="15">
        <v>80</v>
      </c>
      <c r="L59" s="15"/>
      <c r="M59" s="15">
        <v>69</v>
      </c>
      <c r="N59" s="15"/>
      <c r="O59" s="15">
        <v>284.5</v>
      </c>
      <c r="P59" s="15">
        <v>468.5</v>
      </c>
    </row>
    <row r="60" ht="14.25" spans="1:16">
      <c r="A60" s="13">
        <v>59</v>
      </c>
      <c r="B60" s="15">
        <v>1</v>
      </c>
      <c r="C60" s="16">
        <v>61</v>
      </c>
      <c r="D60" s="17" t="s">
        <v>132</v>
      </c>
      <c r="E60" s="17" t="s">
        <v>133</v>
      </c>
      <c r="F60" s="15">
        <v>98</v>
      </c>
      <c r="G60" s="15">
        <v>79.5</v>
      </c>
      <c r="H60" s="15">
        <v>64.25</v>
      </c>
      <c r="I60" s="15">
        <v>20.5</v>
      </c>
      <c r="J60" s="15"/>
      <c r="K60" s="15">
        <v>64</v>
      </c>
      <c r="L60" s="15"/>
      <c r="M60" s="15">
        <v>61</v>
      </c>
      <c r="N60" s="15"/>
      <c r="O60" s="15">
        <v>241.75</v>
      </c>
      <c r="P60" s="15">
        <v>387.25</v>
      </c>
    </row>
    <row r="61" ht="14.25" spans="1:16">
      <c r="A61" s="13">
        <v>60</v>
      </c>
      <c r="B61" s="15">
        <v>1</v>
      </c>
      <c r="C61" s="16">
        <v>62</v>
      </c>
      <c r="D61" s="17" t="s">
        <v>134</v>
      </c>
      <c r="E61" s="17" t="s">
        <v>135</v>
      </c>
      <c r="F61" s="15">
        <v>99</v>
      </c>
      <c r="G61" s="15">
        <v>86</v>
      </c>
      <c r="H61" s="15">
        <v>90</v>
      </c>
      <c r="I61" s="15">
        <v>34.5</v>
      </c>
      <c r="J61" s="15"/>
      <c r="K61" s="15">
        <v>74</v>
      </c>
      <c r="L61" s="15"/>
      <c r="M61" s="15">
        <v>80</v>
      </c>
      <c r="N61" s="15"/>
      <c r="O61" s="15">
        <v>275</v>
      </c>
      <c r="P61" s="15">
        <v>463.5</v>
      </c>
    </row>
    <row r="62" ht="14.25" spans="1:16">
      <c r="A62" s="13">
        <v>61</v>
      </c>
      <c r="B62" s="15">
        <v>1</v>
      </c>
      <c r="C62" s="16">
        <v>63</v>
      </c>
      <c r="D62" s="17" t="s">
        <v>136</v>
      </c>
      <c r="E62" s="17" t="s">
        <v>137</v>
      </c>
      <c r="F62" s="15">
        <v>95</v>
      </c>
      <c r="G62" s="15">
        <v>97.5</v>
      </c>
      <c r="H62" s="15">
        <v>93.5</v>
      </c>
      <c r="I62" s="15">
        <v>62</v>
      </c>
      <c r="J62" s="15"/>
      <c r="K62" s="15">
        <v>75</v>
      </c>
      <c r="L62" s="15"/>
      <c r="M62" s="15">
        <v>72</v>
      </c>
      <c r="N62" s="15"/>
      <c r="O62" s="15">
        <v>286</v>
      </c>
      <c r="P62" s="15">
        <v>495</v>
      </c>
    </row>
    <row r="63" ht="14.25" spans="1:16">
      <c r="A63" s="13">
        <v>62</v>
      </c>
      <c r="B63" s="15">
        <v>1</v>
      </c>
      <c r="C63" s="16">
        <v>64</v>
      </c>
      <c r="D63" s="17" t="s">
        <v>138</v>
      </c>
      <c r="E63" s="17" t="s">
        <v>139</v>
      </c>
      <c r="F63" s="15">
        <v>98.5</v>
      </c>
      <c r="G63" s="15">
        <v>111.5</v>
      </c>
      <c r="H63" s="15">
        <v>86.5</v>
      </c>
      <c r="I63" s="15">
        <v>58</v>
      </c>
      <c r="J63" s="15"/>
      <c r="K63" s="15">
        <v>79</v>
      </c>
      <c r="L63" s="15"/>
      <c r="M63" s="15">
        <v>58</v>
      </c>
      <c r="N63" s="15"/>
      <c r="O63" s="15">
        <v>296.5</v>
      </c>
      <c r="P63" s="15">
        <v>491.5</v>
      </c>
    </row>
    <row r="64" ht="14.25" spans="1:16">
      <c r="A64" s="13">
        <v>63</v>
      </c>
      <c r="B64" s="15">
        <v>1</v>
      </c>
      <c r="C64" s="16">
        <v>65</v>
      </c>
      <c r="D64" s="17" t="s">
        <v>140</v>
      </c>
      <c r="E64" s="17" t="s">
        <v>141</v>
      </c>
      <c r="F64" s="15">
        <v>101</v>
      </c>
      <c r="G64" s="15">
        <v>91</v>
      </c>
      <c r="H64" s="15">
        <v>90.75</v>
      </c>
      <c r="I64" s="15">
        <v>34.5</v>
      </c>
      <c r="J64" s="15"/>
      <c r="K64" s="15">
        <v>75</v>
      </c>
      <c r="L64" s="15"/>
      <c r="M64" s="15">
        <v>80</v>
      </c>
      <c r="N64" s="15"/>
      <c r="O64" s="15">
        <v>282.75</v>
      </c>
      <c r="P64" s="15">
        <v>472.25</v>
      </c>
    </row>
    <row r="65" ht="14.25" spans="1:16">
      <c r="A65" s="13">
        <v>64</v>
      </c>
      <c r="B65" s="15">
        <v>2</v>
      </c>
      <c r="C65" s="16">
        <v>1</v>
      </c>
      <c r="D65" s="17" t="s">
        <v>142</v>
      </c>
      <c r="E65" s="17" t="s">
        <v>143</v>
      </c>
      <c r="F65" s="15">
        <v>112.5</v>
      </c>
      <c r="G65" s="15">
        <v>84</v>
      </c>
      <c r="H65" s="15">
        <v>103.75</v>
      </c>
      <c r="I65" s="15">
        <v>42</v>
      </c>
      <c r="J65" s="15"/>
      <c r="K65" s="15"/>
      <c r="L65" s="15"/>
      <c r="M65" s="15">
        <v>71</v>
      </c>
      <c r="N65" s="15">
        <v>82</v>
      </c>
      <c r="O65" s="15">
        <v>300.25</v>
      </c>
      <c r="P65" s="15">
        <v>495.25</v>
      </c>
    </row>
    <row r="66" ht="14.25" spans="1:16">
      <c r="A66" s="13">
        <v>65</v>
      </c>
      <c r="B66" s="15">
        <v>2</v>
      </c>
      <c r="C66" s="16">
        <v>2</v>
      </c>
      <c r="D66" s="17" t="s">
        <v>144</v>
      </c>
      <c r="E66" s="17" t="s">
        <v>145</v>
      </c>
      <c r="F66" s="15">
        <v>99.5</v>
      </c>
      <c r="G66" s="15">
        <v>91</v>
      </c>
      <c r="H66" s="15">
        <v>92.5</v>
      </c>
      <c r="I66" s="15">
        <v>53.5</v>
      </c>
      <c r="J66" s="15"/>
      <c r="K66" s="15"/>
      <c r="L66" s="15"/>
      <c r="M66" s="15">
        <v>80</v>
      </c>
      <c r="N66" s="15">
        <v>75</v>
      </c>
      <c r="O66" s="15">
        <v>283</v>
      </c>
      <c r="P66" s="15">
        <v>491.5</v>
      </c>
    </row>
    <row r="67" ht="14.25" spans="1:16">
      <c r="A67" s="13">
        <v>66</v>
      </c>
      <c r="B67" s="15">
        <v>2</v>
      </c>
      <c r="C67" s="16">
        <v>3</v>
      </c>
      <c r="D67" s="17" t="s">
        <v>146</v>
      </c>
      <c r="E67" s="17" t="s">
        <v>147</v>
      </c>
      <c r="F67" s="15">
        <v>103.5</v>
      </c>
      <c r="G67" s="15">
        <v>84</v>
      </c>
      <c r="H67" s="15">
        <v>100.25</v>
      </c>
      <c r="I67" s="15">
        <v>35</v>
      </c>
      <c r="J67" s="15"/>
      <c r="K67" s="15"/>
      <c r="L67" s="15"/>
      <c r="M67" s="15">
        <v>86</v>
      </c>
      <c r="N67" s="15">
        <v>81</v>
      </c>
      <c r="O67" s="15">
        <v>287.75</v>
      </c>
      <c r="P67" s="15">
        <v>489.75</v>
      </c>
    </row>
    <row r="68" ht="14.25" spans="1:16">
      <c r="A68" s="13">
        <v>67</v>
      </c>
      <c r="B68" s="15">
        <v>2</v>
      </c>
      <c r="C68" s="16">
        <v>4</v>
      </c>
      <c r="D68" s="17" t="s">
        <v>148</v>
      </c>
      <c r="E68" s="17" t="s">
        <v>149</v>
      </c>
      <c r="F68" s="15">
        <v>103.5</v>
      </c>
      <c r="G68" s="15">
        <v>100</v>
      </c>
      <c r="H68" s="15">
        <v>89.5</v>
      </c>
      <c r="I68" s="15">
        <v>28.5</v>
      </c>
      <c r="J68" s="15"/>
      <c r="K68" s="15"/>
      <c r="L68" s="15"/>
      <c r="M68" s="15">
        <v>72</v>
      </c>
      <c r="N68" s="15">
        <v>71</v>
      </c>
      <c r="O68" s="15">
        <v>293</v>
      </c>
      <c r="P68" s="15">
        <v>464.5</v>
      </c>
    </row>
    <row r="69" ht="14.25" spans="1:16">
      <c r="A69" s="13">
        <v>68</v>
      </c>
      <c r="B69" s="15">
        <v>2</v>
      </c>
      <c r="C69" s="16">
        <v>5</v>
      </c>
      <c r="D69" s="17" t="s">
        <v>150</v>
      </c>
      <c r="E69" s="17" t="s">
        <v>151</v>
      </c>
      <c r="F69" s="15">
        <v>98</v>
      </c>
      <c r="G69" s="15">
        <v>91.5</v>
      </c>
      <c r="H69" s="15">
        <v>112</v>
      </c>
      <c r="I69" s="15">
        <v>49</v>
      </c>
      <c r="J69" s="15"/>
      <c r="K69" s="15"/>
      <c r="L69" s="15"/>
      <c r="M69" s="15">
        <v>90</v>
      </c>
      <c r="N69" s="15">
        <v>86</v>
      </c>
      <c r="O69" s="15">
        <v>301.5</v>
      </c>
      <c r="P69" s="15">
        <v>526.5</v>
      </c>
    </row>
    <row r="70" ht="14.25" spans="1:16">
      <c r="A70" s="13">
        <v>69</v>
      </c>
      <c r="B70" s="15">
        <v>2</v>
      </c>
      <c r="C70" s="16">
        <v>6</v>
      </c>
      <c r="D70" s="17" t="s">
        <v>152</v>
      </c>
      <c r="E70" s="17" t="s">
        <v>153</v>
      </c>
      <c r="F70" s="15">
        <v>95.5</v>
      </c>
      <c r="G70" s="15">
        <v>80</v>
      </c>
      <c r="H70" s="15">
        <v>94.25</v>
      </c>
      <c r="I70" s="15">
        <v>38</v>
      </c>
      <c r="J70" s="15"/>
      <c r="K70" s="15"/>
      <c r="L70" s="15"/>
      <c r="M70" s="15">
        <v>83</v>
      </c>
      <c r="N70" s="15">
        <v>65</v>
      </c>
      <c r="O70" s="15">
        <v>269.75</v>
      </c>
      <c r="P70" s="15">
        <v>455.75</v>
      </c>
    </row>
    <row r="71" ht="14.25" spans="1:16">
      <c r="A71" s="13">
        <v>70</v>
      </c>
      <c r="B71" s="15">
        <v>2</v>
      </c>
      <c r="C71" s="16">
        <v>7</v>
      </c>
      <c r="D71" s="17" t="s">
        <v>154</v>
      </c>
      <c r="E71" s="17" t="s">
        <v>155</v>
      </c>
      <c r="F71" s="15">
        <v>94.5</v>
      </c>
      <c r="G71" s="15">
        <v>111</v>
      </c>
      <c r="H71" s="15">
        <v>106.5</v>
      </c>
      <c r="I71" s="15">
        <v>50.5</v>
      </c>
      <c r="J71" s="15"/>
      <c r="K71" s="15"/>
      <c r="L71" s="15"/>
      <c r="M71" s="15">
        <v>87</v>
      </c>
      <c r="N71" s="15">
        <v>79</v>
      </c>
      <c r="O71" s="15">
        <v>312</v>
      </c>
      <c r="P71" s="15">
        <v>528.5</v>
      </c>
    </row>
    <row r="72" ht="14.25" spans="1:16">
      <c r="A72" s="13">
        <v>71</v>
      </c>
      <c r="B72" s="15">
        <v>2</v>
      </c>
      <c r="C72" s="16">
        <v>8</v>
      </c>
      <c r="D72" s="17" t="s">
        <v>156</v>
      </c>
      <c r="E72" s="17" t="s">
        <v>157</v>
      </c>
      <c r="F72" s="15">
        <v>102</v>
      </c>
      <c r="G72" s="15">
        <v>97</v>
      </c>
      <c r="H72" s="15">
        <v>86.5</v>
      </c>
      <c r="I72" s="15">
        <v>67.5</v>
      </c>
      <c r="J72" s="15"/>
      <c r="K72" s="15"/>
      <c r="L72" s="15"/>
      <c r="M72" s="15">
        <v>74</v>
      </c>
      <c r="N72" s="15">
        <v>87</v>
      </c>
      <c r="O72" s="15">
        <v>285.5</v>
      </c>
      <c r="P72" s="15">
        <v>514</v>
      </c>
    </row>
    <row r="73" ht="14.25" spans="1:16">
      <c r="A73" s="13">
        <v>72</v>
      </c>
      <c r="B73" s="15">
        <v>2</v>
      </c>
      <c r="C73" s="16">
        <v>9</v>
      </c>
      <c r="D73" s="17" t="s">
        <v>158</v>
      </c>
      <c r="E73" s="17" t="s">
        <v>159</v>
      </c>
      <c r="F73" s="15">
        <v>104</v>
      </c>
      <c r="G73" s="15">
        <v>117</v>
      </c>
      <c r="H73" s="15">
        <v>104.75</v>
      </c>
      <c r="I73" s="15">
        <v>61</v>
      </c>
      <c r="J73" s="15"/>
      <c r="K73" s="15"/>
      <c r="L73" s="15"/>
      <c r="M73" s="15">
        <v>90</v>
      </c>
      <c r="N73" s="15">
        <v>86</v>
      </c>
      <c r="O73" s="15">
        <v>325.75</v>
      </c>
      <c r="P73" s="15">
        <v>562.75</v>
      </c>
    </row>
    <row r="74" ht="14.25" spans="1:16">
      <c r="A74" s="13">
        <v>73</v>
      </c>
      <c r="B74" s="15">
        <v>2</v>
      </c>
      <c r="C74" s="16">
        <v>10</v>
      </c>
      <c r="D74" s="17" t="s">
        <v>160</v>
      </c>
      <c r="E74" s="17" t="s">
        <v>161</v>
      </c>
      <c r="F74" s="15">
        <v>99</v>
      </c>
      <c r="G74" s="15">
        <v>95</v>
      </c>
      <c r="H74" s="15">
        <v>92.5</v>
      </c>
      <c r="I74" s="15">
        <v>41.5</v>
      </c>
      <c r="J74" s="15"/>
      <c r="K74" s="15"/>
      <c r="L74" s="15"/>
      <c r="M74" s="15">
        <v>82</v>
      </c>
      <c r="N74" s="15">
        <v>68</v>
      </c>
      <c r="O74" s="15">
        <v>286.5</v>
      </c>
      <c r="P74" s="15">
        <v>478</v>
      </c>
    </row>
    <row r="75" ht="14.25" spans="1:16">
      <c r="A75" s="13">
        <v>74</v>
      </c>
      <c r="B75" s="15">
        <v>2</v>
      </c>
      <c r="C75" s="16">
        <v>11</v>
      </c>
      <c r="D75" s="17" t="s">
        <v>162</v>
      </c>
      <c r="E75" s="17" t="s">
        <v>121</v>
      </c>
      <c r="F75" s="15">
        <v>92.5</v>
      </c>
      <c r="G75" s="15">
        <v>96</v>
      </c>
      <c r="H75" s="15">
        <v>92</v>
      </c>
      <c r="I75" s="15">
        <v>47.5</v>
      </c>
      <c r="J75" s="15"/>
      <c r="K75" s="15"/>
      <c r="L75" s="15"/>
      <c r="M75" s="15">
        <v>75</v>
      </c>
      <c r="N75" s="15">
        <v>76</v>
      </c>
      <c r="O75" s="15">
        <v>280.5</v>
      </c>
      <c r="P75" s="15">
        <v>479</v>
      </c>
    </row>
    <row r="76" ht="14.25" spans="1:16">
      <c r="A76" s="13">
        <v>75</v>
      </c>
      <c r="B76" s="15">
        <v>2</v>
      </c>
      <c r="C76" s="16">
        <v>12</v>
      </c>
      <c r="D76" s="17" t="s">
        <v>163</v>
      </c>
      <c r="E76" s="17" t="s">
        <v>164</v>
      </c>
      <c r="F76" s="15">
        <v>95.5</v>
      </c>
      <c r="G76" s="15">
        <v>107.5</v>
      </c>
      <c r="H76" s="15">
        <v>113</v>
      </c>
      <c r="I76" s="15">
        <v>50</v>
      </c>
      <c r="J76" s="15"/>
      <c r="K76" s="15"/>
      <c r="L76" s="15"/>
      <c r="M76" s="15">
        <v>88</v>
      </c>
      <c r="N76" s="15">
        <v>90</v>
      </c>
      <c r="O76" s="15">
        <v>316</v>
      </c>
      <c r="P76" s="15">
        <v>544</v>
      </c>
    </row>
    <row r="77" ht="14.25" spans="1:16">
      <c r="A77" s="13">
        <v>76</v>
      </c>
      <c r="B77" s="15">
        <v>2</v>
      </c>
      <c r="C77" s="16">
        <v>13</v>
      </c>
      <c r="D77" s="17" t="s">
        <v>165</v>
      </c>
      <c r="E77" s="17" t="s">
        <v>166</v>
      </c>
      <c r="F77" s="15">
        <v>100.5</v>
      </c>
      <c r="G77" s="15">
        <v>105</v>
      </c>
      <c r="H77" s="15">
        <v>108.5</v>
      </c>
      <c r="I77" s="15">
        <v>58.5</v>
      </c>
      <c r="J77" s="15"/>
      <c r="K77" s="15"/>
      <c r="L77" s="15"/>
      <c r="M77" s="15">
        <v>67</v>
      </c>
      <c r="N77" s="15">
        <v>89</v>
      </c>
      <c r="O77" s="15">
        <v>314</v>
      </c>
      <c r="P77" s="15">
        <v>528.5</v>
      </c>
    </row>
    <row r="78" ht="14.25" spans="1:16">
      <c r="A78" s="13">
        <v>77</v>
      </c>
      <c r="B78" s="15">
        <v>2</v>
      </c>
      <c r="C78" s="16">
        <v>14</v>
      </c>
      <c r="D78" s="17" t="s">
        <v>167</v>
      </c>
      <c r="E78" s="17" t="s">
        <v>168</v>
      </c>
      <c r="F78" s="15">
        <v>108</v>
      </c>
      <c r="G78" s="15">
        <v>92</v>
      </c>
      <c r="H78" s="15">
        <v>105.75</v>
      </c>
      <c r="I78" s="15">
        <v>64.5</v>
      </c>
      <c r="J78" s="15"/>
      <c r="K78" s="15"/>
      <c r="L78" s="15"/>
      <c r="M78" s="15">
        <v>90</v>
      </c>
      <c r="N78" s="15">
        <v>76</v>
      </c>
      <c r="O78" s="15">
        <v>305.75</v>
      </c>
      <c r="P78" s="15">
        <v>536.25</v>
      </c>
    </row>
    <row r="79" ht="14.25" spans="1:16">
      <c r="A79" s="13">
        <v>78</v>
      </c>
      <c r="B79" s="15">
        <v>2</v>
      </c>
      <c r="C79" s="16">
        <v>15</v>
      </c>
      <c r="D79" s="17" t="s">
        <v>169</v>
      </c>
      <c r="E79" s="17" t="s">
        <v>170</v>
      </c>
      <c r="F79" s="15">
        <v>91.5</v>
      </c>
      <c r="G79" s="15">
        <v>105.5</v>
      </c>
      <c r="H79" s="15">
        <v>107</v>
      </c>
      <c r="I79" s="15">
        <v>44.5</v>
      </c>
      <c r="J79" s="15"/>
      <c r="K79" s="15"/>
      <c r="L79" s="15"/>
      <c r="M79" s="15">
        <v>78</v>
      </c>
      <c r="N79" s="15">
        <v>84</v>
      </c>
      <c r="O79" s="15">
        <v>304</v>
      </c>
      <c r="P79" s="15">
        <v>510.5</v>
      </c>
    </row>
    <row r="80" ht="14.25" spans="1:16">
      <c r="A80" s="13">
        <v>79</v>
      </c>
      <c r="B80" s="15">
        <v>2</v>
      </c>
      <c r="C80" s="16">
        <v>16</v>
      </c>
      <c r="D80" s="17" t="s">
        <v>171</v>
      </c>
      <c r="E80" s="17" t="s">
        <v>172</v>
      </c>
      <c r="F80" s="15">
        <v>95</v>
      </c>
      <c r="G80" s="15">
        <v>54.5</v>
      </c>
      <c r="H80" s="15">
        <v>93</v>
      </c>
      <c r="I80" s="15">
        <v>23</v>
      </c>
      <c r="J80" s="15"/>
      <c r="K80" s="15"/>
      <c r="L80" s="15"/>
      <c r="M80" s="15">
        <v>66</v>
      </c>
      <c r="N80" s="15">
        <v>58</v>
      </c>
      <c r="O80" s="15">
        <v>242.5</v>
      </c>
      <c r="P80" s="15">
        <v>389.5</v>
      </c>
    </row>
    <row r="81" ht="14.25" spans="1:16">
      <c r="A81" s="13">
        <v>80</v>
      </c>
      <c r="B81" s="15">
        <v>2</v>
      </c>
      <c r="C81" s="16">
        <v>17</v>
      </c>
      <c r="D81" s="17" t="s">
        <v>173</v>
      </c>
      <c r="E81" s="17" t="s">
        <v>174</v>
      </c>
      <c r="F81" s="15">
        <v>102.5</v>
      </c>
      <c r="G81" s="15">
        <v>96</v>
      </c>
      <c r="H81" s="15">
        <v>92.5</v>
      </c>
      <c r="I81" s="15">
        <v>31.5</v>
      </c>
      <c r="J81" s="15"/>
      <c r="K81" s="15"/>
      <c r="L81" s="15"/>
      <c r="M81" s="15">
        <v>82</v>
      </c>
      <c r="N81" s="15">
        <v>72</v>
      </c>
      <c r="O81" s="15">
        <v>291</v>
      </c>
      <c r="P81" s="15">
        <v>476.5</v>
      </c>
    </row>
    <row r="82" ht="14.25" spans="1:16">
      <c r="A82" s="13">
        <v>81</v>
      </c>
      <c r="B82" s="15">
        <v>2</v>
      </c>
      <c r="C82" s="16">
        <v>18</v>
      </c>
      <c r="D82" s="17" t="s">
        <v>175</v>
      </c>
      <c r="E82" s="17" t="s">
        <v>176</v>
      </c>
      <c r="F82" s="15">
        <v>93.75</v>
      </c>
      <c r="G82" s="15">
        <v>89.5</v>
      </c>
      <c r="H82" s="15">
        <v>98.75</v>
      </c>
      <c r="I82" s="15">
        <v>53.5</v>
      </c>
      <c r="J82" s="15"/>
      <c r="K82" s="15"/>
      <c r="L82" s="15"/>
      <c r="M82" s="15">
        <v>71</v>
      </c>
      <c r="N82" s="15">
        <v>75</v>
      </c>
      <c r="O82" s="15">
        <v>282</v>
      </c>
      <c r="P82" s="15">
        <v>481.5</v>
      </c>
    </row>
    <row r="83" ht="14.25" spans="1:16">
      <c r="A83" s="13">
        <v>82</v>
      </c>
      <c r="B83" s="15">
        <v>2</v>
      </c>
      <c r="C83" s="16">
        <v>19</v>
      </c>
      <c r="D83" s="17" t="s">
        <v>177</v>
      </c>
      <c r="E83" s="17" t="s">
        <v>178</v>
      </c>
      <c r="F83" s="15">
        <v>98</v>
      </c>
      <c r="G83" s="15">
        <v>107</v>
      </c>
      <c r="H83" s="15">
        <v>111</v>
      </c>
      <c r="I83" s="15">
        <v>66.5</v>
      </c>
      <c r="J83" s="15"/>
      <c r="K83" s="15"/>
      <c r="L83" s="15"/>
      <c r="M83" s="15">
        <v>77</v>
      </c>
      <c r="N83" s="15">
        <v>86</v>
      </c>
      <c r="O83" s="15">
        <v>316</v>
      </c>
      <c r="P83" s="15">
        <v>545.5</v>
      </c>
    </row>
    <row r="84" ht="14.25" spans="1:16">
      <c r="A84" s="13">
        <v>83</v>
      </c>
      <c r="B84" s="15">
        <v>2</v>
      </c>
      <c r="C84" s="16">
        <v>20</v>
      </c>
      <c r="D84" s="17" t="s">
        <v>179</v>
      </c>
      <c r="E84" s="17" t="s">
        <v>180</v>
      </c>
      <c r="F84" s="15">
        <v>103.5</v>
      </c>
      <c r="G84" s="15">
        <v>87.5</v>
      </c>
      <c r="H84" s="15">
        <v>87.25</v>
      </c>
      <c r="I84" s="15">
        <v>41</v>
      </c>
      <c r="J84" s="15"/>
      <c r="K84" s="15"/>
      <c r="L84" s="15"/>
      <c r="M84" s="15">
        <v>65</v>
      </c>
      <c r="N84" s="15">
        <v>81</v>
      </c>
      <c r="O84" s="15">
        <v>278.25</v>
      </c>
      <c r="P84" s="15">
        <v>465.25</v>
      </c>
    </row>
    <row r="85" ht="14.25" spans="1:16">
      <c r="A85" s="13">
        <v>84</v>
      </c>
      <c r="B85" s="15">
        <v>2</v>
      </c>
      <c r="C85" s="16">
        <v>21</v>
      </c>
      <c r="D85" s="17" t="s">
        <v>181</v>
      </c>
      <c r="E85" s="17" t="s">
        <v>182</v>
      </c>
      <c r="F85" s="15">
        <v>104.5</v>
      </c>
      <c r="G85" s="15">
        <v>102.5</v>
      </c>
      <c r="H85" s="15">
        <v>96</v>
      </c>
      <c r="I85" s="15">
        <v>53</v>
      </c>
      <c r="J85" s="15"/>
      <c r="K85" s="15"/>
      <c r="L85" s="15"/>
      <c r="M85" s="15">
        <v>88</v>
      </c>
      <c r="N85" s="15">
        <v>84</v>
      </c>
      <c r="O85" s="15">
        <v>303</v>
      </c>
      <c r="P85" s="15">
        <v>528</v>
      </c>
    </row>
    <row r="86" ht="14.25" spans="1:16">
      <c r="A86" s="13">
        <v>85</v>
      </c>
      <c r="B86" s="15">
        <v>2</v>
      </c>
      <c r="C86" s="16">
        <v>22</v>
      </c>
      <c r="D86" s="17" t="s">
        <v>183</v>
      </c>
      <c r="E86" s="17" t="s">
        <v>184</v>
      </c>
      <c r="F86" s="15">
        <v>94.5</v>
      </c>
      <c r="G86" s="15">
        <v>88.5</v>
      </c>
      <c r="H86" s="15">
        <v>74.25</v>
      </c>
      <c r="I86" s="15">
        <v>38.5</v>
      </c>
      <c r="J86" s="15"/>
      <c r="K86" s="15"/>
      <c r="L86" s="15"/>
      <c r="M86" s="15">
        <v>68</v>
      </c>
      <c r="N86" s="15">
        <v>86</v>
      </c>
      <c r="O86" s="15">
        <v>257.25</v>
      </c>
      <c r="P86" s="15">
        <v>449.75</v>
      </c>
    </row>
    <row r="87" ht="14.25" spans="1:16">
      <c r="A87" s="13">
        <v>86</v>
      </c>
      <c r="B87" s="15">
        <v>2</v>
      </c>
      <c r="C87" s="16">
        <v>23</v>
      </c>
      <c r="D87" s="17" t="s">
        <v>185</v>
      </c>
      <c r="E87" s="17" t="s">
        <v>186</v>
      </c>
      <c r="F87" s="15">
        <v>100.5</v>
      </c>
      <c r="G87" s="15">
        <v>95.5</v>
      </c>
      <c r="H87" s="15">
        <v>121</v>
      </c>
      <c r="I87" s="15">
        <v>47.5</v>
      </c>
      <c r="J87" s="15"/>
      <c r="K87" s="15"/>
      <c r="L87" s="15"/>
      <c r="M87" s="15">
        <v>88</v>
      </c>
      <c r="N87" s="15">
        <v>74</v>
      </c>
      <c r="O87" s="15">
        <v>317</v>
      </c>
      <c r="P87" s="15">
        <v>526.5</v>
      </c>
    </row>
    <row r="88" ht="14.25" spans="1:16">
      <c r="A88" s="13">
        <v>87</v>
      </c>
      <c r="B88" s="15">
        <v>2</v>
      </c>
      <c r="C88" s="16">
        <v>24</v>
      </c>
      <c r="D88" s="17" t="s">
        <v>187</v>
      </c>
      <c r="E88" s="17" t="s">
        <v>188</v>
      </c>
      <c r="F88" s="15">
        <v>107</v>
      </c>
      <c r="G88" s="15">
        <v>92</v>
      </c>
      <c r="H88" s="15">
        <v>97</v>
      </c>
      <c r="I88" s="15">
        <v>60.5</v>
      </c>
      <c r="J88" s="15"/>
      <c r="K88" s="15"/>
      <c r="L88" s="15"/>
      <c r="M88" s="15">
        <v>90</v>
      </c>
      <c r="N88" s="15">
        <v>78</v>
      </c>
      <c r="O88" s="15">
        <v>296</v>
      </c>
      <c r="P88" s="15">
        <v>524.5</v>
      </c>
    </row>
    <row r="89" ht="14.25" spans="1:16">
      <c r="A89" s="13">
        <v>88</v>
      </c>
      <c r="B89" s="15">
        <v>2</v>
      </c>
      <c r="C89" s="16">
        <v>25</v>
      </c>
      <c r="D89" s="17" t="s">
        <v>189</v>
      </c>
      <c r="E89" s="17" t="s">
        <v>190</v>
      </c>
      <c r="F89" s="15">
        <v>103.5</v>
      </c>
      <c r="G89" s="15">
        <v>88</v>
      </c>
      <c r="H89" s="15">
        <v>75.5</v>
      </c>
      <c r="I89" s="15">
        <v>61</v>
      </c>
      <c r="J89" s="15"/>
      <c r="K89" s="15"/>
      <c r="L89" s="15"/>
      <c r="M89" s="15">
        <v>68</v>
      </c>
      <c r="N89" s="15">
        <v>87</v>
      </c>
      <c r="O89" s="15">
        <v>267</v>
      </c>
      <c r="P89" s="15">
        <v>483</v>
      </c>
    </row>
    <row r="90" ht="14.25" spans="1:16">
      <c r="A90" s="13">
        <v>89</v>
      </c>
      <c r="B90" s="15">
        <v>2</v>
      </c>
      <c r="C90" s="16">
        <v>26</v>
      </c>
      <c r="D90" s="17" t="s">
        <v>191</v>
      </c>
      <c r="E90" s="17" t="s">
        <v>192</v>
      </c>
      <c r="F90" s="15">
        <v>106.5</v>
      </c>
      <c r="G90" s="15">
        <v>89</v>
      </c>
      <c r="H90" s="15">
        <v>110.25</v>
      </c>
      <c r="I90" s="15">
        <v>58.5</v>
      </c>
      <c r="J90" s="15"/>
      <c r="K90" s="15"/>
      <c r="L90" s="15"/>
      <c r="M90" s="15">
        <v>75</v>
      </c>
      <c r="N90" s="15">
        <v>78</v>
      </c>
      <c r="O90" s="15">
        <v>305.75</v>
      </c>
      <c r="P90" s="15">
        <v>517.25</v>
      </c>
    </row>
    <row r="91" ht="14.25" spans="1:16">
      <c r="A91" s="13">
        <v>90</v>
      </c>
      <c r="B91" s="15">
        <v>2</v>
      </c>
      <c r="C91" s="16">
        <v>27</v>
      </c>
      <c r="D91" s="17" t="s">
        <v>193</v>
      </c>
      <c r="E91" s="17" t="s">
        <v>194</v>
      </c>
      <c r="F91" s="15">
        <v>106</v>
      </c>
      <c r="G91" s="15">
        <v>109</v>
      </c>
      <c r="H91" s="15">
        <v>122</v>
      </c>
      <c r="I91" s="15">
        <v>43</v>
      </c>
      <c r="J91" s="15"/>
      <c r="K91" s="15"/>
      <c r="L91" s="15"/>
      <c r="M91" s="15">
        <v>81</v>
      </c>
      <c r="N91" s="15">
        <v>66</v>
      </c>
      <c r="O91" s="15">
        <v>337</v>
      </c>
      <c r="P91" s="15">
        <v>527</v>
      </c>
    </row>
    <row r="92" ht="14.25" spans="1:16">
      <c r="A92" s="13">
        <v>91</v>
      </c>
      <c r="B92" s="15">
        <v>2</v>
      </c>
      <c r="C92" s="16">
        <v>28</v>
      </c>
      <c r="D92" s="17" t="s">
        <v>195</v>
      </c>
      <c r="E92" s="17" t="s">
        <v>196</v>
      </c>
      <c r="F92" s="15">
        <v>81.5</v>
      </c>
      <c r="G92" s="15">
        <v>90.5</v>
      </c>
      <c r="H92" s="15">
        <v>98</v>
      </c>
      <c r="I92" s="15">
        <v>39</v>
      </c>
      <c r="J92" s="15"/>
      <c r="K92" s="15"/>
      <c r="L92" s="15"/>
      <c r="M92" s="15">
        <v>65</v>
      </c>
      <c r="N92" s="15">
        <v>73</v>
      </c>
      <c r="O92" s="15">
        <v>270</v>
      </c>
      <c r="P92" s="15">
        <v>447</v>
      </c>
    </row>
    <row r="93" ht="14.25" spans="1:16">
      <c r="A93" s="13">
        <v>92</v>
      </c>
      <c r="B93" s="15">
        <v>2</v>
      </c>
      <c r="C93" s="16">
        <v>29</v>
      </c>
      <c r="D93" s="17" t="s">
        <v>197</v>
      </c>
      <c r="E93" s="17" t="s">
        <v>198</v>
      </c>
      <c r="F93" s="15">
        <v>94.5</v>
      </c>
      <c r="G93" s="15">
        <v>105</v>
      </c>
      <c r="H93" s="15">
        <v>115.5</v>
      </c>
      <c r="I93" s="15">
        <v>70.5</v>
      </c>
      <c r="J93" s="15"/>
      <c r="K93" s="15"/>
      <c r="L93" s="15"/>
      <c r="M93" s="15">
        <v>88</v>
      </c>
      <c r="N93" s="15">
        <v>90</v>
      </c>
      <c r="O93" s="15">
        <v>315</v>
      </c>
      <c r="P93" s="15">
        <v>563.5</v>
      </c>
    </row>
    <row r="94" ht="14.25" spans="1:16">
      <c r="A94" s="13">
        <v>93</v>
      </c>
      <c r="B94" s="15">
        <v>2</v>
      </c>
      <c r="C94" s="16">
        <v>30</v>
      </c>
      <c r="D94" s="17" t="s">
        <v>199</v>
      </c>
      <c r="E94" s="17" t="s">
        <v>200</v>
      </c>
      <c r="F94" s="15">
        <v>102</v>
      </c>
      <c r="G94" s="15">
        <v>107</v>
      </c>
      <c r="H94" s="15">
        <v>99.5</v>
      </c>
      <c r="I94" s="15">
        <v>56.5</v>
      </c>
      <c r="J94" s="15"/>
      <c r="K94" s="15"/>
      <c r="L94" s="15"/>
      <c r="M94" s="15">
        <v>66</v>
      </c>
      <c r="N94" s="15">
        <v>84</v>
      </c>
      <c r="O94" s="15">
        <v>308.5</v>
      </c>
      <c r="P94" s="15">
        <v>515</v>
      </c>
    </row>
    <row r="95" ht="14.25" spans="1:16">
      <c r="A95" s="13">
        <v>94</v>
      </c>
      <c r="B95" s="15">
        <v>2</v>
      </c>
      <c r="C95" s="16">
        <v>31</v>
      </c>
      <c r="D95" s="17" t="s">
        <v>201</v>
      </c>
      <c r="E95" s="17" t="s">
        <v>202</v>
      </c>
      <c r="F95" s="15">
        <v>96.5</v>
      </c>
      <c r="G95" s="15">
        <v>100.5</v>
      </c>
      <c r="H95" s="15">
        <v>101.5</v>
      </c>
      <c r="I95" s="15">
        <v>47</v>
      </c>
      <c r="J95" s="15"/>
      <c r="K95" s="15"/>
      <c r="L95" s="15"/>
      <c r="M95" s="15">
        <v>67</v>
      </c>
      <c r="N95" s="15">
        <v>87</v>
      </c>
      <c r="O95" s="15">
        <v>298.5</v>
      </c>
      <c r="P95" s="15">
        <v>499.5</v>
      </c>
    </row>
    <row r="96" ht="14.25" spans="1:16">
      <c r="A96" s="13">
        <v>95</v>
      </c>
      <c r="B96" s="15">
        <v>2</v>
      </c>
      <c r="C96" s="16">
        <v>32</v>
      </c>
      <c r="D96" s="17" t="s">
        <v>203</v>
      </c>
      <c r="E96" s="17" t="s">
        <v>204</v>
      </c>
      <c r="F96" s="15">
        <v>96</v>
      </c>
      <c r="G96" s="15">
        <v>102.5</v>
      </c>
      <c r="H96" s="15">
        <v>94.75</v>
      </c>
      <c r="I96" s="15">
        <v>64.5</v>
      </c>
      <c r="J96" s="15"/>
      <c r="K96" s="15"/>
      <c r="L96" s="15"/>
      <c r="M96" s="15">
        <v>78</v>
      </c>
      <c r="N96" s="15">
        <v>89</v>
      </c>
      <c r="O96" s="15">
        <v>293.25</v>
      </c>
      <c r="P96" s="15">
        <v>524.75</v>
      </c>
    </row>
    <row r="97" ht="14.25" spans="1:16">
      <c r="A97" s="13">
        <v>96</v>
      </c>
      <c r="B97" s="15">
        <v>2</v>
      </c>
      <c r="C97" s="16">
        <v>33</v>
      </c>
      <c r="D97" s="17" t="s">
        <v>205</v>
      </c>
      <c r="E97" s="17" t="s">
        <v>206</v>
      </c>
      <c r="F97" s="15">
        <v>91.5</v>
      </c>
      <c r="G97" s="15">
        <v>95</v>
      </c>
      <c r="H97" s="15">
        <v>105.5</v>
      </c>
      <c r="I97" s="15">
        <v>39</v>
      </c>
      <c r="J97" s="15"/>
      <c r="K97" s="15"/>
      <c r="L97" s="15"/>
      <c r="M97" s="15">
        <v>78</v>
      </c>
      <c r="N97" s="15">
        <v>84</v>
      </c>
      <c r="O97" s="15">
        <v>292</v>
      </c>
      <c r="P97" s="15">
        <v>493</v>
      </c>
    </row>
    <row r="98" ht="14.25" spans="1:16">
      <c r="A98" s="13">
        <v>97</v>
      </c>
      <c r="B98" s="15">
        <v>2</v>
      </c>
      <c r="C98" s="16">
        <v>34</v>
      </c>
      <c r="D98" s="17" t="s">
        <v>207</v>
      </c>
      <c r="E98" s="17" t="s">
        <v>208</v>
      </c>
      <c r="F98" s="15">
        <v>104</v>
      </c>
      <c r="G98" s="15">
        <v>88.5</v>
      </c>
      <c r="H98" s="15">
        <v>100.25</v>
      </c>
      <c r="I98" s="15">
        <v>47</v>
      </c>
      <c r="J98" s="15"/>
      <c r="K98" s="15"/>
      <c r="L98" s="15"/>
      <c r="M98" s="15">
        <v>69</v>
      </c>
      <c r="N98" s="15">
        <v>70</v>
      </c>
      <c r="O98" s="15">
        <v>292.75</v>
      </c>
      <c r="P98" s="15">
        <v>478.75</v>
      </c>
    </row>
    <row r="99" ht="14.25" spans="1:16">
      <c r="A99" s="13">
        <v>98</v>
      </c>
      <c r="B99" s="15">
        <v>2</v>
      </c>
      <c r="C99" s="16">
        <v>35</v>
      </c>
      <c r="D99" s="17" t="s">
        <v>209</v>
      </c>
      <c r="E99" s="17" t="s">
        <v>210</v>
      </c>
      <c r="F99" s="15">
        <v>95.75</v>
      </c>
      <c r="G99" s="15">
        <v>59.5</v>
      </c>
      <c r="H99" s="15">
        <v>64.5</v>
      </c>
      <c r="I99" s="15">
        <v>18.5</v>
      </c>
      <c r="J99" s="15"/>
      <c r="K99" s="15"/>
      <c r="L99" s="15"/>
      <c r="M99" s="15">
        <v>80</v>
      </c>
      <c r="N99" s="15">
        <v>68</v>
      </c>
      <c r="O99" s="15">
        <v>219.75</v>
      </c>
      <c r="P99" s="15">
        <v>386.25</v>
      </c>
    </row>
    <row r="100" ht="14.25" spans="1:16">
      <c r="A100" s="13">
        <v>99</v>
      </c>
      <c r="B100" s="15">
        <v>2</v>
      </c>
      <c r="C100" s="16">
        <v>36</v>
      </c>
      <c r="D100" s="17" t="s">
        <v>211</v>
      </c>
      <c r="E100" s="17" t="s">
        <v>212</v>
      </c>
      <c r="F100" s="15">
        <v>98</v>
      </c>
      <c r="G100" s="15">
        <v>114</v>
      </c>
      <c r="H100" s="15">
        <v>77.5</v>
      </c>
      <c r="I100" s="15">
        <v>42</v>
      </c>
      <c r="J100" s="15"/>
      <c r="K100" s="15"/>
      <c r="L100" s="15"/>
      <c r="M100" s="15">
        <v>71</v>
      </c>
      <c r="N100" s="15">
        <v>85</v>
      </c>
      <c r="O100" s="15">
        <v>289.5</v>
      </c>
      <c r="P100" s="15">
        <v>487.5</v>
      </c>
    </row>
    <row r="101" ht="14.25" spans="1:16">
      <c r="A101" s="13">
        <v>100</v>
      </c>
      <c r="B101" s="15">
        <v>2</v>
      </c>
      <c r="C101" s="16">
        <v>37</v>
      </c>
      <c r="D101" s="17" t="s">
        <v>213</v>
      </c>
      <c r="E101" s="17" t="s">
        <v>214</v>
      </c>
      <c r="F101" s="15">
        <v>90</v>
      </c>
      <c r="G101" s="15">
        <v>66</v>
      </c>
      <c r="H101" s="15">
        <v>63.75</v>
      </c>
      <c r="I101" s="15">
        <v>49</v>
      </c>
      <c r="J101" s="15"/>
      <c r="K101" s="15"/>
      <c r="L101" s="15"/>
      <c r="M101" s="15">
        <v>72</v>
      </c>
      <c r="N101" s="15">
        <v>87</v>
      </c>
      <c r="O101" s="15">
        <v>219.75</v>
      </c>
      <c r="P101" s="15">
        <v>427.75</v>
      </c>
    </row>
    <row r="102" ht="14.25" spans="1:16">
      <c r="A102" s="13">
        <v>101</v>
      </c>
      <c r="B102" s="15">
        <v>2</v>
      </c>
      <c r="C102" s="16">
        <v>38</v>
      </c>
      <c r="D102" s="17" t="s">
        <v>215</v>
      </c>
      <c r="E102" s="17" t="s">
        <v>216</v>
      </c>
      <c r="F102" s="15">
        <v>94.5</v>
      </c>
      <c r="G102" s="15">
        <v>93</v>
      </c>
      <c r="H102" s="15">
        <v>105.5</v>
      </c>
      <c r="I102" s="15">
        <v>46</v>
      </c>
      <c r="J102" s="15"/>
      <c r="K102" s="15"/>
      <c r="L102" s="15"/>
      <c r="M102" s="15">
        <v>77</v>
      </c>
      <c r="N102" s="15">
        <v>84</v>
      </c>
      <c r="O102" s="15">
        <v>293</v>
      </c>
      <c r="P102" s="15">
        <v>500</v>
      </c>
    </row>
    <row r="103" ht="14.25" spans="1:16">
      <c r="A103" s="13">
        <v>102</v>
      </c>
      <c r="B103" s="15">
        <v>2</v>
      </c>
      <c r="C103" s="16">
        <v>39</v>
      </c>
      <c r="D103" s="17" t="s">
        <v>217</v>
      </c>
      <c r="E103" s="17" t="s">
        <v>218</v>
      </c>
      <c r="F103" s="15">
        <v>91.5</v>
      </c>
      <c r="G103" s="15">
        <v>84.5</v>
      </c>
      <c r="H103" s="15">
        <v>91.5</v>
      </c>
      <c r="I103" s="15">
        <v>37</v>
      </c>
      <c r="J103" s="15"/>
      <c r="K103" s="15"/>
      <c r="L103" s="15"/>
      <c r="M103" s="15">
        <v>71</v>
      </c>
      <c r="N103" s="15">
        <v>59</v>
      </c>
      <c r="O103" s="15">
        <v>267.5</v>
      </c>
      <c r="P103" s="15">
        <v>434.5</v>
      </c>
    </row>
    <row r="104" ht="14.25" spans="1:16">
      <c r="A104" s="13">
        <v>103</v>
      </c>
      <c r="B104" s="15">
        <v>2</v>
      </c>
      <c r="C104" s="16">
        <v>40</v>
      </c>
      <c r="D104" s="17" t="s">
        <v>219</v>
      </c>
      <c r="E104" s="17" t="s">
        <v>220</v>
      </c>
      <c r="F104" s="15">
        <v>104</v>
      </c>
      <c r="G104" s="15">
        <v>75</v>
      </c>
      <c r="H104" s="15">
        <v>93</v>
      </c>
      <c r="I104" s="15">
        <v>41</v>
      </c>
      <c r="J104" s="15"/>
      <c r="K104" s="15"/>
      <c r="L104" s="15"/>
      <c r="M104" s="15">
        <v>71</v>
      </c>
      <c r="N104" s="15">
        <v>72</v>
      </c>
      <c r="O104" s="15">
        <v>272</v>
      </c>
      <c r="P104" s="15">
        <v>456</v>
      </c>
    </row>
    <row r="105" ht="14.25" spans="1:16">
      <c r="A105" s="13">
        <v>104</v>
      </c>
      <c r="B105" s="15">
        <v>2</v>
      </c>
      <c r="C105" s="16">
        <v>41</v>
      </c>
      <c r="D105" s="17" t="s">
        <v>221</v>
      </c>
      <c r="E105" s="17" t="s">
        <v>222</v>
      </c>
      <c r="F105" s="15">
        <v>96</v>
      </c>
      <c r="G105" s="15">
        <v>45.5</v>
      </c>
      <c r="H105" s="15">
        <v>99.25</v>
      </c>
      <c r="I105" s="15">
        <v>28</v>
      </c>
      <c r="J105" s="15"/>
      <c r="K105" s="15"/>
      <c r="L105" s="15"/>
      <c r="M105" s="15">
        <v>69</v>
      </c>
      <c r="N105" s="15">
        <v>86</v>
      </c>
      <c r="O105" s="15">
        <v>240.75</v>
      </c>
      <c r="P105" s="15">
        <v>423.75</v>
      </c>
    </row>
    <row r="106" ht="14.25" spans="1:16">
      <c r="A106" s="13">
        <v>105</v>
      </c>
      <c r="B106" s="15">
        <v>2</v>
      </c>
      <c r="C106" s="16">
        <v>43</v>
      </c>
      <c r="D106" s="17" t="s">
        <v>223</v>
      </c>
      <c r="E106" s="17" t="s">
        <v>224</v>
      </c>
      <c r="F106" s="15">
        <v>101.5</v>
      </c>
      <c r="G106" s="15">
        <v>99.5</v>
      </c>
      <c r="H106" s="15">
        <v>98</v>
      </c>
      <c r="I106" s="15">
        <v>58.5</v>
      </c>
      <c r="J106" s="15"/>
      <c r="K106" s="15"/>
      <c r="L106" s="15"/>
      <c r="M106" s="15">
        <v>88</v>
      </c>
      <c r="N106" s="15">
        <v>75</v>
      </c>
      <c r="O106" s="15">
        <v>299</v>
      </c>
      <c r="P106" s="15">
        <v>520.5</v>
      </c>
    </row>
    <row r="107" ht="14.25" spans="1:16">
      <c r="A107" s="13">
        <v>106</v>
      </c>
      <c r="B107" s="15">
        <v>2</v>
      </c>
      <c r="C107" s="16">
        <v>44</v>
      </c>
      <c r="D107" s="17" t="s">
        <v>225</v>
      </c>
      <c r="E107" s="17" t="s">
        <v>226</v>
      </c>
      <c r="F107" s="15">
        <v>113.5</v>
      </c>
      <c r="G107" s="15">
        <v>94.5</v>
      </c>
      <c r="H107" s="15">
        <v>95.75</v>
      </c>
      <c r="I107" s="15">
        <v>36.5</v>
      </c>
      <c r="J107" s="15"/>
      <c r="K107" s="15"/>
      <c r="L107" s="15"/>
      <c r="M107" s="15">
        <v>87</v>
      </c>
      <c r="N107" s="15">
        <v>86</v>
      </c>
      <c r="O107" s="15">
        <v>303.75</v>
      </c>
      <c r="P107" s="15">
        <v>513.25</v>
      </c>
    </row>
    <row r="108" ht="14.25" spans="1:16">
      <c r="A108" s="13">
        <v>107</v>
      </c>
      <c r="B108" s="15">
        <v>2</v>
      </c>
      <c r="C108" s="16">
        <v>46</v>
      </c>
      <c r="D108" s="17" t="s">
        <v>227</v>
      </c>
      <c r="E108" s="17" t="s">
        <v>228</v>
      </c>
      <c r="F108" s="15">
        <v>98.25</v>
      </c>
      <c r="G108" s="15">
        <v>71.5</v>
      </c>
      <c r="H108" s="15">
        <v>122</v>
      </c>
      <c r="I108" s="15">
        <v>33.5</v>
      </c>
      <c r="J108" s="15"/>
      <c r="K108" s="15"/>
      <c r="L108" s="15"/>
      <c r="M108" s="15">
        <v>75</v>
      </c>
      <c r="N108" s="15">
        <v>67</v>
      </c>
      <c r="O108" s="15">
        <v>291.75</v>
      </c>
      <c r="P108" s="15">
        <v>467.25</v>
      </c>
    </row>
    <row r="109" ht="14.25" spans="1:16">
      <c r="A109" s="13">
        <v>108</v>
      </c>
      <c r="B109" s="15">
        <v>2</v>
      </c>
      <c r="C109" s="16">
        <v>47</v>
      </c>
      <c r="D109" s="17" t="s">
        <v>229</v>
      </c>
      <c r="E109" s="17" t="s">
        <v>230</v>
      </c>
      <c r="F109" s="15">
        <v>98.5</v>
      </c>
      <c r="G109" s="15">
        <v>63</v>
      </c>
      <c r="H109" s="15">
        <v>116.25</v>
      </c>
      <c r="I109" s="15">
        <v>35</v>
      </c>
      <c r="J109" s="15"/>
      <c r="K109" s="15"/>
      <c r="L109" s="15"/>
      <c r="M109" s="15">
        <v>78</v>
      </c>
      <c r="N109" s="15">
        <v>76</v>
      </c>
      <c r="O109" s="15">
        <v>277.75</v>
      </c>
      <c r="P109" s="15">
        <v>466.75</v>
      </c>
    </row>
    <row r="110" ht="14.25" spans="1:16">
      <c r="A110" s="13">
        <v>109</v>
      </c>
      <c r="B110" s="15">
        <v>2</v>
      </c>
      <c r="C110" s="16">
        <v>48</v>
      </c>
      <c r="D110" s="17" t="s">
        <v>231</v>
      </c>
      <c r="E110" s="17" t="s">
        <v>232</v>
      </c>
      <c r="F110" s="15">
        <v>103.5</v>
      </c>
      <c r="G110" s="15">
        <v>92.5</v>
      </c>
      <c r="H110" s="15">
        <v>77.5</v>
      </c>
      <c r="I110" s="15">
        <v>38</v>
      </c>
      <c r="J110" s="15"/>
      <c r="K110" s="15"/>
      <c r="L110" s="15"/>
      <c r="M110" s="15">
        <v>76</v>
      </c>
      <c r="N110" s="15">
        <v>71</v>
      </c>
      <c r="O110" s="15">
        <v>273.5</v>
      </c>
      <c r="P110" s="15">
        <v>458.5</v>
      </c>
    </row>
    <row r="111" ht="14.25" spans="1:16">
      <c r="A111" s="13">
        <v>110</v>
      </c>
      <c r="B111" s="15">
        <v>2</v>
      </c>
      <c r="C111" s="16">
        <v>49</v>
      </c>
      <c r="D111" s="17" t="s">
        <v>233</v>
      </c>
      <c r="E111" s="17" t="s">
        <v>234</v>
      </c>
      <c r="F111" s="15">
        <v>95.75</v>
      </c>
      <c r="G111" s="15">
        <v>116.5</v>
      </c>
      <c r="H111" s="15">
        <v>89.75</v>
      </c>
      <c r="I111" s="15">
        <v>45</v>
      </c>
      <c r="J111" s="15"/>
      <c r="K111" s="15"/>
      <c r="L111" s="15"/>
      <c r="M111" s="15">
        <v>84</v>
      </c>
      <c r="N111" s="15">
        <v>81</v>
      </c>
      <c r="O111" s="15">
        <v>302</v>
      </c>
      <c r="P111" s="15">
        <v>512</v>
      </c>
    </row>
    <row r="112" ht="14.25" spans="1:16">
      <c r="A112" s="13">
        <v>111</v>
      </c>
      <c r="B112" s="15">
        <v>2</v>
      </c>
      <c r="C112" s="16">
        <v>50</v>
      </c>
      <c r="D112" s="17" t="s">
        <v>235</v>
      </c>
      <c r="E112" s="17" t="s">
        <v>236</v>
      </c>
      <c r="F112" s="15">
        <v>99</v>
      </c>
      <c r="G112" s="15">
        <v>98</v>
      </c>
      <c r="H112" s="15">
        <v>86.25</v>
      </c>
      <c r="I112" s="15">
        <v>43</v>
      </c>
      <c r="J112" s="15"/>
      <c r="K112" s="15"/>
      <c r="L112" s="15"/>
      <c r="M112" s="15">
        <v>87</v>
      </c>
      <c r="N112" s="15">
        <v>66</v>
      </c>
      <c r="O112" s="15">
        <v>283.25</v>
      </c>
      <c r="P112" s="15">
        <v>479.25</v>
      </c>
    </row>
    <row r="113" ht="14.25" spans="1:16">
      <c r="A113" s="13">
        <v>112</v>
      </c>
      <c r="B113" s="15">
        <v>3</v>
      </c>
      <c r="C113" s="16">
        <v>1</v>
      </c>
      <c r="D113" s="17" t="s">
        <v>237</v>
      </c>
      <c r="E113" s="17" t="s">
        <v>238</v>
      </c>
      <c r="F113" s="15">
        <v>93</v>
      </c>
      <c r="G113" s="15">
        <v>103</v>
      </c>
      <c r="H113" s="15">
        <v>118.25</v>
      </c>
      <c r="I113" s="15">
        <v>50</v>
      </c>
      <c r="J113" s="15"/>
      <c r="K113" s="15">
        <v>51</v>
      </c>
      <c r="L113" s="15">
        <v>63</v>
      </c>
      <c r="M113" s="15"/>
      <c r="N113" s="15"/>
      <c r="O113" s="15">
        <v>314.25</v>
      </c>
      <c r="P113" s="15">
        <v>478.25</v>
      </c>
    </row>
    <row r="114" ht="14.25" spans="1:16">
      <c r="A114" s="13">
        <v>113</v>
      </c>
      <c r="B114" s="15">
        <v>3</v>
      </c>
      <c r="C114" s="16">
        <v>2</v>
      </c>
      <c r="D114" s="17" t="s">
        <v>239</v>
      </c>
      <c r="E114" s="17" t="s">
        <v>240</v>
      </c>
      <c r="F114" s="15">
        <v>75</v>
      </c>
      <c r="G114" s="15">
        <v>82</v>
      </c>
      <c r="H114" s="15">
        <v>73.25</v>
      </c>
      <c r="I114" s="15">
        <v>34.5</v>
      </c>
      <c r="J114" s="15"/>
      <c r="K114" s="15">
        <v>67</v>
      </c>
      <c r="L114" s="15">
        <v>60</v>
      </c>
      <c r="M114" s="15"/>
      <c r="N114" s="15"/>
      <c r="O114" s="15">
        <v>230.25</v>
      </c>
      <c r="P114" s="15">
        <v>391.75</v>
      </c>
    </row>
    <row r="115" ht="14.25" spans="1:16">
      <c r="A115" s="13">
        <v>114</v>
      </c>
      <c r="B115" s="15">
        <v>3</v>
      </c>
      <c r="C115" s="16">
        <v>3</v>
      </c>
      <c r="D115" s="17" t="s">
        <v>241</v>
      </c>
      <c r="E115" s="17" t="s">
        <v>242</v>
      </c>
      <c r="F115" s="15">
        <v>89.5</v>
      </c>
      <c r="G115" s="15">
        <v>89.5</v>
      </c>
      <c r="H115" s="15">
        <v>85.75</v>
      </c>
      <c r="I115" s="15">
        <v>48.5</v>
      </c>
      <c r="J115" s="15"/>
      <c r="K115" s="15">
        <v>63</v>
      </c>
      <c r="L115" s="15">
        <v>73</v>
      </c>
      <c r="M115" s="15"/>
      <c r="N115" s="15"/>
      <c r="O115" s="15">
        <v>264.75</v>
      </c>
      <c r="P115" s="15">
        <v>449.25</v>
      </c>
    </row>
    <row r="116" ht="14.25" spans="1:16">
      <c r="A116" s="13">
        <v>115</v>
      </c>
      <c r="B116" s="15">
        <v>3</v>
      </c>
      <c r="C116" s="16">
        <v>4</v>
      </c>
      <c r="D116" s="17" t="s">
        <v>243</v>
      </c>
      <c r="E116" s="17" t="s">
        <v>244</v>
      </c>
      <c r="F116" s="15">
        <v>90.5</v>
      </c>
      <c r="G116" s="15">
        <v>69.5</v>
      </c>
      <c r="H116" s="15">
        <v>92.5</v>
      </c>
      <c r="I116" s="15">
        <v>40</v>
      </c>
      <c r="J116" s="15"/>
      <c r="K116" s="15">
        <v>51</v>
      </c>
      <c r="L116" s="15">
        <v>67</v>
      </c>
      <c r="M116" s="15"/>
      <c r="N116" s="15"/>
      <c r="O116" s="15">
        <v>252.5</v>
      </c>
      <c r="P116" s="15">
        <v>410.5</v>
      </c>
    </row>
    <row r="117" ht="14.25" spans="1:16">
      <c r="A117" s="13">
        <v>116</v>
      </c>
      <c r="B117" s="15">
        <v>3</v>
      </c>
      <c r="C117" s="16">
        <v>5</v>
      </c>
      <c r="D117" s="17" t="s">
        <v>245</v>
      </c>
      <c r="E117" s="17" t="s">
        <v>246</v>
      </c>
      <c r="F117" s="15">
        <v>98.5</v>
      </c>
      <c r="G117" s="15">
        <v>79</v>
      </c>
      <c r="H117" s="15">
        <v>100.5</v>
      </c>
      <c r="I117" s="15">
        <v>50.5</v>
      </c>
      <c r="J117" s="15"/>
      <c r="K117" s="15">
        <v>87</v>
      </c>
      <c r="L117" s="15">
        <v>87</v>
      </c>
      <c r="M117" s="15"/>
      <c r="N117" s="15"/>
      <c r="O117" s="15">
        <v>278</v>
      </c>
      <c r="P117" s="15">
        <v>502.5</v>
      </c>
    </row>
    <row r="118" ht="14.25" spans="1:16">
      <c r="A118" s="13">
        <v>117</v>
      </c>
      <c r="B118" s="15">
        <v>3</v>
      </c>
      <c r="C118" s="16">
        <v>6</v>
      </c>
      <c r="D118" s="17" t="s">
        <v>247</v>
      </c>
      <c r="E118" s="17" t="s">
        <v>248</v>
      </c>
      <c r="F118" s="15">
        <v>99</v>
      </c>
      <c r="G118" s="15">
        <v>82.5</v>
      </c>
      <c r="H118" s="15">
        <v>100.75</v>
      </c>
      <c r="I118" s="15">
        <v>53</v>
      </c>
      <c r="J118" s="15"/>
      <c r="K118" s="15">
        <v>80</v>
      </c>
      <c r="L118" s="15">
        <v>85</v>
      </c>
      <c r="M118" s="15"/>
      <c r="N118" s="15"/>
      <c r="O118" s="15">
        <v>282.25</v>
      </c>
      <c r="P118" s="15">
        <v>500.25</v>
      </c>
    </row>
    <row r="119" ht="14.25" spans="1:16">
      <c r="A119" s="13">
        <v>118</v>
      </c>
      <c r="B119" s="15">
        <v>3</v>
      </c>
      <c r="C119" s="16">
        <v>7</v>
      </c>
      <c r="D119" s="17" t="s">
        <v>249</v>
      </c>
      <c r="E119" s="17" t="s">
        <v>250</v>
      </c>
      <c r="F119" s="15">
        <v>101</v>
      </c>
      <c r="G119" s="15">
        <v>102</v>
      </c>
      <c r="H119" s="15">
        <v>128.25</v>
      </c>
      <c r="I119" s="15">
        <v>44.5</v>
      </c>
      <c r="J119" s="15"/>
      <c r="K119" s="15">
        <v>76</v>
      </c>
      <c r="L119" s="15">
        <v>88</v>
      </c>
      <c r="M119" s="15"/>
      <c r="N119" s="15"/>
      <c r="O119" s="15">
        <v>331.25</v>
      </c>
      <c r="P119" s="15">
        <v>539.75</v>
      </c>
    </row>
    <row r="120" ht="14.25" spans="1:16">
      <c r="A120" s="13">
        <v>119</v>
      </c>
      <c r="B120" s="15">
        <v>3</v>
      </c>
      <c r="C120" s="16">
        <v>8</v>
      </c>
      <c r="D120" s="17" t="s">
        <v>251</v>
      </c>
      <c r="E120" s="17" t="s">
        <v>252</v>
      </c>
      <c r="F120" s="15">
        <v>92.25</v>
      </c>
      <c r="G120" s="15">
        <v>104.5</v>
      </c>
      <c r="H120" s="15">
        <v>69.25</v>
      </c>
      <c r="I120" s="15">
        <v>48.5</v>
      </c>
      <c r="J120" s="15"/>
      <c r="K120" s="15">
        <v>61</v>
      </c>
      <c r="L120" s="15">
        <v>82</v>
      </c>
      <c r="M120" s="15"/>
      <c r="N120" s="15"/>
      <c r="O120" s="15">
        <v>266</v>
      </c>
      <c r="P120" s="15">
        <v>457.5</v>
      </c>
    </row>
    <row r="121" ht="14.25" spans="1:16">
      <c r="A121" s="13">
        <v>120</v>
      </c>
      <c r="B121" s="15">
        <v>3</v>
      </c>
      <c r="C121" s="16">
        <v>9</v>
      </c>
      <c r="D121" s="17" t="s">
        <v>253</v>
      </c>
      <c r="E121" s="17" t="s">
        <v>254</v>
      </c>
      <c r="F121" s="15">
        <v>98</v>
      </c>
      <c r="G121" s="15">
        <v>95</v>
      </c>
      <c r="H121" s="15">
        <v>82</v>
      </c>
      <c r="I121" s="15">
        <v>51.5</v>
      </c>
      <c r="J121" s="15"/>
      <c r="K121" s="15">
        <v>54</v>
      </c>
      <c r="L121" s="15">
        <v>53</v>
      </c>
      <c r="M121" s="15"/>
      <c r="N121" s="15"/>
      <c r="O121" s="15">
        <v>275</v>
      </c>
      <c r="P121" s="15">
        <v>433.5</v>
      </c>
    </row>
    <row r="122" ht="14.25" spans="1:16">
      <c r="A122" s="13">
        <v>121</v>
      </c>
      <c r="B122" s="15">
        <v>3</v>
      </c>
      <c r="C122" s="16">
        <v>10</v>
      </c>
      <c r="D122" s="17" t="s">
        <v>255</v>
      </c>
      <c r="E122" s="17" t="s">
        <v>256</v>
      </c>
      <c r="F122" s="15">
        <v>107</v>
      </c>
      <c r="G122" s="15">
        <v>109.5</v>
      </c>
      <c r="H122" s="15">
        <v>98.5</v>
      </c>
      <c r="I122" s="15">
        <v>47</v>
      </c>
      <c r="J122" s="15"/>
      <c r="K122" s="15">
        <v>73</v>
      </c>
      <c r="L122" s="15">
        <v>77</v>
      </c>
      <c r="M122" s="15"/>
      <c r="N122" s="15"/>
      <c r="O122" s="15">
        <v>315</v>
      </c>
      <c r="P122" s="15">
        <v>512</v>
      </c>
    </row>
    <row r="123" ht="14.25" spans="1:16">
      <c r="A123" s="13">
        <v>122</v>
      </c>
      <c r="B123" s="15">
        <v>3</v>
      </c>
      <c r="C123" s="16">
        <v>11</v>
      </c>
      <c r="D123" s="17" t="s">
        <v>257</v>
      </c>
      <c r="E123" s="17" t="s">
        <v>258</v>
      </c>
      <c r="F123" s="15">
        <v>91.25</v>
      </c>
      <c r="G123" s="15">
        <v>83.5</v>
      </c>
      <c r="H123" s="15">
        <v>77.75</v>
      </c>
      <c r="I123" s="15">
        <v>41.5</v>
      </c>
      <c r="J123" s="15"/>
      <c r="K123" s="15">
        <v>83</v>
      </c>
      <c r="L123" s="15">
        <v>59</v>
      </c>
      <c r="M123" s="15"/>
      <c r="N123" s="15"/>
      <c r="O123" s="15">
        <v>252.5</v>
      </c>
      <c r="P123" s="15">
        <v>436</v>
      </c>
    </row>
    <row r="124" ht="14.25" spans="1:16">
      <c r="A124" s="13">
        <v>123</v>
      </c>
      <c r="B124" s="15">
        <v>3</v>
      </c>
      <c r="C124" s="16">
        <v>12</v>
      </c>
      <c r="D124" s="17" t="s">
        <v>259</v>
      </c>
      <c r="E124" s="17" t="s">
        <v>260</v>
      </c>
      <c r="F124" s="15">
        <v>93.5</v>
      </c>
      <c r="G124" s="15">
        <v>90</v>
      </c>
      <c r="H124" s="15">
        <v>102</v>
      </c>
      <c r="I124" s="15">
        <v>38</v>
      </c>
      <c r="J124" s="15"/>
      <c r="K124" s="15">
        <v>65</v>
      </c>
      <c r="L124" s="15">
        <v>64</v>
      </c>
      <c r="M124" s="15"/>
      <c r="N124" s="15"/>
      <c r="O124" s="15">
        <v>285.5</v>
      </c>
      <c r="P124" s="15">
        <v>452.5</v>
      </c>
    </row>
    <row r="125" ht="14.25" spans="1:16">
      <c r="A125" s="13">
        <v>124</v>
      </c>
      <c r="B125" s="15">
        <v>3</v>
      </c>
      <c r="C125" s="16">
        <v>13</v>
      </c>
      <c r="D125" s="17" t="s">
        <v>261</v>
      </c>
      <c r="E125" s="17" t="s">
        <v>262</v>
      </c>
      <c r="F125" s="15">
        <v>92.75</v>
      </c>
      <c r="G125" s="15">
        <v>76</v>
      </c>
      <c r="H125" s="15">
        <v>113.25</v>
      </c>
      <c r="I125" s="15">
        <v>48</v>
      </c>
      <c r="J125" s="15"/>
      <c r="K125" s="15">
        <v>74</v>
      </c>
      <c r="L125" s="15">
        <v>56</v>
      </c>
      <c r="M125" s="15"/>
      <c r="N125" s="15"/>
      <c r="O125" s="15">
        <v>282</v>
      </c>
      <c r="P125" s="15">
        <v>460</v>
      </c>
    </row>
    <row r="126" ht="14.25" spans="1:16">
      <c r="A126" s="13">
        <v>125</v>
      </c>
      <c r="B126" s="15">
        <v>3</v>
      </c>
      <c r="C126" s="16">
        <v>14</v>
      </c>
      <c r="D126" s="17" t="s">
        <v>263</v>
      </c>
      <c r="E126" s="17" t="s">
        <v>264</v>
      </c>
      <c r="F126" s="15">
        <v>100</v>
      </c>
      <c r="G126" s="15">
        <v>97.5</v>
      </c>
      <c r="H126" s="15">
        <v>85.75</v>
      </c>
      <c r="I126" s="15">
        <v>47.5</v>
      </c>
      <c r="J126" s="15"/>
      <c r="K126" s="15">
        <v>78</v>
      </c>
      <c r="L126" s="15">
        <v>75</v>
      </c>
      <c r="M126" s="15"/>
      <c r="N126" s="15"/>
      <c r="O126" s="15">
        <v>283.25</v>
      </c>
      <c r="P126" s="15">
        <v>483.75</v>
      </c>
    </row>
    <row r="127" ht="14.25" spans="1:16">
      <c r="A127" s="13">
        <v>126</v>
      </c>
      <c r="B127" s="15">
        <v>3</v>
      </c>
      <c r="C127" s="16">
        <v>15</v>
      </c>
      <c r="D127" s="17" t="s">
        <v>265</v>
      </c>
      <c r="E127" s="17" t="s">
        <v>266</v>
      </c>
      <c r="F127" s="15">
        <v>91.5</v>
      </c>
      <c r="G127" s="15">
        <v>124</v>
      </c>
      <c r="H127" s="15">
        <v>114.5</v>
      </c>
      <c r="I127" s="15">
        <v>70.5</v>
      </c>
      <c r="J127" s="15"/>
      <c r="K127" s="15">
        <v>49</v>
      </c>
      <c r="L127" s="15">
        <v>84</v>
      </c>
      <c r="M127" s="15"/>
      <c r="N127" s="15"/>
      <c r="O127" s="15">
        <v>330</v>
      </c>
      <c r="P127" s="15">
        <v>533.5</v>
      </c>
    </row>
    <row r="128" ht="14.25" spans="1:16">
      <c r="A128" s="13">
        <v>127</v>
      </c>
      <c r="B128" s="15">
        <v>3</v>
      </c>
      <c r="C128" s="16">
        <v>16</v>
      </c>
      <c r="D128" s="17" t="s">
        <v>267</v>
      </c>
      <c r="E128" s="17" t="s">
        <v>268</v>
      </c>
      <c r="F128" s="15">
        <v>100.5</v>
      </c>
      <c r="G128" s="15">
        <v>96.5</v>
      </c>
      <c r="H128" s="15">
        <v>84.5</v>
      </c>
      <c r="I128" s="15">
        <v>43</v>
      </c>
      <c r="J128" s="15"/>
      <c r="K128" s="15">
        <v>90</v>
      </c>
      <c r="L128" s="15">
        <v>90</v>
      </c>
      <c r="M128" s="15"/>
      <c r="N128" s="15"/>
      <c r="O128" s="15">
        <v>281.5</v>
      </c>
      <c r="P128" s="15">
        <v>504.5</v>
      </c>
    </row>
    <row r="129" ht="14.25" spans="1:16">
      <c r="A129" s="13">
        <v>128</v>
      </c>
      <c r="B129" s="15">
        <v>3</v>
      </c>
      <c r="C129" s="16">
        <v>17</v>
      </c>
      <c r="D129" s="17" t="s">
        <v>269</v>
      </c>
      <c r="E129" s="17" t="s">
        <v>270</v>
      </c>
      <c r="F129" s="15">
        <v>103.5</v>
      </c>
      <c r="G129" s="15">
        <v>105</v>
      </c>
      <c r="H129" s="15">
        <v>112</v>
      </c>
      <c r="I129" s="15">
        <v>67</v>
      </c>
      <c r="J129" s="15"/>
      <c r="K129" s="15">
        <v>78</v>
      </c>
      <c r="L129" s="15">
        <v>90</v>
      </c>
      <c r="M129" s="15"/>
      <c r="N129" s="15"/>
      <c r="O129" s="15">
        <v>320.5</v>
      </c>
      <c r="P129" s="15">
        <v>555.5</v>
      </c>
    </row>
    <row r="130" ht="14.25" spans="1:16">
      <c r="A130" s="13">
        <v>129</v>
      </c>
      <c r="B130" s="15">
        <v>3</v>
      </c>
      <c r="C130" s="16">
        <v>18</v>
      </c>
      <c r="D130" s="17" t="s">
        <v>271</v>
      </c>
      <c r="E130" s="17" t="s">
        <v>272</v>
      </c>
      <c r="F130" s="15">
        <v>98</v>
      </c>
      <c r="G130" s="15">
        <v>99</v>
      </c>
      <c r="H130" s="15">
        <v>84</v>
      </c>
      <c r="I130" s="15">
        <v>60.5</v>
      </c>
      <c r="J130" s="15"/>
      <c r="K130" s="15">
        <v>76</v>
      </c>
      <c r="L130" s="15">
        <v>87</v>
      </c>
      <c r="M130" s="15"/>
      <c r="N130" s="15"/>
      <c r="O130" s="15">
        <v>281</v>
      </c>
      <c r="P130" s="15">
        <v>504.5</v>
      </c>
    </row>
    <row r="131" ht="14.25" spans="1:16">
      <c r="A131" s="13">
        <v>130</v>
      </c>
      <c r="B131" s="15">
        <v>3</v>
      </c>
      <c r="C131" s="16">
        <v>19</v>
      </c>
      <c r="D131" s="17" t="s">
        <v>273</v>
      </c>
      <c r="E131" s="17" t="s">
        <v>274</v>
      </c>
      <c r="F131" s="15">
        <v>87.5</v>
      </c>
      <c r="G131" s="15">
        <v>123.5</v>
      </c>
      <c r="H131" s="15">
        <v>84.25</v>
      </c>
      <c r="I131" s="15">
        <v>48.5</v>
      </c>
      <c r="J131" s="15"/>
      <c r="K131" s="15">
        <v>65</v>
      </c>
      <c r="L131" s="15">
        <v>76</v>
      </c>
      <c r="M131" s="15"/>
      <c r="N131" s="15"/>
      <c r="O131" s="15">
        <v>295.25</v>
      </c>
      <c r="P131" s="15">
        <v>484.75</v>
      </c>
    </row>
    <row r="132" ht="14.25" spans="1:16">
      <c r="A132" s="13">
        <v>131</v>
      </c>
      <c r="B132" s="15">
        <v>3</v>
      </c>
      <c r="C132" s="16">
        <v>20</v>
      </c>
      <c r="D132" s="17" t="s">
        <v>275</v>
      </c>
      <c r="E132" s="17" t="s">
        <v>276</v>
      </c>
      <c r="F132" s="15">
        <v>78.75</v>
      </c>
      <c r="G132" s="15">
        <v>95.5</v>
      </c>
      <c r="H132" s="15">
        <v>73.5</v>
      </c>
      <c r="I132" s="15">
        <v>41</v>
      </c>
      <c r="J132" s="15"/>
      <c r="K132" s="15">
        <v>63</v>
      </c>
      <c r="L132" s="15">
        <v>87</v>
      </c>
      <c r="M132" s="15"/>
      <c r="N132" s="15"/>
      <c r="O132" s="15">
        <v>247.75</v>
      </c>
      <c r="P132" s="15">
        <v>438.75</v>
      </c>
    </row>
    <row r="133" ht="14.25" spans="1:16">
      <c r="A133" s="13">
        <v>132</v>
      </c>
      <c r="B133" s="15">
        <v>3</v>
      </c>
      <c r="C133" s="16">
        <v>21</v>
      </c>
      <c r="D133" s="17" t="s">
        <v>277</v>
      </c>
      <c r="E133" s="17" t="s">
        <v>278</v>
      </c>
      <c r="F133" s="15">
        <v>94.5</v>
      </c>
      <c r="G133" s="15">
        <v>103.5</v>
      </c>
      <c r="H133" s="15">
        <v>104</v>
      </c>
      <c r="I133" s="15">
        <v>47.5</v>
      </c>
      <c r="J133" s="15"/>
      <c r="K133" s="15">
        <v>77</v>
      </c>
      <c r="L133" s="15">
        <v>72</v>
      </c>
      <c r="M133" s="15"/>
      <c r="N133" s="15"/>
      <c r="O133" s="15">
        <v>302</v>
      </c>
      <c r="P133" s="15">
        <v>498.5</v>
      </c>
    </row>
    <row r="134" ht="14.25" spans="1:16">
      <c r="A134" s="13">
        <v>133</v>
      </c>
      <c r="B134" s="15">
        <v>3</v>
      </c>
      <c r="C134" s="16">
        <v>22</v>
      </c>
      <c r="D134" s="17" t="s">
        <v>279</v>
      </c>
      <c r="E134" s="17" t="s">
        <v>280</v>
      </c>
      <c r="F134" s="15">
        <v>94</v>
      </c>
      <c r="G134" s="15">
        <v>80</v>
      </c>
      <c r="H134" s="15">
        <v>96.5</v>
      </c>
      <c r="I134" s="15">
        <v>35</v>
      </c>
      <c r="J134" s="15"/>
      <c r="K134" s="15">
        <v>65</v>
      </c>
      <c r="L134" s="15">
        <v>82</v>
      </c>
      <c r="M134" s="15"/>
      <c r="N134" s="15"/>
      <c r="O134" s="15">
        <v>270.5</v>
      </c>
      <c r="P134" s="15">
        <v>452.5</v>
      </c>
    </row>
    <row r="135" ht="14.25" spans="1:16">
      <c r="A135" s="13">
        <v>134</v>
      </c>
      <c r="B135" s="15">
        <v>3</v>
      </c>
      <c r="C135" s="16">
        <v>23</v>
      </c>
      <c r="D135" s="17" t="s">
        <v>281</v>
      </c>
      <c r="E135" s="17" t="s">
        <v>282</v>
      </c>
      <c r="F135" s="15">
        <v>93.25</v>
      </c>
      <c r="G135" s="15">
        <v>112.5</v>
      </c>
      <c r="H135" s="15">
        <v>105</v>
      </c>
      <c r="I135" s="15">
        <v>67</v>
      </c>
      <c r="J135" s="15"/>
      <c r="K135" s="15">
        <v>61</v>
      </c>
      <c r="L135" s="15">
        <v>79</v>
      </c>
      <c r="M135" s="15"/>
      <c r="N135" s="15"/>
      <c r="O135" s="15">
        <v>310.75</v>
      </c>
      <c r="P135" s="15">
        <v>517.75</v>
      </c>
    </row>
    <row r="136" ht="14.25" spans="1:16">
      <c r="A136" s="13">
        <v>135</v>
      </c>
      <c r="B136" s="15">
        <v>3</v>
      </c>
      <c r="C136" s="16">
        <v>24</v>
      </c>
      <c r="D136" s="17" t="s">
        <v>283</v>
      </c>
      <c r="E136" s="17" t="s">
        <v>284</v>
      </c>
      <c r="F136" s="15">
        <v>95</v>
      </c>
      <c r="G136" s="15">
        <v>119.5</v>
      </c>
      <c r="H136" s="15">
        <v>105.5</v>
      </c>
      <c r="I136" s="15">
        <v>58.5</v>
      </c>
      <c r="J136" s="15"/>
      <c r="K136" s="15">
        <v>77</v>
      </c>
      <c r="L136" s="15">
        <v>83</v>
      </c>
      <c r="M136" s="15"/>
      <c r="N136" s="15"/>
      <c r="O136" s="15">
        <v>320</v>
      </c>
      <c r="P136" s="15">
        <v>538.5</v>
      </c>
    </row>
    <row r="137" ht="14.25" spans="1:16">
      <c r="A137" s="13">
        <v>136</v>
      </c>
      <c r="B137" s="15">
        <v>3</v>
      </c>
      <c r="C137" s="16">
        <v>25</v>
      </c>
      <c r="D137" s="17" t="s">
        <v>285</v>
      </c>
      <c r="E137" s="17" t="s">
        <v>286</v>
      </c>
      <c r="F137" s="15">
        <v>97.5</v>
      </c>
      <c r="G137" s="15">
        <v>92.5</v>
      </c>
      <c r="H137" s="15">
        <v>95</v>
      </c>
      <c r="I137" s="15">
        <v>35.5</v>
      </c>
      <c r="J137" s="15"/>
      <c r="K137" s="15">
        <v>64</v>
      </c>
      <c r="L137" s="15">
        <v>85</v>
      </c>
      <c r="M137" s="15"/>
      <c r="N137" s="15"/>
      <c r="O137" s="15">
        <v>285</v>
      </c>
      <c r="P137" s="15">
        <v>469.5</v>
      </c>
    </row>
    <row r="138" ht="14.25" spans="1:16">
      <c r="A138" s="13">
        <v>137</v>
      </c>
      <c r="B138" s="15">
        <v>3</v>
      </c>
      <c r="C138" s="16">
        <v>26</v>
      </c>
      <c r="D138" s="17" t="s">
        <v>287</v>
      </c>
      <c r="E138" s="17" t="s">
        <v>288</v>
      </c>
      <c r="F138" s="15">
        <v>94</v>
      </c>
      <c r="G138" s="15">
        <v>140</v>
      </c>
      <c r="H138" s="15">
        <v>109</v>
      </c>
      <c r="I138" s="15">
        <v>74</v>
      </c>
      <c r="J138" s="15"/>
      <c r="K138" s="15">
        <v>86</v>
      </c>
      <c r="L138" s="15">
        <v>76</v>
      </c>
      <c r="M138" s="15"/>
      <c r="N138" s="15"/>
      <c r="O138" s="15">
        <v>343</v>
      </c>
      <c r="P138" s="15">
        <v>579</v>
      </c>
    </row>
    <row r="139" ht="14.25" spans="1:16">
      <c r="A139" s="13">
        <v>138</v>
      </c>
      <c r="B139" s="15">
        <v>3</v>
      </c>
      <c r="C139" s="16">
        <v>27</v>
      </c>
      <c r="D139" s="17" t="s">
        <v>289</v>
      </c>
      <c r="E139" s="17" t="s">
        <v>290</v>
      </c>
      <c r="F139" s="15">
        <v>96.75</v>
      </c>
      <c r="G139" s="15">
        <v>114.5</v>
      </c>
      <c r="H139" s="15">
        <v>97</v>
      </c>
      <c r="I139" s="15">
        <v>59</v>
      </c>
      <c r="J139" s="15"/>
      <c r="K139" s="15">
        <v>63</v>
      </c>
      <c r="L139" s="15">
        <v>76</v>
      </c>
      <c r="M139" s="15"/>
      <c r="N139" s="15"/>
      <c r="O139" s="15">
        <v>308.25</v>
      </c>
      <c r="P139" s="15">
        <v>506.25</v>
      </c>
    </row>
    <row r="140" ht="14.25" spans="1:16">
      <c r="A140" s="13">
        <v>139</v>
      </c>
      <c r="B140" s="15">
        <v>3</v>
      </c>
      <c r="C140" s="16">
        <v>28</v>
      </c>
      <c r="D140" s="17" t="s">
        <v>291</v>
      </c>
      <c r="E140" s="17" t="s">
        <v>292</v>
      </c>
      <c r="F140" s="15">
        <v>95.5</v>
      </c>
      <c r="G140" s="15">
        <v>107.5</v>
      </c>
      <c r="H140" s="15">
        <v>101.5</v>
      </c>
      <c r="I140" s="15">
        <v>66</v>
      </c>
      <c r="J140" s="15"/>
      <c r="K140" s="15">
        <v>81</v>
      </c>
      <c r="L140" s="15">
        <v>77</v>
      </c>
      <c r="M140" s="15"/>
      <c r="N140" s="15"/>
      <c r="O140" s="15">
        <v>304.5</v>
      </c>
      <c r="P140" s="15">
        <v>528.5</v>
      </c>
    </row>
    <row r="141" ht="14.25" spans="1:16">
      <c r="A141" s="13">
        <v>140</v>
      </c>
      <c r="B141" s="15">
        <v>3</v>
      </c>
      <c r="C141" s="16">
        <v>29</v>
      </c>
      <c r="D141" s="17" t="s">
        <v>293</v>
      </c>
      <c r="E141" s="17" t="s">
        <v>294</v>
      </c>
      <c r="F141" s="15">
        <v>100</v>
      </c>
      <c r="G141" s="15">
        <v>117</v>
      </c>
      <c r="H141" s="15">
        <v>70.75</v>
      </c>
      <c r="I141" s="15">
        <v>64</v>
      </c>
      <c r="J141" s="15"/>
      <c r="K141" s="15">
        <v>85</v>
      </c>
      <c r="L141" s="15">
        <v>88</v>
      </c>
      <c r="M141" s="15"/>
      <c r="N141" s="15"/>
      <c r="O141" s="15">
        <v>287.75</v>
      </c>
      <c r="P141" s="15">
        <v>524.75</v>
      </c>
    </row>
    <row r="142" ht="14.25" spans="1:16">
      <c r="A142" s="13">
        <v>141</v>
      </c>
      <c r="B142" s="15">
        <v>3</v>
      </c>
      <c r="C142" s="16">
        <v>30</v>
      </c>
      <c r="D142" s="17" t="s">
        <v>295</v>
      </c>
      <c r="E142" s="17" t="s">
        <v>296</v>
      </c>
      <c r="F142" s="15">
        <v>98.5</v>
      </c>
      <c r="G142" s="15">
        <v>82.5</v>
      </c>
      <c r="H142" s="15">
        <v>114</v>
      </c>
      <c r="I142" s="15">
        <v>37.5</v>
      </c>
      <c r="J142" s="15"/>
      <c r="K142" s="15">
        <v>73</v>
      </c>
      <c r="L142" s="15">
        <v>87</v>
      </c>
      <c r="M142" s="15"/>
      <c r="N142" s="15"/>
      <c r="O142" s="15">
        <v>295</v>
      </c>
      <c r="P142" s="15">
        <v>492.5</v>
      </c>
    </row>
    <row r="143" ht="14.25" spans="1:16">
      <c r="A143" s="13">
        <v>142</v>
      </c>
      <c r="B143" s="15">
        <v>3</v>
      </c>
      <c r="C143" s="16">
        <v>31</v>
      </c>
      <c r="D143" s="17" t="s">
        <v>297</v>
      </c>
      <c r="E143" s="17" t="s">
        <v>298</v>
      </c>
      <c r="F143" s="15">
        <v>102.5</v>
      </c>
      <c r="G143" s="15">
        <v>118.5</v>
      </c>
      <c r="H143" s="15">
        <v>113</v>
      </c>
      <c r="I143" s="15">
        <v>82.5</v>
      </c>
      <c r="J143" s="15"/>
      <c r="K143" s="15">
        <v>84</v>
      </c>
      <c r="L143" s="15">
        <v>69</v>
      </c>
      <c r="M143" s="15"/>
      <c r="N143" s="15"/>
      <c r="O143" s="15">
        <v>334</v>
      </c>
      <c r="P143" s="15">
        <v>569.5</v>
      </c>
    </row>
    <row r="144" ht="14.25" spans="1:16">
      <c r="A144" s="13">
        <v>143</v>
      </c>
      <c r="B144" s="15">
        <v>3</v>
      </c>
      <c r="C144" s="16">
        <v>32</v>
      </c>
      <c r="D144" s="17" t="s">
        <v>299</v>
      </c>
      <c r="E144" s="17" t="s">
        <v>300</v>
      </c>
      <c r="F144" s="15">
        <v>100.5</v>
      </c>
      <c r="G144" s="15">
        <v>86.5</v>
      </c>
      <c r="H144" s="15">
        <v>84</v>
      </c>
      <c r="I144" s="15">
        <v>65.5</v>
      </c>
      <c r="J144" s="15"/>
      <c r="K144" s="15">
        <v>73</v>
      </c>
      <c r="L144" s="15">
        <v>76</v>
      </c>
      <c r="M144" s="15"/>
      <c r="N144" s="15"/>
      <c r="O144" s="15">
        <v>271</v>
      </c>
      <c r="P144" s="15">
        <v>485.5</v>
      </c>
    </row>
    <row r="145" ht="14.25" spans="1:16">
      <c r="A145" s="13">
        <v>144</v>
      </c>
      <c r="B145" s="15">
        <v>3</v>
      </c>
      <c r="C145" s="16">
        <v>33</v>
      </c>
      <c r="D145" s="17" t="s">
        <v>301</v>
      </c>
      <c r="E145" s="17" t="s">
        <v>302</v>
      </c>
      <c r="F145" s="15">
        <v>110</v>
      </c>
      <c r="G145" s="15">
        <v>104.5</v>
      </c>
      <c r="H145" s="15">
        <v>103</v>
      </c>
      <c r="I145" s="15">
        <v>63.5</v>
      </c>
      <c r="J145" s="15"/>
      <c r="K145" s="15">
        <v>77</v>
      </c>
      <c r="L145" s="15">
        <v>88</v>
      </c>
      <c r="M145" s="15"/>
      <c r="N145" s="15"/>
      <c r="O145" s="15">
        <v>317.5</v>
      </c>
      <c r="P145" s="15">
        <v>546</v>
      </c>
    </row>
    <row r="146" ht="14.25" spans="1:16">
      <c r="A146" s="13">
        <v>145</v>
      </c>
      <c r="B146" s="15">
        <v>3</v>
      </c>
      <c r="C146" s="16">
        <v>34</v>
      </c>
      <c r="D146" s="17" t="s">
        <v>303</v>
      </c>
      <c r="E146" s="17" t="s">
        <v>304</v>
      </c>
      <c r="F146" s="15">
        <v>96</v>
      </c>
      <c r="G146" s="15">
        <v>82</v>
      </c>
      <c r="H146" s="15">
        <v>97.25</v>
      </c>
      <c r="I146" s="15">
        <v>39</v>
      </c>
      <c r="J146" s="15"/>
      <c r="K146" s="15">
        <v>66</v>
      </c>
      <c r="L146" s="15">
        <v>77</v>
      </c>
      <c r="M146" s="15"/>
      <c r="N146" s="15"/>
      <c r="O146" s="15">
        <v>275.25</v>
      </c>
      <c r="P146" s="15">
        <v>457.25</v>
      </c>
    </row>
    <row r="147" ht="14.25" spans="1:16">
      <c r="A147" s="13">
        <v>146</v>
      </c>
      <c r="B147" s="15">
        <v>3</v>
      </c>
      <c r="C147" s="16">
        <v>35</v>
      </c>
      <c r="D147" s="17" t="s">
        <v>305</v>
      </c>
      <c r="E147" s="17" t="s">
        <v>306</v>
      </c>
      <c r="F147" s="15">
        <v>84.25</v>
      </c>
      <c r="G147" s="15">
        <v>101</v>
      </c>
      <c r="H147" s="15">
        <v>93</v>
      </c>
      <c r="I147" s="15">
        <v>43.5</v>
      </c>
      <c r="J147" s="15"/>
      <c r="K147" s="15">
        <v>69</v>
      </c>
      <c r="L147" s="15">
        <v>68</v>
      </c>
      <c r="M147" s="15"/>
      <c r="N147" s="15"/>
      <c r="O147" s="15">
        <v>278.25</v>
      </c>
      <c r="P147" s="15">
        <v>458.75</v>
      </c>
    </row>
    <row r="148" ht="14.25" spans="1:16">
      <c r="A148" s="13">
        <v>147</v>
      </c>
      <c r="B148" s="15">
        <v>3</v>
      </c>
      <c r="C148" s="16">
        <v>36</v>
      </c>
      <c r="D148" s="17" t="s">
        <v>307</v>
      </c>
      <c r="E148" s="17" t="s">
        <v>308</v>
      </c>
      <c r="F148" s="15">
        <v>100</v>
      </c>
      <c r="G148" s="15">
        <v>107</v>
      </c>
      <c r="H148" s="15">
        <v>75.5</v>
      </c>
      <c r="I148" s="15">
        <v>42.5</v>
      </c>
      <c r="J148" s="15"/>
      <c r="K148" s="15">
        <v>75</v>
      </c>
      <c r="L148" s="15">
        <v>87</v>
      </c>
      <c r="M148" s="15"/>
      <c r="N148" s="15"/>
      <c r="O148" s="15">
        <v>282.5</v>
      </c>
      <c r="P148" s="15">
        <v>487</v>
      </c>
    </row>
    <row r="149" ht="14.25" spans="1:16">
      <c r="A149" s="13">
        <v>148</v>
      </c>
      <c r="B149" s="15">
        <v>3</v>
      </c>
      <c r="C149" s="16">
        <v>37</v>
      </c>
      <c r="D149" s="17" t="s">
        <v>309</v>
      </c>
      <c r="E149" s="17" t="s">
        <v>310</v>
      </c>
      <c r="F149" s="15">
        <v>85.75</v>
      </c>
      <c r="G149" s="15">
        <v>75.5</v>
      </c>
      <c r="H149" s="15">
        <v>83</v>
      </c>
      <c r="I149" s="15">
        <v>49.5</v>
      </c>
      <c r="J149" s="15"/>
      <c r="K149" s="15">
        <v>65</v>
      </c>
      <c r="L149" s="15">
        <v>91</v>
      </c>
      <c r="M149" s="15"/>
      <c r="N149" s="15"/>
      <c r="O149" s="15">
        <v>244.25</v>
      </c>
      <c r="P149" s="15">
        <v>449.75</v>
      </c>
    </row>
    <row r="150" ht="14.25" spans="1:16">
      <c r="A150" s="13">
        <v>149</v>
      </c>
      <c r="B150" s="15">
        <v>3</v>
      </c>
      <c r="C150" s="16">
        <v>38</v>
      </c>
      <c r="D150" s="17" t="s">
        <v>311</v>
      </c>
      <c r="E150" s="17" t="s">
        <v>312</v>
      </c>
      <c r="F150" s="15">
        <v>96.5</v>
      </c>
      <c r="G150" s="15">
        <v>113.5</v>
      </c>
      <c r="H150" s="15">
        <v>110.5</v>
      </c>
      <c r="I150" s="15">
        <v>46</v>
      </c>
      <c r="J150" s="15"/>
      <c r="K150" s="15">
        <v>80</v>
      </c>
      <c r="L150" s="15">
        <v>78</v>
      </c>
      <c r="M150" s="15"/>
      <c r="N150" s="15"/>
      <c r="O150" s="15">
        <v>320.5</v>
      </c>
      <c r="P150" s="15">
        <v>524.5</v>
      </c>
    </row>
    <row r="151" ht="14.25" spans="1:16">
      <c r="A151" s="13">
        <v>150</v>
      </c>
      <c r="B151" s="15">
        <v>3</v>
      </c>
      <c r="C151" s="16">
        <v>39</v>
      </c>
      <c r="D151" s="17" t="s">
        <v>313</v>
      </c>
      <c r="E151" s="17" t="s">
        <v>314</v>
      </c>
      <c r="F151" s="15">
        <v>93.5</v>
      </c>
      <c r="G151" s="15">
        <v>71</v>
      </c>
      <c r="H151" s="15">
        <v>89.5</v>
      </c>
      <c r="I151" s="15">
        <v>29</v>
      </c>
      <c r="J151" s="15"/>
      <c r="K151" s="15">
        <v>68</v>
      </c>
      <c r="L151" s="15">
        <v>89</v>
      </c>
      <c r="M151" s="15"/>
      <c r="N151" s="15"/>
      <c r="O151" s="15">
        <v>254</v>
      </c>
      <c r="P151" s="15">
        <v>440</v>
      </c>
    </row>
    <row r="152" ht="14.25" spans="1:16">
      <c r="A152" s="13">
        <v>151</v>
      </c>
      <c r="B152" s="15">
        <v>3</v>
      </c>
      <c r="C152" s="16">
        <v>40</v>
      </c>
      <c r="D152" s="17" t="s">
        <v>315</v>
      </c>
      <c r="E152" s="17" t="s">
        <v>316</v>
      </c>
      <c r="F152" s="15">
        <v>92.75</v>
      </c>
      <c r="G152" s="15">
        <v>96.5</v>
      </c>
      <c r="H152" s="15">
        <v>98.5</v>
      </c>
      <c r="I152" s="15">
        <v>46.5</v>
      </c>
      <c r="J152" s="15"/>
      <c r="K152" s="15">
        <v>63</v>
      </c>
      <c r="L152" s="15">
        <v>59</v>
      </c>
      <c r="M152" s="15"/>
      <c r="N152" s="15"/>
      <c r="O152" s="15">
        <v>287.75</v>
      </c>
      <c r="P152" s="15">
        <v>456.25</v>
      </c>
    </row>
    <row r="153" ht="14.25" spans="1:16">
      <c r="A153" s="13">
        <v>152</v>
      </c>
      <c r="B153" s="15">
        <v>3</v>
      </c>
      <c r="C153" s="16">
        <v>41</v>
      </c>
      <c r="D153" s="17" t="s">
        <v>317</v>
      </c>
      <c r="E153" s="17" t="s">
        <v>318</v>
      </c>
      <c r="F153" s="15">
        <v>94.5</v>
      </c>
      <c r="G153" s="15">
        <v>94</v>
      </c>
      <c r="H153" s="15">
        <v>105</v>
      </c>
      <c r="I153" s="15">
        <v>49</v>
      </c>
      <c r="J153" s="15"/>
      <c r="K153" s="15">
        <v>76</v>
      </c>
      <c r="L153" s="15">
        <v>82</v>
      </c>
      <c r="M153" s="15"/>
      <c r="N153" s="15"/>
      <c r="O153" s="15">
        <v>293.5</v>
      </c>
      <c r="P153" s="15">
        <v>500.5</v>
      </c>
    </row>
    <row r="154" ht="14.25" spans="1:16">
      <c r="A154" s="13">
        <v>153</v>
      </c>
      <c r="B154" s="15">
        <v>3</v>
      </c>
      <c r="C154" s="16">
        <v>42</v>
      </c>
      <c r="D154" s="17" t="s">
        <v>319</v>
      </c>
      <c r="E154" s="17" t="s">
        <v>320</v>
      </c>
      <c r="F154" s="15">
        <v>91.25</v>
      </c>
      <c r="G154" s="15">
        <v>67.5</v>
      </c>
      <c r="H154" s="15">
        <v>95</v>
      </c>
      <c r="I154" s="15">
        <v>26</v>
      </c>
      <c r="J154" s="15"/>
      <c r="K154" s="15">
        <v>61</v>
      </c>
      <c r="L154" s="15">
        <v>88</v>
      </c>
      <c r="M154" s="15"/>
      <c r="N154" s="15"/>
      <c r="O154" s="15">
        <v>253.75</v>
      </c>
      <c r="P154" s="15">
        <v>428.75</v>
      </c>
    </row>
    <row r="155" ht="14.25" spans="1:16">
      <c r="A155" s="13">
        <v>154</v>
      </c>
      <c r="B155" s="15">
        <v>3</v>
      </c>
      <c r="C155" s="16">
        <v>43</v>
      </c>
      <c r="D155" s="17" t="s">
        <v>321</v>
      </c>
      <c r="E155" s="17" t="s">
        <v>322</v>
      </c>
      <c r="F155" s="15">
        <v>99</v>
      </c>
      <c r="G155" s="15">
        <v>105.5</v>
      </c>
      <c r="H155" s="15">
        <v>77.5</v>
      </c>
      <c r="I155" s="15">
        <v>25</v>
      </c>
      <c r="J155" s="15"/>
      <c r="K155" s="15">
        <v>50</v>
      </c>
      <c r="L155" s="15">
        <v>51</v>
      </c>
      <c r="M155" s="15"/>
      <c r="N155" s="15"/>
      <c r="O155" s="15">
        <v>282</v>
      </c>
      <c r="P155" s="15">
        <v>408</v>
      </c>
    </row>
    <row r="156" ht="14.25" spans="1:16">
      <c r="A156" s="13">
        <v>155</v>
      </c>
      <c r="B156" s="15">
        <v>3</v>
      </c>
      <c r="C156" s="16">
        <v>44</v>
      </c>
      <c r="D156" s="17" t="s">
        <v>323</v>
      </c>
      <c r="E156" s="17" t="s">
        <v>324</v>
      </c>
      <c r="F156" s="15">
        <v>97</v>
      </c>
      <c r="G156" s="15">
        <v>95</v>
      </c>
      <c r="H156" s="15">
        <v>98.5</v>
      </c>
      <c r="I156" s="15">
        <v>36</v>
      </c>
      <c r="J156" s="15"/>
      <c r="K156" s="15">
        <v>59</v>
      </c>
      <c r="L156" s="15">
        <v>89</v>
      </c>
      <c r="M156" s="15"/>
      <c r="N156" s="15"/>
      <c r="O156" s="15">
        <v>290.5</v>
      </c>
      <c r="P156" s="15">
        <v>474.5</v>
      </c>
    </row>
    <row r="157" ht="14.25" spans="1:16">
      <c r="A157" s="13">
        <v>156</v>
      </c>
      <c r="B157" s="15">
        <v>3</v>
      </c>
      <c r="C157" s="16">
        <v>45</v>
      </c>
      <c r="D157" s="17" t="s">
        <v>325</v>
      </c>
      <c r="E157" s="17" t="s">
        <v>326</v>
      </c>
      <c r="F157" s="15">
        <v>89</v>
      </c>
      <c r="G157" s="15">
        <v>94.5</v>
      </c>
      <c r="H157" s="15">
        <v>84.5</v>
      </c>
      <c r="I157" s="15">
        <v>75.5</v>
      </c>
      <c r="J157" s="15"/>
      <c r="K157" s="15">
        <v>88</v>
      </c>
      <c r="L157" s="15">
        <v>76</v>
      </c>
      <c r="M157" s="15"/>
      <c r="N157" s="15"/>
      <c r="O157" s="15">
        <v>268</v>
      </c>
      <c r="P157" s="15">
        <v>507.5</v>
      </c>
    </row>
    <row r="158" ht="14.25" spans="1:16">
      <c r="A158" s="13">
        <v>157</v>
      </c>
      <c r="B158" s="15">
        <v>3</v>
      </c>
      <c r="C158" s="16">
        <v>46</v>
      </c>
      <c r="D158" s="17" t="s">
        <v>327</v>
      </c>
      <c r="E158" s="17" t="s">
        <v>328</v>
      </c>
      <c r="F158" s="15">
        <v>99.25</v>
      </c>
      <c r="G158" s="15">
        <v>69.5</v>
      </c>
      <c r="H158" s="15">
        <v>87.5</v>
      </c>
      <c r="I158" s="15">
        <v>45</v>
      </c>
      <c r="J158" s="15"/>
      <c r="K158" s="15">
        <v>50</v>
      </c>
      <c r="L158" s="15">
        <v>86</v>
      </c>
      <c r="M158" s="15"/>
      <c r="N158" s="15"/>
      <c r="O158" s="15">
        <v>256.25</v>
      </c>
      <c r="P158" s="15">
        <v>437.25</v>
      </c>
    </row>
    <row r="159" ht="14.25" spans="1:16">
      <c r="A159" s="13">
        <v>158</v>
      </c>
      <c r="B159" s="15">
        <v>3</v>
      </c>
      <c r="C159" s="16">
        <v>47</v>
      </c>
      <c r="D159" s="17" t="s">
        <v>329</v>
      </c>
      <c r="E159" s="17" t="s">
        <v>330</v>
      </c>
      <c r="F159" s="15">
        <v>94</v>
      </c>
      <c r="G159" s="15">
        <v>112.5</v>
      </c>
      <c r="H159" s="15">
        <v>100.5</v>
      </c>
      <c r="I159" s="15">
        <v>53.5</v>
      </c>
      <c r="J159" s="15"/>
      <c r="K159" s="15">
        <v>86</v>
      </c>
      <c r="L159" s="15">
        <v>85</v>
      </c>
      <c r="M159" s="15"/>
      <c r="N159" s="15"/>
      <c r="O159" s="15">
        <v>307</v>
      </c>
      <c r="P159" s="15">
        <v>531.5</v>
      </c>
    </row>
    <row r="160" ht="14.25" spans="1:16">
      <c r="A160" s="13">
        <v>159</v>
      </c>
      <c r="B160" s="15">
        <v>3</v>
      </c>
      <c r="C160" s="16">
        <v>48</v>
      </c>
      <c r="D160" s="17" t="s">
        <v>331</v>
      </c>
      <c r="E160" s="17" t="s">
        <v>332</v>
      </c>
      <c r="F160" s="15">
        <v>96.5</v>
      </c>
      <c r="G160" s="15">
        <v>106</v>
      </c>
      <c r="H160" s="15">
        <v>96.75</v>
      </c>
      <c r="I160" s="15">
        <v>63.5</v>
      </c>
      <c r="J160" s="15"/>
      <c r="K160" s="15">
        <v>80</v>
      </c>
      <c r="L160" s="15">
        <v>67</v>
      </c>
      <c r="M160" s="15"/>
      <c r="N160" s="15"/>
      <c r="O160" s="15">
        <v>299.25</v>
      </c>
      <c r="P160" s="15">
        <v>509.75</v>
      </c>
    </row>
    <row r="161" ht="14.25" spans="1:16">
      <c r="A161" s="13">
        <v>160</v>
      </c>
      <c r="B161" s="15">
        <v>3</v>
      </c>
      <c r="C161" s="16">
        <v>49</v>
      </c>
      <c r="D161" s="17" t="s">
        <v>333</v>
      </c>
      <c r="E161" s="17" t="s">
        <v>334</v>
      </c>
      <c r="F161" s="15">
        <v>89</v>
      </c>
      <c r="G161" s="15">
        <v>65.5</v>
      </c>
      <c r="H161" s="15">
        <v>87</v>
      </c>
      <c r="I161" s="15">
        <v>23.5</v>
      </c>
      <c r="J161" s="15"/>
      <c r="K161" s="15">
        <v>68</v>
      </c>
      <c r="L161" s="15">
        <v>50</v>
      </c>
      <c r="M161" s="15"/>
      <c r="N161" s="15"/>
      <c r="O161" s="15">
        <v>241.5</v>
      </c>
      <c r="P161" s="15">
        <v>383</v>
      </c>
    </row>
    <row r="162" ht="14.25" spans="1:16">
      <c r="A162" s="13">
        <v>161</v>
      </c>
      <c r="B162" s="15">
        <v>4</v>
      </c>
      <c r="C162" s="16">
        <v>2</v>
      </c>
      <c r="D162" s="17" t="s">
        <v>335</v>
      </c>
      <c r="E162" s="17" t="s">
        <v>336</v>
      </c>
      <c r="F162" s="15">
        <v>77.5</v>
      </c>
      <c r="G162" s="15">
        <v>88</v>
      </c>
      <c r="H162" s="15">
        <v>71</v>
      </c>
      <c r="I162" s="15">
        <v>36</v>
      </c>
      <c r="J162" s="15"/>
      <c r="K162" s="15">
        <v>63</v>
      </c>
      <c r="L162" s="15">
        <v>82</v>
      </c>
      <c r="M162" s="15"/>
      <c r="N162" s="15"/>
      <c r="O162" s="15">
        <v>236.5</v>
      </c>
      <c r="P162" s="15">
        <v>417.5</v>
      </c>
    </row>
    <row r="163" ht="14.25" spans="1:16">
      <c r="A163" s="13">
        <v>162</v>
      </c>
      <c r="B163" s="15">
        <v>4</v>
      </c>
      <c r="C163" s="16">
        <v>3</v>
      </c>
      <c r="D163" s="17" t="s">
        <v>337</v>
      </c>
      <c r="E163" s="17" t="s">
        <v>338</v>
      </c>
      <c r="F163" s="15">
        <v>106.5</v>
      </c>
      <c r="G163" s="15">
        <v>94</v>
      </c>
      <c r="H163" s="15">
        <v>91.75</v>
      </c>
      <c r="I163" s="15">
        <v>52</v>
      </c>
      <c r="J163" s="15"/>
      <c r="K163" s="15">
        <v>72</v>
      </c>
      <c r="L163" s="15">
        <v>78</v>
      </c>
      <c r="M163" s="15"/>
      <c r="N163" s="15"/>
      <c r="O163" s="15">
        <v>292.25</v>
      </c>
      <c r="P163" s="15">
        <v>494.25</v>
      </c>
    </row>
    <row r="164" ht="14.25" spans="1:16">
      <c r="A164" s="13">
        <v>163</v>
      </c>
      <c r="B164" s="15">
        <v>4</v>
      </c>
      <c r="C164" s="16">
        <v>4</v>
      </c>
      <c r="D164" s="17" t="s">
        <v>339</v>
      </c>
      <c r="E164" s="17" t="s">
        <v>340</v>
      </c>
      <c r="F164" s="15">
        <v>91.5</v>
      </c>
      <c r="G164" s="15">
        <v>88.5</v>
      </c>
      <c r="H164" s="15">
        <v>74</v>
      </c>
      <c r="I164" s="15">
        <v>35</v>
      </c>
      <c r="J164" s="15"/>
      <c r="K164" s="15">
        <v>64</v>
      </c>
      <c r="L164" s="15">
        <v>88</v>
      </c>
      <c r="M164" s="15"/>
      <c r="N164" s="15"/>
      <c r="O164" s="15">
        <v>254</v>
      </c>
      <c r="P164" s="15">
        <v>441</v>
      </c>
    </row>
    <row r="165" ht="14.25" spans="1:16">
      <c r="A165" s="13">
        <v>164</v>
      </c>
      <c r="B165" s="15">
        <v>4</v>
      </c>
      <c r="C165" s="16">
        <v>5</v>
      </c>
      <c r="D165" s="17" t="s">
        <v>341</v>
      </c>
      <c r="E165" s="17" t="s">
        <v>342</v>
      </c>
      <c r="F165" s="15">
        <v>83</v>
      </c>
      <c r="G165" s="15">
        <v>62.5</v>
      </c>
      <c r="H165" s="15">
        <v>87.5</v>
      </c>
      <c r="I165" s="15">
        <v>23.5</v>
      </c>
      <c r="J165" s="15"/>
      <c r="K165" s="15">
        <v>73</v>
      </c>
      <c r="L165" s="15">
        <v>81</v>
      </c>
      <c r="M165" s="15"/>
      <c r="N165" s="15"/>
      <c r="O165" s="15">
        <v>233</v>
      </c>
      <c r="P165" s="15">
        <v>410.5</v>
      </c>
    </row>
    <row r="166" ht="14.25" spans="1:16">
      <c r="A166" s="13">
        <v>165</v>
      </c>
      <c r="B166" s="15">
        <v>4</v>
      </c>
      <c r="C166" s="16">
        <v>6</v>
      </c>
      <c r="D166" s="17" t="s">
        <v>343</v>
      </c>
      <c r="E166" s="17" t="s">
        <v>344</v>
      </c>
      <c r="F166" s="15">
        <v>84</v>
      </c>
      <c r="G166" s="15">
        <v>83</v>
      </c>
      <c r="H166" s="15">
        <v>54.5</v>
      </c>
      <c r="I166" s="15">
        <v>28</v>
      </c>
      <c r="J166" s="15"/>
      <c r="K166" s="15">
        <v>59</v>
      </c>
      <c r="L166" s="15">
        <v>79</v>
      </c>
      <c r="M166" s="15"/>
      <c r="N166" s="15"/>
      <c r="O166" s="15">
        <v>221.5</v>
      </c>
      <c r="P166" s="15">
        <v>387.5</v>
      </c>
    </row>
    <row r="167" ht="14.25" spans="1:16">
      <c r="A167" s="13">
        <v>166</v>
      </c>
      <c r="B167" s="15">
        <v>4</v>
      </c>
      <c r="C167" s="16">
        <v>7</v>
      </c>
      <c r="D167" s="17" t="s">
        <v>345</v>
      </c>
      <c r="E167" s="17" t="s">
        <v>346</v>
      </c>
      <c r="F167" s="15">
        <v>78</v>
      </c>
      <c r="G167" s="15">
        <v>98</v>
      </c>
      <c r="H167" s="15">
        <v>88.75</v>
      </c>
      <c r="I167" s="15">
        <v>40</v>
      </c>
      <c r="J167" s="15"/>
      <c r="K167" s="15">
        <v>63</v>
      </c>
      <c r="L167" s="15">
        <v>68</v>
      </c>
      <c r="M167" s="15"/>
      <c r="N167" s="15"/>
      <c r="O167" s="15">
        <v>264.75</v>
      </c>
      <c r="P167" s="15">
        <v>435.75</v>
      </c>
    </row>
    <row r="168" ht="14.25" spans="1:16">
      <c r="A168" s="13">
        <v>167</v>
      </c>
      <c r="B168" s="15">
        <v>4</v>
      </c>
      <c r="C168" s="16">
        <v>8</v>
      </c>
      <c r="D168" s="17" t="s">
        <v>347</v>
      </c>
      <c r="E168" s="17" t="s">
        <v>348</v>
      </c>
      <c r="F168" s="15">
        <v>87.5</v>
      </c>
      <c r="G168" s="15">
        <v>101.5</v>
      </c>
      <c r="H168" s="15">
        <v>101.5</v>
      </c>
      <c r="I168" s="15">
        <v>44</v>
      </c>
      <c r="J168" s="15"/>
      <c r="K168" s="15">
        <v>73</v>
      </c>
      <c r="L168" s="15">
        <v>90</v>
      </c>
      <c r="M168" s="15"/>
      <c r="N168" s="15"/>
      <c r="O168" s="15">
        <v>290.5</v>
      </c>
      <c r="P168" s="15">
        <v>497.5</v>
      </c>
    </row>
    <row r="169" ht="14.25" spans="1:16">
      <c r="A169" s="13">
        <v>168</v>
      </c>
      <c r="B169" s="15">
        <v>4</v>
      </c>
      <c r="C169" s="16">
        <v>9</v>
      </c>
      <c r="D169" s="17" t="s">
        <v>349</v>
      </c>
      <c r="E169" s="17" t="s">
        <v>350</v>
      </c>
      <c r="F169" s="15">
        <v>95.25</v>
      </c>
      <c r="G169" s="15">
        <v>89.5</v>
      </c>
      <c r="H169" s="15">
        <v>80.75</v>
      </c>
      <c r="I169" s="15">
        <v>54.5</v>
      </c>
      <c r="J169" s="15"/>
      <c r="K169" s="15">
        <v>81</v>
      </c>
      <c r="L169" s="15">
        <v>91</v>
      </c>
      <c r="M169" s="15"/>
      <c r="N169" s="15"/>
      <c r="O169" s="15">
        <v>265.5</v>
      </c>
      <c r="P169" s="15">
        <v>492</v>
      </c>
    </row>
    <row r="170" ht="14.25" spans="1:16">
      <c r="A170" s="13">
        <v>169</v>
      </c>
      <c r="B170" s="15">
        <v>4</v>
      </c>
      <c r="C170" s="16">
        <v>10</v>
      </c>
      <c r="D170" s="17" t="s">
        <v>351</v>
      </c>
      <c r="E170" s="17" t="s">
        <v>352</v>
      </c>
      <c r="F170" s="15">
        <v>96</v>
      </c>
      <c r="G170" s="15">
        <v>106.5</v>
      </c>
      <c r="H170" s="15">
        <v>96.5</v>
      </c>
      <c r="I170" s="15">
        <v>60</v>
      </c>
      <c r="J170" s="15"/>
      <c r="K170" s="15">
        <v>83</v>
      </c>
      <c r="L170" s="15">
        <v>90</v>
      </c>
      <c r="M170" s="15"/>
      <c r="N170" s="15"/>
      <c r="O170" s="15">
        <v>299</v>
      </c>
      <c r="P170" s="15">
        <v>532</v>
      </c>
    </row>
    <row r="171" ht="14.25" spans="1:16">
      <c r="A171" s="13">
        <v>170</v>
      </c>
      <c r="B171" s="15">
        <v>4</v>
      </c>
      <c r="C171" s="16">
        <v>11</v>
      </c>
      <c r="D171" s="17" t="s">
        <v>353</v>
      </c>
      <c r="E171" s="17" t="s">
        <v>354</v>
      </c>
      <c r="F171" s="15">
        <v>92.5</v>
      </c>
      <c r="G171" s="15">
        <v>106.5</v>
      </c>
      <c r="H171" s="15">
        <v>109.75</v>
      </c>
      <c r="I171" s="15">
        <v>38.5</v>
      </c>
      <c r="J171" s="15"/>
      <c r="K171" s="15">
        <v>78</v>
      </c>
      <c r="L171" s="15">
        <v>84</v>
      </c>
      <c r="M171" s="15"/>
      <c r="N171" s="15"/>
      <c r="O171" s="15">
        <v>308.75</v>
      </c>
      <c r="P171" s="15">
        <v>509.25</v>
      </c>
    </row>
    <row r="172" ht="14.25" spans="1:16">
      <c r="A172" s="13">
        <v>171</v>
      </c>
      <c r="B172" s="15">
        <v>4</v>
      </c>
      <c r="C172" s="16">
        <v>12</v>
      </c>
      <c r="D172" s="17" t="s">
        <v>355</v>
      </c>
      <c r="E172" s="17" t="s">
        <v>356</v>
      </c>
      <c r="F172" s="15">
        <v>101</v>
      </c>
      <c r="G172" s="15">
        <v>109</v>
      </c>
      <c r="H172" s="15">
        <v>97.5</v>
      </c>
      <c r="I172" s="15">
        <v>44.5</v>
      </c>
      <c r="J172" s="15"/>
      <c r="K172" s="15">
        <v>78</v>
      </c>
      <c r="L172" s="15">
        <v>91</v>
      </c>
      <c r="M172" s="15"/>
      <c r="N172" s="15"/>
      <c r="O172" s="15">
        <v>307.5</v>
      </c>
      <c r="P172" s="15">
        <v>521</v>
      </c>
    </row>
    <row r="173" ht="14.25" spans="1:16">
      <c r="A173" s="13">
        <v>172</v>
      </c>
      <c r="B173" s="15">
        <v>4</v>
      </c>
      <c r="C173" s="16">
        <v>13</v>
      </c>
      <c r="D173" s="17" t="s">
        <v>357</v>
      </c>
      <c r="E173" s="17" t="s">
        <v>358</v>
      </c>
      <c r="F173" s="15">
        <v>105.5</v>
      </c>
      <c r="G173" s="15">
        <v>121</v>
      </c>
      <c r="H173" s="15">
        <v>110.75</v>
      </c>
      <c r="I173" s="15">
        <v>49.5</v>
      </c>
      <c r="J173" s="15"/>
      <c r="K173" s="15">
        <v>69</v>
      </c>
      <c r="L173" s="15">
        <v>89</v>
      </c>
      <c r="M173" s="15"/>
      <c r="N173" s="15"/>
      <c r="O173" s="15">
        <v>337.25</v>
      </c>
      <c r="P173" s="15">
        <v>544.75</v>
      </c>
    </row>
    <row r="174" ht="14.25" spans="1:16">
      <c r="A174" s="13">
        <v>173</v>
      </c>
      <c r="B174" s="15">
        <v>4</v>
      </c>
      <c r="C174" s="16">
        <v>14</v>
      </c>
      <c r="D174" s="17" t="s">
        <v>359</v>
      </c>
      <c r="E174" s="17" t="s">
        <v>360</v>
      </c>
      <c r="F174" s="15">
        <v>106.5</v>
      </c>
      <c r="G174" s="15">
        <v>106</v>
      </c>
      <c r="H174" s="15">
        <v>109.5</v>
      </c>
      <c r="I174" s="15">
        <v>43.5</v>
      </c>
      <c r="J174" s="15"/>
      <c r="K174" s="15">
        <v>69</v>
      </c>
      <c r="L174" s="15">
        <v>89</v>
      </c>
      <c r="M174" s="15"/>
      <c r="N174" s="15"/>
      <c r="O174" s="15">
        <v>322</v>
      </c>
      <c r="P174" s="15">
        <v>523.5</v>
      </c>
    </row>
    <row r="175" ht="14.25" spans="1:16">
      <c r="A175" s="13">
        <v>174</v>
      </c>
      <c r="B175" s="15">
        <v>4</v>
      </c>
      <c r="C175" s="16">
        <v>15</v>
      </c>
      <c r="D175" s="17" t="s">
        <v>361</v>
      </c>
      <c r="E175" s="17" t="s">
        <v>362</v>
      </c>
      <c r="F175" s="15">
        <v>98</v>
      </c>
      <c r="G175" s="15">
        <v>94</v>
      </c>
      <c r="H175" s="15">
        <v>94.5</v>
      </c>
      <c r="I175" s="15">
        <v>52</v>
      </c>
      <c r="J175" s="15"/>
      <c r="K175" s="15">
        <v>65</v>
      </c>
      <c r="L175" s="15">
        <v>82</v>
      </c>
      <c r="M175" s="15"/>
      <c r="N175" s="15"/>
      <c r="O175" s="15">
        <v>286.5</v>
      </c>
      <c r="P175" s="15">
        <v>485.5</v>
      </c>
    </row>
    <row r="176" ht="14.25" spans="1:16">
      <c r="A176" s="13">
        <v>175</v>
      </c>
      <c r="B176" s="15">
        <v>4</v>
      </c>
      <c r="C176" s="16">
        <v>16</v>
      </c>
      <c r="D176" s="17" t="s">
        <v>363</v>
      </c>
      <c r="E176" s="17" t="s">
        <v>364</v>
      </c>
      <c r="F176" s="15">
        <v>97.75</v>
      </c>
      <c r="G176" s="15">
        <v>103.5</v>
      </c>
      <c r="H176" s="15">
        <v>94.5</v>
      </c>
      <c r="I176" s="15">
        <v>57.5</v>
      </c>
      <c r="J176" s="15"/>
      <c r="K176" s="15">
        <v>80</v>
      </c>
      <c r="L176" s="15">
        <v>77</v>
      </c>
      <c r="M176" s="15"/>
      <c r="N176" s="15"/>
      <c r="O176" s="15">
        <v>295.75</v>
      </c>
      <c r="P176" s="15">
        <v>510.25</v>
      </c>
    </row>
    <row r="177" ht="14.25" spans="1:16">
      <c r="A177" s="13">
        <v>176</v>
      </c>
      <c r="B177" s="15">
        <v>4</v>
      </c>
      <c r="C177" s="16">
        <v>17</v>
      </c>
      <c r="D177" s="17" t="s">
        <v>365</v>
      </c>
      <c r="E177" s="17" t="s">
        <v>366</v>
      </c>
      <c r="F177" s="15">
        <v>89.5</v>
      </c>
      <c r="G177" s="15">
        <v>118</v>
      </c>
      <c r="H177" s="15">
        <v>98</v>
      </c>
      <c r="I177" s="15">
        <v>52.5</v>
      </c>
      <c r="J177" s="15"/>
      <c r="K177" s="15">
        <v>78</v>
      </c>
      <c r="L177" s="15">
        <v>87</v>
      </c>
      <c r="M177" s="15"/>
      <c r="N177" s="15"/>
      <c r="O177" s="15">
        <v>305.5</v>
      </c>
      <c r="P177" s="15">
        <v>523</v>
      </c>
    </row>
    <row r="178" ht="14.25" spans="1:16">
      <c r="A178" s="13">
        <v>177</v>
      </c>
      <c r="B178" s="15">
        <v>4</v>
      </c>
      <c r="C178" s="16">
        <v>18</v>
      </c>
      <c r="D178" s="17" t="s">
        <v>367</v>
      </c>
      <c r="E178" s="17" t="s">
        <v>368</v>
      </c>
      <c r="F178" s="15">
        <v>98</v>
      </c>
      <c r="G178" s="15">
        <v>86</v>
      </c>
      <c r="H178" s="15">
        <v>99.5</v>
      </c>
      <c r="I178" s="15">
        <v>56</v>
      </c>
      <c r="J178" s="15"/>
      <c r="K178" s="15">
        <v>83</v>
      </c>
      <c r="L178" s="15">
        <v>88</v>
      </c>
      <c r="M178" s="15"/>
      <c r="N178" s="15"/>
      <c r="O178" s="15">
        <v>283.5</v>
      </c>
      <c r="P178" s="15">
        <v>510.5</v>
      </c>
    </row>
    <row r="179" ht="14.25" spans="1:16">
      <c r="A179" s="13">
        <v>178</v>
      </c>
      <c r="B179" s="15">
        <v>4</v>
      </c>
      <c r="C179" s="16">
        <v>19</v>
      </c>
      <c r="D179" s="17" t="s">
        <v>369</v>
      </c>
      <c r="E179" s="17" t="s">
        <v>370</v>
      </c>
      <c r="F179" s="15">
        <v>95.75</v>
      </c>
      <c r="G179" s="15">
        <v>110.5</v>
      </c>
      <c r="H179" s="15">
        <v>107</v>
      </c>
      <c r="I179" s="15">
        <v>60</v>
      </c>
      <c r="J179" s="15"/>
      <c r="K179" s="15">
        <v>87</v>
      </c>
      <c r="L179" s="15">
        <v>85</v>
      </c>
      <c r="M179" s="15"/>
      <c r="N179" s="15"/>
      <c r="O179" s="15">
        <v>313.25</v>
      </c>
      <c r="P179" s="15">
        <v>545.25</v>
      </c>
    </row>
    <row r="180" ht="14.25" spans="1:16">
      <c r="A180" s="13">
        <v>179</v>
      </c>
      <c r="B180" s="15">
        <v>4</v>
      </c>
      <c r="C180" s="16">
        <v>20</v>
      </c>
      <c r="D180" s="17" t="s">
        <v>371</v>
      </c>
      <c r="E180" s="17" t="s">
        <v>372</v>
      </c>
      <c r="F180" s="15">
        <v>104</v>
      </c>
      <c r="G180" s="15">
        <v>101.5</v>
      </c>
      <c r="H180" s="15">
        <v>96.75</v>
      </c>
      <c r="I180" s="15">
        <v>44</v>
      </c>
      <c r="J180" s="15"/>
      <c r="K180" s="15">
        <v>73</v>
      </c>
      <c r="L180" s="15">
        <v>69</v>
      </c>
      <c r="M180" s="15"/>
      <c r="N180" s="15"/>
      <c r="O180" s="15">
        <v>302.25</v>
      </c>
      <c r="P180" s="15">
        <v>488.25</v>
      </c>
    </row>
    <row r="181" ht="14.25" spans="1:16">
      <c r="A181" s="13">
        <v>180</v>
      </c>
      <c r="B181" s="15">
        <v>4</v>
      </c>
      <c r="C181" s="16">
        <v>21</v>
      </c>
      <c r="D181" s="17" t="s">
        <v>373</v>
      </c>
      <c r="E181" s="17" t="s">
        <v>374</v>
      </c>
      <c r="F181" s="15">
        <v>100.5</v>
      </c>
      <c r="G181" s="15">
        <v>111.5</v>
      </c>
      <c r="H181" s="15">
        <v>91</v>
      </c>
      <c r="I181" s="15">
        <v>47</v>
      </c>
      <c r="J181" s="15"/>
      <c r="K181" s="15">
        <v>72</v>
      </c>
      <c r="L181" s="15">
        <v>65</v>
      </c>
      <c r="M181" s="15"/>
      <c r="N181" s="15"/>
      <c r="O181" s="15">
        <v>303</v>
      </c>
      <c r="P181" s="15">
        <v>487</v>
      </c>
    </row>
    <row r="182" ht="14.25" spans="1:16">
      <c r="A182" s="13">
        <v>181</v>
      </c>
      <c r="B182" s="15">
        <v>4</v>
      </c>
      <c r="C182" s="16">
        <v>22</v>
      </c>
      <c r="D182" s="17" t="s">
        <v>375</v>
      </c>
      <c r="E182" s="17" t="s">
        <v>376</v>
      </c>
      <c r="F182" s="15">
        <v>107</v>
      </c>
      <c r="G182" s="15">
        <v>114.5</v>
      </c>
      <c r="H182" s="15">
        <v>108</v>
      </c>
      <c r="I182" s="15">
        <v>56.5</v>
      </c>
      <c r="J182" s="15"/>
      <c r="K182" s="15">
        <v>72</v>
      </c>
      <c r="L182" s="15">
        <v>83</v>
      </c>
      <c r="M182" s="15"/>
      <c r="N182" s="15"/>
      <c r="O182" s="15">
        <v>329.5</v>
      </c>
      <c r="P182" s="15">
        <v>541</v>
      </c>
    </row>
    <row r="183" ht="14.25" spans="1:16">
      <c r="A183" s="13">
        <v>182</v>
      </c>
      <c r="B183" s="15">
        <v>4</v>
      </c>
      <c r="C183" s="16">
        <v>23</v>
      </c>
      <c r="D183" s="17" t="s">
        <v>377</v>
      </c>
      <c r="E183" s="17" t="s">
        <v>378</v>
      </c>
      <c r="F183" s="15">
        <v>104.5</v>
      </c>
      <c r="G183" s="15">
        <v>122.5</v>
      </c>
      <c r="H183" s="15">
        <v>98.5</v>
      </c>
      <c r="I183" s="15">
        <v>49.5</v>
      </c>
      <c r="J183" s="15"/>
      <c r="K183" s="15">
        <v>67</v>
      </c>
      <c r="L183" s="15">
        <v>76</v>
      </c>
      <c r="M183" s="15"/>
      <c r="N183" s="15"/>
      <c r="O183" s="15">
        <v>325.5</v>
      </c>
      <c r="P183" s="15">
        <v>518</v>
      </c>
    </row>
    <row r="184" ht="14.25" spans="1:16">
      <c r="A184" s="13">
        <v>183</v>
      </c>
      <c r="B184" s="15">
        <v>4</v>
      </c>
      <c r="C184" s="16">
        <v>24</v>
      </c>
      <c r="D184" s="17" t="s">
        <v>379</v>
      </c>
      <c r="E184" s="17" t="s">
        <v>380</v>
      </c>
      <c r="F184" s="15">
        <v>89.25</v>
      </c>
      <c r="G184" s="15">
        <v>106.5</v>
      </c>
      <c r="H184" s="15">
        <v>99.25</v>
      </c>
      <c r="I184" s="15">
        <v>71</v>
      </c>
      <c r="J184" s="15"/>
      <c r="K184" s="15">
        <v>50</v>
      </c>
      <c r="L184" s="15">
        <v>82</v>
      </c>
      <c r="M184" s="15"/>
      <c r="N184" s="15"/>
      <c r="O184" s="15">
        <v>295</v>
      </c>
      <c r="P184" s="15">
        <v>498</v>
      </c>
    </row>
    <row r="185" ht="14.25" spans="1:16">
      <c r="A185" s="13">
        <v>184</v>
      </c>
      <c r="B185" s="15">
        <v>4</v>
      </c>
      <c r="C185" s="16">
        <v>25</v>
      </c>
      <c r="D185" s="17" t="s">
        <v>381</v>
      </c>
      <c r="E185" s="17" t="s">
        <v>382</v>
      </c>
      <c r="F185" s="15">
        <v>96.5</v>
      </c>
      <c r="G185" s="15">
        <v>111.5</v>
      </c>
      <c r="H185" s="15">
        <v>102.75</v>
      </c>
      <c r="I185" s="15">
        <v>58</v>
      </c>
      <c r="J185" s="15"/>
      <c r="K185" s="15">
        <v>90</v>
      </c>
      <c r="L185" s="15">
        <v>88</v>
      </c>
      <c r="M185" s="15"/>
      <c r="N185" s="15"/>
      <c r="O185" s="15">
        <v>310.75</v>
      </c>
      <c r="P185" s="15">
        <v>546.75</v>
      </c>
    </row>
    <row r="186" ht="14.25" spans="1:16">
      <c r="A186" s="13">
        <v>185</v>
      </c>
      <c r="B186" s="15">
        <v>4</v>
      </c>
      <c r="C186" s="16">
        <v>26</v>
      </c>
      <c r="D186" s="17" t="s">
        <v>383</v>
      </c>
      <c r="E186" s="17" t="s">
        <v>384</v>
      </c>
      <c r="F186" s="15">
        <v>116</v>
      </c>
      <c r="G186" s="15">
        <v>114.5</v>
      </c>
      <c r="H186" s="15">
        <v>106</v>
      </c>
      <c r="I186" s="15">
        <v>65.5</v>
      </c>
      <c r="J186" s="15"/>
      <c r="K186" s="15">
        <v>72</v>
      </c>
      <c r="L186" s="15">
        <v>88</v>
      </c>
      <c r="M186" s="15"/>
      <c r="N186" s="15"/>
      <c r="O186" s="15">
        <v>336.5</v>
      </c>
      <c r="P186" s="15">
        <v>562</v>
      </c>
    </row>
    <row r="187" ht="14.25" spans="1:16">
      <c r="A187" s="13">
        <v>186</v>
      </c>
      <c r="B187" s="15">
        <v>4</v>
      </c>
      <c r="C187" s="16">
        <v>27</v>
      </c>
      <c r="D187" s="17" t="s">
        <v>385</v>
      </c>
      <c r="E187" s="17" t="s">
        <v>386</v>
      </c>
      <c r="F187" s="15">
        <v>106.5</v>
      </c>
      <c r="G187" s="15">
        <v>108</v>
      </c>
      <c r="H187" s="15">
        <v>108.75</v>
      </c>
      <c r="I187" s="15">
        <v>59.5</v>
      </c>
      <c r="J187" s="15"/>
      <c r="K187" s="15">
        <v>78</v>
      </c>
      <c r="L187" s="15">
        <v>84</v>
      </c>
      <c r="M187" s="15"/>
      <c r="N187" s="15"/>
      <c r="O187" s="15">
        <v>323.25</v>
      </c>
      <c r="P187" s="15">
        <v>544.75</v>
      </c>
    </row>
    <row r="188" ht="14.25" spans="1:16">
      <c r="A188" s="13">
        <v>187</v>
      </c>
      <c r="B188" s="15">
        <v>4</v>
      </c>
      <c r="C188" s="16">
        <v>29</v>
      </c>
      <c r="D188" s="17" t="s">
        <v>387</v>
      </c>
      <c r="E188" s="17" t="s">
        <v>388</v>
      </c>
      <c r="F188" s="15">
        <v>99</v>
      </c>
      <c r="G188" s="15">
        <v>106</v>
      </c>
      <c r="H188" s="15">
        <v>69.5</v>
      </c>
      <c r="I188" s="15">
        <v>51</v>
      </c>
      <c r="J188" s="15"/>
      <c r="K188" s="15">
        <v>67</v>
      </c>
      <c r="L188" s="15">
        <v>87</v>
      </c>
      <c r="M188" s="15"/>
      <c r="N188" s="15"/>
      <c r="O188" s="15">
        <v>274.5</v>
      </c>
      <c r="P188" s="15">
        <v>479.5</v>
      </c>
    </row>
    <row r="189" ht="14.25" spans="1:16">
      <c r="A189" s="13">
        <v>188</v>
      </c>
      <c r="B189" s="15">
        <v>4</v>
      </c>
      <c r="C189" s="16">
        <v>30</v>
      </c>
      <c r="D189" s="17" t="s">
        <v>389</v>
      </c>
      <c r="E189" s="17" t="s">
        <v>390</v>
      </c>
      <c r="F189" s="15">
        <v>100.5</v>
      </c>
      <c r="G189" s="15">
        <v>108</v>
      </c>
      <c r="H189" s="15">
        <v>100.25</v>
      </c>
      <c r="I189" s="15">
        <v>44.5</v>
      </c>
      <c r="J189" s="15"/>
      <c r="K189" s="15">
        <v>78</v>
      </c>
      <c r="L189" s="15">
        <v>82</v>
      </c>
      <c r="M189" s="15"/>
      <c r="N189" s="15"/>
      <c r="O189" s="15">
        <v>308.75</v>
      </c>
      <c r="P189" s="15">
        <v>513.25</v>
      </c>
    </row>
    <row r="190" ht="14.25" spans="1:16">
      <c r="A190" s="13">
        <v>189</v>
      </c>
      <c r="B190" s="15">
        <v>4</v>
      </c>
      <c r="C190" s="16">
        <v>31</v>
      </c>
      <c r="D190" s="17" t="s">
        <v>391</v>
      </c>
      <c r="E190" s="17" t="s">
        <v>392</v>
      </c>
      <c r="F190" s="15">
        <v>91</v>
      </c>
      <c r="G190" s="15">
        <v>106</v>
      </c>
      <c r="H190" s="15">
        <v>100.75</v>
      </c>
      <c r="I190" s="15">
        <v>32</v>
      </c>
      <c r="J190" s="15"/>
      <c r="K190" s="15">
        <v>72</v>
      </c>
      <c r="L190" s="15">
        <v>52</v>
      </c>
      <c r="M190" s="15"/>
      <c r="N190" s="15"/>
      <c r="O190" s="15">
        <v>297.75</v>
      </c>
      <c r="P190" s="15">
        <v>453.75</v>
      </c>
    </row>
    <row r="191" ht="14.25" spans="1:16">
      <c r="A191" s="13">
        <v>190</v>
      </c>
      <c r="B191" s="15">
        <v>4</v>
      </c>
      <c r="C191" s="16">
        <v>32</v>
      </c>
      <c r="D191" s="17" t="s">
        <v>393</v>
      </c>
      <c r="E191" s="17" t="s">
        <v>394</v>
      </c>
      <c r="F191" s="15">
        <v>85</v>
      </c>
      <c r="G191" s="15">
        <v>91</v>
      </c>
      <c r="H191" s="15">
        <v>99</v>
      </c>
      <c r="I191" s="15">
        <v>30</v>
      </c>
      <c r="J191" s="15"/>
      <c r="K191" s="15">
        <v>60</v>
      </c>
      <c r="L191" s="15">
        <v>78</v>
      </c>
      <c r="M191" s="15"/>
      <c r="N191" s="15"/>
      <c r="O191" s="15">
        <v>275</v>
      </c>
      <c r="P191" s="15">
        <v>443</v>
      </c>
    </row>
    <row r="192" ht="14.25" spans="1:16">
      <c r="A192" s="13">
        <v>191</v>
      </c>
      <c r="B192" s="15">
        <v>4</v>
      </c>
      <c r="C192" s="16">
        <v>33</v>
      </c>
      <c r="D192" s="17" t="s">
        <v>395</v>
      </c>
      <c r="E192" s="17" t="s">
        <v>396</v>
      </c>
      <c r="F192" s="15">
        <v>95.5</v>
      </c>
      <c r="G192" s="15">
        <v>103.5</v>
      </c>
      <c r="H192" s="15">
        <v>98.75</v>
      </c>
      <c r="I192" s="15">
        <v>46.5</v>
      </c>
      <c r="J192" s="15"/>
      <c r="K192" s="15">
        <v>66</v>
      </c>
      <c r="L192" s="15">
        <v>88</v>
      </c>
      <c r="M192" s="15"/>
      <c r="N192" s="15"/>
      <c r="O192" s="15">
        <v>297.75</v>
      </c>
      <c r="P192" s="15">
        <v>498.25</v>
      </c>
    </row>
    <row r="193" ht="14.25" spans="1:16">
      <c r="A193" s="13">
        <v>192</v>
      </c>
      <c r="B193" s="15">
        <v>4</v>
      </c>
      <c r="C193" s="16">
        <v>34</v>
      </c>
      <c r="D193" s="17" t="s">
        <v>397</v>
      </c>
      <c r="E193" s="17" t="s">
        <v>398</v>
      </c>
      <c r="F193" s="15">
        <v>84.5</v>
      </c>
      <c r="G193" s="15">
        <v>86</v>
      </c>
      <c r="H193" s="15">
        <v>70</v>
      </c>
      <c r="I193" s="15">
        <v>54.5</v>
      </c>
      <c r="J193" s="15"/>
      <c r="K193" s="15">
        <v>54</v>
      </c>
      <c r="L193" s="15">
        <v>73</v>
      </c>
      <c r="M193" s="15"/>
      <c r="N193" s="15"/>
      <c r="O193" s="15">
        <v>240.5</v>
      </c>
      <c r="P193" s="15">
        <v>422</v>
      </c>
    </row>
    <row r="194" ht="14.25" spans="1:16">
      <c r="A194" s="13">
        <v>193</v>
      </c>
      <c r="B194" s="15">
        <v>4</v>
      </c>
      <c r="C194" s="16">
        <v>35</v>
      </c>
      <c r="D194" s="17" t="s">
        <v>399</v>
      </c>
      <c r="E194" s="17" t="s">
        <v>400</v>
      </c>
      <c r="F194" s="15">
        <v>102.75</v>
      </c>
      <c r="G194" s="15">
        <v>96</v>
      </c>
      <c r="H194" s="15">
        <v>92</v>
      </c>
      <c r="I194" s="15">
        <v>44</v>
      </c>
      <c r="J194" s="15"/>
      <c r="K194" s="15">
        <v>66</v>
      </c>
      <c r="L194" s="15">
        <v>86</v>
      </c>
      <c r="M194" s="15"/>
      <c r="N194" s="15"/>
      <c r="O194" s="15">
        <v>290.75</v>
      </c>
      <c r="P194" s="15">
        <v>486.75</v>
      </c>
    </row>
    <row r="195" ht="14.25" spans="1:16">
      <c r="A195" s="13">
        <v>194</v>
      </c>
      <c r="B195" s="15">
        <v>4</v>
      </c>
      <c r="C195" s="16">
        <v>37</v>
      </c>
      <c r="D195" s="17" t="s">
        <v>401</v>
      </c>
      <c r="E195" s="17" t="s">
        <v>402</v>
      </c>
      <c r="F195" s="15">
        <v>104.75</v>
      </c>
      <c r="G195" s="15">
        <v>74.5</v>
      </c>
      <c r="H195" s="15">
        <v>104</v>
      </c>
      <c r="I195" s="15">
        <v>41.5</v>
      </c>
      <c r="J195" s="15"/>
      <c r="K195" s="15">
        <v>58</v>
      </c>
      <c r="L195" s="15">
        <v>85</v>
      </c>
      <c r="M195" s="15"/>
      <c r="N195" s="15"/>
      <c r="O195" s="15">
        <v>283.25</v>
      </c>
      <c r="P195" s="15">
        <v>467.75</v>
      </c>
    </row>
    <row r="196" ht="14.25" spans="1:16">
      <c r="A196" s="13">
        <v>195</v>
      </c>
      <c r="B196" s="15">
        <v>4</v>
      </c>
      <c r="C196" s="16">
        <v>38</v>
      </c>
      <c r="D196" s="17" t="s">
        <v>403</v>
      </c>
      <c r="E196" s="17" t="s">
        <v>404</v>
      </c>
      <c r="F196" s="15">
        <v>89</v>
      </c>
      <c r="G196" s="15">
        <v>95</v>
      </c>
      <c r="H196" s="15">
        <v>92.5</v>
      </c>
      <c r="I196" s="15">
        <v>57.5</v>
      </c>
      <c r="J196" s="15"/>
      <c r="K196" s="15">
        <v>86</v>
      </c>
      <c r="L196" s="15">
        <v>79</v>
      </c>
      <c r="M196" s="15"/>
      <c r="N196" s="15"/>
      <c r="O196" s="15">
        <v>276.5</v>
      </c>
      <c r="P196" s="15">
        <v>499</v>
      </c>
    </row>
    <row r="197" ht="14.25" spans="1:16">
      <c r="A197" s="13">
        <v>196</v>
      </c>
      <c r="B197" s="15">
        <v>4</v>
      </c>
      <c r="C197" s="16">
        <v>39</v>
      </c>
      <c r="D197" s="17" t="s">
        <v>405</v>
      </c>
      <c r="E197" s="17" t="s">
        <v>406</v>
      </c>
      <c r="F197" s="15">
        <v>102.5</v>
      </c>
      <c r="G197" s="15">
        <v>106.5</v>
      </c>
      <c r="H197" s="15">
        <v>104.5</v>
      </c>
      <c r="I197" s="15">
        <v>47.5</v>
      </c>
      <c r="J197" s="15"/>
      <c r="K197" s="15">
        <v>64</v>
      </c>
      <c r="L197" s="15">
        <v>76</v>
      </c>
      <c r="M197" s="15"/>
      <c r="N197" s="15"/>
      <c r="O197" s="15">
        <v>313.5</v>
      </c>
      <c r="P197" s="15">
        <v>501</v>
      </c>
    </row>
    <row r="198" ht="14.25" spans="1:16">
      <c r="A198" s="13">
        <v>197</v>
      </c>
      <c r="B198" s="15">
        <v>4</v>
      </c>
      <c r="C198" s="16">
        <v>40</v>
      </c>
      <c r="D198" s="17" t="s">
        <v>407</v>
      </c>
      <c r="E198" s="17" t="s">
        <v>408</v>
      </c>
      <c r="F198" s="15">
        <v>95.5</v>
      </c>
      <c r="G198" s="15">
        <v>83</v>
      </c>
      <c r="H198" s="15">
        <v>70.25</v>
      </c>
      <c r="I198" s="15">
        <v>44</v>
      </c>
      <c r="J198" s="15"/>
      <c r="K198" s="15">
        <v>64</v>
      </c>
      <c r="L198" s="15">
        <v>80</v>
      </c>
      <c r="M198" s="15"/>
      <c r="N198" s="15"/>
      <c r="O198" s="15">
        <v>248.75</v>
      </c>
      <c r="P198" s="15">
        <v>436.75</v>
      </c>
    </row>
    <row r="199" ht="14.25" spans="1:16">
      <c r="A199" s="13">
        <v>198</v>
      </c>
      <c r="B199" s="15">
        <v>4</v>
      </c>
      <c r="C199" s="16">
        <v>41</v>
      </c>
      <c r="D199" s="17" t="s">
        <v>409</v>
      </c>
      <c r="E199" s="17" t="s">
        <v>410</v>
      </c>
      <c r="F199" s="15">
        <v>89</v>
      </c>
      <c r="G199" s="15">
        <v>106.5</v>
      </c>
      <c r="H199" s="15">
        <v>88.5</v>
      </c>
      <c r="I199" s="15">
        <v>58.5</v>
      </c>
      <c r="J199" s="15"/>
      <c r="K199" s="15">
        <v>80</v>
      </c>
      <c r="L199" s="15">
        <v>66</v>
      </c>
      <c r="M199" s="15"/>
      <c r="N199" s="15"/>
      <c r="O199" s="15">
        <v>284</v>
      </c>
      <c r="P199" s="15">
        <v>488.5</v>
      </c>
    </row>
    <row r="200" ht="14.25" spans="1:16">
      <c r="A200" s="13">
        <v>199</v>
      </c>
      <c r="B200" s="15">
        <v>4</v>
      </c>
      <c r="C200" s="16">
        <v>42</v>
      </c>
      <c r="D200" s="17" t="s">
        <v>411</v>
      </c>
      <c r="E200" s="17" t="s">
        <v>412</v>
      </c>
      <c r="F200" s="15">
        <v>91.5</v>
      </c>
      <c r="G200" s="15">
        <v>109.5</v>
      </c>
      <c r="H200" s="15">
        <v>119.25</v>
      </c>
      <c r="I200" s="15">
        <v>59</v>
      </c>
      <c r="J200" s="15"/>
      <c r="K200" s="15">
        <v>80</v>
      </c>
      <c r="L200" s="15">
        <v>86</v>
      </c>
      <c r="M200" s="15"/>
      <c r="N200" s="15"/>
      <c r="O200" s="15">
        <v>320.25</v>
      </c>
      <c r="P200" s="15">
        <v>545.25</v>
      </c>
    </row>
    <row r="201" ht="14.25" spans="1:16">
      <c r="A201" s="13">
        <v>200</v>
      </c>
      <c r="B201" s="15">
        <v>4</v>
      </c>
      <c r="C201" s="16">
        <v>43</v>
      </c>
      <c r="D201" s="17" t="s">
        <v>413</v>
      </c>
      <c r="E201" s="17" t="s">
        <v>414</v>
      </c>
      <c r="F201" s="15">
        <v>100.75</v>
      </c>
      <c r="G201" s="15">
        <v>74.5</v>
      </c>
      <c r="H201" s="15">
        <v>86</v>
      </c>
      <c r="I201" s="15">
        <v>17</v>
      </c>
      <c r="J201" s="15"/>
      <c r="K201" s="15">
        <v>57</v>
      </c>
      <c r="L201" s="15">
        <v>72</v>
      </c>
      <c r="M201" s="15"/>
      <c r="N201" s="15"/>
      <c r="O201" s="15">
        <v>261.25</v>
      </c>
      <c r="P201" s="15">
        <v>407.25</v>
      </c>
    </row>
    <row r="202" ht="14.25" spans="1:16">
      <c r="A202" s="13">
        <v>201</v>
      </c>
      <c r="B202" s="15">
        <v>4</v>
      </c>
      <c r="C202" s="16">
        <v>44</v>
      </c>
      <c r="D202" s="17" t="s">
        <v>415</v>
      </c>
      <c r="E202" s="17" t="s">
        <v>416</v>
      </c>
      <c r="F202" s="15">
        <v>106.5</v>
      </c>
      <c r="G202" s="15">
        <v>106.5</v>
      </c>
      <c r="H202" s="15">
        <v>103</v>
      </c>
      <c r="I202" s="15">
        <v>36</v>
      </c>
      <c r="J202" s="15"/>
      <c r="K202" s="15">
        <v>67</v>
      </c>
      <c r="L202" s="15">
        <v>70</v>
      </c>
      <c r="M202" s="15"/>
      <c r="N202" s="15"/>
      <c r="O202" s="15">
        <v>316</v>
      </c>
      <c r="P202" s="15">
        <v>489</v>
      </c>
    </row>
    <row r="203" ht="14.25" spans="1:16">
      <c r="A203" s="13">
        <v>202</v>
      </c>
      <c r="B203" s="15">
        <v>4</v>
      </c>
      <c r="C203" s="16">
        <v>45</v>
      </c>
      <c r="D203" s="17" t="s">
        <v>417</v>
      </c>
      <c r="E203" s="17" t="s">
        <v>418</v>
      </c>
      <c r="F203" s="15">
        <v>101</v>
      </c>
      <c r="G203" s="15">
        <v>111</v>
      </c>
      <c r="H203" s="15">
        <v>107.5</v>
      </c>
      <c r="I203" s="15">
        <v>50.5</v>
      </c>
      <c r="J203" s="15"/>
      <c r="K203" s="15">
        <v>76</v>
      </c>
      <c r="L203" s="15">
        <v>73</v>
      </c>
      <c r="M203" s="15"/>
      <c r="N203" s="15"/>
      <c r="O203" s="15">
        <v>319.5</v>
      </c>
      <c r="P203" s="15">
        <v>519</v>
      </c>
    </row>
    <row r="204" ht="14.25" spans="1:16">
      <c r="A204" s="13">
        <v>203</v>
      </c>
      <c r="B204" s="15">
        <v>4</v>
      </c>
      <c r="C204" s="16">
        <v>46</v>
      </c>
      <c r="D204" s="17" t="s">
        <v>419</v>
      </c>
      <c r="E204" s="17" t="s">
        <v>420</v>
      </c>
      <c r="F204" s="15">
        <v>89.5</v>
      </c>
      <c r="G204" s="15">
        <v>111</v>
      </c>
      <c r="H204" s="15">
        <v>77.5</v>
      </c>
      <c r="I204" s="15">
        <v>44.5</v>
      </c>
      <c r="J204" s="15"/>
      <c r="K204" s="15">
        <v>74</v>
      </c>
      <c r="L204" s="15">
        <v>79</v>
      </c>
      <c r="M204" s="15"/>
      <c r="N204" s="15"/>
      <c r="O204" s="15">
        <v>278</v>
      </c>
      <c r="P204" s="15">
        <v>475.5</v>
      </c>
    </row>
    <row r="205" ht="14.25" spans="1:16">
      <c r="A205" s="13">
        <v>204</v>
      </c>
      <c r="B205" s="15">
        <v>4</v>
      </c>
      <c r="C205" s="16">
        <v>47</v>
      </c>
      <c r="D205" s="17" t="s">
        <v>421</v>
      </c>
      <c r="E205" s="17" t="s">
        <v>422</v>
      </c>
      <c r="F205" s="15">
        <v>106</v>
      </c>
      <c r="G205" s="15">
        <v>90</v>
      </c>
      <c r="H205" s="15">
        <v>94.5</v>
      </c>
      <c r="I205" s="15">
        <v>40</v>
      </c>
      <c r="J205" s="15"/>
      <c r="K205" s="15">
        <v>58</v>
      </c>
      <c r="L205" s="15">
        <v>73</v>
      </c>
      <c r="M205" s="15"/>
      <c r="N205" s="15"/>
      <c r="O205" s="15">
        <v>290.5</v>
      </c>
      <c r="P205" s="15">
        <v>461.5</v>
      </c>
    </row>
    <row r="206" ht="14.25" spans="1:16">
      <c r="A206" s="13">
        <v>205</v>
      </c>
      <c r="B206" s="15">
        <v>5</v>
      </c>
      <c r="C206" s="16">
        <v>1</v>
      </c>
      <c r="D206" s="17" t="s">
        <v>423</v>
      </c>
      <c r="E206" s="17" t="s">
        <v>424</v>
      </c>
      <c r="F206" s="15">
        <v>98</v>
      </c>
      <c r="G206" s="15">
        <v>130.5</v>
      </c>
      <c r="H206" s="15">
        <v>114.5</v>
      </c>
      <c r="I206" s="15">
        <v>55.5</v>
      </c>
      <c r="J206" s="15"/>
      <c r="K206" s="15">
        <v>85</v>
      </c>
      <c r="L206" s="15">
        <v>86</v>
      </c>
      <c r="M206" s="15"/>
      <c r="N206" s="15"/>
      <c r="O206" s="15">
        <v>343</v>
      </c>
      <c r="P206" s="15">
        <v>569.5</v>
      </c>
    </row>
    <row r="207" ht="14.25" spans="1:16">
      <c r="A207" s="13">
        <v>206</v>
      </c>
      <c r="B207" s="15">
        <v>5</v>
      </c>
      <c r="C207" s="16">
        <v>2</v>
      </c>
      <c r="D207" s="17" t="s">
        <v>425</v>
      </c>
      <c r="E207" s="17" t="s">
        <v>426</v>
      </c>
      <c r="F207" s="15">
        <v>93</v>
      </c>
      <c r="G207" s="15">
        <v>99</v>
      </c>
      <c r="H207" s="15">
        <v>81.5</v>
      </c>
      <c r="I207" s="15">
        <v>19</v>
      </c>
      <c r="J207" s="15"/>
      <c r="K207" s="15">
        <v>50</v>
      </c>
      <c r="L207" s="15">
        <v>88</v>
      </c>
      <c r="M207" s="15"/>
      <c r="N207" s="15"/>
      <c r="O207" s="15">
        <v>273.5</v>
      </c>
      <c r="P207" s="15">
        <v>430.5</v>
      </c>
    </row>
    <row r="208" ht="14.25" spans="1:16">
      <c r="A208" s="13">
        <v>207</v>
      </c>
      <c r="B208" s="15">
        <v>5</v>
      </c>
      <c r="C208" s="16">
        <v>4</v>
      </c>
      <c r="D208" s="17" t="s">
        <v>427</v>
      </c>
      <c r="E208" s="17" t="s">
        <v>428</v>
      </c>
      <c r="F208" s="15">
        <v>84.5</v>
      </c>
      <c r="G208" s="15">
        <v>96</v>
      </c>
      <c r="H208" s="15">
        <v>101.75</v>
      </c>
      <c r="I208" s="15">
        <v>34.5</v>
      </c>
      <c r="J208" s="15"/>
      <c r="K208" s="15">
        <v>55</v>
      </c>
      <c r="L208" s="15">
        <v>74</v>
      </c>
      <c r="M208" s="15"/>
      <c r="N208" s="15"/>
      <c r="O208" s="15">
        <v>282.25</v>
      </c>
      <c r="P208" s="15">
        <v>445.75</v>
      </c>
    </row>
    <row r="209" ht="14.25" spans="1:16">
      <c r="A209" s="13">
        <v>208</v>
      </c>
      <c r="B209" s="15">
        <v>5</v>
      </c>
      <c r="C209" s="16">
        <v>5</v>
      </c>
      <c r="D209" s="17" t="s">
        <v>429</v>
      </c>
      <c r="E209" s="17" t="s">
        <v>430</v>
      </c>
      <c r="F209" s="15">
        <v>98.5</v>
      </c>
      <c r="G209" s="15">
        <v>120</v>
      </c>
      <c r="H209" s="15">
        <v>95.5</v>
      </c>
      <c r="I209" s="15">
        <v>51</v>
      </c>
      <c r="J209" s="15"/>
      <c r="K209" s="15">
        <v>72</v>
      </c>
      <c r="L209" s="15">
        <v>84</v>
      </c>
      <c r="M209" s="15"/>
      <c r="N209" s="15"/>
      <c r="O209" s="15">
        <v>314</v>
      </c>
      <c r="P209" s="15">
        <v>521</v>
      </c>
    </row>
    <row r="210" ht="14.25" spans="1:16">
      <c r="A210" s="13">
        <v>209</v>
      </c>
      <c r="B210" s="15">
        <v>5</v>
      </c>
      <c r="C210" s="16">
        <v>6</v>
      </c>
      <c r="D210" s="17" t="s">
        <v>431</v>
      </c>
      <c r="E210" s="17" t="s">
        <v>432</v>
      </c>
      <c r="F210" s="15">
        <v>88</v>
      </c>
      <c r="G210" s="15">
        <v>116</v>
      </c>
      <c r="H210" s="15">
        <v>116.25</v>
      </c>
      <c r="I210" s="15">
        <v>53</v>
      </c>
      <c r="J210" s="15"/>
      <c r="K210" s="15">
        <v>78</v>
      </c>
      <c r="L210" s="15">
        <v>73</v>
      </c>
      <c r="M210" s="15"/>
      <c r="N210" s="15"/>
      <c r="O210" s="15">
        <v>320.25</v>
      </c>
      <c r="P210" s="15">
        <v>524.25</v>
      </c>
    </row>
    <row r="211" ht="14.25" spans="1:16">
      <c r="A211" s="13">
        <v>210</v>
      </c>
      <c r="B211" s="15">
        <v>5</v>
      </c>
      <c r="C211" s="16">
        <v>7</v>
      </c>
      <c r="D211" s="17" t="s">
        <v>433</v>
      </c>
      <c r="E211" s="17" t="s">
        <v>434</v>
      </c>
      <c r="F211" s="15">
        <v>107.5</v>
      </c>
      <c r="G211" s="15">
        <v>115.5</v>
      </c>
      <c r="H211" s="15">
        <v>96.75</v>
      </c>
      <c r="I211" s="15">
        <v>64</v>
      </c>
      <c r="J211" s="15"/>
      <c r="K211" s="15">
        <v>82</v>
      </c>
      <c r="L211" s="15">
        <v>79</v>
      </c>
      <c r="M211" s="15"/>
      <c r="N211" s="15"/>
      <c r="O211" s="15">
        <v>319.75</v>
      </c>
      <c r="P211" s="15">
        <v>544.75</v>
      </c>
    </row>
    <row r="212" ht="14.25" spans="1:16">
      <c r="A212" s="13">
        <v>211</v>
      </c>
      <c r="B212" s="15">
        <v>5</v>
      </c>
      <c r="C212" s="16">
        <v>8</v>
      </c>
      <c r="D212" s="17" t="s">
        <v>435</v>
      </c>
      <c r="E212" s="17" t="s">
        <v>436</v>
      </c>
      <c r="F212" s="15">
        <v>97</v>
      </c>
      <c r="G212" s="15">
        <v>120.5</v>
      </c>
      <c r="H212" s="15">
        <v>89</v>
      </c>
      <c r="I212" s="15">
        <v>66.5</v>
      </c>
      <c r="J212" s="15"/>
      <c r="K212" s="15">
        <v>79</v>
      </c>
      <c r="L212" s="15">
        <v>79</v>
      </c>
      <c r="M212" s="15"/>
      <c r="N212" s="15"/>
      <c r="O212" s="15">
        <v>306.5</v>
      </c>
      <c r="P212" s="15">
        <v>531</v>
      </c>
    </row>
    <row r="213" ht="14.25" spans="1:16">
      <c r="A213" s="13">
        <v>212</v>
      </c>
      <c r="B213" s="15">
        <v>5</v>
      </c>
      <c r="C213" s="16">
        <v>9</v>
      </c>
      <c r="D213" s="17" t="s">
        <v>437</v>
      </c>
      <c r="E213" s="17" t="s">
        <v>438</v>
      </c>
      <c r="F213" s="15">
        <v>91.5</v>
      </c>
      <c r="G213" s="15">
        <v>98</v>
      </c>
      <c r="H213" s="15">
        <v>100.5</v>
      </c>
      <c r="I213" s="15">
        <v>35.5</v>
      </c>
      <c r="J213" s="15"/>
      <c r="K213" s="15">
        <v>83</v>
      </c>
      <c r="L213" s="15">
        <v>66</v>
      </c>
      <c r="M213" s="15"/>
      <c r="N213" s="15"/>
      <c r="O213" s="15">
        <v>290</v>
      </c>
      <c r="P213" s="15">
        <v>474.5</v>
      </c>
    </row>
    <row r="214" ht="14.25" spans="1:16">
      <c r="A214" s="13">
        <v>213</v>
      </c>
      <c r="B214" s="15">
        <v>5</v>
      </c>
      <c r="C214" s="16">
        <v>10</v>
      </c>
      <c r="D214" s="17" t="s">
        <v>439</v>
      </c>
      <c r="E214" s="17" t="s">
        <v>440</v>
      </c>
      <c r="F214" s="15">
        <v>107</v>
      </c>
      <c r="G214" s="15">
        <v>112.5</v>
      </c>
      <c r="H214" s="15">
        <v>90.5</v>
      </c>
      <c r="I214" s="15">
        <v>47</v>
      </c>
      <c r="J214" s="15"/>
      <c r="K214" s="15">
        <v>72</v>
      </c>
      <c r="L214" s="15">
        <v>91</v>
      </c>
      <c r="M214" s="15"/>
      <c r="N214" s="15"/>
      <c r="O214" s="15">
        <v>310</v>
      </c>
      <c r="P214" s="15">
        <v>520</v>
      </c>
    </row>
    <row r="215" ht="14.25" spans="1:16">
      <c r="A215" s="13">
        <v>214</v>
      </c>
      <c r="B215" s="15">
        <v>5</v>
      </c>
      <c r="C215" s="16">
        <v>11</v>
      </c>
      <c r="D215" s="17" t="s">
        <v>441</v>
      </c>
      <c r="E215" s="17" t="s">
        <v>442</v>
      </c>
      <c r="F215" s="15">
        <v>94.5</v>
      </c>
      <c r="G215" s="15">
        <v>104</v>
      </c>
      <c r="H215" s="15">
        <v>110</v>
      </c>
      <c r="I215" s="15">
        <v>40.5</v>
      </c>
      <c r="J215" s="15"/>
      <c r="K215" s="15">
        <v>60</v>
      </c>
      <c r="L215" s="15">
        <v>87</v>
      </c>
      <c r="M215" s="15"/>
      <c r="N215" s="15"/>
      <c r="O215" s="15">
        <v>308.5</v>
      </c>
      <c r="P215" s="15">
        <v>496</v>
      </c>
    </row>
    <row r="216" ht="14.25" spans="1:16">
      <c r="A216" s="13">
        <v>215</v>
      </c>
      <c r="B216" s="15">
        <v>5</v>
      </c>
      <c r="C216" s="16">
        <v>12</v>
      </c>
      <c r="D216" s="17" t="s">
        <v>443</v>
      </c>
      <c r="E216" s="17" t="s">
        <v>444</v>
      </c>
      <c r="F216" s="15">
        <v>97.5</v>
      </c>
      <c r="G216" s="15">
        <v>116</v>
      </c>
      <c r="H216" s="15">
        <v>74.5</v>
      </c>
      <c r="I216" s="15">
        <v>47.5</v>
      </c>
      <c r="J216" s="15"/>
      <c r="K216" s="15">
        <v>73</v>
      </c>
      <c r="L216" s="15">
        <v>71</v>
      </c>
      <c r="M216" s="15"/>
      <c r="N216" s="15"/>
      <c r="O216" s="15">
        <v>288</v>
      </c>
      <c r="P216" s="15">
        <v>479.5</v>
      </c>
    </row>
    <row r="217" ht="14.25" spans="1:16">
      <c r="A217" s="13">
        <v>216</v>
      </c>
      <c r="B217" s="15">
        <v>5</v>
      </c>
      <c r="C217" s="16">
        <v>13</v>
      </c>
      <c r="D217" s="17" t="s">
        <v>445</v>
      </c>
      <c r="E217" s="17" t="s">
        <v>446</v>
      </c>
      <c r="F217" s="15">
        <v>104</v>
      </c>
      <c r="G217" s="15">
        <v>79</v>
      </c>
      <c r="H217" s="15">
        <v>71.75</v>
      </c>
      <c r="I217" s="15">
        <v>22</v>
      </c>
      <c r="J217" s="15"/>
      <c r="K217" s="15">
        <v>58</v>
      </c>
      <c r="L217" s="15">
        <v>71</v>
      </c>
      <c r="M217" s="15"/>
      <c r="N217" s="15"/>
      <c r="O217" s="15">
        <v>254.75</v>
      </c>
      <c r="P217" s="15">
        <v>405.75</v>
      </c>
    </row>
    <row r="218" ht="14.25" spans="1:16">
      <c r="A218" s="13">
        <v>217</v>
      </c>
      <c r="B218" s="15">
        <v>5</v>
      </c>
      <c r="C218" s="16">
        <v>14</v>
      </c>
      <c r="D218" s="17" t="s">
        <v>447</v>
      </c>
      <c r="E218" s="17" t="s">
        <v>448</v>
      </c>
      <c r="F218" s="15">
        <v>102</v>
      </c>
      <c r="G218" s="15">
        <v>99.5</v>
      </c>
      <c r="H218" s="15">
        <v>101.5</v>
      </c>
      <c r="I218" s="15">
        <v>41</v>
      </c>
      <c r="J218" s="15"/>
      <c r="K218" s="15">
        <v>87</v>
      </c>
      <c r="L218" s="15">
        <v>74</v>
      </c>
      <c r="M218" s="15"/>
      <c r="N218" s="15"/>
      <c r="O218" s="15">
        <v>303</v>
      </c>
      <c r="P218" s="15">
        <v>505</v>
      </c>
    </row>
    <row r="219" ht="14.25" spans="1:16">
      <c r="A219" s="13">
        <v>218</v>
      </c>
      <c r="B219" s="15">
        <v>5</v>
      </c>
      <c r="C219" s="16">
        <v>15</v>
      </c>
      <c r="D219" s="17" t="s">
        <v>449</v>
      </c>
      <c r="E219" s="17" t="s">
        <v>450</v>
      </c>
      <c r="F219" s="15">
        <v>90.5</v>
      </c>
      <c r="G219" s="15">
        <v>105</v>
      </c>
      <c r="H219" s="15">
        <v>94</v>
      </c>
      <c r="I219" s="15">
        <v>60.5</v>
      </c>
      <c r="J219" s="15"/>
      <c r="K219" s="15">
        <v>87</v>
      </c>
      <c r="L219" s="15">
        <v>79</v>
      </c>
      <c r="M219" s="15"/>
      <c r="N219" s="15"/>
      <c r="O219" s="15">
        <v>289.5</v>
      </c>
      <c r="P219" s="15">
        <v>516</v>
      </c>
    </row>
    <row r="220" ht="14.25" spans="1:16">
      <c r="A220" s="13">
        <v>219</v>
      </c>
      <c r="B220" s="15">
        <v>5</v>
      </c>
      <c r="C220" s="16">
        <v>16</v>
      </c>
      <c r="D220" s="17" t="s">
        <v>451</v>
      </c>
      <c r="E220" s="17" t="s">
        <v>452</v>
      </c>
      <c r="F220" s="15">
        <v>82</v>
      </c>
      <c r="G220" s="15">
        <v>114.5</v>
      </c>
      <c r="H220" s="15">
        <v>92.5</v>
      </c>
      <c r="I220" s="15">
        <v>63</v>
      </c>
      <c r="J220" s="15"/>
      <c r="K220" s="15">
        <v>67</v>
      </c>
      <c r="L220" s="15">
        <v>74</v>
      </c>
      <c r="M220" s="15"/>
      <c r="N220" s="15"/>
      <c r="O220" s="15">
        <v>289</v>
      </c>
      <c r="P220" s="15">
        <v>493</v>
      </c>
    </row>
    <row r="221" ht="14.25" spans="1:16">
      <c r="A221" s="13">
        <v>220</v>
      </c>
      <c r="B221" s="15">
        <v>5</v>
      </c>
      <c r="C221" s="16">
        <v>17</v>
      </c>
      <c r="D221" s="17" t="s">
        <v>453</v>
      </c>
      <c r="E221" s="17" t="s">
        <v>454</v>
      </c>
      <c r="F221" s="15">
        <v>103.5</v>
      </c>
      <c r="G221" s="15">
        <v>69</v>
      </c>
      <c r="H221" s="15">
        <v>78</v>
      </c>
      <c r="I221" s="15">
        <v>36.5</v>
      </c>
      <c r="J221" s="15"/>
      <c r="K221" s="15">
        <v>73</v>
      </c>
      <c r="L221" s="15">
        <v>65</v>
      </c>
      <c r="M221" s="15"/>
      <c r="N221" s="15"/>
      <c r="O221" s="15">
        <v>250.5</v>
      </c>
      <c r="P221" s="15">
        <v>425</v>
      </c>
    </row>
    <row r="222" ht="14.25" spans="1:16">
      <c r="A222" s="13">
        <v>221</v>
      </c>
      <c r="B222" s="15">
        <v>5</v>
      </c>
      <c r="C222" s="16">
        <v>18</v>
      </c>
      <c r="D222" s="17" t="s">
        <v>455</v>
      </c>
      <c r="E222" s="17" t="s">
        <v>456</v>
      </c>
      <c r="F222" s="15">
        <v>105</v>
      </c>
      <c r="G222" s="15">
        <v>122.5</v>
      </c>
      <c r="H222" s="15">
        <v>64.5</v>
      </c>
      <c r="I222" s="15">
        <v>65</v>
      </c>
      <c r="J222" s="15"/>
      <c r="K222" s="15">
        <v>78</v>
      </c>
      <c r="L222" s="15">
        <v>82</v>
      </c>
      <c r="M222" s="15"/>
      <c r="N222" s="15"/>
      <c r="O222" s="15">
        <v>292</v>
      </c>
      <c r="P222" s="15">
        <v>517</v>
      </c>
    </row>
    <row r="223" ht="14.25" spans="1:16">
      <c r="A223" s="13">
        <v>222</v>
      </c>
      <c r="B223" s="15">
        <v>5</v>
      </c>
      <c r="C223" s="16">
        <v>19</v>
      </c>
      <c r="D223" s="17" t="s">
        <v>457</v>
      </c>
      <c r="E223" s="17" t="s">
        <v>458</v>
      </c>
      <c r="F223" s="15">
        <v>97.5</v>
      </c>
      <c r="G223" s="15">
        <v>110.5</v>
      </c>
      <c r="H223" s="15">
        <v>88.75</v>
      </c>
      <c r="I223" s="15">
        <v>51.5</v>
      </c>
      <c r="J223" s="15"/>
      <c r="K223" s="15">
        <v>81</v>
      </c>
      <c r="L223" s="15">
        <v>88</v>
      </c>
      <c r="M223" s="15"/>
      <c r="N223" s="15"/>
      <c r="O223" s="15">
        <v>296.75</v>
      </c>
      <c r="P223" s="15">
        <v>517.25</v>
      </c>
    </row>
    <row r="224" ht="14.25" spans="1:16">
      <c r="A224" s="13">
        <v>223</v>
      </c>
      <c r="B224" s="15">
        <v>5</v>
      </c>
      <c r="C224" s="16">
        <v>20</v>
      </c>
      <c r="D224" s="17" t="s">
        <v>459</v>
      </c>
      <c r="E224" s="17" t="s">
        <v>460</v>
      </c>
      <c r="F224" s="15">
        <v>109</v>
      </c>
      <c r="G224" s="15">
        <v>109</v>
      </c>
      <c r="H224" s="15">
        <v>97.5</v>
      </c>
      <c r="I224" s="15">
        <v>59.5</v>
      </c>
      <c r="J224" s="15"/>
      <c r="K224" s="15">
        <v>77</v>
      </c>
      <c r="L224" s="15">
        <v>78</v>
      </c>
      <c r="M224" s="15"/>
      <c r="N224" s="15"/>
      <c r="O224" s="15">
        <v>315.5</v>
      </c>
      <c r="P224" s="15">
        <v>530</v>
      </c>
    </row>
    <row r="225" ht="14.25" spans="1:16">
      <c r="A225" s="13">
        <v>224</v>
      </c>
      <c r="B225" s="15">
        <v>5</v>
      </c>
      <c r="C225" s="16">
        <v>21</v>
      </c>
      <c r="D225" s="17" t="s">
        <v>461</v>
      </c>
      <c r="E225" s="17" t="s">
        <v>462</v>
      </c>
      <c r="F225" s="15">
        <v>93</v>
      </c>
      <c r="G225" s="15">
        <v>103.5</v>
      </c>
      <c r="H225" s="15">
        <v>114.75</v>
      </c>
      <c r="I225" s="15">
        <v>46</v>
      </c>
      <c r="J225" s="15"/>
      <c r="K225" s="15">
        <v>73</v>
      </c>
      <c r="L225" s="15">
        <v>72</v>
      </c>
      <c r="M225" s="15"/>
      <c r="N225" s="15"/>
      <c r="O225" s="15">
        <v>311.25</v>
      </c>
      <c r="P225" s="15">
        <v>502.25</v>
      </c>
    </row>
    <row r="226" ht="14.25" spans="1:16">
      <c r="A226" s="13">
        <v>225</v>
      </c>
      <c r="B226" s="15">
        <v>5</v>
      </c>
      <c r="C226" s="16">
        <v>22</v>
      </c>
      <c r="D226" s="17" t="s">
        <v>463</v>
      </c>
      <c r="E226" s="17" t="s">
        <v>464</v>
      </c>
      <c r="F226" s="15">
        <v>94.5</v>
      </c>
      <c r="G226" s="15">
        <v>126.5</v>
      </c>
      <c r="H226" s="15">
        <v>98.5</v>
      </c>
      <c r="I226" s="15">
        <v>58</v>
      </c>
      <c r="J226" s="15"/>
      <c r="K226" s="15">
        <v>72</v>
      </c>
      <c r="L226" s="15">
        <v>88</v>
      </c>
      <c r="M226" s="15"/>
      <c r="N226" s="15"/>
      <c r="O226" s="15">
        <v>319.5</v>
      </c>
      <c r="P226" s="15">
        <v>537.5</v>
      </c>
    </row>
    <row r="227" ht="14.25" spans="1:16">
      <c r="A227" s="13">
        <v>226</v>
      </c>
      <c r="B227" s="15">
        <v>5</v>
      </c>
      <c r="C227" s="16">
        <v>23</v>
      </c>
      <c r="D227" s="17" t="s">
        <v>465</v>
      </c>
      <c r="E227" s="17" t="s">
        <v>466</v>
      </c>
      <c r="F227" s="15">
        <v>84</v>
      </c>
      <c r="G227" s="15">
        <v>104.5</v>
      </c>
      <c r="H227" s="15">
        <v>84.5</v>
      </c>
      <c r="I227" s="15">
        <v>43.5</v>
      </c>
      <c r="J227" s="15"/>
      <c r="K227" s="15">
        <v>68</v>
      </c>
      <c r="L227" s="15">
        <v>73</v>
      </c>
      <c r="M227" s="15"/>
      <c r="N227" s="15"/>
      <c r="O227" s="15">
        <v>273</v>
      </c>
      <c r="P227" s="15">
        <v>457.5</v>
      </c>
    </row>
    <row r="228" ht="14.25" spans="1:16">
      <c r="A228" s="13">
        <v>227</v>
      </c>
      <c r="B228" s="15">
        <v>5</v>
      </c>
      <c r="C228" s="16">
        <v>24</v>
      </c>
      <c r="D228" s="17" t="s">
        <v>467</v>
      </c>
      <c r="E228" s="17" t="s">
        <v>468</v>
      </c>
      <c r="F228" s="15">
        <v>105.25</v>
      </c>
      <c r="G228" s="15">
        <v>122.5</v>
      </c>
      <c r="H228" s="15">
        <v>113</v>
      </c>
      <c r="I228" s="15">
        <v>76</v>
      </c>
      <c r="J228" s="15"/>
      <c r="K228" s="15">
        <v>80</v>
      </c>
      <c r="L228" s="15">
        <v>77</v>
      </c>
      <c r="M228" s="15"/>
      <c r="N228" s="15"/>
      <c r="O228" s="15">
        <v>340.75</v>
      </c>
      <c r="P228" s="15">
        <v>573.75</v>
      </c>
    </row>
    <row r="229" ht="14.25" spans="1:16">
      <c r="A229" s="13">
        <v>228</v>
      </c>
      <c r="B229" s="15">
        <v>5</v>
      </c>
      <c r="C229" s="16">
        <v>25</v>
      </c>
      <c r="D229" s="17" t="s">
        <v>469</v>
      </c>
      <c r="E229" s="17" t="s">
        <v>470</v>
      </c>
      <c r="F229" s="15">
        <v>101</v>
      </c>
      <c r="G229" s="15">
        <v>101.5</v>
      </c>
      <c r="H229" s="15">
        <v>97</v>
      </c>
      <c r="I229" s="15">
        <v>50.5</v>
      </c>
      <c r="J229" s="15"/>
      <c r="K229" s="15">
        <v>76</v>
      </c>
      <c r="L229" s="15">
        <v>93</v>
      </c>
      <c r="M229" s="15"/>
      <c r="N229" s="15"/>
      <c r="O229" s="15">
        <v>299.5</v>
      </c>
      <c r="P229" s="15">
        <v>519</v>
      </c>
    </row>
    <row r="230" ht="14.25" spans="1:16">
      <c r="A230" s="13">
        <v>229</v>
      </c>
      <c r="B230" s="15">
        <v>5</v>
      </c>
      <c r="C230" s="16">
        <v>26</v>
      </c>
      <c r="D230" s="17" t="s">
        <v>471</v>
      </c>
      <c r="E230" s="17" t="s">
        <v>472</v>
      </c>
      <c r="F230" s="15">
        <v>101</v>
      </c>
      <c r="G230" s="15">
        <v>109.5</v>
      </c>
      <c r="H230" s="15">
        <v>113</v>
      </c>
      <c r="I230" s="15">
        <v>75.5</v>
      </c>
      <c r="J230" s="15"/>
      <c r="K230" s="15">
        <v>81</v>
      </c>
      <c r="L230" s="15">
        <v>78</v>
      </c>
      <c r="M230" s="15"/>
      <c r="N230" s="15"/>
      <c r="O230" s="15">
        <v>323.5</v>
      </c>
      <c r="P230" s="15">
        <v>558</v>
      </c>
    </row>
    <row r="231" ht="14.25" spans="1:16">
      <c r="A231" s="13">
        <v>230</v>
      </c>
      <c r="B231" s="15">
        <v>5</v>
      </c>
      <c r="C231" s="16">
        <v>27</v>
      </c>
      <c r="D231" s="17" t="s">
        <v>473</v>
      </c>
      <c r="E231" s="17" t="s">
        <v>474</v>
      </c>
      <c r="F231" s="15">
        <v>98</v>
      </c>
      <c r="G231" s="15">
        <v>119</v>
      </c>
      <c r="H231" s="15">
        <v>84.25</v>
      </c>
      <c r="I231" s="15">
        <v>61.5</v>
      </c>
      <c r="J231" s="15"/>
      <c r="K231" s="15">
        <v>66</v>
      </c>
      <c r="L231" s="15">
        <v>80</v>
      </c>
      <c r="M231" s="15"/>
      <c r="N231" s="15"/>
      <c r="O231" s="15">
        <v>301.25</v>
      </c>
      <c r="P231" s="15">
        <v>508.75</v>
      </c>
    </row>
    <row r="232" ht="14.25" spans="1:16">
      <c r="A232" s="13">
        <v>231</v>
      </c>
      <c r="B232" s="15">
        <v>5</v>
      </c>
      <c r="C232" s="16">
        <v>28</v>
      </c>
      <c r="D232" s="17" t="s">
        <v>475</v>
      </c>
      <c r="E232" s="17" t="s">
        <v>476</v>
      </c>
      <c r="F232" s="15">
        <v>106.5</v>
      </c>
      <c r="G232" s="15">
        <v>119.5</v>
      </c>
      <c r="H232" s="15">
        <v>111.5</v>
      </c>
      <c r="I232" s="15">
        <v>56</v>
      </c>
      <c r="J232" s="15"/>
      <c r="K232" s="15">
        <v>69</v>
      </c>
      <c r="L232" s="15">
        <v>73</v>
      </c>
      <c r="M232" s="15"/>
      <c r="N232" s="15"/>
      <c r="O232" s="15">
        <v>337.5</v>
      </c>
      <c r="P232" s="15">
        <v>535.5</v>
      </c>
    </row>
    <row r="233" ht="14.25" spans="1:16">
      <c r="A233" s="13">
        <v>232</v>
      </c>
      <c r="B233" s="15">
        <v>5</v>
      </c>
      <c r="C233" s="16">
        <v>29</v>
      </c>
      <c r="D233" s="17" t="s">
        <v>477</v>
      </c>
      <c r="E233" s="17" t="s">
        <v>478</v>
      </c>
      <c r="F233" s="15">
        <v>76</v>
      </c>
      <c r="G233" s="15">
        <v>111</v>
      </c>
      <c r="H233" s="15">
        <v>82.25</v>
      </c>
      <c r="I233" s="15">
        <v>29.5</v>
      </c>
      <c r="J233" s="15"/>
      <c r="K233" s="15">
        <v>56</v>
      </c>
      <c r="L233" s="15">
        <v>58</v>
      </c>
      <c r="M233" s="15"/>
      <c r="N233" s="15"/>
      <c r="O233" s="15">
        <v>269.25</v>
      </c>
      <c r="P233" s="15">
        <v>412.75</v>
      </c>
    </row>
    <row r="234" ht="14.25" spans="1:16">
      <c r="A234" s="13">
        <v>233</v>
      </c>
      <c r="B234" s="15">
        <v>5</v>
      </c>
      <c r="C234" s="16">
        <v>30</v>
      </c>
      <c r="D234" s="17" t="s">
        <v>479</v>
      </c>
      <c r="E234" s="17" t="s">
        <v>480</v>
      </c>
      <c r="F234" s="15">
        <v>100.75</v>
      </c>
      <c r="G234" s="15">
        <v>77.5</v>
      </c>
      <c r="H234" s="15">
        <v>88</v>
      </c>
      <c r="I234" s="15">
        <v>43.5</v>
      </c>
      <c r="J234" s="15"/>
      <c r="K234" s="15">
        <v>86</v>
      </c>
      <c r="L234" s="15">
        <v>87</v>
      </c>
      <c r="M234" s="15"/>
      <c r="N234" s="15"/>
      <c r="O234" s="15">
        <v>266.25</v>
      </c>
      <c r="P234" s="15">
        <v>482.75</v>
      </c>
    </row>
    <row r="235" ht="14.25" spans="1:16">
      <c r="A235" s="13">
        <v>234</v>
      </c>
      <c r="B235" s="15">
        <v>5</v>
      </c>
      <c r="C235" s="16">
        <v>31</v>
      </c>
      <c r="D235" s="17" t="s">
        <v>481</v>
      </c>
      <c r="E235" s="17" t="s">
        <v>482</v>
      </c>
      <c r="F235" s="15">
        <v>90.75</v>
      </c>
      <c r="G235" s="15">
        <v>113.5</v>
      </c>
      <c r="H235" s="15">
        <v>107.5</v>
      </c>
      <c r="I235" s="15">
        <v>44.5</v>
      </c>
      <c r="J235" s="15"/>
      <c r="K235" s="15">
        <v>92</v>
      </c>
      <c r="L235" s="15">
        <v>71</v>
      </c>
      <c r="M235" s="15"/>
      <c r="N235" s="15"/>
      <c r="O235" s="15">
        <v>311.75</v>
      </c>
      <c r="P235" s="15">
        <v>519.25</v>
      </c>
    </row>
    <row r="236" ht="14.25" spans="1:16">
      <c r="A236" s="13">
        <v>235</v>
      </c>
      <c r="B236" s="15">
        <v>5</v>
      </c>
      <c r="C236" s="16">
        <v>32</v>
      </c>
      <c r="D236" s="17" t="s">
        <v>483</v>
      </c>
      <c r="E236" s="17" t="s">
        <v>484</v>
      </c>
      <c r="F236" s="15">
        <v>88</v>
      </c>
      <c r="G236" s="15">
        <v>117.5</v>
      </c>
      <c r="H236" s="15">
        <v>95.5</v>
      </c>
      <c r="I236" s="15">
        <v>45</v>
      </c>
      <c r="J236" s="15"/>
      <c r="K236" s="15">
        <v>73</v>
      </c>
      <c r="L236" s="15">
        <v>79</v>
      </c>
      <c r="M236" s="15"/>
      <c r="N236" s="15"/>
      <c r="O236" s="15">
        <v>301</v>
      </c>
      <c r="P236" s="15">
        <v>498</v>
      </c>
    </row>
    <row r="237" ht="14.25" spans="1:16">
      <c r="A237" s="13">
        <v>236</v>
      </c>
      <c r="B237" s="15">
        <v>5</v>
      </c>
      <c r="C237" s="16">
        <v>33</v>
      </c>
      <c r="D237" s="17" t="s">
        <v>485</v>
      </c>
      <c r="E237" s="17" t="s">
        <v>486</v>
      </c>
      <c r="F237" s="15">
        <v>93</v>
      </c>
      <c r="G237" s="15">
        <v>110</v>
      </c>
      <c r="H237" s="15">
        <v>79.5</v>
      </c>
      <c r="I237" s="15">
        <v>34</v>
      </c>
      <c r="J237" s="15"/>
      <c r="K237" s="15">
        <v>74</v>
      </c>
      <c r="L237" s="15">
        <v>76</v>
      </c>
      <c r="M237" s="15"/>
      <c r="N237" s="15"/>
      <c r="O237" s="15">
        <v>282.5</v>
      </c>
      <c r="P237" s="15">
        <v>466.5</v>
      </c>
    </row>
    <row r="238" ht="14.25" spans="1:16">
      <c r="A238" s="13">
        <v>237</v>
      </c>
      <c r="B238" s="15">
        <v>5</v>
      </c>
      <c r="C238" s="16">
        <v>34</v>
      </c>
      <c r="D238" s="17" t="s">
        <v>487</v>
      </c>
      <c r="E238" s="17" t="s">
        <v>488</v>
      </c>
      <c r="F238" s="15">
        <v>100</v>
      </c>
      <c r="G238" s="15">
        <v>118</v>
      </c>
      <c r="H238" s="15">
        <v>95.75</v>
      </c>
      <c r="I238" s="15">
        <v>61</v>
      </c>
      <c r="J238" s="15"/>
      <c r="K238" s="15">
        <v>87</v>
      </c>
      <c r="L238" s="15">
        <v>82</v>
      </c>
      <c r="M238" s="15"/>
      <c r="N238" s="15"/>
      <c r="O238" s="15">
        <v>313.75</v>
      </c>
      <c r="P238" s="15">
        <v>543.75</v>
      </c>
    </row>
    <row r="239" ht="14.25" spans="1:16">
      <c r="A239" s="13">
        <v>238</v>
      </c>
      <c r="B239" s="15">
        <v>5</v>
      </c>
      <c r="C239" s="16">
        <v>35</v>
      </c>
      <c r="D239" s="17" t="s">
        <v>489</v>
      </c>
      <c r="E239" s="17" t="s">
        <v>490</v>
      </c>
      <c r="F239" s="15">
        <v>101</v>
      </c>
      <c r="G239" s="15">
        <v>104.5</v>
      </c>
      <c r="H239" s="15">
        <v>96.5</v>
      </c>
      <c r="I239" s="15">
        <v>54.5</v>
      </c>
      <c r="J239" s="15"/>
      <c r="K239" s="15">
        <v>64</v>
      </c>
      <c r="L239" s="15">
        <v>77</v>
      </c>
      <c r="M239" s="15"/>
      <c r="N239" s="15"/>
      <c r="O239" s="15">
        <v>302</v>
      </c>
      <c r="P239" s="15">
        <v>497.5</v>
      </c>
    </row>
    <row r="240" ht="14.25" spans="1:16">
      <c r="A240" s="13">
        <v>239</v>
      </c>
      <c r="B240" s="15">
        <v>5</v>
      </c>
      <c r="C240" s="16">
        <v>36</v>
      </c>
      <c r="D240" s="17" t="s">
        <v>491</v>
      </c>
      <c r="E240" s="17" t="s">
        <v>492</v>
      </c>
      <c r="F240" s="15">
        <v>94</v>
      </c>
      <c r="G240" s="15">
        <v>93</v>
      </c>
      <c r="H240" s="15">
        <v>111.5</v>
      </c>
      <c r="I240" s="15">
        <v>30</v>
      </c>
      <c r="J240" s="15"/>
      <c r="K240" s="15">
        <v>66</v>
      </c>
      <c r="L240" s="15">
        <v>72</v>
      </c>
      <c r="M240" s="15"/>
      <c r="N240" s="15"/>
      <c r="O240" s="15">
        <v>298.5</v>
      </c>
      <c r="P240" s="15">
        <v>466.5</v>
      </c>
    </row>
    <row r="241" ht="14.25" spans="1:16">
      <c r="A241" s="13">
        <v>240</v>
      </c>
      <c r="B241" s="15">
        <v>5</v>
      </c>
      <c r="C241" s="16">
        <v>37</v>
      </c>
      <c r="D241" s="17" t="s">
        <v>493</v>
      </c>
      <c r="E241" s="17" t="s">
        <v>494</v>
      </c>
      <c r="F241" s="15">
        <v>90.5</v>
      </c>
      <c r="G241" s="15">
        <v>93.5</v>
      </c>
      <c r="H241" s="15">
        <v>79</v>
      </c>
      <c r="I241" s="15">
        <v>38</v>
      </c>
      <c r="J241" s="15"/>
      <c r="K241" s="15">
        <v>66</v>
      </c>
      <c r="L241" s="15">
        <v>72</v>
      </c>
      <c r="M241" s="15"/>
      <c r="N241" s="15"/>
      <c r="O241" s="15">
        <v>263</v>
      </c>
      <c r="P241" s="15">
        <v>439</v>
      </c>
    </row>
    <row r="242" ht="14.25" spans="1:16">
      <c r="A242" s="13">
        <v>241</v>
      </c>
      <c r="B242" s="15">
        <v>5</v>
      </c>
      <c r="C242" s="16">
        <v>38</v>
      </c>
      <c r="D242" s="17" t="s">
        <v>495</v>
      </c>
      <c r="E242" s="17" t="s">
        <v>496</v>
      </c>
      <c r="F242" s="15">
        <v>90.5</v>
      </c>
      <c r="G242" s="15">
        <v>88</v>
      </c>
      <c r="H242" s="15">
        <v>93.5</v>
      </c>
      <c r="I242" s="15">
        <v>49</v>
      </c>
      <c r="J242" s="15"/>
      <c r="K242" s="15">
        <v>80</v>
      </c>
      <c r="L242" s="15">
        <v>86</v>
      </c>
      <c r="M242" s="15"/>
      <c r="N242" s="15"/>
      <c r="O242" s="15">
        <v>272</v>
      </c>
      <c r="P242" s="15">
        <v>487</v>
      </c>
    </row>
    <row r="243" ht="14.25" spans="1:16">
      <c r="A243" s="13">
        <v>242</v>
      </c>
      <c r="B243" s="15">
        <v>5</v>
      </c>
      <c r="C243" s="16">
        <v>39</v>
      </c>
      <c r="D243" s="17" t="s">
        <v>497</v>
      </c>
      <c r="E243" s="17" t="s">
        <v>498</v>
      </c>
      <c r="F243" s="15">
        <v>90.5</v>
      </c>
      <c r="G243" s="15">
        <v>103</v>
      </c>
      <c r="H243" s="15">
        <v>98</v>
      </c>
      <c r="I243" s="15">
        <v>81.5</v>
      </c>
      <c r="J243" s="15"/>
      <c r="K243" s="15">
        <v>58</v>
      </c>
      <c r="L243" s="15">
        <v>87</v>
      </c>
      <c r="M243" s="15"/>
      <c r="N243" s="15"/>
      <c r="O243" s="15">
        <v>291.5</v>
      </c>
      <c r="P243" s="15">
        <v>518</v>
      </c>
    </row>
    <row r="244" ht="14.25" spans="1:16">
      <c r="A244" s="13">
        <v>243</v>
      </c>
      <c r="B244" s="15">
        <v>5</v>
      </c>
      <c r="C244" s="16">
        <v>40</v>
      </c>
      <c r="D244" s="17" t="s">
        <v>499</v>
      </c>
      <c r="E244" s="17" t="s">
        <v>500</v>
      </c>
      <c r="F244" s="15">
        <v>103</v>
      </c>
      <c r="G244" s="15">
        <v>97.5</v>
      </c>
      <c r="H244" s="15">
        <v>112</v>
      </c>
      <c r="I244" s="15">
        <v>44</v>
      </c>
      <c r="J244" s="15"/>
      <c r="K244" s="15">
        <v>77</v>
      </c>
      <c r="L244" s="15">
        <v>82</v>
      </c>
      <c r="M244" s="15"/>
      <c r="N244" s="15"/>
      <c r="O244" s="15">
        <v>312.5</v>
      </c>
      <c r="P244" s="15">
        <v>515.5</v>
      </c>
    </row>
    <row r="245" ht="14.25" spans="1:16">
      <c r="A245" s="13">
        <v>244</v>
      </c>
      <c r="B245" s="15">
        <v>5</v>
      </c>
      <c r="C245" s="16">
        <v>41</v>
      </c>
      <c r="D245" s="17" t="s">
        <v>501</v>
      </c>
      <c r="E245" s="17" t="s">
        <v>502</v>
      </c>
      <c r="F245" s="15">
        <v>101</v>
      </c>
      <c r="G245" s="15">
        <v>91</v>
      </c>
      <c r="H245" s="15">
        <v>91</v>
      </c>
      <c r="I245" s="15">
        <v>40.5</v>
      </c>
      <c r="J245" s="15"/>
      <c r="K245" s="15">
        <v>79</v>
      </c>
      <c r="L245" s="15">
        <v>65</v>
      </c>
      <c r="M245" s="15"/>
      <c r="N245" s="15"/>
      <c r="O245" s="15">
        <v>283</v>
      </c>
      <c r="P245" s="15">
        <v>467.5</v>
      </c>
    </row>
    <row r="246" ht="14.25" spans="1:16">
      <c r="A246" s="13">
        <v>245</v>
      </c>
      <c r="B246" s="15">
        <v>5</v>
      </c>
      <c r="C246" s="16">
        <v>42</v>
      </c>
      <c r="D246" s="17" t="s">
        <v>503</v>
      </c>
      <c r="E246" s="17" t="s">
        <v>288</v>
      </c>
      <c r="F246" s="15">
        <v>93.5</v>
      </c>
      <c r="G246" s="15">
        <v>108.25</v>
      </c>
      <c r="H246" s="15">
        <v>81.75</v>
      </c>
      <c r="I246" s="15">
        <v>45.5</v>
      </c>
      <c r="J246" s="15"/>
      <c r="K246" s="15">
        <v>82</v>
      </c>
      <c r="L246" s="15">
        <v>74</v>
      </c>
      <c r="M246" s="15"/>
      <c r="N246" s="15"/>
      <c r="O246" s="15">
        <v>283.5</v>
      </c>
      <c r="P246" s="15">
        <v>485</v>
      </c>
    </row>
    <row r="247" ht="14.25" spans="1:16">
      <c r="A247" s="13">
        <v>246</v>
      </c>
      <c r="B247" s="15">
        <v>5</v>
      </c>
      <c r="C247" s="16">
        <v>43</v>
      </c>
      <c r="D247" s="17" t="s">
        <v>504</v>
      </c>
      <c r="E247" s="17" t="s">
        <v>505</v>
      </c>
      <c r="F247" s="15">
        <v>97</v>
      </c>
      <c r="G247" s="15">
        <v>112.5</v>
      </c>
      <c r="H247" s="15">
        <v>96</v>
      </c>
      <c r="I247" s="15">
        <v>53</v>
      </c>
      <c r="J247" s="15"/>
      <c r="K247" s="15">
        <v>80</v>
      </c>
      <c r="L247" s="15">
        <v>87</v>
      </c>
      <c r="M247" s="15"/>
      <c r="N247" s="15"/>
      <c r="O247" s="15">
        <v>305.5</v>
      </c>
      <c r="P247" s="15">
        <v>525.5</v>
      </c>
    </row>
    <row r="248" ht="14.25" spans="1:16">
      <c r="A248" s="13">
        <v>247</v>
      </c>
      <c r="B248" s="15">
        <v>5</v>
      </c>
      <c r="C248" s="16">
        <v>44</v>
      </c>
      <c r="D248" s="17" t="s">
        <v>506</v>
      </c>
      <c r="E248" s="17" t="s">
        <v>507</v>
      </c>
      <c r="F248" s="15">
        <v>101</v>
      </c>
      <c r="G248" s="15">
        <v>115</v>
      </c>
      <c r="H248" s="15">
        <v>94.75</v>
      </c>
      <c r="I248" s="15">
        <v>38.5</v>
      </c>
      <c r="J248" s="15"/>
      <c r="K248" s="15">
        <v>75</v>
      </c>
      <c r="L248" s="15">
        <v>73</v>
      </c>
      <c r="M248" s="15"/>
      <c r="N248" s="15"/>
      <c r="O248" s="15">
        <v>310.75</v>
      </c>
      <c r="P248" s="15">
        <v>497.25</v>
      </c>
    </row>
    <row r="249" ht="14.25" spans="1:16">
      <c r="A249" s="13">
        <v>248</v>
      </c>
      <c r="B249" s="15">
        <v>5</v>
      </c>
      <c r="C249" s="16">
        <v>45</v>
      </c>
      <c r="D249" s="17" t="s">
        <v>508</v>
      </c>
      <c r="E249" s="17" t="s">
        <v>362</v>
      </c>
      <c r="F249" s="15">
        <v>91</v>
      </c>
      <c r="G249" s="15">
        <v>89.5</v>
      </c>
      <c r="H249" s="15">
        <v>82.75</v>
      </c>
      <c r="I249" s="15">
        <v>48</v>
      </c>
      <c r="J249" s="15"/>
      <c r="K249" s="15">
        <v>62</v>
      </c>
      <c r="L249" s="15">
        <v>85</v>
      </c>
      <c r="M249" s="15"/>
      <c r="N249" s="15"/>
      <c r="O249" s="15">
        <v>263.25</v>
      </c>
      <c r="P249" s="15">
        <v>458.25</v>
      </c>
    </row>
    <row r="250" ht="14.25" spans="1:16">
      <c r="A250" s="13">
        <v>249</v>
      </c>
      <c r="B250" s="15">
        <v>5</v>
      </c>
      <c r="C250" s="16">
        <v>47</v>
      </c>
      <c r="D250" s="17" t="s">
        <v>509</v>
      </c>
      <c r="E250" s="17" t="s">
        <v>510</v>
      </c>
      <c r="F250" s="15">
        <v>99</v>
      </c>
      <c r="G250" s="15">
        <v>95.5</v>
      </c>
      <c r="H250" s="15">
        <v>81.5</v>
      </c>
      <c r="I250" s="15">
        <v>48</v>
      </c>
      <c r="J250" s="15"/>
      <c r="K250" s="15">
        <v>80</v>
      </c>
      <c r="L250" s="15">
        <v>90</v>
      </c>
      <c r="M250" s="15"/>
      <c r="N250" s="15"/>
      <c r="O250" s="15">
        <v>276</v>
      </c>
      <c r="P250" s="15">
        <v>494</v>
      </c>
    </row>
    <row r="251" ht="14.25" spans="1:16">
      <c r="A251" s="13">
        <v>250</v>
      </c>
      <c r="B251" s="15">
        <v>5</v>
      </c>
      <c r="C251" s="16">
        <v>48</v>
      </c>
      <c r="D251" s="17" t="s">
        <v>511</v>
      </c>
      <c r="E251" s="17" t="s">
        <v>512</v>
      </c>
      <c r="F251" s="15">
        <v>86.25</v>
      </c>
      <c r="G251" s="15">
        <v>104</v>
      </c>
      <c r="H251" s="15">
        <v>104.25</v>
      </c>
      <c r="I251" s="15">
        <v>37</v>
      </c>
      <c r="J251" s="15"/>
      <c r="K251" s="15">
        <v>73</v>
      </c>
      <c r="L251" s="15">
        <v>89</v>
      </c>
      <c r="M251" s="15"/>
      <c r="N251" s="15"/>
      <c r="O251" s="15">
        <v>294.5</v>
      </c>
      <c r="P251" s="15">
        <v>493.5</v>
      </c>
    </row>
    <row r="252" ht="14.25" spans="1:16">
      <c r="A252" s="13">
        <v>251</v>
      </c>
      <c r="B252" s="15">
        <v>5</v>
      </c>
      <c r="C252" s="16">
        <v>49</v>
      </c>
      <c r="D252" s="17" t="s">
        <v>513</v>
      </c>
      <c r="E252" s="17" t="s">
        <v>514</v>
      </c>
      <c r="F252" s="15">
        <v>102</v>
      </c>
      <c r="G252" s="15">
        <v>97</v>
      </c>
      <c r="H252" s="15">
        <v>115.5</v>
      </c>
      <c r="I252" s="15">
        <v>77.5</v>
      </c>
      <c r="J252" s="15"/>
      <c r="K252" s="15">
        <v>80</v>
      </c>
      <c r="L252" s="15">
        <v>77</v>
      </c>
      <c r="M252" s="15"/>
      <c r="N252" s="15"/>
      <c r="O252" s="15">
        <v>314.5</v>
      </c>
      <c r="P252" s="15">
        <v>549</v>
      </c>
    </row>
    <row r="253" ht="14.25" spans="1:16">
      <c r="A253" s="13">
        <v>252</v>
      </c>
      <c r="B253" s="15">
        <v>6</v>
      </c>
      <c r="C253" s="16">
        <v>3</v>
      </c>
      <c r="D253" s="17" t="s">
        <v>515</v>
      </c>
      <c r="E253" s="17" t="s">
        <v>516</v>
      </c>
      <c r="F253" s="15">
        <v>100.5</v>
      </c>
      <c r="G253" s="15">
        <v>82.5</v>
      </c>
      <c r="H253" s="15">
        <v>73</v>
      </c>
      <c r="I253" s="15">
        <v>37.5</v>
      </c>
      <c r="J253" s="15"/>
      <c r="K253" s="15"/>
      <c r="L253" s="15">
        <v>84</v>
      </c>
      <c r="M253" s="15"/>
      <c r="N253" s="15">
        <v>75</v>
      </c>
      <c r="O253" s="15">
        <v>256</v>
      </c>
      <c r="P253" s="15">
        <v>452.5</v>
      </c>
    </row>
    <row r="254" ht="14.25" spans="1:16">
      <c r="A254" s="13">
        <v>253</v>
      </c>
      <c r="B254" s="15">
        <v>6</v>
      </c>
      <c r="C254" s="16">
        <v>4</v>
      </c>
      <c r="D254" s="17" t="s">
        <v>517</v>
      </c>
      <c r="E254" s="17" t="s">
        <v>518</v>
      </c>
      <c r="F254" s="15">
        <v>86.5</v>
      </c>
      <c r="G254" s="15">
        <v>87.5</v>
      </c>
      <c r="H254" s="15">
        <v>104.5</v>
      </c>
      <c r="I254" s="15">
        <v>40.5</v>
      </c>
      <c r="J254" s="15"/>
      <c r="K254" s="15"/>
      <c r="L254" s="15">
        <v>76</v>
      </c>
      <c r="M254" s="15"/>
      <c r="N254" s="15">
        <v>82</v>
      </c>
      <c r="O254" s="15">
        <v>278.5</v>
      </c>
      <c r="P254" s="15">
        <v>477</v>
      </c>
    </row>
    <row r="255" ht="14.25" spans="1:16">
      <c r="A255" s="13">
        <v>254</v>
      </c>
      <c r="B255" s="15">
        <v>6</v>
      </c>
      <c r="C255" s="16">
        <v>5</v>
      </c>
      <c r="D255" s="17" t="s">
        <v>519</v>
      </c>
      <c r="E255" s="17" t="s">
        <v>520</v>
      </c>
      <c r="F255" s="15">
        <v>100</v>
      </c>
      <c r="G255" s="15">
        <v>90</v>
      </c>
      <c r="H255" s="15">
        <v>90.5</v>
      </c>
      <c r="I255" s="15">
        <v>61</v>
      </c>
      <c r="J255" s="15"/>
      <c r="K255" s="15"/>
      <c r="L255" s="15">
        <v>87</v>
      </c>
      <c r="M255" s="15"/>
      <c r="N255" s="15">
        <v>84</v>
      </c>
      <c r="O255" s="15">
        <v>280.5</v>
      </c>
      <c r="P255" s="15">
        <v>512.5</v>
      </c>
    </row>
    <row r="256" ht="14.25" spans="1:16">
      <c r="A256" s="13">
        <v>255</v>
      </c>
      <c r="B256" s="15">
        <v>6</v>
      </c>
      <c r="C256" s="16">
        <v>6</v>
      </c>
      <c r="D256" s="17" t="s">
        <v>521</v>
      </c>
      <c r="E256" s="17" t="s">
        <v>522</v>
      </c>
      <c r="F256" s="15">
        <v>102.5</v>
      </c>
      <c r="G256" s="15">
        <v>55</v>
      </c>
      <c r="H256" s="15">
        <v>101.75</v>
      </c>
      <c r="I256" s="15">
        <v>34</v>
      </c>
      <c r="J256" s="15"/>
      <c r="K256" s="15"/>
      <c r="L256" s="15">
        <v>77</v>
      </c>
      <c r="M256" s="15"/>
      <c r="N256" s="15">
        <v>79</v>
      </c>
      <c r="O256" s="15">
        <v>259.25</v>
      </c>
      <c r="P256" s="15">
        <v>449.25</v>
      </c>
    </row>
    <row r="257" ht="14.25" spans="1:16">
      <c r="A257" s="13">
        <v>256</v>
      </c>
      <c r="B257" s="15">
        <v>6</v>
      </c>
      <c r="C257" s="16">
        <v>7</v>
      </c>
      <c r="D257" s="17" t="s">
        <v>523</v>
      </c>
      <c r="E257" s="17" t="s">
        <v>524</v>
      </c>
      <c r="F257" s="15">
        <v>102.5</v>
      </c>
      <c r="G257" s="15">
        <v>95</v>
      </c>
      <c r="H257" s="15">
        <v>105.75</v>
      </c>
      <c r="I257" s="15">
        <v>33</v>
      </c>
      <c r="J257" s="15"/>
      <c r="K257" s="15"/>
      <c r="L257" s="15">
        <v>76</v>
      </c>
      <c r="M257" s="15"/>
      <c r="N257" s="15">
        <v>76</v>
      </c>
      <c r="O257" s="15">
        <v>303.25</v>
      </c>
      <c r="P257" s="15">
        <v>488.25</v>
      </c>
    </row>
    <row r="258" ht="14.25" spans="1:16">
      <c r="A258" s="13">
        <v>257</v>
      </c>
      <c r="B258" s="15">
        <v>6</v>
      </c>
      <c r="C258" s="16">
        <v>8</v>
      </c>
      <c r="D258" s="17" t="s">
        <v>525</v>
      </c>
      <c r="E258" s="17" t="s">
        <v>526</v>
      </c>
      <c r="F258" s="15">
        <v>83.5</v>
      </c>
      <c r="G258" s="15">
        <v>80.5</v>
      </c>
      <c r="H258" s="15">
        <v>101.25</v>
      </c>
      <c r="I258" s="15">
        <v>28.5</v>
      </c>
      <c r="J258" s="15"/>
      <c r="K258" s="15"/>
      <c r="L258" s="15">
        <v>74</v>
      </c>
      <c r="M258" s="15"/>
      <c r="N258" s="15">
        <v>77</v>
      </c>
      <c r="O258" s="15">
        <v>265.25</v>
      </c>
      <c r="P258" s="15">
        <v>444.75</v>
      </c>
    </row>
    <row r="259" ht="14.25" spans="1:16">
      <c r="A259" s="13">
        <v>258</v>
      </c>
      <c r="B259" s="15">
        <v>6</v>
      </c>
      <c r="C259" s="16">
        <v>9</v>
      </c>
      <c r="D259" s="17" t="s">
        <v>527</v>
      </c>
      <c r="E259" s="17" t="s">
        <v>528</v>
      </c>
      <c r="F259" s="15">
        <v>91.5</v>
      </c>
      <c r="G259" s="15">
        <v>89.5</v>
      </c>
      <c r="H259" s="15">
        <v>84.75</v>
      </c>
      <c r="I259" s="15">
        <v>40.5</v>
      </c>
      <c r="J259" s="15"/>
      <c r="K259" s="15"/>
      <c r="L259" s="15">
        <v>63</v>
      </c>
      <c r="M259" s="15"/>
      <c r="N259" s="15">
        <v>67</v>
      </c>
      <c r="O259" s="15">
        <v>265.75</v>
      </c>
      <c r="P259" s="15">
        <v>436.25</v>
      </c>
    </row>
    <row r="260" ht="14.25" spans="1:16">
      <c r="A260" s="13">
        <v>259</v>
      </c>
      <c r="B260" s="15">
        <v>6</v>
      </c>
      <c r="C260" s="16">
        <v>10</v>
      </c>
      <c r="D260" s="17" t="s">
        <v>529</v>
      </c>
      <c r="E260" s="17" t="s">
        <v>530</v>
      </c>
      <c r="F260" s="15">
        <v>91</v>
      </c>
      <c r="G260" s="15">
        <v>80</v>
      </c>
      <c r="H260" s="15">
        <v>56</v>
      </c>
      <c r="I260" s="15">
        <v>47</v>
      </c>
      <c r="J260" s="15"/>
      <c r="K260" s="15"/>
      <c r="L260" s="15">
        <v>46</v>
      </c>
      <c r="M260" s="15"/>
      <c r="N260" s="15">
        <v>72</v>
      </c>
      <c r="O260" s="15">
        <v>227</v>
      </c>
      <c r="P260" s="15">
        <v>392</v>
      </c>
    </row>
    <row r="261" ht="14.25" spans="1:16">
      <c r="A261" s="13">
        <v>260</v>
      </c>
      <c r="B261" s="15">
        <v>6</v>
      </c>
      <c r="C261" s="16">
        <v>12</v>
      </c>
      <c r="D261" s="17" t="s">
        <v>531</v>
      </c>
      <c r="E261" s="17" t="s">
        <v>532</v>
      </c>
      <c r="F261" s="15">
        <v>101</v>
      </c>
      <c r="G261" s="15">
        <v>87</v>
      </c>
      <c r="H261" s="15">
        <v>108.25</v>
      </c>
      <c r="I261" s="15">
        <v>46.5</v>
      </c>
      <c r="J261" s="15"/>
      <c r="K261" s="15"/>
      <c r="L261" s="15">
        <v>73</v>
      </c>
      <c r="M261" s="15"/>
      <c r="N261" s="15">
        <v>76</v>
      </c>
      <c r="O261" s="15">
        <v>296.25</v>
      </c>
      <c r="P261" s="15">
        <v>491.75</v>
      </c>
    </row>
    <row r="262" ht="14.25" spans="1:16">
      <c r="A262" s="13">
        <v>261</v>
      </c>
      <c r="B262" s="15">
        <v>6</v>
      </c>
      <c r="C262" s="16">
        <v>13</v>
      </c>
      <c r="D262" s="17" t="s">
        <v>533</v>
      </c>
      <c r="E262" s="17" t="s">
        <v>534</v>
      </c>
      <c r="F262" s="15">
        <v>103</v>
      </c>
      <c r="G262" s="15">
        <v>91</v>
      </c>
      <c r="H262" s="15">
        <v>115.5</v>
      </c>
      <c r="I262" s="15">
        <v>53.5</v>
      </c>
      <c r="J262" s="15"/>
      <c r="K262" s="15"/>
      <c r="L262" s="15">
        <v>86</v>
      </c>
      <c r="M262" s="15"/>
      <c r="N262" s="15">
        <v>76</v>
      </c>
      <c r="O262" s="15">
        <v>309.5</v>
      </c>
      <c r="P262" s="15">
        <v>525</v>
      </c>
    </row>
    <row r="263" ht="14.25" spans="1:16">
      <c r="A263" s="13">
        <v>262</v>
      </c>
      <c r="B263" s="15">
        <v>6</v>
      </c>
      <c r="C263" s="16">
        <v>14</v>
      </c>
      <c r="D263" s="17" t="s">
        <v>535</v>
      </c>
      <c r="E263" s="17" t="s">
        <v>536</v>
      </c>
      <c r="F263" s="15">
        <v>94.5</v>
      </c>
      <c r="G263" s="15">
        <v>126</v>
      </c>
      <c r="H263" s="15">
        <v>95</v>
      </c>
      <c r="I263" s="15">
        <v>66.5</v>
      </c>
      <c r="J263" s="15"/>
      <c r="K263" s="15"/>
      <c r="L263" s="15">
        <v>90</v>
      </c>
      <c r="M263" s="15"/>
      <c r="N263" s="15">
        <v>84</v>
      </c>
      <c r="O263" s="15">
        <v>315.5</v>
      </c>
      <c r="P263" s="15">
        <v>556</v>
      </c>
    </row>
    <row r="264" ht="14.25" spans="1:16">
      <c r="A264" s="13">
        <v>263</v>
      </c>
      <c r="B264" s="15">
        <v>6</v>
      </c>
      <c r="C264" s="16">
        <v>15</v>
      </c>
      <c r="D264" s="17" t="s">
        <v>537</v>
      </c>
      <c r="E264" s="17" t="s">
        <v>538</v>
      </c>
      <c r="F264" s="15">
        <v>99.5</v>
      </c>
      <c r="G264" s="15">
        <v>105.5</v>
      </c>
      <c r="H264" s="15">
        <v>105.25</v>
      </c>
      <c r="I264" s="15">
        <v>74.5</v>
      </c>
      <c r="J264" s="15"/>
      <c r="K264" s="15"/>
      <c r="L264" s="15">
        <v>88</v>
      </c>
      <c r="M264" s="15"/>
      <c r="N264" s="15">
        <v>76</v>
      </c>
      <c r="O264" s="15">
        <v>310.25</v>
      </c>
      <c r="P264" s="15">
        <v>548.75</v>
      </c>
    </row>
    <row r="265" ht="14.25" spans="1:16">
      <c r="A265" s="13">
        <v>264</v>
      </c>
      <c r="B265" s="15">
        <v>6</v>
      </c>
      <c r="C265" s="16">
        <v>16</v>
      </c>
      <c r="D265" s="17" t="s">
        <v>539</v>
      </c>
      <c r="E265" s="17" t="s">
        <v>540</v>
      </c>
      <c r="F265" s="15">
        <v>109.25</v>
      </c>
      <c r="G265" s="15">
        <v>104.5</v>
      </c>
      <c r="H265" s="15">
        <v>110.25</v>
      </c>
      <c r="I265" s="15">
        <v>62</v>
      </c>
      <c r="J265" s="15"/>
      <c r="K265" s="15"/>
      <c r="L265" s="15">
        <v>72</v>
      </c>
      <c r="M265" s="15"/>
      <c r="N265" s="15">
        <v>86</v>
      </c>
      <c r="O265" s="15">
        <v>324</v>
      </c>
      <c r="P265" s="15">
        <v>544</v>
      </c>
    </row>
    <row r="266" ht="14.25" spans="1:16">
      <c r="A266" s="13">
        <v>265</v>
      </c>
      <c r="B266" s="15">
        <v>6</v>
      </c>
      <c r="C266" s="16">
        <v>17</v>
      </c>
      <c r="D266" s="17" t="s">
        <v>541</v>
      </c>
      <c r="E266" s="17" t="s">
        <v>542</v>
      </c>
      <c r="F266" s="15">
        <v>91</v>
      </c>
      <c r="G266" s="15">
        <v>97.5</v>
      </c>
      <c r="H266" s="15">
        <v>89.5</v>
      </c>
      <c r="I266" s="15">
        <v>80</v>
      </c>
      <c r="J266" s="15"/>
      <c r="K266" s="15"/>
      <c r="L266" s="15">
        <v>80</v>
      </c>
      <c r="M266" s="15"/>
      <c r="N266" s="15">
        <v>84</v>
      </c>
      <c r="O266" s="15">
        <v>278</v>
      </c>
      <c r="P266" s="15">
        <v>522</v>
      </c>
    </row>
    <row r="267" ht="14.25" spans="1:16">
      <c r="A267" s="13">
        <v>266</v>
      </c>
      <c r="B267" s="15">
        <v>6</v>
      </c>
      <c r="C267" s="16">
        <v>18</v>
      </c>
      <c r="D267" s="17" t="s">
        <v>543</v>
      </c>
      <c r="E267" s="17" t="s">
        <v>544</v>
      </c>
      <c r="F267" s="15">
        <v>104</v>
      </c>
      <c r="G267" s="15">
        <v>79.5</v>
      </c>
      <c r="H267" s="15">
        <v>110</v>
      </c>
      <c r="I267" s="15">
        <v>53</v>
      </c>
      <c r="J267" s="15"/>
      <c r="K267" s="15"/>
      <c r="L267" s="15">
        <v>63</v>
      </c>
      <c r="M267" s="15"/>
      <c r="N267" s="15">
        <v>81</v>
      </c>
      <c r="O267" s="15">
        <v>293.5</v>
      </c>
      <c r="P267" s="15">
        <v>490.5</v>
      </c>
    </row>
    <row r="268" ht="14.25" spans="1:16">
      <c r="A268" s="13">
        <v>267</v>
      </c>
      <c r="B268" s="15">
        <v>6</v>
      </c>
      <c r="C268" s="16">
        <v>19</v>
      </c>
      <c r="D268" s="17" t="s">
        <v>545</v>
      </c>
      <c r="E268" s="17" t="s">
        <v>546</v>
      </c>
      <c r="F268" s="15">
        <v>98</v>
      </c>
      <c r="G268" s="15">
        <v>106.5</v>
      </c>
      <c r="H268" s="15">
        <v>105</v>
      </c>
      <c r="I268" s="15">
        <v>74.5</v>
      </c>
      <c r="J268" s="15"/>
      <c r="K268" s="15"/>
      <c r="L268" s="15">
        <v>77</v>
      </c>
      <c r="M268" s="15"/>
      <c r="N268" s="15">
        <v>79</v>
      </c>
      <c r="O268" s="15">
        <v>309.5</v>
      </c>
      <c r="P268" s="15">
        <v>540</v>
      </c>
    </row>
    <row r="269" ht="14.25" spans="1:16">
      <c r="A269" s="13">
        <v>268</v>
      </c>
      <c r="B269" s="15">
        <v>6</v>
      </c>
      <c r="C269" s="16">
        <v>20</v>
      </c>
      <c r="D269" s="17" t="s">
        <v>547</v>
      </c>
      <c r="E269" s="17" t="s">
        <v>548</v>
      </c>
      <c r="F269" s="15">
        <v>90</v>
      </c>
      <c r="G269" s="15">
        <v>88</v>
      </c>
      <c r="H269" s="15">
        <v>106.5</v>
      </c>
      <c r="I269" s="15">
        <v>33.5</v>
      </c>
      <c r="J269" s="15"/>
      <c r="K269" s="15"/>
      <c r="L269" s="15">
        <v>71</v>
      </c>
      <c r="M269" s="15"/>
      <c r="N269" s="15">
        <v>74</v>
      </c>
      <c r="O269" s="15">
        <v>284.5</v>
      </c>
      <c r="P269" s="15">
        <v>463</v>
      </c>
    </row>
    <row r="270" ht="14.25" spans="1:16">
      <c r="A270" s="13">
        <v>269</v>
      </c>
      <c r="B270" s="15">
        <v>6</v>
      </c>
      <c r="C270" s="16">
        <v>21</v>
      </c>
      <c r="D270" s="17" t="s">
        <v>549</v>
      </c>
      <c r="E270" s="17" t="s">
        <v>550</v>
      </c>
      <c r="F270" s="15">
        <v>93</v>
      </c>
      <c r="G270" s="15">
        <v>86.5</v>
      </c>
      <c r="H270" s="15">
        <v>81.75</v>
      </c>
      <c r="I270" s="15">
        <v>55</v>
      </c>
      <c r="J270" s="15"/>
      <c r="K270" s="15"/>
      <c r="L270" s="15">
        <v>88</v>
      </c>
      <c r="M270" s="15"/>
      <c r="N270" s="15">
        <v>86</v>
      </c>
      <c r="O270" s="15">
        <v>261.25</v>
      </c>
      <c r="P270" s="15">
        <v>490.25</v>
      </c>
    </row>
    <row r="271" ht="14.25" spans="1:16">
      <c r="A271" s="13">
        <v>270</v>
      </c>
      <c r="B271" s="15">
        <v>6</v>
      </c>
      <c r="C271" s="16">
        <v>22</v>
      </c>
      <c r="D271" s="17" t="s">
        <v>551</v>
      </c>
      <c r="E271" s="17" t="s">
        <v>552</v>
      </c>
      <c r="F271" s="15">
        <v>95</v>
      </c>
      <c r="G271" s="15">
        <v>74</v>
      </c>
      <c r="H271" s="15">
        <v>109</v>
      </c>
      <c r="I271" s="15">
        <v>27.5</v>
      </c>
      <c r="J271" s="15"/>
      <c r="K271" s="15"/>
      <c r="L271" s="15">
        <v>80</v>
      </c>
      <c r="M271" s="15"/>
      <c r="N271" s="15">
        <v>73</v>
      </c>
      <c r="O271" s="15">
        <v>278</v>
      </c>
      <c r="P271" s="15">
        <v>458.5</v>
      </c>
    </row>
    <row r="272" ht="14.25" spans="1:16">
      <c r="A272" s="13">
        <v>271</v>
      </c>
      <c r="B272" s="15">
        <v>6</v>
      </c>
      <c r="C272" s="16">
        <v>23</v>
      </c>
      <c r="D272" s="17" t="s">
        <v>553</v>
      </c>
      <c r="E272" s="17" t="s">
        <v>554</v>
      </c>
      <c r="F272" s="15">
        <v>108</v>
      </c>
      <c r="G272" s="15">
        <v>87.5</v>
      </c>
      <c r="H272" s="15">
        <v>52.5</v>
      </c>
      <c r="I272" s="15">
        <v>53.5</v>
      </c>
      <c r="J272" s="15"/>
      <c r="K272" s="15"/>
      <c r="L272" s="15">
        <v>63</v>
      </c>
      <c r="M272" s="15"/>
      <c r="N272" s="15">
        <v>64</v>
      </c>
      <c r="O272" s="15">
        <v>248</v>
      </c>
      <c r="P272" s="15">
        <v>428.5</v>
      </c>
    </row>
    <row r="273" ht="14.25" spans="1:16">
      <c r="A273" s="13">
        <v>272</v>
      </c>
      <c r="B273" s="15">
        <v>6</v>
      </c>
      <c r="C273" s="16">
        <v>24</v>
      </c>
      <c r="D273" s="17" t="s">
        <v>555</v>
      </c>
      <c r="E273" s="17" t="s">
        <v>556</v>
      </c>
      <c r="F273" s="15">
        <v>95.75</v>
      </c>
      <c r="G273" s="15">
        <v>83</v>
      </c>
      <c r="H273" s="15">
        <v>71</v>
      </c>
      <c r="I273" s="15">
        <v>43.5</v>
      </c>
      <c r="J273" s="15"/>
      <c r="K273" s="15"/>
      <c r="L273" s="15">
        <v>78</v>
      </c>
      <c r="M273" s="15"/>
      <c r="N273" s="15">
        <v>77</v>
      </c>
      <c r="O273" s="15">
        <v>249.75</v>
      </c>
      <c r="P273" s="15">
        <v>448.25</v>
      </c>
    </row>
    <row r="274" ht="14.25" spans="1:16">
      <c r="A274" s="13">
        <v>273</v>
      </c>
      <c r="B274" s="15">
        <v>6</v>
      </c>
      <c r="C274" s="16">
        <v>25</v>
      </c>
      <c r="D274" s="17" t="s">
        <v>557</v>
      </c>
      <c r="E274" s="17" t="s">
        <v>558</v>
      </c>
      <c r="F274" s="15">
        <v>95</v>
      </c>
      <c r="G274" s="15">
        <v>78</v>
      </c>
      <c r="H274" s="15">
        <v>110</v>
      </c>
      <c r="I274" s="15">
        <v>42.5</v>
      </c>
      <c r="J274" s="15"/>
      <c r="K274" s="15"/>
      <c r="L274" s="15">
        <v>76</v>
      </c>
      <c r="M274" s="15"/>
      <c r="N274" s="15">
        <v>74</v>
      </c>
      <c r="O274" s="15">
        <v>283</v>
      </c>
      <c r="P274" s="15">
        <v>475.5</v>
      </c>
    </row>
    <row r="275" ht="14.25" spans="1:16">
      <c r="A275" s="13">
        <v>274</v>
      </c>
      <c r="B275" s="15">
        <v>6</v>
      </c>
      <c r="C275" s="16">
        <v>26</v>
      </c>
      <c r="D275" s="17" t="s">
        <v>559</v>
      </c>
      <c r="E275" s="17" t="s">
        <v>560</v>
      </c>
      <c r="F275" s="15">
        <v>96</v>
      </c>
      <c r="G275" s="15">
        <v>95</v>
      </c>
      <c r="H275" s="15">
        <v>88</v>
      </c>
      <c r="I275" s="15">
        <v>73.5</v>
      </c>
      <c r="J275" s="15"/>
      <c r="K275" s="15"/>
      <c r="L275" s="15">
        <v>79</v>
      </c>
      <c r="M275" s="15"/>
      <c r="N275" s="15">
        <v>77</v>
      </c>
      <c r="O275" s="15">
        <v>279</v>
      </c>
      <c r="P275" s="15">
        <v>508.5</v>
      </c>
    </row>
    <row r="276" ht="14.25" spans="1:16">
      <c r="A276" s="13">
        <v>275</v>
      </c>
      <c r="B276" s="15">
        <v>6</v>
      </c>
      <c r="C276" s="16">
        <v>27</v>
      </c>
      <c r="D276" s="17" t="s">
        <v>561</v>
      </c>
      <c r="E276" s="17" t="s">
        <v>562</v>
      </c>
      <c r="F276" s="15">
        <v>96.25</v>
      </c>
      <c r="G276" s="15">
        <v>98.5</v>
      </c>
      <c r="H276" s="15">
        <v>100</v>
      </c>
      <c r="I276" s="15">
        <v>54</v>
      </c>
      <c r="J276" s="15"/>
      <c r="K276" s="15"/>
      <c r="L276" s="15">
        <v>74</v>
      </c>
      <c r="M276" s="15"/>
      <c r="N276" s="15">
        <v>79</v>
      </c>
      <c r="O276" s="15">
        <v>294.75</v>
      </c>
      <c r="P276" s="15">
        <v>501.75</v>
      </c>
    </row>
    <row r="277" ht="14.25" spans="1:16">
      <c r="A277" s="13">
        <v>276</v>
      </c>
      <c r="B277" s="15">
        <v>6</v>
      </c>
      <c r="C277" s="16">
        <v>28</v>
      </c>
      <c r="D277" s="17" t="s">
        <v>563</v>
      </c>
      <c r="E277" s="17" t="s">
        <v>564</v>
      </c>
      <c r="F277" s="15">
        <v>88.75</v>
      </c>
      <c r="G277" s="15">
        <v>91</v>
      </c>
      <c r="H277" s="15">
        <v>80.5</v>
      </c>
      <c r="I277" s="15">
        <v>55</v>
      </c>
      <c r="J277" s="15"/>
      <c r="K277" s="15"/>
      <c r="L277" s="15">
        <v>74</v>
      </c>
      <c r="M277" s="15"/>
      <c r="N277" s="15">
        <v>69</v>
      </c>
      <c r="O277" s="15">
        <v>260.25</v>
      </c>
      <c r="P277" s="15">
        <v>458.25</v>
      </c>
    </row>
    <row r="278" ht="14.25" spans="1:16">
      <c r="A278" s="13">
        <v>277</v>
      </c>
      <c r="B278" s="15">
        <v>6</v>
      </c>
      <c r="C278" s="16">
        <v>29</v>
      </c>
      <c r="D278" s="17" t="s">
        <v>565</v>
      </c>
      <c r="E278" s="17" t="s">
        <v>566</v>
      </c>
      <c r="F278" s="15">
        <v>100</v>
      </c>
      <c r="G278" s="15">
        <v>58</v>
      </c>
      <c r="H278" s="15">
        <v>94</v>
      </c>
      <c r="I278" s="15">
        <v>45.5</v>
      </c>
      <c r="J278" s="15"/>
      <c r="K278" s="15"/>
      <c r="L278" s="15">
        <v>81</v>
      </c>
      <c r="M278" s="15"/>
      <c r="N278" s="15">
        <v>85</v>
      </c>
      <c r="O278" s="15">
        <v>252</v>
      </c>
      <c r="P278" s="15">
        <v>463.5</v>
      </c>
    </row>
    <row r="279" ht="14.25" spans="1:16">
      <c r="A279" s="13">
        <v>278</v>
      </c>
      <c r="B279" s="15">
        <v>6</v>
      </c>
      <c r="C279" s="16">
        <v>30</v>
      </c>
      <c r="D279" s="17" t="s">
        <v>567</v>
      </c>
      <c r="E279" s="17" t="s">
        <v>568</v>
      </c>
      <c r="F279" s="15">
        <v>89.5</v>
      </c>
      <c r="G279" s="15">
        <v>60</v>
      </c>
      <c r="H279" s="15">
        <v>82.5</v>
      </c>
      <c r="I279" s="15">
        <v>26</v>
      </c>
      <c r="J279" s="15"/>
      <c r="K279" s="15"/>
      <c r="L279" s="15">
        <v>62</v>
      </c>
      <c r="M279" s="15"/>
      <c r="N279" s="15">
        <v>72</v>
      </c>
      <c r="O279" s="15">
        <v>232</v>
      </c>
      <c r="P279" s="15">
        <v>392</v>
      </c>
    </row>
    <row r="280" ht="14.25" spans="1:16">
      <c r="A280" s="13">
        <v>279</v>
      </c>
      <c r="B280" s="15">
        <v>6</v>
      </c>
      <c r="C280" s="16">
        <v>31</v>
      </c>
      <c r="D280" s="17" t="s">
        <v>569</v>
      </c>
      <c r="E280" s="17" t="s">
        <v>570</v>
      </c>
      <c r="F280" s="15">
        <v>97</v>
      </c>
      <c r="G280" s="15">
        <v>99</v>
      </c>
      <c r="H280" s="15">
        <v>81</v>
      </c>
      <c r="I280" s="15">
        <v>28.5</v>
      </c>
      <c r="J280" s="15"/>
      <c r="K280" s="15"/>
      <c r="L280" s="15">
        <v>57</v>
      </c>
      <c r="M280" s="15"/>
      <c r="N280" s="15">
        <v>53</v>
      </c>
      <c r="O280" s="15">
        <v>277</v>
      </c>
      <c r="P280" s="15">
        <v>415.5</v>
      </c>
    </row>
    <row r="281" ht="14.25" spans="1:16">
      <c r="A281" s="13">
        <v>280</v>
      </c>
      <c r="B281" s="15">
        <v>6</v>
      </c>
      <c r="C281" s="16">
        <v>32</v>
      </c>
      <c r="D281" s="17" t="s">
        <v>571</v>
      </c>
      <c r="E281" s="17" t="s">
        <v>572</v>
      </c>
      <c r="F281" s="15">
        <v>99</v>
      </c>
      <c r="G281" s="15">
        <v>101.5</v>
      </c>
      <c r="H281" s="15">
        <v>78.75</v>
      </c>
      <c r="I281" s="15">
        <v>61.5</v>
      </c>
      <c r="J281" s="15"/>
      <c r="K281" s="15"/>
      <c r="L281" s="15">
        <v>87</v>
      </c>
      <c r="M281" s="15"/>
      <c r="N281" s="15">
        <v>89</v>
      </c>
      <c r="O281" s="15">
        <v>279.25</v>
      </c>
      <c r="P281" s="15">
        <v>516.75</v>
      </c>
    </row>
    <row r="282" ht="14.25" spans="1:16">
      <c r="A282" s="13">
        <v>281</v>
      </c>
      <c r="B282" s="15">
        <v>6</v>
      </c>
      <c r="C282" s="16">
        <v>33</v>
      </c>
      <c r="D282" s="17" t="s">
        <v>573</v>
      </c>
      <c r="E282" s="17" t="s">
        <v>574</v>
      </c>
      <c r="F282" s="15">
        <v>95.5</v>
      </c>
      <c r="G282" s="15">
        <v>88.5</v>
      </c>
      <c r="H282" s="15">
        <v>92.5</v>
      </c>
      <c r="I282" s="15">
        <v>35</v>
      </c>
      <c r="J282" s="15"/>
      <c r="K282" s="15"/>
      <c r="L282" s="15">
        <v>67</v>
      </c>
      <c r="M282" s="15"/>
      <c r="N282" s="15">
        <v>45</v>
      </c>
      <c r="O282" s="15">
        <v>276.5</v>
      </c>
      <c r="P282" s="15">
        <v>423.5</v>
      </c>
    </row>
    <row r="283" ht="14.25" spans="1:16">
      <c r="A283" s="13">
        <v>282</v>
      </c>
      <c r="B283" s="15">
        <v>6</v>
      </c>
      <c r="C283" s="16">
        <v>34</v>
      </c>
      <c r="D283" s="17" t="s">
        <v>575</v>
      </c>
      <c r="E283" s="17" t="s">
        <v>576</v>
      </c>
      <c r="F283" s="15">
        <v>97.5</v>
      </c>
      <c r="G283" s="15">
        <v>103</v>
      </c>
      <c r="H283" s="15">
        <v>112</v>
      </c>
      <c r="I283" s="15">
        <v>58.5</v>
      </c>
      <c r="J283" s="15"/>
      <c r="K283" s="15"/>
      <c r="L283" s="15">
        <v>82</v>
      </c>
      <c r="M283" s="15"/>
      <c r="N283" s="15">
        <v>83</v>
      </c>
      <c r="O283" s="15">
        <v>312.5</v>
      </c>
      <c r="P283" s="15">
        <v>536</v>
      </c>
    </row>
    <row r="284" ht="14.25" spans="1:16">
      <c r="A284" s="13">
        <v>283</v>
      </c>
      <c r="B284" s="15">
        <v>6</v>
      </c>
      <c r="C284" s="16">
        <v>35</v>
      </c>
      <c r="D284" s="17" t="s">
        <v>577</v>
      </c>
      <c r="E284" s="17" t="s">
        <v>578</v>
      </c>
      <c r="F284" s="15">
        <v>94.5</v>
      </c>
      <c r="G284" s="15">
        <v>94.5</v>
      </c>
      <c r="H284" s="15">
        <v>93</v>
      </c>
      <c r="I284" s="15">
        <v>51</v>
      </c>
      <c r="J284" s="15"/>
      <c r="K284" s="15"/>
      <c r="L284" s="15">
        <v>66</v>
      </c>
      <c r="M284" s="15"/>
      <c r="N284" s="15">
        <v>83</v>
      </c>
      <c r="O284" s="15">
        <v>282</v>
      </c>
      <c r="P284" s="15">
        <v>482</v>
      </c>
    </row>
    <row r="285" ht="14.25" spans="1:16">
      <c r="A285" s="13">
        <v>284</v>
      </c>
      <c r="B285" s="15">
        <v>6</v>
      </c>
      <c r="C285" s="16">
        <v>36</v>
      </c>
      <c r="D285" s="17" t="s">
        <v>579</v>
      </c>
      <c r="E285" s="17" t="s">
        <v>580</v>
      </c>
      <c r="F285" s="15">
        <v>106</v>
      </c>
      <c r="G285" s="15">
        <v>86</v>
      </c>
      <c r="H285" s="15">
        <v>80.5</v>
      </c>
      <c r="I285" s="15">
        <v>39.5</v>
      </c>
      <c r="J285" s="15"/>
      <c r="K285" s="15"/>
      <c r="L285" s="15">
        <v>62</v>
      </c>
      <c r="M285" s="15"/>
      <c r="N285" s="15">
        <v>69</v>
      </c>
      <c r="O285" s="15">
        <v>272.5</v>
      </c>
      <c r="P285" s="15">
        <v>443</v>
      </c>
    </row>
    <row r="286" ht="14.25" spans="1:16">
      <c r="A286" s="13">
        <v>285</v>
      </c>
      <c r="B286" s="15">
        <v>6</v>
      </c>
      <c r="C286" s="16">
        <v>37</v>
      </c>
      <c r="D286" s="17" t="s">
        <v>581</v>
      </c>
      <c r="E286" s="17" t="s">
        <v>582</v>
      </c>
      <c r="F286" s="15">
        <v>105.5</v>
      </c>
      <c r="G286" s="15">
        <v>93.5</v>
      </c>
      <c r="H286" s="15">
        <v>99.5</v>
      </c>
      <c r="I286" s="15">
        <v>55.5</v>
      </c>
      <c r="J286" s="15"/>
      <c r="K286" s="15"/>
      <c r="L286" s="15">
        <v>91</v>
      </c>
      <c r="M286" s="15"/>
      <c r="N286" s="15">
        <v>93</v>
      </c>
      <c r="O286" s="15">
        <v>298.5</v>
      </c>
      <c r="P286" s="15">
        <v>538</v>
      </c>
    </row>
    <row r="287" ht="14.25" spans="1:16">
      <c r="A287" s="13">
        <v>286</v>
      </c>
      <c r="B287" s="15">
        <v>6</v>
      </c>
      <c r="C287" s="16">
        <v>38</v>
      </c>
      <c r="D287" s="17" t="s">
        <v>583</v>
      </c>
      <c r="E287" s="17" t="s">
        <v>584</v>
      </c>
      <c r="F287" s="15">
        <v>102.5</v>
      </c>
      <c r="G287" s="15">
        <v>96.5</v>
      </c>
      <c r="H287" s="15">
        <v>87</v>
      </c>
      <c r="I287" s="15">
        <v>58</v>
      </c>
      <c r="J287" s="15"/>
      <c r="K287" s="15"/>
      <c r="L287" s="15">
        <v>67</v>
      </c>
      <c r="M287" s="15"/>
      <c r="N287" s="15">
        <v>90</v>
      </c>
      <c r="O287" s="15">
        <v>286</v>
      </c>
      <c r="P287" s="15">
        <v>501</v>
      </c>
    </row>
    <row r="288" ht="14.25" spans="1:16">
      <c r="A288" s="13">
        <v>287</v>
      </c>
      <c r="B288" s="15">
        <v>6</v>
      </c>
      <c r="C288" s="16">
        <v>39</v>
      </c>
      <c r="D288" s="17" t="s">
        <v>585</v>
      </c>
      <c r="E288" s="17" t="s">
        <v>586</v>
      </c>
      <c r="F288" s="15">
        <v>88.25</v>
      </c>
      <c r="G288" s="15">
        <v>95</v>
      </c>
      <c r="H288" s="15">
        <v>95.5</v>
      </c>
      <c r="I288" s="15">
        <v>46.5</v>
      </c>
      <c r="J288" s="15"/>
      <c r="K288" s="15"/>
      <c r="L288" s="15">
        <v>62</v>
      </c>
      <c r="M288" s="15"/>
      <c r="N288" s="15">
        <v>62</v>
      </c>
      <c r="O288" s="15">
        <v>278.75</v>
      </c>
      <c r="P288" s="15">
        <v>449.25</v>
      </c>
    </row>
    <row r="289" ht="14.25" spans="1:16">
      <c r="A289" s="13">
        <v>288</v>
      </c>
      <c r="B289" s="15">
        <v>6</v>
      </c>
      <c r="C289" s="16">
        <v>40</v>
      </c>
      <c r="D289" s="17" t="s">
        <v>587</v>
      </c>
      <c r="E289" s="17" t="s">
        <v>588</v>
      </c>
      <c r="F289" s="15">
        <v>100.25</v>
      </c>
      <c r="G289" s="15">
        <v>87.5</v>
      </c>
      <c r="H289" s="15">
        <v>91.5</v>
      </c>
      <c r="I289" s="15">
        <v>25</v>
      </c>
      <c r="J289" s="15"/>
      <c r="K289" s="15"/>
      <c r="L289" s="15">
        <v>69</v>
      </c>
      <c r="M289" s="15"/>
      <c r="N289" s="15">
        <v>76</v>
      </c>
      <c r="O289" s="15">
        <v>279.25</v>
      </c>
      <c r="P289" s="15">
        <v>449.25</v>
      </c>
    </row>
    <row r="290" ht="14.25" spans="1:16">
      <c r="A290" s="13">
        <v>289</v>
      </c>
      <c r="B290" s="15">
        <v>6</v>
      </c>
      <c r="C290" s="16">
        <v>41</v>
      </c>
      <c r="D290" s="17" t="s">
        <v>589</v>
      </c>
      <c r="E290" s="17" t="s">
        <v>590</v>
      </c>
      <c r="F290" s="15">
        <v>86</v>
      </c>
      <c r="G290" s="15">
        <v>79.5</v>
      </c>
      <c r="H290" s="15">
        <v>72</v>
      </c>
      <c r="I290" s="15">
        <v>58</v>
      </c>
      <c r="J290" s="15"/>
      <c r="K290" s="15"/>
      <c r="L290" s="15">
        <v>62</v>
      </c>
      <c r="M290" s="15"/>
      <c r="N290" s="15">
        <v>68</v>
      </c>
      <c r="O290" s="15">
        <v>237.5</v>
      </c>
      <c r="P290" s="15">
        <v>425.5</v>
      </c>
    </row>
    <row r="291" ht="14.25" spans="1:16">
      <c r="A291" s="13">
        <v>290</v>
      </c>
      <c r="B291" s="15">
        <v>6</v>
      </c>
      <c r="C291" s="16">
        <v>42</v>
      </c>
      <c r="D291" s="17" t="s">
        <v>591</v>
      </c>
      <c r="E291" s="17" t="s">
        <v>592</v>
      </c>
      <c r="F291" s="15">
        <v>107.5</v>
      </c>
      <c r="G291" s="15">
        <v>96</v>
      </c>
      <c r="H291" s="15">
        <v>105.5</v>
      </c>
      <c r="I291" s="15">
        <v>64</v>
      </c>
      <c r="J291" s="15"/>
      <c r="K291" s="15"/>
      <c r="L291" s="15">
        <v>87</v>
      </c>
      <c r="M291" s="15"/>
      <c r="N291" s="15">
        <v>77</v>
      </c>
      <c r="O291" s="15">
        <v>309</v>
      </c>
      <c r="P291" s="15">
        <v>537</v>
      </c>
    </row>
    <row r="292" ht="14.25" spans="1:16">
      <c r="A292" s="13">
        <v>291</v>
      </c>
      <c r="B292" s="15">
        <v>7</v>
      </c>
      <c r="C292" s="16">
        <v>1</v>
      </c>
      <c r="D292" s="17" t="s">
        <v>593</v>
      </c>
      <c r="E292" s="17" t="s">
        <v>594</v>
      </c>
      <c r="F292" s="15">
        <v>96</v>
      </c>
      <c r="G292" s="15">
        <v>89</v>
      </c>
      <c r="H292" s="15">
        <v>92.5</v>
      </c>
      <c r="I292" s="15">
        <v>37.5</v>
      </c>
      <c r="J292" s="15"/>
      <c r="K292" s="15"/>
      <c r="L292" s="15">
        <v>70</v>
      </c>
      <c r="M292" s="15"/>
      <c r="N292" s="15">
        <v>71</v>
      </c>
      <c r="O292" s="15">
        <v>277.5</v>
      </c>
      <c r="P292" s="15">
        <v>456</v>
      </c>
    </row>
    <row r="293" ht="14.25" spans="1:16">
      <c r="A293" s="13">
        <v>292</v>
      </c>
      <c r="B293" s="15">
        <v>7</v>
      </c>
      <c r="C293" s="16">
        <v>2</v>
      </c>
      <c r="D293" s="17" t="s">
        <v>595</v>
      </c>
      <c r="E293" s="17" t="s">
        <v>596</v>
      </c>
      <c r="F293" s="15">
        <v>98.5</v>
      </c>
      <c r="G293" s="15">
        <v>90</v>
      </c>
      <c r="H293" s="15">
        <v>85</v>
      </c>
      <c r="I293" s="15">
        <v>36.5</v>
      </c>
      <c r="J293" s="15"/>
      <c r="K293" s="15"/>
      <c r="L293" s="15">
        <v>64</v>
      </c>
      <c r="M293" s="15"/>
      <c r="N293" s="15">
        <v>69</v>
      </c>
      <c r="O293" s="15">
        <v>273.5</v>
      </c>
      <c r="P293" s="15">
        <v>443</v>
      </c>
    </row>
    <row r="294" ht="14.25" spans="1:16">
      <c r="A294" s="13">
        <v>293</v>
      </c>
      <c r="B294" s="15">
        <v>7</v>
      </c>
      <c r="C294" s="16">
        <v>3</v>
      </c>
      <c r="D294" s="17" t="s">
        <v>597</v>
      </c>
      <c r="E294" s="17" t="s">
        <v>598</v>
      </c>
      <c r="F294" s="15">
        <v>101</v>
      </c>
      <c r="G294" s="15">
        <v>92</v>
      </c>
      <c r="H294" s="15">
        <v>78</v>
      </c>
      <c r="I294" s="15">
        <v>21</v>
      </c>
      <c r="J294" s="15"/>
      <c r="K294" s="15"/>
      <c r="L294" s="15">
        <v>67</v>
      </c>
      <c r="M294" s="15"/>
      <c r="N294" s="15">
        <v>79</v>
      </c>
      <c r="O294" s="15">
        <v>271</v>
      </c>
      <c r="P294" s="15">
        <v>438</v>
      </c>
    </row>
    <row r="295" ht="14.25" spans="1:16">
      <c r="A295" s="13">
        <v>294</v>
      </c>
      <c r="B295" s="15">
        <v>7</v>
      </c>
      <c r="C295" s="16">
        <v>4</v>
      </c>
      <c r="D295" s="17" t="s">
        <v>599</v>
      </c>
      <c r="E295" s="17" t="s">
        <v>600</v>
      </c>
      <c r="F295" s="15">
        <v>91.5</v>
      </c>
      <c r="G295" s="15">
        <v>106</v>
      </c>
      <c r="H295" s="15">
        <v>98</v>
      </c>
      <c r="I295" s="15">
        <v>43</v>
      </c>
      <c r="J295" s="15"/>
      <c r="K295" s="15"/>
      <c r="L295" s="15">
        <v>84</v>
      </c>
      <c r="M295" s="15"/>
      <c r="N295" s="15">
        <v>68</v>
      </c>
      <c r="O295" s="15">
        <v>295.5</v>
      </c>
      <c r="P295" s="15">
        <v>490.5</v>
      </c>
    </row>
    <row r="296" ht="14.25" spans="1:16">
      <c r="A296" s="13">
        <v>295</v>
      </c>
      <c r="B296" s="15">
        <v>7</v>
      </c>
      <c r="C296" s="16">
        <v>5</v>
      </c>
      <c r="D296" s="17" t="s">
        <v>601</v>
      </c>
      <c r="E296" s="17" t="s">
        <v>602</v>
      </c>
      <c r="F296" s="15">
        <v>97</v>
      </c>
      <c r="G296" s="15">
        <v>84.5</v>
      </c>
      <c r="H296" s="15">
        <v>82.75</v>
      </c>
      <c r="I296" s="15">
        <v>40.5</v>
      </c>
      <c r="J296" s="15"/>
      <c r="K296" s="15"/>
      <c r="L296" s="15">
        <v>67</v>
      </c>
      <c r="M296" s="15"/>
      <c r="N296" s="15">
        <v>73</v>
      </c>
      <c r="O296" s="15">
        <v>264.25</v>
      </c>
      <c r="P296" s="15">
        <v>444.75</v>
      </c>
    </row>
    <row r="297" ht="14.25" spans="1:16">
      <c r="A297" s="13">
        <v>296</v>
      </c>
      <c r="B297" s="15">
        <v>7</v>
      </c>
      <c r="C297" s="16">
        <v>6</v>
      </c>
      <c r="D297" s="17" t="s">
        <v>603</v>
      </c>
      <c r="E297" s="17" t="s">
        <v>604</v>
      </c>
      <c r="F297" s="15">
        <v>104.25</v>
      </c>
      <c r="G297" s="15">
        <v>74</v>
      </c>
      <c r="H297" s="15">
        <v>136</v>
      </c>
      <c r="I297" s="15">
        <v>32.5</v>
      </c>
      <c r="J297" s="15"/>
      <c r="K297" s="15"/>
      <c r="L297" s="15">
        <v>84</v>
      </c>
      <c r="M297" s="15"/>
      <c r="N297" s="15">
        <v>79</v>
      </c>
      <c r="O297" s="15">
        <v>314.25</v>
      </c>
      <c r="P297" s="15">
        <v>509.75</v>
      </c>
    </row>
    <row r="298" ht="14.25" spans="1:16">
      <c r="A298" s="13">
        <v>297</v>
      </c>
      <c r="B298" s="15">
        <v>7</v>
      </c>
      <c r="C298" s="16">
        <v>7</v>
      </c>
      <c r="D298" s="17" t="s">
        <v>605</v>
      </c>
      <c r="E298" s="17" t="s">
        <v>606</v>
      </c>
      <c r="F298" s="15">
        <v>107</v>
      </c>
      <c r="G298" s="15">
        <v>95</v>
      </c>
      <c r="H298" s="15">
        <v>69.5</v>
      </c>
      <c r="I298" s="15">
        <v>36.5</v>
      </c>
      <c r="J298" s="15"/>
      <c r="K298" s="15"/>
      <c r="L298" s="15">
        <v>77</v>
      </c>
      <c r="M298" s="15"/>
      <c r="N298" s="15">
        <v>57</v>
      </c>
      <c r="O298" s="15">
        <v>271.5</v>
      </c>
      <c r="P298" s="15">
        <v>442</v>
      </c>
    </row>
    <row r="299" ht="14.25" spans="1:16">
      <c r="A299" s="13">
        <v>298</v>
      </c>
      <c r="B299" s="15">
        <v>7</v>
      </c>
      <c r="C299" s="16">
        <v>9</v>
      </c>
      <c r="D299" s="17" t="s">
        <v>607</v>
      </c>
      <c r="E299" s="17" t="s">
        <v>608</v>
      </c>
      <c r="F299" s="15">
        <v>94</v>
      </c>
      <c r="G299" s="15">
        <v>88</v>
      </c>
      <c r="H299" s="15">
        <v>81</v>
      </c>
      <c r="I299" s="15">
        <v>17</v>
      </c>
      <c r="J299" s="15"/>
      <c r="K299" s="15"/>
      <c r="L299" s="15">
        <v>81</v>
      </c>
      <c r="M299" s="15"/>
      <c r="N299" s="15">
        <v>64</v>
      </c>
      <c r="O299" s="15">
        <v>263</v>
      </c>
      <c r="P299" s="15">
        <v>425</v>
      </c>
    </row>
    <row r="300" ht="14.25" spans="1:16">
      <c r="A300" s="13">
        <v>299</v>
      </c>
      <c r="B300" s="15">
        <v>7</v>
      </c>
      <c r="C300" s="16">
        <v>10</v>
      </c>
      <c r="D300" s="17" t="s">
        <v>609</v>
      </c>
      <c r="E300" s="17" t="s">
        <v>610</v>
      </c>
      <c r="F300" s="15">
        <v>98.5</v>
      </c>
      <c r="G300" s="15">
        <v>87.5</v>
      </c>
      <c r="H300" s="15">
        <v>96.5</v>
      </c>
      <c r="I300" s="15">
        <v>27.5</v>
      </c>
      <c r="J300" s="15"/>
      <c r="K300" s="15"/>
      <c r="L300" s="15">
        <v>80</v>
      </c>
      <c r="M300" s="15"/>
      <c r="N300" s="15">
        <v>72</v>
      </c>
      <c r="O300" s="15">
        <v>282.5</v>
      </c>
      <c r="P300" s="15">
        <v>462</v>
      </c>
    </row>
    <row r="301" ht="14.25" spans="1:16">
      <c r="A301" s="13">
        <v>300</v>
      </c>
      <c r="B301" s="15">
        <v>7</v>
      </c>
      <c r="C301" s="16">
        <v>11</v>
      </c>
      <c r="D301" s="17" t="s">
        <v>611</v>
      </c>
      <c r="E301" s="17" t="s">
        <v>612</v>
      </c>
      <c r="F301" s="15">
        <v>84.5</v>
      </c>
      <c r="G301" s="15">
        <v>93.5</v>
      </c>
      <c r="H301" s="15">
        <v>80</v>
      </c>
      <c r="I301" s="15">
        <v>42</v>
      </c>
      <c r="J301" s="15"/>
      <c r="K301" s="15"/>
      <c r="L301" s="15">
        <v>63</v>
      </c>
      <c r="M301" s="15"/>
      <c r="N301" s="15">
        <v>80</v>
      </c>
      <c r="O301" s="15">
        <v>258</v>
      </c>
      <c r="P301" s="15">
        <v>443</v>
      </c>
    </row>
    <row r="302" ht="14.25" spans="1:16">
      <c r="A302" s="13">
        <v>301</v>
      </c>
      <c r="B302" s="15">
        <v>7</v>
      </c>
      <c r="C302" s="16">
        <v>12</v>
      </c>
      <c r="D302" s="17" t="s">
        <v>613</v>
      </c>
      <c r="E302" s="17" t="s">
        <v>614</v>
      </c>
      <c r="F302" s="15">
        <v>100</v>
      </c>
      <c r="G302" s="15">
        <v>107.5</v>
      </c>
      <c r="H302" s="15">
        <v>84.75</v>
      </c>
      <c r="I302" s="15">
        <v>67</v>
      </c>
      <c r="J302" s="15"/>
      <c r="K302" s="15"/>
      <c r="L302" s="15">
        <v>91</v>
      </c>
      <c r="M302" s="15"/>
      <c r="N302" s="15">
        <v>74</v>
      </c>
      <c r="O302" s="15">
        <v>292.25</v>
      </c>
      <c r="P302" s="15">
        <v>524.25</v>
      </c>
    </row>
    <row r="303" ht="14.25" spans="1:16">
      <c r="A303" s="13">
        <v>302</v>
      </c>
      <c r="B303" s="15">
        <v>7</v>
      </c>
      <c r="C303" s="16">
        <v>13</v>
      </c>
      <c r="D303" s="17" t="s">
        <v>615</v>
      </c>
      <c r="E303" s="17" t="s">
        <v>616</v>
      </c>
      <c r="F303" s="15">
        <v>98.5</v>
      </c>
      <c r="G303" s="15">
        <v>77.5</v>
      </c>
      <c r="H303" s="15">
        <v>72</v>
      </c>
      <c r="I303" s="15">
        <v>29</v>
      </c>
      <c r="J303" s="15"/>
      <c r="K303" s="15"/>
      <c r="L303" s="15">
        <v>73</v>
      </c>
      <c r="M303" s="15"/>
      <c r="N303" s="15">
        <v>56</v>
      </c>
      <c r="O303" s="15">
        <v>248</v>
      </c>
      <c r="P303" s="15">
        <v>406</v>
      </c>
    </row>
    <row r="304" ht="14.25" spans="1:16">
      <c r="A304" s="13">
        <v>303</v>
      </c>
      <c r="B304" s="15">
        <v>7</v>
      </c>
      <c r="C304" s="16">
        <v>14</v>
      </c>
      <c r="D304" s="17" t="s">
        <v>617</v>
      </c>
      <c r="E304" s="17" t="s">
        <v>618</v>
      </c>
      <c r="F304" s="15">
        <v>101.5</v>
      </c>
      <c r="G304" s="15">
        <v>94</v>
      </c>
      <c r="H304" s="15">
        <v>74.75</v>
      </c>
      <c r="I304" s="15">
        <v>35.5</v>
      </c>
      <c r="J304" s="15"/>
      <c r="K304" s="15"/>
      <c r="L304" s="15">
        <v>75</v>
      </c>
      <c r="M304" s="15"/>
      <c r="N304" s="15">
        <v>62</v>
      </c>
      <c r="O304" s="15">
        <v>270.25</v>
      </c>
      <c r="P304" s="15">
        <v>442.75</v>
      </c>
    </row>
    <row r="305" ht="14.25" spans="1:16">
      <c r="A305" s="13">
        <v>304</v>
      </c>
      <c r="B305" s="15">
        <v>7</v>
      </c>
      <c r="C305" s="16">
        <v>15</v>
      </c>
      <c r="D305" s="17" t="s">
        <v>619</v>
      </c>
      <c r="E305" s="17" t="s">
        <v>620</v>
      </c>
      <c r="F305" s="15">
        <v>102</v>
      </c>
      <c r="G305" s="15">
        <v>112.5</v>
      </c>
      <c r="H305" s="15">
        <v>99.25</v>
      </c>
      <c r="I305" s="15">
        <v>49.5</v>
      </c>
      <c r="J305" s="15"/>
      <c r="K305" s="15"/>
      <c r="L305" s="15">
        <v>71</v>
      </c>
      <c r="M305" s="15"/>
      <c r="N305" s="15">
        <v>81</v>
      </c>
      <c r="O305" s="15">
        <v>313.75</v>
      </c>
      <c r="P305" s="15">
        <v>515.25</v>
      </c>
    </row>
    <row r="306" ht="14.25" spans="1:16">
      <c r="A306" s="13">
        <v>305</v>
      </c>
      <c r="B306" s="15">
        <v>7</v>
      </c>
      <c r="C306" s="16">
        <v>16</v>
      </c>
      <c r="D306" s="17" t="s">
        <v>621</v>
      </c>
      <c r="E306" s="17" t="s">
        <v>622</v>
      </c>
      <c r="F306" s="15">
        <v>100.5</v>
      </c>
      <c r="G306" s="15">
        <v>96.5</v>
      </c>
      <c r="H306" s="15">
        <v>80.75</v>
      </c>
      <c r="I306" s="15">
        <v>40</v>
      </c>
      <c r="J306" s="15"/>
      <c r="K306" s="15"/>
      <c r="L306" s="15">
        <v>79</v>
      </c>
      <c r="M306" s="15"/>
      <c r="N306" s="15">
        <v>79</v>
      </c>
      <c r="O306" s="15">
        <v>277.75</v>
      </c>
      <c r="P306" s="15">
        <v>475.75</v>
      </c>
    </row>
    <row r="307" ht="14.25" spans="1:16">
      <c r="A307" s="13">
        <v>306</v>
      </c>
      <c r="B307" s="15">
        <v>7</v>
      </c>
      <c r="C307" s="16">
        <v>17</v>
      </c>
      <c r="D307" s="17" t="s">
        <v>623</v>
      </c>
      <c r="E307" s="17" t="s">
        <v>624</v>
      </c>
      <c r="F307" s="15">
        <v>99</v>
      </c>
      <c r="G307" s="15">
        <v>108</v>
      </c>
      <c r="H307" s="15">
        <v>90.5</v>
      </c>
      <c r="I307" s="15">
        <v>45.5</v>
      </c>
      <c r="J307" s="15"/>
      <c r="K307" s="15"/>
      <c r="L307" s="15">
        <v>65</v>
      </c>
      <c r="M307" s="15"/>
      <c r="N307" s="15">
        <v>73</v>
      </c>
      <c r="O307" s="15">
        <v>297.5</v>
      </c>
      <c r="P307" s="15">
        <v>481</v>
      </c>
    </row>
    <row r="308" ht="14.25" spans="1:16">
      <c r="A308" s="13">
        <v>307</v>
      </c>
      <c r="B308" s="15">
        <v>7</v>
      </c>
      <c r="C308" s="16">
        <v>18</v>
      </c>
      <c r="D308" s="17" t="s">
        <v>625</v>
      </c>
      <c r="E308" s="17" t="s">
        <v>626</v>
      </c>
      <c r="F308" s="15">
        <v>106</v>
      </c>
      <c r="G308" s="15">
        <v>74</v>
      </c>
      <c r="H308" s="15">
        <v>99</v>
      </c>
      <c r="I308" s="15">
        <v>39.5</v>
      </c>
      <c r="J308" s="15"/>
      <c r="K308" s="15"/>
      <c r="L308" s="15">
        <v>66</v>
      </c>
      <c r="M308" s="15"/>
      <c r="N308" s="15">
        <v>63</v>
      </c>
      <c r="O308" s="15">
        <v>279</v>
      </c>
      <c r="P308" s="15">
        <v>447.5</v>
      </c>
    </row>
    <row r="309" ht="14.25" spans="1:16">
      <c r="A309" s="13">
        <v>308</v>
      </c>
      <c r="B309" s="15">
        <v>7</v>
      </c>
      <c r="C309" s="16">
        <v>19</v>
      </c>
      <c r="D309" s="17" t="s">
        <v>627</v>
      </c>
      <c r="E309" s="17" t="s">
        <v>628</v>
      </c>
      <c r="F309" s="15">
        <v>107.5</v>
      </c>
      <c r="G309" s="15">
        <v>98.5</v>
      </c>
      <c r="H309" s="15">
        <v>95.25</v>
      </c>
      <c r="I309" s="15">
        <v>55</v>
      </c>
      <c r="J309" s="15"/>
      <c r="K309" s="15"/>
      <c r="L309" s="15">
        <v>69</v>
      </c>
      <c r="M309" s="15"/>
      <c r="N309" s="15">
        <v>81</v>
      </c>
      <c r="O309" s="15">
        <v>301.25</v>
      </c>
      <c r="P309" s="15">
        <v>506.25</v>
      </c>
    </row>
    <row r="310" ht="14.25" spans="1:16">
      <c r="A310" s="13">
        <v>309</v>
      </c>
      <c r="B310" s="15">
        <v>7</v>
      </c>
      <c r="C310" s="16">
        <v>20</v>
      </c>
      <c r="D310" s="17" t="s">
        <v>629</v>
      </c>
      <c r="E310" s="17" t="s">
        <v>630</v>
      </c>
      <c r="F310" s="15">
        <v>95</v>
      </c>
      <c r="G310" s="15">
        <v>113.5</v>
      </c>
      <c r="H310" s="15">
        <v>84.5</v>
      </c>
      <c r="I310" s="15">
        <v>57</v>
      </c>
      <c r="J310" s="15"/>
      <c r="K310" s="15"/>
      <c r="L310" s="15">
        <v>71</v>
      </c>
      <c r="M310" s="15"/>
      <c r="N310" s="15">
        <v>86</v>
      </c>
      <c r="O310" s="15">
        <v>293</v>
      </c>
      <c r="P310" s="15">
        <v>507</v>
      </c>
    </row>
    <row r="311" ht="14.25" spans="1:16">
      <c r="A311" s="13">
        <v>310</v>
      </c>
      <c r="B311" s="15">
        <v>7</v>
      </c>
      <c r="C311" s="16">
        <v>21</v>
      </c>
      <c r="D311" s="17" t="s">
        <v>631</v>
      </c>
      <c r="E311" s="17" t="s">
        <v>632</v>
      </c>
      <c r="F311" s="15">
        <v>93.5</v>
      </c>
      <c r="G311" s="15">
        <v>83.5</v>
      </c>
      <c r="H311" s="15">
        <v>62.5</v>
      </c>
      <c r="I311" s="15">
        <v>37.5</v>
      </c>
      <c r="J311" s="15"/>
      <c r="K311" s="15"/>
      <c r="L311" s="15">
        <v>73</v>
      </c>
      <c r="M311" s="15"/>
      <c r="N311" s="15">
        <v>73</v>
      </c>
      <c r="O311" s="15">
        <v>239.5</v>
      </c>
      <c r="P311" s="15">
        <v>423</v>
      </c>
    </row>
    <row r="312" ht="14.25" spans="1:16">
      <c r="A312" s="13">
        <v>311</v>
      </c>
      <c r="B312" s="15">
        <v>7</v>
      </c>
      <c r="C312" s="16">
        <v>22</v>
      </c>
      <c r="D312" s="17" t="s">
        <v>633</v>
      </c>
      <c r="E312" s="17" t="s">
        <v>634</v>
      </c>
      <c r="F312" s="15">
        <v>89</v>
      </c>
      <c r="G312" s="15">
        <v>84</v>
      </c>
      <c r="H312" s="15">
        <v>90.5</v>
      </c>
      <c r="I312" s="15">
        <v>37.5</v>
      </c>
      <c r="J312" s="15"/>
      <c r="K312" s="15"/>
      <c r="L312" s="15">
        <v>87</v>
      </c>
      <c r="M312" s="15"/>
      <c r="N312" s="15">
        <v>71</v>
      </c>
      <c r="O312" s="15">
        <v>263.5</v>
      </c>
      <c r="P312" s="15">
        <v>459</v>
      </c>
    </row>
    <row r="313" ht="14.25" spans="1:16">
      <c r="A313" s="13">
        <v>312</v>
      </c>
      <c r="B313" s="15">
        <v>7</v>
      </c>
      <c r="C313" s="16">
        <v>23</v>
      </c>
      <c r="D313" s="17" t="s">
        <v>635</v>
      </c>
      <c r="E313" s="17" t="s">
        <v>636</v>
      </c>
      <c r="F313" s="15">
        <v>94.25</v>
      </c>
      <c r="G313" s="15">
        <v>85</v>
      </c>
      <c r="H313" s="15">
        <v>54.25</v>
      </c>
      <c r="I313" s="15">
        <v>43.5</v>
      </c>
      <c r="J313" s="15"/>
      <c r="K313" s="15"/>
      <c r="L313" s="15">
        <v>71</v>
      </c>
      <c r="M313" s="15"/>
      <c r="N313" s="15">
        <v>82</v>
      </c>
      <c r="O313" s="15">
        <v>233.5</v>
      </c>
      <c r="P313" s="15">
        <v>430</v>
      </c>
    </row>
    <row r="314" ht="14.25" spans="1:16">
      <c r="A314" s="13">
        <v>313</v>
      </c>
      <c r="B314" s="15">
        <v>7</v>
      </c>
      <c r="C314" s="16">
        <v>24</v>
      </c>
      <c r="D314" s="17" t="s">
        <v>637</v>
      </c>
      <c r="E314" s="17" t="s">
        <v>638</v>
      </c>
      <c r="F314" s="15">
        <v>88</v>
      </c>
      <c r="G314" s="15">
        <v>74.5</v>
      </c>
      <c r="H314" s="15">
        <v>100</v>
      </c>
      <c r="I314" s="15">
        <v>53</v>
      </c>
      <c r="J314" s="15"/>
      <c r="K314" s="15"/>
      <c r="L314" s="15">
        <v>62</v>
      </c>
      <c r="M314" s="15"/>
      <c r="N314" s="15">
        <v>75</v>
      </c>
      <c r="O314" s="15">
        <v>262.5</v>
      </c>
      <c r="P314" s="15">
        <v>452.5</v>
      </c>
    </row>
    <row r="315" ht="14.25" spans="1:16">
      <c r="A315" s="13">
        <v>314</v>
      </c>
      <c r="B315" s="15">
        <v>7</v>
      </c>
      <c r="C315" s="16">
        <v>25</v>
      </c>
      <c r="D315" s="17" t="s">
        <v>639</v>
      </c>
      <c r="E315" s="17" t="s">
        <v>640</v>
      </c>
      <c r="F315" s="15">
        <v>88.5</v>
      </c>
      <c r="G315" s="15">
        <v>103.5</v>
      </c>
      <c r="H315" s="15">
        <v>78.75</v>
      </c>
      <c r="I315" s="15">
        <v>51</v>
      </c>
      <c r="J315" s="15"/>
      <c r="K315" s="15"/>
      <c r="L315" s="15">
        <v>69</v>
      </c>
      <c r="M315" s="15"/>
      <c r="N315" s="15">
        <v>82</v>
      </c>
      <c r="O315" s="15">
        <v>270.75</v>
      </c>
      <c r="P315" s="15">
        <v>472.75</v>
      </c>
    </row>
    <row r="316" ht="14.25" spans="1:16">
      <c r="A316" s="13">
        <v>315</v>
      </c>
      <c r="B316" s="15">
        <v>7</v>
      </c>
      <c r="C316" s="16">
        <v>28</v>
      </c>
      <c r="D316" s="17" t="s">
        <v>641</v>
      </c>
      <c r="E316" s="17" t="s">
        <v>642</v>
      </c>
      <c r="F316" s="15">
        <v>101</v>
      </c>
      <c r="G316" s="15">
        <v>73.5</v>
      </c>
      <c r="H316" s="15">
        <v>80</v>
      </c>
      <c r="I316" s="15">
        <v>47</v>
      </c>
      <c r="J316" s="15"/>
      <c r="K316" s="15"/>
      <c r="L316" s="15">
        <v>66</v>
      </c>
      <c r="M316" s="15"/>
      <c r="N316" s="15">
        <v>68</v>
      </c>
      <c r="O316" s="15">
        <v>254.5</v>
      </c>
      <c r="P316" s="15">
        <v>435.5</v>
      </c>
    </row>
    <row r="317" ht="14.25" spans="1:16">
      <c r="A317" s="13">
        <v>316</v>
      </c>
      <c r="B317" s="15">
        <v>7</v>
      </c>
      <c r="C317" s="16">
        <v>29</v>
      </c>
      <c r="D317" s="17" t="s">
        <v>643</v>
      </c>
      <c r="E317" s="17" t="s">
        <v>644</v>
      </c>
      <c r="F317" s="15">
        <v>93</v>
      </c>
      <c r="G317" s="15">
        <v>78.5</v>
      </c>
      <c r="H317" s="15">
        <v>87.5</v>
      </c>
      <c r="I317" s="15">
        <v>30.5</v>
      </c>
      <c r="J317" s="15"/>
      <c r="K317" s="15"/>
      <c r="L317" s="15">
        <v>85</v>
      </c>
      <c r="M317" s="15"/>
      <c r="N317" s="15">
        <v>56</v>
      </c>
      <c r="O317" s="15">
        <v>259</v>
      </c>
      <c r="P317" s="15">
        <v>430.5</v>
      </c>
    </row>
    <row r="318" ht="14.25" spans="1:16">
      <c r="A318" s="13">
        <v>317</v>
      </c>
      <c r="B318" s="15">
        <v>7</v>
      </c>
      <c r="C318" s="16">
        <v>30</v>
      </c>
      <c r="D318" s="17" t="s">
        <v>645</v>
      </c>
      <c r="E318" s="17" t="s">
        <v>646</v>
      </c>
      <c r="F318" s="15">
        <v>97.5</v>
      </c>
      <c r="G318" s="15">
        <v>79</v>
      </c>
      <c r="H318" s="15">
        <v>67</v>
      </c>
      <c r="I318" s="15">
        <v>29.5</v>
      </c>
      <c r="J318" s="15"/>
      <c r="K318" s="15"/>
      <c r="L318" s="15">
        <v>81</v>
      </c>
      <c r="M318" s="15"/>
      <c r="N318" s="15">
        <v>73</v>
      </c>
      <c r="O318" s="15">
        <v>243.5</v>
      </c>
      <c r="P318" s="15">
        <v>427</v>
      </c>
    </row>
    <row r="319" ht="14.25" spans="1:16">
      <c r="A319" s="13">
        <v>318</v>
      </c>
      <c r="B319" s="15">
        <v>7</v>
      </c>
      <c r="C319" s="16">
        <v>31</v>
      </c>
      <c r="D319" s="17" t="s">
        <v>647</v>
      </c>
      <c r="E319" s="17" t="s">
        <v>648</v>
      </c>
      <c r="F319" s="15">
        <v>98</v>
      </c>
      <c r="G319" s="15">
        <v>104</v>
      </c>
      <c r="H319" s="15">
        <v>83</v>
      </c>
      <c r="I319" s="15">
        <v>56.5</v>
      </c>
      <c r="J319" s="15"/>
      <c r="K319" s="15"/>
      <c r="L319" s="15">
        <v>75</v>
      </c>
      <c r="M319" s="15"/>
      <c r="N319" s="15">
        <v>90</v>
      </c>
      <c r="O319" s="15">
        <v>285</v>
      </c>
      <c r="P319" s="15">
        <v>506.5</v>
      </c>
    </row>
    <row r="320" ht="14.25" spans="1:16">
      <c r="A320" s="13">
        <v>319</v>
      </c>
      <c r="B320" s="15">
        <v>7</v>
      </c>
      <c r="C320" s="16">
        <v>32</v>
      </c>
      <c r="D320" s="17" t="s">
        <v>649</v>
      </c>
      <c r="E320" s="17" t="s">
        <v>650</v>
      </c>
      <c r="F320" s="15">
        <v>108.5</v>
      </c>
      <c r="G320" s="15">
        <v>108.5</v>
      </c>
      <c r="H320" s="15">
        <v>102</v>
      </c>
      <c r="I320" s="15">
        <v>61</v>
      </c>
      <c r="J320" s="15"/>
      <c r="K320" s="15"/>
      <c r="L320" s="15">
        <v>84</v>
      </c>
      <c r="M320" s="15"/>
      <c r="N320" s="15">
        <v>80</v>
      </c>
      <c r="O320" s="15">
        <v>319</v>
      </c>
      <c r="P320" s="15">
        <v>544</v>
      </c>
    </row>
    <row r="321" ht="14.25" spans="1:16">
      <c r="A321" s="13">
        <v>320</v>
      </c>
      <c r="B321" s="15">
        <v>7</v>
      </c>
      <c r="C321" s="16">
        <v>33</v>
      </c>
      <c r="D321" s="17" t="s">
        <v>651</v>
      </c>
      <c r="E321" s="17" t="s">
        <v>652</v>
      </c>
      <c r="F321" s="15">
        <v>92.5</v>
      </c>
      <c r="G321" s="15">
        <v>104</v>
      </c>
      <c r="H321" s="15">
        <v>101.5</v>
      </c>
      <c r="I321" s="15">
        <v>38.5</v>
      </c>
      <c r="J321" s="15"/>
      <c r="K321" s="15"/>
      <c r="L321" s="15">
        <v>58</v>
      </c>
      <c r="M321" s="15"/>
      <c r="N321" s="15">
        <v>70</v>
      </c>
      <c r="O321" s="15">
        <v>298</v>
      </c>
      <c r="P321" s="15">
        <v>464.5</v>
      </c>
    </row>
    <row r="322" ht="14.25" spans="1:16">
      <c r="A322" s="13">
        <v>321</v>
      </c>
      <c r="B322" s="15">
        <v>7</v>
      </c>
      <c r="C322" s="16">
        <v>34</v>
      </c>
      <c r="D322" s="17" t="s">
        <v>653</v>
      </c>
      <c r="E322" s="17" t="s">
        <v>654</v>
      </c>
      <c r="F322" s="15">
        <v>89.75</v>
      </c>
      <c r="G322" s="15">
        <v>109</v>
      </c>
      <c r="H322" s="15">
        <v>79.5</v>
      </c>
      <c r="I322" s="15">
        <v>27</v>
      </c>
      <c r="J322" s="15"/>
      <c r="K322" s="15"/>
      <c r="L322" s="15">
        <v>86</v>
      </c>
      <c r="M322" s="15"/>
      <c r="N322" s="15">
        <v>58</v>
      </c>
      <c r="O322" s="15">
        <v>278.25</v>
      </c>
      <c r="P322" s="15">
        <v>449.25</v>
      </c>
    </row>
    <row r="323" ht="14.25" spans="1:16">
      <c r="A323" s="13">
        <v>322</v>
      </c>
      <c r="B323" s="15">
        <v>7</v>
      </c>
      <c r="C323" s="16">
        <v>35</v>
      </c>
      <c r="D323" s="17" t="s">
        <v>655</v>
      </c>
      <c r="E323" s="17" t="s">
        <v>656</v>
      </c>
      <c r="F323" s="15">
        <v>101.25</v>
      </c>
      <c r="G323" s="15">
        <v>83.5</v>
      </c>
      <c r="H323" s="15">
        <v>103.75</v>
      </c>
      <c r="I323" s="15">
        <v>48.5</v>
      </c>
      <c r="J323" s="15"/>
      <c r="K323" s="15"/>
      <c r="L323" s="15">
        <v>87</v>
      </c>
      <c r="M323" s="15"/>
      <c r="N323" s="15">
        <v>74</v>
      </c>
      <c r="O323" s="15">
        <v>288.5</v>
      </c>
      <c r="P323" s="15">
        <v>498</v>
      </c>
    </row>
    <row r="324" ht="14.25" spans="1:16">
      <c r="A324" s="13">
        <v>323</v>
      </c>
      <c r="B324" s="15">
        <v>7</v>
      </c>
      <c r="C324" s="16">
        <v>36</v>
      </c>
      <c r="D324" s="17" t="s">
        <v>657</v>
      </c>
      <c r="E324" s="17" t="s">
        <v>658</v>
      </c>
      <c r="F324" s="15">
        <v>98.5</v>
      </c>
      <c r="G324" s="15">
        <v>110</v>
      </c>
      <c r="H324" s="15">
        <v>99.25</v>
      </c>
      <c r="I324" s="15">
        <v>50.5</v>
      </c>
      <c r="J324" s="15"/>
      <c r="K324" s="15"/>
      <c r="L324" s="15">
        <v>87</v>
      </c>
      <c r="M324" s="15"/>
      <c r="N324" s="15">
        <v>80</v>
      </c>
      <c r="O324" s="15">
        <v>307.75</v>
      </c>
      <c r="P324" s="15">
        <v>525.25</v>
      </c>
    </row>
    <row r="325" ht="14.25" spans="1:16">
      <c r="A325" s="13">
        <v>324</v>
      </c>
      <c r="B325" s="15">
        <v>7</v>
      </c>
      <c r="C325" s="16">
        <v>37</v>
      </c>
      <c r="D325" s="17" t="s">
        <v>659</v>
      </c>
      <c r="E325" s="17" t="s">
        <v>660</v>
      </c>
      <c r="F325" s="15">
        <v>90</v>
      </c>
      <c r="G325" s="15">
        <v>104.5</v>
      </c>
      <c r="H325" s="15">
        <v>67.5</v>
      </c>
      <c r="I325" s="15">
        <v>28.5</v>
      </c>
      <c r="J325" s="15"/>
      <c r="K325" s="15"/>
      <c r="L325" s="15">
        <v>71</v>
      </c>
      <c r="M325" s="15"/>
      <c r="N325" s="15">
        <v>82</v>
      </c>
      <c r="O325" s="15">
        <v>262</v>
      </c>
      <c r="P325" s="15">
        <v>443.5</v>
      </c>
    </row>
    <row r="326" ht="14.25" spans="1:16">
      <c r="A326" s="13">
        <v>325</v>
      </c>
      <c r="B326" s="15">
        <v>7</v>
      </c>
      <c r="C326" s="16">
        <v>38</v>
      </c>
      <c r="D326" s="17" t="s">
        <v>661</v>
      </c>
      <c r="E326" s="17" t="s">
        <v>662</v>
      </c>
      <c r="F326" s="15">
        <v>101.25</v>
      </c>
      <c r="G326" s="15">
        <v>93</v>
      </c>
      <c r="H326" s="15">
        <v>76</v>
      </c>
      <c r="I326" s="15">
        <v>41.5</v>
      </c>
      <c r="J326" s="15"/>
      <c r="K326" s="15"/>
      <c r="L326" s="15">
        <v>76</v>
      </c>
      <c r="M326" s="15"/>
      <c r="N326" s="15">
        <v>65</v>
      </c>
      <c r="O326" s="15">
        <v>270.25</v>
      </c>
      <c r="P326" s="15">
        <v>452.75</v>
      </c>
    </row>
    <row r="327" ht="14.25" spans="1:16">
      <c r="A327" s="13">
        <v>326</v>
      </c>
      <c r="B327" s="15">
        <v>7</v>
      </c>
      <c r="C327" s="16">
        <v>39</v>
      </c>
      <c r="D327" s="17" t="s">
        <v>663</v>
      </c>
      <c r="E327" s="17" t="s">
        <v>664</v>
      </c>
      <c r="F327" s="15">
        <v>98</v>
      </c>
      <c r="G327" s="15">
        <v>59</v>
      </c>
      <c r="H327" s="15">
        <v>79</v>
      </c>
      <c r="I327" s="15">
        <v>27</v>
      </c>
      <c r="J327" s="15"/>
      <c r="K327" s="15"/>
      <c r="L327" s="15">
        <v>88</v>
      </c>
      <c r="M327" s="15"/>
      <c r="N327" s="15">
        <v>76</v>
      </c>
      <c r="O327" s="15">
        <v>236</v>
      </c>
      <c r="P327" s="15">
        <v>427</v>
      </c>
    </row>
    <row r="328" ht="14.25" spans="1:16">
      <c r="A328" s="13">
        <v>327</v>
      </c>
      <c r="B328" s="15">
        <v>7</v>
      </c>
      <c r="C328" s="16">
        <v>40</v>
      </c>
      <c r="D328" s="17" t="s">
        <v>665</v>
      </c>
      <c r="E328" s="17" t="s">
        <v>666</v>
      </c>
      <c r="F328" s="15">
        <v>107</v>
      </c>
      <c r="G328" s="15">
        <v>89.5</v>
      </c>
      <c r="H328" s="15">
        <v>76</v>
      </c>
      <c r="I328" s="15">
        <v>17.5</v>
      </c>
      <c r="J328" s="15"/>
      <c r="K328" s="15"/>
      <c r="L328" s="15">
        <v>79</v>
      </c>
      <c r="M328" s="15"/>
      <c r="N328" s="15">
        <v>57</v>
      </c>
      <c r="O328" s="15">
        <v>272.5</v>
      </c>
      <c r="P328" s="15">
        <v>426</v>
      </c>
    </row>
    <row r="329" ht="14.25" spans="1:16">
      <c r="A329" s="13">
        <v>328</v>
      </c>
      <c r="B329" s="15">
        <v>7</v>
      </c>
      <c r="C329" s="16">
        <v>41</v>
      </c>
      <c r="D329" s="17" t="s">
        <v>667</v>
      </c>
      <c r="E329" s="17" t="s">
        <v>668</v>
      </c>
      <c r="F329" s="15">
        <v>99.5</v>
      </c>
      <c r="G329" s="15">
        <v>117</v>
      </c>
      <c r="H329" s="15">
        <v>66.5</v>
      </c>
      <c r="I329" s="15">
        <v>32</v>
      </c>
      <c r="J329" s="15"/>
      <c r="K329" s="15"/>
      <c r="L329" s="15">
        <v>68</v>
      </c>
      <c r="M329" s="15"/>
      <c r="N329" s="15">
        <v>73</v>
      </c>
      <c r="O329" s="15">
        <v>283</v>
      </c>
      <c r="P329" s="15">
        <v>456</v>
      </c>
    </row>
    <row r="330" ht="14.25" spans="1:16">
      <c r="A330" s="13">
        <v>329</v>
      </c>
      <c r="B330" s="15">
        <v>8</v>
      </c>
      <c r="C330" s="16">
        <v>1</v>
      </c>
      <c r="D330" s="17" t="s">
        <v>669</v>
      </c>
      <c r="E330" s="17" t="s">
        <v>670</v>
      </c>
      <c r="F330" s="15">
        <v>92</v>
      </c>
      <c r="G330" s="15">
        <v>112</v>
      </c>
      <c r="H330" s="15">
        <v>74.25</v>
      </c>
      <c r="I330" s="15">
        <v>49.5</v>
      </c>
      <c r="J330" s="15"/>
      <c r="K330" s="15">
        <v>75</v>
      </c>
      <c r="L330" s="15"/>
      <c r="M330" s="15"/>
      <c r="N330" s="15">
        <v>80</v>
      </c>
      <c r="O330" s="15">
        <v>278.25</v>
      </c>
      <c r="P330" s="15">
        <v>482.75</v>
      </c>
    </row>
    <row r="331" ht="14.25" spans="1:16">
      <c r="A331" s="13">
        <v>330</v>
      </c>
      <c r="B331" s="15">
        <v>8</v>
      </c>
      <c r="C331" s="16">
        <v>2</v>
      </c>
      <c r="D331" s="17" t="s">
        <v>671</v>
      </c>
      <c r="E331" s="17" t="s">
        <v>672</v>
      </c>
      <c r="F331" s="15">
        <v>101.5</v>
      </c>
      <c r="G331" s="15">
        <v>89</v>
      </c>
      <c r="H331" s="15">
        <v>99.5</v>
      </c>
      <c r="I331" s="15">
        <v>25</v>
      </c>
      <c r="J331" s="15"/>
      <c r="K331" s="15">
        <v>67</v>
      </c>
      <c r="L331" s="15"/>
      <c r="M331" s="15"/>
      <c r="N331" s="15">
        <v>57</v>
      </c>
      <c r="O331" s="15">
        <v>290</v>
      </c>
      <c r="P331" s="15">
        <v>439</v>
      </c>
    </row>
    <row r="332" ht="14.25" spans="1:16">
      <c r="A332" s="13">
        <v>331</v>
      </c>
      <c r="B332" s="15">
        <v>8</v>
      </c>
      <c r="C332" s="16">
        <v>3</v>
      </c>
      <c r="D332" s="17" t="s">
        <v>673</v>
      </c>
      <c r="E332" s="17" t="s">
        <v>674</v>
      </c>
      <c r="F332" s="15">
        <v>98</v>
      </c>
      <c r="G332" s="15">
        <v>92.5</v>
      </c>
      <c r="H332" s="15">
        <v>103.25</v>
      </c>
      <c r="I332" s="15">
        <v>38</v>
      </c>
      <c r="J332" s="15"/>
      <c r="K332" s="15">
        <v>77</v>
      </c>
      <c r="L332" s="15"/>
      <c r="M332" s="15"/>
      <c r="N332" s="15">
        <v>80</v>
      </c>
      <c r="O332" s="15">
        <v>293.75</v>
      </c>
      <c r="P332" s="15">
        <v>488.75</v>
      </c>
    </row>
    <row r="333" ht="14.25" spans="1:16">
      <c r="A333" s="13">
        <v>332</v>
      </c>
      <c r="B333" s="15">
        <v>8</v>
      </c>
      <c r="C333" s="16">
        <v>4</v>
      </c>
      <c r="D333" s="17" t="s">
        <v>675</v>
      </c>
      <c r="E333" s="17" t="s">
        <v>676</v>
      </c>
      <c r="F333" s="15">
        <v>103.5</v>
      </c>
      <c r="G333" s="15">
        <v>98.5</v>
      </c>
      <c r="H333" s="15">
        <v>98</v>
      </c>
      <c r="I333" s="15">
        <v>59</v>
      </c>
      <c r="J333" s="15"/>
      <c r="K333" s="15">
        <v>72</v>
      </c>
      <c r="L333" s="15"/>
      <c r="M333" s="15"/>
      <c r="N333" s="15">
        <v>72</v>
      </c>
      <c r="O333" s="15">
        <v>300</v>
      </c>
      <c r="P333" s="15">
        <v>503</v>
      </c>
    </row>
    <row r="334" ht="14.25" spans="1:16">
      <c r="A334" s="13">
        <v>333</v>
      </c>
      <c r="B334" s="15">
        <v>8</v>
      </c>
      <c r="C334" s="16">
        <v>5</v>
      </c>
      <c r="D334" s="17" t="s">
        <v>677</v>
      </c>
      <c r="E334" s="17" t="s">
        <v>678</v>
      </c>
      <c r="F334" s="15">
        <v>84</v>
      </c>
      <c r="G334" s="15">
        <v>79.5</v>
      </c>
      <c r="H334" s="15">
        <v>86.5</v>
      </c>
      <c r="I334" s="15">
        <v>54</v>
      </c>
      <c r="J334" s="15"/>
      <c r="K334" s="15">
        <v>70</v>
      </c>
      <c r="L334" s="15"/>
      <c r="M334" s="15"/>
      <c r="N334" s="15">
        <v>79</v>
      </c>
      <c r="O334" s="15">
        <v>250</v>
      </c>
      <c r="P334" s="15">
        <v>453</v>
      </c>
    </row>
    <row r="335" ht="14.25" spans="1:16">
      <c r="A335" s="13">
        <v>334</v>
      </c>
      <c r="B335" s="15">
        <v>8</v>
      </c>
      <c r="C335" s="16">
        <v>6</v>
      </c>
      <c r="D335" s="17" t="s">
        <v>679</v>
      </c>
      <c r="E335" s="17" t="s">
        <v>680</v>
      </c>
      <c r="F335" s="15">
        <v>96</v>
      </c>
      <c r="G335" s="15">
        <v>91</v>
      </c>
      <c r="H335" s="15">
        <v>84.75</v>
      </c>
      <c r="I335" s="15">
        <v>38.5</v>
      </c>
      <c r="J335" s="15"/>
      <c r="K335" s="15">
        <v>48</v>
      </c>
      <c r="L335" s="15"/>
      <c r="M335" s="15"/>
      <c r="N335" s="15">
        <v>76</v>
      </c>
      <c r="O335" s="15">
        <v>271.75</v>
      </c>
      <c r="P335" s="15">
        <v>434.25</v>
      </c>
    </row>
    <row r="336" ht="14.25" spans="1:16">
      <c r="A336" s="13">
        <v>335</v>
      </c>
      <c r="B336" s="15">
        <v>8</v>
      </c>
      <c r="C336" s="16">
        <v>7</v>
      </c>
      <c r="D336" s="17" t="s">
        <v>681</v>
      </c>
      <c r="E336" s="17" t="s">
        <v>682</v>
      </c>
      <c r="F336" s="15">
        <v>98</v>
      </c>
      <c r="G336" s="15">
        <v>112</v>
      </c>
      <c r="H336" s="15">
        <v>71.75</v>
      </c>
      <c r="I336" s="15">
        <v>76.5</v>
      </c>
      <c r="J336" s="15"/>
      <c r="K336" s="15">
        <v>73</v>
      </c>
      <c r="L336" s="15"/>
      <c r="M336" s="15"/>
      <c r="N336" s="15">
        <v>62</v>
      </c>
      <c r="O336" s="15">
        <v>281.75</v>
      </c>
      <c r="P336" s="15">
        <v>493.25</v>
      </c>
    </row>
    <row r="337" ht="14.25" spans="1:16">
      <c r="A337" s="13">
        <v>336</v>
      </c>
      <c r="B337" s="15">
        <v>8</v>
      </c>
      <c r="C337" s="16">
        <v>8</v>
      </c>
      <c r="D337" s="17" t="s">
        <v>683</v>
      </c>
      <c r="E337" s="17" t="s">
        <v>684</v>
      </c>
      <c r="F337" s="15">
        <v>107.5</v>
      </c>
      <c r="G337" s="15">
        <v>110.5</v>
      </c>
      <c r="H337" s="15">
        <v>75</v>
      </c>
      <c r="I337" s="15">
        <v>69</v>
      </c>
      <c r="J337" s="15"/>
      <c r="K337" s="15">
        <v>72</v>
      </c>
      <c r="L337" s="15"/>
      <c r="M337" s="15"/>
      <c r="N337" s="15">
        <v>79</v>
      </c>
      <c r="O337" s="15">
        <v>293</v>
      </c>
      <c r="P337" s="15">
        <v>513</v>
      </c>
    </row>
    <row r="338" ht="14.25" spans="1:16">
      <c r="A338" s="13">
        <v>337</v>
      </c>
      <c r="B338" s="15">
        <v>8</v>
      </c>
      <c r="C338" s="16">
        <v>9</v>
      </c>
      <c r="D338" s="17" t="s">
        <v>685</v>
      </c>
      <c r="E338" s="17" t="s">
        <v>686</v>
      </c>
      <c r="F338" s="15">
        <v>100.5</v>
      </c>
      <c r="G338" s="15">
        <v>108.5</v>
      </c>
      <c r="H338" s="15">
        <v>87.25</v>
      </c>
      <c r="I338" s="15">
        <v>43.5</v>
      </c>
      <c r="J338" s="15"/>
      <c r="K338" s="15">
        <v>77</v>
      </c>
      <c r="L338" s="15"/>
      <c r="M338" s="15"/>
      <c r="N338" s="15">
        <v>80</v>
      </c>
      <c r="O338" s="15">
        <v>296.25</v>
      </c>
      <c r="P338" s="15">
        <v>496.75</v>
      </c>
    </row>
    <row r="339" ht="14.25" spans="1:16">
      <c r="A339" s="13">
        <v>338</v>
      </c>
      <c r="B339" s="15">
        <v>8</v>
      </c>
      <c r="C339" s="16">
        <v>10</v>
      </c>
      <c r="D339" s="17" t="s">
        <v>687</v>
      </c>
      <c r="E339" s="17" t="s">
        <v>688</v>
      </c>
      <c r="F339" s="15">
        <v>110.5</v>
      </c>
      <c r="G339" s="15">
        <v>106.5</v>
      </c>
      <c r="H339" s="15">
        <v>76</v>
      </c>
      <c r="I339" s="15">
        <v>56.5</v>
      </c>
      <c r="J339" s="15"/>
      <c r="K339" s="15">
        <v>89</v>
      </c>
      <c r="L339" s="15"/>
      <c r="M339" s="15"/>
      <c r="N339" s="15">
        <v>75</v>
      </c>
      <c r="O339" s="15">
        <v>293</v>
      </c>
      <c r="P339" s="15">
        <v>513.5</v>
      </c>
    </row>
    <row r="340" ht="14.25" spans="1:16">
      <c r="A340" s="13">
        <v>339</v>
      </c>
      <c r="B340" s="15">
        <v>8</v>
      </c>
      <c r="C340" s="16">
        <v>11</v>
      </c>
      <c r="D340" s="17" t="s">
        <v>689</v>
      </c>
      <c r="E340" s="17" t="s">
        <v>690</v>
      </c>
      <c r="F340" s="15">
        <v>90</v>
      </c>
      <c r="G340" s="15">
        <v>104.5</v>
      </c>
      <c r="H340" s="15">
        <v>98.5</v>
      </c>
      <c r="I340" s="15">
        <v>63.5</v>
      </c>
      <c r="J340" s="15"/>
      <c r="K340" s="15">
        <v>83</v>
      </c>
      <c r="L340" s="15"/>
      <c r="M340" s="15"/>
      <c r="N340" s="15">
        <v>78</v>
      </c>
      <c r="O340" s="15">
        <v>293</v>
      </c>
      <c r="P340" s="15">
        <v>517.5</v>
      </c>
    </row>
    <row r="341" ht="14.25" spans="1:16">
      <c r="A341" s="13">
        <v>340</v>
      </c>
      <c r="B341" s="15">
        <v>8</v>
      </c>
      <c r="C341" s="16">
        <v>12</v>
      </c>
      <c r="D341" s="17" t="s">
        <v>691</v>
      </c>
      <c r="E341" s="17" t="s">
        <v>692</v>
      </c>
      <c r="F341" s="15">
        <v>87.5</v>
      </c>
      <c r="G341" s="15">
        <v>88.5</v>
      </c>
      <c r="H341" s="15">
        <v>83</v>
      </c>
      <c r="I341" s="15">
        <v>67</v>
      </c>
      <c r="J341" s="15"/>
      <c r="K341" s="15">
        <v>73</v>
      </c>
      <c r="L341" s="15"/>
      <c r="M341" s="15"/>
      <c r="N341" s="15">
        <v>86</v>
      </c>
      <c r="O341" s="15">
        <v>259</v>
      </c>
      <c r="P341" s="15">
        <v>485</v>
      </c>
    </row>
    <row r="342" ht="14.25" spans="1:16">
      <c r="A342" s="13">
        <v>341</v>
      </c>
      <c r="B342" s="15">
        <v>8</v>
      </c>
      <c r="C342" s="16">
        <v>13</v>
      </c>
      <c r="D342" s="17" t="s">
        <v>693</v>
      </c>
      <c r="E342" s="17" t="s">
        <v>694</v>
      </c>
      <c r="F342" s="15">
        <v>101.5</v>
      </c>
      <c r="G342" s="15">
        <v>94</v>
      </c>
      <c r="H342" s="15">
        <v>85.5</v>
      </c>
      <c r="I342" s="15">
        <v>55</v>
      </c>
      <c r="J342" s="15"/>
      <c r="K342" s="15">
        <v>76</v>
      </c>
      <c r="L342" s="15"/>
      <c r="M342" s="15"/>
      <c r="N342" s="15">
        <v>72</v>
      </c>
      <c r="O342" s="15">
        <v>281</v>
      </c>
      <c r="P342" s="15">
        <v>484</v>
      </c>
    </row>
    <row r="343" ht="14.25" spans="1:16">
      <c r="A343" s="13">
        <v>342</v>
      </c>
      <c r="B343" s="15">
        <v>8</v>
      </c>
      <c r="C343" s="16">
        <v>14</v>
      </c>
      <c r="D343" s="17" t="s">
        <v>695</v>
      </c>
      <c r="E343" s="17" t="s">
        <v>696</v>
      </c>
      <c r="F343" s="15">
        <v>103.5</v>
      </c>
      <c r="G343" s="15">
        <v>97</v>
      </c>
      <c r="H343" s="15">
        <v>102.5</v>
      </c>
      <c r="I343" s="15">
        <v>55</v>
      </c>
      <c r="J343" s="15"/>
      <c r="K343" s="15">
        <v>66</v>
      </c>
      <c r="L343" s="15"/>
      <c r="M343" s="15"/>
      <c r="N343" s="15">
        <v>82</v>
      </c>
      <c r="O343" s="15">
        <v>303</v>
      </c>
      <c r="P343" s="15">
        <v>506</v>
      </c>
    </row>
    <row r="344" ht="14.25" spans="1:16">
      <c r="A344" s="13">
        <v>343</v>
      </c>
      <c r="B344" s="15">
        <v>8</v>
      </c>
      <c r="C344" s="16">
        <v>15</v>
      </c>
      <c r="D344" s="17" t="s">
        <v>697</v>
      </c>
      <c r="E344" s="17" t="s">
        <v>698</v>
      </c>
      <c r="F344" s="15">
        <v>98.5</v>
      </c>
      <c r="G344" s="15">
        <v>104.5</v>
      </c>
      <c r="H344" s="15">
        <v>91</v>
      </c>
      <c r="I344" s="15">
        <v>56</v>
      </c>
      <c r="J344" s="15"/>
      <c r="K344" s="15">
        <v>63</v>
      </c>
      <c r="L344" s="15"/>
      <c r="M344" s="15"/>
      <c r="N344" s="15">
        <v>79</v>
      </c>
      <c r="O344" s="15">
        <v>294</v>
      </c>
      <c r="P344" s="15">
        <v>492</v>
      </c>
    </row>
    <row r="345" ht="14.25" spans="1:16">
      <c r="A345" s="13">
        <v>344</v>
      </c>
      <c r="B345" s="15">
        <v>8</v>
      </c>
      <c r="C345" s="16">
        <v>16</v>
      </c>
      <c r="D345" s="17" t="s">
        <v>699</v>
      </c>
      <c r="E345" s="17" t="s">
        <v>700</v>
      </c>
      <c r="F345" s="15">
        <v>105</v>
      </c>
      <c r="G345" s="15">
        <v>112.5</v>
      </c>
      <c r="H345" s="15">
        <v>93.5</v>
      </c>
      <c r="I345" s="15">
        <v>59.5</v>
      </c>
      <c r="J345" s="15"/>
      <c r="K345" s="15">
        <v>82</v>
      </c>
      <c r="L345" s="15"/>
      <c r="M345" s="15"/>
      <c r="N345" s="15">
        <v>89</v>
      </c>
      <c r="O345" s="15">
        <v>311</v>
      </c>
      <c r="P345" s="15">
        <v>541.5</v>
      </c>
    </row>
    <row r="346" ht="14.25" spans="1:16">
      <c r="A346" s="13">
        <v>345</v>
      </c>
      <c r="B346" s="15">
        <v>8</v>
      </c>
      <c r="C346" s="16">
        <v>17</v>
      </c>
      <c r="D346" s="17" t="s">
        <v>701</v>
      </c>
      <c r="E346" s="17" t="s">
        <v>702</v>
      </c>
      <c r="F346" s="15">
        <v>100.25</v>
      </c>
      <c r="G346" s="15">
        <v>109.5</v>
      </c>
      <c r="H346" s="15">
        <v>116</v>
      </c>
      <c r="I346" s="15">
        <v>49.5</v>
      </c>
      <c r="J346" s="15"/>
      <c r="K346" s="15">
        <v>67</v>
      </c>
      <c r="L346" s="15"/>
      <c r="M346" s="15"/>
      <c r="N346" s="15">
        <v>78</v>
      </c>
      <c r="O346" s="15">
        <v>325.75</v>
      </c>
      <c r="P346" s="15">
        <v>520.25</v>
      </c>
    </row>
    <row r="347" ht="14.25" spans="1:16">
      <c r="A347" s="13">
        <v>346</v>
      </c>
      <c r="B347" s="15">
        <v>8</v>
      </c>
      <c r="C347" s="16">
        <v>18</v>
      </c>
      <c r="D347" s="17" t="s">
        <v>703</v>
      </c>
      <c r="E347" s="17" t="s">
        <v>704</v>
      </c>
      <c r="F347" s="15">
        <v>97</v>
      </c>
      <c r="G347" s="15">
        <v>96</v>
      </c>
      <c r="H347" s="15">
        <v>75</v>
      </c>
      <c r="I347" s="15">
        <v>40.5</v>
      </c>
      <c r="J347" s="15"/>
      <c r="K347" s="15">
        <v>59</v>
      </c>
      <c r="L347" s="15"/>
      <c r="M347" s="15"/>
      <c r="N347" s="15">
        <v>72</v>
      </c>
      <c r="O347" s="15">
        <v>268</v>
      </c>
      <c r="P347" s="15">
        <v>439.5</v>
      </c>
    </row>
    <row r="348" ht="14.25" spans="1:16">
      <c r="A348" s="13">
        <v>347</v>
      </c>
      <c r="B348" s="15">
        <v>8</v>
      </c>
      <c r="C348" s="16">
        <v>19</v>
      </c>
      <c r="D348" s="17" t="s">
        <v>705</v>
      </c>
      <c r="E348" s="17" t="s">
        <v>706</v>
      </c>
      <c r="F348" s="15">
        <v>104</v>
      </c>
      <c r="G348" s="15">
        <v>113</v>
      </c>
      <c r="H348" s="15">
        <v>100</v>
      </c>
      <c r="I348" s="15">
        <v>63</v>
      </c>
      <c r="J348" s="15"/>
      <c r="K348" s="15">
        <v>79</v>
      </c>
      <c r="L348" s="15"/>
      <c r="M348" s="15"/>
      <c r="N348" s="15">
        <v>73</v>
      </c>
      <c r="O348" s="15">
        <v>317</v>
      </c>
      <c r="P348" s="15">
        <v>532</v>
      </c>
    </row>
    <row r="349" ht="14.25" spans="1:16">
      <c r="A349" s="13">
        <v>348</v>
      </c>
      <c r="B349" s="15">
        <v>8</v>
      </c>
      <c r="C349" s="16">
        <v>20</v>
      </c>
      <c r="D349" s="17" t="s">
        <v>707</v>
      </c>
      <c r="E349" s="17" t="s">
        <v>708</v>
      </c>
      <c r="F349" s="15">
        <v>98.5</v>
      </c>
      <c r="G349" s="15">
        <v>104</v>
      </c>
      <c r="H349" s="15">
        <v>77.5</v>
      </c>
      <c r="I349" s="15">
        <v>36</v>
      </c>
      <c r="J349" s="15"/>
      <c r="K349" s="15">
        <v>74</v>
      </c>
      <c r="L349" s="15"/>
      <c r="M349" s="15"/>
      <c r="N349" s="15">
        <v>72</v>
      </c>
      <c r="O349" s="15">
        <v>280</v>
      </c>
      <c r="P349" s="15">
        <v>462</v>
      </c>
    </row>
    <row r="350" ht="14.25" spans="1:16">
      <c r="A350" s="13">
        <v>349</v>
      </c>
      <c r="B350" s="15">
        <v>8</v>
      </c>
      <c r="C350" s="16">
        <v>21</v>
      </c>
      <c r="D350" s="17" t="s">
        <v>709</v>
      </c>
      <c r="E350" s="17" t="s">
        <v>710</v>
      </c>
      <c r="F350" s="15">
        <v>64</v>
      </c>
      <c r="G350" s="15">
        <v>12</v>
      </c>
      <c r="H350" s="15">
        <v>36.25</v>
      </c>
      <c r="I350" s="15">
        <v>17</v>
      </c>
      <c r="J350" s="15"/>
      <c r="K350" s="15">
        <v>38</v>
      </c>
      <c r="L350" s="15"/>
      <c r="M350" s="15"/>
      <c r="N350" s="15">
        <v>38</v>
      </c>
      <c r="O350" s="15">
        <v>112.25</v>
      </c>
      <c r="P350" s="15">
        <v>205.25</v>
      </c>
    </row>
    <row r="351" ht="14.25" spans="1:16">
      <c r="A351" s="13">
        <v>350</v>
      </c>
      <c r="B351" s="15">
        <v>8</v>
      </c>
      <c r="C351" s="16">
        <v>22</v>
      </c>
      <c r="D351" s="17" t="s">
        <v>711</v>
      </c>
      <c r="E351" s="17" t="s">
        <v>712</v>
      </c>
      <c r="F351" s="15">
        <v>105</v>
      </c>
      <c r="G351" s="15">
        <v>88.5</v>
      </c>
      <c r="H351" s="15">
        <v>101.5</v>
      </c>
      <c r="I351" s="15">
        <v>33.5</v>
      </c>
      <c r="J351" s="15"/>
      <c r="K351" s="15">
        <v>64</v>
      </c>
      <c r="L351" s="15"/>
      <c r="M351" s="15"/>
      <c r="N351" s="15">
        <v>79</v>
      </c>
      <c r="O351" s="15">
        <v>295</v>
      </c>
      <c r="P351" s="15">
        <v>471.5</v>
      </c>
    </row>
    <row r="352" ht="14.25" spans="1:16">
      <c r="A352" s="13">
        <v>351</v>
      </c>
      <c r="B352" s="15">
        <v>8</v>
      </c>
      <c r="C352" s="16">
        <v>23</v>
      </c>
      <c r="D352" s="17" t="s">
        <v>713</v>
      </c>
      <c r="E352" s="17" t="s">
        <v>714</v>
      </c>
      <c r="F352" s="15">
        <v>107.5</v>
      </c>
      <c r="G352" s="15">
        <v>94</v>
      </c>
      <c r="H352" s="15">
        <v>106</v>
      </c>
      <c r="I352" s="15">
        <v>41</v>
      </c>
      <c r="J352" s="15"/>
      <c r="K352" s="15">
        <v>65</v>
      </c>
      <c r="L352" s="15"/>
      <c r="M352" s="15"/>
      <c r="N352" s="15">
        <v>81</v>
      </c>
      <c r="O352" s="15">
        <v>307.5</v>
      </c>
      <c r="P352" s="15">
        <v>494.5</v>
      </c>
    </row>
    <row r="353" ht="14.25" spans="1:16">
      <c r="A353" s="13">
        <v>352</v>
      </c>
      <c r="B353" s="15">
        <v>8</v>
      </c>
      <c r="C353" s="16">
        <v>25</v>
      </c>
      <c r="D353" s="17" t="s">
        <v>715</v>
      </c>
      <c r="E353" s="17" t="s">
        <v>716</v>
      </c>
      <c r="F353" s="15">
        <v>100</v>
      </c>
      <c r="G353" s="15">
        <v>107</v>
      </c>
      <c r="H353" s="15">
        <v>102.5</v>
      </c>
      <c r="I353" s="15">
        <v>47.5</v>
      </c>
      <c r="J353" s="15"/>
      <c r="K353" s="15">
        <v>61</v>
      </c>
      <c r="L353" s="15"/>
      <c r="M353" s="15"/>
      <c r="N353" s="15">
        <v>85</v>
      </c>
      <c r="O353" s="15">
        <v>309.5</v>
      </c>
      <c r="P353" s="15">
        <v>503</v>
      </c>
    </row>
    <row r="354" ht="14.25" spans="1:16">
      <c r="A354" s="13">
        <v>353</v>
      </c>
      <c r="B354" s="15">
        <v>8</v>
      </c>
      <c r="C354" s="16">
        <v>26</v>
      </c>
      <c r="D354" s="17" t="s">
        <v>717</v>
      </c>
      <c r="E354" s="17" t="s">
        <v>718</v>
      </c>
      <c r="F354" s="15">
        <v>91</v>
      </c>
      <c r="G354" s="15">
        <v>107</v>
      </c>
      <c r="H354" s="15">
        <v>82.75</v>
      </c>
      <c r="I354" s="15">
        <v>59</v>
      </c>
      <c r="J354" s="15"/>
      <c r="K354" s="15">
        <v>82</v>
      </c>
      <c r="L354" s="15"/>
      <c r="M354" s="15"/>
      <c r="N354" s="15">
        <v>83</v>
      </c>
      <c r="O354" s="15">
        <v>280.75</v>
      </c>
      <c r="P354" s="15">
        <v>504.75</v>
      </c>
    </row>
    <row r="355" ht="14.25" spans="1:16">
      <c r="A355" s="13">
        <v>354</v>
      </c>
      <c r="B355" s="15">
        <v>8</v>
      </c>
      <c r="C355" s="16">
        <v>27</v>
      </c>
      <c r="D355" s="17" t="s">
        <v>719</v>
      </c>
      <c r="E355" s="17" t="s">
        <v>720</v>
      </c>
      <c r="F355" s="15">
        <v>98.75</v>
      </c>
      <c r="G355" s="15">
        <v>104.5</v>
      </c>
      <c r="H355" s="15">
        <v>100</v>
      </c>
      <c r="I355" s="15">
        <v>64</v>
      </c>
      <c r="J355" s="15"/>
      <c r="K355" s="15">
        <v>73</v>
      </c>
      <c r="L355" s="15"/>
      <c r="M355" s="15"/>
      <c r="N355" s="15">
        <v>88</v>
      </c>
      <c r="O355" s="15">
        <v>303.25</v>
      </c>
      <c r="P355" s="15">
        <v>528.25</v>
      </c>
    </row>
    <row r="356" ht="14.25" spans="1:16">
      <c r="A356" s="13">
        <v>355</v>
      </c>
      <c r="B356" s="15">
        <v>8</v>
      </c>
      <c r="C356" s="16">
        <v>28</v>
      </c>
      <c r="D356" s="17" t="s">
        <v>721</v>
      </c>
      <c r="E356" s="17" t="s">
        <v>722</v>
      </c>
      <c r="F356" s="15">
        <v>106</v>
      </c>
      <c r="G356" s="15">
        <v>87.5</v>
      </c>
      <c r="H356" s="15">
        <v>107</v>
      </c>
      <c r="I356" s="15">
        <v>69</v>
      </c>
      <c r="J356" s="15"/>
      <c r="K356" s="15">
        <v>77</v>
      </c>
      <c r="L356" s="15"/>
      <c r="M356" s="15"/>
      <c r="N356" s="15">
        <v>72</v>
      </c>
      <c r="O356" s="15">
        <v>300.5</v>
      </c>
      <c r="P356" s="15">
        <v>518.5</v>
      </c>
    </row>
    <row r="357" ht="14.25" spans="1:16">
      <c r="A357" s="13">
        <v>356</v>
      </c>
      <c r="B357" s="15">
        <v>8</v>
      </c>
      <c r="C357" s="16">
        <v>29</v>
      </c>
      <c r="D357" s="17" t="s">
        <v>723</v>
      </c>
      <c r="E357" s="17" t="s">
        <v>724</v>
      </c>
      <c r="F357" s="15">
        <v>101</v>
      </c>
      <c r="G357" s="15">
        <v>107</v>
      </c>
      <c r="H357" s="15">
        <v>85.5</v>
      </c>
      <c r="I357" s="15">
        <v>52.5</v>
      </c>
      <c r="J357" s="15"/>
      <c r="K357" s="15">
        <v>63</v>
      </c>
      <c r="L357" s="15"/>
      <c r="M357" s="15"/>
      <c r="N357" s="15">
        <v>82</v>
      </c>
      <c r="O357" s="15">
        <v>293.5</v>
      </c>
      <c r="P357" s="15">
        <v>491</v>
      </c>
    </row>
    <row r="358" ht="14.25" spans="1:16">
      <c r="A358" s="13">
        <v>357</v>
      </c>
      <c r="B358" s="15">
        <v>8</v>
      </c>
      <c r="C358" s="16">
        <v>31</v>
      </c>
      <c r="D358" s="17" t="s">
        <v>725</v>
      </c>
      <c r="E358" s="17" t="s">
        <v>726</v>
      </c>
      <c r="F358" s="15">
        <v>99</v>
      </c>
      <c r="G358" s="15">
        <v>114.5</v>
      </c>
      <c r="H358" s="15">
        <v>97.25</v>
      </c>
      <c r="I358" s="15">
        <v>49</v>
      </c>
      <c r="J358" s="15"/>
      <c r="K358" s="15">
        <v>76</v>
      </c>
      <c r="L358" s="15"/>
      <c r="M358" s="15"/>
      <c r="N358" s="15">
        <v>78</v>
      </c>
      <c r="O358" s="15">
        <v>310.75</v>
      </c>
      <c r="P358" s="15">
        <v>513.75</v>
      </c>
    </row>
    <row r="359" ht="14.25" spans="1:16">
      <c r="A359" s="13">
        <v>358</v>
      </c>
      <c r="B359" s="15">
        <v>8</v>
      </c>
      <c r="C359" s="16">
        <v>32</v>
      </c>
      <c r="D359" s="17" t="s">
        <v>727</v>
      </c>
      <c r="E359" s="17" t="s">
        <v>526</v>
      </c>
      <c r="F359" s="15">
        <v>92.5</v>
      </c>
      <c r="G359" s="15">
        <v>93.5</v>
      </c>
      <c r="H359" s="15">
        <v>77.5</v>
      </c>
      <c r="I359" s="15">
        <v>58.5</v>
      </c>
      <c r="J359" s="15"/>
      <c r="K359" s="15">
        <v>73</v>
      </c>
      <c r="L359" s="15"/>
      <c r="M359" s="15"/>
      <c r="N359" s="15">
        <v>81</v>
      </c>
      <c r="O359" s="15">
        <v>263.5</v>
      </c>
      <c r="P359" s="15">
        <v>476</v>
      </c>
    </row>
    <row r="360" ht="14.25" spans="1:16">
      <c r="A360" s="13">
        <v>359</v>
      </c>
      <c r="B360" s="15">
        <v>8</v>
      </c>
      <c r="C360" s="16">
        <v>33</v>
      </c>
      <c r="D360" s="17" t="s">
        <v>728</v>
      </c>
      <c r="E360" s="17" t="s">
        <v>729</v>
      </c>
      <c r="F360" s="15">
        <v>107.5</v>
      </c>
      <c r="G360" s="15">
        <v>125</v>
      </c>
      <c r="H360" s="15">
        <v>90.5</v>
      </c>
      <c r="I360" s="15">
        <v>64</v>
      </c>
      <c r="J360" s="15"/>
      <c r="K360" s="15">
        <v>69</v>
      </c>
      <c r="L360" s="15"/>
      <c r="M360" s="15"/>
      <c r="N360" s="15">
        <v>76</v>
      </c>
      <c r="O360" s="15">
        <v>323</v>
      </c>
      <c r="P360" s="15">
        <v>532</v>
      </c>
    </row>
    <row r="361" ht="14.25" spans="1:16">
      <c r="A361" s="13">
        <v>360</v>
      </c>
      <c r="B361" s="15">
        <v>8</v>
      </c>
      <c r="C361" s="16">
        <v>34</v>
      </c>
      <c r="D361" s="17" t="s">
        <v>730</v>
      </c>
      <c r="E361" s="17" t="s">
        <v>731</v>
      </c>
      <c r="F361" s="15">
        <v>73.25</v>
      </c>
      <c r="G361" s="15">
        <v>88.5</v>
      </c>
      <c r="H361" s="15">
        <v>81.5</v>
      </c>
      <c r="I361" s="15">
        <v>48</v>
      </c>
      <c r="J361" s="15"/>
      <c r="K361" s="15">
        <v>64</v>
      </c>
      <c r="L361" s="15"/>
      <c r="M361" s="15"/>
      <c r="N361" s="15">
        <v>78</v>
      </c>
      <c r="O361" s="15">
        <v>243.25</v>
      </c>
      <c r="P361" s="15">
        <v>433.25</v>
      </c>
    </row>
    <row r="362" ht="14.25" spans="1:16">
      <c r="A362" s="13">
        <v>361</v>
      </c>
      <c r="B362" s="15">
        <v>8</v>
      </c>
      <c r="C362" s="16">
        <v>35</v>
      </c>
      <c r="D362" s="17" t="s">
        <v>732</v>
      </c>
      <c r="E362" s="17" t="s">
        <v>733</v>
      </c>
      <c r="F362" s="15">
        <v>108</v>
      </c>
      <c r="G362" s="15">
        <v>95</v>
      </c>
      <c r="H362" s="15">
        <v>92</v>
      </c>
      <c r="I362" s="15">
        <v>42</v>
      </c>
      <c r="J362" s="15"/>
      <c r="K362" s="15">
        <v>81</v>
      </c>
      <c r="L362" s="15"/>
      <c r="M362" s="15"/>
      <c r="N362" s="15">
        <v>79</v>
      </c>
      <c r="O362" s="15">
        <v>295</v>
      </c>
      <c r="P362" s="15">
        <v>497</v>
      </c>
    </row>
    <row r="363" ht="14.25" spans="1:16">
      <c r="A363" s="13">
        <v>362</v>
      </c>
      <c r="B363" s="15">
        <v>8</v>
      </c>
      <c r="C363" s="16">
        <v>36</v>
      </c>
      <c r="D363" s="17" t="s">
        <v>734</v>
      </c>
      <c r="E363" s="17" t="s">
        <v>735</v>
      </c>
      <c r="F363" s="15">
        <v>93.5</v>
      </c>
      <c r="G363" s="15">
        <v>98</v>
      </c>
      <c r="H363" s="15">
        <v>97.25</v>
      </c>
      <c r="I363" s="15">
        <v>56</v>
      </c>
      <c r="J363" s="15"/>
      <c r="K363" s="15">
        <v>68</v>
      </c>
      <c r="L363" s="15"/>
      <c r="M363" s="15"/>
      <c r="N363" s="15">
        <v>70</v>
      </c>
      <c r="O363" s="15">
        <v>288.75</v>
      </c>
      <c r="P363" s="15">
        <v>482.75</v>
      </c>
    </row>
    <row r="364" ht="14.25" spans="1:16">
      <c r="A364" s="13">
        <v>363</v>
      </c>
      <c r="B364" s="15">
        <v>8</v>
      </c>
      <c r="C364" s="16">
        <v>37</v>
      </c>
      <c r="D364" s="17" t="s">
        <v>736</v>
      </c>
      <c r="E364" s="17" t="s">
        <v>737</v>
      </c>
      <c r="F364" s="15">
        <v>104</v>
      </c>
      <c r="G364" s="15">
        <v>70</v>
      </c>
      <c r="H364" s="15">
        <v>81.5</v>
      </c>
      <c r="I364" s="15">
        <v>36.5</v>
      </c>
      <c r="J364" s="15"/>
      <c r="K364" s="15">
        <v>81</v>
      </c>
      <c r="L364" s="15"/>
      <c r="M364" s="15"/>
      <c r="N364" s="15">
        <v>62</v>
      </c>
      <c r="O364" s="15">
        <v>255.5</v>
      </c>
      <c r="P364" s="15">
        <v>435</v>
      </c>
    </row>
    <row r="365" ht="14.25" spans="1:16">
      <c r="A365" s="13">
        <v>364</v>
      </c>
      <c r="B365" s="15">
        <v>8</v>
      </c>
      <c r="C365" s="16">
        <v>38</v>
      </c>
      <c r="D365" s="17" t="s">
        <v>738</v>
      </c>
      <c r="E365" s="17" t="s">
        <v>739</v>
      </c>
      <c r="F365" s="15">
        <v>88</v>
      </c>
      <c r="G365" s="15">
        <v>93</v>
      </c>
      <c r="H365" s="15">
        <v>79</v>
      </c>
      <c r="I365" s="15">
        <v>44</v>
      </c>
      <c r="J365" s="15"/>
      <c r="K365" s="15">
        <v>80</v>
      </c>
      <c r="L365" s="15"/>
      <c r="M365" s="15"/>
      <c r="N365" s="15">
        <v>82</v>
      </c>
      <c r="O365" s="15">
        <v>260</v>
      </c>
      <c r="P365" s="15">
        <v>466</v>
      </c>
    </row>
    <row r="366" ht="14.25" spans="1:16">
      <c r="A366" s="13">
        <v>365</v>
      </c>
      <c r="B366" s="15">
        <v>8</v>
      </c>
      <c r="C366" s="16">
        <v>39</v>
      </c>
      <c r="D366" s="17" t="s">
        <v>740</v>
      </c>
      <c r="E366" s="17" t="s">
        <v>741</v>
      </c>
      <c r="F366" s="15">
        <v>103</v>
      </c>
      <c r="G366" s="15">
        <v>100</v>
      </c>
      <c r="H366" s="15">
        <v>111</v>
      </c>
      <c r="I366" s="15">
        <v>61.5</v>
      </c>
      <c r="J366" s="15"/>
      <c r="K366" s="15">
        <v>76</v>
      </c>
      <c r="L366" s="15"/>
      <c r="M366" s="15"/>
      <c r="N366" s="15">
        <v>88</v>
      </c>
      <c r="O366" s="15">
        <v>314</v>
      </c>
      <c r="P366" s="15">
        <v>539.5</v>
      </c>
    </row>
    <row r="367" ht="14.25" spans="1:16">
      <c r="A367" s="13">
        <v>366</v>
      </c>
      <c r="B367" s="15">
        <v>8</v>
      </c>
      <c r="C367" s="16">
        <v>40</v>
      </c>
      <c r="D367" s="17" t="s">
        <v>742</v>
      </c>
      <c r="E367" s="17" t="s">
        <v>743</v>
      </c>
      <c r="F367" s="15">
        <v>104.25</v>
      </c>
      <c r="G367" s="15">
        <v>121</v>
      </c>
      <c r="H367" s="15">
        <v>95.75</v>
      </c>
      <c r="I367" s="15">
        <v>61.5</v>
      </c>
      <c r="J367" s="15"/>
      <c r="K367" s="15">
        <v>84</v>
      </c>
      <c r="L367" s="15"/>
      <c r="M367" s="15"/>
      <c r="N367" s="15">
        <v>67</v>
      </c>
      <c r="O367" s="15">
        <v>321</v>
      </c>
      <c r="P367" s="15">
        <v>533.5</v>
      </c>
    </row>
    <row r="368" ht="14.25" spans="1:16">
      <c r="A368" s="13">
        <v>367</v>
      </c>
      <c r="B368" s="15">
        <v>8</v>
      </c>
      <c r="C368" s="16">
        <v>41</v>
      </c>
      <c r="D368" s="17" t="s">
        <v>744</v>
      </c>
      <c r="E368" s="17" t="s">
        <v>745</v>
      </c>
      <c r="F368" s="15">
        <v>93</v>
      </c>
      <c r="G368" s="15">
        <v>77.5</v>
      </c>
      <c r="H368" s="15">
        <v>88.5</v>
      </c>
      <c r="I368" s="15">
        <v>44</v>
      </c>
      <c r="J368" s="15"/>
      <c r="K368" s="15">
        <v>58</v>
      </c>
      <c r="L368" s="15"/>
      <c r="M368" s="15"/>
      <c r="N368" s="15">
        <v>63</v>
      </c>
      <c r="O368" s="15">
        <v>259</v>
      </c>
      <c r="P368" s="15">
        <v>424</v>
      </c>
    </row>
    <row r="369" ht="14.25" spans="1:16">
      <c r="A369" s="13">
        <v>368</v>
      </c>
      <c r="B369" s="15">
        <v>8</v>
      </c>
      <c r="C369" s="16">
        <v>42</v>
      </c>
      <c r="D369" s="17" t="s">
        <v>746</v>
      </c>
      <c r="E369" s="17" t="s">
        <v>747</v>
      </c>
      <c r="F369" s="15">
        <v>100.5</v>
      </c>
      <c r="G369" s="15">
        <v>111.5</v>
      </c>
      <c r="H369" s="15">
        <v>72</v>
      </c>
      <c r="I369" s="15">
        <v>67</v>
      </c>
      <c r="J369" s="15"/>
      <c r="K369" s="15">
        <v>86</v>
      </c>
      <c r="L369" s="15"/>
      <c r="M369" s="15"/>
      <c r="N369" s="15">
        <v>88</v>
      </c>
      <c r="O369" s="15">
        <v>284</v>
      </c>
      <c r="P369" s="15">
        <v>525</v>
      </c>
    </row>
    <row r="370" ht="14.25" spans="1:16">
      <c r="A370" s="13">
        <v>369</v>
      </c>
      <c r="B370" s="15">
        <v>8</v>
      </c>
      <c r="C370" s="16">
        <v>43</v>
      </c>
      <c r="D370" s="17" t="s">
        <v>748</v>
      </c>
      <c r="E370" s="17" t="s">
        <v>749</v>
      </c>
      <c r="F370" s="15">
        <v>90.5</v>
      </c>
      <c r="G370" s="15">
        <v>82.5</v>
      </c>
      <c r="H370" s="15">
        <v>94.5</v>
      </c>
      <c r="I370" s="15">
        <v>51</v>
      </c>
      <c r="J370" s="15"/>
      <c r="K370" s="15">
        <v>61</v>
      </c>
      <c r="L370" s="15"/>
      <c r="M370" s="15"/>
      <c r="N370" s="15">
        <v>55</v>
      </c>
      <c r="O370" s="15">
        <v>267.5</v>
      </c>
      <c r="P370" s="15">
        <v>434.5</v>
      </c>
    </row>
    <row r="371" ht="14.25" spans="1:16">
      <c r="A371" s="13">
        <v>370</v>
      </c>
      <c r="B371" s="15">
        <v>8</v>
      </c>
      <c r="C371" s="16">
        <v>44</v>
      </c>
      <c r="D371" s="17" t="s">
        <v>750</v>
      </c>
      <c r="E371" s="17" t="s">
        <v>751</v>
      </c>
      <c r="F371" s="15">
        <v>106.25</v>
      </c>
      <c r="G371" s="15">
        <v>58</v>
      </c>
      <c r="H371" s="15">
        <v>49.25</v>
      </c>
      <c r="I371" s="15">
        <v>39</v>
      </c>
      <c r="J371" s="15"/>
      <c r="K371" s="15">
        <v>60</v>
      </c>
      <c r="L371" s="15"/>
      <c r="M371" s="15"/>
      <c r="N371" s="15">
        <v>64</v>
      </c>
      <c r="O371" s="15">
        <v>213.5</v>
      </c>
      <c r="P371" s="15">
        <v>376.5</v>
      </c>
    </row>
    <row r="372" ht="14.25" spans="1:16">
      <c r="A372" s="13">
        <v>371</v>
      </c>
      <c r="B372" s="15">
        <v>8</v>
      </c>
      <c r="C372" s="16">
        <v>45</v>
      </c>
      <c r="D372" s="17" t="s">
        <v>752</v>
      </c>
      <c r="E372" s="17" t="s">
        <v>753</v>
      </c>
      <c r="F372" s="15">
        <v>87</v>
      </c>
      <c r="G372" s="15">
        <v>83.5</v>
      </c>
      <c r="H372" s="15">
        <v>61</v>
      </c>
      <c r="I372" s="15">
        <v>33.5</v>
      </c>
      <c r="J372" s="15"/>
      <c r="K372" s="15">
        <v>52</v>
      </c>
      <c r="L372" s="15"/>
      <c r="M372" s="15"/>
      <c r="N372" s="15">
        <v>71</v>
      </c>
      <c r="O372" s="15">
        <v>231.5</v>
      </c>
      <c r="P372" s="15">
        <v>388</v>
      </c>
    </row>
    <row r="373" ht="14.25" spans="1:16">
      <c r="A373" s="13">
        <v>372</v>
      </c>
      <c r="B373" s="15">
        <v>8</v>
      </c>
      <c r="C373" s="16">
        <v>46</v>
      </c>
      <c r="D373" s="17" t="s">
        <v>754</v>
      </c>
      <c r="E373" s="17" t="s">
        <v>755</v>
      </c>
      <c r="F373" s="15">
        <v>86.5</v>
      </c>
      <c r="G373" s="15">
        <v>124</v>
      </c>
      <c r="H373" s="15">
        <v>79.75</v>
      </c>
      <c r="I373" s="15">
        <v>65.5</v>
      </c>
      <c r="J373" s="15"/>
      <c r="K373" s="15">
        <v>87</v>
      </c>
      <c r="L373" s="15"/>
      <c r="M373" s="15"/>
      <c r="N373" s="15">
        <v>91</v>
      </c>
      <c r="O373" s="15">
        <v>290.25</v>
      </c>
      <c r="P373" s="15">
        <v>533.75</v>
      </c>
    </row>
    <row r="374" ht="14.25" spans="1:16">
      <c r="A374" s="13">
        <v>373</v>
      </c>
      <c r="B374" s="15">
        <v>8</v>
      </c>
      <c r="C374" s="16">
        <v>47</v>
      </c>
      <c r="D374" s="17" t="s">
        <v>756</v>
      </c>
      <c r="E374" s="17" t="s">
        <v>757</v>
      </c>
      <c r="F374" s="15">
        <v>94.5</v>
      </c>
      <c r="G374" s="15">
        <v>89</v>
      </c>
      <c r="H374" s="15">
        <v>91.25</v>
      </c>
      <c r="I374" s="15">
        <v>55.5</v>
      </c>
      <c r="J374" s="15"/>
      <c r="K374" s="15">
        <v>70</v>
      </c>
      <c r="L374" s="15"/>
      <c r="M374" s="15"/>
      <c r="N374" s="15">
        <v>66</v>
      </c>
      <c r="O374" s="15">
        <v>274.75</v>
      </c>
      <c r="P374" s="15">
        <v>466.25</v>
      </c>
    </row>
    <row r="375" ht="14.25" spans="1:16">
      <c r="A375" s="13">
        <v>374</v>
      </c>
      <c r="B375" s="15">
        <v>8</v>
      </c>
      <c r="C375" s="16">
        <v>48</v>
      </c>
      <c r="D375" s="17" t="s">
        <v>758</v>
      </c>
      <c r="E375" s="17" t="s">
        <v>759</v>
      </c>
      <c r="F375" s="15">
        <v>100.5</v>
      </c>
      <c r="G375" s="15">
        <v>85.5</v>
      </c>
      <c r="H375" s="15">
        <v>115</v>
      </c>
      <c r="I375" s="15">
        <v>43</v>
      </c>
      <c r="J375" s="15"/>
      <c r="K375" s="15">
        <v>79</v>
      </c>
      <c r="L375" s="15"/>
      <c r="M375" s="15"/>
      <c r="N375" s="15">
        <v>65</v>
      </c>
      <c r="O375" s="15">
        <v>301</v>
      </c>
      <c r="P375" s="15">
        <v>488</v>
      </c>
    </row>
    <row r="376" ht="14.25" spans="1:16">
      <c r="A376" s="13">
        <v>375</v>
      </c>
      <c r="B376" s="15">
        <v>8</v>
      </c>
      <c r="C376" s="16">
        <v>49</v>
      </c>
      <c r="D376" s="17" t="s">
        <v>760</v>
      </c>
      <c r="E376" s="17" t="s">
        <v>761</v>
      </c>
      <c r="F376" s="15">
        <v>108.5</v>
      </c>
      <c r="G376" s="15">
        <v>120</v>
      </c>
      <c r="H376" s="15">
        <v>115.5</v>
      </c>
      <c r="I376" s="15">
        <v>66.5</v>
      </c>
      <c r="J376" s="15"/>
      <c r="K376" s="15">
        <v>89</v>
      </c>
      <c r="L376" s="15"/>
      <c r="M376" s="15"/>
      <c r="N376" s="15">
        <v>88</v>
      </c>
      <c r="O376" s="15">
        <v>344</v>
      </c>
      <c r="P376" s="15">
        <v>587.5</v>
      </c>
    </row>
    <row r="377" ht="14.25" spans="1:16">
      <c r="A377" s="13">
        <v>376</v>
      </c>
      <c r="B377" s="15">
        <v>8</v>
      </c>
      <c r="C377" s="16">
        <v>50</v>
      </c>
      <c r="D377" s="17" t="s">
        <v>762</v>
      </c>
      <c r="E377" s="17" t="s">
        <v>763</v>
      </c>
      <c r="F377" s="15">
        <v>102.5</v>
      </c>
      <c r="G377" s="15">
        <v>110.5</v>
      </c>
      <c r="H377" s="15">
        <v>107.25</v>
      </c>
      <c r="I377" s="15">
        <v>62.5</v>
      </c>
      <c r="J377" s="15"/>
      <c r="K377" s="15">
        <v>84</v>
      </c>
      <c r="L377" s="15"/>
      <c r="M377" s="15"/>
      <c r="N377" s="15">
        <v>73</v>
      </c>
      <c r="O377" s="15">
        <v>320.25</v>
      </c>
      <c r="P377" s="15">
        <v>539.75</v>
      </c>
    </row>
    <row r="378" ht="14.25" spans="1:16">
      <c r="A378" s="13">
        <v>377</v>
      </c>
      <c r="B378" s="15">
        <v>8</v>
      </c>
      <c r="C378" s="16">
        <v>51</v>
      </c>
      <c r="D378" s="17" t="s">
        <v>764</v>
      </c>
      <c r="E378" s="17" t="s">
        <v>765</v>
      </c>
      <c r="F378" s="15">
        <v>110.5</v>
      </c>
      <c r="G378" s="15">
        <v>102.5</v>
      </c>
      <c r="H378" s="15">
        <v>96.5</v>
      </c>
      <c r="I378" s="15">
        <v>39.5</v>
      </c>
      <c r="J378" s="15"/>
      <c r="K378" s="15">
        <v>74</v>
      </c>
      <c r="L378" s="15"/>
      <c r="M378" s="15"/>
      <c r="N378" s="15">
        <v>60</v>
      </c>
      <c r="O378" s="15">
        <v>309.5</v>
      </c>
      <c r="P378" s="15">
        <v>483</v>
      </c>
    </row>
    <row r="379" ht="14.25" spans="1:16">
      <c r="A379" s="13">
        <v>378</v>
      </c>
      <c r="B379" s="15">
        <v>8</v>
      </c>
      <c r="C379" s="16">
        <v>52</v>
      </c>
      <c r="D379" s="19" t="s">
        <v>766</v>
      </c>
      <c r="E379" s="17" t="s">
        <v>767</v>
      </c>
      <c r="F379" s="15">
        <v>96</v>
      </c>
      <c r="G379" s="15">
        <v>98</v>
      </c>
      <c r="H379" s="15">
        <v>82.75</v>
      </c>
      <c r="I379" s="15">
        <v>57.5</v>
      </c>
      <c r="J379" s="15"/>
      <c r="K379" s="15">
        <v>69</v>
      </c>
      <c r="L379" s="15"/>
      <c r="M379" s="15"/>
      <c r="N379" s="15">
        <v>72</v>
      </c>
      <c r="O379" s="15">
        <v>276.75</v>
      </c>
      <c r="P379" s="15">
        <v>475.25</v>
      </c>
    </row>
    <row r="380" ht="14.25" spans="1:16">
      <c r="A380" s="13">
        <v>379</v>
      </c>
      <c r="B380" s="15">
        <v>8</v>
      </c>
      <c r="C380" s="16">
        <v>53</v>
      </c>
      <c r="D380" s="17" t="s">
        <v>768</v>
      </c>
      <c r="E380" s="17" t="s">
        <v>769</v>
      </c>
      <c r="F380" s="15">
        <v>101.5</v>
      </c>
      <c r="G380" s="15">
        <v>101.5</v>
      </c>
      <c r="H380" s="15">
        <v>96</v>
      </c>
      <c r="I380" s="15">
        <v>39</v>
      </c>
      <c r="J380" s="15"/>
      <c r="K380" s="15">
        <v>68</v>
      </c>
      <c r="L380" s="15"/>
      <c r="M380" s="15"/>
      <c r="N380" s="15">
        <v>80</v>
      </c>
      <c r="O380" s="15">
        <v>299</v>
      </c>
      <c r="P380" s="15">
        <v>486</v>
      </c>
    </row>
    <row r="381" ht="14.25" spans="1:16">
      <c r="A381" s="13">
        <v>380</v>
      </c>
      <c r="B381" s="15">
        <v>8</v>
      </c>
      <c r="C381" s="16">
        <v>54</v>
      </c>
      <c r="D381" s="17" t="s">
        <v>770</v>
      </c>
      <c r="E381" s="17" t="s">
        <v>771</v>
      </c>
      <c r="F381" s="15">
        <v>107</v>
      </c>
      <c r="G381" s="15">
        <v>101.5</v>
      </c>
      <c r="H381" s="15">
        <v>110</v>
      </c>
      <c r="I381" s="15">
        <v>64.5</v>
      </c>
      <c r="J381" s="15"/>
      <c r="K381" s="15">
        <v>71</v>
      </c>
      <c r="L381" s="15"/>
      <c r="M381" s="15"/>
      <c r="N381" s="15">
        <v>78</v>
      </c>
      <c r="O381" s="15">
        <v>318.5</v>
      </c>
      <c r="P381" s="15">
        <v>532</v>
      </c>
    </row>
    <row r="382" ht="14.25" spans="1:16">
      <c r="A382" s="13">
        <v>381</v>
      </c>
      <c r="B382" s="15">
        <v>8</v>
      </c>
      <c r="C382" s="16">
        <v>55</v>
      </c>
      <c r="D382" s="19" t="s">
        <v>772</v>
      </c>
      <c r="E382" s="17" t="s">
        <v>773</v>
      </c>
      <c r="F382" s="15">
        <v>95.5</v>
      </c>
      <c r="G382" s="15">
        <v>115.5</v>
      </c>
      <c r="H382" s="15">
        <v>106.5</v>
      </c>
      <c r="I382" s="15">
        <v>45.5</v>
      </c>
      <c r="J382" s="15"/>
      <c r="K382" s="15">
        <v>74</v>
      </c>
      <c r="L382" s="15"/>
      <c r="M382" s="15"/>
      <c r="N382" s="15">
        <v>77</v>
      </c>
      <c r="O382" s="15">
        <v>317.5</v>
      </c>
      <c r="P382" s="15">
        <v>514</v>
      </c>
    </row>
    <row r="383" ht="14.25" spans="1:16">
      <c r="A383" s="13">
        <v>382</v>
      </c>
      <c r="B383" s="15">
        <v>8</v>
      </c>
      <c r="C383" s="16">
        <v>58</v>
      </c>
      <c r="D383" s="17" t="s">
        <v>774</v>
      </c>
      <c r="E383" s="17" t="s">
        <v>775</v>
      </c>
      <c r="F383" s="15">
        <v>102.5</v>
      </c>
      <c r="G383" s="15">
        <v>99.5</v>
      </c>
      <c r="H383" s="15">
        <v>87</v>
      </c>
      <c r="I383" s="15">
        <v>56</v>
      </c>
      <c r="J383" s="15"/>
      <c r="K383" s="15">
        <v>64</v>
      </c>
      <c r="L383" s="15"/>
      <c r="M383" s="15"/>
      <c r="N383" s="15">
        <v>60</v>
      </c>
      <c r="O383" s="15">
        <v>289</v>
      </c>
      <c r="P383" s="15">
        <v>469</v>
      </c>
    </row>
    <row r="384" ht="14.25" spans="1:16">
      <c r="A384" s="13">
        <v>383</v>
      </c>
      <c r="B384" s="15">
        <v>8</v>
      </c>
      <c r="C384" s="16">
        <v>59</v>
      </c>
      <c r="D384" s="17" t="s">
        <v>776</v>
      </c>
      <c r="E384" s="17" t="s">
        <v>777</v>
      </c>
      <c r="F384" s="15">
        <v>100.5</v>
      </c>
      <c r="G384" s="15">
        <v>97.5</v>
      </c>
      <c r="H384" s="15">
        <v>89.75</v>
      </c>
      <c r="I384" s="15">
        <v>53.5</v>
      </c>
      <c r="J384" s="15"/>
      <c r="K384" s="15">
        <v>68</v>
      </c>
      <c r="L384" s="15"/>
      <c r="M384" s="15"/>
      <c r="N384" s="15">
        <v>73</v>
      </c>
      <c r="O384" s="15">
        <v>287.75</v>
      </c>
      <c r="P384" s="15">
        <v>482.25</v>
      </c>
    </row>
    <row r="385" ht="14.25" spans="1:16">
      <c r="A385" s="13">
        <v>384</v>
      </c>
      <c r="B385" s="15">
        <v>8</v>
      </c>
      <c r="C385" s="16">
        <v>60</v>
      </c>
      <c r="D385" s="17" t="s">
        <v>778</v>
      </c>
      <c r="E385" s="17" t="s">
        <v>779</v>
      </c>
      <c r="F385" s="15">
        <v>106.25</v>
      </c>
      <c r="G385" s="15">
        <v>123.5</v>
      </c>
      <c r="H385" s="15">
        <v>84.25</v>
      </c>
      <c r="I385" s="15">
        <v>66</v>
      </c>
      <c r="J385" s="15"/>
      <c r="K385" s="15">
        <v>88</v>
      </c>
      <c r="L385" s="15"/>
      <c r="M385" s="15"/>
      <c r="N385" s="15">
        <v>82</v>
      </c>
      <c r="O385" s="15">
        <v>314</v>
      </c>
      <c r="P385" s="15">
        <v>550</v>
      </c>
    </row>
    <row r="386" ht="14.25" spans="1:16">
      <c r="A386" s="13">
        <v>385</v>
      </c>
      <c r="B386" s="15">
        <v>8</v>
      </c>
      <c r="C386" s="16">
        <v>61</v>
      </c>
      <c r="D386" s="17" t="s">
        <v>780</v>
      </c>
      <c r="E386" s="17" t="s">
        <v>781</v>
      </c>
      <c r="F386" s="15">
        <v>109.5</v>
      </c>
      <c r="G386" s="15">
        <v>92.5</v>
      </c>
      <c r="H386" s="15">
        <v>116</v>
      </c>
      <c r="I386" s="15">
        <v>63.5</v>
      </c>
      <c r="J386" s="15"/>
      <c r="K386" s="15">
        <v>79</v>
      </c>
      <c r="L386" s="15"/>
      <c r="M386" s="15"/>
      <c r="N386" s="15">
        <v>92</v>
      </c>
      <c r="O386" s="15">
        <v>318</v>
      </c>
      <c r="P386" s="15">
        <v>552.5</v>
      </c>
    </row>
    <row r="387" ht="14.25" spans="1:16">
      <c r="A387" s="13">
        <v>386</v>
      </c>
      <c r="B387" s="15">
        <v>9</v>
      </c>
      <c r="C387" s="16">
        <v>1</v>
      </c>
      <c r="D387" s="17" t="s">
        <v>782</v>
      </c>
      <c r="E387" s="17" t="s">
        <v>783</v>
      </c>
      <c r="F387" s="15">
        <v>100.5</v>
      </c>
      <c r="G387" s="15">
        <v>119.5</v>
      </c>
      <c r="H387" s="15">
        <v>104.75</v>
      </c>
      <c r="I387" s="15">
        <v>79</v>
      </c>
      <c r="J387" s="15"/>
      <c r="K387" s="15">
        <v>90</v>
      </c>
      <c r="L387" s="15"/>
      <c r="M387" s="15"/>
      <c r="N387" s="15">
        <v>87</v>
      </c>
      <c r="O387" s="15">
        <v>324.75</v>
      </c>
      <c r="P387" s="15">
        <v>580.75</v>
      </c>
    </row>
    <row r="388" ht="14.25" spans="1:16">
      <c r="A388" s="13">
        <v>387</v>
      </c>
      <c r="B388" s="15">
        <v>9</v>
      </c>
      <c r="C388" s="16">
        <v>2</v>
      </c>
      <c r="D388" s="17" t="s">
        <v>784</v>
      </c>
      <c r="E388" s="17" t="s">
        <v>785</v>
      </c>
      <c r="F388" s="15">
        <v>100.5</v>
      </c>
      <c r="G388" s="15">
        <v>119.5</v>
      </c>
      <c r="H388" s="15">
        <v>109.25</v>
      </c>
      <c r="I388" s="15">
        <v>73</v>
      </c>
      <c r="J388" s="15"/>
      <c r="K388" s="15">
        <v>81</v>
      </c>
      <c r="L388" s="15"/>
      <c r="M388" s="15"/>
      <c r="N388" s="15">
        <v>89</v>
      </c>
      <c r="O388" s="15">
        <v>329.25</v>
      </c>
      <c r="P388" s="15">
        <v>572.25</v>
      </c>
    </row>
    <row r="389" ht="14.25" spans="1:16">
      <c r="A389" s="13">
        <v>388</v>
      </c>
      <c r="B389" s="15">
        <v>9</v>
      </c>
      <c r="C389" s="16">
        <v>3</v>
      </c>
      <c r="D389" s="17" t="s">
        <v>786</v>
      </c>
      <c r="E389" s="17" t="s">
        <v>787</v>
      </c>
      <c r="F389" s="15">
        <v>110.5</v>
      </c>
      <c r="G389" s="15">
        <v>112</v>
      </c>
      <c r="H389" s="15">
        <v>127.5</v>
      </c>
      <c r="I389" s="15">
        <v>70.5</v>
      </c>
      <c r="J389" s="15"/>
      <c r="K389" s="15">
        <v>86</v>
      </c>
      <c r="L389" s="15"/>
      <c r="M389" s="15"/>
      <c r="N389" s="15">
        <v>88</v>
      </c>
      <c r="O389" s="15">
        <v>350</v>
      </c>
      <c r="P389" s="15">
        <v>594.5</v>
      </c>
    </row>
    <row r="390" ht="14.25" spans="1:16">
      <c r="A390" s="13">
        <v>389</v>
      </c>
      <c r="B390" s="15">
        <v>9</v>
      </c>
      <c r="C390" s="16">
        <v>4</v>
      </c>
      <c r="D390" s="17" t="s">
        <v>788</v>
      </c>
      <c r="E390" s="17" t="s">
        <v>789</v>
      </c>
      <c r="F390" s="15">
        <v>105.5</v>
      </c>
      <c r="G390" s="15">
        <v>112.5</v>
      </c>
      <c r="H390" s="15">
        <v>119</v>
      </c>
      <c r="I390" s="15">
        <v>71</v>
      </c>
      <c r="J390" s="15"/>
      <c r="K390" s="15">
        <v>74</v>
      </c>
      <c r="L390" s="15"/>
      <c r="M390" s="15"/>
      <c r="N390" s="15">
        <v>82</v>
      </c>
      <c r="O390" s="15">
        <v>337</v>
      </c>
      <c r="P390" s="15">
        <v>564</v>
      </c>
    </row>
    <row r="391" ht="14.25" spans="1:16">
      <c r="A391" s="13">
        <v>390</v>
      </c>
      <c r="B391" s="15">
        <v>9</v>
      </c>
      <c r="C391" s="16">
        <v>5</v>
      </c>
      <c r="D391" s="17" t="s">
        <v>790</v>
      </c>
      <c r="E391" s="17" t="s">
        <v>791</v>
      </c>
      <c r="F391" s="15">
        <v>109.5</v>
      </c>
      <c r="G391" s="15">
        <v>118.5</v>
      </c>
      <c r="H391" s="15">
        <v>118</v>
      </c>
      <c r="I391" s="15">
        <v>55</v>
      </c>
      <c r="J391" s="15"/>
      <c r="K391" s="15">
        <v>73</v>
      </c>
      <c r="L391" s="15"/>
      <c r="M391" s="15"/>
      <c r="N391" s="15">
        <v>86</v>
      </c>
      <c r="O391" s="15">
        <v>346</v>
      </c>
      <c r="P391" s="15">
        <v>560</v>
      </c>
    </row>
    <row r="392" ht="14.25" spans="1:16">
      <c r="A392" s="13">
        <v>391</v>
      </c>
      <c r="B392" s="15">
        <v>9</v>
      </c>
      <c r="C392" s="16">
        <v>6</v>
      </c>
      <c r="D392" s="17" t="s">
        <v>792</v>
      </c>
      <c r="E392" s="17" t="s">
        <v>793</v>
      </c>
      <c r="F392" s="15">
        <v>95</v>
      </c>
      <c r="G392" s="15">
        <v>130.5</v>
      </c>
      <c r="H392" s="15">
        <v>101</v>
      </c>
      <c r="I392" s="15">
        <v>74</v>
      </c>
      <c r="J392" s="15"/>
      <c r="K392" s="15">
        <v>82</v>
      </c>
      <c r="L392" s="15"/>
      <c r="M392" s="15"/>
      <c r="N392" s="15">
        <v>89</v>
      </c>
      <c r="O392" s="15">
        <v>326.5</v>
      </c>
      <c r="P392" s="15">
        <v>571.5</v>
      </c>
    </row>
    <row r="393" ht="14.25" spans="1:16">
      <c r="A393" s="13">
        <v>392</v>
      </c>
      <c r="B393" s="15">
        <v>9</v>
      </c>
      <c r="C393" s="16">
        <v>7</v>
      </c>
      <c r="D393" s="17" t="s">
        <v>794</v>
      </c>
      <c r="E393" s="17" t="s">
        <v>795</v>
      </c>
      <c r="F393" s="15">
        <v>105</v>
      </c>
      <c r="G393" s="15">
        <v>115</v>
      </c>
      <c r="H393" s="15">
        <v>115.5</v>
      </c>
      <c r="I393" s="15">
        <v>55</v>
      </c>
      <c r="J393" s="15"/>
      <c r="K393" s="15">
        <v>81</v>
      </c>
      <c r="L393" s="15"/>
      <c r="M393" s="15"/>
      <c r="N393" s="15">
        <v>82</v>
      </c>
      <c r="O393" s="15">
        <v>335.5</v>
      </c>
      <c r="P393" s="15">
        <v>553.5</v>
      </c>
    </row>
    <row r="394" ht="14.25" spans="1:16">
      <c r="A394" s="13">
        <v>393</v>
      </c>
      <c r="B394" s="15">
        <v>9</v>
      </c>
      <c r="C394" s="16">
        <v>8</v>
      </c>
      <c r="D394" s="17" t="s">
        <v>796</v>
      </c>
      <c r="E394" s="17" t="s">
        <v>797</v>
      </c>
      <c r="F394" s="15">
        <v>101.5</v>
      </c>
      <c r="G394" s="15">
        <v>130.5</v>
      </c>
      <c r="H394" s="15">
        <v>124</v>
      </c>
      <c r="I394" s="15">
        <v>76</v>
      </c>
      <c r="J394" s="15"/>
      <c r="K394" s="15">
        <v>89</v>
      </c>
      <c r="L394" s="15"/>
      <c r="M394" s="15"/>
      <c r="N394" s="15">
        <v>91</v>
      </c>
      <c r="O394" s="15">
        <v>356</v>
      </c>
      <c r="P394" s="15">
        <v>612</v>
      </c>
    </row>
    <row r="395" ht="14.25" spans="1:16">
      <c r="A395" s="13">
        <v>394</v>
      </c>
      <c r="B395" s="15">
        <v>9</v>
      </c>
      <c r="C395" s="16">
        <v>9</v>
      </c>
      <c r="D395" s="17" t="s">
        <v>798</v>
      </c>
      <c r="E395" s="17" t="s">
        <v>799</v>
      </c>
      <c r="F395" s="15">
        <v>104.5</v>
      </c>
      <c r="G395" s="15">
        <v>126.5</v>
      </c>
      <c r="H395" s="15">
        <v>106</v>
      </c>
      <c r="I395" s="15">
        <v>62</v>
      </c>
      <c r="J395" s="15"/>
      <c r="K395" s="15">
        <v>89</v>
      </c>
      <c r="L395" s="15"/>
      <c r="M395" s="15"/>
      <c r="N395" s="15">
        <v>89</v>
      </c>
      <c r="O395" s="15">
        <v>337</v>
      </c>
      <c r="P395" s="15">
        <v>577</v>
      </c>
    </row>
    <row r="396" ht="14.25" spans="1:16">
      <c r="A396" s="13">
        <v>395</v>
      </c>
      <c r="B396" s="15">
        <v>9</v>
      </c>
      <c r="C396" s="16">
        <v>10</v>
      </c>
      <c r="D396" s="17" t="s">
        <v>800</v>
      </c>
      <c r="E396" s="17" t="s">
        <v>801</v>
      </c>
      <c r="F396" s="15">
        <v>101</v>
      </c>
      <c r="G396" s="15">
        <v>119</v>
      </c>
      <c r="H396" s="15">
        <v>107.25</v>
      </c>
      <c r="I396" s="15">
        <v>69.5</v>
      </c>
      <c r="J396" s="15"/>
      <c r="K396" s="15">
        <v>82</v>
      </c>
      <c r="L396" s="15"/>
      <c r="M396" s="15"/>
      <c r="N396" s="15">
        <v>90</v>
      </c>
      <c r="O396" s="15">
        <v>327.25</v>
      </c>
      <c r="P396" s="15">
        <v>568.75</v>
      </c>
    </row>
    <row r="397" ht="14.25" spans="1:16">
      <c r="A397" s="13">
        <v>396</v>
      </c>
      <c r="B397" s="15">
        <v>9</v>
      </c>
      <c r="C397" s="16">
        <v>11</v>
      </c>
      <c r="D397" s="17" t="s">
        <v>802</v>
      </c>
      <c r="E397" s="17" t="s">
        <v>803</v>
      </c>
      <c r="F397" s="15">
        <v>104</v>
      </c>
      <c r="G397" s="15">
        <v>125.5</v>
      </c>
      <c r="H397" s="15">
        <v>107.5</v>
      </c>
      <c r="I397" s="15">
        <v>76.5</v>
      </c>
      <c r="J397" s="15"/>
      <c r="K397" s="15">
        <v>84</v>
      </c>
      <c r="L397" s="15"/>
      <c r="M397" s="15"/>
      <c r="N397" s="15">
        <v>87</v>
      </c>
      <c r="O397" s="15">
        <v>337</v>
      </c>
      <c r="P397" s="15">
        <v>584.5</v>
      </c>
    </row>
    <row r="398" ht="14.25" spans="1:16">
      <c r="A398" s="13">
        <v>397</v>
      </c>
      <c r="B398" s="15">
        <v>9</v>
      </c>
      <c r="C398" s="16">
        <v>12</v>
      </c>
      <c r="D398" s="17" t="s">
        <v>804</v>
      </c>
      <c r="E398" s="17" t="s">
        <v>805</v>
      </c>
      <c r="F398" s="15">
        <v>94</v>
      </c>
      <c r="G398" s="15">
        <v>121</v>
      </c>
      <c r="H398" s="15">
        <v>102.75</v>
      </c>
      <c r="I398" s="15">
        <v>55.5</v>
      </c>
      <c r="J398" s="15"/>
      <c r="K398" s="15">
        <v>60</v>
      </c>
      <c r="L398" s="15"/>
      <c r="M398" s="15"/>
      <c r="N398" s="15">
        <v>91</v>
      </c>
      <c r="O398" s="15">
        <v>317.75</v>
      </c>
      <c r="P398" s="15">
        <v>524.25</v>
      </c>
    </row>
    <row r="399" ht="14.25" spans="1:16">
      <c r="A399" s="13">
        <v>398</v>
      </c>
      <c r="B399" s="15">
        <v>9</v>
      </c>
      <c r="C399" s="16">
        <v>13</v>
      </c>
      <c r="D399" s="17" t="s">
        <v>806</v>
      </c>
      <c r="E399" s="17" t="s">
        <v>807</v>
      </c>
      <c r="F399" s="15">
        <v>108</v>
      </c>
      <c r="G399" s="15">
        <v>118.5</v>
      </c>
      <c r="H399" s="15">
        <v>122.5</v>
      </c>
      <c r="I399" s="15">
        <v>76.5</v>
      </c>
      <c r="J399" s="15"/>
      <c r="K399" s="15">
        <v>84</v>
      </c>
      <c r="L399" s="15"/>
      <c r="M399" s="15"/>
      <c r="N399" s="15">
        <v>84</v>
      </c>
      <c r="O399" s="15">
        <v>349</v>
      </c>
      <c r="P399" s="15">
        <v>593.5</v>
      </c>
    </row>
    <row r="400" ht="14.25" spans="1:16">
      <c r="A400" s="13">
        <v>399</v>
      </c>
      <c r="B400" s="15">
        <v>9</v>
      </c>
      <c r="C400" s="16">
        <v>14</v>
      </c>
      <c r="D400" s="17" t="s">
        <v>808</v>
      </c>
      <c r="E400" s="17" t="s">
        <v>809</v>
      </c>
      <c r="F400" s="15">
        <v>116</v>
      </c>
      <c r="G400" s="15">
        <v>123.5</v>
      </c>
      <c r="H400" s="15">
        <v>117.75</v>
      </c>
      <c r="I400" s="15">
        <v>84</v>
      </c>
      <c r="J400" s="15"/>
      <c r="K400" s="15">
        <v>90</v>
      </c>
      <c r="L400" s="15"/>
      <c r="M400" s="15"/>
      <c r="N400" s="15">
        <v>92</v>
      </c>
      <c r="O400" s="15">
        <v>357.25</v>
      </c>
      <c r="P400" s="15">
        <v>623.25</v>
      </c>
    </row>
    <row r="401" ht="14.25" spans="1:16">
      <c r="A401" s="13">
        <v>400</v>
      </c>
      <c r="B401" s="15">
        <v>9</v>
      </c>
      <c r="C401" s="16">
        <v>15</v>
      </c>
      <c r="D401" s="17" t="s">
        <v>810</v>
      </c>
      <c r="E401" s="17" t="s">
        <v>811</v>
      </c>
      <c r="F401" s="15">
        <v>99</v>
      </c>
      <c r="G401" s="15">
        <v>124.5</v>
      </c>
      <c r="H401" s="15">
        <v>118.75</v>
      </c>
      <c r="I401" s="15">
        <v>71.5</v>
      </c>
      <c r="J401" s="15"/>
      <c r="K401" s="15">
        <v>89</v>
      </c>
      <c r="L401" s="15"/>
      <c r="M401" s="15"/>
      <c r="N401" s="15">
        <v>88</v>
      </c>
      <c r="O401" s="15">
        <v>342.25</v>
      </c>
      <c r="P401" s="15">
        <v>590.75</v>
      </c>
    </row>
    <row r="402" ht="14.25" spans="1:16">
      <c r="A402" s="13">
        <v>401</v>
      </c>
      <c r="B402" s="15">
        <v>9</v>
      </c>
      <c r="C402" s="16">
        <v>16</v>
      </c>
      <c r="D402" s="17" t="s">
        <v>812</v>
      </c>
      <c r="E402" s="17" t="s">
        <v>813</v>
      </c>
      <c r="F402" s="15">
        <v>100</v>
      </c>
      <c r="G402" s="15">
        <v>120</v>
      </c>
      <c r="H402" s="15">
        <v>120.25</v>
      </c>
      <c r="I402" s="15">
        <v>78</v>
      </c>
      <c r="J402" s="15"/>
      <c r="K402" s="15">
        <v>73</v>
      </c>
      <c r="L402" s="15"/>
      <c r="M402" s="15"/>
      <c r="N402" s="15">
        <v>87</v>
      </c>
      <c r="O402" s="15">
        <v>340.25</v>
      </c>
      <c r="P402" s="15">
        <v>578.25</v>
      </c>
    </row>
    <row r="403" ht="14.25" spans="1:16">
      <c r="A403" s="13">
        <v>402</v>
      </c>
      <c r="B403" s="15">
        <v>9</v>
      </c>
      <c r="C403" s="16">
        <v>17</v>
      </c>
      <c r="D403" s="17" t="s">
        <v>814</v>
      </c>
      <c r="E403" s="17" t="s">
        <v>815</v>
      </c>
      <c r="F403" s="15">
        <v>107</v>
      </c>
      <c r="G403" s="15">
        <v>137</v>
      </c>
      <c r="H403" s="15">
        <v>102</v>
      </c>
      <c r="I403" s="15">
        <v>77</v>
      </c>
      <c r="J403" s="15"/>
      <c r="K403" s="15">
        <v>92</v>
      </c>
      <c r="L403" s="15"/>
      <c r="M403" s="15"/>
      <c r="N403" s="15">
        <v>87</v>
      </c>
      <c r="O403" s="15">
        <v>346</v>
      </c>
      <c r="P403" s="15">
        <v>602</v>
      </c>
    </row>
    <row r="404" ht="14.25" spans="1:16">
      <c r="A404" s="13">
        <v>403</v>
      </c>
      <c r="B404" s="15">
        <v>9</v>
      </c>
      <c r="C404" s="16">
        <v>18</v>
      </c>
      <c r="D404" s="17" t="s">
        <v>816</v>
      </c>
      <c r="E404" s="17" t="s">
        <v>817</v>
      </c>
      <c r="F404" s="15">
        <v>104</v>
      </c>
      <c r="G404" s="15">
        <v>132</v>
      </c>
      <c r="H404" s="15">
        <v>118</v>
      </c>
      <c r="I404" s="15">
        <v>80.5</v>
      </c>
      <c r="J404" s="15"/>
      <c r="K404" s="15">
        <v>87</v>
      </c>
      <c r="L404" s="15"/>
      <c r="M404" s="15"/>
      <c r="N404" s="15">
        <v>89</v>
      </c>
      <c r="O404" s="15">
        <v>354</v>
      </c>
      <c r="P404" s="15">
        <v>610.5</v>
      </c>
    </row>
    <row r="405" ht="14.25" spans="1:16">
      <c r="A405" s="13">
        <v>404</v>
      </c>
      <c r="B405" s="15">
        <v>9</v>
      </c>
      <c r="C405" s="16">
        <v>19</v>
      </c>
      <c r="D405" s="17" t="s">
        <v>818</v>
      </c>
      <c r="E405" s="17" t="s">
        <v>819</v>
      </c>
      <c r="F405" s="15">
        <v>103.5</v>
      </c>
      <c r="G405" s="15">
        <v>117</v>
      </c>
      <c r="H405" s="15">
        <v>105.25</v>
      </c>
      <c r="I405" s="15">
        <v>55.5</v>
      </c>
      <c r="J405" s="15"/>
      <c r="K405" s="15">
        <v>82</v>
      </c>
      <c r="L405" s="15"/>
      <c r="M405" s="15"/>
      <c r="N405" s="15">
        <v>88</v>
      </c>
      <c r="O405" s="15">
        <v>325.75</v>
      </c>
      <c r="P405" s="15">
        <v>551.25</v>
      </c>
    </row>
    <row r="406" ht="14.25" spans="1:16">
      <c r="A406" s="13">
        <v>405</v>
      </c>
      <c r="B406" s="15">
        <v>9</v>
      </c>
      <c r="C406" s="16">
        <v>20</v>
      </c>
      <c r="D406" s="17" t="s">
        <v>820</v>
      </c>
      <c r="E406" s="17" t="s">
        <v>821</v>
      </c>
      <c r="F406" s="15">
        <v>93.5</v>
      </c>
      <c r="G406" s="15">
        <v>123</v>
      </c>
      <c r="H406" s="15">
        <v>119</v>
      </c>
      <c r="I406" s="15">
        <v>66.5</v>
      </c>
      <c r="J406" s="15"/>
      <c r="K406" s="15">
        <v>78</v>
      </c>
      <c r="L406" s="15"/>
      <c r="M406" s="15"/>
      <c r="N406" s="15">
        <v>84</v>
      </c>
      <c r="O406" s="15">
        <v>335.5</v>
      </c>
      <c r="P406" s="15">
        <v>564</v>
      </c>
    </row>
    <row r="407" ht="14.25" spans="1:16">
      <c r="A407" s="13">
        <v>406</v>
      </c>
      <c r="B407" s="15">
        <v>9</v>
      </c>
      <c r="C407" s="16">
        <v>21</v>
      </c>
      <c r="D407" s="17" t="s">
        <v>822</v>
      </c>
      <c r="E407" s="17" t="s">
        <v>823</v>
      </c>
      <c r="F407" s="15">
        <v>103</v>
      </c>
      <c r="G407" s="15">
        <v>118.5</v>
      </c>
      <c r="H407" s="15">
        <v>112.75</v>
      </c>
      <c r="I407" s="15">
        <v>59.5</v>
      </c>
      <c r="J407" s="15"/>
      <c r="K407" s="15">
        <v>64</v>
      </c>
      <c r="L407" s="15"/>
      <c r="M407" s="15"/>
      <c r="N407" s="15">
        <v>74</v>
      </c>
      <c r="O407" s="15">
        <v>334.25</v>
      </c>
      <c r="P407" s="15">
        <v>531.75</v>
      </c>
    </row>
    <row r="408" ht="14.25" spans="1:16">
      <c r="A408" s="13">
        <v>407</v>
      </c>
      <c r="B408" s="15">
        <v>9</v>
      </c>
      <c r="C408" s="16">
        <v>22</v>
      </c>
      <c r="D408" s="17" t="s">
        <v>824</v>
      </c>
      <c r="E408" s="17" t="s">
        <v>825</v>
      </c>
      <c r="F408" s="15">
        <v>100.75</v>
      </c>
      <c r="G408" s="15">
        <v>104</v>
      </c>
      <c r="H408" s="15">
        <v>117</v>
      </c>
      <c r="I408" s="15">
        <v>72.5</v>
      </c>
      <c r="J408" s="15"/>
      <c r="K408" s="15">
        <v>89</v>
      </c>
      <c r="L408" s="15"/>
      <c r="M408" s="15"/>
      <c r="N408" s="15">
        <v>89</v>
      </c>
      <c r="O408" s="15">
        <v>321.75</v>
      </c>
      <c r="P408" s="15">
        <v>572.25</v>
      </c>
    </row>
    <row r="409" ht="14.25" spans="1:16">
      <c r="A409" s="13">
        <v>408</v>
      </c>
      <c r="B409" s="15">
        <v>9</v>
      </c>
      <c r="C409" s="16">
        <v>23</v>
      </c>
      <c r="D409" s="17" t="s">
        <v>826</v>
      </c>
      <c r="E409" s="17" t="s">
        <v>827</v>
      </c>
      <c r="F409" s="15">
        <v>103.25</v>
      </c>
      <c r="G409" s="15">
        <v>123.5</v>
      </c>
      <c r="H409" s="15">
        <v>111.75</v>
      </c>
      <c r="I409" s="15">
        <v>77.5</v>
      </c>
      <c r="J409" s="15"/>
      <c r="K409" s="15">
        <v>86</v>
      </c>
      <c r="L409" s="15"/>
      <c r="M409" s="15"/>
      <c r="N409" s="15">
        <v>88</v>
      </c>
      <c r="O409" s="15">
        <v>338.5</v>
      </c>
      <c r="P409" s="15">
        <v>590</v>
      </c>
    </row>
    <row r="410" ht="14.25" spans="1:16">
      <c r="A410" s="13">
        <v>409</v>
      </c>
      <c r="B410" s="15">
        <v>9</v>
      </c>
      <c r="C410" s="16">
        <v>24</v>
      </c>
      <c r="D410" s="17" t="s">
        <v>828</v>
      </c>
      <c r="E410" s="17" t="s">
        <v>829</v>
      </c>
      <c r="F410" s="15">
        <v>103</v>
      </c>
      <c r="G410" s="15">
        <v>132</v>
      </c>
      <c r="H410" s="15">
        <v>122</v>
      </c>
      <c r="I410" s="15">
        <v>80</v>
      </c>
      <c r="J410" s="15"/>
      <c r="K410" s="15">
        <v>94</v>
      </c>
      <c r="L410" s="15"/>
      <c r="M410" s="15"/>
      <c r="N410" s="15">
        <v>89</v>
      </c>
      <c r="O410" s="15">
        <v>357</v>
      </c>
      <c r="P410" s="15">
        <v>620</v>
      </c>
    </row>
    <row r="411" ht="14.25" spans="1:16">
      <c r="A411" s="13">
        <v>410</v>
      </c>
      <c r="B411" s="15">
        <v>9</v>
      </c>
      <c r="C411" s="16">
        <v>26</v>
      </c>
      <c r="D411" s="17" t="s">
        <v>830</v>
      </c>
      <c r="E411" s="17" t="s">
        <v>831</v>
      </c>
      <c r="F411" s="15">
        <v>108.5</v>
      </c>
      <c r="G411" s="15">
        <v>130</v>
      </c>
      <c r="H411" s="15">
        <v>107.5</v>
      </c>
      <c r="I411" s="15">
        <v>69.5</v>
      </c>
      <c r="J411" s="15"/>
      <c r="K411" s="15">
        <v>88</v>
      </c>
      <c r="L411" s="15"/>
      <c r="M411" s="15"/>
      <c r="N411" s="15">
        <v>89</v>
      </c>
      <c r="O411" s="15">
        <v>346</v>
      </c>
      <c r="P411" s="15">
        <v>592.5</v>
      </c>
    </row>
    <row r="412" ht="14.25" spans="1:16">
      <c r="A412" s="13">
        <v>411</v>
      </c>
      <c r="B412" s="15">
        <v>9</v>
      </c>
      <c r="C412" s="16">
        <v>27</v>
      </c>
      <c r="D412" s="17" t="s">
        <v>832</v>
      </c>
      <c r="E412" s="17" t="s">
        <v>833</v>
      </c>
      <c r="F412" s="15">
        <v>103</v>
      </c>
      <c r="G412" s="15">
        <v>128</v>
      </c>
      <c r="H412" s="15">
        <v>98.5</v>
      </c>
      <c r="I412" s="15">
        <v>80.5</v>
      </c>
      <c r="J412" s="15"/>
      <c r="K412" s="15">
        <v>68</v>
      </c>
      <c r="L412" s="15"/>
      <c r="M412" s="15"/>
      <c r="N412" s="15">
        <v>78</v>
      </c>
      <c r="O412" s="15">
        <v>329.5</v>
      </c>
      <c r="P412" s="15">
        <v>556</v>
      </c>
    </row>
    <row r="413" ht="14.25" spans="1:16">
      <c r="A413" s="13">
        <v>412</v>
      </c>
      <c r="B413" s="15">
        <v>9</v>
      </c>
      <c r="C413" s="16">
        <v>28</v>
      </c>
      <c r="D413" s="17" t="s">
        <v>834</v>
      </c>
      <c r="E413" s="17" t="s">
        <v>835</v>
      </c>
      <c r="F413" s="15">
        <v>102.5</v>
      </c>
      <c r="G413" s="15">
        <v>87</v>
      </c>
      <c r="H413" s="15">
        <v>82</v>
      </c>
      <c r="I413" s="15">
        <v>68.5</v>
      </c>
      <c r="J413" s="15"/>
      <c r="K413" s="15">
        <v>90</v>
      </c>
      <c r="L413" s="15"/>
      <c r="M413" s="15"/>
      <c r="N413" s="15">
        <v>93</v>
      </c>
      <c r="O413" s="15">
        <v>271.5</v>
      </c>
      <c r="P413" s="15">
        <v>523</v>
      </c>
    </row>
    <row r="414" ht="14.25" spans="1:16">
      <c r="A414" s="13">
        <v>413</v>
      </c>
      <c r="B414" s="15">
        <v>9</v>
      </c>
      <c r="C414" s="16">
        <v>29</v>
      </c>
      <c r="D414" s="17" t="s">
        <v>836</v>
      </c>
      <c r="E414" s="17" t="s">
        <v>837</v>
      </c>
      <c r="F414" s="15">
        <v>93.5</v>
      </c>
      <c r="G414" s="15">
        <v>116</v>
      </c>
      <c r="H414" s="15">
        <v>104</v>
      </c>
      <c r="I414" s="15">
        <v>65.5</v>
      </c>
      <c r="J414" s="15"/>
      <c r="K414" s="15">
        <v>69</v>
      </c>
      <c r="L414" s="15"/>
      <c r="M414" s="15"/>
      <c r="N414" s="15">
        <v>76</v>
      </c>
      <c r="O414" s="15">
        <v>313.5</v>
      </c>
      <c r="P414" s="15">
        <v>524</v>
      </c>
    </row>
    <row r="415" ht="14.25" spans="1:16">
      <c r="A415" s="13">
        <v>414</v>
      </c>
      <c r="B415" s="15">
        <v>9</v>
      </c>
      <c r="C415" s="16">
        <v>30</v>
      </c>
      <c r="D415" s="17" t="s">
        <v>838</v>
      </c>
      <c r="E415" s="17" t="s">
        <v>839</v>
      </c>
      <c r="F415" s="15">
        <v>101.5</v>
      </c>
      <c r="G415" s="15">
        <v>130.5</v>
      </c>
      <c r="H415" s="15">
        <v>98.5</v>
      </c>
      <c r="I415" s="15">
        <v>75</v>
      </c>
      <c r="J415" s="15"/>
      <c r="K415" s="15">
        <v>80</v>
      </c>
      <c r="L415" s="15"/>
      <c r="M415" s="15"/>
      <c r="N415" s="15">
        <v>89</v>
      </c>
      <c r="O415" s="15">
        <v>330.5</v>
      </c>
      <c r="P415" s="15">
        <v>574.5</v>
      </c>
    </row>
    <row r="416" ht="14.25" spans="1:16">
      <c r="A416" s="13">
        <v>415</v>
      </c>
      <c r="B416" s="15">
        <v>9</v>
      </c>
      <c r="C416" s="16">
        <v>31</v>
      </c>
      <c r="D416" s="17" t="s">
        <v>840</v>
      </c>
      <c r="E416" s="17" t="s">
        <v>841</v>
      </c>
      <c r="F416" s="15">
        <v>109</v>
      </c>
      <c r="G416" s="15">
        <v>126</v>
      </c>
      <c r="H416" s="15">
        <v>108.5</v>
      </c>
      <c r="I416" s="15">
        <v>60</v>
      </c>
      <c r="J416" s="15"/>
      <c r="K416" s="15">
        <v>76</v>
      </c>
      <c r="L416" s="15"/>
      <c r="M416" s="15"/>
      <c r="N416" s="15">
        <v>83</v>
      </c>
      <c r="O416" s="15">
        <v>343.5</v>
      </c>
      <c r="P416" s="15">
        <v>562.5</v>
      </c>
    </row>
    <row r="417" ht="14.25" spans="1:16">
      <c r="A417" s="13">
        <v>416</v>
      </c>
      <c r="B417" s="15">
        <v>9</v>
      </c>
      <c r="C417" s="16">
        <v>32</v>
      </c>
      <c r="D417" s="17" t="s">
        <v>842</v>
      </c>
      <c r="E417" s="17" t="s">
        <v>843</v>
      </c>
      <c r="F417" s="15">
        <v>105.5</v>
      </c>
      <c r="G417" s="15">
        <v>130</v>
      </c>
      <c r="H417" s="15">
        <v>121.5</v>
      </c>
      <c r="I417" s="15">
        <v>85</v>
      </c>
      <c r="J417" s="15"/>
      <c r="K417" s="15">
        <v>91</v>
      </c>
      <c r="L417" s="15"/>
      <c r="M417" s="15"/>
      <c r="N417" s="15">
        <v>93</v>
      </c>
      <c r="O417" s="15">
        <v>357</v>
      </c>
      <c r="P417" s="15">
        <v>626</v>
      </c>
    </row>
    <row r="418" ht="14.25" spans="1:16">
      <c r="A418" s="13">
        <v>417</v>
      </c>
      <c r="B418" s="15">
        <v>9</v>
      </c>
      <c r="C418" s="16">
        <v>33</v>
      </c>
      <c r="D418" s="17" t="s">
        <v>844</v>
      </c>
      <c r="E418" s="17" t="s">
        <v>845</v>
      </c>
      <c r="F418" s="15">
        <v>98.5</v>
      </c>
      <c r="G418" s="15">
        <v>117.5</v>
      </c>
      <c r="H418" s="15">
        <v>120</v>
      </c>
      <c r="I418" s="15">
        <v>62</v>
      </c>
      <c r="J418" s="15"/>
      <c r="K418" s="15">
        <v>87</v>
      </c>
      <c r="L418" s="15"/>
      <c r="M418" s="15"/>
      <c r="N418" s="15">
        <v>82</v>
      </c>
      <c r="O418" s="15">
        <v>336</v>
      </c>
      <c r="P418" s="15">
        <v>567</v>
      </c>
    </row>
    <row r="419" ht="14.25" spans="1:16">
      <c r="A419" s="13">
        <v>418</v>
      </c>
      <c r="B419" s="15">
        <v>9</v>
      </c>
      <c r="C419" s="16">
        <v>34</v>
      </c>
      <c r="D419" s="17" t="s">
        <v>846</v>
      </c>
      <c r="E419" s="17" t="s">
        <v>847</v>
      </c>
      <c r="F419" s="15">
        <v>113.5</v>
      </c>
      <c r="G419" s="15">
        <v>112</v>
      </c>
      <c r="H419" s="15">
        <v>138.75</v>
      </c>
      <c r="I419" s="15">
        <v>66</v>
      </c>
      <c r="J419" s="15"/>
      <c r="K419" s="15">
        <v>76</v>
      </c>
      <c r="L419" s="15"/>
      <c r="M419" s="15"/>
      <c r="N419" s="15">
        <v>89</v>
      </c>
      <c r="O419" s="15">
        <v>364.25</v>
      </c>
      <c r="P419" s="15">
        <v>595.25</v>
      </c>
    </row>
    <row r="420" ht="14.25" spans="1:16">
      <c r="A420" s="13">
        <v>419</v>
      </c>
      <c r="B420" s="15">
        <v>9</v>
      </c>
      <c r="C420" s="16">
        <v>35</v>
      </c>
      <c r="D420" s="19" t="s">
        <v>848</v>
      </c>
      <c r="E420" s="17" t="s">
        <v>849</v>
      </c>
      <c r="F420" s="15">
        <v>95.5</v>
      </c>
      <c r="G420" s="15">
        <v>128</v>
      </c>
      <c r="H420" s="15">
        <v>104</v>
      </c>
      <c r="I420" s="15">
        <v>69</v>
      </c>
      <c r="J420" s="15"/>
      <c r="K420" s="15">
        <v>86</v>
      </c>
      <c r="L420" s="15"/>
      <c r="M420" s="15"/>
      <c r="N420" s="15">
        <v>75</v>
      </c>
      <c r="O420" s="15">
        <v>327.5</v>
      </c>
      <c r="P420" s="15">
        <v>557.5</v>
      </c>
    </row>
    <row r="421" ht="14.25" spans="1:16">
      <c r="A421" s="13">
        <v>420</v>
      </c>
      <c r="B421" s="15">
        <v>9</v>
      </c>
      <c r="C421" s="16">
        <v>36</v>
      </c>
      <c r="D421" s="17" t="s">
        <v>850</v>
      </c>
      <c r="E421" s="17" t="s">
        <v>851</v>
      </c>
      <c r="F421" s="15">
        <v>107.75</v>
      </c>
      <c r="G421" s="15">
        <v>121.5</v>
      </c>
      <c r="H421" s="15">
        <v>96</v>
      </c>
      <c r="I421" s="15">
        <v>64.5</v>
      </c>
      <c r="J421" s="15"/>
      <c r="K421" s="15">
        <v>90</v>
      </c>
      <c r="L421" s="15"/>
      <c r="M421" s="15"/>
      <c r="N421" s="15">
        <v>85</v>
      </c>
      <c r="O421" s="15">
        <v>325.25</v>
      </c>
      <c r="P421" s="15">
        <v>564.75</v>
      </c>
    </row>
    <row r="422" ht="14.25" spans="1:16">
      <c r="A422" s="13">
        <v>421</v>
      </c>
      <c r="B422" s="15">
        <v>9</v>
      </c>
      <c r="C422" s="16">
        <v>37</v>
      </c>
      <c r="D422" s="17" t="s">
        <v>852</v>
      </c>
      <c r="E422" s="17" t="s">
        <v>853</v>
      </c>
      <c r="F422" s="15">
        <v>99.5</v>
      </c>
      <c r="G422" s="15">
        <v>110.5</v>
      </c>
      <c r="H422" s="15">
        <v>119</v>
      </c>
      <c r="I422" s="15">
        <v>76.5</v>
      </c>
      <c r="J422" s="15"/>
      <c r="K422" s="15">
        <v>78</v>
      </c>
      <c r="L422" s="15"/>
      <c r="M422" s="15"/>
      <c r="N422" s="15">
        <v>92</v>
      </c>
      <c r="O422" s="15">
        <v>329</v>
      </c>
      <c r="P422" s="15">
        <v>575.5</v>
      </c>
    </row>
    <row r="423" ht="14.25" spans="1:16">
      <c r="A423" s="13">
        <v>422</v>
      </c>
      <c r="B423" s="15">
        <v>9</v>
      </c>
      <c r="C423" s="16">
        <v>38</v>
      </c>
      <c r="D423" s="17" t="s">
        <v>854</v>
      </c>
      <c r="E423" s="17" t="s">
        <v>855</v>
      </c>
      <c r="F423" s="15">
        <v>102</v>
      </c>
      <c r="G423" s="15">
        <v>125</v>
      </c>
      <c r="H423" s="15">
        <v>121.25</v>
      </c>
      <c r="I423" s="15">
        <v>82.5</v>
      </c>
      <c r="J423" s="15"/>
      <c r="K423" s="15">
        <v>80</v>
      </c>
      <c r="L423" s="15"/>
      <c r="M423" s="15"/>
      <c r="N423" s="15">
        <v>84</v>
      </c>
      <c r="O423" s="15">
        <v>348.25</v>
      </c>
      <c r="P423" s="15">
        <v>594.75</v>
      </c>
    </row>
    <row r="424" ht="14.25" spans="1:16">
      <c r="A424" s="13">
        <v>423</v>
      </c>
      <c r="B424" s="15">
        <v>9</v>
      </c>
      <c r="C424" s="16">
        <v>39</v>
      </c>
      <c r="D424" s="17" t="s">
        <v>856</v>
      </c>
      <c r="E424" s="17" t="s">
        <v>857</v>
      </c>
      <c r="F424" s="15">
        <v>116</v>
      </c>
      <c r="G424" s="15">
        <v>135.5</v>
      </c>
      <c r="H424" s="15">
        <v>121.5</v>
      </c>
      <c r="I424" s="15">
        <v>83.5</v>
      </c>
      <c r="J424" s="15"/>
      <c r="K424" s="15">
        <v>92</v>
      </c>
      <c r="L424" s="15"/>
      <c r="M424" s="15"/>
      <c r="N424" s="15">
        <v>93</v>
      </c>
      <c r="O424" s="15">
        <v>373</v>
      </c>
      <c r="P424" s="15">
        <v>641.5</v>
      </c>
    </row>
    <row r="425" ht="14.25" spans="1:16">
      <c r="A425" s="13">
        <v>424</v>
      </c>
      <c r="B425" s="15">
        <v>9</v>
      </c>
      <c r="C425" s="16">
        <v>40</v>
      </c>
      <c r="D425" s="17" t="s">
        <v>858</v>
      </c>
      <c r="E425" s="17" t="s">
        <v>859</v>
      </c>
      <c r="F425" s="15">
        <v>95</v>
      </c>
      <c r="G425" s="15">
        <v>125.5</v>
      </c>
      <c r="H425" s="15">
        <v>114.75</v>
      </c>
      <c r="I425" s="15">
        <v>51.5</v>
      </c>
      <c r="J425" s="15"/>
      <c r="K425" s="15">
        <v>87</v>
      </c>
      <c r="L425" s="15"/>
      <c r="M425" s="15"/>
      <c r="N425" s="15">
        <v>87</v>
      </c>
      <c r="O425" s="15">
        <v>335.25</v>
      </c>
      <c r="P425" s="15">
        <v>560.75</v>
      </c>
    </row>
    <row r="426" ht="14.25" spans="1:16">
      <c r="A426" s="13">
        <v>425</v>
      </c>
      <c r="B426" s="15">
        <v>9</v>
      </c>
      <c r="C426" s="16">
        <v>41</v>
      </c>
      <c r="D426" s="19" t="s">
        <v>860</v>
      </c>
      <c r="E426" s="17" t="s">
        <v>861</v>
      </c>
      <c r="F426" s="15">
        <v>100.75</v>
      </c>
      <c r="G426" s="15">
        <v>129.5</v>
      </c>
      <c r="H426" s="15">
        <v>111</v>
      </c>
      <c r="I426" s="15">
        <v>76.5</v>
      </c>
      <c r="J426" s="15"/>
      <c r="K426" s="15">
        <v>75</v>
      </c>
      <c r="L426" s="15"/>
      <c r="M426" s="15"/>
      <c r="N426" s="15">
        <v>81</v>
      </c>
      <c r="O426" s="15">
        <v>341.25</v>
      </c>
      <c r="P426" s="15">
        <v>573.75</v>
      </c>
    </row>
    <row r="427" ht="14.25" spans="1:16">
      <c r="A427" s="13">
        <v>426</v>
      </c>
      <c r="B427" s="15">
        <v>9</v>
      </c>
      <c r="C427" s="16">
        <v>42</v>
      </c>
      <c r="D427" s="17" t="s">
        <v>862</v>
      </c>
      <c r="E427" s="17" t="s">
        <v>863</v>
      </c>
      <c r="F427" s="15">
        <v>91</v>
      </c>
      <c r="G427" s="15">
        <v>109</v>
      </c>
      <c r="H427" s="15">
        <v>120.25</v>
      </c>
      <c r="I427" s="15">
        <v>66</v>
      </c>
      <c r="J427" s="15"/>
      <c r="K427" s="15">
        <v>80</v>
      </c>
      <c r="L427" s="15"/>
      <c r="M427" s="15"/>
      <c r="N427" s="15">
        <v>88</v>
      </c>
      <c r="O427" s="15">
        <v>320.25</v>
      </c>
      <c r="P427" s="15">
        <v>554.25</v>
      </c>
    </row>
    <row r="428" ht="14.25" spans="1:16">
      <c r="A428" s="13">
        <v>427</v>
      </c>
      <c r="B428" s="15">
        <v>9</v>
      </c>
      <c r="C428" s="16">
        <v>43</v>
      </c>
      <c r="D428" s="17" t="s">
        <v>864</v>
      </c>
      <c r="E428" s="17" t="s">
        <v>865</v>
      </c>
      <c r="F428" s="15">
        <v>92.5</v>
      </c>
      <c r="G428" s="15">
        <v>116</v>
      </c>
      <c r="H428" s="15">
        <v>114.75</v>
      </c>
      <c r="I428" s="15">
        <v>75.5</v>
      </c>
      <c r="J428" s="15"/>
      <c r="K428" s="15">
        <v>83</v>
      </c>
      <c r="L428" s="15"/>
      <c r="M428" s="15"/>
      <c r="N428" s="15">
        <v>86</v>
      </c>
      <c r="O428" s="15">
        <v>323.25</v>
      </c>
      <c r="P428" s="15">
        <v>567.75</v>
      </c>
    </row>
    <row r="429" ht="14.25" spans="1:16">
      <c r="A429" s="13">
        <v>428</v>
      </c>
      <c r="B429" s="15">
        <v>9</v>
      </c>
      <c r="C429" s="16">
        <v>44</v>
      </c>
      <c r="D429" s="17" t="s">
        <v>866</v>
      </c>
      <c r="E429" s="17" t="s">
        <v>867</v>
      </c>
      <c r="F429" s="15">
        <v>101</v>
      </c>
      <c r="G429" s="15">
        <v>124</v>
      </c>
      <c r="H429" s="15">
        <v>98.75</v>
      </c>
      <c r="I429" s="15">
        <v>76</v>
      </c>
      <c r="J429" s="15"/>
      <c r="K429" s="15">
        <v>91</v>
      </c>
      <c r="L429" s="15"/>
      <c r="M429" s="15"/>
      <c r="N429" s="15">
        <v>95</v>
      </c>
      <c r="O429" s="15">
        <v>323.75</v>
      </c>
      <c r="P429" s="15">
        <v>585.75</v>
      </c>
    </row>
    <row r="430" ht="14.25" spans="1:16">
      <c r="A430" s="13">
        <v>429</v>
      </c>
      <c r="B430" s="15">
        <v>9</v>
      </c>
      <c r="C430" s="16">
        <v>45</v>
      </c>
      <c r="D430" s="17" t="s">
        <v>868</v>
      </c>
      <c r="E430" s="17" t="s">
        <v>869</v>
      </c>
      <c r="F430" s="15">
        <v>102.25</v>
      </c>
      <c r="G430" s="15">
        <v>110.5</v>
      </c>
      <c r="H430" s="15">
        <v>122</v>
      </c>
      <c r="I430" s="15">
        <v>71.5</v>
      </c>
      <c r="J430" s="15"/>
      <c r="K430" s="15">
        <v>88</v>
      </c>
      <c r="L430" s="15"/>
      <c r="M430" s="15"/>
      <c r="N430" s="15">
        <v>83</v>
      </c>
      <c r="O430" s="15">
        <v>334.75</v>
      </c>
      <c r="P430" s="15">
        <v>577.25</v>
      </c>
    </row>
    <row r="431" ht="14.25" spans="1:16">
      <c r="A431" s="13">
        <v>430</v>
      </c>
      <c r="B431" s="15">
        <v>9</v>
      </c>
      <c r="C431" s="16">
        <v>46</v>
      </c>
      <c r="D431" s="17" t="s">
        <v>870</v>
      </c>
      <c r="E431" s="17" t="s">
        <v>871</v>
      </c>
      <c r="F431" s="15">
        <v>110.25</v>
      </c>
      <c r="G431" s="15">
        <v>134.5</v>
      </c>
      <c r="H431" s="15">
        <v>114</v>
      </c>
      <c r="I431" s="15">
        <v>76</v>
      </c>
      <c r="J431" s="15"/>
      <c r="K431" s="15">
        <v>77</v>
      </c>
      <c r="L431" s="15"/>
      <c r="M431" s="15"/>
      <c r="N431" s="15">
        <v>95</v>
      </c>
      <c r="O431" s="15">
        <v>358.75</v>
      </c>
      <c r="P431" s="15">
        <v>606.75</v>
      </c>
    </row>
    <row r="432" ht="14.25" spans="1:16">
      <c r="A432" s="13">
        <v>431</v>
      </c>
      <c r="B432" s="15">
        <v>9</v>
      </c>
      <c r="C432" s="16">
        <v>47</v>
      </c>
      <c r="D432" s="17" t="s">
        <v>872</v>
      </c>
      <c r="E432" s="17" t="s">
        <v>873</v>
      </c>
      <c r="F432" s="15">
        <v>109.5</v>
      </c>
      <c r="G432" s="15">
        <v>117</v>
      </c>
      <c r="H432" s="15">
        <v>120</v>
      </c>
      <c r="I432" s="15">
        <v>57.5</v>
      </c>
      <c r="J432" s="15"/>
      <c r="K432" s="15">
        <v>77</v>
      </c>
      <c r="L432" s="15"/>
      <c r="M432" s="15"/>
      <c r="N432" s="15">
        <v>88</v>
      </c>
      <c r="O432" s="15">
        <v>346.5</v>
      </c>
      <c r="P432" s="15">
        <v>569</v>
      </c>
    </row>
    <row r="433" ht="14.25" spans="1:16">
      <c r="A433" s="13">
        <v>432</v>
      </c>
      <c r="B433" s="15">
        <v>9</v>
      </c>
      <c r="C433" s="16">
        <v>48</v>
      </c>
      <c r="D433" s="17" t="s">
        <v>874</v>
      </c>
      <c r="E433" s="17" t="s">
        <v>875</v>
      </c>
      <c r="F433" s="15">
        <v>98.25</v>
      </c>
      <c r="G433" s="15">
        <v>115.5</v>
      </c>
      <c r="H433" s="15">
        <v>122</v>
      </c>
      <c r="I433" s="15">
        <v>75.5</v>
      </c>
      <c r="J433" s="15"/>
      <c r="K433" s="15">
        <v>73</v>
      </c>
      <c r="L433" s="15"/>
      <c r="M433" s="15"/>
      <c r="N433" s="15">
        <v>95</v>
      </c>
      <c r="O433" s="15">
        <v>335.75</v>
      </c>
      <c r="P433" s="15">
        <v>579.25</v>
      </c>
    </row>
    <row r="434" ht="14.25" spans="1:16">
      <c r="A434" s="13">
        <v>433</v>
      </c>
      <c r="B434" s="15">
        <v>9</v>
      </c>
      <c r="C434" s="16">
        <v>49</v>
      </c>
      <c r="D434" s="17" t="s">
        <v>876</v>
      </c>
      <c r="E434" s="17" t="s">
        <v>877</v>
      </c>
      <c r="F434" s="15">
        <v>98.5</v>
      </c>
      <c r="G434" s="15">
        <v>129</v>
      </c>
      <c r="H434" s="15">
        <v>111.5</v>
      </c>
      <c r="I434" s="15">
        <v>68</v>
      </c>
      <c r="J434" s="15"/>
      <c r="K434" s="15">
        <v>84</v>
      </c>
      <c r="L434" s="15"/>
      <c r="M434" s="15"/>
      <c r="N434" s="15">
        <v>90</v>
      </c>
      <c r="O434" s="15">
        <v>339</v>
      </c>
      <c r="P434" s="15">
        <v>581</v>
      </c>
    </row>
    <row r="435" ht="14.25" spans="1:16">
      <c r="A435" s="13">
        <v>434</v>
      </c>
      <c r="B435" s="15">
        <v>9</v>
      </c>
      <c r="C435" s="16">
        <v>50</v>
      </c>
      <c r="D435" s="19" t="s">
        <v>878</v>
      </c>
      <c r="E435" s="17" t="s">
        <v>879</v>
      </c>
      <c r="F435" s="15">
        <v>118.5</v>
      </c>
      <c r="G435" s="15">
        <v>108</v>
      </c>
      <c r="H435" s="15">
        <v>103.25</v>
      </c>
      <c r="I435" s="15">
        <v>69</v>
      </c>
      <c r="J435" s="15"/>
      <c r="K435" s="15">
        <v>79</v>
      </c>
      <c r="L435" s="15"/>
      <c r="M435" s="15"/>
      <c r="N435" s="15">
        <v>87</v>
      </c>
      <c r="O435" s="15">
        <v>329.75</v>
      </c>
      <c r="P435" s="15">
        <v>564.75</v>
      </c>
    </row>
    <row r="436" ht="14.25" spans="1:16">
      <c r="A436" s="13">
        <v>435</v>
      </c>
      <c r="B436" s="15">
        <v>9</v>
      </c>
      <c r="C436" s="16">
        <v>51</v>
      </c>
      <c r="D436" s="19" t="s">
        <v>880</v>
      </c>
      <c r="E436" s="17" t="s">
        <v>881</v>
      </c>
      <c r="F436" s="15">
        <v>106.25</v>
      </c>
      <c r="G436" s="15">
        <v>129.5</v>
      </c>
      <c r="H436" s="15">
        <v>118.75</v>
      </c>
      <c r="I436" s="15">
        <v>74.5</v>
      </c>
      <c r="J436" s="15"/>
      <c r="K436" s="15">
        <v>89</v>
      </c>
      <c r="L436" s="15"/>
      <c r="M436" s="15"/>
      <c r="N436" s="15">
        <v>87</v>
      </c>
      <c r="O436" s="15">
        <v>354.5</v>
      </c>
      <c r="P436" s="15">
        <v>605</v>
      </c>
    </row>
    <row r="437" ht="14.25" spans="1:16">
      <c r="A437" s="13">
        <v>436</v>
      </c>
      <c r="B437" s="15">
        <v>9</v>
      </c>
      <c r="C437" s="16">
        <v>52</v>
      </c>
      <c r="D437" s="17" t="s">
        <v>882</v>
      </c>
      <c r="E437" s="17" t="s">
        <v>883</v>
      </c>
      <c r="F437" s="15">
        <v>106.25</v>
      </c>
      <c r="G437" s="15">
        <v>116.25</v>
      </c>
      <c r="H437" s="15">
        <v>114.25</v>
      </c>
      <c r="I437" s="15">
        <v>54.5</v>
      </c>
      <c r="J437" s="15"/>
      <c r="K437" s="15">
        <v>65</v>
      </c>
      <c r="L437" s="15"/>
      <c r="M437" s="15"/>
      <c r="N437" s="15">
        <v>69</v>
      </c>
      <c r="O437" s="15">
        <v>336.75</v>
      </c>
      <c r="P437" s="15">
        <v>525.25</v>
      </c>
    </row>
    <row r="438" ht="14.25" spans="1:16">
      <c r="A438" s="13">
        <v>437</v>
      </c>
      <c r="B438" s="15">
        <v>9</v>
      </c>
      <c r="C438" s="16">
        <v>53</v>
      </c>
      <c r="D438" s="17" t="s">
        <v>884</v>
      </c>
      <c r="E438" s="17" t="s">
        <v>885</v>
      </c>
      <c r="F438" s="15">
        <v>105.5</v>
      </c>
      <c r="G438" s="15">
        <v>128</v>
      </c>
      <c r="H438" s="15">
        <v>115.5</v>
      </c>
      <c r="I438" s="15">
        <v>71.5</v>
      </c>
      <c r="J438" s="15"/>
      <c r="K438" s="15">
        <v>88</v>
      </c>
      <c r="L438" s="15"/>
      <c r="M438" s="15"/>
      <c r="N438" s="15">
        <v>94</v>
      </c>
      <c r="O438" s="15">
        <v>349</v>
      </c>
      <c r="P438" s="15">
        <v>602.5</v>
      </c>
    </row>
    <row r="439" ht="14.25" spans="1:16">
      <c r="A439" s="13">
        <v>438</v>
      </c>
      <c r="B439" s="15">
        <v>9</v>
      </c>
      <c r="C439" s="16">
        <v>54</v>
      </c>
      <c r="D439" s="17" t="s">
        <v>886</v>
      </c>
      <c r="E439" s="17" t="s">
        <v>887</v>
      </c>
      <c r="F439" s="15">
        <v>93.5</v>
      </c>
      <c r="G439" s="15">
        <v>127</v>
      </c>
      <c r="H439" s="15">
        <v>118</v>
      </c>
      <c r="I439" s="15">
        <v>79</v>
      </c>
      <c r="J439" s="15"/>
      <c r="K439" s="15">
        <v>77</v>
      </c>
      <c r="L439" s="15"/>
      <c r="M439" s="15"/>
      <c r="N439" s="15">
        <v>88</v>
      </c>
      <c r="O439" s="15">
        <v>338.5</v>
      </c>
      <c r="P439" s="15">
        <v>582.5</v>
      </c>
    </row>
    <row r="440" ht="14.25" spans="1:16">
      <c r="A440" s="13">
        <v>439</v>
      </c>
      <c r="B440" s="15">
        <v>9</v>
      </c>
      <c r="C440" s="16">
        <v>55</v>
      </c>
      <c r="D440" s="17" t="s">
        <v>888</v>
      </c>
      <c r="E440" s="17" t="s">
        <v>889</v>
      </c>
      <c r="F440" s="15">
        <v>95</v>
      </c>
      <c r="G440" s="15">
        <v>97.5</v>
      </c>
      <c r="H440" s="15">
        <v>111.75</v>
      </c>
      <c r="I440" s="15">
        <v>78</v>
      </c>
      <c r="J440" s="15"/>
      <c r="K440" s="15">
        <v>88</v>
      </c>
      <c r="L440" s="15"/>
      <c r="M440" s="15"/>
      <c r="N440" s="15">
        <v>88</v>
      </c>
      <c r="O440" s="15">
        <v>304.25</v>
      </c>
      <c r="P440" s="15">
        <v>558.25</v>
      </c>
    </row>
    <row r="441" ht="14.25" spans="1:16">
      <c r="A441" s="13">
        <v>440</v>
      </c>
      <c r="B441" s="15">
        <v>10</v>
      </c>
      <c r="C441" s="16">
        <v>1</v>
      </c>
      <c r="D441" s="17" t="s">
        <v>890</v>
      </c>
      <c r="E441" s="17" t="s">
        <v>891</v>
      </c>
      <c r="F441" s="15">
        <v>102.5</v>
      </c>
      <c r="G441" s="15">
        <v>108.5</v>
      </c>
      <c r="H441" s="15">
        <v>93.5</v>
      </c>
      <c r="I441" s="15">
        <v>66</v>
      </c>
      <c r="J441" s="15"/>
      <c r="K441" s="15">
        <v>83</v>
      </c>
      <c r="L441" s="15"/>
      <c r="M441" s="15"/>
      <c r="N441" s="15">
        <v>87</v>
      </c>
      <c r="O441" s="15">
        <v>304.5</v>
      </c>
      <c r="P441" s="15">
        <v>540.5</v>
      </c>
    </row>
    <row r="442" ht="14.25" spans="1:16">
      <c r="A442" s="13">
        <v>441</v>
      </c>
      <c r="B442" s="15">
        <v>10</v>
      </c>
      <c r="C442" s="16">
        <v>2</v>
      </c>
      <c r="D442" s="17" t="s">
        <v>892</v>
      </c>
      <c r="E442" s="17" t="s">
        <v>893</v>
      </c>
      <c r="F442" s="15">
        <v>109.5</v>
      </c>
      <c r="G442" s="15">
        <v>107</v>
      </c>
      <c r="H442" s="15">
        <v>89.5</v>
      </c>
      <c r="I442" s="15">
        <v>57</v>
      </c>
      <c r="J442" s="15"/>
      <c r="K442" s="15">
        <v>75</v>
      </c>
      <c r="L442" s="15"/>
      <c r="M442" s="15"/>
      <c r="N442" s="15">
        <v>84</v>
      </c>
      <c r="O442" s="15">
        <v>306</v>
      </c>
      <c r="P442" s="15">
        <v>522</v>
      </c>
    </row>
    <row r="443" ht="14.25" spans="1:16">
      <c r="A443" s="13">
        <v>442</v>
      </c>
      <c r="B443" s="15">
        <v>10</v>
      </c>
      <c r="C443" s="16">
        <v>3</v>
      </c>
      <c r="D443" s="17" t="s">
        <v>894</v>
      </c>
      <c r="E443" s="17" t="s">
        <v>895</v>
      </c>
      <c r="F443" s="15">
        <v>103</v>
      </c>
      <c r="G443" s="15">
        <v>86.5</v>
      </c>
      <c r="H443" s="15">
        <v>106.5</v>
      </c>
      <c r="I443" s="15">
        <v>44</v>
      </c>
      <c r="J443" s="15"/>
      <c r="K443" s="15">
        <v>71</v>
      </c>
      <c r="L443" s="15"/>
      <c r="M443" s="15"/>
      <c r="N443" s="15">
        <v>91</v>
      </c>
      <c r="O443" s="15">
        <v>296</v>
      </c>
      <c r="P443" s="15">
        <v>502</v>
      </c>
    </row>
    <row r="444" ht="14.25" spans="1:16">
      <c r="A444" s="13">
        <v>443</v>
      </c>
      <c r="B444" s="15">
        <v>10</v>
      </c>
      <c r="C444" s="16">
        <v>4</v>
      </c>
      <c r="D444" s="17" t="s">
        <v>896</v>
      </c>
      <c r="E444" s="17" t="s">
        <v>897</v>
      </c>
      <c r="F444" s="15">
        <v>104.5</v>
      </c>
      <c r="G444" s="15">
        <v>113</v>
      </c>
      <c r="H444" s="15">
        <v>119</v>
      </c>
      <c r="I444" s="15">
        <v>65.5</v>
      </c>
      <c r="J444" s="15"/>
      <c r="K444" s="15">
        <v>89</v>
      </c>
      <c r="L444" s="15"/>
      <c r="M444" s="15"/>
      <c r="N444" s="15">
        <v>87</v>
      </c>
      <c r="O444" s="15">
        <v>336.5</v>
      </c>
      <c r="P444" s="15">
        <v>578</v>
      </c>
    </row>
    <row r="445" ht="14.25" spans="1:16">
      <c r="A445" s="13">
        <v>444</v>
      </c>
      <c r="B445" s="15">
        <v>10</v>
      </c>
      <c r="C445" s="16">
        <v>5</v>
      </c>
      <c r="D445" s="17" t="s">
        <v>898</v>
      </c>
      <c r="E445" s="17" t="s">
        <v>899</v>
      </c>
      <c r="F445" s="15">
        <v>114</v>
      </c>
      <c r="G445" s="15">
        <v>109</v>
      </c>
      <c r="H445" s="15">
        <v>107.75</v>
      </c>
      <c r="I445" s="15">
        <v>53.5</v>
      </c>
      <c r="J445" s="15"/>
      <c r="K445" s="15">
        <v>89</v>
      </c>
      <c r="L445" s="15"/>
      <c r="M445" s="15"/>
      <c r="N445" s="15">
        <v>91</v>
      </c>
      <c r="O445" s="15">
        <v>330.75</v>
      </c>
      <c r="P445" s="15">
        <v>564.25</v>
      </c>
    </row>
    <row r="446" ht="14.25" spans="1:16">
      <c r="A446" s="13">
        <v>445</v>
      </c>
      <c r="B446" s="15">
        <v>10</v>
      </c>
      <c r="C446" s="16">
        <v>6</v>
      </c>
      <c r="D446" s="17" t="s">
        <v>900</v>
      </c>
      <c r="E446" s="17" t="s">
        <v>901</v>
      </c>
      <c r="F446" s="15">
        <v>111.75</v>
      </c>
      <c r="G446" s="15">
        <v>91</v>
      </c>
      <c r="H446" s="15">
        <v>83</v>
      </c>
      <c r="I446" s="15">
        <v>60.5</v>
      </c>
      <c r="J446" s="15"/>
      <c r="K446" s="15">
        <v>76</v>
      </c>
      <c r="L446" s="15"/>
      <c r="M446" s="15"/>
      <c r="N446" s="15">
        <v>86</v>
      </c>
      <c r="O446" s="15">
        <v>285.75</v>
      </c>
      <c r="P446" s="15">
        <v>508.25</v>
      </c>
    </row>
    <row r="447" ht="14.25" spans="1:16">
      <c r="A447" s="13">
        <v>446</v>
      </c>
      <c r="B447" s="15">
        <v>10</v>
      </c>
      <c r="C447" s="16">
        <v>7</v>
      </c>
      <c r="D447" s="17" t="s">
        <v>902</v>
      </c>
      <c r="E447" s="17" t="s">
        <v>903</v>
      </c>
      <c r="F447" s="15">
        <v>105.5</v>
      </c>
      <c r="G447" s="15">
        <v>116.5</v>
      </c>
      <c r="H447" s="15">
        <v>108</v>
      </c>
      <c r="I447" s="15">
        <v>71.5</v>
      </c>
      <c r="J447" s="15"/>
      <c r="K447" s="15">
        <v>82</v>
      </c>
      <c r="L447" s="15"/>
      <c r="M447" s="15"/>
      <c r="N447" s="15">
        <v>93</v>
      </c>
      <c r="O447" s="15">
        <v>330</v>
      </c>
      <c r="P447" s="15">
        <v>576.5</v>
      </c>
    </row>
    <row r="448" ht="14.25" spans="1:16">
      <c r="A448" s="13">
        <v>447</v>
      </c>
      <c r="B448" s="15">
        <v>10</v>
      </c>
      <c r="C448" s="16">
        <v>8</v>
      </c>
      <c r="D448" s="17" t="s">
        <v>904</v>
      </c>
      <c r="E448" s="17" t="s">
        <v>905</v>
      </c>
      <c r="F448" s="15">
        <v>101</v>
      </c>
      <c r="G448" s="15">
        <v>100</v>
      </c>
      <c r="H448" s="15">
        <v>112.75</v>
      </c>
      <c r="I448" s="15">
        <v>64</v>
      </c>
      <c r="J448" s="15"/>
      <c r="K448" s="15">
        <v>75</v>
      </c>
      <c r="L448" s="15"/>
      <c r="M448" s="15"/>
      <c r="N448" s="15">
        <v>88</v>
      </c>
      <c r="O448" s="15">
        <v>313.75</v>
      </c>
      <c r="P448" s="15">
        <v>540.75</v>
      </c>
    </row>
    <row r="449" ht="14.25" spans="1:16">
      <c r="A449" s="13">
        <v>448</v>
      </c>
      <c r="B449" s="15">
        <v>10</v>
      </c>
      <c r="C449" s="16">
        <v>9</v>
      </c>
      <c r="D449" s="17" t="s">
        <v>906</v>
      </c>
      <c r="E449" s="17" t="s">
        <v>907</v>
      </c>
      <c r="F449" s="15">
        <v>107.5</v>
      </c>
      <c r="G449" s="15">
        <v>116.5</v>
      </c>
      <c r="H449" s="15">
        <v>85.5</v>
      </c>
      <c r="I449" s="15">
        <v>64.5</v>
      </c>
      <c r="J449" s="15"/>
      <c r="K449" s="15">
        <v>80</v>
      </c>
      <c r="L449" s="15"/>
      <c r="M449" s="15"/>
      <c r="N449" s="15">
        <v>88</v>
      </c>
      <c r="O449" s="15">
        <v>309.5</v>
      </c>
      <c r="P449" s="15">
        <v>542</v>
      </c>
    </row>
    <row r="450" ht="14.25" spans="1:16">
      <c r="A450" s="13">
        <v>449</v>
      </c>
      <c r="B450" s="15">
        <v>10</v>
      </c>
      <c r="C450" s="16">
        <v>10</v>
      </c>
      <c r="D450" s="17" t="s">
        <v>908</v>
      </c>
      <c r="E450" s="17" t="s">
        <v>909</v>
      </c>
      <c r="F450" s="15">
        <v>102</v>
      </c>
      <c r="G450" s="15">
        <v>119</v>
      </c>
      <c r="H450" s="15">
        <v>102</v>
      </c>
      <c r="I450" s="15">
        <v>65.5</v>
      </c>
      <c r="J450" s="15"/>
      <c r="K450" s="15">
        <v>86</v>
      </c>
      <c r="L450" s="15"/>
      <c r="M450" s="15"/>
      <c r="N450" s="15">
        <v>81</v>
      </c>
      <c r="O450" s="15">
        <v>323</v>
      </c>
      <c r="P450" s="15">
        <v>555.5</v>
      </c>
    </row>
    <row r="451" ht="14.25" spans="1:16">
      <c r="A451" s="13">
        <v>450</v>
      </c>
      <c r="B451" s="15">
        <v>10</v>
      </c>
      <c r="C451" s="16">
        <v>11</v>
      </c>
      <c r="D451" s="17" t="s">
        <v>910</v>
      </c>
      <c r="E451" s="17" t="s">
        <v>911</v>
      </c>
      <c r="F451" s="15">
        <v>101</v>
      </c>
      <c r="G451" s="15">
        <v>113</v>
      </c>
      <c r="H451" s="15">
        <v>109.75</v>
      </c>
      <c r="I451" s="15">
        <v>43</v>
      </c>
      <c r="J451" s="15"/>
      <c r="K451" s="15">
        <v>81</v>
      </c>
      <c r="L451" s="15"/>
      <c r="M451" s="15"/>
      <c r="N451" s="15">
        <v>62</v>
      </c>
      <c r="O451" s="15">
        <v>323.75</v>
      </c>
      <c r="P451" s="15">
        <v>509.75</v>
      </c>
    </row>
    <row r="452" ht="14.25" spans="1:16">
      <c r="A452" s="13">
        <v>451</v>
      </c>
      <c r="B452" s="15">
        <v>10</v>
      </c>
      <c r="C452" s="16">
        <v>12</v>
      </c>
      <c r="D452" s="17" t="s">
        <v>912</v>
      </c>
      <c r="E452" s="17" t="s">
        <v>913</v>
      </c>
      <c r="F452" s="15">
        <v>106</v>
      </c>
      <c r="G452" s="15">
        <v>116</v>
      </c>
      <c r="H452" s="15">
        <v>81</v>
      </c>
      <c r="I452" s="15">
        <v>61</v>
      </c>
      <c r="J452" s="15"/>
      <c r="K452" s="15">
        <v>80</v>
      </c>
      <c r="L452" s="15"/>
      <c r="M452" s="15"/>
      <c r="N452" s="15">
        <v>83</v>
      </c>
      <c r="O452" s="15">
        <v>303</v>
      </c>
      <c r="P452" s="15">
        <v>527</v>
      </c>
    </row>
    <row r="453" ht="14.25" spans="1:16">
      <c r="A453" s="13">
        <v>452</v>
      </c>
      <c r="B453" s="15">
        <v>10</v>
      </c>
      <c r="C453" s="16">
        <v>13</v>
      </c>
      <c r="D453" s="17" t="s">
        <v>914</v>
      </c>
      <c r="E453" s="17" t="s">
        <v>915</v>
      </c>
      <c r="F453" s="15">
        <v>110</v>
      </c>
      <c r="G453" s="15">
        <v>115.5</v>
      </c>
      <c r="H453" s="15">
        <v>100</v>
      </c>
      <c r="I453" s="15">
        <v>57.5</v>
      </c>
      <c r="J453" s="15"/>
      <c r="K453" s="15">
        <v>86</v>
      </c>
      <c r="L453" s="15"/>
      <c r="M453" s="15"/>
      <c r="N453" s="15">
        <v>86</v>
      </c>
      <c r="O453" s="15">
        <v>325.5</v>
      </c>
      <c r="P453" s="15">
        <v>555</v>
      </c>
    </row>
    <row r="454" ht="14.25" spans="1:16">
      <c r="A454" s="13">
        <v>453</v>
      </c>
      <c r="B454" s="15">
        <v>10</v>
      </c>
      <c r="C454" s="16">
        <v>14</v>
      </c>
      <c r="D454" s="19" t="s">
        <v>916</v>
      </c>
      <c r="E454" s="17" t="s">
        <v>917</v>
      </c>
      <c r="F454" s="15">
        <v>99.5</v>
      </c>
      <c r="G454" s="15">
        <v>108</v>
      </c>
      <c r="H454" s="15">
        <v>100</v>
      </c>
      <c r="I454" s="15">
        <v>58</v>
      </c>
      <c r="J454" s="15"/>
      <c r="K454" s="15">
        <v>93</v>
      </c>
      <c r="L454" s="15"/>
      <c r="M454" s="15"/>
      <c r="N454" s="15">
        <v>91</v>
      </c>
      <c r="O454" s="15">
        <v>307.5</v>
      </c>
      <c r="P454" s="15">
        <v>549.5</v>
      </c>
    </row>
    <row r="455" ht="14.25" spans="1:16">
      <c r="A455" s="13">
        <v>454</v>
      </c>
      <c r="B455" s="15">
        <v>10</v>
      </c>
      <c r="C455" s="16">
        <v>15</v>
      </c>
      <c r="D455" s="17" t="s">
        <v>918</v>
      </c>
      <c r="E455" s="17" t="s">
        <v>919</v>
      </c>
      <c r="F455" s="15">
        <v>105</v>
      </c>
      <c r="G455" s="15">
        <v>109.5</v>
      </c>
      <c r="H455" s="15">
        <v>111.75</v>
      </c>
      <c r="I455" s="15">
        <v>49.5</v>
      </c>
      <c r="J455" s="15"/>
      <c r="K455" s="15">
        <v>87</v>
      </c>
      <c r="L455" s="15"/>
      <c r="M455" s="15"/>
      <c r="N455" s="15">
        <v>91</v>
      </c>
      <c r="O455" s="15">
        <v>326.25</v>
      </c>
      <c r="P455" s="15">
        <v>553.75</v>
      </c>
    </row>
    <row r="456" ht="14.25" spans="1:16">
      <c r="A456" s="13">
        <v>455</v>
      </c>
      <c r="B456" s="15">
        <v>10</v>
      </c>
      <c r="C456" s="16">
        <v>16</v>
      </c>
      <c r="D456" s="17" t="s">
        <v>920</v>
      </c>
      <c r="E456" s="17" t="s">
        <v>921</v>
      </c>
      <c r="F456" s="15">
        <v>100.5</v>
      </c>
      <c r="G456" s="15">
        <v>112</v>
      </c>
      <c r="H456" s="15">
        <v>99.75</v>
      </c>
      <c r="I456" s="15">
        <v>61</v>
      </c>
      <c r="J456" s="15"/>
      <c r="K456" s="15">
        <v>61</v>
      </c>
      <c r="L456" s="15"/>
      <c r="M456" s="15"/>
      <c r="N456" s="15">
        <v>83</v>
      </c>
      <c r="O456" s="15">
        <v>312.25</v>
      </c>
      <c r="P456" s="15">
        <v>517.25</v>
      </c>
    </row>
    <row r="457" ht="14.25" spans="1:16">
      <c r="A457" s="13">
        <v>456</v>
      </c>
      <c r="B457" s="15">
        <v>10</v>
      </c>
      <c r="C457" s="16">
        <v>17</v>
      </c>
      <c r="D457" s="17" t="s">
        <v>922</v>
      </c>
      <c r="E457" s="17" t="s">
        <v>923</v>
      </c>
      <c r="F457" s="15">
        <v>93.5</v>
      </c>
      <c r="G457" s="15">
        <v>99</v>
      </c>
      <c r="H457" s="15">
        <v>91</v>
      </c>
      <c r="I457" s="15">
        <v>66</v>
      </c>
      <c r="J457" s="15"/>
      <c r="K457" s="15">
        <v>86</v>
      </c>
      <c r="L457" s="15"/>
      <c r="M457" s="15"/>
      <c r="N457" s="15">
        <v>76</v>
      </c>
      <c r="O457" s="15">
        <v>283.5</v>
      </c>
      <c r="P457" s="15">
        <v>511.5</v>
      </c>
    </row>
    <row r="458" ht="14.25" spans="1:16">
      <c r="A458" s="13">
        <v>457</v>
      </c>
      <c r="B458" s="15">
        <v>10</v>
      </c>
      <c r="C458" s="16">
        <v>18</v>
      </c>
      <c r="D458" s="17" t="s">
        <v>924</v>
      </c>
      <c r="E458" s="17" t="s">
        <v>925</v>
      </c>
      <c r="F458" s="15">
        <v>93</v>
      </c>
      <c r="G458" s="15">
        <v>109</v>
      </c>
      <c r="H458" s="15">
        <v>114.75</v>
      </c>
      <c r="I458" s="15">
        <v>49.5</v>
      </c>
      <c r="J458" s="15"/>
      <c r="K458" s="15">
        <v>85</v>
      </c>
      <c r="L458" s="15"/>
      <c r="M458" s="15"/>
      <c r="N458" s="15">
        <v>77</v>
      </c>
      <c r="O458" s="15">
        <v>316.75</v>
      </c>
      <c r="P458" s="15">
        <v>528.25</v>
      </c>
    </row>
    <row r="459" ht="14.25" spans="1:16">
      <c r="A459" s="13">
        <v>458</v>
      </c>
      <c r="B459" s="15">
        <v>10</v>
      </c>
      <c r="C459" s="16">
        <v>19</v>
      </c>
      <c r="D459" s="17" t="s">
        <v>926</v>
      </c>
      <c r="E459" s="17" t="s">
        <v>927</v>
      </c>
      <c r="F459" s="15">
        <v>107.5</v>
      </c>
      <c r="G459" s="15">
        <v>115.5</v>
      </c>
      <c r="H459" s="15">
        <v>88.5</v>
      </c>
      <c r="I459" s="15">
        <v>62.5</v>
      </c>
      <c r="J459" s="15"/>
      <c r="K459" s="15">
        <v>74</v>
      </c>
      <c r="L459" s="15"/>
      <c r="M459" s="15"/>
      <c r="N459" s="15">
        <v>88</v>
      </c>
      <c r="O459" s="15">
        <v>311.5</v>
      </c>
      <c r="P459" s="15">
        <v>536</v>
      </c>
    </row>
    <row r="460" ht="14.25" spans="1:16">
      <c r="A460" s="13">
        <v>459</v>
      </c>
      <c r="B460" s="15">
        <v>10</v>
      </c>
      <c r="C460" s="16">
        <v>20</v>
      </c>
      <c r="D460" s="17" t="s">
        <v>928</v>
      </c>
      <c r="E460" s="17" t="s">
        <v>929</v>
      </c>
      <c r="F460" s="15">
        <v>108</v>
      </c>
      <c r="G460" s="15">
        <v>103.5</v>
      </c>
      <c r="H460" s="15">
        <v>100</v>
      </c>
      <c r="I460" s="15">
        <v>58</v>
      </c>
      <c r="J460" s="15"/>
      <c r="K460" s="15">
        <v>86</v>
      </c>
      <c r="L460" s="15"/>
      <c r="M460" s="15"/>
      <c r="N460" s="15">
        <v>80</v>
      </c>
      <c r="O460" s="15">
        <v>311.5</v>
      </c>
      <c r="P460" s="15">
        <v>535.5</v>
      </c>
    </row>
    <row r="461" ht="14.25" spans="1:16">
      <c r="A461" s="13">
        <v>460</v>
      </c>
      <c r="B461" s="15">
        <v>10</v>
      </c>
      <c r="C461" s="16">
        <v>21</v>
      </c>
      <c r="D461" s="17" t="s">
        <v>930</v>
      </c>
      <c r="E461" s="17" t="s">
        <v>931</v>
      </c>
      <c r="F461" s="15">
        <v>100</v>
      </c>
      <c r="G461" s="15">
        <v>117</v>
      </c>
      <c r="H461" s="15">
        <v>101.5</v>
      </c>
      <c r="I461" s="15">
        <v>67.5</v>
      </c>
      <c r="J461" s="15"/>
      <c r="K461" s="15">
        <v>83</v>
      </c>
      <c r="L461" s="15"/>
      <c r="M461" s="15"/>
      <c r="N461" s="15">
        <v>88</v>
      </c>
      <c r="O461" s="15">
        <v>318.5</v>
      </c>
      <c r="P461" s="15">
        <v>557</v>
      </c>
    </row>
    <row r="462" ht="14.25" spans="1:16">
      <c r="A462" s="13">
        <v>461</v>
      </c>
      <c r="B462" s="15">
        <v>10</v>
      </c>
      <c r="C462" s="16">
        <v>22</v>
      </c>
      <c r="D462" s="17" t="s">
        <v>932</v>
      </c>
      <c r="E462" s="17" t="s">
        <v>933</v>
      </c>
      <c r="F462" s="15">
        <v>100</v>
      </c>
      <c r="G462" s="15">
        <v>116</v>
      </c>
      <c r="H462" s="15">
        <v>105.75</v>
      </c>
      <c r="I462" s="15">
        <v>65.5</v>
      </c>
      <c r="J462" s="15"/>
      <c r="K462" s="15">
        <v>84</v>
      </c>
      <c r="L462" s="15"/>
      <c r="M462" s="15"/>
      <c r="N462" s="15">
        <v>74</v>
      </c>
      <c r="O462" s="15">
        <v>321.75</v>
      </c>
      <c r="P462" s="15">
        <v>545.25</v>
      </c>
    </row>
    <row r="463" ht="14.25" spans="1:16">
      <c r="A463" s="13">
        <v>462</v>
      </c>
      <c r="B463" s="15">
        <v>10</v>
      </c>
      <c r="C463" s="16">
        <v>23</v>
      </c>
      <c r="D463" s="17" t="s">
        <v>934</v>
      </c>
      <c r="E463" s="17" t="s">
        <v>935</v>
      </c>
      <c r="F463" s="15">
        <v>99.5</v>
      </c>
      <c r="G463" s="15">
        <v>101.5</v>
      </c>
      <c r="H463" s="15">
        <v>117.75</v>
      </c>
      <c r="I463" s="15">
        <v>60</v>
      </c>
      <c r="J463" s="15"/>
      <c r="K463" s="15">
        <v>77</v>
      </c>
      <c r="L463" s="15"/>
      <c r="M463" s="15"/>
      <c r="N463" s="15">
        <v>76</v>
      </c>
      <c r="O463" s="15">
        <v>318.75</v>
      </c>
      <c r="P463" s="15">
        <v>531.75</v>
      </c>
    </row>
    <row r="464" ht="14.25" spans="1:16">
      <c r="A464" s="13">
        <v>463</v>
      </c>
      <c r="B464" s="15">
        <v>10</v>
      </c>
      <c r="C464" s="16">
        <v>24</v>
      </c>
      <c r="D464" s="17" t="s">
        <v>936</v>
      </c>
      <c r="E464" s="17" t="s">
        <v>937</v>
      </c>
      <c r="F464" s="15">
        <v>97.5</v>
      </c>
      <c r="G464" s="15">
        <v>100</v>
      </c>
      <c r="H464" s="15">
        <v>105.5</v>
      </c>
      <c r="I464" s="15">
        <v>49</v>
      </c>
      <c r="J464" s="15"/>
      <c r="K464" s="15">
        <v>71</v>
      </c>
      <c r="L464" s="15"/>
      <c r="M464" s="15"/>
      <c r="N464" s="15">
        <v>81</v>
      </c>
      <c r="O464" s="15">
        <v>303</v>
      </c>
      <c r="P464" s="15">
        <v>504</v>
      </c>
    </row>
    <row r="465" ht="14.25" spans="1:16">
      <c r="A465" s="13">
        <v>464</v>
      </c>
      <c r="B465" s="15">
        <v>10</v>
      </c>
      <c r="C465" s="16">
        <v>25</v>
      </c>
      <c r="D465" s="17" t="s">
        <v>938</v>
      </c>
      <c r="E465" s="17" t="s">
        <v>939</v>
      </c>
      <c r="F465" s="15">
        <v>94.5</v>
      </c>
      <c r="G465" s="15">
        <v>95</v>
      </c>
      <c r="H465" s="15">
        <v>102.75</v>
      </c>
      <c r="I465" s="15">
        <v>56</v>
      </c>
      <c r="J465" s="15"/>
      <c r="K465" s="15">
        <v>75</v>
      </c>
      <c r="L465" s="15"/>
      <c r="M465" s="15"/>
      <c r="N465" s="15">
        <v>87</v>
      </c>
      <c r="O465" s="15">
        <v>292.25</v>
      </c>
      <c r="P465" s="15">
        <v>510.25</v>
      </c>
    </row>
    <row r="466" ht="14.25" spans="1:16">
      <c r="A466" s="13">
        <v>465</v>
      </c>
      <c r="B466" s="15">
        <v>10</v>
      </c>
      <c r="C466" s="16">
        <v>26</v>
      </c>
      <c r="D466" s="17" t="s">
        <v>940</v>
      </c>
      <c r="E466" s="17" t="s">
        <v>941</v>
      </c>
      <c r="F466" s="15">
        <v>101.25</v>
      </c>
      <c r="G466" s="15">
        <v>114</v>
      </c>
      <c r="H466" s="15">
        <v>104</v>
      </c>
      <c r="I466" s="15">
        <v>68</v>
      </c>
      <c r="J466" s="15"/>
      <c r="K466" s="15">
        <v>66</v>
      </c>
      <c r="L466" s="15"/>
      <c r="M466" s="15"/>
      <c r="N466" s="15">
        <v>87</v>
      </c>
      <c r="O466" s="15">
        <v>319.25</v>
      </c>
      <c r="P466" s="15">
        <v>540.25</v>
      </c>
    </row>
    <row r="467" ht="14.25" spans="1:16">
      <c r="A467" s="13">
        <v>466</v>
      </c>
      <c r="B467" s="15">
        <v>10</v>
      </c>
      <c r="C467" s="16">
        <v>27</v>
      </c>
      <c r="D467" s="17" t="s">
        <v>942</v>
      </c>
      <c r="E467" s="17" t="s">
        <v>943</v>
      </c>
      <c r="F467" s="15">
        <v>92.75</v>
      </c>
      <c r="G467" s="15">
        <v>116</v>
      </c>
      <c r="H467" s="15">
        <v>86</v>
      </c>
      <c r="I467" s="15">
        <v>73</v>
      </c>
      <c r="J467" s="15"/>
      <c r="K467" s="15">
        <v>89</v>
      </c>
      <c r="L467" s="15"/>
      <c r="M467" s="15"/>
      <c r="N467" s="15">
        <v>80</v>
      </c>
      <c r="O467" s="15">
        <v>294.75</v>
      </c>
      <c r="P467" s="15">
        <v>536.75</v>
      </c>
    </row>
    <row r="468" ht="14.25" spans="1:16">
      <c r="A468" s="13">
        <v>467</v>
      </c>
      <c r="B468" s="15">
        <v>10</v>
      </c>
      <c r="C468" s="16">
        <v>28</v>
      </c>
      <c r="D468" s="17" t="s">
        <v>944</v>
      </c>
      <c r="E468" s="17" t="s">
        <v>945</v>
      </c>
      <c r="F468" s="15">
        <v>114</v>
      </c>
      <c r="G468" s="15">
        <v>115</v>
      </c>
      <c r="H468" s="15">
        <v>107</v>
      </c>
      <c r="I468" s="15">
        <v>55.5</v>
      </c>
      <c r="J468" s="15"/>
      <c r="K468" s="15">
        <v>73</v>
      </c>
      <c r="L468" s="15"/>
      <c r="M468" s="15"/>
      <c r="N468" s="15">
        <v>80</v>
      </c>
      <c r="O468" s="15">
        <v>336</v>
      </c>
      <c r="P468" s="15">
        <v>544.5</v>
      </c>
    </row>
    <row r="469" ht="14.25" spans="1:16">
      <c r="A469" s="13">
        <v>468</v>
      </c>
      <c r="B469" s="15">
        <v>10</v>
      </c>
      <c r="C469" s="16">
        <v>29</v>
      </c>
      <c r="D469" s="17" t="s">
        <v>946</v>
      </c>
      <c r="E469" s="17" t="s">
        <v>947</v>
      </c>
      <c r="F469" s="15">
        <v>102.5</v>
      </c>
      <c r="G469" s="15">
        <v>130.5</v>
      </c>
      <c r="H469" s="15">
        <v>104.25</v>
      </c>
      <c r="I469" s="15">
        <v>63.5</v>
      </c>
      <c r="J469" s="15"/>
      <c r="K469" s="15">
        <v>83</v>
      </c>
      <c r="L469" s="15"/>
      <c r="M469" s="15"/>
      <c r="N469" s="15">
        <v>86</v>
      </c>
      <c r="O469" s="15">
        <v>337.25</v>
      </c>
      <c r="P469" s="15">
        <v>569.75</v>
      </c>
    </row>
    <row r="470" ht="14.25" spans="1:16">
      <c r="A470" s="13">
        <v>469</v>
      </c>
      <c r="B470" s="15">
        <v>10</v>
      </c>
      <c r="C470" s="16">
        <v>30</v>
      </c>
      <c r="D470" s="17" t="s">
        <v>948</v>
      </c>
      <c r="E470" s="17" t="s">
        <v>949</v>
      </c>
      <c r="F470" s="15">
        <v>99.5</v>
      </c>
      <c r="G470" s="15">
        <v>111.5</v>
      </c>
      <c r="H470" s="15">
        <v>93.5</v>
      </c>
      <c r="I470" s="15">
        <v>45.5</v>
      </c>
      <c r="J470" s="15"/>
      <c r="K470" s="15">
        <v>58</v>
      </c>
      <c r="L470" s="15"/>
      <c r="M470" s="15"/>
      <c r="N470" s="15">
        <v>72</v>
      </c>
      <c r="O470" s="15">
        <v>304.5</v>
      </c>
      <c r="P470" s="15">
        <v>480</v>
      </c>
    </row>
    <row r="471" ht="14.25" spans="1:16">
      <c r="A471" s="13">
        <v>470</v>
      </c>
      <c r="B471" s="15">
        <v>10</v>
      </c>
      <c r="C471" s="16">
        <v>31</v>
      </c>
      <c r="D471" s="17" t="s">
        <v>950</v>
      </c>
      <c r="E471" s="17" t="s">
        <v>951</v>
      </c>
      <c r="F471" s="15">
        <v>107</v>
      </c>
      <c r="G471" s="15">
        <v>107.5</v>
      </c>
      <c r="H471" s="15">
        <v>96.75</v>
      </c>
      <c r="I471" s="15">
        <v>65</v>
      </c>
      <c r="J471" s="15"/>
      <c r="K471" s="15">
        <v>86</v>
      </c>
      <c r="L471" s="15"/>
      <c r="M471" s="15"/>
      <c r="N471" s="15">
        <v>79</v>
      </c>
      <c r="O471" s="15">
        <v>311.25</v>
      </c>
      <c r="P471" s="15">
        <v>541.25</v>
      </c>
    </row>
    <row r="472" ht="14.25" spans="1:16">
      <c r="A472" s="13">
        <v>471</v>
      </c>
      <c r="B472" s="15">
        <v>10</v>
      </c>
      <c r="C472" s="16">
        <v>32</v>
      </c>
      <c r="D472" s="17" t="s">
        <v>952</v>
      </c>
      <c r="E472" s="17" t="s">
        <v>953</v>
      </c>
      <c r="F472" s="15">
        <v>95</v>
      </c>
      <c r="G472" s="15">
        <v>114.5</v>
      </c>
      <c r="H472" s="15">
        <v>103.5</v>
      </c>
      <c r="I472" s="15">
        <v>71.5</v>
      </c>
      <c r="J472" s="15"/>
      <c r="K472" s="15">
        <v>85</v>
      </c>
      <c r="L472" s="15"/>
      <c r="M472" s="15"/>
      <c r="N472" s="15">
        <v>88</v>
      </c>
      <c r="O472" s="15">
        <v>313</v>
      </c>
      <c r="P472" s="15">
        <v>557.5</v>
      </c>
    </row>
    <row r="473" ht="14.25" spans="1:16">
      <c r="A473" s="13">
        <v>472</v>
      </c>
      <c r="B473" s="15">
        <v>10</v>
      </c>
      <c r="C473" s="16">
        <v>33</v>
      </c>
      <c r="D473" s="17" t="s">
        <v>954</v>
      </c>
      <c r="E473" s="17" t="s">
        <v>955</v>
      </c>
      <c r="F473" s="15">
        <v>106</v>
      </c>
      <c r="G473" s="15">
        <v>112.5</v>
      </c>
      <c r="H473" s="15">
        <v>100</v>
      </c>
      <c r="I473" s="15">
        <v>65</v>
      </c>
      <c r="J473" s="15"/>
      <c r="K473" s="15">
        <v>76</v>
      </c>
      <c r="L473" s="15"/>
      <c r="M473" s="15"/>
      <c r="N473" s="15">
        <v>80</v>
      </c>
      <c r="O473" s="15">
        <v>318.5</v>
      </c>
      <c r="P473" s="15">
        <v>539.5</v>
      </c>
    </row>
    <row r="474" ht="14.25" spans="1:16">
      <c r="A474" s="13">
        <v>473</v>
      </c>
      <c r="B474" s="15">
        <v>10</v>
      </c>
      <c r="C474" s="16">
        <v>34</v>
      </c>
      <c r="D474" s="17" t="s">
        <v>956</v>
      </c>
      <c r="E474" s="17" t="s">
        <v>957</v>
      </c>
      <c r="F474" s="15">
        <v>88.5</v>
      </c>
      <c r="G474" s="15">
        <v>100.5</v>
      </c>
      <c r="H474" s="15">
        <v>98</v>
      </c>
      <c r="I474" s="15">
        <v>61</v>
      </c>
      <c r="J474" s="15"/>
      <c r="K474" s="15">
        <v>75</v>
      </c>
      <c r="L474" s="15"/>
      <c r="M474" s="15"/>
      <c r="N474" s="15">
        <v>74</v>
      </c>
      <c r="O474" s="15">
        <v>287</v>
      </c>
      <c r="P474" s="15">
        <v>497</v>
      </c>
    </row>
    <row r="475" ht="14.25" spans="1:16">
      <c r="A475" s="13">
        <v>474</v>
      </c>
      <c r="B475" s="15">
        <v>10</v>
      </c>
      <c r="C475" s="16">
        <v>35</v>
      </c>
      <c r="D475" s="17" t="s">
        <v>958</v>
      </c>
      <c r="E475" s="17" t="s">
        <v>959</v>
      </c>
      <c r="F475" s="15">
        <v>104.5</v>
      </c>
      <c r="G475" s="15">
        <v>92</v>
      </c>
      <c r="H475" s="15">
        <v>107.5</v>
      </c>
      <c r="I475" s="15">
        <v>42.5</v>
      </c>
      <c r="J475" s="15"/>
      <c r="K475" s="15">
        <v>70</v>
      </c>
      <c r="L475" s="15"/>
      <c r="M475" s="15"/>
      <c r="N475" s="15">
        <v>88</v>
      </c>
      <c r="O475" s="15">
        <v>304</v>
      </c>
      <c r="P475" s="15">
        <v>504.5</v>
      </c>
    </row>
    <row r="476" ht="14.25" spans="1:16">
      <c r="A476" s="13">
        <v>475</v>
      </c>
      <c r="B476" s="15">
        <v>10</v>
      </c>
      <c r="C476" s="16">
        <v>36</v>
      </c>
      <c r="D476" s="17" t="s">
        <v>960</v>
      </c>
      <c r="E476" s="17" t="s">
        <v>961</v>
      </c>
      <c r="F476" s="15">
        <v>102.75</v>
      </c>
      <c r="G476" s="15">
        <v>107.5</v>
      </c>
      <c r="H476" s="15">
        <v>101</v>
      </c>
      <c r="I476" s="15">
        <v>65.5</v>
      </c>
      <c r="J476" s="15"/>
      <c r="K476" s="15">
        <v>78</v>
      </c>
      <c r="L476" s="15"/>
      <c r="M476" s="15"/>
      <c r="N476" s="15">
        <v>86</v>
      </c>
      <c r="O476" s="15">
        <v>311.25</v>
      </c>
      <c r="P476" s="15">
        <v>540.75</v>
      </c>
    </row>
    <row r="477" ht="14.25" spans="1:16">
      <c r="A477" s="13">
        <v>476</v>
      </c>
      <c r="B477" s="15">
        <v>10</v>
      </c>
      <c r="C477" s="16">
        <v>37</v>
      </c>
      <c r="D477" s="17" t="s">
        <v>962</v>
      </c>
      <c r="E477" s="17" t="s">
        <v>963</v>
      </c>
      <c r="F477" s="15">
        <v>93.5</v>
      </c>
      <c r="G477" s="15">
        <v>106</v>
      </c>
      <c r="H477" s="15">
        <v>91.25</v>
      </c>
      <c r="I477" s="15">
        <v>59.5</v>
      </c>
      <c r="J477" s="15"/>
      <c r="K477" s="15">
        <v>83</v>
      </c>
      <c r="L477" s="15"/>
      <c r="M477" s="15"/>
      <c r="N477" s="15">
        <v>90</v>
      </c>
      <c r="O477" s="15">
        <v>290.75</v>
      </c>
      <c r="P477" s="15">
        <v>523.25</v>
      </c>
    </row>
    <row r="478" ht="14.25" spans="1:16">
      <c r="A478" s="13">
        <v>477</v>
      </c>
      <c r="B478" s="15">
        <v>10</v>
      </c>
      <c r="C478" s="16">
        <v>38</v>
      </c>
      <c r="D478" s="17" t="s">
        <v>964</v>
      </c>
      <c r="E478" s="17" t="s">
        <v>965</v>
      </c>
      <c r="F478" s="15">
        <v>109</v>
      </c>
      <c r="G478" s="15">
        <v>113</v>
      </c>
      <c r="H478" s="15">
        <v>109.5</v>
      </c>
      <c r="I478" s="15">
        <v>66.5</v>
      </c>
      <c r="J478" s="15"/>
      <c r="K478" s="15">
        <v>80</v>
      </c>
      <c r="L478" s="15"/>
      <c r="M478" s="15"/>
      <c r="N478" s="15">
        <v>90</v>
      </c>
      <c r="O478" s="15">
        <v>331.5</v>
      </c>
      <c r="P478" s="15">
        <v>568</v>
      </c>
    </row>
    <row r="479" ht="14.25" spans="1:16">
      <c r="A479" s="13">
        <v>478</v>
      </c>
      <c r="B479" s="15">
        <v>10</v>
      </c>
      <c r="C479" s="16">
        <v>39</v>
      </c>
      <c r="D479" s="17" t="s">
        <v>966</v>
      </c>
      <c r="E479" s="17" t="s">
        <v>967</v>
      </c>
      <c r="F479" s="15">
        <v>95</v>
      </c>
      <c r="G479" s="15">
        <v>112.5</v>
      </c>
      <c r="H479" s="15">
        <v>108.75</v>
      </c>
      <c r="I479" s="15">
        <v>64</v>
      </c>
      <c r="J479" s="15"/>
      <c r="K479" s="15">
        <v>77</v>
      </c>
      <c r="L479" s="15"/>
      <c r="M479" s="15"/>
      <c r="N479" s="15">
        <v>79</v>
      </c>
      <c r="O479" s="15">
        <v>316.25</v>
      </c>
      <c r="P479" s="15">
        <v>536.25</v>
      </c>
    </row>
    <row r="480" ht="14.25" spans="1:16">
      <c r="A480" s="13">
        <v>479</v>
      </c>
      <c r="B480" s="15">
        <v>10</v>
      </c>
      <c r="C480" s="16">
        <v>40</v>
      </c>
      <c r="D480" s="17" t="s">
        <v>968</v>
      </c>
      <c r="E480" s="17" t="s">
        <v>969</v>
      </c>
      <c r="F480" s="15">
        <v>115</v>
      </c>
      <c r="G480" s="15">
        <v>103</v>
      </c>
      <c r="H480" s="15">
        <v>112.75</v>
      </c>
      <c r="I480" s="15">
        <v>66</v>
      </c>
      <c r="J480" s="15"/>
      <c r="K480" s="15">
        <v>89</v>
      </c>
      <c r="L480" s="15"/>
      <c r="M480" s="15"/>
      <c r="N480" s="15">
        <v>76</v>
      </c>
      <c r="O480" s="15">
        <v>330.75</v>
      </c>
      <c r="P480" s="15">
        <v>561.75</v>
      </c>
    </row>
    <row r="481" ht="14.25" spans="1:16">
      <c r="A481" s="13">
        <v>480</v>
      </c>
      <c r="B481" s="15">
        <v>10</v>
      </c>
      <c r="C481" s="16">
        <v>41</v>
      </c>
      <c r="D481" s="17" t="s">
        <v>970</v>
      </c>
      <c r="E481" s="17" t="s">
        <v>971</v>
      </c>
      <c r="F481" s="15">
        <v>103.5</v>
      </c>
      <c r="G481" s="15">
        <v>111</v>
      </c>
      <c r="H481" s="15">
        <v>94.25</v>
      </c>
      <c r="I481" s="15">
        <v>75.5</v>
      </c>
      <c r="J481" s="15"/>
      <c r="K481" s="15">
        <v>72</v>
      </c>
      <c r="L481" s="15"/>
      <c r="M481" s="15"/>
      <c r="N481" s="15">
        <v>77</v>
      </c>
      <c r="O481" s="15">
        <v>308.75</v>
      </c>
      <c r="P481" s="15">
        <v>533.25</v>
      </c>
    </row>
    <row r="482" ht="14.25" spans="1:16">
      <c r="A482" s="13">
        <v>481</v>
      </c>
      <c r="B482" s="15">
        <v>10</v>
      </c>
      <c r="C482" s="16">
        <v>42</v>
      </c>
      <c r="D482" s="17" t="s">
        <v>972</v>
      </c>
      <c r="E482" s="17" t="s">
        <v>973</v>
      </c>
      <c r="F482" s="15">
        <v>98.5</v>
      </c>
      <c r="G482" s="15">
        <v>116.5</v>
      </c>
      <c r="H482" s="15">
        <v>99.75</v>
      </c>
      <c r="I482" s="15">
        <v>74.5</v>
      </c>
      <c r="J482" s="15"/>
      <c r="K482" s="15">
        <v>81</v>
      </c>
      <c r="L482" s="15"/>
      <c r="M482" s="15"/>
      <c r="N482" s="15">
        <v>90</v>
      </c>
      <c r="O482" s="15">
        <v>314.75</v>
      </c>
      <c r="P482" s="15">
        <v>560.25</v>
      </c>
    </row>
    <row r="483" ht="14.25" spans="1:16">
      <c r="A483" s="13">
        <v>482</v>
      </c>
      <c r="B483" s="15">
        <v>10</v>
      </c>
      <c r="C483" s="16">
        <v>43</v>
      </c>
      <c r="D483" s="17" t="s">
        <v>974</v>
      </c>
      <c r="E483" s="17" t="s">
        <v>975</v>
      </c>
      <c r="F483" s="15">
        <v>96.5</v>
      </c>
      <c r="G483" s="15">
        <v>100.5</v>
      </c>
      <c r="H483" s="15">
        <v>99</v>
      </c>
      <c r="I483" s="15">
        <v>73</v>
      </c>
      <c r="J483" s="15"/>
      <c r="K483" s="15">
        <v>87</v>
      </c>
      <c r="L483" s="15"/>
      <c r="M483" s="15"/>
      <c r="N483" s="15">
        <v>82</v>
      </c>
      <c r="O483" s="15">
        <v>296</v>
      </c>
      <c r="P483" s="15">
        <v>538</v>
      </c>
    </row>
    <row r="484" ht="14.25" spans="1:16">
      <c r="A484" s="13">
        <v>483</v>
      </c>
      <c r="B484" s="15">
        <v>10</v>
      </c>
      <c r="C484" s="16">
        <v>44</v>
      </c>
      <c r="D484" s="17" t="s">
        <v>976</v>
      </c>
      <c r="E484" s="17" t="s">
        <v>977</v>
      </c>
      <c r="F484" s="15">
        <v>94</v>
      </c>
      <c r="G484" s="15">
        <v>109.5</v>
      </c>
      <c r="H484" s="15">
        <v>114.25</v>
      </c>
      <c r="I484" s="15">
        <v>58</v>
      </c>
      <c r="J484" s="15"/>
      <c r="K484" s="15">
        <v>86</v>
      </c>
      <c r="L484" s="15"/>
      <c r="M484" s="15"/>
      <c r="N484" s="15">
        <v>85</v>
      </c>
      <c r="O484" s="15">
        <v>317.75</v>
      </c>
      <c r="P484" s="15">
        <v>546.75</v>
      </c>
    </row>
    <row r="485" ht="14.25" spans="1:16">
      <c r="A485" s="13">
        <v>484</v>
      </c>
      <c r="B485" s="15">
        <v>10</v>
      </c>
      <c r="C485" s="16">
        <v>45</v>
      </c>
      <c r="D485" s="17" t="s">
        <v>978</v>
      </c>
      <c r="E485" s="17" t="s">
        <v>979</v>
      </c>
      <c r="F485" s="15">
        <v>90.5</v>
      </c>
      <c r="G485" s="15">
        <v>113.5</v>
      </c>
      <c r="H485" s="15">
        <v>89</v>
      </c>
      <c r="I485" s="15">
        <v>73.5</v>
      </c>
      <c r="J485" s="15"/>
      <c r="K485" s="15">
        <v>83</v>
      </c>
      <c r="L485" s="15"/>
      <c r="M485" s="15"/>
      <c r="N485" s="15">
        <v>91</v>
      </c>
      <c r="O485" s="15">
        <v>293</v>
      </c>
      <c r="P485" s="15">
        <v>540.5</v>
      </c>
    </row>
    <row r="486" ht="14.25" spans="1:16">
      <c r="A486" s="13">
        <v>485</v>
      </c>
      <c r="B486" s="15">
        <v>10</v>
      </c>
      <c r="C486" s="16">
        <v>46</v>
      </c>
      <c r="D486" s="17" t="s">
        <v>980</v>
      </c>
      <c r="E486" s="17" t="s">
        <v>981</v>
      </c>
      <c r="F486" s="15">
        <v>108</v>
      </c>
      <c r="G486" s="15">
        <v>111.5</v>
      </c>
      <c r="H486" s="15">
        <v>86.25</v>
      </c>
      <c r="I486" s="15">
        <v>73</v>
      </c>
      <c r="J486" s="15"/>
      <c r="K486" s="15">
        <v>88</v>
      </c>
      <c r="L486" s="15"/>
      <c r="M486" s="15"/>
      <c r="N486" s="15">
        <v>91</v>
      </c>
      <c r="O486" s="15">
        <v>305.75</v>
      </c>
      <c r="P486" s="15">
        <v>557.75</v>
      </c>
    </row>
    <row r="487" ht="14.25" spans="1:16">
      <c r="A487" s="13">
        <v>486</v>
      </c>
      <c r="B487" s="15">
        <v>10</v>
      </c>
      <c r="C487" s="16">
        <v>47</v>
      </c>
      <c r="D487" s="17" t="s">
        <v>982</v>
      </c>
      <c r="E487" s="17" t="s">
        <v>983</v>
      </c>
      <c r="F487" s="15">
        <v>104.5</v>
      </c>
      <c r="G487" s="15">
        <v>120.5</v>
      </c>
      <c r="H487" s="15">
        <v>108</v>
      </c>
      <c r="I487" s="15">
        <v>74.5</v>
      </c>
      <c r="J487" s="15"/>
      <c r="K487" s="15">
        <v>87</v>
      </c>
      <c r="L487" s="15"/>
      <c r="M487" s="15"/>
      <c r="N487" s="15">
        <v>89</v>
      </c>
      <c r="O487" s="15">
        <v>333</v>
      </c>
      <c r="P487" s="15">
        <v>583.5</v>
      </c>
    </row>
    <row r="488" ht="14.25" spans="1:16">
      <c r="A488" s="13">
        <v>487</v>
      </c>
      <c r="B488" s="15">
        <v>10</v>
      </c>
      <c r="C488" s="16">
        <v>48</v>
      </c>
      <c r="D488" s="19" t="s">
        <v>984</v>
      </c>
      <c r="E488" s="17" t="s">
        <v>985</v>
      </c>
      <c r="F488" s="15">
        <v>98.75</v>
      </c>
      <c r="G488" s="15">
        <v>106</v>
      </c>
      <c r="H488" s="15">
        <v>112.5</v>
      </c>
      <c r="I488" s="15">
        <v>61</v>
      </c>
      <c r="J488" s="15"/>
      <c r="K488" s="15">
        <v>88</v>
      </c>
      <c r="L488" s="15"/>
      <c r="M488" s="15"/>
      <c r="N488" s="15">
        <v>87</v>
      </c>
      <c r="O488" s="15">
        <v>317.25</v>
      </c>
      <c r="P488" s="15">
        <v>553.25</v>
      </c>
    </row>
    <row r="489" ht="14.25" spans="1:16">
      <c r="A489" s="13">
        <v>488</v>
      </c>
      <c r="B489" s="15">
        <v>10</v>
      </c>
      <c r="C489" s="16">
        <v>49</v>
      </c>
      <c r="D489" s="17" t="s">
        <v>986</v>
      </c>
      <c r="E489" s="17" t="s">
        <v>987</v>
      </c>
      <c r="F489" s="15">
        <v>98</v>
      </c>
      <c r="G489" s="15">
        <v>115</v>
      </c>
      <c r="H489" s="15">
        <v>92</v>
      </c>
      <c r="I489" s="15">
        <v>63.5</v>
      </c>
      <c r="J489" s="15"/>
      <c r="K489" s="15">
        <v>77</v>
      </c>
      <c r="L489" s="15"/>
      <c r="M489" s="15"/>
      <c r="N489" s="15">
        <v>86</v>
      </c>
      <c r="O489" s="15">
        <v>305</v>
      </c>
      <c r="P489" s="15">
        <v>531.5</v>
      </c>
    </row>
    <row r="490" ht="14.25" spans="1:16">
      <c r="A490" s="13">
        <v>489</v>
      </c>
      <c r="B490" s="15">
        <v>10</v>
      </c>
      <c r="C490" s="16">
        <v>50</v>
      </c>
      <c r="D490" s="17" t="s">
        <v>988</v>
      </c>
      <c r="E490" s="17" t="s">
        <v>989</v>
      </c>
      <c r="F490" s="15">
        <v>107</v>
      </c>
      <c r="G490" s="15">
        <v>119.5</v>
      </c>
      <c r="H490" s="15">
        <v>100.5</v>
      </c>
      <c r="I490" s="15">
        <v>63</v>
      </c>
      <c r="J490" s="15"/>
      <c r="K490" s="15">
        <v>92</v>
      </c>
      <c r="L490" s="15"/>
      <c r="M490" s="15"/>
      <c r="N490" s="15">
        <v>83</v>
      </c>
      <c r="O490" s="15">
        <v>327</v>
      </c>
      <c r="P490" s="15">
        <v>565</v>
      </c>
    </row>
    <row r="491" ht="14.25" spans="1:16">
      <c r="A491" s="13">
        <v>490</v>
      </c>
      <c r="B491" s="15">
        <v>10</v>
      </c>
      <c r="C491" s="16">
        <v>51</v>
      </c>
      <c r="D491" s="17" t="s">
        <v>990</v>
      </c>
      <c r="E491" s="17" t="s">
        <v>991</v>
      </c>
      <c r="F491" s="15">
        <v>106</v>
      </c>
      <c r="G491" s="15">
        <v>112</v>
      </c>
      <c r="H491" s="15">
        <v>112.5</v>
      </c>
      <c r="I491" s="15">
        <v>63.5</v>
      </c>
      <c r="J491" s="15"/>
      <c r="K491" s="15">
        <v>78</v>
      </c>
      <c r="L491" s="15"/>
      <c r="M491" s="15"/>
      <c r="N491" s="15">
        <v>82</v>
      </c>
      <c r="O491" s="15">
        <v>330.5</v>
      </c>
      <c r="P491" s="15">
        <v>554</v>
      </c>
    </row>
    <row r="492" ht="14.25" spans="1:16">
      <c r="A492" s="13">
        <v>491</v>
      </c>
      <c r="B492" s="15">
        <v>10</v>
      </c>
      <c r="C492" s="16">
        <v>52</v>
      </c>
      <c r="D492" s="17" t="s">
        <v>992</v>
      </c>
      <c r="E492" s="17" t="s">
        <v>993</v>
      </c>
      <c r="F492" s="15">
        <v>98.5</v>
      </c>
      <c r="G492" s="15">
        <v>105</v>
      </c>
      <c r="H492" s="15">
        <v>96.75</v>
      </c>
      <c r="I492" s="15">
        <v>72.5</v>
      </c>
      <c r="J492" s="15"/>
      <c r="K492" s="15">
        <v>79</v>
      </c>
      <c r="L492" s="15"/>
      <c r="M492" s="15"/>
      <c r="N492" s="15">
        <v>80</v>
      </c>
      <c r="O492" s="15">
        <v>300.25</v>
      </c>
      <c r="P492" s="15">
        <v>531.75</v>
      </c>
    </row>
    <row r="493" ht="14.25" spans="1:16">
      <c r="A493" s="13">
        <v>492</v>
      </c>
      <c r="B493" s="15">
        <v>10</v>
      </c>
      <c r="C493" s="16">
        <v>53</v>
      </c>
      <c r="D493" s="17" t="s">
        <v>994</v>
      </c>
      <c r="E493" s="17" t="s">
        <v>995</v>
      </c>
      <c r="F493" s="15">
        <v>102.5</v>
      </c>
      <c r="G493" s="15">
        <v>116.5</v>
      </c>
      <c r="H493" s="15">
        <v>114.75</v>
      </c>
      <c r="I493" s="15">
        <v>83</v>
      </c>
      <c r="J493" s="15"/>
      <c r="K493" s="15">
        <v>88</v>
      </c>
      <c r="L493" s="15"/>
      <c r="M493" s="15"/>
      <c r="N493" s="15">
        <v>93</v>
      </c>
      <c r="O493" s="15">
        <v>333.75</v>
      </c>
      <c r="P493" s="15">
        <v>597.75</v>
      </c>
    </row>
    <row r="494" ht="14.25" spans="1:16">
      <c r="A494" s="13">
        <v>493</v>
      </c>
      <c r="B494" s="15">
        <v>10</v>
      </c>
      <c r="C494" s="16">
        <v>54</v>
      </c>
      <c r="D494" s="17" t="s">
        <v>996</v>
      </c>
      <c r="E494" s="17" t="s">
        <v>997</v>
      </c>
      <c r="F494" s="15">
        <v>108.5</v>
      </c>
      <c r="G494" s="15">
        <v>121.5</v>
      </c>
      <c r="H494" s="15">
        <v>121.75</v>
      </c>
      <c r="I494" s="15">
        <v>84.5</v>
      </c>
      <c r="J494" s="15"/>
      <c r="K494" s="15">
        <v>88</v>
      </c>
      <c r="L494" s="15"/>
      <c r="M494" s="15"/>
      <c r="N494" s="15">
        <v>87</v>
      </c>
      <c r="O494" s="15">
        <v>351.75</v>
      </c>
      <c r="P494" s="15">
        <v>611.25</v>
      </c>
    </row>
    <row r="495" ht="14.25" spans="1:16">
      <c r="A495" s="13">
        <v>494</v>
      </c>
      <c r="B495" s="15">
        <v>10</v>
      </c>
      <c r="C495" s="16">
        <v>55</v>
      </c>
      <c r="D495" s="17" t="s">
        <v>998</v>
      </c>
      <c r="E495" s="17" t="s">
        <v>999</v>
      </c>
      <c r="F495" s="15">
        <v>108.75</v>
      </c>
      <c r="G495" s="15">
        <v>98.5</v>
      </c>
      <c r="H495" s="15">
        <v>117.25</v>
      </c>
      <c r="I495" s="15">
        <v>55</v>
      </c>
      <c r="J495" s="15"/>
      <c r="K495" s="15">
        <v>86</v>
      </c>
      <c r="L495" s="15"/>
      <c r="M495" s="15"/>
      <c r="N495" s="15">
        <v>84</v>
      </c>
      <c r="O495" s="15">
        <v>324.5</v>
      </c>
      <c r="P495" s="15">
        <v>549.5</v>
      </c>
    </row>
    <row r="496" ht="14.25" spans="1:16">
      <c r="A496" s="13">
        <v>495</v>
      </c>
      <c r="B496" s="15">
        <v>10</v>
      </c>
      <c r="C496" s="16">
        <v>56</v>
      </c>
      <c r="D496" s="17" t="s">
        <v>1000</v>
      </c>
      <c r="E496" s="17" t="s">
        <v>1001</v>
      </c>
      <c r="F496" s="15">
        <v>99</v>
      </c>
      <c r="G496" s="15">
        <v>136</v>
      </c>
      <c r="H496" s="15">
        <v>107</v>
      </c>
      <c r="I496" s="15">
        <v>89</v>
      </c>
      <c r="J496" s="15"/>
      <c r="K496" s="15">
        <v>89</v>
      </c>
      <c r="L496" s="15"/>
      <c r="M496" s="15"/>
      <c r="N496" s="15">
        <v>87</v>
      </c>
      <c r="O496" s="15">
        <v>342</v>
      </c>
      <c r="P496" s="15">
        <v>607</v>
      </c>
    </row>
    <row r="497" ht="14.25" spans="1:16">
      <c r="A497" s="13">
        <v>496</v>
      </c>
      <c r="B497" s="15">
        <v>10</v>
      </c>
      <c r="C497" s="16">
        <v>57</v>
      </c>
      <c r="D497" s="17" t="s">
        <v>1002</v>
      </c>
      <c r="E497" s="17" t="s">
        <v>1003</v>
      </c>
      <c r="F497" s="15">
        <v>98.25</v>
      </c>
      <c r="G497" s="15">
        <v>118.5</v>
      </c>
      <c r="H497" s="15">
        <v>110</v>
      </c>
      <c r="I497" s="15">
        <v>63</v>
      </c>
      <c r="J497" s="15"/>
      <c r="K497" s="15">
        <v>83</v>
      </c>
      <c r="L497" s="15"/>
      <c r="M497" s="15"/>
      <c r="N497" s="15">
        <v>89</v>
      </c>
      <c r="O497" s="15">
        <v>326.75</v>
      </c>
      <c r="P497" s="15">
        <v>561.75</v>
      </c>
    </row>
    <row r="498" ht="14.25" spans="1:16">
      <c r="A498" s="13">
        <v>497</v>
      </c>
      <c r="B498" s="15">
        <v>11</v>
      </c>
      <c r="C498" s="16">
        <v>1</v>
      </c>
      <c r="D498" s="17" t="s">
        <v>1004</v>
      </c>
      <c r="E498" s="17" t="s">
        <v>1005</v>
      </c>
      <c r="F498" s="15">
        <v>93</v>
      </c>
      <c r="G498" s="15">
        <v>110</v>
      </c>
      <c r="H498" s="15">
        <v>105.75</v>
      </c>
      <c r="I498" s="15">
        <v>58.5</v>
      </c>
      <c r="J498" s="15"/>
      <c r="K498" s="15">
        <v>82</v>
      </c>
      <c r="L498" s="15"/>
      <c r="M498" s="15"/>
      <c r="N498" s="15">
        <v>84</v>
      </c>
      <c r="O498" s="15">
        <v>308.75</v>
      </c>
      <c r="P498" s="15">
        <v>533.25</v>
      </c>
    </row>
    <row r="499" ht="14.25" spans="1:16">
      <c r="A499" s="13">
        <v>498</v>
      </c>
      <c r="B499" s="15">
        <v>11</v>
      </c>
      <c r="C499" s="16">
        <v>2</v>
      </c>
      <c r="D499" s="17" t="s">
        <v>1006</v>
      </c>
      <c r="E499" s="17" t="s">
        <v>1007</v>
      </c>
      <c r="F499" s="15">
        <v>103.5</v>
      </c>
      <c r="G499" s="15">
        <v>105.5</v>
      </c>
      <c r="H499" s="15">
        <v>92.5</v>
      </c>
      <c r="I499" s="15">
        <v>37.5</v>
      </c>
      <c r="J499" s="15"/>
      <c r="K499" s="15">
        <v>77</v>
      </c>
      <c r="L499" s="15"/>
      <c r="M499" s="15"/>
      <c r="N499" s="15">
        <v>76</v>
      </c>
      <c r="O499" s="15">
        <v>301.5</v>
      </c>
      <c r="P499" s="15">
        <v>492</v>
      </c>
    </row>
    <row r="500" ht="14.25" spans="1:16">
      <c r="A500" s="13">
        <v>499</v>
      </c>
      <c r="B500" s="15">
        <v>11</v>
      </c>
      <c r="C500" s="16">
        <v>3</v>
      </c>
      <c r="D500" s="17" t="s">
        <v>1008</v>
      </c>
      <c r="E500" s="17" t="s">
        <v>1009</v>
      </c>
      <c r="F500" s="15">
        <v>90.5</v>
      </c>
      <c r="G500" s="15">
        <v>81.5</v>
      </c>
      <c r="H500" s="15">
        <v>77.5</v>
      </c>
      <c r="I500" s="15">
        <v>32</v>
      </c>
      <c r="J500" s="15"/>
      <c r="K500" s="15">
        <v>81</v>
      </c>
      <c r="L500" s="15"/>
      <c r="M500" s="15"/>
      <c r="N500" s="15">
        <v>79</v>
      </c>
      <c r="O500" s="15">
        <v>249.5</v>
      </c>
      <c r="P500" s="15">
        <v>441.5</v>
      </c>
    </row>
    <row r="501" ht="14.25" spans="1:16">
      <c r="A501" s="13">
        <v>500</v>
      </c>
      <c r="B501" s="15">
        <v>11</v>
      </c>
      <c r="C501" s="16">
        <v>4</v>
      </c>
      <c r="D501" s="17" t="s">
        <v>1010</v>
      </c>
      <c r="E501" s="17" t="s">
        <v>1011</v>
      </c>
      <c r="F501" s="15">
        <v>99.5</v>
      </c>
      <c r="G501" s="15">
        <v>83.5</v>
      </c>
      <c r="H501" s="15">
        <v>86</v>
      </c>
      <c r="I501" s="15">
        <v>47</v>
      </c>
      <c r="J501" s="15"/>
      <c r="K501" s="15">
        <v>86</v>
      </c>
      <c r="L501" s="15"/>
      <c r="M501" s="15"/>
      <c r="N501" s="15">
        <v>67</v>
      </c>
      <c r="O501" s="15">
        <v>269</v>
      </c>
      <c r="P501" s="15">
        <v>469</v>
      </c>
    </row>
    <row r="502" ht="14.25" spans="1:16">
      <c r="A502" s="13">
        <v>501</v>
      </c>
      <c r="B502" s="15">
        <v>11</v>
      </c>
      <c r="C502" s="16">
        <v>5</v>
      </c>
      <c r="D502" s="17" t="s">
        <v>1012</v>
      </c>
      <c r="E502" s="17" t="s">
        <v>1013</v>
      </c>
      <c r="F502" s="15">
        <v>90</v>
      </c>
      <c r="G502" s="15">
        <v>75</v>
      </c>
      <c r="H502" s="15">
        <v>76.5</v>
      </c>
      <c r="I502" s="15">
        <v>51.5</v>
      </c>
      <c r="J502" s="15"/>
      <c r="K502" s="15">
        <v>62</v>
      </c>
      <c r="L502" s="15"/>
      <c r="M502" s="15"/>
      <c r="N502" s="15">
        <v>67</v>
      </c>
      <c r="O502" s="15">
        <v>241.5</v>
      </c>
      <c r="P502" s="15">
        <v>422</v>
      </c>
    </row>
    <row r="503" ht="14.25" spans="1:16">
      <c r="A503" s="13">
        <v>502</v>
      </c>
      <c r="B503" s="15">
        <v>11</v>
      </c>
      <c r="C503" s="16">
        <v>6</v>
      </c>
      <c r="D503" s="17" t="s">
        <v>1014</v>
      </c>
      <c r="E503" s="17" t="s">
        <v>1015</v>
      </c>
      <c r="F503" s="15">
        <v>92.75</v>
      </c>
      <c r="G503" s="15">
        <v>107.5</v>
      </c>
      <c r="H503" s="15">
        <v>83.5</v>
      </c>
      <c r="I503" s="15">
        <v>64.5</v>
      </c>
      <c r="J503" s="15"/>
      <c r="K503" s="15">
        <v>78</v>
      </c>
      <c r="L503" s="15"/>
      <c r="M503" s="15"/>
      <c r="N503" s="15">
        <v>89</v>
      </c>
      <c r="O503" s="15">
        <v>283.75</v>
      </c>
      <c r="P503" s="15">
        <v>515.25</v>
      </c>
    </row>
    <row r="504" ht="14.25" spans="1:16">
      <c r="A504" s="13">
        <v>503</v>
      </c>
      <c r="B504" s="15">
        <v>11</v>
      </c>
      <c r="C504" s="16">
        <v>7</v>
      </c>
      <c r="D504" s="17" t="s">
        <v>1016</v>
      </c>
      <c r="E504" s="17" t="s">
        <v>1017</v>
      </c>
      <c r="F504" s="15">
        <v>101</v>
      </c>
      <c r="G504" s="15">
        <v>21.5</v>
      </c>
      <c r="H504" s="15">
        <v>38</v>
      </c>
      <c r="I504" s="15">
        <v>14</v>
      </c>
      <c r="J504" s="15"/>
      <c r="K504" s="15">
        <v>44</v>
      </c>
      <c r="L504" s="15"/>
      <c r="M504" s="15"/>
      <c r="N504" s="15">
        <v>52</v>
      </c>
      <c r="O504" s="15">
        <v>160.5</v>
      </c>
      <c r="P504" s="15">
        <v>270.5</v>
      </c>
    </row>
    <row r="505" ht="14.25" spans="1:16">
      <c r="A505" s="13">
        <v>504</v>
      </c>
      <c r="B505" s="15">
        <v>11</v>
      </c>
      <c r="C505" s="16">
        <v>8</v>
      </c>
      <c r="D505" s="17" t="s">
        <v>1018</v>
      </c>
      <c r="E505" s="17" t="s">
        <v>1019</v>
      </c>
      <c r="F505" s="15">
        <v>93</v>
      </c>
      <c r="G505" s="15">
        <v>100</v>
      </c>
      <c r="H505" s="15">
        <v>80.75</v>
      </c>
      <c r="I505" s="15">
        <v>57.5</v>
      </c>
      <c r="J505" s="15"/>
      <c r="K505" s="15">
        <v>83</v>
      </c>
      <c r="L505" s="15"/>
      <c r="M505" s="15"/>
      <c r="N505" s="15">
        <v>91</v>
      </c>
      <c r="O505" s="15">
        <v>273.75</v>
      </c>
      <c r="P505" s="15">
        <v>505.25</v>
      </c>
    </row>
    <row r="506" ht="14.25" spans="1:16">
      <c r="A506" s="13">
        <v>505</v>
      </c>
      <c r="B506" s="15">
        <v>11</v>
      </c>
      <c r="C506" s="16">
        <v>9</v>
      </c>
      <c r="D506" s="17" t="s">
        <v>1020</v>
      </c>
      <c r="E506" s="17" t="s">
        <v>1021</v>
      </c>
      <c r="F506" s="15">
        <v>92.5</v>
      </c>
      <c r="G506" s="15">
        <v>100</v>
      </c>
      <c r="H506" s="15">
        <v>100</v>
      </c>
      <c r="I506" s="15">
        <v>49.5</v>
      </c>
      <c r="J506" s="15"/>
      <c r="K506" s="15">
        <v>82</v>
      </c>
      <c r="L506" s="15"/>
      <c r="M506" s="15"/>
      <c r="N506" s="15">
        <v>82</v>
      </c>
      <c r="O506" s="15">
        <v>292.5</v>
      </c>
      <c r="P506" s="15">
        <v>506</v>
      </c>
    </row>
    <row r="507" ht="14.25" spans="1:16">
      <c r="A507" s="13">
        <v>506</v>
      </c>
      <c r="B507" s="15">
        <v>11</v>
      </c>
      <c r="C507" s="16">
        <v>10</v>
      </c>
      <c r="D507" s="17" t="s">
        <v>1022</v>
      </c>
      <c r="E507" s="17" t="s">
        <v>1023</v>
      </c>
      <c r="F507" s="15">
        <v>98.5</v>
      </c>
      <c r="G507" s="15">
        <v>82</v>
      </c>
      <c r="H507" s="15">
        <v>99.5</v>
      </c>
      <c r="I507" s="15">
        <v>48.5</v>
      </c>
      <c r="J507" s="15"/>
      <c r="K507" s="15">
        <v>62</v>
      </c>
      <c r="L507" s="15"/>
      <c r="M507" s="15"/>
      <c r="N507" s="15">
        <v>74</v>
      </c>
      <c r="O507" s="15">
        <v>280</v>
      </c>
      <c r="P507" s="15">
        <v>464.5</v>
      </c>
    </row>
    <row r="508" ht="14.25" spans="1:16">
      <c r="A508" s="13">
        <v>507</v>
      </c>
      <c r="B508" s="15">
        <v>11</v>
      </c>
      <c r="C508" s="16">
        <v>11</v>
      </c>
      <c r="D508" s="17" t="s">
        <v>1024</v>
      </c>
      <c r="E508" s="17" t="s">
        <v>1025</v>
      </c>
      <c r="F508" s="15">
        <v>95</v>
      </c>
      <c r="G508" s="15">
        <v>118</v>
      </c>
      <c r="H508" s="15">
        <v>101.5</v>
      </c>
      <c r="I508" s="15">
        <v>45</v>
      </c>
      <c r="J508" s="15"/>
      <c r="K508" s="15">
        <v>75</v>
      </c>
      <c r="L508" s="15"/>
      <c r="M508" s="15"/>
      <c r="N508" s="15">
        <v>79</v>
      </c>
      <c r="O508" s="15">
        <v>314.5</v>
      </c>
      <c r="P508" s="15">
        <v>513.5</v>
      </c>
    </row>
    <row r="509" ht="14.25" spans="1:16">
      <c r="A509" s="13">
        <v>508</v>
      </c>
      <c r="B509" s="15">
        <v>11</v>
      </c>
      <c r="C509" s="16">
        <v>12</v>
      </c>
      <c r="D509" s="17" t="s">
        <v>1026</v>
      </c>
      <c r="E509" s="17" t="s">
        <v>1027</v>
      </c>
      <c r="F509" s="15">
        <v>94</v>
      </c>
      <c r="G509" s="15">
        <v>124</v>
      </c>
      <c r="H509" s="15">
        <v>103</v>
      </c>
      <c r="I509" s="15">
        <v>62.5</v>
      </c>
      <c r="J509" s="15"/>
      <c r="K509" s="15">
        <v>80</v>
      </c>
      <c r="L509" s="15"/>
      <c r="M509" s="15"/>
      <c r="N509" s="15">
        <v>74</v>
      </c>
      <c r="O509" s="15">
        <v>321</v>
      </c>
      <c r="P509" s="15">
        <v>537.5</v>
      </c>
    </row>
    <row r="510" ht="14.25" spans="1:16">
      <c r="A510" s="13">
        <v>509</v>
      </c>
      <c r="B510" s="15">
        <v>11</v>
      </c>
      <c r="C510" s="16">
        <v>13</v>
      </c>
      <c r="D510" s="17" t="s">
        <v>1028</v>
      </c>
      <c r="E510" s="17" t="s">
        <v>1029</v>
      </c>
      <c r="F510" s="15">
        <v>99.5</v>
      </c>
      <c r="G510" s="15">
        <v>92.5</v>
      </c>
      <c r="H510" s="15">
        <v>86.75</v>
      </c>
      <c r="I510" s="15">
        <v>40</v>
      </c>
      <c r="J510" s="15"/>
      <c r="K510" s="15">
        <v>62</v>
      </c>
      <c r="L510" s="15"/>
      <c r="M510" s="15"/>
      <c r="N510" s="15">
        <v>83</v>
      </c>
      <c r="O510" s="15">
        <v>278.75</v>
      </c>
      <c r="P510" s="15">
        <v>463.75</v>
      </c>
    </row>
    <row r="511" ht="14.25" spans="1:16">
      <c r="A511" s="13">
        <v>510</v>
      </c>
      <c r="B511" s="15">
        <v>11</v>
      </c>
      <c r="C511" s="16">
        <v>14</v>
      </c>
      <c r="D511" s="17" t="s">
        <v>1030</v>
      </c>
      <c r="E511" s="17" t="s">
        <v>1031</v>
      </c>
      <c r="F511" s="15">
        <v>101.5</v>
      </c>
      <c r="G511" s="15">
        <v>94.5</v>
      </c>
      <c r="H511" s="15">
        <v>94.75</v>
      </c>
      <c r="I511" s="15">
        <v>56</v>
      </c>
      <c r="J511" s="15"/>
      <c r="K511" s="15">
        <v>79</v>
      </c>
      <c r="L511" s="15"/>
      <c r="M511" s="15"/>
      <c r="N511" s="15">
        <v>86</v>
      </c>
      <c r="O511" s="15">
        <v>290.75</v>
      </c>
      <c r="P511" s="15">
        <v>511.75</v>
      </c>
    </row>
    <row r="512" ht="14.25" spans="1:16">
      <c r="A512" s="13">
        <v>511</v>
      </c>
      <c r="B512" s="15">
        <v>11</v>
      </c>
      <c r="C512" s="16">
        <v>15</v>
      </c>
      <c r="D512" s="17" t="s">
        <v>1032</v>
      </c>
      <c r="E512" s="17" t="s">
        <v>1033</v>
      </c>
      <c r="F512" s="15">
        <v>96</v>
      </c>
      <c r="G512" s="15">
        <v>87.5</v>
      </c>
      <c r="H512" s="15">
        <v>96.25</v>
      </c>
      <c r="I512" s="15">
        <v>40.5</v>
      </c>
      <c r="J512" s="15"/>
      <c r="K512" s="15">
        <v>74</v>
      </c>
      <c r="L512" s="15"/>
      <c r="M512" s="15"/>
      <c r="N512" s="15">
        <v>77</v>
      </c>
      <c r="O512" s="15">
        <v>279.75</v>
      </c>
      <c r="P512" s="15">
        <v>471.25</v>
      </c>
    </row>
    <row r="513" ht="14.25" spans="1:16">
      <c r="A513" s="13">
        <v>512</v>
      </c>
      <c r="B513" s="15">
        <v>11</v>
      </c>
      <c r="C513" s="16">
        <v>16</v>
      </c>
      <c r="D513" s="17" t="s">
        <v>1034</v>
      </c>
      <c r="E513" s="17" t="s">
        <v>1035</v>
      </c>
      <c r="F513" s="15">
        <v>85.5</v>
      </c>
      <c r="G513" s="15">
        <v>70</v>
      </c>
      <c r="H513" s="15">
        <v>64</v>
      </c>
      <c r="I513" s="15">
        <v>35</v>
      </c>
      <c r="J513" s="15"/>
      <c r="K513" s="15">
        <v>51</v>
      </c>
      <c r="L513" s="15"/>
      <c r="M513" s="15"/>
      <c r="N513" s="15">
        <v>60</v>
      </c>
      <c r="O513" s="15">
        <v>219.5</v>
      </c>
      <c r="P513" s="15">
        <v>365.5</v>
      </c>
    </row>
    <row r="514" ht="14.25" spans="1:16">
      <c r="A514" s="13">
        <v>513</v>
      </c>
      <c r="B514" s="15">
        <v>11</v>
      </c>
      <c r="C514" s="16">
        <v>17</v>
      </c>
      <c r="D514" s="17" t="s">
        <v>1036</v>
      </c>
      <c r="E514" s="17" t="s">
        <v>1037</v>
      </c>
      <c r="F514" s="15">
        <v>102</v>
      </c>
      <c r="G514" s="15">
        <v>104</v>
      </c>
      <c r="H514" s="15">
        <v>113</v>
      </c>
      <c r="I514" s="15">
        <v>24</v>
      </c>
      <c r="J514" s="15"/>
      <c r="K514" s="15">
        <v>80</v>
      </c>
      <c r="L514" s="15"/>
      <c r="M514" s="15"/>
      <c r="N514" s="15">
        <v>74</v>
      </c>
      <c r="O514" s="15">
        <v>319</v>
      </c>
      <c r="P514" s="15">
        <v>497</v>
      </c>
    </row>
    <row r="515" ht="14.25" spans="1:16">
      <c r="A515" s="13">
        <v>514</v>
      </c>
      <c r="B515" s="15">
        <v>11</v>
      </c>
      <c r="C515" s="16">
        <v>18</v>
      </c>
      <c r="D515" s="19" t="s">
        <v>1038</v>
      </c>
      <c r="E515" s="17" t="s">
        <v>1039</v>
      </c>
      <c r="F515" s="15">
        <v>103.5</v>
      </c>
      <c r="G515" s="15">
        <v>128</v>
      </c>
      <c r="H515" s="15">
        <v>118</v>
      </c>
      <c r="I515" s="15">
        <v>63</v>
      </c>
      <c r="J515" s="15"/>
      <c r="K515" s="15">
        <v>67</v>
      </c>
      <c r="L515" s="15"/>
      <c r="M515" s="15"/>
      <c r="N515" s="15">
        <v>80</v>
      </c>
      <c r="O515" s="15">
        <v>349.5</v>
      </c>
      <c r="P515" s="15">
        <v>559.5</v>
      </c>
    </row>
    <row r="516" ht="14.25" spans="1:16">
      <c r="A516" s="13">
        <v>515</v>
      </c>
      <c r="B516" s="15">
        <v>11</v>
      </c>
      <c r="C516" s="16">
        <v>19</v>
      </c>
      <c r="D516" s="17" t="s">
        <v>1040</v>
      </c>
      <c r="E516" s="17" t="s">
        <v>1041</v>
      </c>
      <c r="F516" s="15">
        <v>107.5</v>
      </c>
      <c r="G516" s="15">
        <v>115.5</v>
      </c>
      <c r="H516" s="15">
        <v>99.5</v>
      </c>
      <c r="I516" s="15">
        <v>41.5</v>
      </c>
      <c r="J516" s="15"/>
      <c r="K516" s="15">
        <v>81</v>
      </c>
      <c r="L516" s="15"/>
      <c r="M516" s="15"/>
      <c r="N516" s="15">
        <v>90</v>
      </c>
      <c r="O516" s="15">
        <v>322.5</v>
      </c>
      <c r="P516" s="15">
        <v>535</v>
      </c>
    </row>
    <row r="517" ht="14.25" spans="1:16">
      <c r="A517" s="13">
        <v>516</v>
      </c>
      <c r="B517" s="15">
        <v>11</v>
      </c>
      <c r="C517" s="16">
        <v>20</v>
      </c>
      <c r="D517" s="17" t="s">
        <v>1042</v>
      </c>
      <c r="E517" s="17" t="s">
        <v>1043</v>
      </c>
      <c r="F517" s="15">
        <v>92.5</v>
      </c>
      <c r="G517" s="15">
        <v>121</v>
      </c>
      <c r="H517" s="15">
        <v>113.5</v>
      </c>
      <c r="I517" s="15">
        <v>60</v>
      </c>
      <c r="J517" s="15"/>
      <c r="K517" s="15">
        <v>81</v>
      </c>
      <c r="L517" s="15"/>
      <c r="M517" s="15"/>
      <c r="N517" s="15">
        <v>82</v>
      </c>
      <c r="O517" s="15">
        <v>327</v>
      </c>
      <c r="P517" s="15">
        <v>550</v>
      </c>
    </row>
    <row r="518" ht="14.25" spans="1:16">
      <c r="A518" s="13">
        <v>517</v>
      </c>
      <c r="B518" s="15">
        <v>11</v>
      </c>
      <c r="C518" s="16">
        <v>21</v>
      </c>
      <c r="D518" s="17" t="s">
        <v>1044</v>
      </c>
      <c r="E518" s="17" t="s">
        <v>1045</v>
      </c>
      <c r="F518" s="15">
        <v>105</v>
      </c>
      <c r="G518" s="15">
        <v>98</v>
      </c>
      <c r="H518" s="15">
        <v>95</v>
      </c>
      <c r="I518" s="15">
        <v>50</v>
      </c>
      <c r="J518" s="15"/>
      <c r="K518" s="15">
        <v>81</v>
      </c>
      <c r="L518" s="15"/>
      <c r="M518" s="15"/>
      <c r="N518" s="15">
        <v>82</v>
      </c>
      <c r="O518" s="15">
        <v>298</v>
      </c>
      <c r="P518" s="15">
        <v>511</v>
      </c>
    </row>
    <row r="519" ht="14.25" spans="1:16">
      <c r="A519" s="13">
        <v>518</v>
      </c>
      <c r="B519" s="15">
        <v>11</v>
      </c>
      <c r="C519" s="16">
        <v>22</v>
      </c>
      <c r="D519" s="17" t="s">
        <v>1046</v>
      </c>
      <c r="E519" s="17" t="s">
        <v>1047</v>
      </c>
      <c r="F519" s="15">
        <v>94.5</v>
      </c>
      <c r="G519" s="15">
        <v>84</v>
      </c>
      <c r="H519" s="15">
        <v>99.5</v>
      </c>
      <c r="I519" s="15">
        <v>62.5</v>
      </c>
      <c r="J519" s="15"/>
      <c r="K519" s="15">
        <v>83</v>
      </c>
      <c r="L519" s="15"/>
      <c r="M519" s="15"/>
      <c r="N519" s="15">
        <v>85</v>
      </c>
      <c r="O519" s="15">
        <v>278</v>
      </c>
      <c r="P519" s="15">
        <v>508.5</v>
      </c>
    </row>
    <row r="520" ht="14.25" spans="1:16">
      <c r="A520" s="13">
        <v>519</v>
      </c>
      <c r="B520" s="15">
        <v>11</v>
      </c>
      <c r="C520" s="16">
        <v>24</v>
      </c>
      <c r="D520" s="17" t="s">
        <v>1048</v>
      </c>
      <c r="E520" s="17" t="s">
        <v>1049</v>
      </c>
      <c r="F520" s="15">
        <v>99.5</v>
      </c>
      <c r="G520" s="15">
        <v>108</v>
      </c>
      <c r="H520" s="15">
        <v>103</v>
      </c>
      <c r="I520" s="15">
        <v>51</v>
      </c>
      <c r="J520" s="15"/>
      <c r="K520" s="15">
        <v>84</v>
      </c>
      <c r="L520" s="15"/>
      <c r="M520" s="15"/>
      <c r="N520" s="15">
        <v>77</v>
      </c>
      <c r="O520" s="15">
        <v>310.5</v>
      </c>
      <c r="P520" s="15">
        <v>522.5</v>
      </c>
    </row>
    <row r="521" ht="14.25" spans="1:16">
      <c r="A521" s="13">
        <v>520</v>
      </c>
      <c r="B521" s="15">
        <v>11</v>
      </c>
      <c r="C521" s="16">
        <v>25</v>
      </c>
      <c r="D521" s="17" t="s">
        <v>1050</v>
      </c>
      <c r="E521" s="17" t="s">
        <v>1051</v>
      </c>
      <c r="F521" s="15">
        <v>99</v>
      </c>
      <c r="G521" s="15">
        <v>102.5</v>
      </c>
      <c r="H521" s="15">
        <v>101.25</v>
      </c>
      <c r="I521" s="15">
        <v>23</v>
      </c>
      <c r="J521" s="15"/>
      <c r="K521" s="15">
        <v>68</v>
      </c>
      <c r="L521" s="15"/>
      <c r="M521" s="15"/>
      <c r="N521" s="15">
        <v>72</v>
      </c>
      <c r="O521" s="15">
        <v>302.75</v>
      </c>
      <c r="P521" s="15">
        <v>465.75</v>
      </c>
    </row>
    <row r="522" ht="14.25" spans="1:16">
      <c r="A522" s="13">
        <v>521</v>
      </c>
      <c r="B522" s="15">
        <v>11</v>
      </c>
      <c r="C522" s="16">
        <v>26</v>
      </c>
      <c r="D522" s="17" t="s">
        <v>1052</v>
      </c>
      <c r="E522" s="17" t="s">
        <v>1053</v>
      </c>
      <c r="F522" s="15">
        <v>98.5</v>
      </c>
      <c r="G522" s="15">
        <v>96</v>
      </c>
      <c r="H522" s="15">
        <v>87.5</v>
      </c>
      <c r="I522" s="15">
        <v>31</v>
      </c>
      <c r="J522" s="15"/>
      <c r="K522" s="15">
        <v>52</v>
      </c>
      <c r="L522" s="15"/>
      <c r="M522" s="15"/>
      <c r="N522" s="15">
        <v>70</v>
      </c>
      <c r="O522" s="15">
        <v>282</v>
      </c>
      <c r="P522" s="15">
        <v>435</v>
      </c>
    </row>
    <row r="523" ht="14.25" spans="1:16">
      <c r="A523" s="13">
        <v>522</v>
      </c>
      <c r="B523" s="15">
        <v>11</v>
      </c>
      <c r="C523" s="16">
        <v>27</v>
      </c>
      <c r="D523" s="17" t="s">
        <v>1054</v>
      </c>
      <c r="E523" s="17" t="s">
        <v>1055</v>
      </c>
      <c r="F523" s="15">
        <v>116</v>
      </c>
      <c r="G523" s="15">
        <v>101</v>
      </c>
      <c r="H523" s="15">
        <v>99.5</v>
      </c>
      <c r="I523" s="15">
        <v>35.5</v>
      </c>
      <c r="J523" s="15"/>
      <c r="K523" s="15">
        <v>87</v>
      </c>
      <c r="L523" s="15"/>
      <c r="M523" s="15"/>
      <c r="N523" s="15">
        <v>86</v>
      </c>
      <c r="O523" s="15">
        <v>316.5</v>
      </c>
      <c r="P523" s="15">
        <v>525</v>
      </c>
    </row>
    <row r="524" ht="14.25" spans="1:16">
      <c r="A524" s="13">
        <v>523</v>
      </c>
      <c r="B524" s="15">
        <v>11</v>
      </c>
      <c r="C524" s="16">
        <v>28</v>
      </c>
      <c r="D524" s="17" t="s">
        <v>1056</v>
      </c>
      <c r="E524" s="17" t="s">
        <v>1057</v>
      </c>
      <c r="F524" s="15">
        <v>99</v>
      </c>
      <c r="G524" s="15">
        <v>86.5</v>
      </c>
      <c r="H524" s="15">
        <v>106.25</v>
      </c>
      <c r="I524" s="15">
        <v>51.5</v>
      </c>
      <c r="J524" s="15"/>
      <c r="K524" s="15">
        <v>65</v>
      </c>
      <c r="L524" s="15"/>
      <c r="M524" s="15"/>
      <c r="N524" s="15">
        <v>62</v>
      </c>
      <c r="O524" s="15">
        <v>291.75</v>
      </c>
      <c r="P524" s="15">
        <v>470.25</v>
      </c>
    </row>
    <row r="525" ht="14.25" spans="1:16">
      <c r="A525" s="13">
        <v>524</v>
      </c>
      <c r="B525" s="15">
        <v>11</v>
      </c>
      <c r="C525" s="16">
        <v>29</v>
      </c>
      <c r="D525" s="17" t="s">
        <v>1058</v>
      </c>
      <c r="E525" s="17" t="s">
        <v>1059</v>
      </c>
      <c r="F525" s="15">
        <v>103</v>
      </c>
      <c r="G525" s="15">
        <v>102.5</v>
      </c>
      <c r="H525" s="15">
        <v>100.75</v>
      </c>
      <c r="I525" s="15">
        <v>57.5</v>
      </c>
      <c r="J525" s="15"/>
      <c r="K525" s="15">
        <v>73</v>
      </c>
      <c r="L525" s="15"/>
      <c r="M525" s="15"/>
      <c r="N525" s="15">
        <v>77</v>
      </c>
      <c r="O525" s="15">
        <v>306.25</v>
      </c>
      <c r="P525" s="15">
        <v>513.75</v>
      </c>
    </row>
    <row r="526" ht="14.25" spans="1:16">
      <c r="A526" s="13">
        <v>525</v>
      </c>
      <c r="B526" s="15">
        <v>11</v>
      </c>
      <c r="C526" s="16">
        <v>30</v>
      </c>
      <c r="D526" s="17" t="s">
        <v>1060</v>
      </c>
      <c r="E526" s="17" t="s">
        <v>1061</v>
      </c>
      <c r="F526" s="15">
        <v>95.5</v>
      </c>
      <c r="G526" s="15">
        <v>93.5</v>
      </c>
      <c r="H526" s="15">
        <v>110.25</v>
      </c>
      <c r="I526" s="15">
        <v>55.5</v>
      </c>
      <c r="J526" s="15"/>
      <c r="K526" s="15">
        <v>80</v>
      </c>
      <c r="L526" s="15"/>
      <c r="M526" s="15"/>
      <c r="N526" s="15">
        <v>71</v>
      </c>
      <c r="O526" s="15">
        <v>299.25</v>
      </c>
      <c r="P526" s="15">
        <v>505.75</v>
      </c>
    </row>
    <row r="527" ht="14.25" spans="1:16">
      <c r="A527" s="13">
        <v>526</v>
      </c>
      <c r="B527" s="15">
        <v>11</v>
      </c>
      <c r="C527" s="16">
        <v>31</v>
      </c>
      <c r="D527" s="17" t="s">
        <v>1062</v>
      </c>
      <c r="E527" s="17" t="s">
        <v>630</v>
      </c>
      <c r="F527" s="15">
        <v>88.5</v>
      </c>
      <c r="G527" s="15">
        <v>101</v>
      </c>
      <c r="H527" s="15">
        <v>54.5</v>
      </c>
      <c r="I527" s="15">
        <v>57</v>
      </c>
      <c r="J527" s="15"/>
      <c r="K527" s="15">
        <v>82</v>
      </c>
      <c r="L527" s="15"/>
      <c r="M527" s="15"/>
      <c r="N527" s="15">
        <v>79</v>
      </c>
      <c r="O527" s="15">
        <v>244</v>
      </c>
      <c r="P527" s="15">
        <v>462</v>
      </c>
    </row>
    <row r="528" ht="14.25" spans="1:16">
      <c r="A528" s="13">
        <v>527</v>
      </c>
      <c r="B528" s="15">
        <v>11</v>
      </c>
      <c r="C528" s="16">
        <v>32</v>
      </c>
      <c r="D528" s="17" t="s">
        <v>1063</v>
      </c>
      <c r="E528" s="17" t="s">
        <v>1064</v>
      </c>
      <c r="F528" s="15">
        <v>97</v>
      </c>
      <c r="G528" s="15">
        <v>122</v>
      </c>
      <c r="H528" s="15">
        <v>99</v>
      </c>
      <c r="I528" s="15">
        <v>47</v>
      </c>
      <c r="J528" s="15"/>
      <c r="K528" s="15">
        <v>75</v>
      </c>
      <c r="L528" s="15"/>
      <c r="M528" s="15"/>
      <c r="N528" s="15">
        <v>80</v>
      </c>
      <c r="O528" s="15">
        <v>318</v>
      </c>
      <c r="P528" s="15">
        <v>520</v>
      </c>
    </row>
    <row r="529" ht="14.25" spans="1:16">
      <c r="A529" s="13">
        <v>528</v>
      </c>
      <c r="B529" s="15">
        <v>11</v>
      </c>
      <c r="C529" s="16">
        <v>33</v>
      </c>
      <c r="D529" s="17" t="s">
        <v>1065</v>
      </c>
      <c r="E529" s="17" t="s">
        <v>1066</v>
      </c>
      <c r="F529" s="15">
        <v>95</v>
      </c>
      <c r="G529" s="15">
        <v>117</v>
      </c>
      <c r="H529" s="15">
        <v>93</v>
      </c>
      <c r="I529" s="15">
        <v>49.5</v>
      </c>
      <c r="J529" s="15"/>
      <c r="K529" s="15">
        <v>83</v>
      </c>
      <c r="L529" s="15"/>
      <c r="M529" s="15"/>
      <c r="N529" s="15">
        <v>83</v>
      </c>
      <c r="O529" s="15">
        <v>305</v>
      </c>
      <c r="P529" s="15">
        <v>520.5</v>
      </c>
    </row>
    <row r="530" ht="14.25" spans="1:16">
      <c r="A530" s="13">
        <v>529</v>
      </c>
      <c r="B530" s="15">
        <v>11</v>
      </c>
      <c r="C530" s="16">
        <v>34</v>
      </c>
      <c r="D530" s="17" t="s">
        <v>1067</v>
      </c>
      <c r="E530" s="17" t="s">
        <v>1068</v>
      </c>
      <c r="F530" s="15">
        <v>91</v>
      </c>
      <c r="G530" s="15">
        <v>91</v>
      </c>
      <c r="H530" s="15">
        <v>84</v>
      </c>
      <c r="I530" s="15">
        <v>42.5</v>
      </c>
      <c r="J530" s="15"/>
      <c r="K530" s="15">
        <v>77</v>
      </c>
      <c r="L530" s="15"/>
      <c r="M530" s="15"/>
      <c r="N530" s="15">
        <v>77</v>
      </c>
      <c r="O530" s="15">
        <v>266</v>
      </c>
      <c r="P530" s="15">
        <v>462.5</v>
      </c>
    </row>
    <row r="531" ht="14.25" spans="1:16">
      <c r="A531" s="13">
        <v>530</v>
      </c>
      <c r="B531" s="15">
        <v>11</v>
      </c>
      <c r="C531" s="16">
        <v>36</v>
      </c>
      <c r="D531" s="17" t="s">
        <v>1069</v>
      </c>
      <c r="E531" s="17" t="s">
        <v>1070</v>
      </c>
      <c r="F531" s="15">
        <v>91</v>
      </c>
      <c r="G531" s="15">
        <v>113.5</v>
      </c>
      <c r="H531" s="15">
        <v>95.25</v>
      </c>
      <c r="I531" s="15">
        <v>64</v>
      </c>
      <c r="J531" s="15"/>
      <c r="K531" s="15">
        <v>87</v>
      </c>
      <c r="L531" s="15"/>
      <c r="M531" s="15"/>
      <c r="N531" s="15">
        <v>80</v>
      </c>
      <c r="O531" s="15">
        <v>299.75</v>
      </c>
      <c r="P531" s="15">
        <v>530.75</v>
      </c>
    </row>
    <row r="532" ht="14.25" spans="1:16">
      <c r="A532" s="13">
        <v>531</v>
      </c>
      <c r="B532" s="15">
        <v>11</v>
      </c>
      <c r="C532" s="16">
        <v>37</v>
      </c>
      <c r="D532" s="17" t="s">
        <v>1071</v>
      </c>
      <c r="E532" s="17" t="s">
        <v>1072</v>
      </c>
      <c r="F532" s="15">
        <v>95.5</v>
      </c>
      <c r="G532" s="15">
        <v>109</v>
      </c>
      <c r="H532" s="15">
        <v>117.5</v>
      </c>
      <c r="I532" s="15">
        <v>60</v>
      </c>
      <c r="J532" s="15"/>
      <c r="K532" s="15">
        <v>82</v>
      </c>
      <c r="L532" s="15"/>
      <c r="M532" s="15"/>
      <c r="N532" s="15">
        <v>88</v>
      </c>
      <c r="O532" s="15">
        <v>322</v>
      </c>
      <c r="P532" s="15">
        <v>552</v>
      </c>
    </row>
    <row r="533" ht="14.25" spans="1:16">
      <c r="A533" s="13">
        <v>532</v>
      </c>
      <c r="B533" s="15">
        <v>11</v>
      </c>
      <c r="C533" s="16">
        <v>38</v>
      </c>
      <c r="D533" s="17" t="s">
        <v>1073</v>
      </c>
      <c r="E533" s="17" t="s">
        <v>1074</v>
      </c>
      <c r="F533" s="15">
        <v>105</v>
      </c>
      <c r="G533" s="15">
        <v>111</v>
      </c>
      <c r="H533" s="15">
        <v>98.25</v>
      </c>
      <c r="I533" s="15">
        <v>59.5</v>
      </c>
      <c r="J533" s="15"/>
      <c r="K533" s="15">
        <v>86</v>
      </c>
      <c r="L533" s="15"/>
      <c r="M533" s="15"/>
      <c r="N533" s="15">
        <v>83</v>
      </c>
      <c r="O533" s="15">
        <v>314.25</v>
      </c>
      <c r="P533" s="15">
        <v>542.75</v>
      </c>
    </row>
    <row r="534" ht="14.25" spans="1:16">
      <c r="A534" s="13">
        <v>533</v>
      </c>
      <c r="B534" s="15">
        <v>11</v>
      </c>
      <c r="C534" s="16">
        <v>39</v>
      </c>
      <c r="D534" s="17" t="s">
        <v>1075</v>
      </c>
      <c r="E534" s="17" t="s">
        <v>1076</v>
      </c>
      <c r="F534" s="15">
        <v>101</v>
      </c>
      <c r="G534" s="15">
        <v>53</v>
      </c>
      <c r="H534" s="15">
        <v>76.75</v>
      </c>
      <c r="I534" s="15">
        <v>41</v>
      </c>
      <c r="J534" s="15"/>
      <c r="K534" s="15">
        <v>70</v>
      </c>
      <c r="L534" s="15"/>
      <c r="M534" s="15"/>
      <c r="N534" s="15">
        <v>88</v>
      </c>
      <c r="O534" s="15">
        <v>230.75</v>
      </c>
      <c r="P534" s="15">
        <v>429.75</v>
      </c>
    </row>
    <row r="535" ht="14.25" spans="1:16">
      <c r="A535" s="13">
        <v>534</v>
      </c>
      <c r="B535" s="15">
        <v>11</v>
      </c>
      <c r="C535" s="16">
        <v>40</v>
      </c>
      <c r="D535" s="17" t="s">
        <v>1077</v>
      </c>
      <c r="E535" s="17" t="s">
        <v>1078</v>
      </c>
      <c r="F535" s="15">
        <v>97.5</v>
      </c>
      <c r="G535" s="15">
        <v>113</v>
      </c>
      <c r="H535" s="15">
        <v>96.5</v>
      </c>
      <c r="I535" s="15">
        <v>71.5</v>
      </c>
      <c r="J535" s="15"/>
      <c r="K535" s="15">
        <v>80</v>
      </c>
      <c r="L535" s="15"/>
      <c r="M535" s="15"/>
      <c r="N535" s="15">
        <v>66</v>
      </c>
      <c r="O535" s="15">
        <v>307</v>
      </c>
      <c r="P535" s="15">
        <v>524.5</v>
      </c>
    </row>
    <row r="536" ht="14.25" spans="1:16">
      <c r="A536" s="13">
        <v>535</v>
      </c>
      <c r="B536" s="15">
        <v>11</v>
      </c>
      <c r="C536" s="16">
        <v>41</v>
      </c>
      <c r="D536" s="17" t="s">
        <v>1079</v>
      </c>
      <c r="E536" s="17" t="s">
        <v>1080</v>
      </c>
      <c r="F536" s="15">
        <v>101</v>
      </c>
      <c r="G536" s="15">
        <v>91</v>
      </c>
      <c r="H536" s="15">
        <v>88.5</v>
      </c>
      <c r="I536" s="15">
        <v>44</v>
      </c>
      <c r="J536" s="15"/>
      <c r="K536" s="15">
        <v>64</v>
      </c>
      <c r="L536" s="15"/>
      <c r="M536" s="15"/>
      <c r="N536" s="15">
        <v>71</v>
      </c>
      <c r="O536" s="15">
        <v>280.5</v>
      </c>
      <c r="P536" s="15">
        <v>459.5</v>
      </c>
    </row>
    <row r="537" ht="14.25" spans="1:16">
      <c r="A537" s="13">
        <v>536</v>
      </c>
      <c r="B537" s="15">
        <v>11</v>
      </c>
      <c r="C537" s="16">
        <v>42</v>
      </c>
      <c r="D537" s="17" t="s">
        <v>1081</v>
      </c>
      <c r="E537" s="17" t="s">
        <v>1082</v>
      </c>
      <c r="F537" s="15">
        <v>94.5</v>
      </c>
      <c r="G537" s="15">
        <v>100.5</v>
      </c>
      <c r="H537" s="15">
        <v>37.75</v>
      </c>
      <c r="I537" s="15">
        <v>54.5</v>
      </c>
      <c r="J537" s="15"/>
      <c r="K537" s="15">
        <v>61</v>
      </c>
      <c r="L537" s="15"/>
      <c r="M537" s="15"/>
      <c r="N537" s="15">
        <v>78</v>
      </c>
      <c r="O537" s="15">
        <v>232.75</v>
      </c>
      <c r="P537" s="15">
        <v>426.25</v>
      </c>
    </row>
    <row r="538" ht="14.25" spans="1:16">
      <c r="A538" s="13">
        <v>537</v>
      </c>
      <c r="B538" s="15">
        <v>11</v>
      </c>
      <c r="C538" s="16">
        <v>43</v>
      </c>
      <c r="D538" s="17" t="s">
        <v>1083</v>
      </c>
      <c r="E538" s="17" t="s">
        <v>1084</v>
      </c>
      <c r="F538" s="15">
        <v>86.75</v>
      </c>
      <c r="G538" s="15">
        <v>105.5</v>
      </c>
      <c r="H538" s="15">
        <v>72.5</v>
      </c>
      <c r="I538" s="15">
        <v>38.5</v>
      </c>
      <c r="J538" s="15"/>
      <c r="K538" s="15">
        <v>76</v>
      </c>
      <c r="L538" s="15"/>
      <c r="M538" s="15"/>
      <c r="N538" s="15">
        <v>62</v>
      </c>
      <c r="O538" s="15">
        <v>264.75</v>
      </c>
      <c r="P538" s="15">
        <v>441.25</v>
      </c>
    </row>
    <row r="539" ht="14.25" spans="1:16">
      <c r="A539" s="13">
        <v>538</v>
      </c>
      <c r="B539" s="15">
        <v>11</v>
      </c>
      <c r="C539" s="16">
        <v>44</v>
      </c>
      <c r="D539" s="17" t="s">
        <v>1085</v>
      </c>
      <c r="E539" s="17" t="s">
        <v>1029</v>
      </c>
      <c r="F539" s="15">
        <v>105</v>
      </c>
      <c r="G539" s="15">
        <v>97</v>
      </c>
      <c r="H539" s="15">
        <v>105.5</v>
      </c>
      <c r="I539" s="15">
        <v>23</v>
      </c>
      <c r="J539" s="15"/>
      <c r="K539" s="15">
        <v>86</v>
      </c>
      <c r="L539" s="15"/>
      <c r="M539" s="15"/>
      <c r="N539" s="15">
        <v>80</v>
      </c>
      <c r="O539" s="15">
        <v>307.5</v>
      </c>
      <c r="P539" s="15">
        <v>496.5</v>
      </c>
    </row>
    <row r="540" ht="14.25" spans="1:16">
      <c r="A540" s="13">
        <v>539</v>
      </c>
      <c r="B540" s="15">
        <v>11</v>
      </c>
      <c r="C540" s="16">
        <v>45</v>
      </c>
      <c r="D540" s="17" t="s">
        <v>1086</v>
      </c>
      <c r="E540" s="17" t="s">
        <v>1087</v>
      </c>
      <c r="F540" s="15">
        <v>87</v>
      </c>
      <c r="G540" s="15">
        <v>102</v>
      </c>
      <c r="H540" s="15">
        <v>105.25</v>
      </c>
      <c r="I540" s="15">
        <v>47</v>
      </c>
      <c r="J540" s="15"/>
      <c r="K540" s="15">
        <v>79</v>
      </c>
      <c r="L540" s="15"/>
      <c r="M540" s="15"/>
      <c r="N540" s="15">
        <v>80</v>
      </c>
      <c r="O540" s="15">
        <v>294.25</v>
      </c>
      <c r="P540" s="15">
        <v>500.25</v>
      </c>
    </row>
    <row r="541" ht="14.25" spans="1:16">
      <c r="A541" s="13">
        <v>540</v>
      </c>
      <c r="B541" s="15">
        <v>11</v>
      </c>
      <c r="C541" s="16">
        <v>46</v>
      </c>
      <c r="D541" s="17" t="s">
        <v>1088</v>
      </c>
      <c r="E541" s="17" t="s">
        <v>1089</v>
      </c>
      <c r="F541" s="15">
        <v>107</v>
      </c>
      <c r="G541" s="15">
        <v>86.5</v>
      </c>
      <c r="H541" s="15">
        <v>92.5</v>
      </c>
      <c r="I541" s="15">
        <v>50.5</v>
      </c>
      <c r="J541" s="15"/>
      <c r="K541" s="15">
        <v>78</v>
      </c>
      <c r="L541" s="15"/>
      <c r="M541" s="15"/>
      <c r="N541" s="15">
        <v>85</v>
      </c>
      <c r="O541" s="15">
        <v>286</v>
      </c>
      <c r="P541" s="15">
        <v>499.5</v>
      </c>
    </row>
    <row r="542" ht="14.25" spans="1:16">
      <c r="A542" s="13">
        <v>541</v>
      </c>
      <c r="B542" s="15">
        <v>11</v>
      </c>
      <c r="C542" s="16">
        <v>47</v>
      </c>
      <c r="D542" s="17" t="s">
        <v>1090</v>
      </c>
      <c r="E542" s="17" t="s">
        <v>1091</v>
      </c>
      <c r="F542" s="15">
        <v>94</v>
      </c>
      <c r="G542" s="15">
        <v>102</v>
      </c>
      <c r="H542" s="15">
        <v>101.25</v>
      </c>
      <c r="I542" s="15">
        <v>61</v>
      </c>
      <c r="J542" s="15"/>
      <c r="K542" s="15">
        <v>82</v>
      </c>
      <c r="L542" s="15"/>
      <c r="M542" s="15"/>
      <c r="N542" s="15">
        <v>81</v>
      </c>
      <c r="O542" s="15">
        <v>297.25</v>
      </c>
      <c r="P542" s="15">
        <v>521.25</v>
      </c>
    </row>
    <row r="543" ht="14.25" spans="1:16">
      <c r="A543" s="13">
        <v>542</v>
      </c>
      <c r="B543" s="15">
        <v>11</v>
      </c>
      <c r="C543" s="16">
        <v>48</v>
      </c>
      <c r="D543" s="17" t="s">
        <v>1092</v>
      </c>
      <c r="E543" s="17" t="s">
        <v>1093</v>
      </c>
      <c r="F543" s="15">
        <v>109</v>
      </c>
      <c r="G543" s="15">
        <v>85</v>
      </c>
      <c r="H543" s="15">
        <v>47.5</v>
      </c>
      <c r="I543" s="15">
        <v>49.5</v>
      </c>
      <c r="J543" s="15"/>
      <c r="K543" s="15">
        <v>65</v>
      </c>
      <c r="L543" s="15"/>
      <c r="M543" s="15"/>
      <c r="N543" s="15">
        <v>66</v>
      </c>
      <c r="O543" s="15">
        <v>241.5</v>
      </c>
      <c r="P543" s="15">
        <v>422</v>
      </c>
    </row>
    <row r="544" ht="14.25" spans="1:16">
      <c r="A544" s="13">
        <v>543</v>
      </c>
      <c r="B544" s="15">
        <v>11</v>
      </c>
      <c r="C544" s="16">
        <v>49</v>
      </c>
      <c r="D544" s="17" t="s">
        <v>1094</v>
      </c>
      <c r="E544" s="17" t="s">
        <v>1095</v>
      </c>
      <c r="F544" s="15">
        <v>107</v>
      </c>
      <c r="G544" s="15">
        <v>103.5</v>
      </c>
      <c r="H544" s="15">
        <v>112</v>
      </c>
      <c r="I544" s="15">
        <v>32</v>
      </c>
      <c r="J544" s="15"/>
      <c r="K544" s="15">
        <v>73</v>
      </c>
      <c r="L544" s="15"/>
      <c r="M544" s="15"/>
      <c r="N544" s="15">
        <v>84</v>
      </c>
      <c r="O544" s="15">
        <v>322.5</v>
      </c>
      <c r="P544" s="15">
        <v>511.5</v>
      </c>
    </row>
    <row r="545" ht="14.25" spans="1:16">
      <c r="A545" s="13">
        <v>544</v>
      </c>
      <c r="B545" s="15">
        <v>11</v>
      </c>
      <c r="C545" s="16">
        <v>50</v>
      </c>
      <c r="D545" s="17" t="s">
        <v>1096</v>
      </c>
      <c r="E545" s="17" t="s">
        <v>1097</v>
      </c>
      <c r="F545" s="15">
        <v>94.75</v>
      </c>
      <c r="G545" s="15">
        <v>66.5</v>
      </c>
      <c r="H545" s="15">
        <v>55</v>
      </c>
      <c r="I545" s="15">
        <v>38.5</v>
      </c>
      <c r="J545" s="15"/>
      <c r="K545" s="15">
        <v>69</v>
      </c>
      <c r="L545" s="15"/>
      <c r="M545" s="15"/>
      <c r="N545" s="15">
        <v>75</v>
      </c>
      <c r="O545" s="15">
        <v>216.25</v>
      </c>
      <c r="P545" s="15">
        <v>398.75</v>
      </c>
    </row>
    <row r="546" ht="14.25" spans="1:16">
      <c r="A546" s="13">
        <v>545</v>
      </c>
      <c r="B546" s="15">
        <v>11</v>
      </c>
      <c r="C546" s="16">
        <v>51</v>
      </c>
      <c r="D546" s="17" t="s">
        <v>1098</v>
      </c>
      <c r="E546" s="17" t="s">
        <v>1099</v>
      </c>
      <c r="F546" s="15">
        <v>93.5</v>
      </c>
      <c r="G546" s="15">
        <v>80.5</v>
      </c>
      <c r="H546" s="15">
        <v>79.75</v>
      </c>
      <c r="I546" s="15">
        <v>23.5</v>
      </c>
      <c r="J546" s="15"/>
      <c r="K546" s="15">
        <v>70</v>
      </c>
      <c r="L546" s="15"/>
      <c r="M546" s="15"/>
      <c r="N546" s="15">
        <v>60</v>
      </c>
      <c r="O546" s="15">
        <v>253.75</v>
      </c>
      <c r="P546" s="15">
        <v>407.25</v>
      </c>
    </row>
    <row r="547" ht="14.25" spans="1:16">
      <c r="A547" s="13">
        <v>546</v>
      </c>
      <c r="B547" s="15">
        <v>11</v>
      </c>
      <c r="C547" s="16">
        <v>52</v>
      </c>
      <c r="D547" s="17" t="s">
        <v>1100</v>
      </c>
      <c r="E547" s="17" t="s">
        <v>1101</v>
      </c>
      <c r="F547" s="15">
        <v>95.5</v>
      </c>
      <c r="G547" s="15">
        <v>99.5</v>
      </c>
      <c r="H547" s="15">
        <v>75</v>
      </c>
      <c r="I547" s="15">
        <v>40.5</v>
      </c>
      <c r="J547" s="15"/>
      <c r="K547" s="15">
        <v>58</v>
      </c>
      <c r="L547" s="15"/>
      <c r="M547" s="15"/>
      <c r="N547" s="15">
        <v>72</v>
      </c>
      <c r="O547" s="15">
        <v>270</v>
      </c>
      <c r="P547" s="15">
        <v>440.5</v>
      </c>
    </row>
    <row r="548" ht="14.25" spans="1:16">
      <c r="A548" s="13">
        <v>547</v>
      </c>
      <c r="B548" s="15">
        <v>11</v>
      </c>
      <c r="C548" s="16">
        <v>53</v>
      </c>
      <c r="D548" s="17" t="s">
        <v>1102</v>
      </c>
      <c r="E548" s="17" t="s">
        <v>1103</v>
      </c>
      <c r="F548" s="15">
        <v>97.5</v>
      </c>
      <c r="G548" s="15">
        <v>78</v>
      </c>
      <c r="H548" s="15">
        <v>87.25</v>
      </c>
      <c r="I548" s="15">
        <v>32.5</v>
      </c>
      <c r="J548" s="15"/>
      <c r="K548" s="15">
        <v>59</v>
      </c>
      <c r="L548" s="15"/>
      <c r="M548" s="15"/>
      <c r="N548" s="15">
        <v>76</v>
      </c>
      <c r="O548" s="15">
        <v>262.75</v>
      </c>
      <c r="P548" s="15">
        <v>430.25</v>
      </c>
    </row>
    <row r="549" ht="14.25" spans="1:16">
      <c r="A549" s="13">
        <v>548</v>
      </c>
      <c r="B549" s="15">
        <v>11</v>
      </c>
      <c r="C549" s="16">
        <v>54</v>
      </c>
      <c r="D549" s="17" t="s">
        <v>1104</v>
      </c>
      <c r="E549" s="17" t="s">
        <v>1105</v>
      </c>
      <c r="F549" s="15">
        <v>91.5</v>
      </c>
      <c r="G549" s="15">
        <v>109.5</v>
      </c>
      <c r="H549" s="15">
        <v>87</v>
      </c>
      <c r="I549" s="15">
        <v>55</v>
      </c>
      <c r="J549" s="15"/>
      <c r="K549" s="15">
        <v>67</v>
      </c>
      <c r="L549" s="15"/>
      <c r="M549" s="15"/>
      <c r="N549" s="15">
        <v>80</v>
      </c>
      <c r="O549" s="15">
        <v>288</v>
      </c>
      <c r="P549" s="15">
        <v>490</v>
      </c>
    </row>
    <row r="550" ht="14.25" spans="1:16">
      <c r="A550" s="13">
        <v>549</v>
      </c>
      <c r="B550" s="15">
        <v>11</v>
      </c>
      <c r="C550" s="16">
        <v>55</v>
      </c>
      <c r="D550" s="17" t="s">
        <v>1106</v>
      </c>
      <c r="E550" s="17" t="s">
        <v>1107</v>
      </c>
      <c r="F550" s="15">
        <v>86</v>
      </c>
      <c r="G550" s="15">
        <v>73</v>
      </c>
      <c r="H550" s="15">
        <v>63.5</v>
      </c>
      <c r="I550" s="15">
        <v>17</v>
      </c>
      <c r="J550" s="15"/>
      <c r="K550" s="15">
        <v>57</v>
      </c>
      <c r="L550" s="15"/>
      <c r="M550" s="15"/>
      <c r="N550" s="15">
        <v>61</v>
      </c>
      <c r="O550" s="15">
        <v>222.5</v>
      </c>
      <c r="P550" s="15">
        <v>357.5</v>
      </c>
    </row>
    <row r="551" ht="14.25" spans="1:16">
      <c r="A551" s="13">
        <v>550</v>
      </c>
      <c r="B551" s="15">
        <v>11</v>
      </c>
      <c r="C551" s="16">
        <v>56</v>
      </c>
      <c r="D551" s="17" t="s">
        <v>1108</v>
      </c>
      <c r="E551" s="17" t="s">
        <v>1109</v>
      </c>
      <c r="F551" s="15">
        <v>98</v>
      </c>
      <c r="G551" s="15">
        <v>96</v>
      </c>
      <c r="H551" s="15">
        <v>71.25</v>
      </c>
      <c r="I551" s="15">
        <v>41.5</v>
      </c>
      <c r="J551" s="15"/>
      <c r="K551" s="15">
        <v>86</v>
      </c>
      <c r="L551" s="15"/>
      <c r="M551" s="15"/>
      <c r="N551" s="15">
        <v>81</v>
      </c>
      <c r="O551" s="15">
        <v>265.25</v>
      </c>
      <c r="P551" s="15">
        <v>473.75</v>
      </c>
    </row>
    <row r="552" ht="14.25" spans="1:16">
      <c r="A552" s="13">
        <v>551</v>
      </c>
      <c r="B552" s="15">
        <v>11</v>
      </c>
      <c r="C552" s="16">
        <v>57</v>
      </c>
      <c r="D552" s="17" t="s">
        <v>1110</v>
      </c>
      <c r="E552" s="17" t="s">
        <v>1111</v>
      </c>
      <c r="F552" s="15">
        <v>92.5</v>
      </c>
      <c r="G552" s="15">
        <v>87.5</v>
      </c>
      <c r="H552" s="15">
        <v>81.5</v>
      </c>
      <c r="I552" s="15">
        <v>41</v>
      </c>
      <c r="J552" s="15"/>
      <c r="K552" s="15">
        <v>75</v>
      </c>
      <c r="L552" s="15"/>
      <c r="M552" s="15"/>
      <c r="N552" s="15">
        <v>68</v>
      </c>
      <c r="O552" s="15">
        <v>261.5</v>
      </c>
      <c r="P552" s="15">
        <v>445.5</v>
      </c>
    </row>
    <row r="553" ht="14.25" spans="1:16">
      <c r="A553" s="13">
        <v>552</v>
      </c>
      <c r="B553" s="15">
        <v>11</v>
      </c>
      <c r="C553" s="16">
        <v>58</v>
      </c>
      <c r="D553" s="17" t="s">
        <v>1112</v>
      </c>
      <c r="E553" s="17" t="s">
        <v>1113</v>
      </c>
      <c r="F553" s="15">
        <v>87</v>
      </c>
      <c r="G553" s="15">
        <v>126.5</v>
      </c>
      <c r="H553" s="15">
        <v>80</v>
      </c>
      <c r="I553" s="15">
        <v>51.5</v>
      </c>
      <c r="J553" s="15"/>
      <c r="K553" s="15">
        <v>75</v>
      </c>
      <c r="L553" s="15"/>
      <c r="M553" s="15"/>
      <c r="N553" s="15">
        <v>77</v>
      </c>
      <c r="O553" s="15">
        <v>293.5</v>
      </c>
      <c r="P553" s="15">
        <v>497</v>
      </c>
    </row>
    <row r="554" ht="14.25" spans="1:16">
      <c r="A554" s="13">
        <v>553</v>
      </c>
      <c r="B554" s="15">
        <v>11</v>
      </c>
      <c r="C554" s="16">
        <v>59</v>
      </c>
      <c r="D554" s="17" t="s">
        <v>1114</v>
      </c>
      <c r="E554" s="17" t="s">
        <v>1115</v>
      </c>
      <c r="F554" s="15">
        <v>91</v>
      </c>
      <c r="G554" s="15">
        <v>98</v>
      </c>
      <c r="H554" s="15">
        <v>96</v>
      </c>
      <c r="I554" s="15">
        <v>37.5</v>
      </c>
      <c r="J554" s="15"/>
      <c r="K554" s="15">
        <v>60</v>
      </c>
      <c r="L554" s="15"/>
      <c r="M554" s="15"/>
      <c r="N554" s="15">
        <v>88</v>
      </c>
      <c r="O554" s="15">
        <v>285</v>
      </c>
      <c r="P554" s="15">
        <v>470.5</v>
      </c>
    </row>
    <row r="555" ht="14.25" spans="1:16">
      <c r="A555" s="13">
        <v>554</v>
      </c>
      <c r="B555" s="15">
        <v>12</v>
      </c>
      <c r="C555" s="16">
        <v>1</v>
      </c>
      <c r="D555" s="17" t="s">
        <v>1116</v>
      </c>
      <c r="E555" s="17" t="s">
        <v>1117</v>
      </c>
      <c r="F555" s="15">
        <v>98</v>
      </c>
      <c r="G555" s="15">
        <v>95</v>
      </c>
      <c r="H555" s="15">
        <v>111.5</v>
      </c>
      <c r="I555" s="15">
        <v>44.5</v>
      </c>
      <c r="J555" s="15"/>
      <c r="K555" s="15">
        <v>60</v>
      </c>
      <c r="L555" s="15"/>
      <c r="M555" s="15"/>
      <c r="N555" s="15">
        <v>75</v>
      </c>
      <c r="O555" s="15">
        <v>304.5</v>
      </c>
      <c r="P555" s="15">
        <v>484</v>
      </c>
    </row>
    <row r="556" ht="14.25" spans="1:16">
      <c r="A556" s="13">
        <v>555</v>
      </c>
      <c r="B556" s="15">
        <v>12</v>
      </c>
      <c r="C556" s="16">
        <v>2</v>
      </c>
      <c r="D556" s="17" t="s">
        <v>1118</v>
      </c>
      <c r="E556" s="17" t="s">
        <v>1119</v>
      </c>
      <c r="F556" s="15">
        <v>88</v>
      </c>
      <c r="G556" s="15">
        <v>96</v>
      </c>
      <c r="H556" s="15">
        <v>94</v>
      </c>
      <c r="I556" s="15">
        <v>39</v>
      </c>
      <c r="J556" s="15"/>
      <c r="K556" s="15">
        <v>68</v>
      </c>
      <c r="L556" s="15"/>
      <c r="M556" s="15"/>
      <c r="N556" s="15">
        <v>72</v>
      </c>
      <c r="O556" s="15">
        <v>278</v>
      </c>
      <c r="P556" s="15">
        <v>457</v>
      </c>
    </row>
    <row r="557" ht="14.25" spans="1:16">
      <c r="A557" s="13">
        <v>556</v>
      </c>
      <c r="B557" s="15">
        <v>12</v>
      </c>
      <c r="C557" s="16">
        <v>3</v>
      </c>
      <c r="D557" s="17" t="s">
        <v>1120</v>
      </c>
      <c r="E557" s="17" t="s">
        <v>1121</v>
      </c>
      <c r="F557" s="15">
        <v>108</v>
      </c>
      <c r="G557" s="15">
        <v>85</v>
      </c>
      <c r="H557" s="15">
        <v>100</v>
      </c>
      <c r="I557" s="15">
        <v>49</v>
      </c>
      <c r="J557" s="15"/>
      <c r="K557" s="15">
        <v>84</v>
      </c>
      <c r="L557" s="15"/>
      <c r="M557" s="15"/>
      <c r="N557" s="15">
        <v>78</v>
      </c>
      <c r="O557" s="15">
        <v>293</v>
      </c>
      <c r="P557" s="15">
        <v>504</v>
      </c>
    </row>
    <row r="558" ht="14.25" spans="1:16">
      <c r="A558" s="13">
        <v>557</v>
      </c>
      <c r="B558" s="15">
        <v>12</v>
      </c>
      <c r="C558" s="16">
        <v>4</v>
      </c>
      <c r="D558" s="17" t="s">
        <v>1122</v>
      </c>
      <c r="E558" s="17" t="s">
        <v>1123</v>
      </c>
      <c r="F558" s="15">
        <v>102</v>
      </c>
      <c r="G558" s="15">
        <v>104.5</v>
      </c>
      <c r="H558" s="15">
        <v>125.5</v>
      </c>
      <c r="I558" s="15">
        <v>72.5</v>
      </c>
      <c r="J558" s="15"/>
      <c r="K558" s="15">
        <v>74</v>
      </c>
      <c r="L558" s="15"/>
      <c r="M558" s="15"/>
      <c r="N558" s="15">
        <v>88</v>
      </c>
      <c r="O558" s="15">
        <v>332</v>
      </c>
      <c r="P558" s="15">
        <v>566.5</v>
      </c>
    </row>
    <row r="559" ht="14.25" spans="1:16">
      <c r="A559" s="13">
        <v>558</v>
      </c>
      <c r="B559" s="15">
        <v>12</v>
      </c>
      <c r="C559" s="16">
        <v>5</v>
      </c>
      <c r="D559" s="17" t="s">
        <v>1124</v>
      </c>
      <c r="E559" s="17" t="s">
        <v>1125</v>
      </c>
      <c r="F559" s="15">
        <v>100</v>
      </c>
      <c r="G559" s="15">
        <v>101.5</v>
      </c>
      <c r="H559" s="15">
        <v>75.5</v>
      </c>
      <c r="I559" s="15">
        <v>62</v>
      </c>
      <c r="J559" s="15"/>
      <c r="K559" s="15">
        <v>80</v>
      </c>
      <c r="L559" s="15"/>
      <c r="M559" s="15"/>
      <c r="N559" s="15">
        <v>87</v>
      </c>
      <c r="O559" s="15">
        <v>277</v>
      </c>
      <c r="P559" s="15">
        <v>506</v>
      </c>
    </row>
    <row r="560" ht="14.25" spans="1:16">
      <c r="A560" s="13">
        <v>559</v>
      </c>
      <c r="B560" s="15">
        <v>12</v>
      </c>
      <c r="C560" s="16">
        <v>6</v>
      </c>
      <c r="D560" s="17" t="s">
        <v>1126</v>
      </c>
      <c r="E560" s="17" t="s">
        <v>1127</v>
      </c>
      <c r="F560" s="15">
        <v>85.5</v>
      </c>
      <c r="G560" s="15">
        <v>113</v>
      </c>
      <c r="H560" s="15">
        <v>64.25</v>
      </c>
      <c r="I560" s="15">
        <v>51</v>
      </c>
      <c r="J560" s="15"/>
      <c r="K560" s="15">
        <v>56</v>
      </c>
      <c r="L560" s="15"/>
      <c r="M560" s="15"/>
      <c r="N560" s="15">
        <v>58</v>
      </c>
      <c r="O560" s="15">
        <v>262.75</v>
      </c>
      <c r="P560" s="15">
        <v>427.75</v>
      </c>
    </row>
    <row r="561" ht="14.25" spans="1:16">
      <c r="A561" s="13">
        <v>560</v>
      </c>
      <c r="B561" s="15">
        <v>12</v>
      </c>
      <c r="C561" s="16">
        <v>7</v>
      </c>
      <c r="D561" s="17" t="s">
        <v>1128</v>
      </c>
      <c r="E561" s="17" t="s">
        <v>1129</v>
      </c>
      <c r="F561" s="15">
        <v>99</v>
      </c>
      <c r="G561" s="15">
        <v>92.5</v>
      </c>
      <c r="H561" s="15">
        <v>75.5</v>
      </c>
      <c r="I561" s="15">
        <v>40</v>
      </c>
      <c r="J561" s="15"/>
      <c r="K561" s="15">
        <v>62</v>
      </c>
      <c r="L561" s="15"/>
      <c r="M561" s="15"/>
      <c r="N561" s="15">
        <v>62</v>
      </c>
      <c r="O561" s="15">
        <v>267</v>
      </c>
      <c r="P561" s="15">
        <v>431</v>
      </c>
    </row>
    <row r="562" ht="14.25" spans="1:16">
      <c r="A562" s="13">
        <v>561</v>
      </c>
      <c r="B562" s="15">
        <v>12</v>
      </c>
      <c r="C562" s="16">
        <v>8</v>
      </c>
      <c r="D562" s="17" t="s">
        <v>1130</v>
      </c>
      <c r="E562" s="17" t="s">
        <v>1131</v>
      </c>
      <c r="F562" s="15">
        <v>102.5</v>
      </c>
      <c r="G562" s="15">
        <v>108</v>
      </c>
      <c r="H562" s="15">
        <v>64.5</v>
      </c>
      <c r="I562" s="15">
        <v>52.5</v>
      </c>
      <c r="J562" s="15"/>
      <c r="K562" s="15">
        <v>69</v>
      </c>
      <c r="L562" s="15"/>
      <c r="M562" s="15"/>
      <c r="N562" s="15">
        <v>78</v>
      </c>
      <c r="O562" s="15">
        <v>275</v>
      </c>
      <c r="P562" s="15">
        <v>474.5</v>
      </c>
    </row>
    <row r="563" ht="14.25" spans="1:16">
      <c r="A563" s="13">
        <v>562</v>
      </c>
      <c r="B563" s="15">
        <v>12</v>
      </c>
      <c r="C563" s="16">
        <v>9</v>
      </c>
      <c r="D563" s="17" t="s">
        <v>1132</v>
      </c>
      <c r="E563" s="17" t="s">
        <v>1133</v>
      </c>
      <c r="F563" s="15">
        <v>107.5</v>
      </c>
      <c r="G563" s="15">
        <v>99</v>
      </c>
      <c r="H563" s="15">
        <v>103.75</v>
      </c>
      <c r="I563" s="15">
        <v>44.5</v>
      </c>
      <c r="J563" s="15"/>
      <c r="K563" s="15">
        <v>75</v>
      </c>
      <c r="L563" s="15"/>
      <c r="M563" s="15"/>
      <c r="N563" s="15">
        <v>77</v>
      </c>
      <c r="O563" s="15">
        <v>310.25</v>
      </c>
      <c r="P563" s="15">
        <v>506.75</v>
      </c>
    </row>
    <row r="564" ht="14.25" spans="1:16">
      <c r="A564" s="13">
        <v>563</v>
      </c>
      <c r="B564" s="15">
        <v>12</v>
      </c>
      <c r="C564" s="16">
        <v>10</v>
      </c>
      <c r="D564" s="17" t="s">
        <v>1134</v>
      </c>
      <c r="E564" s="17" t="s">
        <v>1135</v>
      </c>
      <c r="F564" s="15">
        <v>91</v>
      </c>
      <c r="G564" s="15">
        <v>111</v>
      </c>
      <c r="H564" s="15">
        <v>73.5</v>
      </c>
      <c r="I564" s="15">
        <v>48.5</v>
      </c>
      <c r="J564" s="15"/>
      <c r="K564" s="15">
        <v>86</v>
      </c>
      <c r="L564" s="15"/>
      <c r="M564" s="15"/>
      <c r="N564" s="15">
        <v>79</v>
      </c>
      <c r="O564" s="15">
        <v>275.5</v>
      </c>
      <c r="P564" s="15">
        <v>489</v>
      </c>
    </row>
    <row r="565" ht="14.25" spans="1:16">
      <c r="A565" s="13">
        <v>564</v>
      </c>
      <c r="B565" s="20">
        <v>12</v>
      </c>
      <c r="C565" s="16">
        <v>11</v>
      </c>
      <c r="D565" s="19" t="s">
        <v>1136</v>
      </c>
      <c r="E565" s="17" t="s">
        <v>1137</v>
      </c>
      <c r="F565" s="15">
        <v>82.5</v>
      </c>
      <c r="G565" s="15">
        <v>55.5</v>
      </c>
      <c r="H565" s="15">
        <v>70.75</v>
      </c>
      <c r="I565" s="15">
        <v>23</v>
      </c>
      <c r="J565" s="15"/>
      <c r="K565" s="15">
        <v>55</v>
      </c>
      <c r="L565" s="15"/>
      <c r="M565" s="15"/>
      <c r="N565" s="15">
        <v>58</v>
      </c>
      <c r="O565" s="15">
        <v>208.75</v>
      </c>
      <c r="P565" s="15">
        <v>344.75</v>
      </c>
    </row>
    <row r="566" ht="14.25" spans="1:16">
      <c r="A566" s="13">
        <v>565</v>
      </c>
      <c r="B566" s="15">
        <v>12</v>
      </c>
      <c r="C566" s="16">
        <v>12</v>
      </c>
      <c r="D566" s="17" t="s">
        <v>1138</v>
      </c>
      <c r="E566" s="17" t="s">
        <v>1139</v>
      </c>
      <c r="F566" s="15">
        <v>98.5</v>
      </c>
      <c r="G566" s="15">
        <v>91.5</v>
      </c>
      <c r="H566" s="15">
        <v>93.5</v>
      </c>
      <c r="I566" s="15">
        <v>57.5</v>
      </c>
      <c r="J566" s="15"/>
      <c r="K566" s="15">
        <v>83</v>
      </c>
      <c r="L566" s="15"/>
      <c r="M566" s="15"/>
      <c r="N566" s="15">
        <v>82</v>
      </c>
      <c r="O566" s="15">
        <v>283.5</v>
      </c>
      <c r="P566" s="15">
        <v>506</v>
      </c>
    </row>
    <row r="567" ht="14.25" spans="1:16">
      <c r="A567" s="13">
        <v>566</v>
      </c>
      <c r="B567" s="15">
        <v>12</v>
      </c>
      <c r="C567" s="16">
        <v>13</v>
      </c>
      <c r="D567" s="17" t="s">
        <v>1140</v>
      </c>
      <c r="E567" s="17" t="s">
        <v>1141</v>
      </c>
      <c r="F567" s="15">
        <v>96</v>
      </c>
      <c r="G567" s="15">
        <v>108</v>
      </c>
      <c r="H567" s="15">
        <v>26</v>
      </c>
      <c r="I567" s="15">
        <v>43.5</v>
      </c>
      <c r="J567" s="15"/>
      <c r="K567" s="15">
        <v>77</v>
      </c>
      <c r="L567" s="15"/>
      <c r="M567" s="15"/>
      <c r="N567" s="15">
        <v>82</v>
      </c>
      <c r="O567" s="15">
        <v>230</v>
      </c>
      <c r="P567" s="15">
        <v>432.5</v>
      </c>
    </row>
    <row r="568" ht="14.25" spans="1:16">
      <c r="A568" s="13">
        <v>567</v>
      </c>
      <c r="B568" s="15">
        <v>12</v>
      </c>
      <c r="C568" s="16">
        <v>14</v>
      </c>
      <c r="D568" s="17" t="s">
        <v>1142</v>
      </c>
      <c r="E568" s="17" t="s">
        <v>1143</v>
      </c>
      <c r="F568" s="15">
        <v>99.5</v>
      </c>
      <c r="G568" s="15">
        <v>97</v>
      </c>
      <c r="H568" s="15">
        <v>111</v>
      </c>
      <c r="I568" s="15">
        <v>54</v>
      </c>
      <c r="J568" s="15"/>
      <c r="K568" s="15">
        <v>66</v>
      </c>
      <c r="L568" s="15"/>
      <c r="M568" s="15"/>
      <c r="N568" s="15">
        <v>75</v>
      </c>
      <c r="O568" s="15">
        <v>307.5</v>
      </c>
      <c r="P568" s="15">
        <v>502.5</v>
      </c>
    </row>
    <row r="569" ht="14.25" spans="1:16">
      <c r="A569" s="13">
        <v>568</v>
      </c>
      <c r="B569" s="15">
        <v>12</v>
      </c>
      <c r="C569" s="16">
        <v>15</v>
      </c>
      <c r="D569" s="17" t="s">
        <v>1144</v>
      </c>
      <c r="E569" s="17" t="s">
        <v>1145</v>
      </c>
      <c r="F569" s="15">
        <v>103</v>
      </c>
      <c r="G569" s="15">
        <v>115.5</v>
      </c>
      <c r="H569" s="15">
        <v>92.5</v>
      </c>
      <c r="I569" s="15">
        <v>73</v>
      </c>
      <c r="J569" s="15"/>
      <c r="K569" s="15">
        <v>81</v>
      </c>
      <c r="L569" s="15"/>
      <c r="M569" s="15"/>
      <c r="N569" s="15">
        <v>84</v>
      </c>
      <c r="O569" s="15">
        <v>311</v>
      </c>
      <c r="P569" s="15">
        <v>549</v>
      </c>
    </row>
    <row r="570" ht="14.25" spans="1:16">
      <c r="A570" s="13">
        <v>569</v>
      </c>
      <c r="B570" s="15">
        <v>12</v>
      </c>
      <c r="C570" s="16">
        <v>16</v>
      </c>
      <c r="D570" s="17" t="s">
        <v>1146</v>
      </c>
      <c r="E570" s="17" t="s">
        <v>1147</v>
      </c>
      <c r="F570" s="15">
        <v>103.5</v>
      </c>
      <c r="G570" s="15">
        <v>119</v>
      </c>
      <c r="H570" s="15">
        <v>98.25</v>
      </c>
      <c r="I570" s="15">
        <v>69</v>
      </c>
      <c r="J570" s="15"/>
      <c r="K570" s="15">
        <v>91</v>
      </c>
      <c r="L570" s="15"/>
      <c r="M570" s="15"/>
      <c r="N570" s="15">
        <v>89</v>
      </c>
      <c r="O570" s="15">
        <v>320.75</v>
      </c>
      <c r="P570" s="15">
        <v>569.75</v>
      </c>
    </row>
    <row r="571" ht="14.25" spans="1:16">
      <c r="A571" s="13">
        <v>570</v>
      </c>
      <c r="B571" s="15">
        <v>12</v>
      </c>
      <c r="C571" s="16">
        <v>17</v>
      </c>
      <c r="D571" s="17" t="s">
        <v>1148</v>
      </c>
      <c r="E571" s="17" t="s">
        <v>1149</v>
      </c>
      <c r="F571" s="15">
        <v>97.25</v>
      </c>
      <c r="G571" s="15">
        <v>111.5</v>
      </c>
      <c r="H571" s="15">
        <v>116.5</v>
      </c>
      <c r="I571" s="15">
        <v>59</v>
      </c>
      <c r="J571" s="15"/>
      <c r="K571" s="15">
        <v>83</v>
      </c>
      <c r="L571" s="15"/>
      <c r="M571" s="15"/>
      <c r="N571" s="15">
        <v>87</v>
      </c>
      <c r="O571" s="15">
        <v>325.25</v>
      </c>
      <c r="P571" s="15">
        <v>554.25</v>
      </c>
    </row>
    <row r="572" ht="14.25" spans="1:16">
      <c r="A572" s="13">
        <v>571</v>
      </c>
      <c r="B572" s="15">
        <v>12</v>
      </c>
      <c r="C572" s="16">
        <v>18</v>
      </c>
      <c r="D572" s="17" t="s">
        <v>1150</v>
      </c>
      <c r="E572" s="17" t="s">
        <v>1151</v>
      </c>
      <c r="F572" s="15">
        <v>109.5</v>
      </c>
      <c r="G572" s="15">
        <v>91</v>
      </c>
      <c r="H572" s="15">
        <v>101</v>
      </c>
      <c r="I572" s="15">
        <v>49.5</v>
      </c>
      <c r="J572" s="15"/>
      <c r="K572" s="15">
        <v>76</v>
      </c>
      <c r="L572" s="15"/>
      <c r="M572" s="15"/>
      <c r="N572" s="15">
        <v>72</v>
      </c>
      <c r="O572" s="15">
        <v>301.5</v>
      </c>
      <c r="P572" s="15">
        <v>499</v>
      </c>
    </row>
    <row r="573" ht="14.25" spans="1:16">
      <c r="A573" s="13">
        <v>572</v>
      </c>
      <c r="B573" s="15">
        <v>12</v>
      </c>
      <c r="C573" s="16">
        <v>19</v>
      </c>
      <c r="D573" s="17" t="s">
        <v>1152</v>
      </c>
      <c r="E573" s="17" t="s">
        <v>1153</v>
      </c>
      <c r="F573" s="15">
        <v>99</v>
      </c>
      <c r="G573" s="15">
        <v>99.5</v>
      </c>
      <c r="H573" s="15">
        <v>107.5</v>
      </c>
      <c r="I573" s="15">
        <v>48</v>
      </c>
      <c r="J573" s="15"/>
      <c r="K573" s="15">
        <v>79</v>
      </c>
      <c r="L573" s="15"/>
      <c r="M573" s="15"/>
      <c r="N573" s="15">
        <v>75</v>
      </c>
      <c r="O573" s="15">
        <v>306</v>
      </c>
      <c r="P573" s="15">
        <v>508</v>
      </c>
    </row>
    <row r="574" ht="14.25" spans="1:16">
      <c r="A574" s="13">
        <v>573</v>
      </c>
      <c r="B574" s="15">
        <v>12</v>
      </c>
      <c r="C574" s="16">
        <v>20</v>
      </c>
      <c r="D574" s="17" t="s">
        <v>1154</v>
      </c>
      <c r="E574" s="17" t="s">
        <v>1155</v>
      </c>
      <c r="F574" s="15">
        <v>75.25</v>
      </c>
      <c r="G574" s="15">
        <v>41.5</v>
      </c>
      <c r="H574" s="15">
        <v>93.75</v>
      </c>
      <c r="I574" s="15">
        <v>21</v>
      </c>
      <c r="J574" s="15"/>
      <c r="K574" s="15">
        <v>50</v>
      </c>
      <c r="L574" s="15"/>
      <c r="M574" s="15"/>
      <c r="N574" s="15">
        <v>57</v>
      </c>
      <c r="O574" s="15">
        <v>210.5</v>
      </c>
      <c r="P574" s="15">
        <v>338.5</v>
      </c>
    </row>
    <row r="575" ht="14.25" spans="1:16">
      <c r="A575" s="13">
        <v>574</v>
      </c>
      <c r="B575" s="15">
        <v>12</v>
      </c>
      <c r="C575" s="16">
        <v>21</v>
      </c>
      <c r="D575" s="17" t="s">
        <v>1156</v>
      </c>
      <c r="E575" s="17" t="s">
        <v>1157</v>
      </c>
      <c r="F575" s="15">
        <v>105</v>
      </c>
      <c r="G575" s="15">
        <v>94.5</v>
      </c>
      <c r="H575" s="15">
        <v>104.75</v>
      </c>
      <c r="I575" s="15">
        <v>48.5</v>
      </c>
      <c r="J575" s="15"/>
      <c r="K575" s="15">
        <v>80</v>
      </c>
      <c r="L575" s="15"/>
      <c r="M575" s="15"/>
      <c r="N575" s="15">
        <v>79</v>
      </c>
      <c r="O575" s="15">
        <v>304.25</v>
      </c>
      <c r="P575" s="15">
        <v>511.75</v>
      </c>
    </row>
    <row r="576" ht="14.25" spans="1:16">
      <c r="A576" s="13">
        <v>575</v>
      </c>
      <c r="B576" s="15">
        <v>12</v>
      </c>
      <c r="C576" s="16">
        <v>22</v>
      </c>
      <c r="D576" s="17" t="s">
        <v>1158</v>
      </c>
      <c r="E576" s="17" t="s">
        <v>1159</v>
      </c>
      <c r="F576" s="15">
        <v>78</v>
      </c>
      <c r="G576" s="15">
        <v>63</v>
      </c>
      <c r="H576" s="15">
        <v>68.5</v>
      </c>
      <c r="I576" s="15">
        <v>34.5</v>
      </c>
      <c r="J576" s="15"/>
      <c r="K576" s="15">
        <v>39</v>
      </c>
      <c r="L576" s="15"/>
      <c r="M576" s="15"/>
      <c r="N576" s="15">
        <v>71</v>
      </c>
      <c r="O576" s="15">
        <v>209.5</v>
      </c>
      <c r="P576" s="15">
        <v>354</v>
      </c>
    </row>
    <row r="577" ht="14.25" spans="1:16">
      <c r="A577" s="13">
        <v>576</v>
      </c>
      <c r="B577" s="15">
        <v>12</v>
      </c>
      <c r="C577" s="16">
        <v>23</v>
      </c>
      <c r="D577" s="17" t="s">
        <v>1160</v>
      </c>
      <c r="E577" s="17" t="s">
        <v>1161</v>
      </c>
      <c r="F577" s="15">
        <v>92</v>
      </c>
      <c r="G577" s="15">
        <v>93.5</v>
      </c>
      <c r="H577" s="15">
        <v>78</v>
      </c>
      <c r="I577" s="15">
        <v>63.5</v>
      </c>
      <c r="J577" s="15"/>
      <c r="K577" s="15">
        <v>56</v>
      </c>
      <c r="L577" s="15"/>
      <c r="M577" s="15"/>
      <c r="N577" s="15">
        <v>73</v>
      </c>
      <c r="O577" s="15">
        <v>263.5</v>
      </c>
      <c r="P577" s="15">
        <v>456</v>
      </c>
    </row>
    <row r="578" ht="14.25" spans="1:16">
      <c r="A578" s="13">
        <v>577</v>
      </c>
      <c r="B578" s="15">
        <v>12</v>
      </c>
      <c r="C578" s="16">
        <v>25</v>
      </c>
      <c r="D578" s="17" t="s">
        <v>1162</v>
      </c>
      <c r="E578" s="17" t="s">
        <v>1163</v>
      </c>
      <c r="F578" s="15">
        <v>103</v>
      </c>
      <c r="G578" s="15">
        <v>97.5</v>
      </c>
      <c r="H578" s="15">
        <v>82</v>
      </c>
      <c r="I578" s="15">
        <v>48</v>
      </c>
      <c r="J578" s="15"/>
      <c r="K578" s="15">
        <v>51</v>
      </c>
      <c r="L578" s="15"/>
      <c r="M578" s="15"/>
      <c r="N578" s="15">
        <v>75</v>
      </c>
      <c r="O578" s="15">
        <v>282.5</v>
      </c>
      <c r="P578" s="15">
        <v>456.5</v>
      </c>
    </row>
    <row r="579" ht="14.25" spans="1:16">
      <c r="A579" s="13">
        <v>578</v>
      </c>
      <c r="B579" s="15">
        <v>12</v>
      </c>
      <c r="C579" s="16">
        <v>26</v>
      </c>
      <c r="D579" s="17" t="s">
        <v>1164</v>
      </c>
      <c r="E579" s="17" t="s">
        <v>1165</v>
      </c>
      <c r="F579" s="15">
        <v>91.25</v>
      </c>
      <c r="G579" s="15">
        <v>101</v>
      </c>
      <c r="H579" s="15">
        <v>92</v>
      </c>
      <c r="I579" s="15">
        <v>58.5</v>
      </c>
      <c r="J579" s="15"/>
      <c r="K579" s="15">
        <v>78</v>
      </c>
      <c r="L579" s="15"/>
      <c r="M579" s="15"/>
      <c r="N579" s="15">
        <v>69</v>
      </c>
      <c r="O579" s="15">
        <v>284.25</v>
      </c>
      <c r="P579" s="15">
        <v>489.75</v>
      </c>
    </row>
    <row r="580" ht="14.25" spans="1:16">
      <c r="A580" s="13">
        <v>579</v>
      </c>
      <c r="B580" s="15">
        <v>12</v>
      </c>
      <c r="C580" s="16">
        <v>27</v>
      </c>
      <c r="D580" s="17" t="s">
        <v>1166</v>
      </c>
      <c r="E580" s="17" t="s">
        <v>1167</v>
      </c>
      <c r="F580" s="15">
        <v>93</v>
      </c>
      <c r="G580" s="15">
        <v>84.5</v>
      </c>
      <c r="H580" s="15">
        <v>83</v>
      </c>
      <c r="I580" s="15">
        <v>26</v>
      </c>
      <c r="J580" s="15"/>
      <c r="K580" s="15">
        <v>55</v>
      </c>
      <c r="L580" s="15"/>
      <c r="M580" s="15"/>
      <c r="N580" s="15">
        <v>50</v>
      </c>
      <c r="O580" s="15">
        <v>260.5</v>
      </c>
      <c r="P580" s="15">
        <v>391.5</v>
      </c>
    </row>
    <row r="581" ht="14.25" spans="1:16">
      <c r="A581" s="13">
        <v>580</v>
      </c>
      <c r="B581" s="15">
        <v>12</v>
      </c>
      <c r="C581" s="16">
        <v>28</v>
      </c>
      <c r="D581" s="17" t="s">
        <v>1168</v>
      </c>
      <c r="E581" s="17" t="s">
        <v>1169</v>
      </c>
      <c r="F581" s="15">
        <v>88.75</v>
      </c>
      <c r="G581" s="15">
        <v>98.5</v>
      </c>
      <c r="H581" s="15">
        <v>82.25</v>
      </c>
      <c r="I581" s="15">
        <v>38.5</v>
      </c>
      <c r="J581" s="15"/>
      <c r="K581" s="15">
        <v>58</v>
      </c>
      <c r="L581" s="15"/>
      <c r="M581" s="15"/>
      <c r="N581" s="15">
        <v>37</v>
      </c>
      <c r="O581" s="15">
        <v>269.5</v>
      </c>
      <c r="P581" s="15">
        <v>403</v>
      </c>
    </row>
    <row r="582" ht="14.25" spans="1:16">
      <c r="A582" s="13">
        <v>581</v>
      </c>
      <c r="B582" s="15">
        <v>12</v>
      </c>
      <c r="C582" s="16">
        <v>29</v>
      </c>
      <c r="D582" s="17" t="s">
        <v>1170</v>
      </c>
      <c r="E582" s="17" t="s">
        <v>1171</v>
      </c>
      <c r="F582" s="15">
        <v>90</v>
      </c>
      <c r="G582" s="15">
        <v>63.5</v>
      </c>
      <c r="H582" s="15">
        <v>88.5</v>
      </c>
      <c r="I582" s="15">
        <v>21</v>
      </c>
      <c r="J582" s="15"/>
      <c r="K582" s="15">
        <v>55</v>
      </c>
      <c r="L582" s="15"/>
      <c r="M582" s="15"/>
      <c r="N582" s="15">
        <v>70</v>
      </c>
      <c r="O582" s="15">
        <v>242</v>
      </c>
      <c r="P582" s="15">
        <v>388</v>
      </c>
    </row>
    <row r="583" ht="14.25" spans="1:16">
      <c r="A583" s="13">
        <v>582</v>
      </c>
      <c r="B583" s="15">
        <v>12</v>
      </c>
      <c r="C583" s="16">
        <v>30</v>
      </c>
      <c r="D583" s="17" t="s">
        <v>1172</v>
      </c>
      <c r="E583" s="17" t="s">
        <v>1173</v>
      </c>
      <c r="F583" s="15">
        <v>93</v>
      </c>
      <c r="G583" s="15">
        <v>73.5</v>
      </c>
      <c r="H583" s="15">
        <v>65.25</v>
      </c>
      <c r="I583" s="15">
        <v>36.5</v>
      </c>
      <c r="J583" s="15"/>
      <c r="K583" s="15">
        <v>75</v>
      </c>
      <c r="L583" s="15"/>
      <c r="M583" s="15"/>
      <c r="N583" s="15">
        <v>71</v>
      </c>
      <c r="O583" s="15">
        <v>231.75</v>
      </c>
      <c r="P583" s="15">
        <v>414.25</v>
      </c>
    </row>
    <row r="584" ht="14.25" spans="1:16">
      <c r="A584" s="13">
        <v>583</v>
      </c>
      <c r="B584" s="15">
        <v>12</v>
      </c>
      <c r="C584" s="16">
        <v>31</v>
      </c>
      <c r="D584" s="17" t="s">
        <v>1174</v>
      </c>
      <c r="E584" s="17" t="s">
        <v>1175</v>
      </c>
      <c r="F584" s="15">
        <v>103</v>
      </c>
      <c r="G584" s="15">
        <v>97</v>
      </c>
      <c r="H584" s="15">
        <v>92</v>
      </c>
      <c r="I584" s="15">
        <v>40</v>
      </c>
      <c r="J584" s="15"/>
      <c r="K584" s="15">
        <v>51</v>
      </c>
      <c r="L584" s="15"/>
      <c r="M584" s="15"/>
      <c r="N584" s="15">
        <v>86</v>
      </c>
      <c r="O584" s="15">
        <v>292</v>
      </c>
      <c r="P584" s="15">
        <v>469</v>
      </c>
    </row>
    <row r="585" ht="14.25" spans="1:16">
      <c r="A585" s="13">
        <v>584</v>
      </c>
      <c r="B585" s="15">
        <v>12</v>
      </c>
      <c r="C585" s="16">
        <v>33</v>
      </c>
      <c r="D585" s="17" t="s">
        <v>1176</v>
      </c>
      <c r="E585" s="17" t="s">
        <v>1177</v>
      </c>
      <c r="F585" s="15">
        <v>78.5</v>
      </c>
      <c r="G585" s="15">
        <v>98.5</v>
      </c>
      <c r="H585" s="15">
        <v>61</v>
      </c>
      <c r="I585" s="15">
        <v>29</v>
      </c>
      <c r="J585" s="15"/>
      <c r="K585" s="15">
        <v>46</v>
      </c>
      <c r="L585" s="15"/>
      <c r="M585" s="15"/>
      <c r="N585" s="15">
        <v>50</v>
      </c>
      <c r="O585" s="15">
        <v>238</v>
      </c>
      <c r="P585" s="15">
        <v>363</v>
      </c>
    </row>
    <row r="586" ht="14.25" spans="1:16">
      <c r="A586" s="13">
        <v>585</v>
      </c>
      <c r="B586" s="15">
        <v>12</v>
      </c>
      <c r="C586" s="16">
        <v>34</v>
      </c>
      <c r="D586" s="17" t="s">
        <v>1178</v>
      </c>
      <c r="E586" s="17" t="s">
        <v>1179</v>
      </c>
      <c r="F586" s="15">
        <v>91.5</v>
      </c>
      <c r="G586" s="15">
        <v>115.5</v>
      </c>
      <c r="H586" s="15">
        <v>92</v>
      </c>
      <c r="I586" s="15">
        <v>58.5</v>
      </c>
      <c r="J586" s="15"/>
      <c r="K586" s="15">
        <v>88</v>
      </c>
      <c r="L586" s="15"/>
      <c r="M586" s="15"/>
      <c r="N586" s="15">
        <v>75</v>
      </c>
      <c r="O586" s="15">
        <v>299</v>
      </c>
      <c r="P586" s="15">
        <v>520.5</v>
      </c>
    </row>
    <row r="587" ht="14.25" spans="1:16">
      <c r="A587" s="13">
        <v>586</v>
      </c>
      <c r="B587" s="15">
        <v>12</v>
      </c>
      <c r="C587" s="16">
        <v>35</v>
      </c>
      <c r="D587" s="17" t="s">
        <v>1180</v>
      </c>
      <c r="E587" s="17" t="s">
        <v>1181</v>
      </c>
      <c r="F587" s="15">
        <v>86.75</v>
      </c>
      <c r="G587" s="15">
        <v>106.5</v>
      </c>
      <c r="H587" s="15">
        <v>65</v>
      </c>
      <c r="I587" s="15">
        <v>47</v>
      </c>
      <c r="J587" s="15"/>
      <c r="K587" s="15">
        <v>54</v>
      </c>
      <c r="L587" s="15"/>
      <c r="M587" s="15"/>
      <c r="N587" s="15">
        <v>50</v>
      </c>
      <c r="O587" s="15">
        <v>258.25</v>
      </c>
      <c r="P587" s="15">
        <v>409.25</v>
      </c>
    </row>
    <row r="588" ht="14.25" spans="1:16">
      <c r="A588" s="13">
        <v>587</v>
      </c>
      <c r="B588" s="15">
        <v>12</v>
      </c>
      <c r="C588" s="16">
        <v>37</v>
      </c>
      <c r="D588" s="17" t="s">
        <v>1182</v>
      </c>
      <c r="E588" s="17" t="s">
        <v>1183</v>
      </c>
      <c r="F588" s="15">
        <v>91.5</v>
      </c>
      <c r="G588" s="15">
        <v>98.5</v>
      </c>
      <c r="H588" s="15">
        <v>105</v>
      </c>
      <c r="I588" s="15">
        <v>33</v>
      </c>
      <c r="J588" s="15"/>
      <c r="K588" s="15">
        <v>75</v>
      </c>
      <c r="L588" s="15"/>
      <c r="M588" s="15"/>
      <c r="N588" s="15">
        <v>65</v>
      </c>
      <c r="O588" s="15">
        <v>295</v>
      </c>
      <c r="P588" s="15">
        <v>468</v>
      </c>
    </row>
    <row r="589" ht="14.25" spans="1:16">
      <c r="A589" s="13">
        <v>588</v>
      </c>
      <c r="B589" s="15">
        <v>12</v>
      </c>
      <c r="C589" s="16">
        <v>38</v>
      </c>
      <c r="D589" s="17" t="s">
        <v>1184</v>
      </c>
      <c r="E589" s="17" t="s">
        <v>1185</v>
      </c>
      <c r="F589" s="15">
        <v>93</v>
      </c>
      <c r="G589" s="15">
        <v>89.5</v>
      </c>
      <c r="H589" s="15">
        <v>95</v>
      </c>
      <c r="I589" s="15">
        <v>64.5</v>
      </c>
      <c r="J589" s="15"/>
      <c r="K589" s="15">
        <v>64</v>
      </c>
      <c r="L589" s="15"/>
      <c r="M589" s="15"/>
      <c r="N589" s="15">
        <v>75</v>
      </c>
      <c r="O589" s="15">
        <v>277.5</v>
      </c>
      <c r="P589" s="15">
        <v>481</v>
      </c>
    </row>
    <row r="590" ht="14.25" spans="1:16">
      <c r="A590" s="13">
        <v>589</v>
      </c>
      <c r="B590" s="15">
        <v>12</v>
      </c>
      <c r="C590" s="16">
        <v>39</v>
      </c>
      <c r="D590" s="17" t="s">
        <v>1186</v>
      </c>
      <c r="E590" s="17" t="s">
        <v>1187</v>
      </c>
      <c r="F590" s="15">
        <v>98</v>
      </c>
      <c r="G590" s="15">
        <v>116</v>
      </c>
      <c r="H590" s="15">
        <v>73.25</v>
      </c>
      <c r="I590" s="15">
        <v>65</v>
      </c>
      <c r="J590" s="15"/>
      <c r="K590" s="15">
        <v>73</v>
      </c>
      <c r="L590" s="15"/>
      <c r="M590" s="15"/>
      <c r="N590" s="15">
        <v>81</v>
      </c>
      <c r="O590" s="15">
        <v>287.25</v>
      </c>
      <c r="P590" s="15">
        <v>506.25</v>
      </c>
    </row>
    <row r="591" ht="14.25" spans="1:16">
      <c r="A591" s="13">
        <v>590</v>
      </c>
      <c r="B591" s="15">
        <v>12</v>
      </c>
      <c r="C591" s="16">
        <v>40</v>
      </c>
      <c r="D591" s="17" t="s">
        <v>1188</v>
      </c>
      <c r="E591" s="17" t="s">
        <v>1189</v>
      </c>
      <c r="F591" s="15">
        <v>105</v>
      </c>
      <c r="G591" s="15">
        <v>89.5</v>
      </c>
      <c r="H591" s="15">
        <v>105.5</v>
      </c>
      <c r="I591" s="15">
        <v>48.5</v>
      </c>
      <c r="J591" s="15"/>
      <c r="K591" s="15">
        <v>74</v>
      </c>
      <c r="L591" s="15"/>
      <c r="M591" s="15"/>
      <c r="N591" s="15">
        <v>67</v>
      </c>
      <c r="O591" s="15">
        <v>300</v>
      </c>
      <c r="P591" s="15">
        <v>489.5</v>
      </c>
    </row>
    <row r="592" ht="14.25" spans="1:16">
      <c r="A592" s="13">
        <v>591</v>
      </c>
      <c r="B592" s="15">
        <v>12</v>
      </c>
      <c r="C592" s="16">
        <v>41</v>
      </c>
      <c r="D592" s="17" t="s">
        <v>1190</v>
      </c>
      <c r="E592" s="17" t="s">
        <v>1191</v>
      </c>
      <c r="F592" s="15">
        <v>91.75</v>
      </c>
      <c r="G592" s="15">
        <v>91.5</v>
      </c>
      <c r="H592" s="15">
        <v>94.75</v>
      </c>
      <c r="I592" s="15">
        <v>35</v>
      </c>
      <c r="J592" s="15"/>
      <c r="K592" s="15">
        <v>69</v>
      </c>
      <c r="L592" s="15"/>
      <c r="M592" s="15"/>
      <c r="N592" s="15">
        <v>87</v>
      </c>
      <c r="O592" s="15">
        <v>278</v>
      </c>
      <c r="P592" s="15">
        <v>469</v>
      </c>
    </row>
    <row r="593" ht="14.25" spans="1:16">
      <c r="A593" s="13">
        <v>592</v>
      </c>
      <c r="B593" s="15">
        <v>12</v>
      </c>
      <c r="C593" s="16">
        <v>42</v>
      </c>
      <c r="D593" s="17" t="s">
        <v>1192</v>
      </c>
      <c r="E593" s="17" t="s">
        <v>1193</v>
      </c>
      <c r="F593" s="15">
        <v>103</v>
      </c>
      <c r="G593" s="15">
        <v>98</v>
      </c>
      <c r="H593" s="15">
        <v>97.5</v>
      </c>
      <c r="I593" s="15">
        <v>57</v>
      </c>
      <c r="J593" s="15"/>
      <c r="K593" s="15">
        <v>77</v>
      </c>
      <c r="L593" s="15"/>
      <c r="M593" s="15"/>
      <c r="N593" s="15">
        <v>89</v>
      </c>
      <c r="O593" s="15">
        <v>298.5</v>
      </c>
      <c r="P593" s="15">
        <v>521.5</v>
      </c>
    </row>
    <row r="594" ht="14.25" spans="1:16">
      <c r="A594" s="13">
        <v>593</v>
      </c>
      <c r="B594" s="15">
        <v>12</v>
      </c>
      <c r="C594" s="16">
        <v>43</v>
      </c>
      <c r="D594" s="17" t="s">
        <v>1194</v>
      </c>
      <c r="E594" s="17" t="s">
        <v>1195</v>
      </c>
      <c r="F594" s="15">
        <v>82</v>
      </c>
      <c r="G594" s="15">
        <v>109</v>
      </c>
      <c r="H594" s="15">
        <v>73.5</v>
      </c>
      <c r="I594" s="15">
        <v>43.5</v>
      </c>
      <c r="J594" s="15"/>
      <c r="K594" s="15">
        <v>72</v>
      </c>
      <c r="L594" s="15"/>
      <c r="M594" s="15"/>
      <c r="N594" s="15">
        <v>73</v>
      </c>
      <c r="O594" s="15">
        <v>264.5</v>
      </c>
      <c r="P594" s="15">
        <v>453</v>
      </c>
    </row>
    <row r="595" ht="14.25" spans="1:16">
      <c r="A595" s="13">
        <v>594</v>
      </c>
      <c r="B595" s="15">
        <v>12</v>
      </c>
      <c r="C595" s="16">
        <v>44</v>
      </c>
      <c r="D595" s="17" t="s">
        <v>1196</v>
      </c>
      <c r="E595" s="17" t="s">
        <v>1197</v>
      </c>
      <c r="F595" s="15">
        <v>103.5</v>
      </c>
      <c r="G595" s="15">
        <v>115.5</v>
      </c>
      <c r="H595" s="15">
        <v>75.25</v>
      </c>
      <c r="I595" s="15">
        <v>69</v>
      </c>
      <c r="J595" s="15"/>
      <c r="K595" s="15">
        <v>73</v>
      </c>
      <c r="L595" s="15"/>
      <c r="M595" s="15"/>
      <c r="N595" s="15">
        <v>81</v>
      </c>
      <c r="O595" s="15">
        <v>294.25</v>
      </c>
      <c r="P595" s="15">
        <v>517.25</v>
      </c>
    </row>
    <row r="596" ht="14.25" spans="1:16">
      <c r="A596" s="13">
        <v>595</v>
      </c>
      <c r="B596" s="15">
        <v>12</v>
      </c>
      <c r="C596" s="16">
        <v>45</v>
      </c>
      <c r="D596" s="17" t="s">
        <v>1198</v>
      </c>
      <c r="E596" s="17" t="s">
        <v>1199</v>
      </c>
      <c r="F596" s="15">
        <v>98</v>
      </c>
      <c r="G596" s="15">
        <v>110</v>
      </c>
      <c r="H596" s="15">
        <v>99.25</v>
      </c>
      <c r="I596" s="15">
        <v>39.5</v>
      </c>
      <c r="J596" s="15"/>
      <c r="K596" s="15">
        <v>67</v>
      </c>
      <c r="L596" s="15"/>
      <c r="M596" s="15"/>
      <c r="N596" s="15">
        <v>69</v>
      </c>
      <c r="O596" s="15">
        <v>307.25</v>
      </c>
      <c r="P596" s="15">
        <v>482.75</v>
      </c>
    </row>
    <row r="597" ht="14.25" spans="1:16">
      <c r="A597" s="13">
        <v>596</v>
      </c>
      <c r="B597" s="15">
        <v>12</v>
      </c>
      <c r="C597" s="16">
        <v>46</v>
      </c>
      <c r="D597" s="17" t="s">
        <v>1200</v>
      </c>
      <c r="E597" s="17" t="s">
        <v>1201</v>
      </c>
      <c r="F597" s="15">
        <v>97</v>
      </c>
      <c r="G597" s="15">
        <v>90</v>
      </c>
      <c r="H597" s="15">
        <v>105.75</v>
      </c>
      <c r="I597" s="15">
        <v>34</v>
      </c>
      <c r="J597" s="15"/>
      <c r="K597" s="15">
        <v>75</v>
      </c>
      <c r="L597" s="15"/>
      <c r="M597" s="15"/>
      <c r="N597" s="15">
        <v>72</v>
      </c>
      <c r="O597" s="15">
        <v>292.75</v>
      </c>
      <c r="P597" s="15">
        <v>473.75</v>
      </c>
    </row>
    <row r="598" ht="14.25" spans="1:16">
      <c r="A598" s="13">
        <v>597</v>
      </c>
      <c r="B598" s="15">
        <v>12</v>
      </c>
      <c r="C598" s="16">
        <v>47</v>
      </c>
      <c r="D598" s="17" t="s">
        <v>1202</v>
      </c>
      <c r="E598" s="17" t="s">
        <v>1203</v>
      </c>
      <c r="F598" s="15">
        <v>100.5</v>
      </c>
      <c r="G598" s="15">
        <v>91</v>
      </c>
      <c r="H598" s="15">
        <v>94.5</v>
      </c>
      <c r="I598" s="15">
        <v>39</v>
      </c>
      <c r="J598" s="15"/>
      <c r="K598" s="15">
        <v>73</v>
      </c>
      <c r="L598" s="15"/>
      <c r="M598" s="15"/>
      <c r="N598" s="15">
        <v>74</v>
      </c>
      <c r="O598" s="15">
        <v>286</v>
      </c>
      <c r="P598" s="15">
        <v>472</v>
      </c>
    </row>
    <row r="599" ht="14.25" spans="1:16">
      <c r="A599" s="13">
        <v>598</v>
      </c>
      <c r="B599" s="15">
        <v>12</v>
      </c>
      <c r="C599" s="16">
        <v>48</v>
      </c>
      <c r="D599" s="17" t="s">
        <v>1204</v>
      </c>
      <c r="E599" s="17" t="s">
        <v>1205</v>
      </c>
      <c r="F599" s="15">
        <v>97.5</v>
      </c>
      <c r="G599" s="15">
        <v>104</v>
      </c>
      <c r="H599" s="15">
        <v>76</v>
      </c>
      <c r="I599" s="15">
        <v>58.5</v>
      </c>
      <c r="J599" s="15"/>
      <c r="K599" s="15">
        <v>75</v>
      </c>
      <c r="L599" s="15"/>
      <c r="M599" s="15"/>
      <c r="N599" s="15">
        <v>73</v>
      </c>
      <c r="O599" s="15">
        <v>277.5</v>
      </c>
      <c r="P599" s="15">
        <v>484</v>
      </c>
    </row>
    <row r="600" ht="14.25" spans="1:16">
      <c r="A600" s="13">
        <v>599</v>
      </c>
      <c r="B600" s="15">
        <v>12</v>
      </c>
      <c r="C600" s="16">
        <v>49</v>
      </c>
      <c r="D600" s="17" t="s">
        <v>1206</v>
      </c>
      <c r="E600" s="17" t="s">
        <v>1207</v>
      </c>
      <c r="F600" s="15">
        <v>100.5</v>
      </c>
      <c r="G600" s="15">
        <v>93.5</v>
      </c>
      <c r="H600" s="15">
        <v>85.25</v>
      </c>
      <c r="I600" s="15">
        <v>43</v>
      </c>
      <c r="J600" s="15"/>
      <c r="K600" s="15">
        <v>65</v>
      </c>
      <c r="L600" s="15"/>
      <c r="M600" s="15"/>
      <c r="N600" s="15">
        <v>72</v>
      </c>
      <c r="O600" s="15">
        <v>279.25</v>
      </c>
      <c r="P600" s="15">
        <v>459.25</v>
      </c>
    </row>
    <row r="601" ht="14.25" spans="1:16">
      <c r="A601" s="13">
        <v>600</v>
      </c>
      <c r="B601" s="15">
        <v>12</v>
      </c>
      <c r="C601" s="16">
        <v>50</v>
      </c>
      <c r="D601" s="17" t="s">
        <v>1208</v>
      </c>
      <c r="E601" s="17" t="s">
        <v>1209</v>
      </c>
      <c r="F601" s="15">
        <v>103.5</v>
      </c>
      <c r="G601" s="15">
        <v>115</v>
      </c>
      <c r="H601" s="15">
        <v>87.75</v>
      </c>
      <c r="I601" s="15">
        <v>77</v>
      </c>
      <c r="J601" s="15"/>
      <c r="K601" s="15">
        <v>72</v>
      </c>
      <c r="L601" s="15"/>
      <c r="M601" s="15"/>
      <c r="N601" s="15">
        <v>83</v>
      </c>
      <c r="O601" s="15">
        <v>306.25</v>
      </c>
      <c r="P601" s="15">
        <v>538.25</v>
      </c>
    </row>
    <row r="602" ht="14.25" spans="1:16">
      <c r="A602" s="13">
        <v>601</v>
      </c>
      <c r="B602" s="15">
        <v>12</v>
      </c>
      <c r="C602" s="16">
        <v>51</v>
      </c>
      <c r="D602" s="17" t="s">
        <v>1210</v>
      </c>
      <c r="E602" s="17" t="s">
        <v>1211</v>
      </c>
      <c r="F602" s="15">
        <v>92</v>
      </c>
      <c r="G602" s="15">
        <v>65</v>
      </c>
      <c r="H602" s="15">
        <v>75</v>
      </c>
      <c r="I602" s="15">
        <v>26.5</v>
      </c>
      <c r="J602" s="15"/>
      <c r="K602" s="15">
        <v>60</v>
      </c>
      <c r="L602" s="15"/>
      <c r="M602" s="15"/>
      <c r="N602" s="15">
        <v>60</v>
      </c>
      <c r="O602" s="15">
        <v>232</v>
      </c>
      <c r="P602" s="15">
        <v>378.5</v>
      </c>
    </row>
    <row r="603" ht="14.25" spans="1:16">
      <c r="A603" s="13">
        <v>602</v>
      </c>
      <c r="B603" s="15">
        <v>12</v>
      </c>
      <c r="C603" s="16">
        <v>52</v>
      </c>
      <c r="D603" s="17" t="s">
        <v>1212</v>
      </c>
      <c r="E603" s="17" t="s">
        <v>1213</v>
      </c>
      <c r="F603" s="15">
        <v>99</v>
      </c>
      <c r="G603" s="15">
        <v>105.5</v>
      </c>
      <c r="H603" s="15">
        <v>59.5</v>
      </c>
      <c r="I603" s="15">
        <v>45</v>
      </c>
      <c r="J603" s="15"/>
      <c r="K603" s="15">
        <v>58</v>
      </c>
      <c r="L603" s="15"/>
      <c r="M603" s="15"/>
      <c r="N603" s="15">
        <v>72</v>
      </c>
      <c r="O603" s="15">
        <v>264</v>
      </c>
      <c r="P603" s="15">
        <v>439</v>
      </c>
    </row>
    <row r="604" ht="14.25" spans="1:16">
      <c r="A604" s="13">
        <v>603</v>
      </c>
      <c r="B604" s="15">
        <v>12</v>
      </c>
      <c r="C604" s="16">
        <v>53</v>
      </c>
      <c r="D604" s="17" t="s">
        <v>1214</v>
      </c>
      <c r="E604" s="17" t="s">
        <v>1215</v>
      </c>
      <c r="F604" s="15">
        <v>94</v>
      </c>
      <c r="G604" s="15">
        <v>104.5</v>
      </c>
      <c r="H604" s="15">
        <v>82.25</v>
      </c>
      <c r="I604" s="15">
        <v>59.5</v>
      </c>
      <c r="J604" s="15"/>
      <c r="K604" s="15">
        <v>73</v>
      </c>
      <c r="L604" s="15"/>
      <c r="M604" s="15"/>
      <c r="N604" s="15">
        <v>62</v>
      </c>
      <c r="O604" s="15">
        <v>280.75</v>
      </c>
      <c r="P604" s="15">
        <v>475.25</v>
      </c>
    </row>
    <row r="605" ht="14.25" spans="1:16">
      <c r="A605" s="13">
        <v>604</v>
      </c>
      <c r="B605" s="15">
        <v>12</v>
      </c>
      <c r="C605" s="16">
        <v>54</v>
      </c>
      <c r="D605" s="17" t="s">
        <v>1216</v>
      </c>
      <c r="E605" s="17" t="s">
        <v>1217</v>
      </c>
      <c r="F605" s="15">
        <v>85.5</v>
      </c>
      <c r="G605" s="15">
        <v>94.5</v>
      </c>
      <c r="H605" s="15">
        <v>67</v>
      </c>
      <c r="I605" s="15">
        <v>44</v>
      </c>
      <c r="J605" s="15"/>
      <c r="K605" s="15">
        <v>64</v>
      </c>
      <c r="L605" s="15"/>
      <c r="M605" s="15"/>
      <c r="N605" s="15">
        <v>73</v>
      </c>
      <c r="O605" s="15">
        <v>247</v>
      </c>
      <c r="P605" s="15">
        <v>428</v>
      </c>
    </row>
    <row r="606" ht="14.25" spans="1:16">
      <c r="A606" s="13">
        <v>605</v>
      </c>
      <c r="B606" s="15">
        <v>12</v>
      </c>
      <c r="C606" s="16">
        <v>55</v>
      </c>
      <c r="D606" s="17" t="s">
        <v>1218</v>
      </c>
      <c r="E606" s="17" t="s">
        <v>1219</v>
      </c>
      <c r="F606" s="15">
        <v>103.5</v>
      </c>
      <c r="G606" s="15">
        <v>82</v>
      </c>
      <c r="H606" s="15">
        <v>120</v>
      </c>
      <c r="I606" s="15">
        <v>17.5</v>
      </c>
      <c r="J606" s="15"/>
      <c r="K606" s="15">
        <v>56</v>
      </c>
      <c r="L606" s="15"/>
      <c r="M606" s="15"/>
      <c r="N606" s="15">
        <v>65</v>
      </c>
      <c r="O606" s="15">
        <v>305.5</v>
      </c>
      <c r="P606" s="15">
        <v>444</v>
      </c>
    </row>
    <row r="607" ht="14.25" spans="1:16">
      <c r="A607" s="13">
        <v>606</v>
      </c>
      <c r="B607" s="15">
        <v>12</v>
      </c>
      <c r="C607" s="16">
        <v>56</v>
      </c>
      <c r="D607" s="17" t="s">
        <v>1220</v>
      </c>
      <c r="E607" s="17" t="s">
        <v>1221</v>
      </c>
      <c r="F607" s="15">
        <v>95</v>
      </c>
      <c r="G607" s="15">
        <v>88</v>
      </c>
      <c r="H607" s="15">
        <v>93</v>
      </c>
      <c r="I607" s="15">
        <v>46</v>
      </c>
      <c r="J607" s="15"/>
      <c r="K607" s="15">
        <v>60</v>
      </c>
      <c r="L607" s="15"/>
      <c r="M607" s="15"/>
      <c r="N607" s="15">
        <v>74</v>
      </c>
      <c r="O607" s="15">
        <v>276</v>
      </c>
      <c r="P607" s="15">
        <v>456</v>
      </c>
    </row>
    <row r="608" ht="14.25" spans="1:16">
      <c r="A608" s="13">
        <v>607</v>
      </c>
      <c r="B608" s="15">
        <v>12</v>
      </c>
      <c r="C608" s="16">
        <v>57</v>
      </c>
      <c r="D608" s="17" t="s">
        <v>1222</v>
      </c>
      <c r="E608" s="17" t="s">
        <v>1223</v>
      </c>
      <c r="F608" s="15">
        <v>83.5</v>
      </c>
      <c r="G608" s="15">
        <v>89.5</v>
      </c>
      <c r="H608" s="15">
        <v>80</v>
      </c>
      <c r="I608" s="15">
        <v>35.5</v>
      </c>
      <c r="J608" s="15"/>
      <c r="K608" s="15">
        <v>82</v>
      </c>
      <c r="L608" s="15"/>
      <c r="M608" s="15"/>
      <c r="N608" s="15">
        <v>71</v>
      </c>
      <c r="O608" s="15">
        <v>253</v>
      </c>
      <c r="P608" s="15">
        <v>441.5</v>
      </c>
    </row>
    <row r="609" ht="14.25" spans="1:16">
      <c r="A609" s="13">
        <v>608</v>
      </c>
      <c r="B609" s="15">
        <v>12</v>
      </c>
      <c r="C609" s="16">
        <v>58</v>
      </c>
      <c r="D609" s="17" t="s">
        <v>1224</v>
      </c>
      <c r="E609" s="17" t="s">
        <v>1225</v>
      </c>
      <c r="F609" s="15">
        <v>97</v>
      </c>
      <c r="G609" s="15">
        <v>93.5</v>
      </c>
      <c r="H609" s="15">
        <v>106.75</v>
      </c>
      <c r="I609" s="15">
        <v>61</v>
      </c>
      <c r="J609" s="15"/>
      <c r="K609" s="15">
        <v>79</v>
      </c>
      <c r="L609" s="15"/>
      <c r="M609" s="15"/>
      <c r="N609" s="15">
        <v>82</v>
      </c>
      <c r="O609" s="15">
        <v>297.25</v>
      </c>
      <c r="P609" s="15">
        <v>519.25</v>
      </c>
    </row>
    <row r="610" ht="14.25" spans="1:16">
      <c r="A610" s="13">
        <v>609</v>
      </c>
      <c r="B610" s="20">
        <v>12</v>
      </c>
      <c r="C610" s="16">
        <v>59</v>
      </c>
      <c r="D610" s="19" t="s">
        <v>1226</v>
      </c>
      <c r="E610" s="17" t="s">
        <v>1227</v>
      </c>
      <c r="F610" s="15">
        <v>96.25</v>
      </c>
      <c r="G610" s="15">
        <v>110</v>
      </c>
      <c r="H610" s="15">
        <v>93</v>
      </c>
      <c r="I610" s="15">
        <v>36</v>
      </c>
      <c r="J610" s="15"/>
      <c r="K610" s="15">
        <v>86</v>
      </c>
      <c r="L610" s="15"/>
      <c r="M610" s="15"/>
      <c r="N610" s="15">
        <v>68</v>
      </c>
      <c r="O610" s="15">
        <v>299.25</v>
      </c>
      <c r="P610" s="15">
        <v>489.25</v>
      </c>
    </row>
    <row r="611" ht="14.25" spans="1:16">
      <c r="A611" s="13">
        <v>610</v>
      </c>
      <c r="B611" s="15">
        <v>13</v>
      </c>
      <c r="C611" s="16">
        <v>1</v>
      </c>
      <c r="D611" s="17" t="s">
        <v>1228</v>
      </c>
      <c r="E611" s="17" t="s">
        <v>1229</v>
      </c>
      <c r="F611" s="15">
        <v>104</v>
      </c>
      <c r="G611" s="15">
        <v>94.5</v>
      </c>
      <c r="H611" s="15">
        <v>87</v>
      </c>
      <c r="I611" s="15">
        <v>44.5</v>
      </c>
      <c r="J611" s="15"/>
      <c r="K611" s="15">
        <v>65</v>
      </c>
      <c r="L611" s="15"/>
      <c r="M611" s="15"/>
      <c r="N611" s="15">
        <v>75</v>
      </c>
      <c r="O611" s="15">
        <v>285.5</v>
      </c>
      <c r="P611" s="15">
        <v>470</v>
      </c>
    </row>
    <row r="612" ht="14.25" spans="1:16">
      <c r="A612" s="13">
        <v>611</v>
      </c>
      <c r="B612" s="15">
        <v>13</v>
      </c>
      <c r="C612" s="16">
        <v>2</v>
      </c>
      <c r="D612" s="17" t="s">
        <v>1230</v>
      </c>
      <c r="E612" s="17" t="s">
        <v>1231</v>
      </c>
      <c r="F612" s="15">
        <v>99</v>
      </c>
      <c r="G612" s="15">
        <v>113.5</v>
      </c>
      <c r="H612" s="15">
        <v>85</v>
      </c>
      <c r="I612" s="15">
        <v>54.5</v>
      </c>
      <c r="J612" s="15"/>
      <c r="K612" s="15">
        <v>82</v>
      </c>
      <c r="L612" s="15"/>
      <c r="M612" s="15"/>
      <c r="N612" s="15">
        <v>82</v>
      </c>
      <c r="O612" s="15">
        <v>297.5</v>
      </c>
      <c r="P612" s="15">
        <v>516</v>
      </c>
    </row>
    <row r="613" ht="14.25" spans="1:16">
      <c r="A613" s="13">
        <v>612</v>
      </c>
      <c r="B613" s="15">
        <v>13</v>
      </c>
      <c r="C613" s="16">
        <v>3</v>
      </c>
      <c r="D613" s="17" t="s">
        <v>1232</v>
      </c>
      <c r="E613" s="17" t="s">
        <v>1233</v>
      </c>
      <c r="F613" s="15">
        <v>95</v>
      </c>
      <c r="G613" s="15">
        <v>117</v>
      </c>
      <c r="H613" s="15">
        <v>87</v>
      </c>
      <c r="I613" s="15">
        <v>66.5</v>
      </c>
      <c r="J613" s="15"/>
      <c r="K613" s="15">
        <v>73</v>
      </c>
      <c r="L613" s="15"/>
      <c r="M613" s="15"/>
      <c r="N613" s="15">
        <v>86</v>
      </c>
      <c r="O613" s="15">
        <v>299</v>
      </c>
      <c r="P613" s="15">
        <v>524.5</v>
      </c>
    </row>
    <row r="614" ht="14.25" spans="1:16">
      <c r="A614" s="13">
        <v>613</v>
      </c>
      <c r="B614" s="15">
        <v>13</v>
      </c>
      <c r="C614" s="16">
        <v>4</v>
      </c>
      <c r="D614" s="17" t="s">
        <v>1234</v>
      </c>
      <c r="E614" s="17" t="s">
        <v>1235</v>
      </c>
      <c r="F614" s="15">
        <v>97</v>
      </c>
      <c r="G614" s="15">
        <v>88</v>
      </c>
      <c r="H614" s="15">
        <v>85.5</v>
      </c>
      <c r="I614" s="15">
        <v>50</v>
      </c>
      <c r="J614" s="15"/>
      <c r="K614" s="15">
        <v>61</v>
      </c>
      <c r="L614" s="15"/>
      <c r="M614" s="15"/>
      <c r="N614" s="15">
        <v>80</v>
      </c>
      <c r="O614" s="15">
        <v>270.5</v>
      </c>
      <c r="P614" s="15">
        <v>461.5</v>
      </c>
    </row>
    <row r="615" ht="14.25" spans="1:16">
      <c r="A615" s="13">
        <v>614</v>
      </c>
      <c r="B615" s="15">
        <v>13</v>
      </c>
      <c r="C615" s="16">
        <v>5</v>
      </c>
      <c r="D615" s="17" t="s">
        <v>1236</v>
      </c>
      <c r="E615" s="17" t="s">
        <v>1237</v>
      </c>
      <c r="F615" s="15">
        <v>103.5</v>
      </c>
      <c r="G615" s="15">
        <v>62.5</v>
      </c>
      <c r="H615" s="15">
        <v>106.5</v>
      </c>
      <c r="I615" s="15">
        <v>29.5</v>
      </c>
      <c r="J615" s="15"/>
      <c r="K615" s="15">
        <v>66</v>
      </c>
      <c r="L615" s="15"/>
      <c r="M615" s="15"/>
      <c r="N615" s="15">
        <v>70</v>
      </c>
      <c r="O615" s="15">
        <v>272.5</v>
      </c>
      <c r="P615" s="15">
        <v>438</v>
      </c>
    </row>
    <row r="616" ht="14.25" spans="1:16">
      <c r="A616" s="13">
        <v>615</v>
      </c>
      <c r="B616" s="15">
        <v>13</v>
      </c>
      <c r="C616" s="16">
        <v>6</v>
      </c>
      <c r="D616" s="17" t="s">
        <v>1238</v>
      </c>
      <c r="E616" s="17" t="s">
        <v>1239</v>
      </c>
      <c r="F616" s="15">
        <v>91</v>
      </c>
      <c r="G616" s="15">
        <v>114</v>
      </c>
      <c r="H616" s="15">
        <v>81.25</v>
      </c>
      <c r="I616" s="15">
        <v>51.5</v>
      </c>
      <c r="J616" s="15"/>
      <c r="K616" s="15">
        <v>62</v>
      </c>
      <c r="L616" s="15"/>
      <c r="M616" s="15"/>
      <c r="N616" s="15">
        <v>66</v>
      </c>
      <c r="O616" s="15">
        <v>286.25</v>
      </c>
      <c r="P616" s="15">
        <v>465.75</v>
      </c>
    </row>
    <row r="617" ht="14.25" spans="1:16">
      <c r="A617" s="13">
        <v>616</v>
      </c>
      <c r="B617" s="15">
        <v>13</v>
      </c>
      <c r="C617" s="16">
        <v>7</v>
      </c>
      <c r="D617" s="17" t="s">
        <v>1240</v>
      </c>
      <c r="E617" s="17" t="s">
        <v>1241</v>
      </c>
      <c r="F617" s="15">
        <v>71.5</v>
      </c>
      <c r="G617" s="15">
        <v>91.5</v>
      </c>
      <c r="H617" s="15">
        <v>103.75</v>
      </c>
      <c r="I617" s="15">
        <v>56.5</v>
      </c>
      <c r="J617" s="15"/>
      <c r="K617" s="15">
        <v>80</v>
      </c>
      <c r="L617" s="15"/>
      <c r="M617" s="15"/>
      <c r="N617" s="15">
        <v>78</v>
      </c>
      <c r="O617" s="15">
        <v>266.75</v>
      </c>
      <c r="P617" s="15">
        <v>481.25</v>
      </c>
    </row>
    <row r="618" ht="14.25" spans="1:16">
      <c r="A618" s="13">
        <v>617</v>
      </c>
      <c r="B618" s="15">
        <v>13</v>
      </c>
      <c r="C618" s="16">
        <v>8</v>
      </c>
      <c r="D618" s="17" t="s">
        <v>1242</v>
      </c>
      <c r="E618" s="17" t="s">
        <v>1243</v>
      </c>
      <c r="F618" s="15">
        <v>86.5</v>
      </c>
      <c r="G618" s="15">
        <v>93</v>
      </c>
      <c r="H618" s="15">
        <v>45.5</v>
      </c>
      <c r="I618" s="15">
        <v>30</v>
      </c>
      <c r="J618" s="15"/>
      <c r="K618" s="15">
        <v>51</v>
      </c>
      <c r="L618" s="15"/>
      <c r="M618" s="15"/>
      <c r="N618" s="15">
        <v>73</v>
      </c>
      <c r="O618" s="15">
        <v>225</v>
      </c>
      <c r="P618" s="15">
        <v>379</v>
      </c>
    </row>
    <row r="619" ht="14.25" spans="1:16">
      <c r="A619" s="13">
        <v>618</v>
      </c>
      <c r="B619" s="15">
        <v>13</v>
      </c>
      <c r="C619" s="16">
        <v>9</v>
      </c>
      <c r="D619" s="17" t="s">
        <v>1244</v>
      </c>
      <c r="E619" s="17" t="s">
        <v>1245</v>
      </c>
      <c r="F619" s="15">
        <v>112</v>
      </c>
      <c r="G619" s="15">
        <v>105</v>
      </c>
      <c r="H619" s="15">
        <v>107.75</v>
      </c>
      <c r="I619" s="15">
        <v>60</v>
      </c>
      <c r="J619" s="15"/>
      <c r="K619" s="15">
        <v>73</v>
      </c>
      <c r="L619" s="15"/>
      <c r="M619" s="15"/>
      <c r="N619" s="15">
        <v>90</v>
      </c>
      <c r="O619" s="15">
        <v>324.75</v>
      </c>
      <c r="P619" s="15">
        <v>547.75</v>
      </c>
    </row>
    <row r="620" ht="14.25" spans="1:16">
      <c r="A620" s="13">
        <v>619</v>
      </c>
      <c r="B620" s="15">
        <v>13</v>
      </c>
      <c r="C620" s="16">
        <v>10</v>
      </c>
      <c r="D620" s="17" t="s">
        <v>1246</v>
      </c>
      <c r="E620" s="17" t="s">
        <v>1247</v>
      </c>
      <c r="F620" s="15">
        <v>98</v>
      </c>
      <c r="G620" s="15">
        <v>103.5</v>
      </c>
      <c r="H620" s="15">
        <v>69.5</v>
      </c>
      <c r="I620" s="15">
        <v>45.5</v>
      </c>
      <c r="J620" s="15"/>
      <c r="K620" s="15">
        <v>74</v>
      </c>
      <c r="L620" s="15"/>
      <c r="M620" s="15"/>
      <c r="N620" s="15">
        <v>75</v>
      </c>
      <c r="O620" s="15">
        <v>271</v>
      </c>
      <c r="P620" s="15">
        <v>465.5</v>
      </c>
    </row>
    <row r="621" ht="14.25" spans="1:16">
      <c r="A621" s="13">
        <v>620</v>
      </c>
      <c r="B621" s="15">
        <v>13</v>
      </c>
      <c r="C621" s="16">
        <v>12</v>
      </c>
      <c r="D621" s="17" t="s">
        <v>1248</v>
      </c>
      <c r="E621" s="17" t="s">
        <v>1249</v>
      </c>
      <c r="F621" s="15">
        <v>98.25</v>
      </c>
      <c r="G621" s="15">
        <v>113.5</v>
      </c>
      <c r="H621" s="15">
        <v>82.5</v>
      </c>
      <c r="I621" s="15">
        <v>39.5</v>
      </c>
      <c r="J621" s="15"/>
      <c r="K621" s="15">
        <v>83</v>
      </c>
      <c r="L621" s="15"/>
      <c r="M621" s="15"/>
      <c r="N621" s="15">
        <v>68</v>
      </c>
      <c r="O621" s="15">
        <v>294.25</v>
      </c>
      <c r="P621" s="15">
        <v>484.75</v>
      </c>
    </row>
    <row r="622" ht="14.25" spans="1:16">
      <c r="A622" s="13">
        <v>621</v>
      </c>
      <c r="B622" s="15">
        <v>13</v>
      </c>
      <c r="C622" s="16">
        <v>13</v>
      </c>
      <c r="D622" s="17" t="s">
        <v>1250</v>
      </c>
      <c r="E622" s="17" t="s">
        <v>1251</v>
      </c>
      <c r="F622" s="15">
        <v>88</v>
      </c>
      <c r="G622" s="15">
        <v>80</v>
      </c>
      <c r="H622" s="15">
        <v>84.75</v>
      </c>
      <c r="I622" s="15">
        <v>35</v>
      </c>
      <c r="J622" s="15"/>
      <c r="K622" s="15">
        <v>63</v>
      </c>
      <c r="L622" s="15"/>
      <c r="M622" s="15"/>
      <c r="N622" s="15">
        <v>61</v>
      </c>
      <c r="O622" s="15">
        <v>252.75</v>
      </c>
      <c r="P622" s="15">
        <v>411.75</v>
      </c>
    </row>
    <row r="623" ht="14.25" spans="1:16">
      <c r="A623" s="13">
        <v>622</v>
      </c>
      <c r="B623" s="15">
        <v>13</v>
      </c>
      <c r="C623" s="16">
        <v>15</v>
      </c>
      <c r="D623" s="17" t="s">
        <v>1252</v>
      </c>
      <c r="E623" s="17" t="s">
        <v>1253</v>
      </c>
      <c r="F623" s="15">
        <v>90.5</v>
      </c>
      <c r="G623" s="15">
        <v>104.5</v>
      </c>
      <c r="H623" s="15">
        <v>96</v>
      </c>
      <c r="I623" s="15">
        <v>48.5</v>
      </c>
      <c r="J623" s="15"/>
      <c r="K623" s="15">
        <v>89</v>
      </c>
      <c r="L623" s="15"/>
      <c r="M623" s="15"/>
      <c r="N623" s="15">
        <v>73</v>
      </c>
      <c r="O623" s="15">
        <v>291</v>
      </c>
      <c r="P623" s="15">
        <v>501.5</v>
      </c>
    </row>
    <row r="624" ht="14.25" spans="1:16">
      <c r="A624" s="13">
        <v>623</v>
      </c>
      <c r="B624" s="15">
        <v>13</v>
      </c>
      <c r="C624" s="16">
        <v>16</v>
      </c>
      <c r="D624" s="17" t="s">
        <v>1254</v>
      </c>
      <c r="E624" s="17" t="s">
        <v>1255</v>
      </c>
      <c r="F624" s="15">
        <v>95</v>
      </c>
      <c r="G624" s="15">
        <v>93.5</v>
      </c>
      <c r="H624" s="15">
        <v>100</v>
      </c>
      <c r="I624" s="15">
        <v>45</v>
      </c>
      <c r="J624" s="15"/>
      <c r="K624" s="15">
        <v>73</v>
      </c>
      <c r="L624" s="15"/>
      <c r="M624" s="15"/>
      <c r="N624" s="15">
        <v>73</v>
      </c>
      <c r="O624" s="15">
        <v>288.5</v>
      </c>
      <c r="P624" s="15">
        <v>479.5</v>
      </c>
    </row>
    <row r="625" ht="14.25" spans="1:16">
      <c r="A625" s="13">
        <v>624</v>
      </c>
      <c r="B625" s="15">
        <v>13</v>
      </c>
      <c r="C625" s="16">
        <v>17</v>
      </c>
      <c r="D625" s="17" t="s">
        <v>1256</v>
      </c>
      <c r="E625" s="17" t="s">
        <v>1257</v>
      </c>
      <c r="F625" s="15">
        <v>97.5</v>
      </c>
      <c r="G625" s="15">
        <v>106</v>
      </c>
      <c r="H625" s="15">
        <v>82.75</v>
      </c>
      <c r="I625" s="15">
        <v>40.5</v>
      </c>
      <c r="J625" s="15"/>
      <c r="K625" s="15">
        <v>62</v>
      </c>
      <c r="L625" s="15"/>
      <c r="M625" s="15"/>
      <c r="N625" s="15">
        <v>83</v>
      </c>
      <c r="O625" s="15">
        <v>286.25</v>
      </c>
      <c r="P625" s="15">
        <v>471.75</v>
      </c>
    </row>
    <row r="626" ht="14.25" spans="1:16">
      <c r="A626" s="13">
        <v>625</v>
      </c>
      <c r="B626" s="15">
        <v>13</v>
      </c>
      <c r="C626" s="16">
        <v>18</v>
      </c>
      <c r="D626" s="17" t="s">
        <v>1258</v>
      </c>
      <c r="E626" s="17" t="s">
        <v>1259</v>
      </c>
      <c r="F626" s="15">
        <v>104</v>
      </c>
      <c r="G626" s="15">
        <v>92</v>
      </c>
      <c r="H626" s="15">
        <v>114.5</v>
      </c>
      <c r="I626" s="15">
        <v>60.5</v>
      </c>
      <c r="J626" s="15"/>
      <c r="K626" s="15">
        <v>71</v>
      </c>
      <c r="L626" s="15"/>
      <c r="M626" s="15"/>
      <c r="N626" s="15">
        <v>75</v>
      </c>
      <c r="O626" s="15">
        <v>310.5</v>
      </c>
      <c r="P626" s="15">
        <v>517</v>
      </c>
    </row>
    <row r="627" ht="14.25" spans="1:16">
      <c r="A627" s="13">
        <v>626</v>
      </c>
      <c r="B627" s="15">
        <v>13</v>
      </c>
      <c r="C627" s="16">
        <v>19</v>
      </c>
      <c r="D627" s="17" t="s">
        <v>1260</v>
      </c>
      <c r="E627" s="17" t="s">
        <v>1261</v>
      </c>
      <c r="F627" s="15">
        <v>104.25</v>
      </c>
      <c r="G627" s="15">
        <v>104</v>
      </c>
      <c r="H627" s="15">
        <v>99</v>
      </c>
      <c r="I627" s="15">
        <v>53</v>
      </c>
      <c r="J627" s="15"/>
      <c r="K627" s="15">
        <v>79</v>
      </c>
      <c r="L627" s="15"/>
      <c r="M627" s="15"/>
      <c r="N627" s="15">
        <v>74</v>
      </c>
      <c r="O627" s="15">
        <v>307.25</v>
      </c>
      <c r="P627" s="15">
        <v>513.25</v>
      </c>
    </row>
    <row r="628" ht="14.25" spans="1:16">
      <c r="A628" s="13">
        <v>627</v>
      </c>
      <c r="B628" s="15">
        <v>13</v>
      </c>
      <c r="C628" s="16">
        <v>20</v>
      </c>
      <c r="D628" s="17" t="s">
        <v>1262</v>
      </c>
      <c r="E628" s="17" t="s">
        <v>1263</v>
      </c>
      <c r="F628" s="15">
        <v>96</v>
      </c>
      <c r="G628" s="15">
        <v>109.5</v>
      </c>
      <c r="H628" s="15">
        <v>104.25</v>
      </c>
      <c r="I628" s="15">
        <v>42</v>
      </c>
      <c r="J628" s="15"/>
      <c r="K628" s="15">
        <v>83</v>
      </c>
      <c r="L628" s="15"/>
      <c r="M628" s="15"/>
      <c r="N628" s="15">
        <v>81</v>
      </c>
      <c r="O628" s="15">
        <v>309.75</v>
      </c>
      <c r="P628" s="15">
        <v>515.75</v>
      </c>
    </row>
    <row r="629" ht="14.25" spans="1:16">
      <c r="A629" s="13">
        <v>628</v>
      </c>
      <c r="B629" s="15">
        <v>13</v>
      </c>
      <c r="C629" s="16">
        <v>21</v>
      </c>
      <c r="D629" s="17" t="s">
        <v>1264</v>
      </c>
      <c r="E629" s="17" t="s">
        <v>1265</v>
      </c>
      <c r="F629" s="15">
        <v>100.5</v>
      </c>
      <c r="G629" s="15">
        <v>104</v>
      </c>
      <c r="H629" s="15">
        <v>105.75</v>
      </c>
      <c r="I629" s="15">
        <v>46</v>
      </c>
      <c r="J629" s="15"/>
      <c r="K629" s="15">
        <v>79</v>
      </c>
      <c r="L629" s="15"/>
      <c r="M629" s="15"/>
      <c r="N629" s="15">
        <v>81</v>
      </c>
      <c r="O629" s="15">
        <v>310.25</v>
      </c>
      <c r="P629" s="15">
        <v>516.25</v>
      </c>
    </row>
    <row r="630" ht="14.25" spans="1:16">
      <c r="A630" s="13">
        <v>629</v>
      </c>
      <c r="B630" s="15">
        <v>13</v>
      </c>
      <c r="C630" s="16">
        <v>22</v>
      </c>
      <c r="D630" s="17" t="s">
        <v>1266</v>
      </c>
      <c r="E630" s="17" t="s">
        <v>1267</v>
      </c>
      <c r="F630" s="15">
        <v>101.5</v>
      </c>
      <c r="G630" s="15">
        <v>84.5</v>
      </c>
      <c r="H630" s="15">
        <v>92</v>
      </c>
      <c r="I630" s="15">
        <v>42.5</v>
      </c>
      <c r="J630" s="15"/>
      <c r="K630" s="15">
        <v>74</v>
      </c>
      <c r="L630" s="15"/>
      <c r="M630" s="15"/>
      <c r="N630" s="15">
        <v>76</v>
      </c>
      <c r="O630" s="15">
        <v>278</v>
      </c>
      <c r="P630" s="15">
        <v>470.5</v>
      </c>
    </row>
    <row r="631" ht="14.25" spans="1:16">
      <c r="A631" s="13">
        <v>630</v>
      </c>
      <c r="B631" s="15">
        <v>13</v>
      </c>
      <c r="C631" s="16">
        <v>23</v>
      </c>
      <c r="D631" s="17" t="s">
        <v>1268</v>
      </c>
      <c r="E631" s="17" t="s">
        <v>1269</v>
      </c>
      <c r="F631" s="15">
        <v>102.25</v>
      </c>
      <c r="G631" s="15">
        <v>88.5</v>
      </c>
      <c r="H631" s="15">
        <v>87</v>
      </c>
      <c r="I631" s="15">
        <v>35.5</v>
      </c>
      <c r="J631" s="15"/>
      <c r="K631" s="15">
        <v>68</v>
      </c>
      <c r="L631" s="15"/>
      <c r="M631" s="15"/>
      <c r="N631" s="15">
        <v>80</v>
      </c>
      <c r="O631" s="15">
        <v>277.75</v>
      </c>
      <c r="P631" s="15">
        <v>461.25</v>
      </c>
    </row>
    <row r="632" ht="14.25" spans="1:16">
      <c r="A632" s="13">
        <v>631</v>
      </c>
      <c r="B632" s="15">
        <v>13</v>
      </c>
      <c r="C632" s="16">
        <v>24</v>
      </c>
      <c r="D632" s="17" t="s">
        <v>1270</v>
      </c>
      <c r="E632" s="17" t="s">
        <v>1271</v>
      </c>
      <c r="F632" s="15">
        <v>108</v>
      </c>
      <c r="G632" s="15">
        <v>82</v>
      </c>
      <c r="H632" s="15">
        <v>95</v>
      </c>
      <c r="I632" s="15">
        <v>34</v>
      </c>
      <c r="J632" s="15"/>
      <c r="K632" s="15">
        <v>64</v>
      </c>
      <c r="L632" s="15"/>
      <c r="M632" s="15"/>
      <c r="N632" s="15">
        <v>84</v>
      </c>
      <c r="O632" s="15">
        <v>285</v>
      </c>
      <c r="P632" s="15">
        <v>467</v>
      </c>
    </row>
    <row r="633" ht="14.25" spans="1:16">
      <c r="A633" s="13">
        <v>632</v>
      </c>
      <c r="B633" s="15">
        <v>13</v>
      </c>
      <c r="C633" s="16">
        <v>25</v>
      </c>
      <c r="D633" s="17" t="s">
        <v>1272</v>
      </c>
      <c r="E633" s="17" t="s">
        <v>1273</v>
      </c>
      <c r="F633" s="15">
        <v>95</v>
      </c>
      <c r="G633" s="15">
        <v>91</v>
      </c>
      <c r="H633" s="15">
        <v>79</v>
      </c>
      <c r="I633" s="15">
        <v>61</v>
      </c>
      <c r="J633" s="15"/>
      <c r="K633" s="15">
        <v>88</v>
      </c>
      <c r="L633" s="15"/>
      <c r="M633" s="15"/>
      <c r="N633" s="15">
        <v>81</v>
      </c>
      <c r="O633" s="15">
        <v>265</v>
      </c>
      <c r="P633" s="15">
        <v>495</v>
      </c>
    </row>
    <row r="634" ht="14.25" spans="1:16">
      <c r="A634" s="13">
        <v>633</v>
      </c>
      <c r="B634" s="15">
        <v>13</v>
      </c>
      <c r="C634" s="16">
        <v>26</v>
      </c>
      <c r="D634" s="17" t="s">
        <v>1274</v>
      </c>
      <c r="E634" s="17" t="s">
        <v>1275</v>
      </c>
      <c r="F634" s="15">
        <v>84.5</v>
      </c>
      <c r="G634" s="15">
        <v>83</v>
      </c>
      <c r="H634" s="15">
        <v>88.25</v>
      </c>
      <c r="I634" s="15">
        <v>42</v>
      </c>
      <c r="J634" s="15"/>
      <c r="K634" s="15">
        <v>64</v>
      </c>
      <c r="L634" s="15"/>
      <c r="M634" s="15"/>
      <c r="N634" s="15">
        <v>75</v>
      </c>
      <c r="O634" s="15">
        <v>255.75</v>
      </c>
      <c r="P634" s="15">
        <v>436.75</v>
      </c>
    </row>
    <row r="635" ht="14.25" spans="1:16">
      <c r="A635" s="13">
        <v>634</v>
      </c>
      <c r="B635" s="15">
        <v>13</v>
      </c>
      <c r="C635" s="16">
        <v>27</v>
      </c>
      <c r="D635" s="17" t="s">
        <v>1276</v>
      </c>
      <c r="E635" s="17" t="s">
        <v>1277</v>
      </c>
      <c r="F635" s="15">
        <v>94.75</v>
      </c>
      <c r="G635" s="15">
        <v>118.5</v>
      </c>
      <c r="H635" s="15">
        <v>93.75</v>
      </c>
      <c r="I635" s="15">
        <v>53.5</v>
      </c>
      <c r="J635" s="15"/>
      <c r="K635" s="15">
        <v>77</v>
      </c>
      <c r="L635" s="15"/>
      <c r="M635" s="15"/>
      <c r="N635" s="15">
        <v>76</v>
      </c>
      <c r="O635" s="15">
        <v>307</v>
      </c>
      <c r="P635" s="15">
        <v>513.5</v>
      </c>
    </row>
    <row r="636" ht="14.25" spans="1:16">
      <c r="A636" s="13">
        <v>635</v>
      </c>
      <c r="B636" s="15">
        <v>13</v>
      </c>
      <c r="C636" s="16">
        <v>28</v>
      </c>
      <c r="D636" s="17" t="s">
        <v>1278</v>
      </c>
      <c r="E636" s="17" t="s">
        <v>1279</v>
      </c>
      <c r="F636" s="15">
        <v>101</v>
      </c>
      <c r="G636" s="15">
        <v>112</v>
      </c>
      <c r="H636" s="15">
        <v>103.75</v>
      </c>
      <c r="I636" s="15">
        <v>56</v>
      </c>
      <c r="J636" s="15"/>
      <c r="K636" s="15">
        <v>89</v>
      </c>
      <c r="L636" s="15"/>
      <c r="M636" s="15"/>
      <c r="N636" s="15">
        <v>91</v>
      </c>
      <c r="O636" s="15">
        <v>316.75</v>
      </c>
      <c r="P636" s="15">
        <v>552.75</v>
      </c>
    </row>
    <row r="637" ht="14.25" spans="1:16">
      <c r="A637" s="13">
        <v>636</v>
      </c>
      <c r="B637" s="15">
        <v>13</v>
      </c>
      <c r="C637" s="16">
        <v>29</v>
      </c>
      <c r="D637" s="17" t="s">
        <v>1280</v>
      </c>
      <c r="E637" s="17" t="s">
        <v>1281</v>
      </c>
      <c r="F637" s="15">
        <v>91</v>
      </c>
      <c r="G637" s="15">
        <v>87.5</v>
      </c>
      <c r="H637" s="15">
        <v>82.75</v>
      </c>
      <c r="I637" s="15">
        <v>45</v>
      </c>
      <c r="J637" s="15"/>
      <c r="K637" s="15">
        <v>70</v>
      </c>
      <c r="L637" s="15"/>
      <c r="M637" s="15"/>
      <c r="N637" s="15">
        <v>87</v>
      </c>
      <c r="O637" s="15">
        <v>261.25</v>
      </c>
      <c r="P637" s="15">
        <v>463.25</v>
      </c>
    </row>
    <row r="638" ht="14.25" spans="1:16">
      <c r="A638" s="13">
        <v>637</v>
      </c>
      <c r="B638" s="15">
        <v>13</v>
      </c>
      <c r="C638" s="16">
        <v>30</v>
      </c>
      <c r="D638" s="17" t="s">
        <v>1282</v>
      </c>
      <c r="E638" s="17" t="s">
        <v>1283</v>
      </c>
      <c r="F638" s="15">
        <v>104</v>
      </c>
      <c r="G638" s="15">
        <v>92.5</v>
      </c>
      <c r="H638" s="15">
        <v>79.5</v>
      </c>
      <c r="I638" s="15">
        <v>47.5</v>
      </c>
      <c r="J638" s="15"/>
      <c r="K638" s="15">
        <v>64</v>
      </c>
      <c r="L638" s="15"/>
      <c r="M638" s="15"/>
      <c r="N638" s="15">
        <v>80</v>
      </c>
      <c r="O638" s="15">
        <v>276</v>
      </c>
      <c r="P638" s="15">
        <v>467.5</v>
      </c>
    </row>
    <row r="639" ht="14.25" spans="1:16">
      <c r="A639" s="13">
        <v>638</v>
      </c>
      <c r="B639" s="15">
        <v>13</v>
      </c>
      <c r="C639" s="16">
        <v>31</v>
      </c>
      <c r="D639" s="19" t="s">
        <v>1284</v>
      </c>
      <c r="E639" s="17" t="s">
        <v>847</v>
      </c>
      <c r="F639" s="15">
        <v>95.5</v>
      </c>
      <c r="G639" s="15">
        <v>104.5</v>
      </c>
      <c r="H639" s="15">
        <v>95.75</v>
      </c>
      <c r="I639" s="15">
        <v>64.5</v>
      </c>
      <c r="J639" s="15"/>
      <c r="K639" s="15">
        <v>88</v>
      </c>
      <c r="L639" s="15"/>
      <c r="M639" s="15"/>
      <c r="N639" s="15">
        <v>77</v>
      </c>
      <c r="O639" s="15">
        <v>295.75</v>
      </c>
      <c r="P639" s="15">
        <v>525.25</v>
      </c>
    </row>
    <row r="640" ht="14.25" spans="1:16">
      <c r="A640" s="13">
        <v>639</v>
      </c>
      <c r="B640" s="15">
        <v>13</v>
      </c>
      <c r="C640" s="16">
        <v>32</v>
      </c>
      <c r="D640" s="17" t="s">
        <v>1285</v>
      </c>
      <c r="E640" s="17" t="s">
        <v>1286</v>
      </c>
      <c r="F640" s="15">
        <v>106.5</v>
      </c>
      <c r="G640" s="15">
        <v>133.5</v>
      </c>
      <c r="H640" s="15">
        <v>93</v>
      </c>
      <c r="I640" s="15">
        <v>75.5</v>
      </c>
      <c r="J640" s="15"/>
      <c r="K640" s="15">
        <v>77</v>
      </c>
      <c r="L640" s="15"/>
      <c r="M640" s="15"/>
      <c r="N640" s="15">
        <v>83</v>
      </c>
      <c r="O640" s="15">
        <v>333</v>
      </c>
      <c r="P640" s="15">
        <v>568.5</v>
      </c>
    </row>
    <row r="641" ht="14.25" spans="1:16">
      <c r="A641" s="13">
        <v>640</v>
      </c>
      <c r="B641" s="15">
        <v>13</v>
      </c>
      <c r="C641" s="16">
        <v>33</v>
      </c>
      <c r="D641" s="17" t="s">
        <v>1287</v>
      </c>
      <c r="E641" s="17" t="s">
        <v>1288</v>
      </c>
      <c r="F641" s="15">
        <v>101</v>
      </c>
      <c r="G641" s="15">
        <v>87.5</v>
      </c>
      <c r="H641" s="15">
        <v>89</v>
      </c>
      <c r="I641" s="15">
        <v>45</v>
      </c>
      <c r="J641" s="15"/>
      <c r="K641" s="15">
        <v>57</v>
      </c>
      <c r="L641" s="15"/>
      <c r="M641" s="15"/>
      <c r="N641" s="15">
        <v>74</v>
      </c>
      <c r="O641" s="15">
        <v>277.5</v>
      </c>
      <c r="P641" s="15">
        <v>453.5</v>
      </c>
    </row>
    <row r="642" ht="14.25" spans="1:16">
      <c r="A642" s="13">
        <v>641</v>
      </c>
      <c r="B642" s="15">
        <v>13</v>
      </c>
      <c r="C642" s="16">
        <v>34</v>
      </c>
      <c r="D642" s="17" t="s">
        <v>1289</v>
      </c>
      <c r="E642" s="17" t="s">
        <v>1290</v>
      </c>
      <c r="F642" s="15">
        <v>90.5</v>
      </c>
      <c r="G642" s="15">
        <v>110</v>
      </c>
      <c r="H642" s="15">
        <v>80</v>
      </c>
      <c r="I642" s="15">
        <v>42</v>
      </c>
      <c r="J642" s="15"/>
      <c r="K642" s="15">
        <v>67</v>
      </c>
      <c r="L642" s="15"/>
      <c r="M642" s="15"/>
      <c r="N642" s="15">
        <v>86</v>
      </c>
      <c r="O642" s="15">
        <v>280.5</v>
      </c>
      <c r="P642" s="15">
        <v>475.5</v>
      </c>
    </row>
    <row r="643" ht="14.25" spans="1:16">
      <c r="A643" s="13">
        <v>642</v>
      </c>
      <c r="B643" s="15">
        <v>13</v>
      </c>
      <c r="C643" s="16">
        <v>35</v>
      </c>
      <c r="D643" s="17" t="s">
        <v>1291</v>
      </c>
      <c r="E643" s="17" t="s">
        <v>1292</v>
      </c>
      <c r="F643" s="15">
        <v>114.25</v>
      </c>
      <c r="G643" s="15">
        <v>110</v>
      </c>
      <c r="H643" s="15">
        <v>109.25</v>
      </c>
      <c r="I643" s="15">
        <v>62.5</v>
      </c>
      <c r="J643" s="15"/>
      <c r="K643" s="15">
        <v>81</v>
      </c>
      <c r="L643" s="15"/>
      <c r="M643" s="15"/>
      <c r="N643" s="15">
        <v>93</v>
      </c>
      <c r="O643" s="15">
        <v>333.5</v>
      </c>
      <c r="P643" s="15">
        <v>570</v>
      </c>
    </row>
    <row r="644" ht="14.25" spans="1:16">
      <c r="A644" s="13">
        <v>643</v>
      </c>
      <c r="B644" s="15">
        <v>13</v>
      </c>
      <c r="C644" s="16">
        <v>36</v>
      </c>
      <c r="D644" s="17" t="s">
        <v>1293</v>
      </c>
      <c r="E644" s="17" t="s">
        <v>1294</v>
      </c>
      <c r="F644" s="15">
        <v>99.5</v>
      </c>
      <c r="G644" s="15">
        <v>89</v>
      </c>
      <c r="H644" s="15">
        <v>86.75</v>
      </c>
      <c r="I644" s="15">
        <v>49</v>
      </c>
      <c r="J644" s="15"/>
      <c r="K644" s="15">
        <v>74</v>
      </c>
      <c r="L644" s="15"/>
      <c r="M644" s="15"/>
      <c r="N644" s="15">
        <v>74</v>
      </c>
      <c r="O644" s="15">
        <v>275.25</v>
      </c>
      <c r="P644" s="15">
        <v>472.25</v>
      </c>
    </row>
    <row r="645" ht="14.25" spans="1:16">
      <c r="A645" s="13">
        <v>644</v>
      </c>
      <c r="B645" s="15">
        <v>13</v>
      </c>
      <c r="C645" s="16">
        <v>37</v>
      </c>
      <c r="D645" s="17" t="s">
        <v>1295</v>
      </c>
      <c r="E645" s="17" t="s">
        <v>1296</v>
      </c>
      <c r="F645" s="15">
        <v>96.5</v>
      </c>
      <c r="G645" s="15">
        <v>88</v>
      </c>
      <c r="H645" s="15">
        <v>91.5</v>
      </c>
      <c r="I645" s="15">
        <v>59.5</v>
      </c>
      <c r="J645" s="15"/>
      <c r="K645" s="15">
        <v>75</v>
      </c>
      <c r="L645" s="15"/>
      <c r="M645" s="15"/>
      <c r="N645" s="15">
        <v>79</v>
      </c>
      <c r="O645" s="15">
        <v>276</v>
      </c>
      <c r="P645" s="15">
        <v>489.5</v>
      </c>
    </row>
    <row r="646" ht="14.25" spans="1:16">
      <c r="A646" s="13">
        <v>645</v>
      </c>
      <c r="B646" s="15">
        <v>13</v>
      </c>
      <c r="C646" s="16">
        <v>38</v>
      </c>
      <c r="D646" s="17" t="s">
        <v>1297</v>
      </c>
      <c r="E646" s="17" t="s">
        <v>1298</v>
      </c>
      <c r="F646" s="15">
        <v>95.5</v>
      </c>
      <c r="G646" s="15">
        <v>86.5</v>
      </c>
      <c r="H646" s="15">
        <v>102</v>
      </c>
      <c r="I646" s="15">
        <v>57.5</v>
      </c>
      <c r="J646" s="15"/>
      <c r="K646" s="15">
        <v>84</v>
      </c>
      <c r="L646" s="15"/>
      <c r="M646" s="15"/>
      <c r="N646" s="15">
        <v>78</v>
      </c>
      <c r="O646" s="15">
        <v>284</v>
      </c>
      <c r="P646" s="15">
        <v>503.5</v>
      </c>
    </row>
    <row r="647" ht="14.25" spans="1:16">
      <c r="A647" s="13">
        <v>646</v>
      </c>
      <c r="B647" s="15">
        <v>13</v>
      </c>
      <c r="C647" s="16">
        <v>40</v>
      </c>
      <c r="D647" s="17" t="s">
        <v>1299</v>
      </c>
      <c r="E647" s="17" t="s">
        <v>1300</v>
      </c>
      <c r="F647" s="15">
        <v>94</v>
      </c>
      <c r="G647" s="15">
        <v>108.5</v>
      </c>
      <c r="H647" s="15">
        <v>76</v>
      </c>
      <c r="I647" s="15">
        <v>64.5</v>
      </c>
      <c r="J647" s="15"/>
      <c r="K647" s="15">
        <v>79</v>
      </c>
      <c r="L647" s="15"/>
      <c r="M647" s="15"/>
      <c r="N647" s="15">
        <v>90</v>
      </c>
      <c r="O647" s="15">
        <v>278.5</v>
      </c>
      <c r="P647" s="15">
        <v>512</v>
      </c>
    </row>
    <row r="648" ht="14.25" spans="1:16">
      <c r="A648" s="13">
        <v>647</v>
      </c>
      <c r="B648" s="15">
        <v>13</v>
      </c>
      <c r="C648" s="16">
        <v>41</v>
      </c>
      <c r="D648" s="17" t="s">
        <v>1301</v>
      </c>
      <c r="E648" s="17" t="s">
        <v>1302</v>
      </c>
      <c r="F648" s="15">
        <v>104</v>
      </c>
      <c r="G648" s="15">
        <v>94.5</v>
      </c>
      <c r="H648" s="15">
        <v>70.5</v>
      </c>
      <c r="I648" s="15">
        <v>49</v>
      </c>
      <c r="J648" s="15"/>
      <c r="K648" s="15">
        <v>72</v>
      </c>
      <c r="L648" s="15"/>
      <c r="M648" s="15"/>
      <c r="N648" s="15">
        <v>78</v>
      </c>
      <c r="O648" s="15">
        <v>269</v>
      </c>
      <c r="P648" s="15">
        <v>468</v>
      </c>
    </row>
    <row r="649" ht="14.25" spans="1:16">
      <c r="A649" s="13">
        <v>648</v>
      </c>
      <c r="B649" s="15">
        <v>13</v>
      </c>
      <c r="C649" s="16">
        <v>42</v>
      </c>
      <c r="D649" s="17" t="s">
        <v>1303</v>
      </c>
      <c r="E649" s="17" t="s">
        <v>1304</v>
      </c>
      <c r="F649" s="15">
        <v>89</v>
      </c>
      <c r="G649" s="15">
        <v>81</v>
      </c>
      <c r="H649" s="15">
        <v>72.25</v>
      </c>
      <c r="I649" s="15">
        <v>34.5</v>
      </c>
      <c r="J649" s="15"/>
      <c r="K649" s="15">
        <v>64</v>
      </c>
      <c r="L649" s="15"/>
      <c r="M649" s="15"/>
      <c r="N649" s="15">
        <v>71</v>
      </c>
      <c r="O649" s="15">
        <v>242.25</v>
      </c>
      <c r="P649" s="15">
        <v>411.75</v>
      </c>
    </row>
    <row r="650" ht="14.25" spans="1:16">
      <c r="A650" s="13">
        <v>649</v>
      </c>
      <c r="B650" s="15">
        <v>13</v>
      </c>
      <c r="C650" s="16">
        <v>43</v>
      </c>
      <c r="D650" s="17" t="s">
        <v>1305</v>
      </c>
      <c r="E650" s="17" t="s">
        <v>1306</v>
      </c>
      <c r="F650" s="15">
        <v>93.5</v>
      </c>
      <c r="G650" s="15">
        <v>102</v>
      </c>
      <c r="H650" s="15">
        <v>84</v>
      </c>
      <c r="I650" s="15">
        <v>32.5</v>
      </c>
      <c r="J650" s="15"/>
      <c r="K650" s="15">
        <v>64</v>
      </c>
      <c r="L650" s="15"/>
      <c r="M650" s="15"/>
      <c r="N650" s="15">
        <v>71</v>
      </c>
      <c r="O650" s="15">
        <v>279.5</v>
      </c>
      <c r="P650" s="15">
        <v>447</v>
      </c>
    </row>
    <row r="651" ht="14.25" spans="1:16">
      <c r="A651" s="13">
        <v>650</v>
      </c>
      <c r="B651" s="15">
        <v>13</v>
      </c>
      <c r="C651" s="16">
        <v>44</v>
      </c>
      <c r="D651" s="17" t="s">
        <v>1307</v>
      </c>
      <c r="E651" s="17" t="s">
        <v>1308</v>
      </c>
      <c r="F651" s="15">
        <v>95.5</v>
      </c>
      <c r="G651" s="15">
        <v>120.5</v>
      </c>
      <c r="H651" s="15">
        <v>88</v>
      </c>
      <c r="I651" s="15">
        <v>66.5</v>
      </c>
      <c r="J651" s="15"/>
      <c r="K651" s="15">
        <v>61</v>
      </c>
      <c r="L651" s="15"/>
      <c r="M651" s="15"/>
      <c r="N651" s="15">
        <v>73</v>
      </c>
      <c r="O651" s="15">
        <v>304</v>
      </c>
      <c r="P651" s="15">
        <v>504.5</v>
      </c>
    </row>
    <row r="652" ht="14.25" spans="1:16">
      <c r="A652" s="13">
        <v>651</v>
      </c>
      <c r="B652" s="15">
        <v>13</v>
      </c>
      <c r="C652" s="16">
        <v>45</v>
      </c>
      <c r="D652" s="17" t="s">
        <v>1309</v>
      </c>
      <c r="E652" s="17" t="s">
        <v>1310</v>
      </c>
      <c r="F652" s="15">
        <v>96.5</v>
      </c>
      <c r="G652" s="15">
        <v>97.5</v>
      </c>
      <c r="H652" s="15">
        <v>98</v>
      </c>
      <c r="I652" s="15">
        <v>60.5</v>
      </c>
      <c r="J652" s="15"/>
      <c r="K652" s="15">
        <v>74</v>
      </c>
      <c r="L652" s="15"/>
      <c r="M652" s="15"/>
      <c r="N652" s="15">
        <v>80</v>
      </c>
      <c r="O652" s="15">
        <v>292</v>
      </c>
      <c r="P652" s="15">
        <v>506.5</v>
      </c>
    </row>
    <row r="653" ht="14.25" spans="1:16">
      <c r="A653" s="13">
        <v>652</v>
      </c>
      <c r="B653" s="15">
        <v>13</v>
      </c>
      <c r="C653" s="16">
        <v>46</v>
      </c>
      <c r="D653" s="17" t="s">
        <v>1311</v>
      </c>
      <c r="E653" s="17" t="s">
        <v>1312</v>
      </c>
      <c r="F653" s="15">
        <v>98.25</v>
      </c>
      <c r="G653" s="15">
        <v>84</v>
      </c>
      <c r="H653" s="15">
        <v>90</v>
      </c>
      <c r="I653" s="15">
        <v>56</v>
      </c>
      <c r="J653" s="15"/>
      <c r="K653" s="15">
        <v>82</v>
      </c>
      <c r="L653" s="15"/>
      <c r="M653" s="15"/>
      <c r="N653" s="15">
        <v>78</v>
      </c>
      <c r="O653" s="15">
        <v>272.25</v>
      </c>
      <c r="P653" s="15">
        <v>488.25</v>
      </c>
    </row>
    <row r="654" ht="14.25" spans="1:16">
      <c r="A654" s="13">
        <v>653</v>
      </c>
      <c r="B654" s="15">
        <v>13</v>
      </c>
      <c r="C654" s="16">
        <v>47</v>
      </c>
      <c r="D654" s="17" t="s">
        <v>1313</v>
      </c>
      <c r="E654" s="17" t="s">
        <v>1314</v>
      </c>
      <c r="F654" s="15">
        <v>99.5</v>
      </c>
      <c r="G654" s="15">
        <v>107.5</v>
      </c>
      <c r="H654" s="15">
        <v>85.5</v>
      </c>
      <c r="I654" s="15">
        <v>47</v>
      </c>
      <c r="J654" s="15"/>
      <c r="K654" s="15">
        <v>74</v>
      </c>
      <c r="L654" s="15"/>
      <c r="M654" s="15"/>
      <c r="N654" s="15">
        <v>75</v>
      </c>
      <c r="O654" s="15">
        <v>292.5</v>
      </c>
      <c r="P654" s="15">
        <v>488.5</v>
      </c>
    </row>
    <row r="655" ht="14.25" spans="1:16">
      <c r="A655" s="13">
        <v>654</v>
      </c>
      <c r="B655" s="15">
        <v>13</v>
      </c>
      <c r="C655" s="16">
        <v>48</v>
      </c>
      <c r="D655" s="17" t="s">
        <v>1315</v>
      </c>
      <c r="E655" s="17" t="s">
        <v>1316</v>
      </c>
      <c r="F655" s="15">
        <v>110</v>
      </c>
      <c r="G655" s="15">
        <v>121</v>
      </c>
      <c r="H655" s="15">
        <v>99.25</v>
      </c>
      <c r="I655" s="15">
        <v>67</v>
      </c>
      <c r="J655" s="15"/>
      <c r="K655" s="15">
        <v>87</v>
      </c>
      <c r="L655" s="15"/>
      <c r="M655" s="15"/>
      <c r="N655" s="15">
        <v>88</v>
      </c>
      <c r="O655" s="15">
        <v>330.25</v>
      </c>
      <c r="P655" s="15">
        <v>572.25</v>
      </c>
    </row>
    <row r="656" ht="14.25" spans="1:16">
      <c r="A656" s="13">
        <v>655</v>
      </c>
      <c r="B656" s="15">
        <v>13</v>
      </c>
      <c r="C656" s="16">
        <v>49</v>
      </c>
      <c r="D656" s="17" t="s">
        <v>1317</v>
      </c>
      <c r="E656" s="17" t="s">
        <v>1318</v>
      </c>
      <c r="F656" s="15">
        <v>91.5</v>
      </c>
      <c r="G656" s="15">
        <v>114.5</v>
      </c>
      <c r="H656" s="15">
        <v>88.5</v>
      </c>
      <c r="I656" s="15">
        <v>33</v>
      </c>
      <c r="J656" s="15"/>
      <c r="K656" s="15">
        <v>87</v>
      </c>
      <c r="L656" s="15"/>
      <c r="M656" s="15"/>
      <c r="N656" s="15">
        <v>71</v>
      </c>
      <c r="O656" s="15">
        <v>294.5</v>
      </c>
      <c r="P656" s="15">
        <v>485.5</v>
      </c>
    </row>
    <row r="657" ht="14.25" spans="1:16">
      <c r="A657" s="13">
        <v>656</v>
      </c>
      <c r="B657" s="15">
        <v>13</v>
      </c>
      <c r="C657" s="16">
        <v>50</v>
      </c>
      <c r="D657" s="17" t="s">
        <v>1319</v>
      </c>
      <c r="E657" s="17" t="s">
        <v>1320</v>
      </c>
      <c r="F657" s="15">
        <v>99.5</v>
      </c>
      <c r="G657" s="15">
        <v>78</v>
      </c>
      <c r="H657" s="15">
        <v>59.75</v>
      </c>
      <c r="I657" s="15">
        <v>37.5</v>
      </c>
      <c r="J657" s="15"/>
      <c r="K657" s="15">
        <v>72</v>
      </c>
      <c r="L657" s="15"/>
      <c r="M657" s="15"/>
      <c r="N657" s="15">
        <v>87</v>
      </c>
      <c r="O657" s="15">
        <v>237.25</v>
      </c>
      <c r="P657" s="15">
        <v>433.75</v>
      </c>
    </row>
    <row r="658" ht="14.25" spans="1:16">
      <c r="A658" s="13">
        <v>657</v>
      </c>
      <c r="B658" s="15">
        <v>13</v>
      </c>
      <c r="C658" s="16">
        <v>51</v>
      </c>
      <c r="D658" s="17" t="s">
        <v>1321</v>
      </c>
      <c r="E658" s="17" t="s">
        <v>1322</v>
      </c>
      <c r="F658" s="15">
        <v>93</v>
      </c>
      <c r="G658" s="15">
        <v>101.5</v>
      </c>
      <c r="H658" s="15">
        <v>97.5</v>
      </c>
      <c r="I658" s="15">
        <v>62</v>
      </c>
      <c r="J658" s="15"/>
      <c r="K658" s="15">
        <v>67</v>
      </c>
      <c r="L658" s="15"/>
      <c r="M658" s="15"/>
      <c r="N658" s="15">
        <v>81</v>
      </c>
      <c r="O658" s="15">
        <v>292</v>
      </c>
      <c r="P658" s="15">
        <v>502</v>
      </c>
    </row>
    <row r="659" ht="14.25" spans="1:16">
      <c r="A659" s="13">
        <v>658</v>
      </c>
      <c r="B659" s="15">
        <v>13</v>
      </c>
      <c r="C659" s="16">
        <v>52</v>
      </c>
      <c r="D659" s="17" t="s">
        <v>1323</v>
      </c>
      <c r="E659" s="17" t="s">
        <v>1324</v>
      </c>
      <c r="F659" s="15">
        <v>103</v>
      </c>
      <c r="G659" s="15">
        <v>101.5</v>
      </c>
      <c r="H659" s="15">
        <v>93.5</v>
      </c>
      <c r="I659" s="15">
        <v>66</v>
      </c>
      <c r="J659" s="15"/>
      <c r="K659" s="15">
        <v>74</v>
      </c>
      <c r="L659" s="15"/>
      <c r="M659" s="15"/>
      <c r="N659" s="15">
        <v>87</v>
      </c>
      <c r="O659" s="15">
        <v>298</v>
      </c>
      <c r="P659" s="15">
        <v>525</v>
      </c>
    </row>
    <row r="660" ht="14.25" spans="1:16">
      <c r="A660" s="13">
        <v>659</v>
      </c>
      <c r="B660" s="15">
        <v>13</v>
      </c>
      <c r="C660" s="16">
        <v>53</v>
      </c>
      <c r="D660" s="17" t="s">
        <v>1325</v>
      </c>
      <c r="E660" s="17" t="s">
        <v>49</v>
      </c>
      <c r="F660" s="15">
        <v>83</v>
      </c>
      <c r="G660" s="15">
        <v>104</v>
      </c>
      <c r="H660" s="15">
        <v>70.5</v>
      </c>
      <c r="I660" s="15">
        <v>60</v>
      </c>
      <c r="J660" s="15"/>
      <c r="K660" s="15">
        <v>74</v>
      </c>
      <c r="L660" s="15"/>
      <c r="M660" s="15"/>
      <c r="N660" s="15">
        <v>80</v>
      </c>
      <c r="O660" s="15">
        <v>257.5</v>
      </c>
      <c r="P660" s="15">
        <v>471.5</v>
      </c>
    </row>
    <row r="661" ht="14.25" spans="1:16">
      <c r="A661" s="13">
        <v>660</v>
      </c>
      <c r="B661" s="15">
        <v>13</v>
      </c>
      <c r="C661" s="16">
        <v>54</v>
      </c>
      <c r="D661" s="17" t="s">
        <v>1326</v>
      </c>
      <c r="E661" s="17" t="s">
        <v>1327</v>
      </c>
      <c r="F661" s="15">
        <v>97</v>
      </c>
      <c r="G661" s="15">
        <v>113.5</v>
      </c>
      <c r="H661" s="15">
        <v>94.25</v>
      </c>
      <c r="I661" s="15">
        <v>55</v>
      </c>
      <c r="J661" s="15"/>
      <c r="K661" s="15">
        <v>80</v>
      </c>
      <c r="L661" s="15"/>
      <c r="M661" s="15"/>
      <c r="N661" s="15">
        <v>83</v>
      </c>
      <c r="O661" s="15">
        <v>304.75</v>
      </c>
      <c r="P661" s="15">
        <v>522.75</v>
      </c>
    </row>
    <row r="662" ht="14.25" spans="1:16">
      <c r="A662" s="13">
        <v>661</v>
      </c>
      <c r="B662" s="15">
        <v>13</v>
      </c>
      <c r="C662" s="16">
        <v>55</v>
      </c>
      <c r="D662" s="17" t="s">
        <v>1328</v>
      </c>
      <c r="E662" s="17" t="s">
        <v>1329</v>
      </c>
      <c r="F662" s="15">
        <v>97.5</v>
      </c>
      <c r="G662" s="15">
        <v>103.5</v>
      </c>
      <c r="H662" s="15">
        <v>72</v>
      </c>
      <c r="I662" s="15">
        <v>49.5</v>
      </c>
      <c r="J662" s="15"/>
      <c r="K662" s="15">
        <v>68</v>
      </c>
      <c r="L662" s="15"/>
      <c r="M662" s="15"/>
      <c r="N662" s="15">
        <v>77</v>
      </c>
      <c r="O662" s="15">
        <v>273</v>
      </c>
      <c r="P662" s="15">
        <v>467.5</v>
      </c>
    </row>
    <row r="663" ht="14.25" spans="1:16">
      <c r="A663" s="13">
        <v>662</v>
      </c>
      <c r="B663" s="15">
        <v>13</v>
      </c>
      <c r="C663" s="16">
        <v>56</v>
      </c>
      <c r="D663" s="17" t="s">
        <v>1330</v>
      </c>
      <c r="E663" s="17" t="s">
        <v>1331</v>
      </c>
      <c r="F663" s="15">
        <v>103.5</v>
      </c>
      <c r="G663" s="15">
        <v>73</v>
      </c>
      <c r="H663" s="15">
        <v>87</v>
      </c>
      <c r="I663" s="15">
        <v>27.5</v>
      </c>
      <c r="J663" s="15"/>
      <c r="K663" s="15">
        <v>68</v>
      </c>
      <c r="L663" s="15"/>
      <c r="M663" s="15"/>
      <c r="N663" s="15">
        <v>72</v>
      </c>
      <c r="O663" s="15">
        <v>263.5</v>
      </c>
      <c r="P663" s="15">
        <v>431</v>
      </c>
    </row>
    <row r="664" ht="14.25" spans="1:16">
      <c r="A664" s="13">
        <v>663</v>
      </c>
      <c r="B664" s="15">
        <v>13</v>
      </c>
      <c r="C664" s="16">
        <v>58</v>
      </c>
      <c r="D664" s="17" t="s">
        <v>1332</v>
      </c>
      <c r="E664" s="17" t="s">
        <v>1333</v>
      </c>
      <c r="F664" s="15">
        <v>94.5</v>
      </c>
      <c r="G664" s="15">
        <v>67.5</v>
      </c>
      <c r="H664" s="15">
        <v>82.5</v>
      </c>
      <c r="I664" s="15">
        <v>42.5</v>
      </c>
      <c r="J664" s="15"/>
      <c r="K664" s="15">
        <v>69</v>
      </c>
      <c r="L664" s="15"/>
      <c r="M664" s="15"/>
      <c r="N664" s="15">
        <v>75</v>
      </c>
      <c r="O664" s="15">
        <v>244.5</v>
      </c>
      <c r="P664" s="15">
        <v>431</v>
      </c>
    </row>
    <row r="665" ht="14.25" spans="1:16">
      <c r="A665" s="13">
        <v>664</v>
      </c>
      <c r="B665" s="15">
        <v>14</v>
      </c>
      <c r="C665" s="16">
        <v>1</v>
      </c>
      <c r="D665" s="15" t="s">
        <v>1334</v>
      </c>
      <c r="E665" s="15" t="s">
        <v>1335</v>
      </c>
      <c r="F665" s="15">
        <v>98</v>
      </c>
      <c r="G665" s="15">
        <v>79.5</v>
      </c>
      <c r="H665" s="15">
        <v>95.75</v>
      </c>
      <c r="I665" s="15"/>
      <c r="J665" s="15">
        <v>68.5</v>
      </c>
      <c r="K665" s="15"/>
      <c r="L665" s="15"/>
      <c r="M665" s="15">
        <v>85</v>
      </c>
      <c r="N665" s="15">
        <v>62</v>
      </c>
      <c r="O665" s="15">
        <v>273.25</v>
      </c>
      <c r="P665" s="15">
        <v>488.75</v>
      </c>
    </row>
    <row r="666" ht="14.25" spans="1:16">
      <c r="A666" s="13">
        <v>665</v>
      </c>
      <c r="B666" s="15">
        <v>14</v>
      </c>
      <c r="C666" s="16">
        <v>2</v>
      </c>
      <c r="D666" s="15" t="s">
        <v>1336</v>
      </c>
      <c r="E666" s="15" t="s">
        <v>1337</v>
      </c>
      <c r="F666" s="15">
        <v>98</v>
      </c>
      <c r="G666" s="15">
        <v>94.5</v>
      </c>
      <c r="H666" s="15">
        <v>106</v>
      </c>
      <c r="I666" s="15"/>
      <c r="J666" s="15">
        <v>70</v>
      </c>
      <c r="K666" s="15"/>
      <c r="L666" s="15"/>
      <c r="M666" s="15">
        <v>75</v>
      </c>
      <c r="N666" s="15">
        <v>65</v>
      </c>
      <c r="O666" s="15">
        <v>298.5</v>
      </c>
      <c r="P666" s="15">
        <v>508.5</v>
      </c>
    </row>
    <row r="667" ht="14.25" spans="1:16">
      <c r="A667" s="13">
        <v>666</v>
      </c>
      <c r="B667" s="15">
        <v>14</v>
      </c>
      <c r="C667" s="16">
        <v>3</v>
      </c>
      <c r="D667" s="15" t="s">
        <v>1338</v>
      </c>
      <c r="E667" s="15" t="s">
        <v>1339</v>
      </c>
      <c r="F667" s="15">
        <v>102.5</v>
      </c>
      <c r="G667" s="15">
        <v>117.5</v>
      </c>
      <c r="H667" s="15">
        <v>108</v>
      </c>
      <c r="I667" s="15"/>
      <c r="J667" s="15">
        <v>46</v>
      </c>
      <c r="K667" s="15"/>
      <c r="L667" s="15"/>
      <c r="M667" s="15">
        <v>90</v>
      </c>
      <c r="N667" s="15">
        <v>71</v>
      </c>
      <c r="O667" s="15">
        <v>328</v>
      </c>
      <c r="P667" s="15">
        <v>535</v>
      </c>
    </row>
    <row r="668" ht="14.25" spans="1:16">
      <c r="A668" s="13">
        <v>667</v>
      </c>
      <c r="B668" s="15">
        <v>14</v>
      </c>
      <c r="C668" s="16">
        <v>4</v>
      </c>
      <c r="D668" s="15" t="s">
        <v>1340</v>
      </c>
      <c r="E668" s="15" t="s">
        <v>1341</v>
      </c>
      <c r="F668" s="15">
        <v>100.75</v>
      </c>
      <c r="G668" s="15">
        <v>110</v>
      </c>
      <c r="H668" s="15">
        <v>115.75</v>
      </c>
      <c r="I668" s="15"/>
      <c r="J668" s="15">
        <v>56</v>
      </c>
      <c r="K668" s="15"/>
      <c r="L668" s="15"/>
      <c r="M668" s="15">
        <v>85</v>
      </c>
      <c r="N668" s="15">
        <v>73</v>
      </c>
      <c r="O668" s="15">
        <v>326.5</v>
      </c>
      <c r="P668" s="15">
        <v>540.5</v>
      </c>
    </row>
    <row r="669" ht="14.25" spans="1:16">
      <c r="A669" s="13">
        <v>668</v>
      </c>
      <c r="B669" s="15">
        <v>14</v>
      </c>
      <c r="C669" s="16">
        <v>6</v>
      </c>
      <c r="D669" s="15" t="s">
        <v>1342</v>
      </c>
      <c r="E669" s="15" t="s">
        <v>1343</v>
      </c>
      <c r="F669" s="15">
        <v>109.5</v>
      </c>
      <c r="G669" s="15">
        <v>95.5</v>
      </c>
      <c r="H669" s="15">
        <v>108.25</v>
      </c>
      <c r="I669" s="15"/>
      <c r="J669" s="15">
        <v>53.5</v>
      </c>
      <c r="K669" s="15"/>
      <c r="L669" s="15"/>
      <c r="M669" s="15">
        <v>88</v>
      </c>
      <c r="N669" s="15">
        <v>80</v>
      </c>
      <c r="O669" s="15">
        <v>313.25</v>
      </c>
      <c r="P669" s="15">
        <v>534.75</v>
      </c>
    </row>
    <row r="670" ht="14.25" spans="1:16">
      <c r="A670" s="13">
        <v>669</v>
      </c>
      <c r="B670" s="15">
        <v>14</v>
      </c>
      <c r="C670" s="16">
        <v>8</v>
      </c>
      <c r="D670" s="15" t="s">
        <v>1344</v>
      </c>
      <c r="E670" s="15" t="s">
        <v>1345</v>
      </c>
      <c r="F670" s="15">
        <v>88.5</v>
      </c>
      <c r="G670" s="15">
        <v>69.5</v>
      </c>
      <c r="H670" s="15">
        <v>88.5</v>
      </c>
      <c r="I670" s="15"/>
      <c r="J670" s="15">
        <v>61</v>
      </c>
      <c r="K670" s="15"/>
      <c r="L670" s="15"/>
      <c r="M670" s="15">
        <v>82</v>
      </c>
      <c r="N670" s="15">
        <v>66</v>
      </c>
      <c r="O670" s="15">
        <v>246.5</v>
      </c>
      <c r="P670" s="15">
        <v>455.5</v>
      </c>
    </row>
    <row r="671" ht="14.25" spans="1:16">
      <c r="A671" s="13">
        <v>670</v>
      </c>
      <c r="B671" s="15">
        <v>14</v>
      </c>
      <c r="C671" s="16">
        <v>9</v>
      </c>
      <c r="D671" s="15" t="s">
        <v>1346</v>
      </c>
      <c r="E671" s="15" t="s">
        <v>1347</v>
      </c>
      <c r="F671" s="15">
        <v>108</v>
      </c>
      <c r="G671" s="15">
        <v>82</v>
      </c>
      <c r="H671" s="15">
        <v>104.5</v>
      </c>
      <c r="I671" s="15"/>
      <c r="J671" s="15">
        <v>56</v>
      </c>
      <c r="K671" s="15"/>
      <c r="L671" s="15"/>
      <c r="M671" s="15">
        <v>88</v>
      </c>
      <c r="N671" s="15">
        <v>66</v>
      </c>
      <c r="O671" s="15">
        <v>294.5</v>
      </c>
      <c r="P671" s="15">
        <v>504.5</v>
      </c>
    </row>
    <row r="672" ht="14.25" spans="1:16">
      <c r="A672" s="13">
        <v>671</v>
      </c>
      <c r="B672" s="15">
        <v>14</v>
      </c>
      <c r="C672" s="16">
        <v>11</v>
      </c>
      <c r="D672" s="15" t="s">
        <v>1348</v>
      </c>
      <c r="E672" s="15" t="s">
        <v>1349</v>
      </c>
      <c r="F672" s="15">
        <v>93.25</v>
      </c>
      <c r="G672" s="15">
        <v>89</v>
      </c>
      <c r="H672" s="15">
        <v>113</v>
      </c>
      <c r="I672" s="15"/>
      <c r="J672" s="15">
        <v>55.5</v>
      </c>
      <c r="K672" s="15"/>
      <c r="L672" s="15"/>
      <c r="M672" s="15">
        <v>81</v>
      </c>
      <c r="N672" s="15">
        <v>77</v>
      </c>
      <c r="O672" s="15">
        <v>295.25</v>
      </c>
      <c r="P672" s="15">
        <v>508.75</v>
      </c>
    </row>
    <row r="673" ht="14.25" spans="1:16">
      <c r="A673" s="13">
        <v>672</v>
      </c>
      <c r="B673" s="15">
        <v>14</v>
      </c>
      <c r="C673" s="16">
        <v>12</v>
      </c>
      <c r="D673" s="15" t="s">
        <v>1350</v>
      </c>
      <c r="E673" s="15" t="s">
        <v>1351</v>
      </c>
      <c r="F673" s="15">
        <v>97</v>
      </c>
      <c r="G673" s="15">
        <v>74.5</v>
      </c>
      <c r="H673" s="15">
        <v>94</v>
      </c>
      <c r="I673" s="15"/>
      <c r="J673" s="15">
        <v>58.5</v>
      </c>
      <c r="K673" s="15"/>
      <c r="L673" s="15"/>
      <c r="M673" s="15">
        <v>65</v>
      </c>
      <c r="N673" s="15">
        <v>74</v>
      </c>
      <c r="O673" s="15">
        <v>265.5</v>
      </c>
      <c r="P673" s="15">
        <v>463</v>
      </c>
    </row>
    <row r="674" ht="14.25" spans="1:16">
      <c r="A674" s="13">
        <v>673</v>
      </c>
      <c r="B674" s="15">
        <v>14</v>
      </c>
      <c r="C674" s="16">
        <v>13</v>
      </c>
      <c r="D674" s="15" t="s">
        <v>1352</v>
      </c>
      <c r="E674" s="15" t="s">
        <v>1353</v>
      </c>
      <c r="F674" s="15">
        <v>103</v>
      </c>
      <c r="G674" s="15">
        <v>105</v>
      </c>
      <c r="H674" s="15">
        <v>88.5</v>
      </c>
      <c r="I674" s="15"/>
      <c r="J674" s="15">
        <v>64.5</v>
      </c>
      <c r="K674" s="15"/>
      <c r="L674" s="15"/>
      <c r="M674" s="15">
        <v>65</v>
      </c>
      <c r="N674" s="15">
        <v>73</v>
      </c>
      <c r="O674" s="15">
        <v>296.5</v>
      </c>
      <c r="P674" s="15">
        <v>499</v>
      </c>
    </row>
    <row r="675" ht="14.25" spans="1:16">
      <c r="A675" s="13">
        <v>674</v>
      </c>
      <c r="B675" s="15">
        <v>14</v>
      </c>
      <c r="C675" s="16">
        <v>14</v>
      </c>
      <c r="D675" s="15" t="s">
        <v>1354</v>
      </c>
      <c r="E675" s="15" t="s">
        <v>1355</v>
      </c>
      <c r="F675" s="15">
        <v>116</v>
      </c>
      <c r="G675" s="15">
        <v>98</v>
      </c>
      <c r="H675" s="15">
        <v>103.75</v>
      </c>
      <c r="I675" s="15"/>
      <c r="J675" s="15">
        <v>69</v>
      </c>
      <c r="K675" s="15"/>
      <c r="L675" s="15"/>
      <c r="M675" s="15">
        <v>92</v>
      </c>
      <c r="N675" s="15">
        <v>84</v>
      </c>
      <c r="O675" s="15">
        <v>317.75</v>
      </c>
      <c r="P675" s="15">
        <v>562.75</v>
      </c>
    </row>
    <row r="676" ht="14.25" spans="1:16">
      <c r="A676" s="13">
        <v>675</v>
      </c>
      <c r="B676" s="15">
        <v>14</v>
      </c>
      <c r="C676" s="16">
        <v>15</v>
      </c>
      <c r="D676" s="15" t="s">
        <v>1356</v>
      </c>
      <c r="E676" s="15" t="s">
        <v>1357</v>
      </c>
      <c r="F676" s="15">
        <v>99.5</v>
      </c>
      <c r="G676" s="15">
        <v>78</v>
      </c>
      <c r="H676" s="15">
        <v>95</v>
      </c>
      <c r="I676" s="15"/>
      <c r="J676" s="15">
        <v>44</v>
      </c>
      <c r="K676" s="15"/>
      <c r="L676" s="15"/>
      <c r="M676" s="15">
        <v>69</v>
      </c>
      <c r="N676" s="15">
        <v>58</v>
      </c>
      <c r="O676" s="15">
        <v>272.5</v>
      </c>
      <c r="P676" s="15">
        <v>443.5</v>
      </c>
    </row>
    <row r="677" ht="14.25" spans="1:16">
      <c r="A677" s="13">
        <v>676</v>
      </c>
      <c r="B677" s="15">
        <v>14</v>
      </c>
      <c r="C677" s="16">
        <v>16</v>
      </c>
      <c r="D677" s="15" t="s">
        <v>1358</v>
      </c>
      <c r="E677" s="15" t="s">
        <v>1359</v>
      </c>
      <c r="F677" s="15">
        <v>93.5</v>
      </c>
      <c r="G677" s="15">
        <v>60</v>
      </c>
      <c r="H677" s="15">
        <v>56.5</v>
      </c>
      <c r="I677" s="15"/>
      <c r="J677" s="15">
        <v>39.5</v>
      </c>
      <c r="K677" s="15"/>
      <c r="L677" s="15"/>
      <c r="M677" s="15">
        <v>62</v>
      </c>
      <c r="N677" s="15">
        <v>39</v>
      </c>
      <c r="O677" s="15">
        <v>210</v>
      </c>
      <c r="P677" s="15">
        <v>350.5</v>
      </c>
    </row>
    <row r="678" ht="14.25" spans="1:16">
      <c r="A678" s="13">
        <v>677</v>
      </c>
      <c r="B678" s="15">
        <v>14</v>
      </c>
      <c r="C678" s="16">
        <v>18</v>
      </c>
      <c r="D678" s="15" t="s">
        <v>1360</v>
      </c>
      <c r="E678" s="15" t="s">
        <v>1361</v>
      </c>
      <c r="F678" s="15">
        <v>91.5</v>
      </c>
      <c r="G678" s="15">
        <v>114</v>
      </c>
      <c r="H678" s="15">
        <v>105.25</v>
      </c>
      <c r="I678" s="15"/>
      <c r="J678" s="15">
        <v>55.25</v>
      </c>
      <c r="K678" s="15"/>
      <c r="L678" s="15"/>
      <c r="M678" s="15">
        <v>83</v>
      </c>
      <c r="N678" s="15">
        <v>78</v>
      </c>
      <c r="O678" s="15">
        <v>310.75</v>
      </c>
      <c r="P678" s="15">
        <v>527</v>
      </c>
    </row>
    <row r="679" ht="14.25" spans="1:16">
      <c r="A679" s="13">
        <v>678</v>
      </c>
      <c r="B679" s="15">
        <v>14</v>
      </c>
      <c r="C679" s="16">
        <v>19</v>
      </c>
      <c r="D679" s="15" t="s">
        <v>1362</v>
      </c>
      <c r="E679" s="15" t="s">
        <v>1363</v>
      </c>
      <c r="F679" s="15">
        <v>107</v>
      </c>
      <c r="G679" s="15">
        <v>98.5</v>
      </c>
      <c r="H679" s="15">
        <v>105.5</v>
      </c>
      <c r="I679" s="15"/>
      <c r="J679" s="15">
        <v>70</v>
      </c>
      <c r="K679" s="15"/>
      <c r="L679" s="15"/>
      <c r="M679" s="15">
        <v>87</v>
      </c>
      <c r="N679" s="15">
        <v>88</v>
      </c>
      <c r="O679" s="15">
        <v>311</v>
      </c>
      <c r="P679" s="15">
        <v>556</v>
      </c>
    </row>
    <row r="680" ht="14.25" spans="1:16">
      <c r="A680" s="13">
        <v>679</v>
      </c>
      <c r="B680" s="15">
        <v>14</v>
      </c>
      <c r="C680" s="16">
        <v>20</v>
      </c>
      <c r="D680" s="15" t="s">
        <v>1364</v>
      </c>
      <c r="E680" s="15" t="s">
        <v>1365</v>
      </c>
      <c r="F680" s="15">
        <v>107.5</v>
      </c>
      <c r="G680" s="15">
        <v>101</v>
      </c>
      <c r="H680" s="15">
        <v>118.25</v>
      </c>
      <c r="I680" s="15"/>
      <c r="J680" s="15">
        <v>43.5</v>
      </c>
      <c r="K680" s="15"/>
      <c r="L680" s="15"/>
      <c r="M680" s="15">
        <v>82</v>
      </c>
      <c r="N680" s="15">
        <v>71</v>
      </c>
      <c r="O680" s="15">
        <v>326.75</v>
      </c>
      <c r="P680" s="15">
        <v>523.25</v>
      </c>
    </row>
    <row r="681" ht="14.25" spans="1:16">
      <c r="A681" s="13">
        <v>680</v>
      </c>
      <c r="B681" s="15">
        <v>14</v>
      </c>
      <c r="C681" s="16">
        <v>21</v>
      </c>
      <c r="D681" s="15" t="s">
        <v>1366</v>
      </c>
      <c r="E681" s="15" t="s">
        <v>1367</v>
      </c>
      <c r="F681" s="15">
        <v>84.5</v>
      </c>
      <c r="G681" s="15">
        <v>99.5</v>
      </c>
      <c r="H681" s="15">
        <v>115</v>
      </c>
      <c r="I681" s="15"/>
      <c r="J681" s="15">
        <v>57.5</v>
      </c>
      <c r="K681" s="15"/>
      <c r="L681" s="15"/>
      <c r="M681" s="15">
        <v>73</v>
      </c>
      <c r="N681" s="15">
        <v>86</v>
      </c>
      <c r="O681" s="15">
        <v>299</v>
      </c>
      <c r="P681" s="15">
        <v>515.5</v>
      </c>
    </row>
    <row r="682" ht="14.25" spans="1:16">
      <c r="A682" s="13">
        <v>681</v>
      </c>
      <c r="B682" s="15">
        <v>14</v>
      </c>
      <c r="C682" s="16">
        <v>22</v>
      </c>
      <c r="D682" s="15" t="s">
        <v>1368</v>
      </c>
      <c r="E682" s="15" t="s">
        <v>1369</v>
      </c>
      <c r="F682" s="15">
        <v>102</v>
      </c>
      <c r="G682" s="15">
        <v>93</v>
      </c>
      <c r="H682" s="15">
        <v>108</v>
      </c>
      <c r="I682" s="15"/>
      <c r="J682" s="15">
        <v>48.5</v>
      </c>
      <c r="K682" s="15"/>
      <c r="L682" s="15"/>
      <c r="M682" s="15">
        <v>78</v>
      </c>
      <c r="N682" s="15">
        <v>76</v>
      </c>
      <c r="O682" s="15">
        <v>303</v>
      </c>
      <c r="P682" s="15">
        <v>505.5</v>
      </c>
    </row>
    <row r="683" ht="14.25" spans="1:16">
      <c r="A683" s="13">
        <v>682</v>
      </c>
      <c r="B683" s="15">
        <v>14</v>
      </c>
      <c r="C683" s="16">
        <v>23</v>
      </c>
      <c r="D683" s="15" t="s">
        <v>1370</v>
      </c>
      <c r="E683" s="15" t="s">
        <v>1371</v>
      </c>
      <c r="F683" s="15">
        <v>107.5</v>
      </c>
      <c r="G683" s="15">
        <v>91.5</v>
      </c>
      <c r="H683" s="15">
        <v>102.5</v>
      </c>
      <c r="I683" s="15"/>
      <c r="J683" s="15">
        <v>60.5</v>
      </c>
      <c r="K683" s="15"/>
      <c r="L683" s="15"/>
      <c r="M683" s="15">
        <v>89</v>
      </c>
      <c r="N683" s="15">
        <v>83</v>
      </c>
      <c r="O683" s="15">
        <v>301.5</v>
      </c>
      <c r="P683" s="15">
        <v>534</v>
      </c>
    </row>
    <row r="684" ht="14.25" spans="1:16">
      <c r="A684" s="13">
        <v>683</v>
      </c>
      <c r="B684" s="15">
        <v>14</v>
      </c>
      <c r="C684" s="16">
        <v>24</v>
      </c>
      <c r="D684" s="15" t="s">
        <v>1372</v>
      </c>
      <c r="E684" s="15" t="s">
        <v>1373</v>
      </c>
      <c r="F684" s="15">
        <v>98.5</v>
      </c>
      <c r="G684" s="15">
        <v>102.5</v>
      </c>
      <c r="H684" s="15">
        <v>101</v>
      </c>
      <c r="I684" s="15"/>
      <c r="J684" s="15">
        <v>62.5</v>
      </c>
      <c r="K684" s="15"/>
      <c r="L684" s="15"/>
      <c r="M684" s="15">
        <v>87</v>
      </c>
      <c r="N684" s="15">
        <v>87</v>
      </c>
      <c r="O684" s="15">
        <v>302</v>
      </c>
      <c r="P684" s="15">
        <v>538.5</v>
      </c>
    </row>
    <row r="685" ht="14.25" spans="1:16">
      <c r="A685" s="13">
        <v>684</v>
      </c>
      <c r="B685" s="15">
        <v>14</v>
      </c>
      <c r="C685" s="16">
        <v>25</v>
      </c>
      <c r="D685" s="15" t="s">
        <v>1374</v>
      </c>
      <c r="E685" s="15" t="s">
        <v>1375</v>
      </c>
      <c r="F685" s="15">
        <v>107</v>
      </c>
      <c r="G685" s="15">
        <v>95</v>
      </c>
      <c r="H685" s="15">
        <v>113.25</v>
      </c>
      <c r="I685" s="15"/>
      <c r="J685" s="15">
        <v>66</v>
      </c>
      <c r="K685" s="15"/>
      <c r="L685" s="15"/>
      <c r="M685" s="15">
        <v>88</v>
      </c>
      <c r="N685" s="15">
        <v>80</v>
      </c>
      <c r="O685" s="15">
        <v>315.25</v>
      </c>
      <c r="P685" s="15">
        <v>549.25</v>
      </c>
    </row>
    <row r="686" ht="14.25" spans="1:16">
      <c r="A686" s="13">
        <v>685</v>
      </c>
      <c r="B686" s="15">
        <v>14</v>
      </c>
      <c r="C686" s="16">
        <v>26</v>
      </c>
      <c r="D686" s="15" t="s">
        <v>1376</v>
      </c>
      <c r="E686" s="15" t="s">
        <v>1377</v>
      </c>
      <c r="F686" s="15">
        <v>90.5</v>
      </c>
      <c r="G686" s="15">
        <v>86</v>
      </c>
      <c r="H686" s="15">
        <v>106.5</v>
      </c>
      <c r="I686" s="15"/>
      <c r="J686" s="15">
        <v>70.5</v>
      </c>
      <c r="K686" s="15"/>
      <c r="L686" s="15"/>
      <c r="M686" s="15">
        <v>73</v>
      </c>
      <c r="N686" s="15">
        <v>73</v>
      </c>
      <c r="O686" s="15">
        <v>283</v>
      </c>
      <c r="P686" s="15">
        <v>499.5</v>
      </c>
    </row>
    <row r="687" ht="14.25" spans="1:16">
      <c r="A687" s="13">
        <v>686</v>
      </c>
      <c r="B687" s="15">
        <v>14</v>
      </c>
      <c r="C687" s="16">
        <v>27</v>
      </c>
      <c r="D687" s="15" t="s">
        <v>1378</v>
      </c>
      <c r="E687" s="15" t="s">
        <v>1379</v>
      </c>
      <c r="F687" s="15">
        <v>98.5</v>
      </c>
      <c r="G687" s="15">
        <v>106</v>
      </c>
      <c r="H687" s="15">
        <v>78</v>
      </c>
      <c r="I687" s="15"/>
      <c r="J687" s="15">
        <v>51.5</v>
      </c>
      <c r="K687" s="15"/>
      <c r="L687" s="15"/>
      <c r="M687" s="15">
        <v>72</v>
      </c>
      <c r="N687" s="15">
        <v>64</v>
      </c>
      <c r="O687" s="15">
        <v>282.5</v>
      </c>
      <c r="P687" s="15">
        <v>470</v>
      </c>
    </row>
    <row r="688" ht="14.25" spans="1:16">
      <c r="A688" s="13">
        <v>687</v>
      </c>
      <c r="B688" s="15">
        <v>14</v>
      </c>
      <c r="C688" s="16">
        <v>28</v>
      </c>
      <c r="D688" s="15" t="s">
        <v>1380</v>
      </c>
      <c r="E688" s="15" t="s">
        <v>1381</v>
      </c>
      <c r="F688" s="15">
        <v>102.5</v>
      </c>
      <c r="G688" s="15">
        <v>92</v>
      </c>
      <c r="H688" s="15">
        <v>101</v>
      </c>
      <c r="I688" s="15"/>
      <c r="J688" s="15">
        <v>59.5</v>
      </c>
      <c r="K688" s="15"/>
      <c r="L688" s="15"/>
      <c r="M688" s="15">
        <v>78</v>
      </c>
      <c r="N688" s="15">
        <v>77</v>
      </c>
      <c r="O688" s="15">
        <v>295.5</v>
      </c>
      <c r="P688" s="15">
        <v>510</v>
      </c>
    </row>
    <row r="689" ht="14.25" spans="1:16">
      <c r="A689" s="13">
        <v>688</v>
      </c>
      <c r="B689" s="15">
        <v>14</v>
      </c>
      <c r="C689" s="16">
        <v>29</v>
      </c>
      <c r="D689" s="15" t="s">
        <v>1382</v>
      </c>
      <c r="E689" s="15" t="s">
        <v>1383</v>
      </c>
      <c r="F689" s="15">
        <v>89.5</v>
      </c>
      <c r="G689" s="15">
        <v>97.5</v>
      </c>
      <c r="H689" s="15">
        <v>74</v>
      </c>
      <c r="I689" s="15"/>
      <c r="J689" s="15">
        <v>45</v>
      </c>
      <c r="K689" s="15"/>
      <c r="L689" s="15"/>
      <c r="M689" s="15">
        <v>70</v>
      </c>
      <c r="N689" s="15">
        <v>74</v>
      </c>
      <c r="O689" s="15">
        <v>261</v>
      </c>
      <c r="P689" s="15">
        <v>450</v>
      </c>
    </row>
    <row r="690" ht="14.25" spans="1:16">
      <c r="A690" s="13">
        <v>689</v>
      </c>
      <c r="B690" s="15">
        <v>14</v>
      </c>
      <c r="C690" s="16">
        <v>30</v>
      </c>
      <c r="D690" s="15" t="s">
        <v>1384</v>
      </c>
      <c r="E690" s="15" t="s">
        <v>1385</v>
      </c>
      <c r="F690" s="15">
        <v>92</v>
      </c>
      <c r="G690" s="15">
        <v>79</v>
      </c>
      <c r="H690" s="15">
        <v>72.5</v>
      </c>
      <c r="I690" s="15"/>
      <c r="J690" s="15">
        <v>45</v>
      </c>
      <c r="K690" s="15"/>
      <c r="L690" s="15"/>
      <c r="M690" s="15">
        <v>68</v>
      </c>
      <c r="N690" s="15">
        <v>86</v>
      </c>
      <c r="O690" s="15">
        <v>243.5</v>
      </c>
      <c r="P690" s="15">
        <v>442.5</v>
      </c>
    </row>
    <row r="691" ht="14.25" spans="1:16">
      <c r="A691" s="13">
        <v>690</v>
      </c>
      <c r="B691" s="15">
        <v>14</v>
      </c>
      <c r="C691" s="16">
        <v>31</v>
      </c>
      <c r="D691" s="15" t="s">
        <v>1386</v>
      </c>
      <c r="E691" s="15" t="s">
        <v>1387</v>
      </c>
      <c r="F691" s="15">
        <v>91.5</v>
      </c>
      <c r="G691" s="15">
        <v>106.5</v>
      </c>
      <c r="H691" s="15">
        <v>110</v>
      </c>
      <c r="I691" s="15"/>
      <c r="J691" s="15">
        <v>55</v>
      </c>
      <c r="K691" s="15"/>
      <c r="L691" s="15"/>
      <c r="M691" s="15">
        <v>88</v>
      </c>
      <c r="N691" s="15">
        <v>79</v>
      </c>
      <c r="O691" s="15">
        <v>308</v>
      </c>
      <c r="P691" s="15">
        <v>530</v>
      </c>
    </row>
    <row r="692" ht="14.25" spans="1:16">
      <c r="A692" s="13">
        <v>691</v>
      </c>
      <c r="B692" s="15">
        <v>14</v>
      </c>
      <c r="C692" s="16">
        <v>33</v>
      </c>
      <c r="D692" s="15" t="s">
        <v>1388</v>
      </c>
      <c r="E692" s="15" t="s">
        <v>1389</v>
      </c>
      <c r="F692" s="15">
        <v>100.5</v>
      </c>
      <c r="G692" s="15">
        <v>112</v>
      </c>
      <c r="H692" s="15">
        <v>90.5</v>
      </c>
      <c r="I692" s="15"/>
      <c r="J692" s="15">
        <v>56</v>
      </c>
      <c r="K692" s="15"/>
      <c r="L692" s="15"/>
      <c r="M692" s="15">
        <v>88</v>
      </c>
      <c r="N692" s="15">
        <v>74</v>
      </c>
      <c r="O692" s="15">
        <v>303</v>
      </c>
      <c r="P692" s="15">
        <v>521</v>
      </c>
    </row>
    <row r="693" ht="14.25" spans="1:16">
      <c r="A693" s="13">
        <v>692</v>
      </c>
      <c r="B693" s="15">
        <v>14</v>
      </c>
      <c r="C693" s="16">
        <v>34</v>
      </c>
      <c r="D693" s="15" t="s">
        <v>1390</v>
      </c>
      <c r="E693" s="15" t="s">
        <v>1115</v>
      </c>
      <c r="F693" s="15">
        <v>104</v>
      </c>
      <c r="G693" s="15">
        <v>94</v>
      </c>
      <c r="H693" s="15">
        <v>114</v>
      </c>
      <c r="I693" s="15"/>
      <c r="J693" s="15">
        <v>60</v>
      </c>
      <c r="K693" s="15"/>
      <c r="L693" s="15"/>
      <c r="M693" s="15">
        <v>82</v>
      </c>
      <c r="N693" s="15">
        <v>73</v>
      </c>
      <c r="O693" s="15">
        <v>312</v>
      </c>
      <c r="P693" s="15">
        <v>527</v>
      </c>
    </row>
    <row r="694" ht="14.25" spans="1:16">
      <c r="A694" s="13">
        <v>693</v>
      </c>
      <c r="B694" s="15">
        <v>14</v>
      </c>
      <c r="C694" s="16">
        <v>35</v>
      </c>
      <c r="D694" s="15" t="s">
        <v>1391</v>
      </c>
      <c r="E694" s="15" t="s">
        <v>1392</v>
      </c>
      <c r="F694" s="15">
        <v>100</v>
      </c>
      <c r="G694" s="15">
        <v>100</v>
      </c>
      <c r="H694" s="15">
        <v>92</v>
      </c>
      <c r="I694" s="15"/>
      <c r="J694" s="15">
        <v>62.5</v>
      </c>
      <c r="K694" s="15"/>
      <c r="L694" s="15"/>
      <c r="M694" s="15">
        <v>69</v>
      </c>
      <c r="N694" s="15">
        <v>74</v>
      </c>
      <c r="O694" s="15">
        <v>292</v>
      </c>
      <c r="P694" s="15">
        <v>497.5</v>
      </c>
    </row>
    <row r="695" ht="14.25" spans="1:16">
      <c r="A695" s="13">
        <v>694</v>
      </c>
      <c r="B695" s="15">
        <v>14</v>
      </c>
      <c r="C695" s="16">
        <v>36</v>
      </c>
      <c r="D695" s="15" t="s">
        <v>1393</v>
      </c>
      <c r="E695" s="15" t="s">
        <v>1394</v>
      </c>
      <c r="F695" s="15">
        <v>103</v>
      </c>
      <c r="G695" s="15">
        <v>88.5</v>
      </c>
      <c r="H695" s="15">
        <v>98.5</v>
      </c>
      <c r="I695" s="15"/>
      <c r="J695" s="15">
        <v>53.5</v>
      </c>
      <c r="K695" s="15"/>
      <c r="L695" s="15"/>
      <c r="M695" s="15">
        <v>85</v>
      </c>
      <c r="N695" s="15">
        <v>81</v>
      </c>
      <c r="O695" s="15">
        <v>290</v>
      </c>
      <c r="P695" s="15">
        <v>509.5</v>
      </c>
    </row>
    <row r="696" ht="14.25" spans="1:16">
      <c r="A696" s="13">
        <v>695</v>
      </c>
      <c r="B696" s="15">
        <v>14</v>
      </c>
      <c r="C696" s="16">
        <v>37</v>
      </c>
      <c r="D696" s="15" t="s">
        <v>1395</v>
      </c>
      <c r="E696" s="15" t="s">
        <v>1396</v>
      </c>
      <c r="F696" s="15">
        <v>102.5</v>
      </c>
      <c r="G696" s="15">
        <v>91</v>
      </c>
      <c r="H696" s="15">
        <v>97</v>
      </c>
      <c r="I696" s="15"/>
      <c r="J696" s="15">
        <v>59.5</v>
      </c>
      <c r="K696" s="15"/>
      <c r="L696" s="15"/>
      <c r="M696" s="15">
        <v>82</v>
      </c>
      <c r="N696" s="15">
        <v>71</v>
      </c>
      <c r="O696" s="15">
        <v>290.5</v>
      </c>
      <c r="P696" s="15">
        <v>503</v>
      </c>
    </row>
    <row r="697" ht="14.25" spans="1:16">
      <c r="A697" s="13">
        <v>696</v>
      </c>
      <c r="B697" s="15">
        <v>14</v>
      </c>
      <c r="C697" s="16">
        <v>38</v>
      </c>
      <c r="D697" s="15" t="s">
        <v>1397</v>
      </c>
      <c r="E697" s="15" t="s">
        <v>95</v>
      </c>
      <c r="F697" s="15">
        <v>106</v>
      </c>
      <c r="G697" s="15">
        <v>90.5</v>
      </c>
      <c r="H697" s="15">
        <v>82</v>
      </c>
      <c r="I697" s="15"/>
      <c r="J697" s="15">
        <v>54.5</v>
      </c>
      <c r="K697" s="15"/>
      <c r="L697" s="15"/>
      <c r="M697" s="15">
        <v>61</v>
      </c>
      <c r="N697" s="15">
        <v>62</v>
      </c>
      <c r="O697" s="15">
        <v>278.5</v>
      </c>
      <c r="P697" s="15">
        <v>456</v>
      </c>
    </row>
    <row r="698" ht="14.25" spans="1:16">
      <c r="A698" s="13">
        <v>697</v>
      </c>
      <c r="B698" s="15">
        <v>14</v>
      </c>
      <c r="C698" s="16">
        <v>39</v>
      </c>
      <c r="D698" s="15" t="s">
        <v>1398</v>
      </c>
      <c r="E698" s="15" t="s">
        <v>1399</v>
      </c>
      <c r="F698" s="15">
        <v>108.25</v>
      </c>
      <c r="G698" s="15">
        <v>57</v>
      </c>
      <c r="H698" s="15">
        <v>104.5</v>
      </c>
      <c r="I698" s="15"/>
      <c r="J698" s="15">
        <v>52</v>
      </c>
      <c r="K698" s="15"/>
      <c r="L698" s="15"/>
      <c r="M698" s="15">
        <v>80</v>
      </c>
      <c r="N698" s="15">
        <v>70</v>
      </c>
      <c r="O698" s="15">
        <v>269.75</v>
      </c>
      <c r="P698" s="15">
        <v>471.75</v>
      </c>
    </row>
    <row r="699" ht="14.25" spans="1:16">
      <c r="A699" s="13">
        <v>698</v>
      </c>
      <c r="B699" s="15">
        <v>14</v>
      </c>
      <c r="C699" s="16">
        <v>40</v>
      </c>
      <c r="D699" s="15" t="s">
        <v>1400</v>
      </c>
      <c r="E699" s="15" t="s">
        <v>1401</v>
      </c>
      <c r="F699" s="15">
        <v>101</v>
      </c>
      <c r="G699" s="15">
        <v>89.5</v>
      </c>
      <c r="H699" s="15">
        <v>100.5</v>
      </c>
      <c r="I699" s="15"/>
      <c r="J699" s="15">
        <v>58</v>
      </c>
      <c r="K699" s="15"/>
      <c r="L699" s="15"/>
      <c r="M699" s="15">
        <v>87</v>
      </c>
      <c r="N699" s="15">
        <v>76</v>
      </c>
      <c r="O699" s="15">
        <v>291</v>
      </c>
      <c r="P699" s="15">
        <v>512</v>
      </c>
    </row>
    <row r="700" ht="14.25" spans="1:16">
      <c r="A700" s="13">
        <v>699</v>
      </c>
      <c r="B700" s="15">
        <v>14</v>
      </c>
      <c r="C700" s="16">
        <v>41</v>
      </c>
      <c r="D700" s="15" t="s">
        <v>1402</v>
      </c>
      <c r="E700" s="15" t="s">
        <v>1403</v>
      </c>
      <c r="F700" s="15">
        <v>95.25</v>
      </c>
      <c r="G700" s="15">
        <v>77</v>
      </c>
      <c r="H700" s="15">
        <v>105.25</v>
      </c>
      <c r="I700" s="15"/>
      <c r="J700" s="15">
        <v>52</v>
      </c>
      <c r="K700" s="15"/>
      <c r="L700" s="15"/>
      <c r="M700" s="15">
        <v>82</v>
      </c>
      <c r="N700" s="15">
        <v>68</v>
      </c>
      <c r="O700" s="15">
        <v>277.5</v>
      </c>
      <c r="P700" s="15">
        <v>479.5</v>
      </c>
    </row>
    <row r="701" ht="14.25" spans="1:16">
      <c r="A701" s="13">
        <v>700</v>
      </c>
      <c r="B701" s="15">
        <v>14</v>
      </c>
      <c r="C701" s="16">
        <v>42</v>
      </c>
      <c r="D701" s="15" t="s">
        <v>1404</v>
      </c>
      <c r="E701" s="15" t="s">
        <v>1405</v>
      </c>
      <c r="F701" s="15">
        <v>97.25</v>
      </c>
      <c r="G701" s="15">
        <v>84.5</v>
      </c>
      <c r="H701" s="15">
        <v>104.5</v>
      </c>
      <c r="I701" s="15"/>
      <c r="J701" s="15">
        <v>60.5</v>
      </c>
      <c r="K701" s="15"/>
      <c r="L701" s="15"/>
      <c r="M701" s="15">
        <v>88</v>
      </c>
      <c r="N701" s="15">
        <v>82</v>
      </c>
      <c r="O701" s="15">
        <v>286.25</v>
      </c>
      <c r="P701" s="15">
        <v>516.75</v>
      </c>
    </row>
    <row r="702" ht="14.25" spans="1:16">
      <c r="A702" s="13">
        <v>701</v>
      </c>
      <c r="B702" s="15">
        <v>14</v>
      </c>
      <c r="C702" s="16">
        <v>43</v>
      </c>
      <c r="D702" s="15" t="s">
        <v>1406</v>
      </c>
      <c r="E702" s="15" t="s">
        <v>1407</v>
      </c>
      <c r="F702" s="15">
        <v>98</v>
      </c>
      <c r="G702" s="15">
        <v>69</v>
      </c>
      <c r="H702" s="15">
        <v>105.5</v>
      </c>
      <c r="I702" s="15"/>
      <c r="J702" s="15">
        <v>54.5</v>
      </c>
      <c r="K702" s="15"/>
      <c r="L702" s="15"/>
      <c r="M702" s="15">
        <v>78</v>
      </c>
      <c r="N702" s="15">
        <v>79</v>
      </c>
      <c r="O702" s="15">
        <v>272.5</v>
      </c>
      <c r="P702" s="15">
        <v>484</v>
      </c>
    </row>
    <row r="703" ht="14.25" spans="1:16">
      <c r="A703" s="13">
        <v>702</v>
      </c>
      <c r="B703" s="15">
        <v>14</v>
      </c>
      <c r="C703" s="16">
        <v>44</v>
      </c>
      <c r="D703" s="15" t="s">
        <v>1408</v>
      </c>
      <c r="E703" s="15" t="s">
        <v>1409</v>
      </c>
      <c r="F703" s="15">
        <v>104.5</v>
      </c>
      <c r="G703" s="15">
        <v>74.5</v>
      </c>
      <c r="H703" s="15">
        <v>117.5</v>
      </c>
      <c r="I703" s="15"/>
      <c r="J703" s="15">
        <v>51.5</v>
      </c>
      <c r="K703" s="15"/>
      <c r="L703" s="15"/>
      <c r="M703" s="15">
        <v>90</v>
      </c>
      <c r="N703" s="15">
        <v>80</v>
      </c>
      <c r="O703" s="15">
        <v>296.5</v>
      </c>
      <c r="P703" s="15">
        <v>518</v>
      </c>
    </row>
    <row r="704" ht="14.25" spans="1:16">
      <c r="A704" s="13">
        <v>703</v>
      </c>
      <c r="B704" s="15">
        <v>14</v>
      </c>
      <c r="C704" s="16">
        <v>45</v>
      </c>
      <c r="D704" s="15" t="s">
        <v>1410</v>
      </c>
      <c r="E704" s="15" t="s">
        <v>1411</v>
      </c>
      <c r="F704" s="15">
        <v>102.5</v>
      </c>
      <c r="G704" s="15">
        <v>102.5</v>
      </c>
      <c r="H704" s="15">
        <v>84.5</v>
      </c>
      <c r="I704" s="15"/>
      <c r="J704" s="15">
        <v>47</v>
      </c>
      <c r="K704" s="15"/>
      <c r="L704" s="15"/>
      <c r="M704" s="15">
        <v>86</v>
      </c>
      <c r="N704" s="15">
        <v>84</v>
      </c>
      <c r="O704" s="15">
        <v>289.5</v>
      </c>
      <c r="P704" s="15">
        <v>506.5</v>
      </c>
    </row>
    <row r="705" ht="14.25" spans="1:16">
      <c r="A705" s="13">
        <v>704</v>
      </c>
      <c r="B705" s="15">
        <v>15</v>
      </c>
      <c r="C705" s="16">
        <v>1</v>
      </c>
      <c r="D705" s="15" t="s">
        <v>1412</v>
      </c>
      <c r="E705" s="15" t="s">
        <v>1413</v>
      </c>
      <c r="F705" s="15">
        <v>97.5</v>
      </c>
      <c r="G705" s="15">
        <v>89</v>
      </c>
      <c r="H705" s="15">
        <v>109.5</v>
      </c>
      <c r="I705" s="15"/>
      <c r="J705" s="15">
        <v>51.5</v>
      </c>
      <c r="K705" s="15"/>
      <c r="L705" s="15"/>
      <c r="M705" s="15">
        <v>86</v>
      </c>
      <c r="N705" s="15">
        <v>76</v>
      </c>
      <c r="O705" s="15">
        <v>296</v>
      </c>
      <c r="P705" s="15">
        <v>509.5</v>
      </c>
    </row>
    <row r="706" ht="14.25" spans="1:16">
      <c r="A706" s="13">
        <v>705</v>
      </c>
      <c r="B706" s="15">
        <v>15</v>
      </c>
      <c r="C706" s="16">
        <v>2</v>
      </c>
      <c r="D706" s="15" t="s">
        <v>1414</v>
      </c>
      <c r="E706" s="15" t="s">
        <v>1415</v>
      </c>
      <c r="F706" s="15">
        <v>110.5</v>
      </c>
      <c r="G706" s="15">
        <v>114</v>
      </c>
      <c r="H706" s="15">
        <v>93</v>
      </c>
      <c r="I706" s="15"/>
      <c r="J706" s="15">
        <v>62.5</v>
      </c>
      <c r="K706" s="15"/>
      <c r="L706" s="15"/>
      <c r="M706" s="15">
        <v>87</v>
      </c>
      <c r="N706" s="15">
        <v>87</v>
      </c>
      <c r="O706" s="15">
        <v>317.5</v>
      </c>
      <c r="P706" s="15">
        <v>554</v>
      </c>
    </row>
    <row r="707" ht="14.25" spans="1:16">
      <c r="A707" s="13">
        <v>706</v>
      </c>
      <c r="B707" s="15">
        <v>15</v>
      </c>
      <c r="C707" s="16">
        <v>3</v>
      </c>
      <c r="D707" s="15" t="s">
        <v>1416</v>
      </c>
      <c r="E707" s="15" t="s">
        <v>1417</v>
      </c>
      <c r="F707" s="15">
        <v>99.5</v>
      </c>
      <c r="G707" s="15">
        <v>63</v>
      </c>
      <c r="H707" s="15">
        <v>105</v>
      </c>
      <c r="I707" s="15"/>
      <c r="J707" s="15">
        <v>51.5</v>
      </c>
      <c r="K707" s="15"/>
      <c r="L707" s="15"/>
      <c r="M707" s="15">
        <v>75</v>
      </c>
      <c r="N707" s="15">
        <v>56</v>
      </c>
      <c r="O707" s="15">
        <v>267.5</v>
      </c>
      <c r="P707" s="15">
        <v>450</v>
      </c>
    </row>
    <row r="708" ht="14.25" spans="1:16">
      <c r="A708" s="13">
        <v>707</v>
      </c>
      <c r="B708" s="15">
        <v>15</v>
      </c>
      <c r="C708" s="16">
        <v>5</v>
      </c>
      <c r="D708" s="15" t="s">
        <v>1418</v>
      </c>
      <c r="E708" s="15" t="s">
        <v>1363</v>
      </c>
      <c r="F708" s="15">
        <v>105</v>
      </c>
      <c r="G708" s="15">
        <v>86</v>
      </c>
      <c r="H708" s="15">
        <v>94.5</v>
      </c>
      <c r="I708" s="15"/>
      <c r="J708" s="15">
        <v>55</v>
      </c>
      <c r="K708" s="15"/>
      <c r="L708" s="15"/>
      <c r="M708" s="15">
        <v>92</v>
      </c>
      <c r="N708" s="15">
        <v>77</v>
      </c>
      <c r="O708" s="15">
        <v>285.5</v>
      </c>
      <c r="P708" s="15">
        <v>509.5</v>
      </c>
    </row>
    <row r="709" ht="14.25" spans="1:16">
      <c r="A709" s="13">
        <v>708</v>
      </c>
      <c r="B709" s="15">
        <v>15</v>
      </c>
      <c r="C709" s="16">
        <v>6</v>
      </c>
      <c r="D709" s="15" t="s">
        <v>1419</v>
      </c>
      <c r="E709" s="15" t="s">
        <v>1420</v>
      </c>
      <c r="F709" s="15">
        <v>100.5</v>
      </c>
      <c r="G709" s="15">
        <v>112.5</v>
      </c>
      <c r="H709" s="15">
        <v>93.5</v>
      </c>
      <c r="I709" s="15"/>
      <c r="J709" s="15">
        <v>62.5</v>
      </c>
      <c r="K709" s="15"/>
      <c r="L709" s="15"/>
      <c r="M709" s="15">
        <v>90</v>
      </c>
      <c r="N709" s="15">
        <v>72</v>
      </c>
      <c r="O709" s="15">
        <v>306.5</v>
      </c>
      <c r="P709" s="15">
        <v>531</v>
      </c>
    </row>
    <row r="710" ht="14.25" spans="1:16">
      <c r="A710" s="13">
        <v>709</v>
      </c>
      <c r="B710" s="15">
        <v>15</v>
      </c>
      <c r="C710" s="16">
        <v>7</v>
      </c>
      <c r="D710" s="15" t="s">
        <v>1421</v>
      </c>
      <c r="E710" s="15" t="s">
        <v>1422</v>
      </c>
      <c r="F710" s="15">
        <v>99</v>
      </c>
      <c r="G710" s="15">
        <v>85.5</v>
      </c>
      <c r="H710" s="15">
        <v>109.25</v>
      </c>
      <c r="I710" s="15"/>
      <c r="J710" s="15">
        <v>57.5</v>
      </c>
      <c r="K710" s="15"/>
      <c r="L710" s="15"/>
      <c r="M710" s="15">
        <v>80</v>
      </c>
      <c r="N710" s="15">
        <v>87</v>
      </c>
      <c r="O710" s="15">
        <v>293.75</v>
      </c>
      <c r="P710" s="15">
        <v>518.25</v>
      </c>
    </row>
    <row r="711" ht="14.25" spans="1:16">
      <c r="A711" s="13">
        <v>710</v>
      </c>
      <c r="B711" s="15">
        <v>15</v>
      </c>
      <c r="C711" s="16">
        <v>8</v>
      </c>
      <c r="D711" s="15" t="s">
        <v>1423</v>
      </c>
      <c r="E711" s="15" t="s">
        <v>1424</v>
      </c>
      <c r="F711" s="15">
        <v>87.25</v>
      </c>
      <c r="G711" s="15">
        <v>74.5</v>
      </c>
      <c r="H711" s="15">
        <v>89</v>
      </c>
      <c r="I711" s="15"/>
      <c r="J711" s="15">
        <v>48.5</v>
      </c>
      <c r="K711" s="15"/>
      <c r="L711" s="15"/>
      <c r="M711" s="15">
        <v>82</v>
      </c>
      <c r="N711" s="15">
        <v>60</v>
      </c>
      <c r="O711" s="15">
        <v>250.75</v>
      </c>
      <c r="P711" s="15">
        <v>441.25</v>
      </c>
    </row>
    <row r="712" ht="14.25" spans="1:16">
      <c r="A712" s="13">
        <v>711</v>
      </c>
      <c r="B712" s="15">
        <v>15</v>
      </c>
      <c r="C712" s="16">
        <v>9</v>
      </c>
      <c r="D712" s="15" t="s">
        <v>1425</v>
      </c>
      <c r="E712" s="15" t="s">
        <v>1426</v>
      </c>
      <c r="F712" s="15">
        <v>98</v>
      </c>
      <c r="G712" s="15">
        <v>76.5</v>
      </c>
      <c r="H712" s="15">
        <v>85.5</v>
      </c>
      <c r="I712" s="15"/>
      <c r="J712" s="15">
        <v>56.5</v>
      </c>
      <c r="K712" s="15"/>
      <c r="L712" s="15"/>
      <c r="M712" s="15">
        <v>83</v>
      </c>
      <c r="N712" s="15">
        <v>81</v>
      </c>
      <c r="O712" s="15">
        <v>260</v>
      </c>
      <c r="P712" s="15">
        <v>480.5</v>
      </c>
    </row>
    <row r="713" ht="14.25" spans="1:16">
      <c r="A713" s="13">
        <v>712</v>
      </c>
      <c r="B713" s="15">
        <v>15</v>
      </c>
      <c r="C713" s="16">
        <v>11</v>
      </c>
      <c r="D713" s="15" t="s">
        <v>1427</v>
      </c>
      <c r="E713" s="15" t="s">
        <v>1428</v>
      </c>
      <c r="F713" s="15">
        <v>90</v>
      </c>
      <c r="G713" s="15">
        <v>118</v>
      </c>
      <c r="H713" s="15">
        <v>81.5</v>
      </c>
      <c r="I713" s="15"/>
      <c r="J713" s="15">
        <v>51.5</v>
      </c>
      <c r="K713" s="15"/>
      <c r="L713" s="15"/>
      <c r="M713" s="15">
        <v>88</v>
      </c>
      <c r="N713" s="15">
        <v>87</v>
      </c>
      <c r="O713" s="15">
        <v>289.5</v>
      </c>
      <c r="P713" s="15">
        <v>516</v>
      </c>
    </row>
    <row r="714" ht="14.25" spans="1:16">
      <c r="A714" s="13">
        <v>713</v>
      </c>
      <c r="B714" s="15">
        <v>15</v>
      </c>
      <c r="C714" s="16">
        <v>12</v>
      </c>
      <c r="D714" s="15" t="s">
        <v>1429</v>
      </c>
      <c r="E714" s="15" t="s">
        <v>1430</v>
      </c>
      <c r="F714" s="15">
        <v>109</v>
      </c>
      <c r="G714" s="15">
        <v>90.5</v>
      </c>
      <c r="H714" s="15">
        <v>87.25</v>
      </c>
      <c r="I714" s="15"/>
      <c r="J714" s="15">
        <v>50.25</v>
      </c>
      <c r="K714" s="15"/>
      <c r="L714" s="15"/>
      <c r="M714" s="15">
        <v>80</v>
      </c>
      <c r="N714" s="15">
        <v>79</v>
      </c>
      <c r="O714" s="15">
        <v>286.75</v>
      </c>
      <c r="P714" s="15">
        <v>496</v>
      </c>
    </row>
    <row r="715" ht="14.25" spans="1:16">
      <c r="A715" s="13">
        <v>714</v>
      </c>
      <c r="B715" s="15">
        <v>15</v>
      </c>
      <c r="C715" s="16">
        <v>13</v>
      </c>
      <c r="D715" s="15" t="s">
        <v>1431</v>
      </c>
      <c r="E715" s="15" t="s">
        <v>1432</v>
      </c>
      <c r="F715" s="15">
        <v>113</v>
      </c>
      <c r="G715" s="15">
        <v>111</v>
      </c>
      <c r="H715" s="15">
        <v>110.75</v>
      </c>
      <c r="I715" s="15"/>
      <c r="J715" s="15">
        <v>64.5</v>
      </c>
      <c r="K715" s="15"/>
      <c r="L715" s="15"/>
      <c r="M715" s="15">
        <v>82</v>
      </c>
      <c r="N715" s="15">
        <v>87</v>
      </c>
      <c r="O715" s="15">
        <v>334.75</v>
      </c>
      <c r="P715" s="15">
        <v>568.25</v>
      </c>
    </row>
    <row r="716" ht="14.25" spans="1:16">
      <c r="A716" s="13">
        <v>715</v>
      </c>
      <c r="B716" s="15">
        <v>15</v>
      </c>
      <c r="C716" s="16">
        <v>14</v>
      </c>
      <c r="D716" s="15" t="s">
        <v>1433</v>
      </c>
      <c r="E716" s="15" t="s">
        <v>1434</v>
      </c>
      <c r="F716" s="15">
        <v>98.5</v>
      </c>
      <c r="G716" s="15">
        <v>110.5</v>
      </c>
      <c r="H716" s="15">
        <v>102.5</v>
      </c>
      <c r="I716" s="15"/>
      <c r="J716" s="15">
        <v>56.5</v>
      </c>
      <c r="K716" s="15"/>
      <c r="L716" s="15"/>
      <c r="M716" s="15">
        <v>71</v>
      </c>
      <c r="N716" s="15">
        <v>88</v>
      </c>
      <c r="O716" s="15">
        <v>311.5</v>
      </c>
      <c r="P716" s="15">
        <v>527</v>
      </c>
    </row>
    <row r="717" ht="14.25" spans="1:16">
      <c r="A717" s="13">
        <v>716</v>
      </c>
      <c r="B717" s="15">
        <v>15</v>
      </c>
      <c r="C717" s="16">
        <v>15</v>
      </c>
      <c r="D717" s="15" t="s">
        <v>1435</v>
      </c>
      <c r="E717" s="15" t="s">
        <v>1436</v>
      </c>
      <c r="F717" s="15">
        <v>93</v>
      </c>
      <c r="G717" s="15">
        <v>87.5</v>
      </c>
      <c r="H717" s="15">
        <v>121.25</v>
      </c>
      <c r="I717" s="15"/>
      <c r="J717" s="15">
        <v>52</v>
      </c>
      <c r="K717" s="15"/>
      <c r="L717" s="15"/>
      <c r="M717" s="15">
        <v>69</v>
      </c>
      <c r="N717" s="15">
        <v>86</v>
      </c>
      <c r="O717" s="15">
        <v>301.75</v>
      </c>
      <c r="P717" s="15">
        <v>508.75</v>
      </c>
    </row>
    <row r="718" ht="14.25" spans="1:16">
      <c r="A718" s="13">
        <v>717</v>
      </c>
      <c r="B718" s="15">
        <v>15</v>
      </c>
      <c r="C718" s="16">
        <v>16</v>
      </c>
      <c r="D718" s="15" t="s">
        <v>1437</v>
      </c>
      <c r="E718" s="15" t="s">
        <v>1438</v>
      </c>
      <c r="F718" s="15">
        <v>107.5</v>
      </c>
      <c r="G718" s="15">
        <v>88.5</v>
      </c>
      <c r="H718" s="15">
        <v>129</v>
      </c>
      <c r="I718" s="15"/>
      <c r="J718" s="15">
        <v>52</v>
      </c>
      <c r="K718" s="15"/>
      <c r="L718" s="15"/>
      <c r="M718" s="15">
        <v>81</v>
      </c>
      <c r="N718" s="15">
        <v>89</v>
      </c>
      <c r="O718" s="15">
        <v>325</v>
      </c>
      <c r="P718" s="15">
        <v>547</v>
      </c>
    </row>
    <row r="719" ht="14.25" spans="1:16">
      <c r="A719" s="13">
        <v>718</v>
      </c>
      <c r="B719" s="15">
        <v>15</v>
      </c>
      <c r="C719" s="16">
        <v>17</v>
      </c>
      <c r="D719" s="15" t="s">
        <v>1439</v>
      </c>
      <c r="E719" s="15" t="s">
        <v>1440</v>
      </c>
      <c r="F719" s="15">
        <v>96</v>
      </c>
      <c r="G719" s="15">
        <v>102</v>
      </c>
      <c r="H719" s="15">
        <v>88.5</v>
      </c>
      <c r="I719" s="15"/>
      <c r="J719" s="15">
        <v>57.5</v>
      </c>
      <c r="K719" s="15"/>
      <c r="L719" s="15"/>
      <c r="M719" s="15">
        <v>89</v>
      </c>
      <c r="N719" s="15">
        <v>87</v>
      </c>
      <c r="O719" s="15">
        <v>286.5</v>
      </c>
      <c r="P719" s="15">
        <v>520</v>
      </c>
    </row>
    <row r="720" ht="14.25" spans="1:16">
      <c r="A720" s="13">
        <v>719</v>
      </c>
      <c r="B720" s="15">
        <v>15</v>
      </c>
      <c r="C720" s="16">
        <v>18</v>
      </c>
      <c r="D720" s="15" t="s">
        <v>1441</v>
      </c>
      <c r="E720" s="15" t="s">
        <v>1442</v>
      </c>
      <c r="F720" s="15">
        <v>105.5</v>
      </c>
      <c r="G720" s="15">
        <v>91</v>
      </c>
      <c r="H720" s="15">
        <v>116.25</v>
      </c>
      <c r="I720" s="15"/>
      <c r="J720" s="15">
        <v>58</v>
      </c>
      <c r="K720" s="15"/>
      <c r="L720" s="15"/>
      <c r="M720" s="15">
        <v>76</v>
      </c>
      <c r="N720" s="15">
        <v>86</v>
      </c>
      <c r="O720" s="15">
        <v>312.75</v>
      </c>
      <c r="P720" s="15">
        <v>532.75</v>
      </c>
    </row>
    <row r="721" ht="14.25" spans="1:16">
      <c r="A721" s="13">
        <v>720</v>
      </c>
      <c r="B721" s="15">
        <v>15</v>
      </c>
      <c r="C721" s="16">
        <v>19</v>
      </c>
      <c r="D721" s="15" t="s">
        <v>1443</v>
      </c>
      <c r="E721" s="15" t="s">
        <v>1444</v>
      </c>
      <c r="F721" s="15">
        <v>95.25</v>
      </c>
      <c r="G721" s="15">
        <v>63</v>
      </c>
      <c r="H721" s="15">
        <v>92.75</v>
      </c>
      <c r="I721" s="15"/>
      <c r="J721" s="15">
        <v>41</v>
      </c>
      <c r="K721" s="15"/>
      <c r="L721" s="15"/>
      <c r="M721" s="15">
        <v>89</v>
      </c>
      <c r="N721" s="15">
        <v>91</v>
      </c>
      <c r="O721" s="15">
        <v>251</v>
      </c>
      <c r="P721" s="15">
        <v>472</v>
      </c>
    </row>
    <row r="722" ht="14.25" spans="1:16">
      <c r="A722" s="13">
        <v>721</v>
      </c>
      <c r="B722" s="15">
        <v>15</v>
      </c>
      <c r="C722" s="16">
        <v>20</v>
      </c>
      <c r="D722" s="15" t="s">
        <v>1445</v>
      </c>
      <c r="E722" s="15" t="s">
        <v>1446</v>
      </c>
      <c r="F722" s="15">
        <v>94.5</v>
      </c>
      <c r="G722" s="15">
        <v>110.5</v>
      </c>
      <c r="H722" s="15">
        <v>110</v>
      </c>
      <c r="I722" s="15"/>
      <c r="J722" s="15">
        <v>63</v>
      </c>
      <c r="K722" s="15"/>
      <c r="L722" s="15"/>
      <c r="M722" s="15">
        <v>87</v>
      </c>
      <c r="N722" s="15">
        <v>78</v>
      </c>
      <c r="O722" s="15">
        <v>315</v>
      </c>
      <c r="P722" s="15">
        <v>543</v>
      </c>
    </row>
    <row r="723" ht="14.25" spans="1:16">
      <c r="A723" s="13">
        <v>722</v>
      </c>
      <c r="B723" s="15">
        <v>15</v>
      </c>
      <c r="C723" s="16">
        <v>21</v>
      </c>
      <c r="D723" s="15" t="s">
        <v>1447</v>
      </c>
      <c r="E723" s="15" t="s">
        <v>1448</v>
      </c>
      <c r="F723" s="15">
        <v>101.75</v>
      </c>
      <c r="G723" s="15">
        <v>120.5</v>
      </c>
      <c r="H723" s="15">
        <v>95.5</v>
      </c>
      <c r="I723" s="15"/>
      <c r="J723" s="15">
        <v>59.5</v>
      </c>
      <c r="K723" s="15"/>
      <c r="L723" s="15"/>
      <c r="M723" s="15">
        <v>83</v>
      </c>
      <c r="N723" s="15">
        <v>78</v>
      </c>
      <c r="O723" s="15">
        <v>317.75</v>
      </c>
      <c r="P723" s="15">
        <v>538.25</v>
      </c>
    </row>
    <row r="724" ht="14.25" spans="1:16">
      <c r="A724" s="13">
        <v>723</v>
      </c>
      <c r="B724" s="15">
        <v>15</v>
      </c>
      <c r="C724" s="16">
        <v>22</v>
      </c>
      <c r="D724" s="15" t="s">
        <v>1449</v>
      </c>
      <c r="E724" s="15" t="s">
        <v>1450</v>
      </c>
      <c r="F724" s="15">
        <v>98</v>
      </c>
      <c r="G724" s="15">
        <v>107.5</v>
      </c>
      <c r="H724" s="15">
        <v>121.25</v>
      </c>
      <c r="I724" s="15"/>
      <c r="J724" s="15">
        <v>56</v>
      </c>
      <c r="K724" s="15"/>
      <c r="L724" s="15"/>
      <c r="M724" s="15">
        <v>78</v>
      </c>
      <c r="N724" s="15">
        <v>62</v>
      </c>
      <c r="O724" s="15">
        <v>326.75</v>
      </c>
      <c r="P724" s="15">
        <v>522.75</v>
      </c>
    </row>
    <row r="725" ht="14.25" spans="1:16">
      <c r="A725" s="13">
        <v>724</v>
      </c>
      <c r="B725" s="15">
        <v>15</v>
      </c>
      <c r="C725" s="16">
        <v>23</v>
      </c>
      <c r="D725" s="15" t="s">
        <v>1451</v>
      </c>
      <c r="E725" s="15" t="s">
        <v>1452</v>
      </c>
      <c r="F725" s="15">
        <v>98</v>
      </c>
      <c r="G725" s="15">
        <v>106</v>
      </c>
      <c r="H725" s="15">
        <v>117.5</v>
      </c>
      <c r="I725" s="15"/>
      <c r="J725" s="15">
        <v>49</v>
      </c>
      <c r="K725" s="15"/>
      <c r="L725" s="15"/>
      <c r="M725" s="15">
        <v>66</v>
      </c>
      <c r="N725" s="15">
        <v>81</v>
      </c>
      <c r="O725" s="15">
        <v>321.5</v>
      </c>
      <c r="P725" s="15">
        <v>517.5</v>
      </c>
    </row>
    <row r="726" ht="14.25" spans="1:16">
      <c r="A726" s="13">
        <v>725</v>
      </c>
      <c r="B726" s="15">
        <v>15</v>
      </c>
      <c r="C726" s="16">
        <v>24</v>
      </c>
      <c r="D726" s="15" t="s">
        <v>1453</v>
      </c>
      <c r="E726" s="15" t="s">
        <v>1454</v>
      </c>
      <c r="F726" s="15">
        <v>99.5</v>
      </c>
      <c r="G726" s="15">
        <v>102</v>
      </c>
      <c r="H726" s="15">
        <v>92.75</v>
      </c>
      <c r="I726" s="15"/>
      <c r="J726" s="15">
        <v>51</v>
      </c>
      <c r="K726" s="15"/>
      <c r="L726" s="15"/>
      <c r="M726" s="15">
        <v>75</v>
      </c>
      <c r="N726" s="15">
        <v>76</v>
      </c>
      <c r="O726" s="15">
        <v>294.25</v>
      </c>
      <c r="P726" s="15">
        <v>496.25</v>
      </c>
    </row>
    <row r="727" ht="14.25" spans="1:16">
      <c r="A727" s="13">
        <v>726</v>
      </c>
      <c r="B727" s="15">
        <v>15</v>
      </c>
      <c r="C727" s="16">
        <v>25</v>
      </c>
      <c r="D727" s="15" t="s">
        <v>1455</v>
      </c>
      <c r="E727" s="15" t="s">
        <v>712</v>
      </c>
      <c r="F727" s="15">
        <v>99.5</v>
      </c>
      <c r="G727" s="15">
        <v>104.5</v>
      </c>
      <c r="H727" s="15">
        <v>97.75</v>
      </c>
      <c r="I727" s="15"/>
      <c r="J727" s="15">
        <v>46.5</v>
      </c>
      <c r="K727" s="15"/>
      <c r="L727" s="15"/>
      <c r="M727" s="15">
        <v>77</v>
      </c>
      <c r="N727" s="15">
        <v>83</v>
      </c>
      <c r="O727" s="15">
        <v>301.75</v>
      </c>
      <c r="P727" s="15">
        <v>508.25</v>
      </c>
    </row>
    <row r="728" ht="14.25" spans="1:16">
      <c r="A728" s="13">
        <v>727</v>
      </c>
      <c r="B728" s="15">
        <v>15</v>
      </c>
      <c r="C728" s="16">
        <v>26</v>
      </c>
      <c r="D728" s="15" t="s">
        <v>1456</v>
      </c>
      <c r="E728" s="15" t="s">
        <v>1457</v>
      </c>
      <c r="F728" s="15">
        <v>80.5</v>
      </c>
      <c r="G728" s="15">
        <v>87</v>
      </c>
      <c r="H728" s="15">
        <v>99.25</v>
      </c>
      <c r="I728" s="15"/>
      <c r="J728" s="15">
        <v>59.5</v>
      </c>
      <c r="K728" s="15"/>
      <c r="L728" s="15"/>
      <c r="M728" s="15">
        <v>77</v>
      </c>
      <c r="N728" s="15">
        <v>78</v>
      </c>
      <c r="O728" s="15">
        <v>266.75</v>
      </c>
      <c r="P728" s="15">
        <v>481.25</v>
      </c>
    </row>
    <row r="729" ht="14.25" spans="1:16">
      <c r="A729" s="13">
        <v>728</v>
      </c>
      <c r="B729" s="15">
        <v>15</v>
      </c>
      <c r="C729" s="16">
        <v>28</v>
      </c>
      <c r="D729" s="15" t="s">
        <v>1458</v>
      </c>
      <c r="E729" s="15" t="s">
        <v>1459</v>
      </c>
      <c r="F729" s="15">
        <v>98</v>
      </c>
      <c r="G729" s="15">
        <v>97</v>
      </c>
      <c r="H729" s="15">
        <v>93.5</v>
      </c>
      <c r="I729" s="15"/>
      <c r="J729" s="15">
        <v>63.5</v>
      </c>
      <c r="K729" s="15"/>
      <c r="L729" s="15"/>
      <c r="M729" s="15">
        <v>82</v>
      </c>
      <c r="N729" s="15">
        <v>87</v>
      </c>
      <c r="O729" s="15">
        <v>288.5</v>
      </c>
      <c r="P729" s="15">
        <v>521</v>
      </c>
    </row>
    <row r="730" ht="14.25" spans="1:16">
      <c r="A730" s="13">
        <v>729</v>
      </c>
      <c r="B730" s="15">
        <v>15</v>
      </c>
      <c r="C730" s="16">
        <v>29</v>
      </c>
      <c r="D730" s="15" t="s">
        <v>1460</v>
      </c>
      <c r="E730" s="15" t="s">
        <v>1461</v>
      </c>
      <c r="F730" s="15">
        <v>107.5</v>
      </c>
      <c r="G730" s="15">
        <v>91</v>
      </c>
      <c r="H730" s="15">
        <v>84.5</v>
      </c>
      <c r="I730" s="15"/>
      <c r="J730" s="15">
        <v>42.5</v>
      </c>
      <c r="K730" s="15"/>
      <c r="L730" s="15"/>
      <c r="M730" s="15">
        <v>83</v>
      </c>
      <c r="N730" s="15">
        <v>74</v>
      </c>
      <c r="O730" s="15">
        <v>283</v>
      </c>
      <c r="P730" s="15">
        <v>482.5</v>
      </c>
    </row>
    <row r="731" ht="14.25" spans="1:16">
      <c r="A731" s="13">
        <v>730</v>
      </c>
      <c r="B731" s="15">
        <v>15</v>
      </c>
      <c r="C731" s="16">
        <v>30</v>
      </c>
      <c r="D731" s="15" t="s">
        <v>1462</v>
      </c>
      <c r="E731" s="15" t="s">
        <v>1463</v>
      </c>
      <c r="F731" s="15">
        <v>104.5</v>
      </c>
      <c r="G731" s="15">
        <v>101</v>
      </c>
      <c r="H731" s="15">
        <v>109</v>
      </c>
      <c r="I731" s="15"/>
      <c r="J731" s="15">
        <v>67</v>
      </c>
      <c r="K731" s="15"/>
      <c r="L731" s="15"/>
      <c r="M731" s="15">
        <v>87</v>
      </c>
      <c r="N731" s="15">
        <v>74</v>
      </c>
      <c r="O731" s="15">
        <v>314.5</v>
      </c>
      <c r="P731" s="15">
        <v>542.5</v>
      </c>
    </row>
    <row r="732" ht="14.25" spans="1:16">
      <c r="A732" s="13">
        <v>731</v>
      </c>
      <c r="B732" s="15">
        <v>15</v>
      </c>
      <c r="C732" s="16">
        <v>31</v>
      </c>
      <c r="D732" s="15" t="s">
        <v>1464</v>
      </c>
      <c r="E732" s="15" t="s">
        <v>1465</v>
      </c>
      <c r="F732" s="15">
        <v>101.5</v>
      </c>
      <c r="G732" s="15">
        <v>65.5</v>
      </c>
      <c r="H732" s="15">
        <v>109.25</v>
      </c>
      <c r="I732" s="15"/>
      <c r="J732" s="15">
        <v>57.5</v>
      </c>
      <c r="K732" s="15"/>
      <c r="L732" s="15"/>
      <c r="M732" s="15">
        <v>68</v>
      </c>
      <c r="N732" s="15">
        <v>69</v>
      </c>
      <c r="O732" s="15">
        <v>276.25</v>
      </c>
      <c r="P732" s="15">
        <v>470.75</v>
      </c>
    </row>
    <row r="733" ht="14.25" spans="1:16">
      <c r="A733" s="13">
        <v>732</v>
      </c>
      <c r="B733" s="15">
        <v>15</v>
      </c>
      <c r="C733" s="16">
        <v>32</v>
      </c>
      <c r="D733" s="15" t="s">
        <v>1466</v>
      </c>
      <c r="E733" s="15" t="s">
        <v>1467</v>
      </c>
      <c r="F733" s="15">
        <v>92</v>
      </c>
      <c r="G733" s="15">
        <v>93</v>
      </c>
      <c r="H733" s="15">
        <v>64</v>
      </c>
      <c r="I733" s="15"/>
      <c r="J733" s="15">
        <v>56.5</v>
      </c>
      <c r="K733" s="15"/>
      <c r="L733" s="15"/>
      <c r="M733" s="15">
        <v>89</v>
      </c>
      <c r="N733" s="15">
        <v>88</v>
      </c>
      <c r="O733" s="15">
        <v>249</v>
      </c>
      <c r="P733" s="15">
        <v>482.5</v>
      </c>
    </row>
    <row r="734" ht="14.25" spans="1:16">
      <c r="A734" s="13">
        <v>733</v>
      </c>
      <c r="B734" s="15">
        <v>15</v>
      </c>
      <c r="C734" s="16">
        <v>33</v>
      </c>
      <c r="D734" s="15" t="s">
        <v>1468</v>
      </c>
      <c r="E734" s="15" t="s">
        <v>1469</v>
      </c>
      <c r="F734" s="15">
        <v>109.5</v>
      </c>
      <c r="G734" s="15">
        <v>74</v>
      </c>
      <c r="H734" s="15">
        <v>83.75</v>
      </c>
      <c r="I734" s="15"/>
      <c r="J734" s="15">
        <v>56.5</v>
      </c>
      <c r="K734" s="15"/>
      <c r="L734" s="15"/>
      <c r="M734" s="15">
        <v>83</v>
      </c>
      <c r="N734" s="15">
        <v>76</v>
      </c>
      <c r="O734" s="15">
        <v>267.25</v>
      </c>
      <c r="P734" s="15">
        <v>482.75</v>
      </c>
    </row>
    <row r="735" ht="14.25" spans="1:16">
      <c r="A735" s="13">
        <v>734</v>
      </c>
      <c r="B735" s="15">
        <v>15</v>
      </c>
      <c r="C735" s="16">
        <v>34</v>
      </c>
      <c r="D735" s="15" t="s">
        <v>1470</v>
      </c>
      <c r="E735" s="15" t="s">
        <v>1471</v>
      </c>
      <c r="F735" s="15">
        <v>99</v>
      </c>
      <c r="G735" s="15">
        <v>75</v>
      </c>
      <c r="H735" s="15">
        <v>96</v>
      </c>
      <c r="I735" s="15"/>
      <c r="J735" s="15">
        <v>62</v>
      </c>
      <c r="K735" s="15"/>
      <c r="L735" s="15"/>
      <c r="M735" s="15">
        <v>73</v>
      </c>
      <c r="N735" s="15">
        <v>74</v>
      </c>
      <c r="O735" s="15">
        <v>270</v>
      </c>
      <c r="P735" s="15">
        <v>479</v>
      </c>
    </row>
    <row r="736" ht="14.25" spans="1:16">
      <c r="A736" s="13">
        <v>735</v>
      </c>
      <c r="B736" s="15">
        <v>15</v>
      </c>
      <c r="C736" s="16">
        <v>35</v>
      </c>
      <c r="D736" s="15" t="s">
        <v>1472</v>
      </c>
      <c r="E736" s="15" t="s">
        <v>1473</v>
      </c>
      <c r="F736" s="15">
        <v>108</v>
      </c>
      <c r="G736" s="15">
        <v>87</v>
      </c>
      <c r="H736" s="15">
        <v>92</v>
      </c>
      <c r="I736" s="15"/>
      <c r="J736" s="15">
        <v>58</v>
      </c>
      <c r="K736" s="15"/>
      <c r="L736" s="15"/>
      <c r="M736" s="15">
        <v>79</v>
      </c>
      <c r="N736" s="15">
        <v>76</v>
      </c>
      <c r="O736" s="15">
        <v>287</v>
      </c>
      <c r="P736" s="15">
        <v>500</v>
      </c>
    </row>
    <row r="737" ht="14.25" spans="1:16">
      <c r="A737" s="13">
        <v>736</v>
      </c>
      <c r="B737" s="15">
        <v>15</v>
      </c>
      <c r="C737" s="16">
        <v>36</v>
      </c>
      <c r="D737" s="15" t="s">
        <v>1474</v>
      </c>
      <c r="E737" s="15" t="s">
        <v>1475</v>
      </c>
      <c r="F737" s="15">
        <v>95</v>
      </c>
      <c r="G737" s="15">
        <v>69.5</v>
      </c>
      <c r="H737" s="15">
        <v>102.75</v>
      </c>
      <c r="I737" s="15"/>
      <c r="J737" s="15">
        <v>64.5</v>
      </c>
      <c r="K737" s="15"/>
      <c r="L737" s="15"/>
      <c r="M737" s="15">
        <v>82</v>
      </c>
      <c r="N737" s="15">
        <v>78</v>
      </c>
      <c r="O737" s="15">
        <v>267.25</v>
      </c>
      <c r="P737" s="15">
        <v>491.75</v>
      </c>
    </row>
    <row r="738" ht="14.25" spans="1:16">
      <c r="A738" s="13">
        <v>737</v>
      </c>
      <c r="B738" s="15">
        <v>15</v>
      </c>
      <c r="C738" s="16">
        <v>37</v>
      </c>
      <c r="D738" s="15" t="s">
        <v>1476</v>
      </c>
      <c r="E738" s="15" t="s">
        <v>1477</v>
      </c>
      <c r="F738" s="15">
        <v>94.75</v>
      </c>
      <c r="G738" s="15">
        <v>111</v>
      </c>
      <c r="H738" s="15">
        <v>108</v>
      </c>
      <c r="I738" s="15"/>
      <c r="J738" s="15">
        <v>57.5</v>
      </c>
      <c r="K738" s="15"/>
      <c r="L738" s="15"/>
      <c r="M738" s="15">
        <v>75</v>
      </c>
      <c r="N738" s="15">
        <v>82</v>
      </c>
      <c r="O738" s="15">
        <v>313.75</v>
      </c>
      <c r="P738" s="15">
        <v>528.25</v>
      </c>
    </row>
    <row r="739" ht="14.25" spans="1:16">
      <c r="A739" s="13">
        <v>738</v>
      </c>
      <c r="B739" s="15">
        <v>15</v>
      </c>
      <c r="C739" s="16">
        <v>38</v>
      </c>
      <c r="D739" s="15" t="s">
        <v>1478</v>
      </c>
      <c r="E739" s="15" t="s">
        <v>1479</v>
      </c>
      <c r="F739" s="15">
        <v>96.5</v>
      </c>
      <c r="G739" s="15">
        <v>100</v>
      </c>
      <c r="H739" s="15">
        <v>92.75</v>
      </c>
      <c r="I739" s="15"/>
      <c r="J739" s="15">
        <v>58</v>
      </c>
      <c r="K739" s="15"/>
      <c r="L739" s="15"/>
      <c r="M739" s="15">
        <v>77</v>
      </c>
      <c r="N739" s="15">
        <v>71</v>
      </c>
      <c r="O739" s="15">
        <v>289.25</v>
      </c>
      <c r="P739" s="15">
        <v>495.25</v>
      </c>
    </row>
    <row r="740" ht="14.25" spans="1:16">
      <c r="A740" s="13">
        <v>739</v>
      </c>
      <c r="B740" s="15">
        <v>15</v>
      </c>
      <c r="C740" s="16">
        <v>39</v>
      </c>
      <c r="D740" s="15" t="s">
        <v>1480</v>
      </c>
      <c r="E740" s="15" t="s">
        <v>1481</v>
      </c>
      <c r="F740" s="15">
        <v>102.25</v>
      </c>
      <c r="G740" s="15">
        <v>82</v>
      </c>
      <c r="H740" s="15">
        <v>113.75</v>
      </c>
      <c r="I740" s="15"/>
      <c r="J740" s="15">
        <v>52</v>
      </c>
      <c r="K740" s="15"/>
      <c r="L740" s="15"/>
      <c r="M740" s="15">
        <v>77</v>
      </c>
      <c r="N740" s="15">
        <v>80</v>
      </c>
      <c r="O740" s="15">
        <v>298</v>
      </c>
      <c r="P740" s="15">
        <v>507</v>
      </c>
    </row>
    <row r="741" ht="14.25" spans="1:16">
      <c r="A741" s="13">
        <v>740</v>
      </c>
      <c r="B741" s="15">
        <v>15</v>
      </c>
      <c r="C741" s="16">
        <v>40</v>
      </c>
      <c r="D741" s="15" t="s">
        <v>1482</v>
      </c>
      <c r="E741" s="15" t="s">
        <v>1483</v>
      </c>
      <c r="F741" s="15">
        <v>93.5</v>
      </c>
      <c r="G741" s="15">
        <v>83.5</v>
      </c>
      <c r="H741" s="15">
        <v>99</v>
      </c>
      <c r="I741" s="15"/>
      <c r="J741" s="15">
        <v>62</v>
      </c>
      <c r="K741" s="15"/>
      <c r="L741" s="15"/>
      <c r="M741" s="15">
        <v>79</v>
      </c>
      <c r="N741" s="15">
        <v>71</v>
      </c>
      <c r="O741" s="15">
        <v>276</v>
      </c>
      <c r="P741" s="15">
        <v>488</v>
      </c>
    </row>
    <row r="742" ht="14.25" spans="1:16">
      <c r="A742" s="13">
        <v>741</v>
      </c>
      <c r="B742" s="15">
        <v>15</v>
      </c>
      <c r="C742" s="16">
        <v>41</v>
      </c>
      <c r="D742" s="15" t="s">
        <v>1484</v>
      </c>
      <c r="E742" s="15" t="s">
        <v>1485</v>
      </c>
      <c r="F742" s="15">
        <v>115.25</v>
      </c>
      <c r="G742" s="15">
        <v>70</v>
      </c>
      <c r="H742" s="15">
        <v>98</v>
      </c>
      <c r="I742" s="15"/>
      <c r="J742" s="15">
        <v>54.5</v>
      </c>
      <c r="K742" s="15"/>
      <c r="L742" s="15"/>
      <c r="M742" s="15">
        <v>82</v>
      </c>
      <c r="N742" s="15">
        <v>80</v>
      </c>
      <c r="O742" s="15">
        <v>283.25</v>
      </c>
      <c r="P742" s="15">
        <v>499.75</v>
      </c>
    </row>
    <row r="743" ht="14.25" spans="1:16">
      <c r="A743" s="13">
        <v>742</v>
      </c>
      <c r="B743" s="15">
        <v>15</v>
      </c>
      <c r="C743" s="16">
        <v>42</v>
      </c>
      <c r="D743" s="15" t="s">
        <v>1486</v>
      </c>
      <c r="E743" s="15" t="s">
        <v>1487</v>
      </c>
      <c r="F743" s="15">
        <v>103.5</v>
      </c>
      <c r="G743" s="15">
        <v>79.5</v>
      </c>
      <c r="H743" s="15">
        <v>84.5</v>
      </c>
      <c r="I743" s="15"/>
      <c r="J743" s="15">
        <v>59</v>
      </c>
      <c r="K743" s="15"/>
      <c r="L743" s="15"/>
      <c r="M743" s="15">
        <v>77</v>
      </c>
      <c r="N743" s="15">
        <v>73</v>
      </c>
      <c r="O743" s="15">
        <v>267.5</v>
      </c>
      <c r="P743" s="15">
        <v>476.5</v>
      </c>
    </row>
    <row r="744" ht="14.25" spans="1:16">
      <c r="A744" s="13">
        <v>743</v>
      </c>
      <c r="B744" s="15">
        <v>15</v>
      </c>
      <c r="C744" s="16">
        <v>43</v>
      </c>
      <c r="D744" s="15" t="s">
        <v>1488</v>
      </c>
      <c r="E744" s="15" t="s">
        <v>1489</v>
      </c>
      <c r="F744" s="15">
        <v>103.5</v>
      </c>
      <c r="G744" s="15">
        <v>86.5</v>
      </c>
      <c r="H744" s="15">
        <v>111</v>
      </c>
      <c r="I744" s="15"/>
      <c r="J744" s="15">
        <v>48.5</v>
      </c>
      <c r="K744" s="15"/>
      <c r="L744" s="15"/>
      <c r="M744" s="15">
        <v>80</v>
      </c>
      <c r="N744" s="15">
        <v>80</v>
      </c>
      <c r="O744" s="15">
        <v>301</v>
      </c>
      <c r="P744" s="15">
        <v>509.5</v>
      </c>
    </row>
    <row r="745" ht="14.25" spans="1:16">
      <c r="A745" s="13">
        <v>744</v>
      </c>
      <c r="B745" s="15">
        <v>15</v>
      </c>
      <c r="C745" s="16">
        <v>44</v>
      </c>
      <c r="D745" s="15" t="s">
        <v>1490</v>
      </c>
      <c r="E745" s="15" t="s">
        <v>1491</v>
      </c>
      <c r="F745" s="15">
        <v>90</v>
      </c>
      <c r="G745" s="15">
        <v>90.5</v>
      </c>
      <c r="H745" s="15">
        <v>101.5</v>
      </c>
      <c r="I745" s="15"/>
      <c r="J745" s="15">
        <v>54</v>
      </c>
      <c r="K745" s="15"/>
      <c r="L745" s="15"/>
      <c r="M745" s="15">
        <v>78</v>
      </c>
      <c r="N745" s="15">
        <v>68</v>
      </c>
      <c r="O745" s="15">
        <v>282</v>
      </c>
      <c r="P745" s="15">
        <v>482</v>
      </c>
    </row>
    <row r="746" ht="14.25" spans="1:16">
      <c r="A746" s="13">
        <v>745</v>
      </c>
      <c r="B746" s="15">
        <v>15</v>
      </c>
      <c r="C746" s="16">
        <v>45</v>
      </c>
      <c r="D746" s="15" t="s">
        <v>1492</v>
      </c>
      <c r="E746" s="15" t="s">
        <v>1493</v>
      </c>
      <c r="F746" s="15">
        <v>97.5</v>
      </c>
      <c r="G746" s="15">
        <v>81</v>
      </c>
      <c r="H746" s="15">
        <v>85</v>
      </c>
      <c r="I746" s="15"/>
      <c r="J746" s="15">
        <v>52.5</v>
      </c>
      <c r="K746" s="15"/>
      <c r="L746" s="15"/>
      <c r="M746" s="15">
        <v>80</v>
      </c>
      <c r="N746" s="15">
        <v>74</v>
      </c>
      <c r="O746" s="15">
        <v>263.5</v>
      </c>
      <c r="P746" s="15">
        <v>470</v>
      </c>
    </row>
    <row r="747" ht="14.25" spans="1:16">
      <c r="A747" s="13">
        <v>746</v>
      </c>
      <c r="B747" s="15">
        <v>16</v>
      </c>
      <c r="C747" s="16">
        <v>1</v>
      </c>
      <c r="D747" s="15" t="s">
        <v>1494</v>
      </c>
      <c r="E747" s="15" t="s">
        <v>1495</v>
      </c>
      <c r="F747" s="15">
        <v>107</v>
      </c>
      <c r="G747" s="15">
        <v>119.5</v>
      </c>
      <c r="H747" s="15">
        <v>117</v>
      </c>
      <c r="I747" s="15"/>
      <c r="J747" s="15">
        <v>55</v>
      </c>
      <c r="K747" s="15">
        <v>74</v>
      </c>
      <c r="L747" s="15"/>
      <c r="M747" s="15"/>
      <c r="N747" s="15">
        <v>86</v>
      </c>
      <c r="O747" s="15">
        <v>343.5</v>
      </c>
      <c r="P747" s="15">
        <v>558.5</v>
      </c>
    </row>
    <row r="748" ht="14.25" spans="1:16">
      <c r="A748" s="13">
        <v>747</v>
      </c>
      <c r="B748" s="15">
        <v>16</v>
      </c>
      <c r="C748" s="16">
        <v>2</v>
      </c>
      <c r="D748" s="15" t="s">
        <v>1496</v>
      </c>
      <c r="E748" s="15" t="s">
        <v>1497</v>
      </c>
      <c r="F748" s="15">
        <v>107</v>
      </c>
      <c r="G748" s="15">
        <v>124</v>
      </c>
      <c r="H748" s="15">
        <v>135</v>
      </c>
      <c r="I748" s="15"/>
      <c r="J748" s="15">
        <v>58.5</v>
      </c>
      <c r="K748" s="15">
        <v>84</v>
      </c>
      <c r="L748" s="15"/>
      <c r="M748" s="15"/>
      <c r="N748" s="15">
        <v>93</v>
      </c>
      <c r="O748" s="15">
        <v>366</v>
      </c>
      <c r="P748" s="15">
        <v>601.5</v>
      </c>
    </row>
    <row r="749" ht="14.25" spans="1:16">
      <c r="A749" s="13">
        <v>748</v>
      </c>
      <c r="B749" s="15">
        <v>16</v>
      </c>
      <c r="C749" s="16">
        <v>3</v>
      </c>
      <c r="D749" s="15" t="s">
        <v>1498</v>
      </c>
      <c r="E749" s="15" t="s">
        <v>75</v>
      </c>
      <c r="F749" s="15">
        <v>102.5</v>
      </c>
      <c r="G749" s="15">
        <v>126</v>
      </c>
      <c r="H749" s="15">
        <v>106.25</v>
      </c>
      <c r="I749" s="15"/>
      <c r="J749" s="15">
        <v>62.5</v>
      </c>
      <c r="K749" s="15"/>
      <c r="L749" s="15">
        <v>91</v>
      </c>
      <c r="M749" s="15">
        <v>89</v>
      </c>
      <c r="N749" s="15"/>
      <c r="O749" s="15">
        <v>334.75</v>
      </c>
      <c r="P749" s="15">
        <v>577.25</v>
      </c>
    </row>
    <row r="750" ht="14.25" spans="1:16">
      <c r="A750" s="13">
        <v>749</v>
      </c>
      <c r="B750" s="15">
        <v>16</v>
      </c>
      <c r="C750" s="16">
        <v>4</v>
      </c>
      <c r="D750" s="15" t="s">
        <v>1499</v>
      </c>
      <c r="E750" s="15" t="s">
        <v>1500</v>
      </c>
      <c r="F750" s="15">
        <v>103.5</v>
      </c>
      <c r="G750" s="15">
        <v>112</v>
      </c>
      <c r="H750" s="15">
        <v>113.75</v>
      </c>
      <c r="I750" s="15"/>
      <c r="J750" s="15">
        <v>69.5</v>
      </c>
      <c r="K750" s="15"/>
      <c r="L750" s="15"/>
      <c r="M750" s="15">
        <v>93</v>
      </c>
      <c r="N750" s="15">
        <v>80</v>
      </c>
      <c r="O750" s="15">
        <v>329.25</v>
      </c>
      <c r="P750" s="15">
        <v>571.75</v>
      </c>
    </row>
    <row r="751" ht="14.25" spans="1:16">
      <c r="A751" s="13">
        <v>750</v>
      </c>
      <c r="B751" s="15">
        <v>16</v>
      </c>
      <c r="C751" s="16">
        <v>5</v>
      </c>
      <c r="D751" s="15" t="s">
        <v>1501</v>
      </c>
      <c r="E751" s="15" t="s">
        <v>1502</v>
      </c>
      <c r="F751" s="15">
        <v>103.5</v>
      </c>
      <c r="G751" s="15">
        <v>119</v>
      </c>
      <c r="H751" s="15">
        <v>123</v>
      </c>
      <c r="I751" s="15"/>
      <c r="J751" s="15">
        <v>64.5</v>
      </c>
      <c r="K751" s="15"/>
      <c r="L751" s="15"/>
      <c r="M751" s="15">
        <v>84</v>
      </c>
      <c r="N751" s="15">
        <v>86</v>
      </c>
      <c r="O751" s="15">
        <v>345.5</v>
      </c>
      <c r="P751" s="15">
        <v>580</v>
      </c>
    </row>
    <row r="752" ht="14.25" spans="1:16">
      <c r="A752" s="13">
        <v>751</v>
      </c>
      <c r="B752" s="15">
        <v>16</v>
      </c>
      <c r="C752" s="16">
        <v>6</v>
      </c>
      <c r="D752" s="15" t="s">
        <v>1503</v>
      </c>
      <c r="E752" s="15" t="s">
        <v>1029</v>
      </c>
      <c r="F752" s="15">
        <v>104</v>
      </c>
      <c r="G752" s="15">
        <v>109.5</v>
      </c>
      <c r="H752" s="15">
        <v>125</v>
      </c>
      <c r="I752" s="15"/>
      <c r="J752" s="15">
        <v>53</v>
      </c>
      <c r="K752" s="15"/>
      <c r="L752" s="15"/>
      <c r="M752" s="15">
        <v>93</v>
      </c>
      <c r="N752" s="15">
        <v>84</v>
      </c>
      <c r="O752" s="15">
        <v>338.5</v>
      </c>
      <c r="P752" s="15">
        <v>568.5</v>
      </c>
    </row>
    <row r="753" ht="14.25" spans="1:16">
      <c r="A753" s="13">
        <v>752</v>
      </c>
      <c r="B753" s="15">
        <v>16</v>
      </c>
      <c r="C753" s="16">
        <v>7</v>
      </c>
      <c r="D753" s="15" t="s">
        <v>1504</v>
      </c>
      <c r="E753" s="15" t="s">
        <v>1505</v>
      </c>
      <c r="F753" s="15">
        <v>114.5</v>
      </c>
      <c r="G753" s="15">
        <v>130</v>
      </c>
      <c r="H753" s="15">
        <v>122.25</v>
      </c>
      <c r="I753" s="15"/>
      <c r="J753" s="15">
        <v>64</v>
      </c>
      <c r="K753" s="15"/>
      <c r="L753" s="15"/>
      <c r="M753" s="15">
        <v>94</v>
      </c>
      <c r="N753" s="15">
        <v>91</v>
      </c>
      <c r="O753" s="15">
        <v>366.75</v>
      </c>
      <c r="P753" s="15">
        <v>615.75</v>
      </c>
    </row>
    <row r="754" ht="14.25" spans="1:16">
      <c r="A754" s="13">
        <v>753</v>
      </c>
      <c r="B754" s="15">
        <v>16</v>
      </c>
      <c r="C754" s="16">
        <v>8</v>
      </c>
      <c r="D754" s="15" t="s">
        <v>1506</v>
      </c>
      <c r="E754" s="15" t="s">
        <v>1507</v>
      </c>
      <c r="F754" s="15">
        <v>104.5</v>
      </c>
      <c r="G754" s="15">
        <v>93.5</v>
      </c>
      <c r="H754" s="15">
        <v>114.5</v>
      </c>
      <c r="I754" s="15"/>
      <c r="J754" s="15">
        <v>69</v>
      </c>
      <c r="K754" s="15"/>
      <c r="L754" s="15"/>
      <c r="M754" s="15">
        <v>92</v>
      </c>
      <c r="N754" s="15">
        <v>88</v>
      </c>
      <c r="O754" s="15">
        <v>312.5</v>
      </c>
      <c r="P754" s="15">
        <v>561.5</v>
      </c>
    </row>
    <row r="755" ht="14.25" spans="1:16">
      <c r="A755" s="13">
        <v>754</v>
      </c>
      <c r="B755" s="15">
        <v>16</v>
      </c>
      <c r="C755" s="16">
        <v>9</v>
      </c>
      <c r="D755" s="15" t="s">
        <v>1508</v>
      </c>
      <c r="E755" s="15" t="s">
        <v>1509</v>
      </c>
      <c r="F755" s="15">
        <v>100.5</v>
      </c>
      <c r="G755" s="15">
        <v>97.5</v>
      </c>
      <c r="H755" s="15">
        <v>111.5</v>
      </c>
      <c r="I755" s="15"/>
      <c r="J755" s="15">
        <v>72</v>
      </c>
      <c r="K755" s="15"/>
      <c r="L755" s="15"/>
      <c r="M755" s="15">
        <v>88</v>
      </c>
      <c r="N755" s="15">
        <v>79</v>
      </c>
      <c r="O755" s="15">
        <v>309.5</v>
      </c>
      <c r="P755" s="15">
        <v>548.5</v>
      </c>
    </row>
    <row r="756" ht="14.25" spans="1:16">
      <c r="A756" s="13">
        <v>755</v>
      </c>
      <c r="B756" s="15">
        <v>16</v>
      </c>
      <c r="C756" s="16">
        <v>10</v>
      </c>
      <c r="D756" s="15" t="s">
        <v>1510</v>
      </c>
      <c r="E756" s="15" t="s">
        <v>1511</v>
      </c>
      <c r="F756" s="15">
        <v>99.5</v>
      </c>
      <c r="G756" s="15">
        <v>118.5</v>
      </c>
      <c r="H756" s="15">
        <v>131</v>
      </c>
      <c r="I756" s="15"/>
      <c r="J756" s="15">
        <v>67.5</v>
      </c>
      <c r="K756" s="15"/>
      <c r="L756" s="15"/>
      <c r="M756" s="15">
        <v>85</v>
      </c>
      <c r="N756" s="15">
        <v>88</v>
      </c>
      <c r="O756" s="15">
        <v>349</v>
      </c>
      <c r="P756" s="15">
        <v>589.5</v>
      </c>
    </row>
    <row r="757" ht="14.25" spans="1:16">
      <c r="A757" s="13">
        <v>756</v>
      </c>
      <c r="B757" s="15">
        <v>16</v>
      </c>
      <c r="C757" s="16">
        <v>11</v>
      </c>
      <c r="D757" s="15" t="s">
        <v>1512</v>
      </c>
      <c r="E757" s="15" t="s">
        <v>65</v>
      </c>
      <c r="F757" s="15">
        <v>100</v>
      </c>
      <c r="G757" s="15">
        <v>125</v>
      </c>
      <c r="H757" s="15">
        <v>118.25</v>
      </c>
      <c r="I757" s="15"/>
      <c r="J757" s="15">
        <v>56</v>
      </c>
      <c r="K757" s="15"/>
      <c r="L757" s="15"/>
      <c r="M757" s="15">
        <v>87</v>
      </c>
      <c r="N757" s="15">
        <v>82</v>
      </c>
      <c r="O757" s="15">
        <v>343.25</v>
      </c>
      <c r="P757" s="15">
        <v>568.25</v>
      </c>
    </row>
    <row r="758" ht="14.25" spans="1:16">
      <c r="A758" s="13">
        <v>757</v>
      </c>
      <c r="B758" s="15">
        <v>16</v>
      </c>
      <c r="C758" s="16">
        <v>12</v>
      </c>
      <c r="D758" s="15" t="s">
        <v>1513</v>
      </c>
      <c r="E758" s="15" t="s">
        <v>1514</v>
      </c>
      <c r="F758" s="15">
        <v>101.5</v>
      </c>
      <c r="G758" s="15">
        <v>102.5</v>
      </c>
      <c r="H758" s="15">
        <v>114</v>
      </c>
      <c r="I758" s="15"/>
      <c r="J758" s="15">
        <v>57.25</v>
      </c>
      <c r="K758" s="15"/>
      <c r="L758" s="15"/>
      <c r="M758" s="15">
        <v>91</v>
      </c>
      <c r="N758" s="15">
        <v>87</v>
      </c>
      <c r="O758" s="15">
        <v>318</v>
      </c>
      <c r="P758" s="15">
        <v>553.25</v>
      </c>
    </row>
    <row r="759" ht="14.25" spans="1:16">
      <c r="A759" s="13">
        <v>758</v>
      </c>
      <c r="B759" s="15">
        <v>16</v>
      </c>
      <c r="C759" s="16">
        <v>13</v>
      </c>
      <c r="D759" s="15" t="s">
        <v>1515</v>
      </c>
      <c r="E759" s="15" t="s">
        <v>1516</v>
      </c>
      <c r="F759" s="15">
        <v>103.5</v>
      </c>
      <c r="G759" s="15">
        <v>94</v>
      </c>
      <c r="H759" s="15">
        <v>110.75</v>
      </c>
      <c r="I759" s="15"/>
      <c r="J759" s="15">
        <v>49</v>
      </c>
      <c r="K759" s="15"/>
      <c r="L759" s="15"/>
      <c r="M759" s="15">
        <v>88</v>
      </c>
      <c r="N759" s="15">
        <v>88</v>
      </c>
      <c r="O759" s="15">
        <v>308.25</v>
      </c>
      <c r="P759" s="15">
        <v>533.25</v>
      </c>
    </row>
    <row r="760" ht="14.25" spans="1:16">
      <c r="A760" s="13">
        <v>759</v>
      </c>
      <c r="B760" s="15">
        <v>16</v>
      </c>
      <c r="C760" s="16">
        <v>14</v>
      </c>
      <c r="D760" s="15" t="s">
        <v>1517</v>
      </c>
      <c r="E760" s="15" t="s">
        <v>1518</v>
      </c>
      <c r="F760" s="15">
        <v>113</v>
      </c>
      <c r="G760" s="15">
        <v>93</v>
      </c>
      <c r="H760" s="15">
        <v>118.5</v>
      </c>
      <c r="I760" s="15"/>
      <c r="J760" s="15">
        <v>63</v>
      </c>
      <c r="K760" s="15"/>
      <c r="L760" s="15"/>
      <c r="M760" s="15">
        <v>77</v>
      </c>
      <c r="N760" s="15">
        <v>81</v>
      </c>
      <c r="O760" s="15">
        <v>324.5</v>
      </c>
      <c r="P760" s="15">
        <v>545.5</v>
      </c>
    </row>
    <row r="761" ht="14.25" spans="1:16">
      <c r="A761" s="13">
        <v>760</v>
      </c>
      <c r="B761" s="15">
        <v>16</v>
      </c>
      <c r="C761" s="16">
        <v>15</v>
      </c>
      <c r="D761" s="15" t="s">
        <v>1519</v>
      </c>
      <c r="E761" s="15" t="s">
        <v>1520</v>
      </c>
      <c r="F761" s="15">
        <v>105</v>
      </c>
      <c r="G761" s="15">
        <v>105</v>
      </c>
      <c r="H761" s="15">
        <v>124</v>
      </c>
      <c r="I761" s="15"/>
      <c r="J761" s="15">
        <v>67</v>
      </c>
      <c r="K761" s="15"/>
      <c r="L761" s="15"/>
      <c r="M761" s="15">
        <v>75</v>
      </c>
      <c r="N761" s="15">
        <v>78</v>
      </c>
      <c r="O761" s="15">
        <v>334</v>
      </c>
      <c r="P761" s="15">
        <v>554</v>
      </c>
    </row>
    <row r="762" ht="14.25" spans="1:16">
      <c r="A762" s="13">
        <v>761</v>
      </c>
      <c r="B762" s="15">
        <v>16</v>
      </c>
      <c r="C762" s="16">
        <v>16</v>
      </c>
      <c r="D762" s="15" t="s">
        <v>1521</v>
      </c>
      <c r="E762" s="15" t="s">
        <v>1522</v>
      </c>
      <c r="F762" s="15">
        <v>111</v>
      </c>
      <c r="G762" s="15">
        <v>110</v>
      </c>
      <c r="H762" s="15">
        <v>123.5</v>
      </c>
      <c r="I762" s="15"/>
      <c r="J762" s="15">
        <v>50.5</v>
      </c>
      <c r="K762" s="15"/>
      <c r="L762" s="15"/>
      <c r="M762" s="15">
        <v>88</v>
      </c>
      <c r="N762" s="15">
        <v>81</v>
      </c>
      <c r="O762" s="15">
        <v>344.5</v>
      </c>
      <c r="P762" s="15">
        <v>564</v>
      </c>
    </row>
    <row r="763" ht="14.25" spans="1:16">
      <c r="A763" s="13">
        <v>762</v>
      </c>
      <c r="B763" s="15">
        <v>16</v>
      </c>
      <c r="C763" s="16">
        <v>17</v>
      </c>
      <c r="D763" s="15" t="s">
        <v>1523</v>
      </c>
      <c r="E763" s="15" t="s">
        <v>1524</v>
      </c>
      <c r="F763" s="15">
        <v>111</v>
      </c>
      <c r="G763" s="15">
        <v>102.5</v>
      </c>
      <c r="H763" s="15">
        <v>122.5</v>
      </c>
      <c r="I763" s="15"/>
      <c r="J763" s="15">
        <v>61.5</v>
      </c>
      <c r="K763" s="15"/>
      <c r="L763" s="15"/>
      <c r="M763" s="15">
        <v>88</v>
      </c>
      <c r="N763" s="15">
        <v>87</v>
      </c>
      <c r="O763" s="15">
        <v>336</v>
      </c>
      <c r="P763" s="15">
        <v>572.5</v>
      </c>
    </row>
    <row r="764" ht="14.25" spans="1:16">
      <c r="A764" s="13">
        <v>763</v>
      </c>
      <c r="B764" s="15">
        <v>16</v>
      </c>
      <c r="C764" s="16">
        <v>18</v>
      </c>
      <c r="D764" s="15" t="s">
        <v>1525</v>
      </c>
      <c r="E764" s="15" t="s">
        <v>1526</v>
      </c>
      <c r="F764" s="15">
        <v>107.5</v>
      </c>
      <c r="G764" s="15">
        <v>97.5</v>
      </c>
      <c r="H764" s="15">
        <v>113</v>
      </c>
      <c r="I764" s="15"/>
      <c r="J764" s="15">
        <v>60</v>
      </c>
      <c r="K764" s="15"/>
      <c r="L764" s="15"/>
      <c r="M764" s="15">
        <v>89</v>
      </c>
      <c r="N764" s="15">
        <v>89</v>
      </c>
      <c r="O764" s="15">
        <v>318</v>
      </c>
      <c r="P764" s="15">
        <v>556</v>
      </c>
    </row>
    <row r="765" ht="14.25" spans="1:16">
      <c r="A765" s="13">
        <v>764</v>
      </c>
      <c r="B765" s="15">
        <v>16</v>
      </c>
      <c r="C765" s="16">
        <v>19</v>
      </c>
      <c r="D765" s="15" t="s">
        <v>1527</v>
      </c>
      <c r="E765" s="15" t="s">
        <v>1528</v>
      </c>
      <c r="F765" s="15">
        <v>103.5</v>
      </c>
      <c r="G765" s="15">
        <v>107.5</v>
      </c>
      <c r="H765" s="15">
        <v>121.5</v>
      </c>
      <c r="I765" s="15"/>
      <c r="J765" s="15">
        <v>67</v>
      </c>
      <c r="K765" s="15"/>
      <c r="L765" s="15"/>
      <c r="M765" s="15">
        <v>93</v>
      </c>
      <c r="N765" s="15">
        <v>87</v>
      </c>
      <c r="O765" s="15">
        <v>332.5</v>
      </c>
      <c r="P765" s="15">
        <v>579.5</v>
      </c>
    </row>
    <row r="766" ht="14.25" spans="1:16">
      <c r="A766" s="13">
        <v>765</v>
      </c>
      <c r="B766" s="15">
        <v>16</v>
      </c>
      <c r="C766" s="16">
        <v>20</v>
      </c>
      <c r="D766" s="15" t="s">
        <v>1529</v>
      </c>
      <c r="E766" s="15" t="s">
        <v>1530</v>
      </c>
      <c r="F766" s="15">
        <v>117.5</v>
      </c>
      <c r="G766" s="15">
        <v>113</v>
      </c>
      <c r="H766" s="15">
        <v>120</v>
      </c>
      <c r="I766" s="15"/>
      <c r="J766" s="15">
        <v>51.5</v>
      </c>
      <c r="K766" s="15"/>
      <c r="L766" s="15"/>
      <c r="M766" s="15">
        <v>92</v>
      </c>
      <c r="N766" s="15">
        <v>88</v>
      </c>
      <c r="O766" s="15">
        <v>350.5</v>
      </c>
      <c r="P766" s="15">
        <v>582</v>
      </c>
    </row>
    <row r="767" ht="14.25" spans="1:16">
      <c r="A767" s="13">
        <v>766</v>
      </c>
      <c r="B767" s="15">
        <v>16</v>
      </c>
      <c r="C767" s="16">
        <v>21</v>
      </c>
      <c r="D767" s="15" t="s">
        <v>1531</v>
      </c>
      <c r="E767" s="15" t="s">
        <v>1532</v>
      </c>
      <c r="F767" s="15">
        <v>102.75</v>
      </c>
      <c r="G767" s="15">
        <v>124</v>
      </c>
      <c r="H767" s="15">
        <v>126</v>
      </c>
      <c r="I767" s="15"/>
      <c r="J767" s="15">
        <v>59</v>
      </c>
      <c r="K767" s="15"/>
      <c r="L767" s="15"/>
      <c r="M767" s="15">
        <v>80</v>
      </c>
      <c r="N767" s="15">
        <v>84</v>
      </c>
      <c r="O767" s="15">
        <v>352.75</v>
      </c>
      <c r="P767" s="15">
        <v>575.75</v>
      </c>
    </row>
    <row r="768" ht="14.25" spans="1:16">
      <c r="A768" s="13">
        <v>767</v>
      </c>
      <c r="B768" s="15">
        <v>16</v>
      </c>
      <c r="C768" s="16">
        <v>22</v>
      </c>
      <c r="D768" s="15" t="s">
        <v>1533</v>
      </c>
      <c r="E768" s="15" t="s">
        <v>1534</v>
      </c>
      <c r="F768" s="15">
        <v>107.5</v>
      </c>
      <c r="G768" s="15">
        <v>108</v>
      </c>
      <c r="H768" s="15">
        <v>130.5</v>
      </c>
      <c r="I768" s="15"/>
      <c r="J768" s="15">
        <v>58</v>
      </c>
      <c r="K768" s="15"/>
      <c r="L768" s="15"/>
      <c r="M768" s="15">
        <v>83</v>
      </c>
      <c r="N768" s="15">
        <v>81</v>
      </c>
      <c r="O768" s="15">
        <v>346</v>
      </c>
      <c r="P768" s="15">
        <v>568</v>
      </c>
    </row>
    <row r="769" ht="14.25" spans="1:16">
      <c r="A769" s="13">
        <v>768</v>
      </c>
      <c r="B769" s="15">
        <v>16</v>
      </c>
      <c r="C769" s="16">
        <v>23</v>
      </c>
      <c r="D769" s="15" t="s">
        <v>1535</v>
      </c>
      <c r="E769" s="15" t="s">
        <v>1536</v>
      </c>
      <c r="F769" s="15">
        <v>113</v>
      </c>
      <c r="G769" s="15">
        <v>111.5</v>
      </c>
      <c r="H769" s="15">
        <v>111</v>
      </c>
      <c r="I769" s="15"/>
      <c r="J769" s="15">
        <v>62</v>
      </c>
      <c r="K769" s="15"/>
      <c r="L769" s="15"/>
      <c r="M769" s="15">
        <v>96</v>
      </c>
      <c r="N769" s="15">
        <v>83</v>
      </c>
      <c r="O769" s="15">
        <v>335.5</v>
      </c>
      <c r="P769" s="15">
        <v>576.5</v>
      </c>
    </row>
    <row r="770" ht="14.25" spans="1:16">
      <c r="A770" s="13">
        <v>769</v>
      </c>
      <c r="B770" s="15">
        <v>16</v>
      </c>
      <c r="C770" s="16">
        <v>25</v>
      </c>
      <c r="D770" s="15" t="s">
        <v>1537</v>
      </c>
      <c r="E770" s="15" t="s">
        <v>847</v>
      </c>
      <c r="F770" s="15">
        <v>111</v>
      </c>
      <c r="G770" s="15">
        <v>88.5</v>
      </c>
      <c r="H770" s="15">
        <v>102.5</v>
      </c>
      <c r="I770" s="15"/>
      <c r="J770" s="15">
        <v>58.5</v>
      </c>
      <c r="K770" s="15"/>
      <c r="L770" s="15">
        <v>80</v>
      </c>
      <c r="M770" s="15">
        <v>83</v>
      </c>
      <c r="N770" s="15"/>
      <c r="O770" s="15">
        <v>302</v>
      </c>
      <c r="P770" s="15">
        <v>523.5</v>
      </c>
    </row>
    <row r="771" ht="14.25" spans="1:16">
      <c r="A771" s="13">
        <v>770</v>
      </c>
      <c r="B771" s="15">
        <v>16</v>
      </c>
      <c r="C771" s="16">
        <v>26</v>
      </c>
      <c r="D771" s="15" t="s">
        <v>1538</v>
      </c>
      <c r="E771" s="15" t="s">
        <v>1539</v>
      </c>
      <c r="F771" s="15">
        <v>108.5</v>
      </c>
      <c r="G771" s="15">
        <v>98.5</v>
      </c>
      <c r="H771" s="15">
        <v>118.5</v>
      </c>
      <c r="I771" s="15"/>
      <c r="J771" s="15">
        <v>64</v>
      </c>
      <c r="K771" s="15"/>
      <c r="L771" s="15">
        <v>94</v>
      </c>
      <c r="M771" s="15">
        <v>88</v>
      </c>
      <c r="N771" s="15"/>
      <c r="O771" s="15">
        <v>325.5</v>
      </c>
      <c r="P771" s="15">
        <v>571.5</v>
      </c>
    </row>
    <row r="772" ht="14.25" spans="1:16">
      <c r="A772" s="13">
        <v>771</v>
      </c>
      <c r="B772" s="15">
        <v>16</v>
      </c>
      <c r="C772" s="16">
        <v>27</v>
      </c>
      <c r="D772" s="15" t="s">
        <v>1540</v>
      </c>
      <c r="E772" s="15" t="s">
        <v>1541</v>
      </c>
      <c r="F772" s="15">
        <v>105</v>
      </c>
      <c r="G772" s="15">
        <v>113</v>
      </c>
      <c r="H772" s="15">
        <v>120.5</v>
      </c>
      <c r="I772" s="15"/>
      <c r="J772" s="15">
        <v>66.5</v>
      </c>
      <c r="K772" s="15"/>
      <c r="L772" s="15">
        <v>93</v>
      </c>
      <c r="M772" s="15">
        <v>89</v>
      </c>
      <c r="N772" s="15"/>
      <c r="O772" s="15">
        <v>338.5</v>
      </c>
      <c r="P772" s="15">
        <v>587</v>
      </c>
    </row>
    <row r="773" ht="14.25" spans="1:16">
      <c r="A773" s="13">
        <v>772</v>
      </c>
      <c r="B773" s="15">
        <v>16</v>
      </c>
      <c r="C773" s="16">
        <v>28</v>
      </c>
      <c r="D773" s="15" t="s">
        <v>1542</v>
      </c>
      <c r="E773" s="15" t="s">
        <v>1543</v>
      </c>
      <c r="F773" s="15">
        <v>112.5</v>
      </c>
      <c r="G773" s="15">
        <v>89</v>
      </c>
      <c r="H773" s="15">
        <v>122</v>
      </c>
      <c r="I773" s="15"/>
      <c r="J773" s="15">
        <v>63.5</v>
      </c>
      <c r="K773" s="15"/>
      <c r="L773" s="15">
        <v>92</v>
      </c>
      <c r="M773" s="15">
        <v>88</v>
      </c>
      <c r="N773" s="15"/>
      <c r="O773" s="15">
        <v>323.5</v>
      </c>
      <c r="P773" s="15">
        <v>567</v>
      </c>
    </row>
    <row r="774" ht="14.25" spans="1:16">
      <c r="A774" s="13">
        <v>773</v>
      </c>
      <c r="B774" s="15">
        <v>16</v>
      </c>
      <c r="C774" s="16">
        <v>29</v>
      </c>
      <c r="D774" s="15" t="s">
        <v>1544</v>
      </c>
      <c r="E774" s="15" t="s">
        <v>1545</v>
      </c>
      <c r="F774" s="15">
        <v>101</v>
      </c>
      <c r="G774" s="15">
        <v>119</v>
      </c>
      <c r="H774" s="15">
        <v>105.5</v>
      </c>
      <c r="I774" s="15"/>
      <c r="J774" s="15">
        <v>56.5</v>
      </c>
      <c r="K774" s="15"/>
      <c r="L774" s="15">
        <v>87</v>
      </c>
      <c r="M774" s="15">
        <v>88</v>
      </c>
      <c r="N774" s="15"/>
      <c r="O774" s="15">
        <v>325.5</v>
      </c>
      <c r="P774" s="15">
        <v>557</v>
      </c>
    </row>
    <row r="775" ht="14.25" spans="1:16">
      <c r="A775" s="13">
        <v>774</v>
      </c>
      <c r="B775" s="15">
        <v>16</v>
      </c>
      <c r="C775" s="16">
        <v>31</v>
      </c>
      <c r="D775" s="15" t="s">
        <v>1546</v>
      </c>
      <c r="E775" s="15" t="s">
        <v>1547</v>
      </c>
      <c r="F775" s="15">
        <v>114.5</v>
      </c>
      <c r="G775" s="15">
        <v>80</v>
      </c>
      <c r="H775" s="15">
        <v>124.75</v>
      </c>
      <c r="I775" s="15"/>
      <c r="J775" s="15">
        <v>82.5</v>
      </c>
      <c r="K775" s="15"/>
      <c r="L775" s="15">
        <v>88</v>
      </c>
      <c r="M775" s="15">
        <v>87</v>
      </c>
      <c r="N775" s="15"/>
      <c r="O775" s="15">
        <v>319.25</v>
      </c>
      <c r="P775" s="15">
        <v>576.75</v>
      </c>
    </row>
    <row r="776" ht="14.25" spans="1:16">
      <c r="A776" s="13">
        <v>775</v>
      </c>
      <c r="B776" s="15">
        <v>16</v>
      </c>
      <c r="C776" s="16">
        <v>32</v>
      </c>
      <c r="D776" s="15" t="s">
        <v>1548</v>
      </c>
      <c r="E776" s="15" t="s">
        <v>1549</v>
      </c>
      <c r="F776" s="15">
        <v>110</v>
      </c>
      <c r="G776" s="15">
        <v>106</v>
      </c>
      <c r="H776" s="15">
        <v>119</v>
      </c>
      <c r="I776" s="15"/>
      <c r="J776" s="15">
        <v>66</v>
      </c>
      <c r="K776" s="15"/>
      <c r="L776" s="15">
        <v>91</v>
      </c>
      <c r="M776" s="15">
        <v>80</v>
      </c>
      <c r="N776" s="15"/>
      <c r="O776" s="15">
        <v>335</v>
      </c>
      <c r="P776" s="15">
        <v>572</v>
      </c>
    </row>
    <row r="777" ht="14.25" spans="1:16">
      <c r="A777" s="13">
        <v>776</v>
      </c>
      <c r="B777" s="15">
        <v>16</v>
      </c>
      <c r="C777" s="16">
        <v>33</v>
      </c>
      <c r="D777" s="15" t="s">
        <v>1550</v>
      </c>
      <c r="E777" s="15" t="s">
        <v>1551</v>
      </c>
      <c r="F777" s="15">
        <v>108.5</v>
      </c>
      <c r="G777" s="15">
        <v>95</v>
      </c>
      <c r="H777" s="15">
        <v>123.25</v>
      </c>
      <c r="I777" s="15"/>
      <c r="J777" s="15">
        <v>61.5</v>
      </c>
      <c r="K777" s="15"/>
      <c r="L777" s="15">
        <v>86</v>
      </c>
      <c r="M777" s="15">
        <v>83</v>
      </c>
      <c r="N777" s="15"/>
      <c r="O777" s="15">
        <v>326.75</v>
      </c>
      <c r="P777" s="15">
        <v>557.25</v>
      </c>
    </row>
    <row r="778" ht="14.25" spans="1:16">
      <c r="A778" s="13">
        <v>777</v>
      </c>
      <c r="B778" s="15">
        <v>16</v>
      </c>
      <c r="C778" s="16">
        <v>34</v>
      </c>
      <c r="D778" s="15" t="s">
        <v>1552</v>
      </c>
      <c r="E778" s="15" t="s">
        <v>1553</v>
      </c>
      <c r="F778" s="15">
        <v>107.5</v>
      </c>
      <c r="G778" s="15">
        <v>119</v>
      </c>
      <c r="H778" s="15">
        <v>114</v>
      </c>
      <c r="I778" s="15"/>
      <c r="J778" s="15">
        <v>70.5</v>
      </c>
      <c r="K778" s="15"/>
      <c r="L778" s="15">
        <v>92</v>
      </c>
      <c r="M778" s="15">
        <v>84</v>
      </c>
      <c r="N778" s="15"/>
      <c r="O778" s="15">
        <v>340.5</v>
      </c>
      <c r="P778" s="15">
        <v>587</v>
      </c>
    </row>
    <row r="779" ht="14.25" spans="1:16">
      <c r="A779" s="13">
        <v>778</v>
      </c>
      <c r="B779" s="15">
        <v>16</v>
      </c>
      <c r="C779" s="16">
        <v>35</v>
      </c>
      <c r="D779" s="15" t="s">
        <v>1554</v>
      </c>
      <c r="E779" s="15" t="s">
        <v>1555</v>
      </c>
      <c r="F779" s="15">
        <v>101.25</v>
      </c>
      <c r="G779" s="15">
        <v>107.5</v>
      </c>
      <c r="H779" s="15">
        <v>120.5</v>
      </c>
      <c r="I779" s="15"/>
      <c r="J779" s="15">
        <v>58.5</v>
      </c>
      <c r="K779" s="15"/>
      <c r="L779" s="15">
        <v>84</v>
      </c>
      <c r="M779" s="15">
        <v>76</v>
      </c>
      <c r="N779" s="15"/>
      <c r="O779" s="15">
        <v>329.25</v>
      </c>
      <c r="P779" s="15">
        <v>547.75</v>
      </c>
    </row>
    <row r="780" ht="14.25" spans="1:16">
      <c r="A780" s="13">
        <v>779</v>
      </c>
      <c r="B780" s="15">
        <v>16</v>
      </c>
      <c r="C780" s="16">
        <v>36</v>
      </c>
      <c r="D780" s="15" t="s">
        <v>1556</v>
      </c>
      <c r="E780" s="15" t="s">
        <v>1557</v>
      </c>
      <c r="F780" s="15">
        <v>112.5</v>
      </c>
      <c r="G780" s="15">
        <v>94</v>
      </c>
      <c r="H780" s="15">
        <v>118.5</v>
      </c>
      <c r="I780" s="15"/>
      <c r="J780" s="15">
        <v>67</v>
      </c>
      <c r="K780" s="15"/>
      <c r="L780" s="15">
        <v>71</v>
      </c>
      <c r="M780" s="15">
        <v>87</v>
      </c>
      <c r="N780" s="15"/>
      <c r="O780" s="15">
        <v>325</v>
      </c>
      <c r="P780" s="15">
        <v>550</v>
      </c>
    </row>
    <row r="781" ht="14.25" spans="1:16">
      <c r="A781" s="13">
        <v>780</v>
      </c>
      <c r="B781" s="15">
        <v>16</v>
      </c>
      <c r="C781" s="16">
        <v>37</v>
      </c>
      <c r="D781" s="15" t="s">
        <v>1558</v>
      </c>
      <c r="E781" s="15" t="s">
        <v>1559</v>
      </c>
      <c r="F781" s="15">
        <v>118</v>
      </c>
      <c r="G781" s="15">
        <v>109</v>
      </c>
      <c r="H781" s="15">
        <v>116.25</v>
      </c>
      <c r="I781" s="15"/>
      <c r="J781" s="15">
        <v>71.5</v>
      </c>
      <c r="K781" s="15"/>
      <c r="L781" s="15">
        <v>75</v>
      </c>
      <c r="M781" s="15">
        <v>86</v>
      </c>
      <c r="N781" s="15"/>
      <c r="O781" s="15">
        <v>343.25</v>
      </c>
      <c r="P781" s="15">
        <v>575.75</v>
      </c>
    </row>
    <row r="782" ht="14.25" spans="1:16">
      <c r="A782" s="13">
        <v>781</v>
      </c>
      <c r="B782" s="15">
        <v>16</v>
      </c>
      <c r="C782" s="16">
        <v>38</v>
      </c>
      <c r="D782" s="15" t="s">
        <v>1560</v>
      </c>
      <c r="E782" s="15" t="s">
        <v>1561</v>
      </c>
      <c r="F782" s="15">
        <v>90</v>
      </c>
      <c r="G782" s="15">
        <v>116.5</v>
      </c>
      <c r="H782" s="15">
        <v>125</v>
      </c>
      <c r="I782" s="15"/>
      <c r="J782" s="15">
        <v>67</v>
      </c>
      <c r="K782" s="15"/>
      <c r="L782" s="15">
        <v>79</v>
      </c>
      <c r="M782" s="15">
        <v>84</v>
      </c>
      <c r="N782" s="15"/>
      <c r="O782" s="15">
        <v>331.5</v>
      </c>
      <c r="P782" s="15">
        <v>561.5</v>
      </c>
    </row>
    <row r="783" ht="14.25" spans="1:16">
      <c r="A783" s="13">
        <v>782</v>
      </c>
      <c r="B783" s="15">
        <v>16</v>
      </c>
      <c r="C783" s="16">
        <v>39</v>
      </c>
      <c r="D783" s="15" t="s">
        <v>1562</v>
      </c>
      <c r="E783" s="15" t="s">
        <v>1563</v>
      </c>
      <c r="F783" s="15">
        <v>106</v>
      </c>
      <c r="G783" s="15">
        <v>95.5</v>
      </c>
      <c r="H783" s="15">
        <v>117</v>
      </c>
      <c r="I783" s="15"/>
      <c r="J783" s="15">
        <v>56</v>
      </c>
      <c r="K783" s="15"/>
      <c r="L783" s="15">
        <v>87</v>
      </c>
      <c r="M783" s="15">
        <v>75</v>
      </c>
      <c r="N783" s="15"/>
      <c r="O783" s="15">
        <v>318.5</v>
      </c>
      <c r="P783" s="15">
        <v>536.5</v>
      </c>
    </row>
    <row r="784" ht="14.25" spans="1:16">
      <c r="A784" s="13">
        <v>783</v>
      </c>
      <c r="B784" s="15">
        <v>16</v>
      </c>
      <c r="C784" s="16">
        <v>40</v>
      </c>
      <c r="D784" s="15" t="s">
        <v>1564</v>
      </c>
      <c r="E784" s="15" t="s">
        <v>1565</v>
      </c>
      <c r="F784" s="15">
        <v>99.25</v>
      </c>
      <c r="G784" s="15">
        <v>95.5</v>
      </c>
      <c r="H784" s="15">
        <v>120.5</v>
      </c>
      <c r="I784" s="15"/>
      <c r="J784" s="15">
        <v>68</v>
      </c>
      <c r="K784" s="15"/>
      <c r="L784" s="15">
        <v>76</v>
      </c>
      <c r="M784" s="15">
        <v>88</v>
      </c>
      <c r="N784" s="15"/>
      <c r="O784" s="15">
        <v>315.25</v>
      </c>
      <c r="P784" s="15">
        <v>547.25</v>
      </c>
    </row>
    <row r="785" ht="14.25" spans="1:16">
      <c r="A785" s="13">
        <v>784</v>
      </c>
      <c r="B785" s="15">
        <v>17</v>
      </c>
      <c r="C785" s="16">
        <v>1</v>
      </c>
      <c r="D785" s="15" t="s">
        <v>1566</v>
      </c>
      <c r="E785" s="15" t="s">
        <v>1567</v>
      </c>
      <c r="F785" s="15">
        <v>104.5</v>
      </c>
      <c r="G785" s="15">
        <v>84</v>
      </c>
      <c r="H785" s="15">
        <v>106</v>
      </c>
      <c r="I785" s="15"/>
      <c r="J785" s="15">
        <v>51.5</v>
      </c>
      <c r="K785" s="15"/>
      <c r="L785" s="15">
        <v>82</v>
      </c>
      <c r="M785" s="15">
        <v>80</v>
      </c>
      <c r="N785" s="15"/>
      <c r="O785" s="15">
        <v>294.5</v>
      </c>
      <c r="P785" s="15">
        <v>508</v>
      </c>
    </row>
    <row r="786" ht="14.25" spans="1:16">
      <c r="A786" s="13">
        <v>785</v>
      </c>
      <c r="B786" s="15">
        <v>17</v>
      </c>
      <c r="C786" s="16">
        <v>2</v>
      </c>
      <c r="D786" s="15" t="s">
        <v>1568</v>
      </c>
      <c r="E786" s="15" t="s">
        <v>1569</v>
      </c>
      <c r="F786" s="15">
        <v>94</v>
      </c>
      <c r="G786" s="15">
        <v>106.5</v>
      </c>
      <c r="H786" s="15">
        <v>70.25</v>
      </c>
      <c r="I786" s="15"/>
      <c r="J786" s="15">
        <v>55.5</v>
      </c>
      <c r="K786" s="15"/>
      <c r="L786" s="15">
        <v>79</v>
      </c>
      <c r="M786" s="15">
        <v>80</v>
      </c>
      <c r="N786" s="15"/>
      <c r="O786" s="15">
        <v>270.75</v>
      </c>
      <c r="P786" s="15">
        <v>485.25</v>
      </c>
    </row>
    <row r="787" ht="14.25" spans="1:16">
      <c r="A787" s="13">
        <v>786</v>
      </c>
      <c r="B787" s="15">
        <v>17</v>
      </c>
      <c r="C787" s="16">
        <v>3</v>
      </c>
      <c r="D787" s="15" t="s">
        <v>1570</v>
      </c>
      <c r="E787" s="15" t="s">
        <v>1571</v>
      </c>
      <c r="F787" s="15">
        <v>104</v>
      </c>
      <c r="G787" s="15">
        <v>90</v>
      </c>
      <c r="H787" s="15">
        <v>96.5</v>
      </c>
      <c r="I787" s="15"/>
      <c r="J787" s="15">
        <v>50.5</v>
      </c>
      <c r="K787" s="15"/>
      <c r="L787" s="15">
        <v>82</v>
      </c>
      <c r="M787" s="15">
        <v>84</v>
      </c>
      <c r="N787" s="15"/>
      <c r="O787" s="15">
        <v>290.5</v>
      </c>
      <c r="P787" s="15">
        <v>507</v>
      </c>
    </row>
    <row r="788" ht="14.25" spans="1:16">
      <c r="A788" s="13">
        <v>787</v>
      </c>
      <c r="B788" s="15">
        <v>17</v>
      </c>
      <c r="C788" s="16">
        <v>6</v>
      </c>
      <c r="D788" s="15" t="s">
        <v>1572</v>
      </c>
      <c r="E788" s="15" t="s">
        <v>1573</v>
      </c>
      <c r="F788" s="15">
        <v>92</v>
      </c>
      <c r="G788" s="15">
        <v>72</v>
      </c>
      <c r="H788" s="15">
        <v>115.5</v>
      </c>
      <c r="I788" s="15"/>
      <c r="J788" s="15">
        <v>60.5</v>
      </c>
      <c r="K788" s="15"/>
      <c r="L788" s="15">
        <v>60</v>
      </c>
      <c r="M788" s="15">
        <v>89</v>
      </c>
      <c r="N788" s="15"/>
      <c r="O788" s="15">
        <v>279.5</v>
      </c>
      <c r="P788" s="15">
        <v>489</v>
      </c>
    </row>
    <row r="789" ht="14.25" spans="1:16">
      <c r="A789" s="13">
        <v>788</v>
      </c>
      <c r="B789" s="15">
        <v>17</v>
      </c>
      <c r="C789" s="16">
        <v>7</v>
      </c>
      <c r="D789" s="15" t="s">
        <v>1574</v>
      </c>
      <c r="E789" s="15" t="s">
        <v>1575</v>
      </c>
      <c r="F789" s="15">
        <v>102.25</v>
      </c>
      <c r="G789" s="15">
        <v>99</v>
      </c>
      <c r="H789" s="15">
        <v>89.25</v>
      </c>
      <c r="I789" s="15"/>
      <c r="J789" s="15">
        <v>56</v>
      </c>
      <c r="K789" s="15"/>
      <c r="L789" s="15">
        <v>83</v>
      </c>
      <c r="M789" s="15">
        <v>68</v>
      </c>
      <c r="N789" s="15"/>
      <c r="O789" s="15">
        <v>290.5</v>
      </c>
      <c r="P789" s="15">
        <v>497.5</v>
      </c>
    </row>
    <row r="790" ht="14.25" spans="1:16">
      <c r="A790" s="13">
        <v>789</v>
      </c>
      <c r="B790" s="15">
        <v>17</v>
      </c>
      <c r="C790" s="16">
        <v>10</v>
      </c>
      <c r="D790" s="15" t="s">
        <v>1576</v>
      </c>
      <c r="E790" s="15" t="s">
        <v>1577</v>
      </c>
      <c r="F790" s="15">
        <v>104.5</v>
      </c>
      <c r="G790" s="15">
        <v>88.5</v>
      </c>
      <c r="H790" s="15">
        <v>76.5</v>
      </c>
      <c r="I790" s="15"/>
      <c r="J790" s="15">
        <v>64.5</v>
      </c>
      <c r="K790" s="15"/>
      <c r="L790" s="15">
        <v>87</v>
      </c>
      <c r="M790" s="15">
        <v>87</v>
      </c>
      <c r="N790" s="15"/>
      <c r="O790" s="15">
        <v>269.5</v>
      </c>
      <c r="P790" s="15">
        <v>508</v>
      </c>
    </row>
    <row r="791" ht="14.25" spans="1:16">
      <c r="A791" s="13">
        <v>790</v>
      </c>
      <c r="B791" s="15">
        <v>17</v>
      </c>
      <c r="C791" s="16">
        <v>11</v>
      </c>
      <c r="D791" s="15" t="s">
        <v>1578</v>
      </c>
      <c r="E791" s="15" t="s">
        <v>1579</v>
      </c>
      <c r="F791" s="15">
        <v>105</v>
      </c>
      <c r="G791" s="15">
        <v>53.5</v>
      </c>
      <c r="H791" s="15">
        <v>80.5</v>
      </c>
      <c r="I791" s="15"/>
      <c r="J791" s="15">
        <v>50</v>
      </c>
      <c r="K791" s="15"/>
      <c r="L791" s="15">
        <v>73</v>
      </c>
      <c r="M791" s="15">
        <v>76</v>
      </c>
      <c r="N791" s="15"/>
      <c r="O791" s="15">
        <v>239</v>
      </c>
      <c r="P791" s="15">
        <v>438</v>
      </c>
    </row>
    <row r="792" ht="14.25" spans="1:16">
      <c r="A792" s="13">
        <v>791</v>
      </c>
      <c r="B792" s="15">
        <v>17</v>
      </c>
      <c r="C792" s="16">
        <v>12</v>
      </c>
      <c r="D792" s="15" t="s">
        <v>1580</v>
      </c>
      <c r="E792" s="15" t="s">
        <v>1581</v>
      </c>
      <c r="F792" s="15">
        <v>113</v>
      </c>
      <c r="G792" s="15">
        <v>103.5</v>
      </c>
      <c r="H792" s="15">
        <v>117.25</v>
      </c>
      <c r="I792" s="15"/>
      <c r="J792" s="15">
        <v>58</v>
      </c>
      <c r="K792" s="15"/>
      <c r="L792" s="15">
        <v>87</v>
      </c>
      <c r="M792" s="15">
        <v>88</v>
      </c>
      <c r="N792" s="15"/>
      <c r="O792" s="15">
        <v>333.75</v>
      </c>
      <c r="P792" s="15">
        <v>566.75</v>
      </c>
    </row>
    <row r="793" ht="14.25" spans="1:16">
      <c r="A793" s="13">
        <v>792</v>
      </c>
      <c r="B793" s="15">
        <v>17</v>
      </c>
      <c r="C793" s="16">
        <v>13</v>
      </c>
      <c r="D793" s="15" t="s">
        <v>1582</v>
      </c>
      <c r="E793" s="15" t="s">
        <v>1583</v>
      </c>
      <c r="F793" s="15">
        <v>109.5</v>
      </c>
      <c r="G793" s="15">
        <v>98.5</v>
      </c>
      <c r="H793" s="15">
        <v>112</v>
      </c>
      <c r="I793" s="15"/>
      <c r="J793" s="15">
        <v>62</v>
      </c>
      <c r="K793" s="15"/>
      <c r="L793" s="15">
        <v>85</v>
      </c>
      <c r="M793" s="15">
        <v>87</v>
      </c>
      <c r="N793" s="15"/>
      <c r="O793" s="15">
        <v>320</v>
      </c>
      <c r="P793" s="15">
        <v>554</v>
      </c>
    </row>
    <row r="794" ht="14.25" spans="1:16">
      <c r="A794" s="13">
        <v>793</v>
      </c>
      <c r="B794" s="15">
        <v>17</v>
      </c>
      <c r="C794" s="16">
        <v>14</v>
      </c>
      <c r="D794" s="15" t="s">
        <v>1584</v>
      </c>
      <c r="E794" s="15" t="s">
        <v>1585</v>
      </c>
      <c r="F794" s="15">
        <v>95.5</v>
      </c>
      <c r="G794" s="15">
        <v>84</v>
      </c>
      <c r="H794" s="15">
        <v>98</v>
      </c>
      <c r="I794" s="15"/>
      <c r="J794" s="15">
        <v>56</v>
      </c>
      <c r="K794" s="15"/>
      <c r="L794" s="15">
        <v>69</v>
      </c>
      <c r="M794" s="15">
        <v>88</v>
      </c>
      <c r="N794" s="15"/>
      <c r="O794" s="15">
        <v>277.5</v>
      </c>
      <c r="P794" s="15">
        <v>490.5</v>
      </c>
    </row>
    <row r="795" ht="14.25" spans="1:16">
      <c r="A795" s="13">
        <v>794</v>
      </c>
      <c r="B795" s="15">
        <v>17</v>
      </c>
      <c r="C795" s="16">
        <v>15</v>
      </c>
      <c r="D795" s="15" t="s">
        <v>1586</v>
      </c>
      <c r="E795" s="15" t="s">
        <v>1587</v>
      </c>
      <c r="F795" s="15">
        <v>90.5</v>
      </c>
      <c r="G795" s="15">
        <v>80.5</v>
      </c>
      <c r="H795" s="15">
        <v>104</v>
      </c>
      <c r="I795" s="15"/>
      <c r="J795" s="15">
        <v>56</v>
      </c>
      <c r="K795" s="15"/>
      <c r="L795" s="15">
        <v>61</v>
      </c>
      <c r="M795" s="15">
        <v>54</v>
      </c>
      <c r="N795" s="15"/>
      <c r="O795" s="15">
        <v>275</v>
      </c>
      <c r="P795" s="15">
        <v>446</v>
      </c>
    </row>
    <row r="796" ht="14.25" spans="1:16">
      <c r="A796" s="13">
        <v>795</v>
      </c>
      <c r="B796" s="15">
        <v>17</v>
      </c>
      <c r="C796" s="16">
        <v>17</v>
      </c>
      <c r="D796" s="15" t="s">
        <v>1588</v>
      </c>
      <c r="E796" s="15" t="s">
        <v>1589</v>
      </c>
      <c r="F796" s="15">
        <v>105</v>
      </c>
      <c r="G796" s="15">
        <v>95.5</v>
      </c>
      <c r="H796" s="15">
        <v>105.75</v>
      </c>
      <c r="I796" s="15"/>
      <c r="J796" s="15">
        <v>58</v>
      </c>
      <c r="K796" s="15"/>
      <c r="L796" s="15">
        <v>86</v>
      </c>
      <c r="M796" s="15">
        <v>82</v>
      </c>
      <c r="N796" s="15"/>
      <c r="O796" s="15">
        <v>306.25</v>
      </c>
      <c r="P796" s="15">
        <v>532.25</v>
      </c>
    </row>
    <row r="797" ht="14.25" spans="1:16">
      <c r="A797" s="13">
        <v>796</v>
      </c>
      <c r="B797" s="15">
        <v>17</v>
      </c>
      <c r="C797" s="16">
        <v>19</v>
      </c>
      <c r="D797" s="15" t="s">
        <v>1590</v>
      </c>
      <c r="E797" s="15" t="s">
        <v>1591</v>
      </c>
      <c r="F797" s="15">
        <v>102.75</v>
      </c>
      <c r="G797" s="15">
        <v>90</v>
      </c>
      <c r="H797" s="15">
        <v>105.75</v>
      </c>
      <c r="I797" s="15"/>
      <c r="J797" s="15">
        <v>55.5</v>
      </c>
      <c r="K797" s="15"/>
      <c r="L797" s="15">
        <v>88</v>
      </c>
      <c r="M797" s="15">
        <v>89</v>
      </c>
      <c r="N797" s="15"/>
      <c r="O797" s="15">
        <v>298.5</v>
      </c>
      <c r="P797" s="15">
        <v>531</v>
      </c>
    </row>
    <row r="798" ht="14.25" spans="1:16">
      <c r="A798" s="13">
        <v>797</v>
      </c>
      <c r="B798" s="15">
        <v>17</v>
      </c>
      <c r="C798" s="16">
        <v>20</v>
      </c>
      <c r="D798" s="15" t="s">
        <v>1592</v>
      </c>
      <c r="E798" s="15" t="s">
        <v>1593</v>
      </c>
      <c r="F798" s="15">
        <v>112.5</v>
      </c>
      <c r="G798" s="15">
        <v>94.5</v>
      </c>
      <c r="H798" s="15">
        <v>116.5</v>
      </c>
      <c r="I798" s="15"/>
      <c r="J798" s="15">
        <v>65.5</v>
      </c>
      <c r="K798" s="15"/>
      <c r="L798" s="15">
        <v>87</v>
      </c>
      <c r="M798" s="15">
        <v>89</v>
      </c>
      <c r="N798" s="15"/>
      <c r="O798" s="15">
        <v>323.5</v>
      </c>
      <c r="P798" s="15">
        <v>565</v>
      </c>
    </row>
    <row r="799" ht="14.25" spans="1:16">
      <c r="A799" s="13">
        <v>798</v>
      </c>
      <c r="B799" s="15">
        <v>17</v>
      </c>
      <c r="C799" s="16">
        <v>21</v>
      </c>
      <c r="D799" s="15" t="s">
        <v>1594</v>
      </c>
      <c r="E799" s="15" t="s">
        <v>1595</v>
      </c>
      <c r="F799" s="15">
        <v>100</v>
      </c>
      <c r="G799" s="15">
        <v>114</v>
      </c>
      <c r="H799" s="15">
        <v>117</v>
      </c>
      <c r="I799" s="15"/>
      <c r="J799" s="15">
        <v>66</v>
      </c>
      <c r="K799" s="15"/>
      <c r="L799" s="15">
        <v>79</v>
      </c>
      <c r="M799" s="15">
        <v>87</v>
      </c>
      <c r="N799" s="15"/>
      <c r="O799" s="15">
        <v>331</v>
      </c>
      <c r="P799" s="15">
        <v>563</v>
      </c>
    </row>
    <row r="800" ht="14.25" spans="1:16">
      <c r="A800" s="13">
        <v>799</v>
      </c>
      <c r="B800" s="15">
        <v>17</v>
      </c>
      <c r="C800" s="16">
        <v>22</v>
      </c>
      <c r="D800" s="15" t="s">
        <v>1596</v>
      </c>
      <c r="E800" s="15" t="s">
        <v>1597</v>
      </c>
      <c r="F800" s="15">
        <v>107</v>
      </c>
      <c r="G800" s="15">
        <v>50</v>
      </c>
      <c r="H800" s="15">
        <v>89</v>
      </c>
      <c r="I800" s="15"/>
      <c r="J800" s="15">
        <v>46</v>
      </c>
      <c r="K800" s="15"/>
      <c r="L800" s="15">
        <v>72</v>
      </c>
      <c r="M800" s="15">
        <v>77</v>
      </c>
      <c r="N800" s="15"/>
      <c r="O800" s="15">
        <v>246</v>
      </c>
      <c r="P800" s="15">
        <v>441</v>
      </c>
    </row>
    <row r="801" ht="14.25" spans="1:16">
      <c r="A801" s="13">
        <v>800</v>
      </c>
      <c r="B801" s="15">
        <v>17</v>
      </c>
      <c r="C801" s="16">
        <v>23</v>
      </c>
      <c r="D801" s="15" t="s">
        <v>1598</v>
      </c>
      <c r="E801" s="15" t="s">
        <v>1599</v>
      </c>
      <c r="F801" s="15">
        <v>105</v>
      </c>
      <c r="G801" s="15">
        <v>104</v>
      </c>
      <c r="H801" s="15">
        <v>99.25</v>
      </c>
      <c r="I801" s="15"/>
      <c r="J801" s="15">
        <v>65.5</v>
      </c>
      <c r="K801" s="15"/>
      <c r="L801" s="15">
        <v>85</v>
      </c>
      <c r="M801" s="15">
        <v>87</v>
      </c>
      <c r="N801" s="15"/>
      <c r="O801" s="15">
        <v>308.25</v>
      </c>
      <c r="P801" s="15">
        <v>545.75</v>
      </c>
    </row>
    <row r="802" ht="14.25" spans="1:16">
      <c r="A802" s="13">
        <v>801</v>
      </c>
      <c r="B802" s="15">
        <v>17</v>
      </c>
      <c r="C802" s="16">
        <v>24</v>
      </c>
      <c r="D802" s="15" t="s">
        <v>1600</v>
      </c>
      <c r="E802" s="15" t="s">
        <v>1601</v>
      </c>
      <c r="F802" s="15">
        <v>99</v>
      </c>
      <c r="G802" s="15">
        <v>70</v>
      </c>
      <c r="H802" s="15">
        <v>96.75</v>
      </c>
      <c r="I802" s="15"/>
      <c r="J802" s="15">
        <v>44.5</v>
      </c>
      <c r="K802" s="15"/>
      <c r="L802" s="15">
        <v>88</v>
      </c>
      <c r="M802" s="15">
        <v>87</v>
      </c>
      <c r="N802" s="15"/>
      <c r="O802" s="15">
        <v>265.75</v>
      </c>
      <c r="P802" s="15">
        <v>485.25</v>
      </c>
    </row>
    <row r="803" ht="14.25" spans="1:16">
      <c r="A803" s="13">
        <v>802</v>
      </c>
      <c r="B803" s="15">
        <v>17</v>
      </c>
      <c r="C803" s="16">
        <v>25</v>
      </c>
      <c r="D803" s="15" t="s">
        <v>1602</v>
      </c>
      <c r="E803" s="15" t="s">
        <v>1603</v>
      </c>
      <c r="F803" s="15">
        <v>99</v>
      </c>
      <c r="G803" s="15">
        <v>100</v>
      </c>
      <c r="H803" s="15">
        <v>93</v>
      </c>
      <c r="I803" s="15"/>
      <c r="J803" s="15">
        <v>49</v>
      </c>
      <c r="K803" s="15"/>
      <c r="L803" s="15">
        <v>72</v>
      </c>
      <c r="M803" s="15">
        <v>79</v>
      </c>
      <c r="N803" s="15"/>
      <c r="O803" s="15">
        <v>292</v>
      </c>
      <c r="P803" s="15">
        <v>492</v>
      </c>
    </row>
    <row r="804" ht="14.25" spans="1:16">
      <c r="A804" s="13">
        <v>803</v>
      </c>
      <c r="B804" s="15">
        <v>17</v>
      </c>
      <c r="C804" s="16">
        <v>26</v>
      </c>
      <c r="D804" s="15" t="s">
        <v>1604</v>
      </c>
      <c r="E804" s="15" t="s">
        <v>1605</v>
      </c>
      <c r="F804" s="15">
        <v>104.5</v>
      </c>
      <c r="G804" s="15">
        <v>100.5</v>
      </c>
      <c r="H804" s="15">
        <v>113.75</v>
      </c>
      <c r="I804" s="15"/>
      <c r="J804" s="15">
        <v>59.5</v>
      </c>
      <c r="K804" s="15"/>
      <c r="L804" s="15">
        <v>80</v>
      </c>
      <c r="M804" s="15">
        <v>86</v>
      </c>
      <c r="N804" s="15"/>
      <c r="O804" s="15">
        <v>318.75</v>
      </c>
      <c r="P804" s="15">
        <v>544.25</v>
      </c>
    </row>
    <row r="805" ht="14.25" spans="1:16">
      <c r="A805" s="13">
        <v>804</v>
      </c>
      <c r="B805" s="15">
        <v>17</v>
      </c>
      <c r="C805" s="16">
        <v>27</v>
      </c>
      <c r="D805" s="15" t="s">
        <v>1606</v>
      </c>
      <c r="E805" s="15" t="s">
        <v>1607</v>
      </c>
      <c r="F805" s="15">
        <v>97.25</v>
      </c>
      <c r="G805" s="15">
        <v>105</v>
      </c>
      <c r="H805" s="15">
        <v>113.5</v>
      </c>
      <c r="I805" s="15"/>
      <c r="J805" s="15">
        <v>55</v>
      </c>
      <c r="K805" s="15"/>
      <c r="L805" s="15">
        <v>78</v>
      </c>
      <c r="M805" s="15">
        <v>86</v>
      </c>
      <c r="N805" s="15"/>
      <c r="O805" s="15">
        <v>315.75</v>
      </c>
      <c r="P805" s="15">
        <v>534.75</v>
      </c>
    </row>
    <row r="806" ht="14.25" spans="1:16">
      <c r="A806" s="13">
        <v>805</v>
      </c>
      <c r="B806" s="15">
        <v>17</v>
      </c>
      <c r="C806" s="16">
        <v>28</v>
      </c>
      <c r="D806" s="15" t="s">
        <v>1608</v>
      </c>
      <c r="E806" s="15" t="s">
        <v>1609</v>
      </c>
      <c r="F806" s="15">
        <v>98</v>
      </c>
      <c r="G806" s="15">
        <v>110.5</v>
      </c>
      <c r="H806" s="15">
        <v>103.5</v>
      </c>
      <c r="I806" s="15"/>
      <c r="J806" s="15">
        <v>65.5</v>
      </c>
      <c r="K806" s="15"/>
      <c r="L806" s="15">
        <v>70</v>
      </c>
      <c r="M806" s="15">
        <v>71</v>
      </c>
      <c r="N806" s="15"/>
      <c r="O806" s="15">
        <v>312</v>
      </c>
      <c r="P806" s="15">
        <v>518.5</v>
      </c>
    </row>
    <row r="807" ht="14.25" spans="1:16">
      <c r="A807" s="13">
        <v>806</v>
      </c>
      <c r="B807" s="15">
        <v>17</v>
      </c>
      <c r="C807" s="16">
        <v>29</v>
      </c>
      <c r="D807" s="15" t="s">
        <v>1610</v>
      </c>
      <c r="E807" s="15" t="s">
        <v>1611</v>
      </c>
      <c r="F807" s="15">
        <v>102.5</v>
      </c>
      <c r="G807" s="15">
        <v>106</v>
      </c>
      <c r="H807" s="15">
        <v>109</v>
      </c>
      <c r="I807" s="15"/>
      <c r="J807" s="15">
        <v>57</v>
      </c>
      <c r="K807" s="15"/>
      <c r="L807" s="15">
        <v>78</v>
      </c>
      <c r="M807" s="15">
        <v>83</v>
      </c>
      <c r="N807" s="15"/>
      <c r="O807" s="15">
        <v>317.5</v>
      </c>
      <c r="P807" s="15">
        <v>535.5</v>
      </c>
    </row>
    <row r="808" ht="14.25" spans="1:16">
      <c r="A808" s="13">
        <v>807</v>
      </c>
      <c r="B808" s="15">
        <v>17</v>
      </c>
      <c r="C808" s="16">
        <v>30</v>
      </c>
      <c r="D808" s="15" t="s">
        <v>1612</v>
      </c>
      <c r="E808" s="15" t="s">
        <v>1613</v>
      </c>
      <c r="F808" s="15">
        <v>90.25</v>
      </c>
      <c r="G808" s="15">
        <v>103</v>
      </c>
      <c r="H808" s="15">
        <v>107.25</v>
      </c>
      <c r="I808" s="15"/>
      <c r="J808" s="15">
        <v>54.5</v>
      </c>
      <c r="K808" s="15"/>
      <c r="L808" s="15">
        <v>94</v>
      </c>
      <c r="M808" s="15">
        <v>91</v>
      </c>
      <c r="N808" s="15"/>
      <c r="O808" s="15">
        <v>300.5</v>
      </c>
      <c r="P808" s="15">
        <v>540</v>
      </c>
    </row>
    <row r="809" ht="14.25" spans="1:16">
      <c r="A809" s="13">
        <v>808</v>
      </c>
      <c r="B809" s="15">
        <v>17</v>
      </c>
      <c r="C809" s="16">
        <v>31</v>
      </c>
      <c r="D809" s="15" t="s">
        <v>1614</v>
      </c>
      <c r="E809" s="15" t="s">
        <v>1615</v>
      </c>
      <c r="F809" s="15">
        <v>115.5</v>
      </c>
      <c r="G809" s="15">
        <v>102.5</v>
      </c>
      <c r="H809" s="15">
        <v>90</v>
      </c>
      <c r="I809" s="15"/>
      <c r="J809" s="15">
        <v>54.5</v>
      </c>
      <c r="K809" s="15"/>
      <c r="L809" s="15">
        <v>91</v>
      </c>
      <c r="M809" s="15">
        <v>89</v>
      </c>
      <c r="N809" s="15"/>
      <c r="O809" s="15">
        <v>308</v>
      </c>
      <c r="P809" s="15">
        <v>542.5</v>
      </c>
    </row>
    <row r="810" ht="14.25" spans="1:16">
      <c r="A810" s="13">
        <v>809</v>
      </c>
      <c r="B810" s="15">
        <v>17</v>
      </c>
      <c r="C810" s="16">
        <v>33</v>
      </c>
      <c r="D810" s="15" t="s">
        <v>1616</v>
      </c>
      <c r="E810" s="15" t="s">
        <v>1617</v>
      </c>
      <c r="F810" s="15">
        <v>97</v>
      </c>
      <c r="G810" s="15">
        <v>94</v>
      </c>
      <c r="H810" s="15">
        <v>85.25</v>
      </c>
      <c r="I810" s="15"/>
      <c r="J810" s="15">
        <v>49</v>
      </c>
      <c r="K810" s="15"/>
      <c r="L810" s="15">
        <v>68</v>
      </c>
      <c r="M810" s="15">
        <v>69</v>
      </c>
      <c r="N810" s="15"/>
      <c r="O810" s="15">
        <v>276.25</v>
      </c>
      <c r="P810" s="15">
        <v>462.25</v>
      </c>
    </row>
    <row r="811" ht="14.25" spans="1:16">
      <c r="A811" s="13">
        <v>810</v>
      </c>
      <c r="B811" s="15">
        <v>17</v>
      </c>
      <c r="C811" s="16">
        <v>35</v>
      </c>
      <c r="D811" s="15" t="s">
        <v>1618</v>
      </c>
      <c r="E811" s="15" t="s">
        <v>1619</v>
      </c>
      <c r="F811" s="15">
        <v>103.25</v>
      </c>
      <c r="G811" s="15">
        <v>78</v>
      </c>
      <c r="H811" s="15">
        <v>81</v>
      </c>
      <c r="I811" s="15"/>
      <c r="J811" s="15">
        <v>62</v>
      </c>
      <c r="K811" s="15"/>
      <c r="L811" s="15">
        <v>79</v>
      </c>
      <c r="M811" s="15">
        <v>70</v>
      </c>
      <c r="N811" s="15"/>
      <c r="O811" s="15">
        <v>262.25</v>
      </c>
      <c r="P811" s="15">
        <v>473.25</v>
      </c>
    </row>
    <row r="812" ht="14.25" spans="1:16">
      <c r="A812" s="13">
        <v>811</v>
      </c>
      <c r="B812" s="15">
        <v>17</v>
      </c>
      <c r="C812" s="16">
        <v>36</v>
      </c>
      <c r="D812" s="15" t="s">
        <v>1620</v>
      </c>
      <c r="E812" s="15" t="s">
        <v>1621</v>
      </c>
      <c r="F812" s="15">
        <v>110.5</v>
      </c>
      <c r="G812" s="15">
        <v>74.5</v>
      </c>
      <c r="H812" s="15">
        <v>84.5</v>
      </c>
      <c r="I812" s="15"/>
      <c r="J812" s="15">
        <v>61.5</v>
      </c>
      <c r="K812" s="15"/>
      <c r="L812" s="15">
        <v>65</v>
      </c>
      <c r="M812" s="15">
        <v>80</v>
      </c>
      <c r="N812" s="15"/>
      <c r="O812" s="15">
        <v>269.5</v>
      </c>
      <c r="P812" s="15">
        <v>476</v>
      </c>
    </row>
    <row r="813" ht="14.25" spans="1:16">
      <c r="A813" s="13">
        <v>812</v>
      </c>
      <c r="B813" s="15">
        <v>17</v>
      </c>
      <c r="C813" s="16">
        <v>37</v>
      </c>
      <c r="D813" s="15" t="s">
        <v>1622</v>
      </c>
      <c r="E813" s="15" t="s">
        <v>1623</v>
      </c>
      <c r="F813" s="15">
        <v>101.5</v>
      </c>
      <c r="G813" s="15">
        <v>102</v>
      </c>
      <c r="H813" s="15">
        <v>111.25</v>
      </c>
      <c r="I813" s="15"/>
      <c r="J813" s="15">
        <v>61.5</v>
      </c>
      <c r="K813" s="15"/>
      <c r="L813" s="15">
        <v>86</v>
      </c>
      <c r="M813" s="15">
        <v>74</v>
      </c>
      <c r="N813" s="15"/>
      <c r="O813" s="15">
        <v>314.75</v>
      </c>
      <c r="P813" s="15">
        <v>536.25</v>
      </c>
    </row>
    <row r="814" ht="14.25" spans="1:16">
      <c r="A814" s="13">
        <v>813</v>
      </c>
      <c r="B814" s="15">
        <v>17</v>
      </c>
      <c r="C814" s="16">
        <v>38</v>
      </c>
      <c r="D814" s="15" t="s">
        <v>1624</v>
      </c>
      <c r="E814" s="15" t="s">
        <v>1625</v>
      </c>
      <c r="F814" s="15">
        <v>115</v>
      </c>
      <c r="G814" s="15">
        <v>64.5</v>
      </c>
      <c r="H814" s="15">
        <v>118.5</v>
      </c>
      <c r="I814" s="15"/>
      <c r="J814" s="15">
        <v>47.5</v>
      </c>
      <c r="K814" s="15"/>
      <c r="L814" s="15">
        <v>87</v>
      </c>
      <c r="M814" s="15">
        <v>90</v>
      </c>
      <c r="N814" s="15"/>
      <c r="O814" s="15">
        <v>298</v>
      </c>
      <c r="P814" s="15">
        <v>522.5</v>
      </c>
    </row>
    <row r="815" ht="14.25" spans="1:16">
      <c r="A815" s="13">
        <v>814</v>
      </c>
      <c r="B815" s="15">
        <v>17</v>
      </c>
      <c r="C815" s="16">
        <v>39</v>
      </c>
      <c r="D815" s="15" t="s">
        <v>1626</v>
      </c>
      <c r="E815" s="15" t="s">
        <v>1627</v>
      </c>
      <c r="F815" s="15">
        <v>97</v>
      </c>
      <c r="G815" s="15">
        <v>99</v>
      </c>
      <c r="H815" s="15">
        <v>91.75</v>
      </c>
      <c r="I815" s="15"/>
      <c r="J815" s="15">
        <v>47</v>
      </c>
      <c r="K815" s="15"/>
      <c r="L815" s="15">
        <v>87</v>
      </c>
      <c r="M815" s="15">
        <v>69</v>
      </c>
      <c r="N815" s="15"/>
      <c r="O815" s="15">
        <v>287.75</v>
      </c>
      <c r="P815" s="15">
        <v>490.75</v>
      </c>
    </row>
    <row r="816" ht="14.25" spans="1:16">
      <c r="A816" s="13">
        <v>815</v>
      </c>
      <c r="B816" s="15">
        <v>17</v>
      </c>
      <c r="C816" s="16">
        <v>40</v>
      </c>
      <c r="D816" s="15" t="s">
        <v>1628</v>
      </c>
      <c r="E816" s="15" t="s">
        <v>1629</v>
      </c>
      <c r="F816" s="15">
        <v>95.25</v>
      </c>
      <c r="G816" s="15">
        <v>76</v>
      </c>
      <c r="H816" s="15">
        <v>101.5</v>
      </c>
      <c r="I816" s="15"/>
      <c r="J816" s="15">
        <v>59.5</v>
      </c>
      <c r="K816" s="15"/>
      <c r="L816" s="15">
        <v>82</v>
      </c>
      <c r="M816" s="15">
        <v>78</v>
      </c>
      <c r="N816" s="15"/>
      <c r="O816" s="15">
        <v>272.75</v>
      </c>
      <c r="P816" s="15">
        <v>492.25</v>
      </c>
    </row>
    <row r="817" ht="14.25" spans="1:16">
      <c r="A817" s="13">
        <v>816</v>
      </c>
      <c r="B817" s="15">
        <v>17</v>
      </c>
      <c r="C817" s="16">
        <v>41</v>
      </c>
      <c r="D817" s="15" t="s">
        <v>1630</v>
      </c>
      <c r="E817" s="15" t="s">
        <v>1631</v>
      </c>
      <c r="F817" s="15">
        <v>107</v>
      </c>
      <c r="G817" s="15">
        <v>87</v>
      </c>
      <c r="H817" s="15">
        <v>108.25</v>
      </c>
      <c r="I817" s="15"/>
      <c r="J817" s="15">
        <v>51</v>
      </c>
      <c r="K817" s="15"/>
      <c r="L817" s="15">
        <v>70</v>
      </c>
      <c r="M817" s="15">
        <v>89</v>
      </c>
      <c r="N817" s="15"/>
      <c r="O817" s="15">
        <v>302.25</v>
      </c>
      <c r="P817" s="15">
        <v>512.25</v>
      </c>
    </row>
    <row r="818" ht="14.25" spans="1:16">
      <c r="A818" s="13">
        <v>817</v>
      </c>
      <c r="B818" s="15">
        <v>17</v>
      </c>
      <c r="C818" s="16">
        <v>44</v>
      </c>
      <c r="D818" s="15" t="s">
        <v>1632</v>
      </c>
      <c r="E818" s="15" t="s">
        <v>1633</v>
      </c>
      <c r="F818" s="15">
        <v>96.5</v>
      </c>
      <c r="G818" s="15">
        <v>98</v>
      </c>
      <c r="H818" s="15">
        <v>100.5</v>
      </c>
      <c r="I818" s="15"/>
      <c r="J818" s="15">
        <v>59.5</v>
      </c>
      <c r="K818" s="15"/>
      <c r="L818" s="15">
        <v>70</v>
      </c>
      <c r="M818" s="15">
        <v>89</v>
      </c>
      <c r="N818" s="15"/>
      <c r="O818" s="15">
        <v>295</v>
      </c>
      <c r="P818" s="15">
        <v>513.5</v>
      </c>
    </row>
    <row r="819" ht="14.25" spans="1:16">
      <c r="A819" s="13">
        <v>818</v>
      </c>
      <c r="B819" s="15">
        <v>17</v>
      </c>
      <c r="C819" s="16">
        <v>45</v>
      </c>
      <c r="D819" s="15" t="s">
        <v>1634</v>
      </c>
      <c r="E819" s="15" t="s">
        <v>1635</v>
      </c>
      <c r="F819" s="15">
        <v>99</v>
      </c>
      <c r="G819" s="15">
        <v>110.5</v>
      </c>
      <c r="H819" s="15">
        <v>85.5</v>
      </c>
      <c r="I819" s="15"/>
      <c r="J819" s="15">
        <v>55.5</v>
      </c>
      <c r="K819" s="15"/>
      <c r="L819" s="15">
        <v>70</v>
      </c>
      <c r="M819" s="15">
        <v>89</v>
      </c>
      <c r="N819" s="15"/>
      <c r="O819" s="15">
        <v>295</v>
      </c>
      <c r="P819" s="15">
        <v>509.5</v>
      </c>
    </row>
    <row r="820" ht="14.25" spans="1:16">
      <c r="A820" s="13">
        <v>819</v>
      </c>
      <c r="B820" s="15">
        <v>17</v>
      </c>
      <c r="C820" s="16">
        <v>46</v>
      </c>
      <c r="D820" s="15" t="s">
        <v>1636</v>
      </c>
      <c r="E820" s="15" t="s">
        <v>1637</v>
      </c>
      <c r="F820" s="15">
        <v>95</v>
      </c>
      <c r="G820" s="15">
        <v>72</v>
      </c>
      <c r="H820" s="15">
        <v>78.75</v>
      </c>
      <c r="I820" s="15"/>
      <c r="J820" s="15">
        <v>50.5</v>
      </c>
      <c r="K820" s="15"/>
      <c r="L820" s="15">
        <v>71</v>
      </c>
      <c r="M820" s="15">
        <v>55</v>
      </c>
      <c r="N820" s="15"/>
      <c r="O820" s="15">
        <v>245.75</v>
      </c>
      <c r="P820" s="15">
        <v>422.25</v>
      </c>
    </row>
    <row r="821" ht="14.25" spans="1:16">
      <c r="A821" s="13">
        <v>820</v>
      </c>
      <c r="B821" s="15">
        <v>17</v>
      </c>
      <c r="C821" s="16">
        <v>47</v>
      </c>
      <c r="D821" s="15" t="s">
        <v>1638</v>
      </c>
      <c r="E821" s="15" t="s">
        <v>1639</v>
      </c>
      <c r="F821" s="15">
        <v>96.25</v>
      </c>
      <c r="G821" s="15">
        <v>68.5</v>
      </c>
      <c r="H821" s="15">
        <v>107.5</v>
      </c>
      <c r="I821" s="15"/>
      <c r="J821" s="15">
        <v>48.5</v>
      </c>
      <c r="K821" s="15"/>
      <c r="L821" s="15">
        <v>71</v>
      </c>
      <c r="M821" s="15">
        <v>69</v>
      </c>
      <c r="N821" s="15"/>
      <c r="O821" s="15">
        <v>272.25</v>
      </c>
      <c r="P821" s="15">
        <v>460.75</v>
      </c>
    </row>
    <row r="822" ht="14.25" spans="1:16">
      <c r="A822" s="13">
        <v>821</v>
      </c>
      <c r="B822" s="15">
        <v>17</v>
      </c>
      <c r="C822" s="16">
        <v>48</v>
      </c>
      <c r="D822" s="15" t="s">
        <v>1640</v>
      </c>
      <c r="E822" s="15" t="s">
        <v>1641</v>
      </c>
      <c r="F822" s="15">
        <v>103.75</v>
      </c>
      <c r="G822" s="15">
        <v>93.5</v>
      </c>
      <c r="H822" s="15">
        <v>102</v>
      </c>
      <c r="I822" s="15"/>
      <c r="J822" s="15">
        <v>65.5</v>
      </c>
      <c r="K822" s="15"/>
      <c r="L822" s="15">
        <v>89</v>
      </c>
      <c r="M822" s="15">
        <v>76</v>
      </c>
      <c r="N822" s="15"/>
      <c r="O822" s="15">
        <v>299.25</v>
      </c>
      <c r="P822" s="15">
        <v>529.75</v>
      </c>
    </row>
    <row r="823" ht="14.25" spans="1:16">
      <c r="A823" s="13">
        <v>822</v>
      </c>
      <c r="B823" s="15">
        <v>17</v>
      </c>
      <c r="C823" s="16">
        <v>49</v>
      </c>
      <c r="D823" s="15" t="s">
        <v>1642</v>
      </c>
      <c r="E823" s="15" t="s">
        <v>1643</v>
      </c>
      <c r="F823" s="15">
        <v>97.5</v>
      </c>
      <c r="G823" s="15">
        <v>67</v>
      </c>
      <c r="H823" s="15">
        <v>107</v>
      </c>
      <c r="I823" s="15"/>
      <c r="J823" s="15">
        <v>49.5</v>
      </c>
      <c r="K823" s="15"/>
      <c r="L823" s="15">
        <v>86</v>
      </c>
      <c r="M823" s="15">
        <v>80</v>
      </c>
      <c r="N823" s="15"/>
      <c r="O823" s="15">
        <v>271.5</v>
      </c>
      <c r="P823" s="15">
        <v>487</v>
      </c>
    </row>
    <row r="824" ht="14.25" spans="1:16">
      <c r="A824" s="13">
        <v>823</v>
      </c>
      <c r="B824" s="15">
        <v>17</v>
      </c>
      <c r="C824" s="16">
        <v>52</v>
      </c>
      <c r="D824" s="15" t="s">
        <v>1644</v>
      </c>
      <c r="E824" s="15" t="s">
        <v>1645</v>
      </c>
      <c r="F824" s="15">
        <v>105.5</v>
      </c>
      <c r="G824" s="15">
        <v>72.5</v>
      </c>
      <c r="H824" s="15">
        <v>119</v>
      </c>
      <c r="I824" s="15"/>
      <c r="J824" s="15">
        <v>55.5</v>
      </c>
      <c r="K824" s="15"/>
      <c r="L824" s="15">
        <v>84</v>
      </c>
      <c r="M824" s="15">
        <v>85</v>
      </c>
      <c r="N824" s="15"/>
      <c r="O824" s="15">
        <v>297</v>
      </c>
      <c r="P824" s="15">
        <v>521.5</v>
      </c>
    </row>
    <row r="825" ht="14.25" spans="1:16">
      <c r="A825" s="13">
        <v>824</v>
      </c>
      <c r="B825" s="15">
        <v>17</v>
      </c>
      <c r="C825" s="16">
        <v>53</v>
      </c>
      <c r="D825" s="15" t="s">
        <v>1646</v>
      </c>
      <c r="E825" s="15" t="s">
        <v>1647</v>
      </c>
      <c r="F825" s="15">
        <v>87.5</v>
      </c>
      <c r="G825" s="15">
        <v>73</v>
      </c>
      <c r="H825" s="15">
        <v>91.75</v>
      </c>
      <c r="I825" s="15"/>
      <c r="J825" s="15">
        <v>49</v>
      </c>
      <c r="K825" s="15"/>
      <c r="L825" s="15">
        <v>67</v>
      </c>
      <c r="M825" s="15">
        <v>84</v>
      </c>
      <c r="N825" s="15"/>
      <c r="O825" s="15">
        <v>252.25</v>
      </c>
      <c r="P825" s="15">
        <v>452.25</v>
      </c>
    </row>
    <row r="826" ht="14.25" spans="1:16">
      <c r="A826" s="13">
        <v>825</v>
      </c>
      <c r="B826" s="15">
        <v>17</v>
      </c>
      <c r="C826" s="16">
        <v>54</v>
      </c>
      <c r="D826" s="15" t="s">
        <v>1648</v>
      </c>
      <c r="E826" s="15" t="s">
        <v>1649</v>
      </c>
      <c r="F826" s="15">
        <v>108</v>
      </c>
      <c r="G826" s="15">
        <v>88</v>
      </c>
      <c r="H826" s="15">
        <v>97.5</v>
      </c>
      <c r="I826" s="15"/>
      <c r="J826" s="15">
        <v>42.5</v>
      </c>
      <c r="K826" s="15"/>
      <c r="L826" s="15">
        <v>88</v>
      </c>
      <c r="M826" s="15">
        <v>90</v>
      </c>
      <c r="N826" s="15"/>
      <c r="O826" s="15">
        <v>293.5</v>
      </c>
      <c r="P826" s="15">
        <v>514</v>
      </c>
    </row>
    <row r="827" ht="14.25" spans="1:16">
      <c r="A827" s="13">
        <v>826</v>
      </c>
      <c r="B827" s="15">
        <v>17</v>
      </c>
      <c r="C827" s="16">
        <v>55</v>
      </c>
      <c r="D827" s="15" t="s">
        <v>1650</v>
      </c>
      <c r="E827" s="15" t="s">
        <v>1651</v>
      </c>
      <c r="F827" s="15">
        <v>119.5</v>
      </c>
      <c r="G827" s="15">
        <v>50.5</v>
      </c>
      <c r="H827" s="15">
        <v>117</v>
      </c>
      <c r="I827" s="15"/>
      <c r="J827" s="15">
        <v>63.5</v>
      </c>
      <c r="K827" s="15"/>
      <c r="L827" s="15">
        <v>78</v>
      </c>
      <c r="M827" s="15">
        <v>88</v>
      </c>
      <c r="N827" s="15"/>
      <c r="O827" s="15">
        <v>287</v>
      </c>
      <c r="P827" s="15">
        <v>516.5</v>
      </c>
    </row>
    <row r="828" ht="14.25" spans="1:16">
      <c r="A828" s="13">
        <v>827</v>
      </c>
      <c r="B828" s="15">
        <v>18</v>
      </c>
      <c r="C828" s="16">
        <v>2</v>
      </c>
      <c r="D828" s="15" t="s">
        <v>1652</v>
      </c>
      <c r="E828" s="15" t="s">
        <v>1653</v>
      </c>
      <c r="F828" s="15">
        <v>100</v>
      </c>
      <c r="G828" s="15">
        <v>105</v>
      </c>
      <c r="H828" s="15">
        <v>79.5</v>
      </c>
      <c r="I828" s="15"/>
      <c r="J828" s="15">
        <v>45.5</v>
      </c>
      <c r="K828" s="15"/>
      <c r="L828" s="15">
        <v>74</v>
      </c>
      <c r="M828" s="15">
        <v>80</v>
      </c>
      <c r="N828" s="15"/>
      <c r="O828" s="15">
        <v>284.5</v>
      </c>
      <c r="P828" s="15">
        <v>484</v>
      </c>
    </row>
    <row r="829" ht="14.25" spans="1:16">
      <c r="A829" s="13">
        <v>828</v>
      </c>
      <c r="B829" s="15">
        <v>18</v>
      </c>
      <c r="C829" s="16">
        <v>4</v>
      </c>
      <c r="D829" s="15" t="s">
        <v>1654</v>
      </c>
      <c r="E829" s="15" t="s">
        <v>1655</v>
      </c>
      <c r="F829" s="15">
        <v>103.5</v>
      </c>
      <c r="G829" s="15">
        <v>111.5</v>
      </c>
      <c r="H829" s="15">
        <v>110</v>
      </c>
      <c r="I829" s="15"/>
      <c r="J829" s="15">
        <v>68.5</v>
      </c>
      <c r="K829" s="15"/>
      <c r="L829" s="15">
        <v>91</v>
      </c>
      <c r="M829" s="15">
        <v>86</v>
      </c>
      <c r="N829" s="15"/>
      <c r="O829" s="15">
        <v>325</v>
      </c>
      <c r="P829" s="15">
        <v>570.5</v>
      </c>
    </row>
    <row r="830" ht="14.25" spans="1:16">
      <c r="A830" s="13">
        <v>829</v>
      </c>
      <c r="B830" s="15">
        <v>18</v>
      </c>
      <c r="C830" s="16">
        <v>5</v>
      </c>
      <c r="D830" s="15" t="s">
        <v>1656</v>
      </c>
      <c r="E830" s="15" t="s">
        <v>1657</v>
      </c>
      <c r="F830" s="15">
        <v>100.5</v>
      </c>
      <c r="G830" s="15">
        <v>53</v>
      </c>
      <c r="H830" s="15">
        <v>73</v>
      </c>
      <c r="I830" s="15"/>
      <c r="J830" s="15">
        <v>49</v>
      </c>
      <c r="K830" s="15"/>
      <c r="L830" s="15">
        <v>70</v>
      </c>
      <c r="M830" s="15">
        <v>71</v>
      </c>
      <c r="N830" s="15"/>
      <c r="O830" s="15">
        <v>226.5</v>
      </c>
      <c r="P830" s="15">
        <v>416.5</v>
      </c>
    </row>
    <row r="831" ht="14.25" spans="1:16">
      <c r="A831" s="13">
        <v>830</v>
      </c>
      <c r="B831" s="15">
        <v>18</v>
      </c>
      <c r="C831" s="16">
        <v>7</v>
      </c>
      <c r="D831" s="15" t="s">
        <v>1658</v>
      </c>
      <c r="E831" s="15" t="s">
        <v>1659</v>
      </c>
      <c r="F831" s="15">
        <v>94.5</v>
      </c>
      <c r="G831" s="15">
        <v>99.5</v>
      </c>
      <c r="H831" s="15">
        <v>120.5</v>
      </c>
      <c r="I831" s="15"/>
      <c r="J831" s="15">
        <v>40.5</v>
      </c>
      <c r="K831" s="15"/>
      <c r="L831" s="15">
        <v>68</v>
      </c>
      <c r="M831" s="15">
        <v>86</v>
      </c>
      <c r="N831" s="15"/>
      <c r="O831" s="15">
        <v>314.5</v>
      </c>
      <c r="P831" s="15">
        <v>509</v>
      </c>
    </row>
    <row r="832" ht="14.25" spans="1:16">
      <c r="A832" s="13">
        <v>831</v>
      </c>
      <c r="B832" s="15">
        <v>18</v>
      </c>
      <c r="C832" s="16">
        <v>8</v>
      </c>
      <c r="D832" s="15" t="s">
        <v>1660</v>
      </c>
      <c r="E832" s="15" t="s">
        <v>1661</v>
      </c>
      <c r="F832" s="15">
        <v>112.5</v>
      </c>
      <c r="G832" s="15">
        <v>96</v>
      </c>
      <c r="H832" s="15">
        <v>107.75</v>
      </c>
      <c r="I832" s="15"/>
      <c r="J832" s="15">
        <v>56</v>
      </c>
      <c r="K832" s="15"/>
      <c r="L832" s="15">
        <v>88</v>
      </c>
      <c r="M832" s="15">
        <v>77</v>
      </c>
      <c r="N832" s="15"/>
      <c r="O832" s="15">
        <v>316.25</v>
      </c>
      <c r="P832" s="15">
        <v>537.25</v>
      </c>
    </row>
    <row r="833" ht="14.25" spans="1:16">
      <c r="A833" s="13">
        <v>832</v>
      </c>
      <c r="B833" s="15">
        <v>18</v>
      </c>
      <c r="C833" s="16">
        <v>10</v>
      </c>
      <c r="D833" s="15" t="s">
        <v>1662</v>
      </c>
      <c r="E833" s="15" t="s">
        <v>1663</v>
      </c>
      <c r="F833" s="15">
        <v>96.5</v>
      </c>
      <c r="G833" s="15">
        <v>57</v>
      </c>
      <c r="H833" s="15">
        <v>85.5</v>
      </c>
      <c r="I833" s="15"/>
      <c r="J833" s="15">
        <v>42</v>
      </c>
      <c r="K833" s="15"/>
      <c r="L833" s="15">
        <v>79</v>
      </c>
      <c r="M833" s="15">
        <v>58</v>
      </c>
      <c r="N833" s="15"/>
      <c r="O833" s="15">
        <v>239</v>
      </c>
      <c r="P833" s="15">
        <v>418</v>
      </c>
    </row>
    <row r="834" ht="14.25" spans="1:16">
      <c r="A834" s="13">
        <v>833</v>
      </c>
      <c r="B834" s="15">
        <v>18</v>
      </c>
      <c r="C834" s="16">
        <v>11</v>
      </c>
      <c r="D834" s="15" t="s">
        <v>1664</v>
      </c>
      <c r="E834" s="15" t="s">
        <v>1665</v>
      </c>
      <c r="F834" s="15">
        <v>108</v>
      </c>
      <c r="G834" s="15">
        <v>91.5</v>
      </c>
      <c r="H834" s="15">
        <v>102</v>
      </c>
      <c r="I834" s="15"/>
      <c r="J834" s="15">
        <v>71</v>
      </c>
      <c r="K834" s="15"/>
      <c r="L834" s="15">
        <v>91</v>
      </c>
      <c r="M834" s="15">
        <v>84</v>
      </c>
      <c r="N834" s="15"/>
      <c r="O834" s="15">
        <v>301.5</v>
      </c>
      <c r="P834" s="15">
        <v>547.5</v>
      </c>
    </row>
    <row r="835" ht="14.25" spans="1:16">
      <c r="A835" s="13">
        <v>834</v>
      </c>
      <c r="B835" s="15">
        <v>18</v>
      </c>
      <c r="C835" s="16">
        <v>12</v>
      </c>
      <c r="D835" s="15" t="s">
        <v>1666</v>
      </c>
      <c r="E835" s="15" t="s">
        <v>1667</v>
      </c>
      <c r="F835" s="15">
        <v>111</v>
      </c>
      <c r="G835" s="15">
        <v>111.5</v>
      </c>
      <c r="H835" s="15">
        <v>88.25</v>
      </c>
      <c r="I835" s="15"/>
      <c r="J835" s="15">
        <v>57.5</v>
      </c>
      <c r="K835" s="15"/>
      <c r="L835" s="15">
        <v>87</v>
      </c>
      <c r="M835" s="15">
        <v>72</v>
      </c>
      <c r="N835" s="15"/>
      <c r="O835" s="15">
        <v>310.75</v>
      </c>
      <c r="P835" s="15">
        <v>527.25</v>
      </c>
    </row>
    <row r="836" ht="14.25" spans="1:16">
      <c r="A836" s="13">
        <v>835</v>
      </c>
      <c r="B836" s="15">
        <v>18</v>
      </c>
      <c r="C836" s="16">
        <v>13</v>
      </c>
      <c r="D836" s="15" t="s">
        <v>1668</v>
      </c>
      <c r="E836" s="15" t="s">
        <v>1669</v>
      </c>
      <c r="F836" s="15">
        <v>100</v>
      </c>
      <c r="G836" s="15">
        <v>95.5</v>
      </c>
      <c r="H836" s="15">
        <v>98.75</v>
      </c>
      <c r="I836" s="15"/>
      <c r="J836" s="15">
        <v>36.5</v>
      </c>
      <c r="K836" s="15"/>
      <c r="L836" s="15">
        <v>75</v>
      </c>
      <c r="M836" s="15">
        <v>69</v>
      </c>
      <c r="N836" s="15"/>
      <c r="O836" s="15">
        <v>294.25</v>
      </c>
      <c r="P836" s="15">
        <v>474.75</v>
      </c>
    </row>
    <row r="837" ht="14.25" spans="1:16">
      <c r="A837" s="13">
        <v>836</v>
      </c>
      <c r="B837" s="15">
        <v>18</v>
      </c>
      <c r="C837" s="16">
        <v>14</v>
      </c>
      <c r="D837" s="15" t="s">
        <v>1670</v>
      </c>
      <c r="E837" s="15" t="s">
        <v>1671</v>
      </c>
      <c r="F837" s="15">
        <v>105</v>
      </c>
      <c r="G837" s="15">
        <v>64</v>
      </c>
      <c r="H837" s="15">
        <v>107.5</v>
      </c>
      <c r="I837" s="15"/>
      <c r="J837" s="15">
        <v>53</v>
      </c>
      <c r="K837" s="15"/>
      <c r="L837" s="15">
        <v>73</v>
      </c>
      <c r="M837" s="15">
        <v>82</v>
      </c>
      <c r="N837" s="15"/>
      <c r="O837" s="15">
        <v>276.5</v>
      </c>
      <c r="P837" s="15">
        <v>484.5</v>
      </c>
    </row>
    <row r="838" ht="14.25" spans="1:16">
      <c r="A838" s="13">
        <v>837</v>
      </c>
      <c r="B838" s="15">
        <v>18</v>
      </c>
      <c r="C838" s="16">
        <v>17</v>
      </c>
      <c r="D838" s="15" t="s">
        <v>1672</v>
      </c>
      <c r="E838" s="15" t="s">
        <v>1673</v>
      </c>
      <c r="F838" s="15">
        <v>99</v>
      </c>
      <c r="G838" s="15">
        <v>101.5</v>
      </c>
      <c r="H838" s="15">
        <v>99</v>
      </c>
      <c r="I838" s="15"/>
      <c r="J838" s="15">
        <v>43.5</v>
      </c>
      <c r="K838" s="15"/>
      <c r="L838" s="15">
        <v>82</v>
      </c>
      <c r="M838" s="15">
        <v>77</v>
      </c>
      <c r="N838" s="15"/>
      <c r="O838" s="15">
        <v>299.5</v>
      </c>
      <c r="P838" s="15">
        <v>502</v>
      </c>
    </row>
    <row r="839" ht="14.25" spans="1:16">
      <c r="A839" s="13">
        <v>838</v>
      </c>
      <c r="B839" s="15">
        <v>18</v>
      </c>
      <c r="C839" s="16">
        <v>18</v>
      </c>
      <c r="D839" s="15" t="s">
        <v>1674</v>
      </c>
      <c r="E839" s="15" t="s">
        <v>1675</v>
      </c>
      <c r="F839" s="15">
        <v>107.5</v>
      </c>
      <c r="G839" s="15">
        <v>69</v>
      </c>
      <c r="H839" s="15">
        <v>125</v>
      </c>
      <c r="I839" s="15"/>
      <c r="J839" s="15">
        <v>64</v>
      </c>
      <c r="K839" s="15"/>
      <c r="L839" s="15">
        <v>79</v>
      </c>
      <c r="M839" s="15">
        <v>83</v>
      </c>
      <c r="N839" s="15"/>
      <c r="O839" s="15">
        <v>301.5</v>
      </c>
      <c r="P839" s="15">
        <v>527.5</v>
      </c>
    </row>
    <row r="840" ht="14.25" spans="1:16">
      <c r="A840" s="13">
        <v>839</v>
      </c>
      <c r="B840" s="15">
        <v>18</v>
      </c>
      <c r="C840" s="16">
        <v>19</v>
      </c>
      <c r="D840" s="15" t="s">
        <v>1676</v>
      </c>
      <c r="E840" s="15" t="s">
        <v>1677</v>
      </c>
      <c r="F840" s="15">
        <v>105</v>
      </c>
      <c r="G840" s="15">
        <v>57.5</v>
      </c>
      <c r="H840" s="15">
        <v>105.25</v>
      </c>
      <c r="I840" s="15"/>
      <c r="J840" s="15">
        <v>47.5</v>
      </c>
      <c r="K840" s="15"/>
      <c r="L840" s="15">
        <v>76</v>
      </c>
      <c r="M840" s="15">
        <v>65</v>
      </c>
      <c r="N840" s="15"/>
      <c r="O840" s="15">
        <v>267.75</v>
      </c>
      <c r="P840" s="15">
        <v>456.25</v>
      </c>
    </row>
    <row r="841" ht="14.25" spans="1:16">
      <c r="A841" s="13">
        <v>840</v>
      </c>
      <c r="B841" s="15">
        <v>18</v>
      </c>
      <c r="C841" s="16">
        <v>20</v>
      </c>
      <c r="D841" s="15" t="s">
        <v>1678</v>
      </c>
      <c r="E841" s="15" t="s">
        <v>1679</v>
      </c>
      <c r="F841" s="15">
        <v>100.75</v>
      </c>
      <c r="G841" s="15">
        <v>85</v>
      </c>
      <c r="H841" s="15">
        <v>85</v>
      </c>
      <c r="I841" s="15"/>
      <c r="J841" s="15">
        <v>51.5</v>
      </c>
      <c r="K841" s="15"/>
      <c r="L841" s="15">
        <v>86</v>
      </c>
      <c r="M841" s="15">
        <v>86</v>
      </c>
      <c r="N841" s="15"/>
      <c r="O841" s="15">
        <v>270.75</v>
      </c>
      <c r="P841" s="15">
        <v>494.25</v>
      </c>
    </row>
    <row r="842" ht="14.25" spans="1:16">
      <c r="A842" s="13">
        <v>841</v>
      </c>
      <c r="B842" s="15">
        <v>18</v>
      </c>
      <c r="C842" s="16">
        <v>21</v>
      </c>
      <c r="D842" s="15" t="s">
        <v>1680</v>
      </c>
      <c r="E842" s="15" t="s">
        <v>1681</v>
      </c>
      <c r="F842" s="15">
        <v>102.5</v>
      </c>
      <c r="G842" s="15">
        <v>78</v>
      </c>
      <c r="H842" s="15">
        <v>111.5</v>
      </c>
      <c r="I842" s="15"/>
      <c r="J842" s="15">
        <v>50</v>
      </c>
      <c r="K842" s="15"/>
      <c r="L842" s="15">
        <v>80</v>
      </c>
      <c r="M842" s="15">
        <v>75</v>
      </c>
      <c r="N842" s="15"/>
      <c r="O842" s="15">
        <v>292</v>
      </c>
      <c r="P842" s="15">
        <v>497</v>
      </c>
    </row>
    <row r="843" ht="14.25" spans="1:16">
      <c r="A843" s="13">
        <v>842</v>
      </c>
      <c r="B843" s="15">
        <v>18</v>
      </c>
      <c r="C843" s="16">
        <v>22</v>
      </c>
      <c r="D843" s="15" t="s">
        <v>1682</v>
      </c>
      <c r="E843" s="15" t="s">
        <v>1683</v>
      </c>
      <c r="F843" s="15">
        <v>98.5</v>
      </c>
      <c r="G843" s="15">
        <v>110.5</v>
      </c>
      <c r="H843" s="15">
        <v>83.5</v>
      </c>
      <c r="I843" s="15"/>
      <c r="J843" s="15">
        <v>76</v>
      </c>
      <c r="K843" s="15"/>
      <c r="L843" s="15">
        <v>92</v>
      </c>
      <c r="M843" s="15">
        <v>89</v>
      </c>
      <c r="N843" s="15"/>
      <c r="O843" s="15">
        <v>292.5</v>
      </c>
      <c r="P843" s="15">
        <v>549.5</v>
      </c>
    </row>
    <row r="844" ht="14.25" spans="1:16">
      <c r="A844" s="13">
        <v>843</v>
      </c>
      <c r="B844" s="15">
        <v>18</v>
      </c>
      <c r="C844" s="16">
        <v>23</v>
      </c>
      <c r="D844" s="15" t="s">
        <v>1684</v>
      </c>
      <c r="E844" s="15" t="s">
        <v>1685</v>
      </c>
      <c r="F844" s="15">
        <v>111</v>
      </c>
      <c r="G844" s="15">
        <v>99.5</v>
      </c>
      <c r="H844" s="15">
        <v>110.5</v>
      </c>
      <c r="I844" s="15"/>
      <c r="J844" s="15">
        <v>57.5</v>
      </c>
      <c r="K844" s="15"/>
      <c r="L844" s="15">
        <v>86</v>
      </c>
      <c r="M844" s="15">
        <v>85</v>
      </c>
      <c r="N844" s="15"/>
      <c r="O844" s="15">
        <v>321</v>
      </c>
      <c r="P844" s="15">
        <v>549.5</v>
      </c>
    </row>
    <row r="845" ht="14.25" spans="1:16">
      <c r="A845" s="13">
        <v>844</v>
      </c>
      <c r="B845" s="15">
        <v>18</v>
      </c>
      <c r="C845" s="16">
        <v>24</v>
      </c>
      <c r="D845" s="15" t="s">
        <v>1686</v>
      </c>
      <c r="E845" s="15" t="s">
        <v>1687</v>
      </c>
      <c r="F845" s="15">
        <v>99</v>
      </c>
      <c r="G845" s="15">
        <v>97.5</v>
      </c>
      <c r="H845" s="15">
        <v>100.5</v>
      </c>
      <c r="I845" s="15"/>
      <c r="J845" s="15">
        <v>58</v>
      </c>
      <c r="K845" s="15"/>
      <c r="L845" s="15">
        <v>86</v>
      </c>
      <c r="M845" s="15">
        <v>82</v>
      </c>
      <c r="N845" s="15"/>
      <c r="O845" s="15">
        <v>297</v>
      </c>
      <c r="P845" s="15">
        <v>523</v>
      </c>
    </row>
    <row r="846" ht="14.25" spans="1:16">
      <c r="A846" s="13">
        <v>845</v>
      </c>
      <c r="B846" s="15">
        <v>18</v>
      </c>
      <c r="C846" s="16">
        <v>25</v>
      </c>
      <c r="D846" s="15" t="s">
        <v>1688</v>
      </c>
      <c r="E846" s="15" t="s">
        <v>1689</v>
      </c>
      <c r="F846" s="15">
        <v>111.75</v>
      </c>
      <c r="G846" s="15">
        <v>56.5</v>
      </c>
      <c r="H846" s="15">
        <v>101.75</v>
      </c>
      <c r="I846" s="15"/>
      <c r="J846" s="15">
        <v>71.5</v>
      </c>
      <c r="K846" s="15"/>
      <c r="L846" s="15">
        <v>87</v>
      </c>
      <c r="M846" s="15">
        <v>83</v>
      </c>
      <c r="N846" s="15"/>
      <c r="O846" s="15">
        <v>270</v>
      </c>
      <c r="P846" s="15">
        <v>511.5</v>
      </c>
    </row>
    <row r="847" ht="14.25" spans="1:16">
      <c r="A847" s="13">
        <v>846</v>
      </c>
      <c r="B847" s="15">
        <v>18</v>
      </c>
      <c r="C847" s="16">
        <v>26</v>
      </c>
      <c r="D847" s="15" t="s">
        <v>1690</v>
      </c>
      <c r="E847" s="15" t="s">
        <v>1691</v>
      </c>
      <c r="F847" s="15">
        <v>102</v>
      </c>
      <c r="G847" s="15">
        <v>94</v>
      </c>
      <c r="H847" s="15">
        <v>106</v>
      </c>
      <c r="I847" s="15"/>
      <c r="J847" s="15">
        <v>51</v>
      </c>
      <c r="K847" s="15"/>
      <c r="L847" s="15">
        <v>88</v>
      </c>
      <c r="M847" s="15">
        <v>80</v>
      </c>
      <c r="N847" s="15"/>
      <c r="O847" s="15">
        <v>302</v>
      </c>
      <c r="P847" s="15">
        <v>521</v>
      </c>
    </row>
    <row r="848" ht="14.25" spans="1:16">
      <c r="A848" s="13">
        <v>847</v>
      </c>
      <c r="B848" s="15">
        <v>18</v>
      </c>
      <c r="C848" s="16">
        <v>27</v>
      </c>
      <c r="D848" s="15" t="s">
        <v>1692</v>
      </c>
      <c r="E848" s="15" t="s">
        <v>1693</v>
      </c>
      <c r="F848" s="15">
        <v>95.5</v>
      </c>
      <c r="G848" s="15">
        <v>101</v>
      </c>
      <c r="H848" s="15">
        <v>108</v>
      </c>
      <c r="I848" s="15"/>
      <c r="J848" s="15">
        <v>65.5</v>
      </c>
      <c r="K848" s="15"/>
      <c r="L848" s="15">
        <v>89</v>
      </c>
      <c r="M848" s="15">
        <v>79</v>
      </c>
      <c r="N848" s="15"/>
      <c r="O848" s="15">
        <v>304.5</v>
      </c>
      <c r="P848" s="15">
        <v>538</v>
      </c>
    </row>
    <row r="849" ht="14.25" spans="1:16">
      <c r="A849" s="13">
        <v>848</v>
      </c>
      <c r="B849" s="15">
        <v>18</v>
      </c>
      <c r="C849" s="16">
        <v>28</v>
      </c>
      <c r="D849" s="15" t="s">
        <v>1694</v>
      </c>
      <c r="E849" s="15" t="s">
        <v>1695</v>
      </c>
      <c r="F849" s="15">
        <v>100.5</v>
      </c>
      <c r="G849" s="15">
        <v>93.5</v>
      </c>
      <c r="H849" s="15">
        <v>116</v>
      </c>
      <c r="I849" s="15"/>
      <c r="J849" s="15">
        <v>56.5</v>
      </c>
      <c r="K849" s="15"/>
      <c r="L849" s="15">
        <v>89</v>
      </c>
      <c r="M849" s="15">
        <v>88</v>
      </c>
      <c r="N849" s="15"/>
      <c r="O849" s="15">
        <v>310</v>
      </c>
      <c r="P849" s="15">
        <v>543.5</v>
      </c>
    </row>
    <row r="850" ht="14.25" spans="1:16">
      <c r="A850" s="13">
        <v>849</v>
      </c>
      <c r="B850" s="15">
        <v>18</v>
      </c>
      <c r="C850" s="16">
        <v>29</v>
      </c>
      <c r="D850" s="15" t="s">
        <v>1696</v>
      </c>
      <c r="E850" s="15" t="s">
        <v>1697</v>
      </c>
      <c r="F850" s="15">
        <v>107</v>
      </c>
      <c r="G850" s="15">
        <v>88.5</v>
      </c>
      <c r="H850" s="15">
        <v>116</v>
      </c>
      <c r="I850" s="15"/>
      <c r="J850" s="15">
        <v>56</v>
      </c>
      <c r="K850" s="15"/>
      <c r="L850" s="15">
        <v>89</v>
      </c>
      <c r="M850" s="15">
        <v>80</v>
      </c>
      <c r="N850" s="15"/>
      <c r="O850" s="15">
        <v>311.5</v>
      </c>
      <c r="P850" s="15">
        <v>536.5</v>
      </c>
    </row>
    <row r="851" ht="14.25" spans="1:16">
      <c r="A851" s="13">
        <v>850</v>
      </c>
      <c r="B851" s="15">
        <v>18</v>
      </c>
      <c r="C851" s="16">
        <v>30</v>
      </c>
      <c r="D851" s="15" t="s">
        <v>1698</v>
      </c>
      <c r="E851" s="15" t="s">
        <v>1699</v>
      </c>
      <c r="F851" s="15">
        <v>108</v>
      </c>
      <c r="G851" s="15">
        <v>88</v>
      </c>
      <c r="H851" s="15">
        <v>112.5</v>
      </c>
      <c r="I851" s="15"/>
      <c r="J851" s="15">
        <v>50</v>
      </c>
      <c r="K851" s="15"/>
      <c r="L851" s="15">
        <v>82</v>
      </c>
      <c r="M851" s="15">
        <v>64</v>
      </c>
      <c r="N851" s="15"/>
      <c r="O851" s="15">
        <v>308.5</v>
      </c>
      <c r="P851" s="15">
        <v>504.5</v>
      </c>
    </row>
    <row r="852" ht="14.25" spans="1:16">
      <c r="A852" s="13">
        <v>851</v>
      </c>
      <c r="B852" s="15">
        <v>18</v>
      </c>
      <c r="C852" s="16">
        <v>31</v>
      </c>
      <c r="D852" s="15" t="s">
        <v>1700</v>
      </c>
      <c r="E852" s="15" t="s">
        <v>1701</v>
      </c>
      <c r="F852" s="15">
        <v>107.5</v>
      </c>
      <c r="G852" s="15">
        <v>92.5</v>
      </c>
      <c r="H852" s="15">
        <v>96.5</v>
      </c>
      <c r="I852" s="15"/>
      <c r="J852" s="15">
        <v>59</v>
      </c>
      <c r="K852" s="15"/>
      <c r="L852" s="15">
        <v>71</v>
      </c>
      <c r="M852" s="15">
        <v>71</v>
      </c>
      <c r="N852" s="15"/>
      <c r="O852" s="15">
        <v>296.5</v>
      </c>
      <c r="P852" s="15">
        <v>497.5</v>
      </c>
    </row>
    <row r="853" ht="14.25" spans="1:16">
      <c r="A853" s="13">
        <v>852</v>
      </c>
      <c r="B853" s="15">
        <v>18</v>
      </c>
      <c r="C853" s="16">
        <v>32</v>
      </c>
      <c r="D853" s="15" t="s">
        <v>1702</v>
      </c>
      <c r="E853" s="15" t="s">
        <v>1703</v>
      </c>
      <c r="F853" s="15">
        <v>105.5</v>
      </c>
      <c r="G853" s="15">
        <v>91</v>
      </c>
      <c r="H853" s="15">
        <v>116.25</v>
      </c>
      <c r="I853" s="15"/>
      <c r="J853" s="15">
        <v>62</v>
      </c>
      <c r="K853" s="15"/>
      <c r="L853" s="15">
        <v>80</v>
      </c>
      <c r="M853" s="15">
        <v>87</v>
      </c>
      <c r="N853" s="15"/>
      <c r="O853" s="15">
        <v>312.75</v>
      </c>
      <c r="P853" s="15">
        <v>541.75</v>
      </c>
    </row>
    <row r="854" ht="14.25" spans="1:16">
      <c r="A854" s="13">
        <v>853</v>
      </c>
      <c r="B854" s="15">
        <v>18</v>
      </c>
      <c r="C854" s="16">
        <v>34</v>
      </c>
      <c r="D854" s="15" t="s">
        <v>1704</v>
      </c>
      <c r="E854" s="15" t="s">
        <v>1705</v>
      </c>
      <c r="F854" s="15">
        <v>100.5</v>
      </c>
      <c r="G854" s="15">
        <v>57.5</v>
      </c>
      <c r="H854" s="15">
        <v>88</v>
      </c>
      <c r="I854" s="15"/>
      <c r="J854" s="15">
        <v>48.5</v>
      </c>
      <c r="K854" s="15"/>
      <c r="L854" s="15">
        <v>71</v>
      </c>
      <c r="M854" s="15">
        <v>60</v>
      </c>
      <c r="N854" s="15"/>
      <c r="O854" s="15">
        <v>246</v>
      </c>
      <c r="P854" s="15">
        <v>425.5</v>
      </c>
    </row>
    <row r="855" ht="14.25" spans="1:16">
      <c r="A855" s="13">
        <v>854</v>
      </c>
      <c r="B855" s="15">
        <v>18</v>
      </c>
      <c r="C855" s="16">
        <v>37</v>
      </c>
      <c r="D855" s="15" t="s">
        <v>1706</v>
      </c>
      <c r="E855" s="15" t="s">
        <v>1707</v>
      </c>
      <c r="F855" s="15">
        <v>106.5</v>
      </c>
      <c r="G855" s="15">
        <v>88</v>
      </c>
      <c r="H855" s="15">
        <v>95</v>
      </c>
      <c r="I855" s="15"/>
      <c r="J855" s="15">
        <v>59.5</v>
      </c>
      <c r="K855" s="15"/>
      <c r="L855" s="15">
        <v>79</v>
      </c>
      <c r="M855" s="15">
        <v>63</v>
      </c>
      <c r="N855" s="15"/>
      <c r="O855" s="15">
        <v>289.5</v>
      </c>
      <c r="P855" s="15">
        <v>491</v>
      </c>
    </row>
    <row r="856" ht="14.25" spans="1:16">
      <c r="A856" s="13">
        <v>855</v>
      </c>
      <c r="B856" s="15">
        <v>18</v>
      </c>
      <c r="C856" s="16">
        <v>38</v>
      </c>
      <c r="D856" s="15" t="s">
        <v>1708</v>
      </c>
      <c r="E856" s="15" t="s">
        <v>1709</v>
      </c>
      <c r="F856" s="15">
        <v>94</v>
      </c>
      <c r="G856" s="15">
        <v>72</v>
      </c>
      <c r="H856" s="15">
        <v>98.5</v>
      </c>
      <c r="I856" s="15"/>
      <c r="J856" s="15">
        <v>54.5</v>
      </c>
      <c r="K856" s="15"/>
      <c r="L856" s="15">
        <v>76</v>
      </c>
      <c r="M856" s="15">
        <v>73</v>
      </c>
      <c r="N856" s="15"/>
      <c r="O856" s="15">
        <v>264.5</v>
      </c>
      <c r="P856" s="15">
        <v>468</v>
      </c>
    </row>
    <row r="857" ht="14.25" spans="1:16">
      <c r="A857" s="13">
        <v>856</v>
      </c>
      <c r="B857" s="15">
        <v>18</v>
      </c>
      <c r="C857" s="16">
        <v>39</v>
      </c>
      <c r="D857" s="15" t="s">
        <v>1710</v>
      </c>
      <c r="E857" s="15" t="s">
        <v>1711</v>
      </c>
      <c r="F857" s="15">
        <v>98.5</v>
      </c>
      <c r="G857" s="15">
        <v>77.5</v>
      </c>
      <c r="H857" s="15">
        <v>93.75</v>
      </c>
      <c r="I857" s="15"/>
      <c r="J857" s="15">
        <v>53</v>
      </c>
      <c r="K857" s="15"/>
      <c r="L857" s="15">
        <v>65</v>
      </c>
      <c r="M857" s="15">
        <v>81</v>
      </c>
      <c r="N857" s="15"/>
      <c r="O857" s="15">
        <v>269.75</v>
      </c>
      <c r="P857" s="15">
        <v>468.75</v>
      </c>
    </row>
    <row r="858" ht="14.25" spans="1:16">
      <c r="A858" s="13">
        <v>857</v>
      </c>
      <c r="B858" s="15">
        <v>18</v>
      </c>
      <c r="C858" s="16">
        <v>40</v>
      </c>
      <c r="D858" s="15" t="s">
        <v>1712</v>
      </c>
      <c r="E858" s="15" t="s">
        <v>1713</v>
      </c>
      <c r="F858" s="15">
        <v>104.5</v>
      </c>
      <c r="G858" s="15">
        <v>83.5</v>
      </c>
      <c r="H858" s="15">
        <v>82.5</v>
      </c>
      <c r="I858" s="15"/>
      <c r="J858" s="15">
        <v>51.5</v>
      </c>
      <c r="K858" s="15"/>
      <c r="L858" s="15">
        <v>65</v>
      </c>
      <c r="M858" s="15">
        <v>75</v>
      </c>
      <c r="N858" s="15"/>
      <c r="O858" s="15">
        <v>270.5</v>
      </c>
      <c r="P858" s="15">
        <v>462</v>
      </c>
    </row>
    <row r="859" ht="14.25" spans="1:16">
      <c r="A859" s="13">
        <v>858</v>
      </c>
      <c r="B859" s="15">
        <v>18</v>
      </c>
      <c r="C859" s="16">
        <v>41</v>
      </c>
      <c r="D859" s="15" t="s">
        <v>1714</v>
      </c>
      <c r="E859" s="15" t="s">
        <v>1715</v>
      </c>
      <c r="F859" s="15">
        <v>100</v>
      </c>
      <c r="G859" s="15">
        <v>83</v>
      </c>
      <c r="H859" s="15">
        <v>89.5</v>
      </c>
      <c r="I859" s="15"/>
      <c r="J859" s="15">
        <v>54</v>
      </c>
      <c r="K859" s="15"/>
      <c r="L859" s="15">
        <v>73</v>
      </c>
      <c r="M859" s="15">
        <v>88</v>
      </c>
      <c r="N859" s="15"/>
      <c r="O859" s="15">
        <v>272.5</v>
      </c>
      <c r="P859" s="15">
        <v>487.5</v>
      </c>
    </row>
    <row r="860" ht="14.25" spans="1:16">
      <c r="A860" s="13">
        <v>859</v>
      </c>
      <c r="B860" s="15">
        <v>18</v>
      </c>
      <c r="C860" s="16">
        <v>42</v>
      </c>
      <c r="D860" s="15" t="s">
        <v>1716</v>
      </c>
      <c r="E860" s="15" t="s">
        <v>1717</v>
      </c>
      <c r="F860" s="15">
        <v>101.5</v>
      </c>
      <c r="G860" s="15">
        <v>103.5</v>
      </c>
      <c r="H860" s="15">
        <v>99.25</v>
      </c>
      <c r="I860" s="15"/>
      <c r="J860" s="15">
        <v>60.5</v>
      </c>
      <c r="K860" s="15"/>
      <c r="L860" s="15">
        <v>77</v>
      </c>
      <c r="M860" s="15">
        <v>91</v>
      </c>
      <c r="N860" s="15"/>
      <c r="O860" s="15">
        <v>304.25</v>
      </c>
      <c r="P860" s="15">
        <v>532.75</v>
      </c>
    </row>
    <row r="861" ht="14.25" spans="1:16">
      <c r="A861" s="13">
        <v>860</v>
      </c>
      <c r="B861" s="15">
        <v>18</v>
      </c>
      <c r="C861" s="16">
        <v>43</v>
      </c>
      <c r="D861" s="15" t="s">
        <v>1718</v>
      </c>
      <c r="E861" s="15" t="s">
        <v>1719</v>
      </c>
      <c r="F861" s="15">
        <v>106.5</v>
      </c>
      <c r="G861" s="15">
        <v>92.5</v>
      </c>
      <c r="H861" s="15">
        <v>100</v>
      </c>
      <c r="I861" s="15"/>
      <c r="J861" s="15">
        <v>61</v>
      </c>
      <c r="K861" s="15"/>
      <c r="L861" s="15">
        <v>87</v>
      </c>
      <c r="M861" s="15">
        <v>82</v>
      </c>
      <c r="N861" s="15"/>
      <c r="O861" s="15">
        <v>299</v>
      </c>
      <c r="P861" s="15">
        <v>529</v>
      </c>
    </row>
    <row r="862" ht="14.25" spans="1:16">
      <c r="A862" s="13">
        <v>861</v>
      </c>
      <c r="B862" s="15">
        <v>18</v>
      </c>
      <c r="C862" s="16">
        <v>44</v>
      </c>
      <c r="D862" s="15" t="s">
        <v>1720</v>
      </c>
      <c r="E862" s="15" t="s">
        <v>1721</v>
      </c>
      <c r="F862" s="15">
        <v>100.5</v>
      </c>
      <c r="G862" s="15">
        <v>90</v>
      </c>
      <c r="H862" s="15">
        <v>91</v>
      </c>
      <c r="I862" s="15"/>
      <c r="J862" s="15">
        <v>51</v>
      </c>
      <c r="K862" s="15"/>
      <c r="L862" s="15">
        <v>82</v>
      </c>
      <c r="M862" s="15">
        <v>75</v>
      </c>
      <c r="N862" s="15"/>
      <c r="O862" s="15">
        <v>281.5</v>
      </c>
      <c r="P862" s="15">
        <v>489.5</v>
      </c>
    </row>
    <row r="863" ht="14.25" spans="1:16">
      <c r="A863" s="13">
        <v>862</v>
      </c>
      <c r="B863" s="15">
        <v>18</v>
      </c>
      <c r="C863" s="16">
        <v>45</v>
      </c>
      <c r="D863" s="15" t="s">
        <v>1722</v>
      </c>
      <c r="E863" s="15" t="s">
        <v>1723</v>
      </c>
      <c r="F863" s="15">
        <v>100.5</v>
      </c>
      <c r="G863" s="15">
        <v>66.5</v>
      </c>
      <c r="H863" s="15">
        <v>80.25</v>
      </c>
      <c r="I863" s="15"/>
      <c r="J863" s="15">
        <v>49</v>
      </c>
      <c r="K863" s="15"/>
      <c r="L863" s="15">
        <v>82</v>
      </c>
      <c r="M863" s="15">
        <v>65</v>
      </c>
      <c r="N863" s="15"/>
      <c r="O863" s="15">
        <v>247.25</v>
      </c>
      <c r="P863" s="15">
        <v>443.25</v>
      </c>
    </row>
    <row r="864" ht="14.25" spans="1:16">
      <c r="A864" s="13">
        <v>863</v>
      </c>
      <c r="B864" s="15">
        <v>18</v>
      </c>
      <c r="C864" s="16">
        <v>47</v>
      </c>
      <c r="D864" s="15" t="s">
        <v>1724</v>
      </c>
      <c r="E864" s="15" t="s">
        <v>1725</v>
      </c>
      <c r="F864" s="15">
        <v>104</v>
      </c>
      <c r="G864" s="15">
        <v>77</v>
      </c>
      <c r="H864" s="15">
        <v>100</v>
      </c>
      <c r="I864" s="15"/>
      <c r="J864" s="15">
        <v>53.5</v>
      </c>
      <c r="K864" s="15"/>
      <c r="L864" s="15">
        <v>89</v>
      </c>
      <c r="M864" s="15">
        <v>82</v>
      </c>
      <c r="N864" s="15"/>
      <c r="O864" s="15">
        <v>281</v>
      </c>
      <c r="P864" s="15">
        <v>505.5</v>
      </c>
    </row>
    <row r="865" ht="14.25" spans="1:16">
      <c r="A865" s="13">
        <v>864</v>
      </c>
      <c r="B865" s="15">
        <v>18</v>
      </c>
      <c r="C865" s="16">
        <v>48</v>
      </c>
      <c r="D865" s="15" t="s">
        <v>1726</v>
      </c>
      <c r="E865" s="15" t="s">
        <v>1727</v>
      </c>
      <c r="F865" s="15">
        <v>98.25</v>
      </c>
      <c r="G865" s="15">
        <v>87.5</v>
      </c>
      <c r="H865" s="15">
        <v>82.75</v>
      </c>
      <c r="I865" s="15"/>
      <c r="J865" s="15">
        <v>52.5</v>
      </c>
      <c r="K865" s="15"/>
      <c r="L865" s="15">
        <v>80</v>
      </c>
      <c r="M865" s="15">
        <v>68</v>
      </c>
      <c r="N865" s="15"/>
      <c r="O865" s="15">
        <v>268.5</v>
      </c>
      <c r="P865" s="15">
        <v>469</v>
      </c>
    </row>
    <row r="866" ht="14.25" spans="1:16">
      <c r="A866" s="13">
        <v>865</v>
      </c>
      <c r="B866" s="15">
        <v>18</v>
      </c>
      <c r="C866" s="16">
        <v>51</v>
      </c>
      <c r="D866" s="15" t="s">
        <v>1728</v>
      </c>
      <c r="E866" s="15" t="s">
        <v>1729</v>
      </c>
      <c r="F866" s="15">
        <v>108</v>
      </c>
      <c r="G866" s="15">
        <v>78.5</v>
      </c>
      <c r="H866" s="15">
        <v>83.5</v>
      </c>
      <c r="I866" s="15"/>
      <c r="J866" s="15">
        <v>52.5</v>
      </c>
      <c r="K866" s="15"/>
      <c r="L866" s="15">
        <v>82</v>
      </c>
      <c r="M866" s="15">
        <v>78</v>
      </c>
      <c r="N866" s="15"/>
      <c r="O866" s="15">
        <v>270</v>
      </c>
      <c r="P866" s="15">
        <v>482.5</v>
      </c>
    </row>
    <row r="867" ht="14.25" spans="1:16">
      <c r="A867" s="13">
        <v>866</v>
      </c>
      <c r="B867" s="15">
        <v>18</v>
      </c>
      <c r="C867" s="16">
        <v>52</v>
      </c>
      <c r="D867" s="15" t="s">
        <v>1730</v>
      </c>
      <c r="E867" s="15" t="s">
        <v>1731</v>
      </c>
      <c r="F867" s="15">
        <v>105.5</v>
      </c>
      <c r="G867" s="15">
        <v>87</v>
      </c>
      <c r="H867" s="15">
        <v>115</v>
      </c>
      <c r="I867" s="15"/>
      <c r="J867" s="15">
        <v>49</v>
      </c>
      <c r="K867" s="15"/>
      <c r="L867" s="15">
        <v>87</v>
      </c>
      <c r="M867" s="15">
        <v>75</v>
      </c>
      <c r="N867" s="15"/>
      <c r="O867" s="15">
        <v>307.5</v>
      </c>
      <c r="P867" s="15">
        <v>518.5</v>
      </c>
    </row>
    <row r="868" ht="14.25" spans="1:16">
      <c r="A868" s="13">
        <v>867</v>
      </c>
      <c r="B868" s="15">
        <v>18</v>
      </c>
      <c r="C868" s="16">
        <v>53</v>
      </c>
      <c r="D868" s="15" t="s">
        <v>1732</v>
      </c>
      <c r="E868" s="15" t="s">
        <v>1733</v>
      </c>
      <c r="F868" s="15">
        <v>102</v>
      </c>
      <c r="G868" s="15">
        <v>92</v>
      </c>
      <c r="H868" s="15">
        <v>109.5</v>
      </c>
      <c r="I868" s="15"/>
      <c r="J868" s="15">
        <v>61</v>
      </c>
      <c r="K868" s="15"/>
      <c r="L868" s="15">
        <v>84</v>
      </c>
      <c r="M868" s="15">
        <v>84</v>
      </c>
      <c r="N868" s="15"/>
      <c r="O868" s="15">
        <v>303.5</v>
      </c>
      <c r="P868" s="15">
        <v>532.5</v>
      </c>
    </row>
    <row r="869" ht="14.25" spans="1:16">
      <c r="A869" s="13">
        <v>868</v>
      </c>
      <c r="B869" s="15">
        <v>18</v>
      </c>
      <c r="C869" s="16">
        <v>54</v>
      </c>
      <c r="D869" s="15" t="s">
        <v>1734</v>
      </c>
      <c r="E869" s="15" t="s">
        <v>1735</v>
      </c>
      <c r="F869" s="15">
        <v>97.5</v>
      </c>
      <c r="G869" s="15">
        <v>61.5</v>
      </c>
      <c r="H869" s="15">
        <v>72</v>
      </c>
      <c r="I869" s="15"/>
      <c r="J869" s="15">
        <v>51.5</v>
      </c>
      <c r="K869" s="15"/>
      <c r="L869" s="15">
        <v>79</v>
      </c>
      <c r="M869" s="15">
        <v>63</v>
      </c>
      <c r="N869" s="15"/>
      <c r="O869" s="15">
        <v>231</v>
      </c>
      <c r="P869" s="15">
        <v>424.5</v>
      </c>
    </row>
    <row r="870" ht="14.25" spans="1:16">
      <c r="A870" s="13">
        <v>869</v>
      </c>
      <c r="B870" s="15">
        <v>18</v>
      </c>
      <c r="C870" s="16">
        <v>55</v>
      </c>
      <c r="D870" s="15" t="s">
        <v>1736</v>
      </c>
      <c r="E870" s="15" t="s">
        <v>1737</v>
      </c>
      <c r="F870" s="15">
        <v>107.5</v>
      </c>
      <c r="G870" s="15">
        <v>57.5</v>
      </c>
      <c r="H870" s="15">
        <v>101.5</v>
      </c>
      <c r="I870" s="15"/>
      <c r="J870" s="15">
        <v>41</v>
      </c>
      <c r="K870" s="15"/>
      <c r="L870" s="15">
        <v>74</v>
      </c>
      <c r="M870" s="15">
        <v>61</v>
      </c>
      <c r="N870" s="15"/>
      <c r="O870" s="15">
        <v>266.5</v>
      </c>
      <c r="P870" s="15">
        <v>442.5</v>
      </c>
    </row>
    <row r="871" spans="6:16">
      <c r="F871" s="166"/>
      <c r="G871" s="166"/>
      <c r="H871" s="166"/>
      <c r="I871" s="166"/>
      <c r="J871" s="166"/>
      <c r="K871" s="167"/>
      <c r="L871" s="167"/>
      <c r="M871" s="167"/>
      <c r="N871" s="167"/>
      <c r="P871" s="168"/>
    </row>
    <row r="872" spans="6:16">
      <c r="F872" s="166"/>
      <c r="G872" s="166"/>
      <c r="H872" s="166"/>
      <c r="I872" s="166"/>
      <c r="J872" s="166"/>
      <c r="K872" s="167"/>
      <c r="L872" s="167"/>
      <c r="M872" s="167"/>
      <c r="N872" s="167"/>
      <c r="P872" s="168"/>
    </row>
    <row r="873" spans="6:16">
      <c r="F873" s="166"/>
      <c r="G873" s="166"/>
      <c r="H873" s="166"/>
      <c r="I873" s="166"/>
      <c r="J873" s="166"/>
      <c r="K873" s="167"/>
      <c r="L873" s="167"/>
      <c r="M873" s="167"/>
      <c r="N873" s="167"/>
      <c r="P873" s="168"/>
    </row>
    <row r="874" spans="6:16">
      <c r="F874" s="166"/>
      <c r="G874" s="166"/>
      <c r="H874" s="166"/>
      <c r="I874" s="166"/>
      <c r="J874" s="166"/>
      <c r="K874" s="167"/>
      <c r="L874" s="167"/>
      <c r="M874" s="167"/>
      <c r="N874" s="167"/>
      <c r="P874" s="168"/>
    </row>
    <row r="875" spans="6:16">
      <c r="F875" s="166"/>
      <c r="G875" s="166"/>
      <c r="H875" s="166"/>
      <c r="I875" s="166"/>
      <c r="J875" s="166"/>
      <c r="K875" s="167"/>
      <c r="L875" s="167"/>
      <c r="M875" s="167"/>
      <c r="N875" s="167"/>
      <c r="P875" s="168"/>
    </row>
    <row r="876" spans="6:16">
      <c r="F876" s="166"/>
      <c r="G876" s="166"/>
      <c r="H876" s="166"/>
      <c r="I876" s="166"/>
      <c r="J876" s="166"/>
      <c r="K876" s="167"/>
      <c r="L876" s="167"/>
      <c r="M876" s="167"/>
      <c r="N876" s="167"/>
      <c r="P876" s="168"/>
    </row>
    <row r="877" spans="6:16">
      <c r="F877" s="166"/>
      <c r="G877" s="166"/>
      <c r="H877" s="166"/>
      <c r="I877" s="166"/>
      <c r="J877" s="166"/>
      <c r="K877" s="167"/>
      <c r="L877" s="167"/>
      <c r="M877" s="167"/>
      <c r="N877" s="167"/>
      <c r="P877" s="168"/>
    </row>
    <row r="878" spans="6:16">
      <c r="F878" s="166"/>
      <c r="G878" s="166"/>
      <c r="H878" s="166"/>
      <c r="I878" s="166"/>
      <c r="J878" s="166"/>
      <c r="K878" s="167"/>
      <c r="L878" s="167"/>
      <c r="M878" s="167"/>
      <c r="N878" s="167"/>
      <c r="P878" s="168"/>
    </row>
    <row r="879" spans="6:16">
      <c r="F879" s="166"/>
      <c r="G879" s="166"/>
      <c r="H879" s="166"/>
      <c r="I879" s="166"/>
      <c r="J879" s="166"/>
      <c r="K879" s="167"/>
      <c r="L879" s="167"/>
      <c r="M879" s="167"/>
      <c r="N879" s="167"/>
      <c r="P879" s="168"/>
    </row>
    <row r="880" spans="6:16">
      <c r="F880" s="166"/>
      <c r="G880" s="166"/>
      <c r="H880" s="166"/>
      <c r="I880" s="166"/>
      <c r="J880" s="166"/>
      <c r="K880" s="167"/>
      <c r="L880" s="167"/>
      <c r="M880" s="167"/>
      <c r="N880" s="167"/>
      <c r="P880" s="168"/>
    </row>
    <row r="881" spans="6:16">
      <c r="F881" s="166"/>
      <c r="G881" s="166"/>
      <c r="H881" s="166"/>
      <c r="I881" s="166"/>
      <c r="J881" s="166"/>
      <c r="K881" s="167"/>
      <c r="L881" s="167"/>
      <c r="M881" s="167"/>
      <c r="N881" s="167"/>
      <c r="P881" s="168"/>
    </row>
    <row r="882" spans="6:16">
      <c r="F882" s="166"/>
      <c r="G882" s="166"/>
      <c r="H882" s="166"/>
      <c r="I882" s="166"/>
      <c r="J882" s="166"/>
      <c r="K882" s="167"/>
      <c r="L882" s="167"/>
      <c r="M882" s="167"/>
      <c r="N882" s="167"/>
      <c r="P882" s="168"/>
    </row>
    <row r="883" spans="6:16">
      <c r="F883" s="166"/>
      <c r="G883" s="166"/>
      <c r="H883" s="166"/>
      <c r="I883" s="166"/>
      <c r="J883" s="166"/>
      <c r="K883" s="167"/>
      <c r="L883" s="167"/>
      <c r="M883" s="167"/>
      <c r="N883" s="167"/>
      <c r="P883" s="168"/>
    </row>
    <row r="884" spans="6:16">
      <c r="F884" s="166"/>
      <c r="G884" s="166"/>
      <c r="H884" s="166"/>
      <c r="I884" s="166"/>
      <c r="J884" s="166"/>
      <c r="K884" s="167"/>
      <c r="L884" s="167"/>
      <c r="M884" s="167"/>
      <c r="N884" s="167"/>
      <c r="P884" s="168"/>
    </row>
    <row r="885" spans="6:16">
      <c r="F885" s="166"/>
      <c r="G885" s="166"/>
      <c r="H885" s="166"/>
      <c r="I885" s="166"/>
      <c r="J885" s="166"/>
      <c r="K885" s="167"/>
      <c r="L885" s="167"/>
      <c r="M885" s="167"/>
      <c r="N885" s="167"/>
      <c r="P885" s="168"/>
    </row>
    <row r="886" spans="6:16">
      <c r="F886" s="166"/>
      <c r="G886" s="166"/>
      <c r="H886" s="166"/>
      <c r="I886" s="166"/>
      <c r="J886" s="166"/>
      <c r="K886" s="167"/>
      <c r="L886" s="167"/>
      <c r="M886" s="167"/>
      <c r="N886" s="167"/>
      <c r="P886" s="168"/>
    </row>
    <row r="887" spans="6:16">
      <c r="F887" s="166"/>
      <c r="G887" s="166"/>
      <c r="H887" s="166"/>
      <c r="I887" s="166"/>
      <c r="J887" s="166"/>
      <c r="K887" s="167"/>
      <c r="L887" s="167"/>
      <c r="M887" s="167"/>
      <c r="N887" s="167"/>
      <c r="P887" s="168"/>
    </row>
    <row r="888" spans="6:16">
      <c r="F888" s="166"/>
      <c r="G888" s="166"/>
      <c r="H888" s="166"/>
      <c r="I888" s="166"/>
      <c r="J888" s="166"/>
      <c r="K888" s="167"/>
      <c r="L888" s="167"/>
      <c r="M888" s="167"/>
      <c r="N888" s="167"/>
      <c r="P888" s="168"/>
    </row>
    <row r="889" spans="6:16">
      <c r="F889" s="166"/>
      <c r="G889" s="166"/>
      <c r="H889" s="166"/>
      <c r="I889" s="166"/>
      <c r="J889" s="166"/>
      <c r="K889" s="167"/>
      <c r="L889" s="167"/>
      <c r="M889" s="167"/>
      <c r="N889" s="167"/>
      <c r="P889" s="168"/>
    </row>
    <row r="890" spans="6:16">
      <c r="F890" s="166"/>
      <c r="G890" s="166"/>
      <c r="H890" s="166"/>
      <c r="I890" s="166"/>
      <c r="J890" s="166"/>
      <c r="K890" s="167"/>
      <c r="L890" s="167"/>
      <c r="M890" s="167"/>
      <c r="N890" s="167"/>
      <c r="P890" s="168"/>
    </row>
    <row r="891" spans="6:16">
      <c r="F891" s="166"/>
      <c r="G891" s="166"/>
      <c r="H891" s="166"/>
      <c r="I891" s="166"/>
      <c r="J891" s="166"/>
      <c r="K891" s="167"/>
      <c r="L891" s="167"/>
      <c r="M891" s="167"/>
      <c r="N891" s="167"/>
      <c r="P891" s="168"/>
    </row>
    <row r="892" spans="6:16">
      <c r="F892" s="166"/>
      <c r="G892" s="166"/>
      <c r="H892" s="166"/>
      <c r="I892" s="166"/>
      <c r="J892" s="166"/>
      <c r="K892" s="167"/>
      <c r="L892" s="167"/>
      <c r="M892" s="167"/>
      <c r="N892" s="167"/>
      <c r="P892" s="168"/>
    </row>
    <row r="893" spans="6:16">
      <c r="F893" s="166"/>
      <c r="G893" s="166"/>
      <c r="H893" s="166"/>
      <c r="I893" s="166"/>
      <c r="J893" s="166"/>
      <c r="K893" s="167"/>
      <c r="L893" s="167"/>
      <c r="M893" s="167"/>
      <c r="N893" s="167"/>
      <c r="P893" s="168"/>
    </row>
    <row r="894" spans="6:16">
      <c r="F894" s="166"/>
      <c r="G894" s="166"/>
      <c r="H894" s="166"/>
      <c r="I894" s="166"/>
      <c r="J894" s="166"/>
      <c r="K894" s="167"/>
      <c r="L894" s="167"/>
      <c r="M894" s="167"/>
      <c r="N894" s="167"/>
      <c r="P894" s="168"/>
    </row>
    <row r="895" spans="6:16">
      <c r="F895" s="166"/>
      <c r="G895" s="166"/>
      <c r="H895" s="166"/>
      <c r="I895" s="166"/>
      <c r="J895" s="166"/>
      <c r="K895" s="167"/>
      <c r="L895" s="167"/>
      <c r="M895" s="167"/>
      <c r="N895" s="167"/>
      <c r="P895" s="168"/>
    </row>
    <row r="896" spans="6:16">
      <c r="F896" s="166"/>
      <c r="G896" s="166"/>
      <c r="H896" s="166"/>
      <c r="I896" s="166"/>
      <c r="J896" s="166"/>
      <c r="K896" s="167"/>
      <c r="L896" s="167"/>
      <c r="M896" s="167"/>
      <c r="N896" s="167"/>
      <c r="P896" s="168"/>
    </row>
    <row r="897" spans="6:16">
      <c r="F897" s="166"/>
      <c r="G897" s="166"/>
      <c r="H897" s="166"/>
      <c r="I897" s="166"/>
      <c r="J897" s="166"/>
      <c r="K897" s="167"/>
      <c r="L897" s="167"/>
      <c r="M897" s="167"/>
      <c r="N897" s="167"/>
      <c r="P897" s="168"/>
    </row>
    <row r="898" spans="6:16">
      <c r="F898" s="166"/>
      <c r="G898" s="166"/>
      <c r="H898" s="166"/>
      <c r="I898" s="166"/>
      <c r="J898" s="166"/>
      <c r="K898" s="167"/>
      <c r="L898" s="167"/>
      <c r="M898" s="167"/>
      <c r="N898" s="167"/>
      <c r="P898" s="168"/>
    </row>
    <row r="899" spans="6:16">
      <c r="F899" s="166"/>
      <c r="G899" s="166"/>
      <c r="H899" s="166"/>
      <c r="I899" s="166"/>
      <c r="J899" s="166"/>
      <c r="K899" s="167"/>
      <c r="L899" s="167"/>
      <c r="M899" s="167"/>
      <c r="N899" s="167"/>
      <c r="P899" s="168"/>
    </row>
    <row r="900" spans="6:16">
      <c r="F900" s="166"/>
      <c r="G900" s="166"/>
      <c r="H900" s="166"/>
      <c r="I900" s="166"/>
      <c r="J900" s="166"/>
      <c r="K900" s="167"/>
      <c r="L900" s="167"/>
      <c r="M900" s="167"/>
      <c r="N900" s="167"/>
      <c r="P900" s="168"/>
    </row>
    <row r="901" spans="6:16">
      <c r="F901" s="166"/>
      <c r="G901" s="166"/>
      <c r="H901" s="166"/>
      <c r="I901" s="166"/>
      <c r="J901" s="166"/>
      <c r="K901" s="167"/>
      <c r="L901" s="167"/>
      <c r="M901" s="167"/>
      <c r="N901" s="167"/>
      <c r="P901" s="168"/>
    </row>
    <row r="902" spans="6:16">
      <c r="F902" s="166"/>
      <c r="G902" s="166"/>
      <c r="H902" s="166"/>
      <c r="I902" s="166"/>
      <c r="J902" s="166"/>
      <c r="K902" s="167"/>
      <c r="L902" s="167"/>
      <c r="M902" s="167"/>
      <c r="N902" s="167"/>
      <c r="P902" s="168"/>
    </row>
    <row r="903" spans="6:16">
      <c r="F903" s="166"/>
      <c r="G903" s="166"/>
      <c r="H903" s="166"/>
      <c r="I903" s="166"/>
      <c r="J903" s="166"/>
      <c r="K903" s="167"/>
      <c r="L903" s="167"/>
      <c r="M903" s="167"/>
      <c r="N903" s="167"/>
      <c r="P903" s="168"/>
    </row>
    <row r="904" spans="6:16">
      <c r="F904" s="166"/>
      <c r="G904" s="166"/>
      <c r="H904" s="166"/>
      <c r="I904" s="166"/>
      <c r="J904" s="166"/>
      <c r="K904" s="167"/>
      <c r="L904" s="167"/>
      <c r="M904" s="167"/>
      <c r="N904" s="167"/>
      <c r="P904" s="168"/>
    </row>
    <row r="905" spans="6:16">
      <c r="F905" s="166"/>
      <c r="G905" s="166"/>
      <c r="H905" s="166"/>
      <c r="I905" s="166"/>
      <c r="J905" s="166"/>
      <c r="K905" s="167"/>
      <c r="L905" s="167"/>
      <c r="M905" s="167"/>
      <c r="N905" s="167"/>
      <c r="P905" s="168"/>
    </row>
    <row r="906" spans="6:16">
      <c r="F906" s="166"/>
      <c r="G906" s="166"/>
      <c r="H906" s="166"/>
      <c r="I906" s="166"/>
      <c r="J906" s="166"/>
      <c r="K906" s="167"/>
      <c r="L906" s="167"/>
      <c r="M906" s="167"/>
      <c r="N906" s="167"/>
      <c r="P906" s="168"/>
    </row>
    <row r="907" spans="6:16">
      <c r="F907" s="166"/>
      <c r="G907" s="166"/>
      <c r="H907" s="166"/>
      <c r="I907" s="166"/>
      <c r="J907" s="166"/>
      <c r="K907" s="167"/>
      <c r="L907" s="167"/>
      <c r="M907" s="167"/>
      <c r="N907" s="167"/>
      <c r="P907" s="168"/>
    </row>
    <row r="908" spans="6:16">
      <c r="F908" s="166"/>
      <c r="G908" s="166"/>
      <c r="H908" s="166"/>
      <c r="I908" s="166"/>
      <c r="J908" s="166"/>
      <c r="K908" s="167"/>
      <c r="L908" s="167"/>
      <c r="M908" s="167"/>
      <c r="N908" s="167"/>
      <c r="P908" s="168"/>
    </row>
    <row r="909" spans="6:16">
      <c r="F909" s="166"/>
      <c r="G909" s="166"/>
      <c r="H909" s="166"/>
      <c r="I909" s="166"/>
      <c r="J909" s="166"/>
      <c r="K909" s="167"/>
      <c r="L909" s="167"/>
      <c r="M909" s="167"/>
      <c r="N909" s="167"/>
      <c r="P909" s="168"/>
    </row>
    <row r="910" spans="6:16">
      <c r="F910" s="166"/>
      <c r="G910" s="166"/>
      <c r="H910" s="166"/>
      <c r="I910" s="166"/>
      <c r="J910" s="166"/>
      <c r="K910" s="167"/>
      <c r="L910" s="167"/>
      <c r="M910" s="167"/>
      <c r="N910" s="167"/>
      <c r="P910" s="168"/>
    </row>
    <row r="911" spans="6:16">
      <c r="F911" s="166"/>
      <c r="G911" s="166"/>
      <c r="H911" s="166"/>
      <c r="I911" s="166"/>
      <c r="J911" s="166"/>
      <c r="K911" s="167"/>
      <c r="L911" s="167"/>
      <c r="M911" s="167"/>
      <c r="N911" s="167"/>
      <c r="P911" s="168"/>
    </row>
    <row r="912" spans="6:16">
      <c r="F912" s="166"/>
      <c r="G912" s="166"/>
      <c r="H912" s="166"/>
      <c r="I912" s="166"/>
      <c r="J912" s="166"/>
      <c r="K912" s="167"/>
      <c r="L912" s="167"/>
      <c r="M912" s="167"/>
      <c r="N912" s="167"/>
      <c r="P912" s="168"/>
    </row>
    <row r="913" spans="6:16">
      <c r="F913" s="166"/>
      <c r="G913" s="166"/>
      <c r="H913" s="166"/>
      <c r="I913" s="166"/>
      <c r="J913" s="166"/>
      <c r="K913" s="167"/>
      <c r="L913" s="167"/>
      <c r="M913" s="167"/>
      <c r="N913" s="167"/>
      <c r="P913" s="168"/>
    </row>
    <row r="914" spans="6:16">
      <c r="F914" s="166"/>
      <c r="G914" s="166"/>
      <c r="H914" s="166"/>
      <c r="I914" s="166"/>
      <c r="J914" s="166"/>
      <c r="K914" s="167"/>
      <c r="L914" s="167"/>
      <c r="M914" s="167"/>
      <c r="N914" s="167"/>
      <c r="P914" s="168"/>
    </row>
    <row r="915" spans="6:16">
      <c r="F915" s="166"/>
      <c r="G915" s="166"/>
      <c r="H915" s="166"/>
      <c r="I915" s="166"/>
      <c r="J915" s="166"/>
      <c r="K915" s="167"/>
      <c r="L915" s="167"/>
      <c r="M915" s="167"/>
      <c r="N915" s="167"/>
      <c r="P915" s="168"/>
    </row>
    <row r="916" spans="6:16">
      <c r="F916" s="166"/>
      <c r="G916" s="166"/>
      <c r="H916" s="166"/>
      <c r="I916" s="166"/>
      <c r="J916" s="166"/>
      <c r="K916" s="167"/>
      <c r="L916" s="167"/>
      <c r="M916" s="167"/>
      <c r="N916" s="167"/>
      <c r="P916" s="168"/>
    </row>
    <row r="917" spans="6:16">
      <c r="F917" s="166"/>
      <c r="G917" s="166"/>
      <c r="H917" s="166"/>
      <c r="I917" s="166"/>
      <c r="J917" s="166"/>
      <c r="K917" s="167"/>
      <c r="L917" s="167"/>
      <c r="M917" s="167"/>
      <c r="N917" s="167"/>
      <c r="P917" s="168"/>
    </row>
    <row r="918" spans="6:16">
      <c r="F918" s="166"/>
      <c r="G918" s="166"/>
      <c r="H918" s="166"/>
      <c r="I918" s="166"/>
      <c r="J918" s="166"/>
      <c r="K918" s="167"/>
      <c r="L918" s="167"/>
      <c r="M918" s="167"/>
      <c r="N918" s="167"/>
      <c r="P918" s="168"/>
    </row>
    <row r="919" spans="6:16">
      <c r="F919" s="166"/>
      <c r="G919" s="166"/>
      <c r="H919" s="166"/>
      <c r="I919" s="166"/>
      <c r="J919" s="166"/>
      <c r="K919" s="167"/>
      <c r="L919" s="167"/>
      <c r="M919" s="167"/>
      <c r="N919" s="167"/>
      <c r="P919" s="168"/>
    </row>
    <row r="920" spans="6:16">
      <c r="F920" s="166"/>
      <c r="G920" s="166"/>
      <c r="H920" s="166"/>
      <c r="I920" s="166"/>
      <c r="J920" s="166"/>
      <c r="K920" s="167"/>
      <c r="L920" s="167"/>
      <c r="M920" s="167"/>
      <c r="N920" s="167"/>
      <c r="P920" s="168"/>
    </row>
    <row r="921" spans="6:16">
      <c r="F921" s="166"/>
      <c r="G921" s="166"/>
      <c r="H921" s="166"/>
      <c r="I921" s="166"/>
      <c r="J921" s="166"/>
      <c r="K921" s="167"/>
      <c r="L921" s="167"/>
      <c r="M921" s="167"/>
      <c r="N921" s="167"/>
      <c r="P921" s="168"/>
    </row>
    <row r="922" spans="6:16">
      <c r="F922" s="166"/>
      <c r="G922" s="166"/>
      <c r="H922" s="166"/>
      <c r="I922" s="166"/>
      <c r="J922" s="166"/>
      <c r="K922" s="167"/>
      <c r="L922" s="167"/>
      <c r="M922" s="167"/>
      <c r="N922" s="167"/>
      <c r="P922" s="168"/>
    </row>
    <row r="923" spans="6:16">
      <c r="F923" s="166"/>
      <c r="G923" s="166"/>
      <c r="H923" s="166"/>
      <c r="I923" s="166"/>
      <c r="J923" s="166"/>
      <c r="K923" s="167"/>
      <c r="L923" s="167"/>
      <c r="M923" s="167"/>
      <c r="N923" s="167"/>
      <c r="P923" s="168"/>
    </row>
    <row r="924" spans="6:16">
      <c r="F924" s="166"/>
      <c r="G924" s="166"/>
      <c r="H924" s="166"/>
      <c r="I924" s="166"/>
      <c r="J924" s="166"/>
      <c r="K924" s="167"/>
      <c r="L924" s="167"/>
      <c r="M924" s="167"/>
      <c r="N924" s="167"/>
      <c r="P924" s="168"/>
    </row>
    <row r="925" spans="6:16">
      <c r="F925" s="166"/>
      <c r="G925" s="166"/>
      <c r="H925" s="166"/>
      <c r="I925" s="166"/>
      <c r="J925" s="166"/>
      <c r="K925" s="167"/>
      <c r="L925" s="167"/>
      <c r="M925" s="167"/>
      <c r="N925" s="167"/>
      <c r="P925" s="168"/>
    </row>
    <row r="926" spans="6:16">
      <c r="F926" s="166"/>
      <c r="G926" s="166"/>
      <c r="H926" s="166"/>
      <c r="I926" s="166"/>
      <c r="J926" s="166"/>
      <c r="K926" s="167"/>
      <c r="L926" s="167"/>
      <c r="M926" s="167"/>
      <c r="N926" s="167"/>
      <c r="P926" s="168"/>
    </row>
    <row r="927" spans="6:16">
      <c r="F927" s="166"/>
      <c r="G927" s="166"/>
      <c r="H927" s="166"/>
      <c r="I927" s="166"/>
      <c r="J927" s="166"/>
      <c r="K927" s="167"/>
      <c r="L927" s="167"/>
      <c r="M927" s="167"/>
      <c r="N927" s="167"/>
      <c r="P927" s="168"/>
    </row>
    <row r="928" spans="6:16">
      <c r="F928" s="166"/>
      <c r="G928" s="166"/>
      <c r="H928" s="166"/>
      <c r="I928" s="166"/>
      <c r="J928" s="166"/>
      <c r="K928" s="167"/>
      <c r="L928" s="167"/>
      <c r="M928" s="167"/>
      <c r="N928" s="167"/>
      <c r="P928" s="168"/>
    </row>
    <row r="929" spans="6:16">
      <c r="F929" s="166"/>
      <c r="G929" s="166"/>
      <c r="H929" s="166"/>
      <c r="I929" s="166"/>
      <c r="J929" s="166"/>
      <c r="K929" s="167"/>
      <c r="L929" s="167"/>
      <c r="M929" s="167"/>
      <c r="N929" s="167"/>
      <c r="P929" s="168"/>
    </row>
    <row r="930" spans="6:16">
      <c r="F930" s="166"/>
      <c r="G930" s="166"/>
      <c r="H930" s="166"/>
      <c r="I930" s="166"/>
      <c r="J930" s="166"/>
      <c r="K930" s="167"/>
      <c r="L930" s="167"/>
      <c r="M930" s="167"/>
      <c r="N930" s="167"/>
      <c r="P930" s="168"/>
    </row>
    <row r="931" spans="6:16">
      <c r="F931" s="166"/>
      <c r="G931" s="166"/>
      <c r="H931" s="166"/>
      <c r="I931" s="166"/>
      <c r="J931" s="166"/>
      <c r="K931" s="167"/>
      <c r="L931" s="167"/>
      <c r="M931" s="167"/>
      <c r="N931" s="167"/>
      <c r="P931" s="168"/>
    </row>
    <row r="932" spans="6:16">
      <c r="F932" s="166"/>
      <c r="G932" s="166"/>
      <c r="H932" s="166"/>
      <c r="I932" s="166"/>
      <c r="J932" s="166"/>
      <c r="K932" s="167"/>
      <c r="L932" s="167"/>
      <c r="M932" s="167"/>
      <c r="N932" s="167"/>
      <c r="P932" s="168"/>
    </row>
    <row r="933" spans="6:16">
      <c r="F933" s="166"/>
      <c r="G933" s="166"/>
      <c r="H933" s="166"/>
      <c r="I933" s="166"/>
      <c r="J933" s="166"/>
      <c r="K933" s="167"/>
      <c r="L933" s="167"/>
      <c r="M933" s="167"/>
      <c r="N933" s="167"/>
      <c r="P933" s="168"/>
    </row>
    <row r="934" spans="6:16">
      <c r="F934" s="166"/>
      <c r="G934" s="166"/>
      <c r="H934" s="166"/>
      <c r="I934" s="166"/>
      <c r="J934" s="166"/>
      <c r="K934" s="167"/>
      <c r="L934" s="167"/>
      <c r="M934" s="167"/>
      <c r="N934" s="167"/>
      <c r="P934" s="168"/>
    </row>
    <row r="935" spans="6:16">
      <c r="F935" s="166"/>
      <c r="G935" s="166"/>
      <c r="H935" s="166"/>
      <c r="I935" s="166"/>
      <c r="J935" s="166"/>
      <c r="K935" s="167"/>
      <c r="L935" s="167"/>
      <c r="M935" s="167"/>
      <c r="N935" s="167"/>
      <c r="P935" s="168"/>
    </row>
    <row r="936" spans="6:16">
      <c r="F936" s="166"/>
      <c r="G936" s="166"/>
      <c r="H936" s="166"/>
      <c r="I936" s="166"/>
      <c r="J936" s="166"/>
      <c r="K936" s="167"/>
      <c r="L936" s="167"/>
      <c r="M936" s="167"/>
      <c r="N936" s="167"/>
      <c r="P936" s="168"/>
    </row>
    <row r="937" spans="6:16">
      <c r="F937" s="166"/>
      <c r="G937" s="166"/>
      <c r="H937" s="166"/>
      <c r="I937" s="166"/>
      <c r="J937" s="166"/>
      <c r="K937" s="167"/>
      <c r="L937" s="167"/>
      <c r="M937" s="167"/>
      <c r="N937" s="167"/>
      <c r="P937" s="168"/>
    </row>
    <row r="938" spans="6:16">
      <c r="F938" s="166"/>
      <c r="G938" s="166"/>
      <c r="H938" s="166"/>
      <c r="I938" s="166"/>
      <c r="J938" s="166"/>
      <c r="K938" s="167"/>
      <c r="L938" s="167"/>
      <c r="M938" s="167"/>
      <c r="N938" s="167"/>
      <c r="P938" s="168"/>
    </row>
    <row r="939" spans="6:16">
      <c r="F939" s="166"/>
      <c r="G939" s="166"/>
      <c r="H939" s="166"/>
      <c r="I939" s="166"/>
      <c r="J939" s="166"/>
      <c r="K939" s="167"/>
      <c r="L939" s="167"/>
      <c r="M939" s="167"/>
      <c r="N939" s="167"/>
      <c r="P939" s="168"/>
    </row>
    <row r="940" spans="6:16">
      <c r="F940" s="166"/>
      <c r="G940" s="166"/>
      <c r="H940" s="166"/>
      <c r="I940" s="166"/>
      <c r="J940" s="166"/>
      <c r="K940" s="167"/>
      <c r="L940" s="167"/>
      <c r="M940" s="167"/>
      <c r="N940" s="167"/>
      <c r="P940" s="168"/>
    </row>
    <row r="941" spans="6:16">
      <c r="F941" s="166"/>
      <c r="G941" s="166"/>
      <c r="H941" s="166"/>
      <c r="I941" s="166"/>
      <c r="J941" s="166"/>
      <c r="K941" s="167"/>
      <c r="L941" s="167"/>
      <c r="M941" s="167"/>
      <c r="N941" s="167"/>
      <c r="P941" s="168"/>
    </row>
    <row r="942" spans="6:16">
      <c r="F942" s="166"/>
      <c r="G942" s="166"/>
      <c r="H942" s="166"/>
      <c r="I942" s="166"/>
      <c r="J942" s="166"/>
      <c r="K942" s="167"/>
      <c r="L942" s="167"/>
      <c r="M942" s="167"/>
      <c r="N942" s="167"/>
      <c r="P942" s="168"/>
    </row>
    <row r="943" spans="6:16">
      <c r="F943" s="166"/>
      <c r="G943" s="166"/>
      <c r="H943" s="166"/>
      <c r="I943" s="166"/>
      <c r="J943" s="166"/>
      <c r="K943" s="167"/>
      <c r="L943" s="167"/>
      <c r="M943" s="167"/>
      <c r="N943" s="167"/>
      <c r="P943" s="168"/>
    </row>
    <row r="944" spans="6:16">
      <c r="F944" s="166"/>
      <c r="G944" s="166"/>
      <c r="H944" s="166"/>
      <c r="I944" s="166"/>
      <c r="J944" s="166"/>
      <c r="K944" s="167"/>
      <c r="L944" s="167"/>
      <c r="M944" s="167"/>
      <c r="N944" s="167"/>
      <c r="P944" s="168"/>
    </row>
    <row r="945" spans="6:16">
      <c r="F945" s="166"/>
      <c r="G945" s="166"/>
      <c r="H945" s="166"/>
      <c r="I945" s="166"/>
      <c r="J945" s="166"/>
      <c r="K945" s="167"/>
      <c r="L945" s="167"/>
      <c r="M945" s="167"/>
      <c r="N945" s="167"/>
      <c r="P945" s="168"/>
    </row>
    <row r="946" spans="6:16">
      <c r="F946" s="166"/>
      <c r="G946" s="166"/>
      <c r="H946" s="166"/>
      <c r="I946" s="166"/>
      <c r="J946" s="166"/>
      <c r="K946" s="167"/>
      <c r="L946" s="167"/>
      <c r="M946" s="167"/>
      <c r="N946" s="167"/>
      <c r="P946" s="168"/>
    </row>
    <row r="947" spans="6:16">
      <c r="F947" s="166"/>
      <c r="G947" s="166"/>
      <c r="H947" s="166"/>
      <c r="I947" s="166"/>
      <c r="J947" s="166"/>
      <c r="K947" s="167"/>
      <c r="L947" s="167"/>
      <c r="M947" s="167"/>
      <c r="N947" s="167"/>
      <c r="P947" s="168"/>
    </row>
    <row r="948" spans="6:16">
      <c r="F948" s="166"/>
      <c r="G948" s="166"/>
      <c r="H948" s="166"/>
      <c r="I948" s="166"/>
      <c r="J948" s="166"/>
      <c r="K948" s="167"/>
      <c r="L948" s="167"/>
      <c r="M948" s="167"/>
      <c r="N948" s="167"/>
      <c r="P948" s="168"/>
    </row>
    <row r="949" spans="6:16">
      <c r="F949" s="166"/>
      <c r="G949" s="166"/>
      <c r="H949" s="166"/>
      <c r="I949" s="166"/>
      <c r="J949" s="166"/>
      <c r="K949" s="167"/>
      <c r="L949" s="167"/>
      <c r="M949" s="167"/>
      <c r="N949" s="167"/>
      <c r="P949" s="168"/>
    </row>
    <row r="950" spans="6:16">
      <c r="F950" s="166"/>
      <c r="G950" s="166"/>
      <c r="H950" s="166"/>
      <c r="I950" s="166"/>
      <c r="J950" s="166"/>
      <c r="K950" s="167"/>
      <c r="L950" s="167"/>
      <c r="M950" s="167"/>
      <c r="N950" s="167"/>
      <c r="P950" s="168"/>
    </row>
    <row r="951" spans="6:16">
      <c r="F951" s="166"/>
      <c r="G951" s="166"/>
      <c r="H951" s="166"/>
      <c r="I951" s="166"/>
      <c r="J951" s="166"/>
      <c r="K951" s="167"/>
      <c r="L951" s="167"/>
      <c r="M951" s="167"/>
      <c r="N951" s="167"/>
      <c r="P951" s="168"/>
    </row>
    <row r="952" spans="6:16">
      <c r="F952" s="166"/>
      <c r="G952" s="166"/>
      <c r="H952" s="166"/>
      <c r="I952" s="166"/>
      <c r="J952" s="166"/>
      <c r="K952" s="167"/>
      <c r="L952" s="167"/>
      <c r="M952" s="167"/>
      <c r="N952" s="167"/>
      <c r="P952" s="168"/>
    </row>
    <row r="953" spans="6:16">
      <c r="F953" s="166"/>
      <c r="G953" s="166"/>
      <c r="H953" s="166"/>
      <c r="I953" s="166"/>
      <c r="J953" s="166"/>
      <c r="K953" s="167"/>
      <c r="L953" s="167"/>
      <c r="M953" s="167"/>
      <c r="N953" s="167"/>
      <c r="P953" s="168"/>
    </row>
    <row r="954" spans="6:16">
      <c r="F954" s="166"/>
      <c r="G954" s="166"/>
      <c r="H954" s="166"/>
      <c r="I954" s="166"/>
      <c r="J954" s="166"/>
      <c r="K954" s="167"/>
      <c r="L954" s="167"/>
      <c r="M954" s="167"/>
      <c r="N954" s="167"/>
      <c r="P954" s="168"/>
    </row>
    <row r="955" spans="6:16">
      <c r="F955" s="166"/>
      <c r="G955" s="166"/>
      <c r="H955" s="166"/>
      <c r="I955" s="166"/>
      <c r="J955" s="166"/>
      <c r="K955" s="167"/>
      <c r="L955" s="167"/>
      <c r="M955" s="167"/>
      <c r="N955" s="167"/>
      <c r="P955" s="168"/>
    </row>
    <row r="956" spans="6:16">
      <c r="F956" s="166"/>
      <c r="G956" s="166"/>
      <c r="H956" s="166"/>
      <c r="I956" s="166"/>
      <c r="J956" s="166"/>
      <c r="K956" s="167"/>
      <c r="L956" s="167"/>
      <c r="M956" s="167"/>
      <c r="N956" s="167"/>
      <c r="P956" s="168"/>
    </row>
    <row r="957" spans="6:16">
      <c r="F957" s="166"/>
      <c r="G957" s="166"/>
      <c r="H957" s="166"/>
      <c r="I957" s="166"/>
      <c r="J957" s="166"/>
      <c r="K957" s="167"/>
      <c r="L957" s="167"/>
      <c r="M957" s="167"/>
      <c r="N957" s="167"/>
      <c r="P957" s="168"/>
    </row>
    <row r="958" spans="6:16">
      <c r="F958" s="166"/>
      <c r="G958" s="166"/>
      <c r="H958" s="166"/>
      <c r="I958" s="166"/>
      <c r="J958" s="166"/>
      <c r="K958" s="167"/>
      <c r="L958" s="167"/>
      <c r="M958" s="167"/>
      <c r="N958" s="167"/>
      <c r="P958" s="168"/>
    </row>
    <row r="959" spans="6:16">
      <c r="F959" s="166"/>
      <c r="G959" s="166"/>
      <c r="H959" s="166"/>
      <c r="I959" s="166"/>
      <c r="J959" s="166"/>
      <c r="K959" s="167"/>
      <c r="L959" s="167"/>
      <c r="M959" s="167"/>
      <c r="N959" s="167"/>
      <c r="P959" s="168"/>
    </row>
    <row r="960" spans="6:16">
      <c r="F960" s="166"/>
      <c r="G960" s="166"/>
      <c r="H960" s="166"/>
      <c r="I960" s="166"/>
      <c r="J960" s="166"/>
      <c r="K960" s="167"/>
      <c r="L960" s="167"/>
      <c r="M960" s="167"/>
      <c r="N960" s="167"/>
      <c r="P960" s="168"/>
    </row>
    <row r="961" spans="6:16">
      <c r="F961" s="166"/>
      <c r="G961" s="166"/>
      <c r="H961" s="166"/>
      <c r="I961" s="166"/>
      <c r="J961" s="166"/>
      <c r="K961" s="167"/>
      <c r="L961" s="167"/>
      <c r="M961" s="167"/>
      <c r="N961" s="167"/>
      <c r="P961" s="168"/>
    </row>
    <row r="962" spans="6:16">
      <c r="F962" s="166"/>
      <c r="G962" s="166"/>
      <c r="H962" s="166"/>
      <c r="I962" s="166"/>
      <c r="J962" s="166"/>
      <c r="K962" s="167"/>
      <c r="L962" s="167"/>
      <c r="M962" s="167"/>
      <c r="N962" s="167"/>
      <c r="P962" s="168"/>
    </row>
    <row r="963" spans="6:16">
      <c r="F963" s="166"/>
      <c r="G963" s="166"/>
      <c r="H963" s="166"/>
      <c r="I963" s="166"/>
      <c r="J963" s="166"/>
      <c r="K963" s="167"/>
      <c r="L963" s="167"/>
      <c r="M963" s="167"/>
      <c r="N963" s="167"/>
      <c r="P963" s="168"/>
    </row>
    <row r="964" spans="6:16">
      <c r="F964" s="166"/>
      <c r="G964" s="166"/>
      <c r="H964" s="166"/>
      <c r="I964" s="166"/>
      <c r="J964" s="166"/>
      <c r="K964" s="167"/>
      <c r="L964" s="167"/>
      <c r="M964" s="167"/>
      <c r="N964" s="167"/>
      <c r="P964" s="168"/>
    </row>
    <row r="965" spans="6:16">
      <c r="F965" s="166"/>
      <c r="G965" s="166"/>
      <c r="H965" s="166"/>
      <c r="I965" s="166"/>
      <c r="J965" s="166"/>
      <c r="K965" s="167"/>
      <c r="L965" s="167"/>
      <c r="M965" s="167"/>
      <c r="N965" s="167"/>
      <c r="P965" s="168"/>
    </row>
    <row r="966" spans="6:16">
      <c r="F966" s="166"/>
      <c r="G966" s="166"/>
      <c r="H966" s="166"/>
      <c r="I966" s="166"/>
      <c r="J966" s="166"/>
      <c r="K966" s="167"/>
      <c r="L966" s="167"/>
      <c r="M966" s="167"/>
      <c r="N966" s="167"/>
      <c r="P966" s="168"/>
    </row>
    <row r="967" spans="6:16">
      <c r="F967" s="166"/>
      <c r="G967" s="166"/>
      <c r="H967" s="166"/>
      <c r="I967" s="166"/>
      <c r="J967" s="166"/>
      <c r="K967" s="167"/>
      <c r="L967" s="167"/>
      <c r="M967" s="167"/>
      <c r="N967" s="167"/>
      <c r="P967" s="168"/>
    </row>
    <row r="968" spans="6:16">
      <c r="F968" s="166"/>
      <c r="G968" s="166"/>
      <c r="H968" s="166"/>
      <c r="I968" s="166"/>
      <c r="J968" s="166"/>
      <c r="K968" s="167"/>
      <c r="L968" s="167"/>
      <c r="M968" s="167"/>
      <c r="N968" s="167"/>
      <c r="P968" s="168"/>
    </row>
    <row r="969" spans="6:16">
      <c r="F969" s="166"/>
      <c r="G969" s="166"/>
      <c r="H969" s="166"/>
      <c r="I969" s="166"/>
      <c r="J969" s="166"/>
      <c r="K969" s="167"/>
      <c r="L969" s="167"/>
      <c r="M969" s="167"/>
      <c r="N969" s="167"/>
      <c r="P969" s="168"/>
    </row>
    <row r="970" spans="6:16">
      <c r="F970" s="166"/>
      <c r="G970" s="166"/>
      <c r="H970" s="166"/>
      <c r="I970" s="166"/>
      <c r="J970" s="166"/>
      <c r="K970" s="167"/>
      <c r="L970" s="167"/>
      <c r="M970" s="167"/>
      <c r="N970" s="167"/>
      <c r="P970" s="168"/>
    </row>
    <row r="971" spans="6:16">
      <c r="F971" s="166"/>
      <c r="G971" s="166"/>
      <c r="H971" s="166"/>
      <c r="I971" s="166"/>
      <c r="J971" s="166"/>
      <c r="K971" s="167"/>
      <c r="L971" s="167"/>
      <c r="M971" s="167"/>
      <c r="N971" s="167"/>
      <c r="P971" s="168"/>
    </row>
    <row r="972" spans="6:16">
      <c r="F972" s="166"/>
      <c r="G972" s="166"/>
      <c r="H972" s="166"/>
      <c r="I972" s="166"/>
      <c r="J972" s="166"/>
      <c r="K972" s="167"/>
      <c r="L972" s="167"/>
      <c r="M972" s="167"/>
      <c r="N972" s="167"/>
      <c r="P972" s="168"/>
    </row>
    <row r="973" spans="6:16">
      <c r="F973" s="166"/>
      <c r="G973" s="166"/>
      <c r="H973" s="166"/>
      <c r="I973" s="166"/>
      <c r="J973" s="166"/>
      <c r="K973" s="167"/>
      <c r="L973" s="167"/>
      <c r="M973" s="167"/>
      <c r="N973" s="167"/>
      <c r="P973" s="168"/>
    </row>
    <row r="974" spans="6:16">
      <c r="F974" s="166"/>
      <c r="G974" s="166"/>
      <c r="H974" s="166"/>
      <c r="I974" s="166"/>
      <c r="J974" s="166"/>
      <c r="K974" s="167"/>
      <c r="L974" s="167"/>
      <c r="M974" s="167"/>
      <c r="N974" s="167"/>
      <c r="P974" s="168"/>
    </row>
    <row r="975" spans="6:16">
      <c r="F975" s="166"/>
      <c r="G975" s="166"/>
      <c r="H975" s="166"/>
      <c r="I975" s="166"/>
      <c r="J975" s="166"/>
      <c r="K975" s="167"/>
      <c r="L975" s="167"/>
      <c r="M975" s="167"/>
      <c r="N975" s="167"/>
      <c r="P975" s="168"/>
    </row>
    <row r="976" spans="6:16">
      <c r="F976" s="166"/>
      <c r="G976" s="166"/>
      <c r="H976" s="166"/>
      <c r="I976" s="166"/>
      <c r="J976" s="166"/>
      <c r="K976" s="167"/>
      <c r="L976" s="167"/>
      <c r="M976" s="167"/>
      <c r="N976" s="167"/>
      <c r="P976" s="168"/>
    </row>
    <row r="977" spans="6:16">
      <c r="F977" s="166"/>
      <c r="G977" s="166"/>
      <c r="H977" s="166"/>
      <c r="I977" s="166"/>
      <c r="J977" s="166"/>
      <c r="K977" s="167"/>
      <c r="L977" s="167"/>
      <c r="M977" s="167"/>
      <c r="N977" s="167"/>
      <c r="P977" s="168"/>
    </row>
    <row r="978" spans="6:16">
      <c r="F978" s="166"/>
      <c r="G978" s="166"/>
      <c r="H978" s="166"/>
      <c r="I978" s="166"/>
      <c r="J978" s="166"/>
      <c r="K978" s="167"/>
      <c r="L978" s="167"/>
      <c r="M978" s="167"/>
      <c r="N978" s="167"/>
      <c r="P978" s="168"/>
    </row>
    <row r="979" spans="6:16">
      <c r="F979" s="166"/>
      <c r="G979" s="166"/>
      <c r="H979" s="166"/>
      <c r="I979" s="166"/>
      <c r="J979" s="166"/>
      <c r="K979" s="167"/>
      <c r="L979" s="167"/>
      <c r="M979" s="167"/>
      <c r="N979" s="167"/>
      <c r="P979" s="168"/>
    </row>
    <row r="980" spans="6:16">
      <c r="F980" s="166"/>
      <c r="G980" s="166"/>
      <c r="H980" s="166"/>
      <c r="I980" s="166"/>
      <c r="J980" s="166"/>
      <c r="K980" s="167"/>
      <c r="L980" s="167"/>
      <c r="M980" s="167"/>
      <c r="N980" s="167"/>
      <c r="P980" s="168"/>
    </row>
    <row r="981" spans="6:16">
      <c r="F981" s="166"/>
      <c r="G981" s="166"/>
      <c r="H981" s="166"/>
      <c r="I981" s="166"/>
      <c r="J981" s="166"/>
      <c r="K981" s="167"/>
      <c r="L981" s="167"/>
      <c r="M981" s="167"/>
      <c r="N981" s="167"/>
      <c r="P981" s="168"/>
    </row>
    <row r="982" spans="6:16">
      <c r="F982" s="166"/>
      <c r="G982" s="166"/>
      <c r="H982" s="166"/>
      <c r="I982" s="166"/>
      <c r="J982" s="166"/>
      <c r="K982" s="167"/>
      <c r="L982" s="167"/>
      <c r="M982" s="167"/>
      <c r="N982" s="167"/>
      <c r="P982" s="168"/>
    </row>
    <row r="983" spans="6:16">
      <c r="F983" s="166"/>
      <c r="G983" s="166"/>
      <c r="H983" s="166"/>
      <c r="I983" s="166"/>
      <c r="J983" s="166"/>
      <c r="K983" s="167"/>
      <c r="L983" s="167"/>
      <c r="M983" s="167"/>
      <c r="N983" s="167"/>
      <c r="P983" s="168"/>
    </row>
    <row r="984" spans="6:16">
      <c r="F984" s="166"/>
      <c r="G984" s="166"/>
      <c r="H984" s="166"/>
      <c r="I984" s="166"/>
      <c r="J984" s="166"/>
      <c r="K984" s="167"/>
      <c r="L984" s="167"/>
      <c r="M984" s="167"/>
      <c r="N984" s="167"/>
      <c r="P984" s="168"/>
    </row>
    <row r="985" spans="6:16">
      <c r="F985" s="166"/>
      <c r="G985" s="166"/>
      <c r="H985" s="166"/>
      <c r="I985" s="166"/>
      <c r="J985" s="166"/>
      <c r="K985" s="167"/>
      <c r="L985" s="167"/>
      <c r="M985" s="167"/>
      <c r="N985" s="167"/>
      <c r="P985" s="168"/>
    </row>
    <row r="986" spans="6:16">
      <c r="F986" s="166"/>
      <c r="G986" s="166"/>
      <c r="H986" s="166"/>
      <c r="I986" s="166"/>
      <c r="J986" s="166"/>
      <c r="K986" s="167"/>
      <c r="L986" s="167"/>
      <c r="M986" s="167"/>
      <c r="N986" s="167"/>
      <c r="P986" s="168"/>
    </row>
    <row r="987" spans="6:16">
      <c r="F987" s="166"/>
      <c r="G987" s="166"/>
      <c r="H987" s="166"/>
      <c r="I987" s="166"/>
      <c r="J987" s="166"/>
      <c r="K987" s="167"/>
      <c r="L987" s="167"/>
      <c r="M987" s="167"/>
      <c r="N987" s="167"/>
      <c r="P987" s="168"/>
    </row>
    <row r="988" spans="6:16">
      <c r="F988" s="166"/>
      <c r="G988" s="166"/>
      <c r="H988" s="166"/>
      <c r="I988" s="166"/>
      <c r="J988" s="166"/>
      <c r="K988" s="167"/>
      <c r="L988" s="167"/>
      <c r="M988" s="167"/>
      <c r="N988" s="167"/>
      <c r="P988" s="168"/>
    </row>
    <row r="989" spans="6:16">
      <c r="F989" s="166"/>
      <c r="G989" s="166"/>
      <c r="H989" s="166"/>
      <c r="I989" s="166"/>
      <c r="J989" s="166"/>
      <c r="K989" s="167"/>
      <c r="L989" s="167"/>
      <c r="M989" s="167"/>
      <c r="N989" s="167"/>
      <c r="P989" s="168"/>
    </row>
    <row r="990" spans="6:16">
      <c r="F990" s="166"/>
      <c r="G990" s="166"/>
      <c r="H990" s="166"/>
      <c r="I990" s="166"/>
      <c r="J990" s="166"/>
      <c r="K990" s="167"/>
      <c r="L990" s="167"/>
      <c r="M990" s="167"/>
      <c r="N990" s="167"/>
      <c r="P990" s="168"/>
    </row>
    <row r="991" spans="6:16">
      <c r="F991" s="166"/>
      <c r="G991" s="166"/>
      <c r="H991" s="166"/>
      <c r="I991" s="166"/>
      <c r="J991" s="166"/>
      <c r="K991" s="167"/>
      <c r="L991" s="167"/>
      <c r="M991" s="167"/>
      <c r="N991" s="167"/>
      <c r="P991" s="168"/>
    </row>
    <row r="992" spans="6:16">
      <c r="F992" s="166"/>
      <c r="G992" s="166"/>
      <c r="H992" s="166"/>
      <c r="I992" s="166"/>
      <c r="J992" s="166"/>
      <c r="K992" s="167"/>
      <c r="L992" s="167"/>
      <c r="M992" s="167"/>
      <c r="N992" s="167"/>
      <c r="P992" s="168"/>
    </row>
    <row r="993" spans="6:16">
      <c r="F993" s="166"/>
      <c r="G993" s="166"/>
      <c r="H993" s="166"/>
      <c r="I993" s="166"/>
      <c r="J993" s="166"/>
      <c r="K993" s="167"/>
      <c r="L993" s="167"/>
      <c r="M993" s="167"/>
      <c r="N993" s="167"/>
      <c r="P993" s="168"/>
    </row>
    <row r="994" spans="6:16">
      <c r="F994" s="166"/>
      <c r="G994" s="166"/>
      <c r="H994" s="166"/>
      <c r="I994" s="166"/>
      <c r="J994" s="166"/>
      <c r="K994" s="167"/>
      <c r="L994" s="167"/>
      <c r="M994" s="167"/>
      <c r="N994" s="167"/>
      <c r="P994" s="168"/>
    </row>
    <row r="995" spans="6:16">
      <c r="F995" s="166"/>
      <c r="G995" s="166"/>
      <c r="H995" s="166"/>
      <c r="I995" s="166"/>
      <c r="J995" s="166"/>
      <c r="K995" s="167"/>
      <c r="L995" s="167"/>
      <c r="M995" s="167"/>
      <c r="N995" s="167"/>
      <c r="P995" s="168"/>
    </row>
    <row r="996" spans="6:16">
      <c r="F996" s="166"/>
      <c r="G996" s="166"/>
      <c r="H996" s="166"/>
      <c r="I996" s="166"/>
      <c r="J996" s="166"/>
      <c r="K996" s="167"/>
      <c r="L996" s="167"/>
      <c r="M996" s="167"/>
      <c r="N996" s="167"/>
      <c r="P996" s="168"/>
    </row>
    <row r="997" spans="6:16">
      <c r="F997" s="166"/>
      <c r="G997" s="166"/>
      <c r="H997" s="166"/>
      <c r="I997" s="166"/>
      <c r="J997" s="166"/>
      <c r="K997" s="167"/>
      <c r="L997" s="167"/>
      <c r="M997" s="167"/>
      <c r="N997" s="167"/>
      <c r="P997" s="168"/>
    </row>
    <row r="998" spans="6:16">
      <c r="F998" s="166"/>
      <c r="G998" s="166"/>
      <c r="H998" s="166"/>
      <c r="I998" s="166"/>
      <c r="J998" s="166"/>
      <c r="K998" s="167"/>
      <c r="L998" s="167"/>
      <c r="M998" s="167"/>
      <c r="N998" s="167"/>
      <c r="P998" s="168"/>
    </row>
    <row r="999" spans="6:16">
      <c r="F999" s="166"/>
      <c r="G999" s="166"/>
      <c r="H999" s="166"/>
      <c r="I999" s="166"/>
      <c r="J999" s="166"/>
      <c r="K999" s="167"/>
      <c r="L999" s="167"/>
      <c r="M999" s="167"/>
      <c r="N999" s="167"/>
      <c r="P999" s="168"/>
    </row>
    <row r="1000" spans="6:16">
      <c r="F1000" s="166"/>
      <c r="G1000" s="166"/>
      <c r="H1000" s="166"/>
      <c r="I1000" s="166"/>
      <c r="J1000" s="166"/>
      <c r="K1000" s="167"/>
      <c r="L1000" s="167"/>
      <c r="M1000" s="167"/>
      <c r="N1000" s="167"/>
      <c r="P1000" s="168"/>
    </row>
    <row r="1001" spans="6:16">
      <c r="F1001" s="166"/>
      <c r="G1001" s="166"/>
      <c r="H1001" s="166"/>
      <c r="I1001" s="166"/>
      <c r="J1001" s="166"/>
      <c r="K1001" s="167"/>
      <c r="L1001" s="167"/>
      <c r="M1001" s="167"/>
      <c r="N1001" s="167"/>
      <c r="P1001" s="168"/>
    </row>
    <row r="1002" spans="6:16">
      <c r="F1002" s="166"/>
      <c r="G1002" s="166"/>
      <c r="H1002" s="166"/>
      <c r="I1002" s="166"/>
      <c r="J1002" s="166"/>
      <c r="K1002" s="167"/>
      <c r="L1002" s="167"/>
      <c r="M1002" s="167"/>
      <c r="N1002" s="167"/>
      <c r="P1002" s="168"/>
    </row>
    <row r="1003" spans="6:16">
      <c r="F1003" s="166"/>
      <c r="G1003" s="166"/>
      <c r="H1003" s="166"/>
      <c r="I1003" s="166"/>
      <c r="J1003" s="166"/>
      <c r="K1003" s="167"/>
      <c r="L1003" s="167"/>
      <c r="M1003" s="167"/>
      <c r="N1003" s="167"/>
      <c r="P1003" s="168"/>
    </row>
    <row r="1004" spans="6:16">
      <c r="F1004" s="166"/>
      <c r="G1004" s="166"/>
      <c r="H1004" s="166"/>
      <c r="I1004" s="166"/>
      <c r="J1004" s="166"/>
      <c r="K1004" s="167"/>
      <c r="L1004" s="167"/>
      <c r="M1004" s="167"/>
      <c r="N1004" s="167"/>
      <c r="P1004" s="168"/>
    </row>
    <row r="1005" spans="6:16">
      <c r="F1005" s="166"/>
      <c r="G1005" s="166"/>
      <c r="H1005" s="166"/>
      <c r="I1005" s="166"/>
      <c r="J1005" s="166"/>
      <c r="K1005" s="167"/>
      <c r="L1005" s="167"/>
      <c r="M1005" s="167"/>
      <c r="N1005" s="167"/>
      <c r="P1005" s="168"/>
    </row>
    <row r="1006" spans="6:16">
      <c r="F1006" s="166"/>
      <c r="G1006" s="166"/>
      <c r="H1006" s="166"/>
      <c r="I1006" s="166"/>
      <c r="J1006" s="166"/>
      <c r="K1006" s="167"/>
      <c r="L1006" s="167"/>
      <c r="M1006" s="167"/>
      <c r="N1006" s="167"/>
      <c r="P1006" s="168"/>
    </row>
    <row r="1007" spans="6:16">
      <c r="F1007" s="166"/>
      <c r="G1007" s="166"/>
      <c r="H1007" s="166"/>
      <c r="I1007" s="166"/>
      <c r="J1007" s="166"/>
      <c r="K1007" s="167"/>
      <c r="L1007" s="167"/>
      <c r="M1007" s="167"/>
      <c r="N1007" s="167"/>
      <c r="P1007" s="168"/>
    </row>
    <row r="1008" spans="6:16">
      <c r="F1008" s="166"/>
      <c r="G1008" s="166"/>
      <c r="H1008" s="166"/>
      <c r="I1008" s="166"/>
      <c r="J1008" s="166"/>
      <c r="K1008" s="167"/>
      <c r="L1008" s="167"/>
      <c r="M1008" s="167"/>
      <c r="N1008" s="167"/>
      <c r="P1008" s="168"/>
    </row>
    <row r="1009" spans="6:16">
      <c r="F1009" s="166"/>
      <c r="G1009" s="166"/>
      <c r="H1009" s="166"/>
      <c r="I1009" s="166"/>
      <c r="J1009" s="166"/>
      <c r="K1009" s="167"/>
      <c r="L1009" s="167"/>
      <c r="M1009" s="167"/>
      <c r="N1009" s="167"/>
      <c r="P1009" s="168"/>
    </row>
    <row r="1010" spans="6:16">
      <c r="F1010" s="166"/>
      <c r="G1010" s="166"/>
      <c r="H1010" s="166"/>
      <c r="I1010" s="166"/>
      <c r="J1010" s="166"/>
      <c r="K1010" s="167"/>
      <c r="L1010" s="167"/>
      <c r="M1010" s="167"/>
      <c r="N1010" s="167"/>
      <c r="P1010" s="168"/>
    </row>
    <row r="1011" spans="6:16">
      <c r="F1011" s="166"/>
      <c r="G1011" s="166"/>
      <c r="H1011" s="166"/>
      <c r="I1011" s="166"/>
      <c r="J1011" s="166"/>
      <c r="K1011" s="167"/>
      <c r="L1011" s="167"/>
      <c r="M1011" s="167"/>
      <c r="N1011" s="167"/>
      <c r="P1011" s="168"/>
    </row>
    <row r="1012" spans="6:16">
      <c r="F1012" s="166"/>
      <c r="G1012" s="166"/>
      <c r="H1012" s="166"/>
      <c r="I1012" s="166"/>
      <c r="J1012" s="166"/>
      <c r="K1012" s="167"/>
      <c r="L1012" s="167"/>
      <c r="M1012" s="167"/>
      <c r="N1012" s="167"/>
      <c r="P1012" s="168"/>
    </row>
    <row r="1013" spans="6:16">
      <c r="F1013" s="166"/>
      <c r="G1013" s="166"/>
      <c r="H1013" s="166"/>
      <c r="I1013" s="166"/>
      <c r="J1013" s="166"/>
      <c r="K1013" s="167"/>
      <c r="L1013" s="167"/>
      <c r="M1013" s="167"/>
      <c r="N1013" s="167"/>
      <c r="P1013" s="168"/>
    </row>
    <row r="1014" spans="1:16">
      <c r="A1014" s="169"/>
      <c r="F1014" s="166"/>
      <c r="G1014" s="166"/>
      <c r="H1014" s="166"/>
      <c r="I1014" s="166"/>
      <c r="J1014" s="166"/>
      <c r="K1014" s="167"/>
      <c r="L1014" s="167"/>
      <c r="M1014" s="167"/>
      <c r="N1014" s="167"/>
      <c r="P1014" s="168"/>
    </row>
    <row r="1015" spans="6:16">
      <c r="F1015" s="166"/>
      <c r="G1015" s="166"/>
      <c r="H1015" s="166"/>
      <c r="I1015" s="166"/>
      <c r="J1015" s="166"/>
      <c r="K1015" s="167"/>
      <c r="L1015" s="167"/>
      <c r="M1015" s="167"/>
      <c r="N1015" s="167"/>
      <c r="P1015" s="168"/>
    </row>
    <row r="1016" spans="6:16">
      <c r="F1016" s="166"/>
      <c r="G1016" s="166"/>
      <c r="H1016" s="166"/>
      <c r="I1016" s="166"/>
      <c r="J1016" s="166"/>
      <c r="K1016" s="167"/>
      <c r="L1016" s="167"/>
      <c r="M1016" s="167"/>
      <c r="N1016" s="167"/>
      <c r="P1016" s="168"/>
    </row>
    <row r="1017" spans="6:16">
      <c r="F1017" s="166"/>
      <c r="G1017" s="166"/>
      <c r="H1017" s="166"/>
      <c r="I1017" s="166"/>
      <c r="J1017" s="166"/>
      <c r="K1017" s="167"/>
      <c r="L1017" s="167"/>
      <c r="M1017" s="167"/>
      <c r="N1017" s="167"/>
      <c r="P1017" s="168"/>
    </row>
    <row r="1018" spans="6:16">
      <c r="F1018" s="166"/>
      <c r="G1018" s="166"/>
      <c r="H1018" s="166"/>
      <c r="I1018" s="166"/>
      <c r="J1018" s="166"/>
      <c r="K1018" s="167"/>
      <c r="L1018" s="167"/>
      <c r="M1018" s="167"/>
      <c r="N1018" s="167"/>
      <c r="P1018" s="168"/>
    </row>
    <row r="1019" spans="6:16">
      <c r="F1019" s="166"/>
      <c r="G1019" s="166"/>
      <c r="H1019" s="166"/>
      <c r="I1019" s="166"/>
      <c r="J1019" s="166"/>
      <c r="K1019" s="167"/>
      <c r="L1019" s="167"/>
      <c r="M1019" s="167"/>
      <c r="N1019" s="167"/>
      <c r="P1019" s="168"/>
    </row>
    <row r="1020" spans="6:16">
      <c r="F1020" s="166"/>
      <c r="G1020" s="166"/>
      <c r="H1020" s="166"/>
      <c r="I1020" s="166"/>
      <c r="J1020" s="166"/>
      <c r="K1020" s="167"/>
      <c r="L1020" s="167"/>
      <c r="M1020" s="167"/>
      <c r="N1020" s="167"/>
      <c r="P1020" s="168"/>
    </row>
    <row r="1021" spans="4:16">
      <c r="D1021" s="170"/>
      <c r="E1021" s="171"/>
      <c r="F1021" s="166"/>
      <c r="G1021" s="166"/>
      <c r="H1021" s="166"/>
      <c r="I1021" s="166"/>
      <c r="J1021" s="166"/>
      <c r="K1021" s="167"/>
      <c r="L1021" s="167"/>
      <c r="M1021" s="167"/>
      <c r="N1021" s="167"/>
      <c r="P1021" s="168"/>
    </row>
    <row r="1022" spans="6:16">
      <c r="F1022" s="166"/>
      <c r="G1022" s="166"/>
      <c r="H1022" s="166"/>
      <c r="I1022" s="166"/>
      <c r="J1022" s="166"/>
      <c r="K1022" s="167"/>
      <c r="L1022" s="167"/>
      <c r="M1022" s="167"/>
      <c r="N1022" s="167"/>
      <c r="P1022" s="168"/>
    </row>
    <row r="1023" spans="6:16">
      <c r="F1023" s="166"/>
      <c r="G1023" s="166"/>
      <c r="H1023" s="166"/>
      <c r="I1023" s="166"/>
      <c r="J1023" s="166"/>
      <c r="K1023" s="167"/>
      <c r="L1023" s="167"/>
      <c r="M1023" s="167"/>
      <c r="N1023" s="167"/>
      <c r="P1023" s="168"/>
    </row>
    <row r="1024" spans="6:16">
      <c r="F1024" s="166"/>
      <c r="G1024" s="166"/>
      <c r="H1024" s="166"/>
      <c r="I1024" s="166"/>
      <c r="J1024" s="166"/>
      <c r="K1024" s="167"/>
      <c r="L1024" s="167"/>
      <c r="M1024" s="167"/>
      <c r="N1024" s="167"/>
      <c r="P1024" s="168"/>
    </row>
    <row r="1025" spans="6:16">
      <c r="F1025" s="166"/>
      <c r="G1025" s="166"/>
      <c r="H1025" s="166"/>
      <c r="I1025" s="166"/>
      <c r="J1025" s="166"/>
      <c r="K1025" s="167"/>
      <c r="L1025" s="167"/>
      <c r="M1025" s="167"/>
      <c r="N1025" s="167"/>
      <c r="P1025" s="168"/>
    </row>
    <row r="1026" spans="6:16">
      <c r="F1026" s="166"/>
      <c r="G1026" s="166"/>
      <c r="H1026" s="166"/>
      <c r="I1026" s="166"/>
      <c r="J1026" s="166"/>
      <c r="K1026" s="167"/>
      <c r="L1026" s="167"/>
      <c r="M1026" s="167"/>
      <c r="N1026" s="167"/>
      <c r="P1026" s="168"/>
    </row>
    <row r="1027" spans="6:16">
      <c r="F1027" s="166"/>
      <c r="G1027" s="166"/>
      <c r="H1027" s="166"/>
      <c r="I1027" s="166"/>
      <c r="J1027" s="166"/>
      <c r="K1027" s="167"/>
      <c r="L1027" s="167"/>
      <c r="M1027" s="167"/>
      <c r="N1027" s="167"/>
      <c r="P1027" s="168"/>
    </row>
    <row r="1028" spans="6:16">
      <c r="F1028" s="166"/>
      <c r="G1028" s="166"/>
      <c r="H1028" s="166"/>
      <c r="I1028" s="166"/>
      <c r="J1028" s="166"/>
      <c r="K1028" s="167"/>
      <c r="L1028" s="167"/>
      <c r="M1028" s="167"/>
      <c r="N1028" s="167"/>
      <c r="P1028" s="168"/>
    </row>
    <row r="1029" spans="6:16">
      <c r="F1029" s="166"/>
      <c r="G1029" s="166"/>
      <c r="H1029" s="166"/>
      <c r="I1029" s="166"/>
      <c r="J1029" s="166"/>
      <c r="K1029" s="167"/>
      <c r="L1029" s="167"/>
      <c r="M1029" s="167"/>
      <c r="N1029" s="167"/>
      <c r="P1029" s="168"/>
    </row>
    <row r="1030" spans="6:16">
      <c r="F1030" s="166"/>
      <c r="G1030" s="166"/>
      <c r="H1030" s="166"/>
      <c r="I1030" s="166"/>
      <c r="J1030" s="166"/>
      <c r="K1030" s="167"/>
      <c r="L1030" s="167"/>
      <c r="M1030" s="167"/>
      <c r="N1030" s="167"/>
      <c r="P1030" s="168"/>
    </row>
    <row r="1031" spans="6:16">
      <c r="F1031" s="166"/>
      <c r="G1031" s="166"/>
      <c r="H1031" s="166"/>
      <c r="I1031" s="166"/>
      <c r="J1031" s="166"/>
      <c r="K1031" s="167"/>
      <c r="L1031" s="167"/>
      <c r="M1031" s="167"/>
      <c r="N1031" s="167"/>
      <c r="P1031" s="168"/>
    </row>
    <row r="1032" spans="6:16">
      <c r="F1032" s="166"/>
      <c r="G1032" s="166"/>
      <c r="H1032" s="166"/>
      <c r="I1032" s="166"/>
      <c r="J1032" s="166"/>
      <c r="K1032" s="167"/>
      <c r="L1032" s="167"/>
      <c r="M1032" s="167"/>
      <c r="N1032" s="167"/>
      <c r="P1032" s="168"/>
    </row>
    <row r="1033" spans="6:16">
      <c r="F1033" s="166"/>
      <c r="G1033" s="166"/>
      <c r="H1033" s="166"/>
      <c r="I1033" s="166"/>
      <c r="J1033" s="166"/>
      <c r="K1033" s="167"/>
      <c r="L1033" s="167"/>
      <c r="M1033" s="167"/>
      <c r="N1033" s="167"/>
      <c r="P1033" s="168"/>
    </row>
    <row r="1034" spans="6:16">
      <c r="F1034" s="166"/>
      <c r="G1034" s="166"/>
      <c r="H1034" s="166"/>
      <c r="I1034" s="166"/>
      <c r="J1034" s="166"/>
      <c r="K1034" s="167"/>
      <c r="L1034" s="167"/>
      <c r="M1034" s="167"/>
      <c r="N1034" s="167"/>
      <c r="P1034" s="168"/>
    </row>
    <row r="1035" spans="6:16">
      <c r="F1035" s="166"/>
      <c r="G1035" s="166"/>
      <c r="H1035" s="166"/>
      <c r="I1035" s="166"/>
      <c r="J1035" s="166"/>
      <c r="K1035" s="167"/>
      <c r="L1035" s="167"/>
      <c r="M1035" s="167"/>
      <c r="N1035" s="167"/>
      <c r="P1035" s="168"/>
    </row>
    <row r="1036" spans="6:16">
      <c r="F1036" s="166"/>
      <c r="G1036" s="166"/>
      <c r="H1036" s="166"/>
      <c r="I1036" s="166"/>
      <c r="J1036" s="166"/>
      <c r="K1036" s="167"/>
      <c r="L1036" s="167"/>
      <c r="M1036" s="167"/>
      <c r="N1036" s="167"/>
      <c r="P1036" s="168"/>
    </row>
    <row r="1037" spans="6:16">
      <c r="F1037" s="166"/>
      <c r="G1037" s="166"/>
      <c r="H1037" s="166"/>
      <c r="I1037" s="166"/>
      <c r="J1037" s="166"/>
      <c r="K1037" s="167"/>
      <c r="L1037" s="167"/>
      <c r="M1037" s="167"/>
      <c r="N1037" s="167"/>
      <c r="P1037" s="168"/>
    </row>
    <row r="1038" spans="6:16">
      <c r="F1038" s="166"/>
      <c r="G1038" s="166"/>
      <c r="H1038" s="166"/>
      <c r="I1038" s="166"/>
      <c r="J1038" s="166"/>
      <c r="K1038" s="167"/>
      <c r="L1038" s="167"/>
      <c r="M1038" s="167"/>
      <c r="N1038" s="167"/>
      <c r="P1038" s="168"/>
    </row>
    <row r="1039" spans="6:16">
      <c r="F1039" s="166"/>
      <c r="G1039" s="166"/>
      <c r="H1039" s="166"/>
      <c r="I1039" s="166"/>
      <c r="J1039" s="166"/>
      <c r="K1039" s="167"/>
      <c r="L1039" s="167"/>
      <c r="M1039" s="167"/>
      <c r="N1039" s="167"/>
      <c r="P1039" s="168"/>
    </row>
    <row r="1040" spans="6:16">
      <c r="F1040" s="166"/>
      <c r="G1040" s="166"/>
      <c r="H1040" s="166"/>
      <c r="I1040" s="166"/>
      <c r="J1040" s="166"/>
      <c r="K1040" s="167"/>
      <c r="L1040" s="167"/>
      <c r="M1040" s="167"/>
      <c r="N1040" s="167"/>
      <c r="P1040" s="168"/>
    </row>
    <row r="1041" spans="6:16">
      <c r="F1041" s="166"/>
      <c r="G1041" s="166"/>
      <c r="H1041" s="166"/>
      <c r="I1041" s="166"/>
      <c r="J1041" s="166"/>
      <c r="K1041" s="167"/>
      <c r="L1041" s="167"/>
      <c r="M1041" s="167"/>
      <c r="N1041" s="167"/>
      <c r="P1041" s="168"/>
    </row>
    <row r="1042" spans="6:16">
      <c r="F1042" s="166"/>
      <c r="G1042" s="166"/>
      <c r="H1042" s="166"/>
      <c r="I1042" s="166"/>
      <c r="J1042" s="166"/>
      <c r="K1042" s="167"/>
      <c r="L1042" s="167"/>
      <c r="M1042" s="167"/>
      <c r="N1042" s="167"/>
      <c r="P1042" s="168"/>
    </row>
    <row r="1043" spans="6:16">
      <c r="F1043" s="166"/>
      <c r="G1043" s="166"/>
      <c r="H1043" s="166"/>
      <c r="I1043" s="166"/>
      <c r="J1043" s="166"/>
      <c r="K1043" s="167"/>
      <c r="L1043" s="167"/>
      <c r="M1043" s="167"/>
      <c r="N1043" s="167"/>
      <c r="P1043" s="168"/>
    </row>
    <row r="1044" spans="6:16">
      <c r="F1044" s="166"/>
      <c r="G1044" s="166"/>
      <c r="H1044" s="166"/>
      <c r="I1044" s="166"/>
      <c r="J1044" s="166"/>
      <c r="K1044" s="167"/>
      <c r="L1044" s="167"/>
      <c r="M1044" s="167"/>
      <c r="N1044" s="167"/>
      <c r="P1044" s="168"/>
    </row>
    <row r="1045" spans="6:16">
      <c r="F1045" s="166"/>
      <c r="G1045" s="166"/>
      <c r="H1045" s="166"/>
      <c r="I1045" s="166"/>
      <c r="J1045" s="166"/>
      <c r="K1045" s="167"/>
      <c r="L1045" s="167"/>
      <c r="M1045" s="167"/>
      <c r="N1045" s="167"/>
      <c r="P1045" s="168"/>
    </row>
    <row r="1046" spans="6:16">
      <c r="F1046" s="166"/>
      <c r="G1046" s="166"/>
      <c r="H1046" s="166"/>
      <c r="I1046" s="166"/>
      <c r="J1046" s="166"/>
      <c r="K1046" s="167"/>
      <c r="L1046" s="167"/>
      <c r="M1046" s="167"/>
      <c r="N1046" s="167"/>
      <c r="P1046" s="168"/>
    </row>
    <row r="1047" spans="6:16">
      <c r="F1047" s="166"/>
      <c r="G1047" s="166"/>
      <c r="H1047" s="166"/>
      <c r="I1047" s="166"/>
      <c r="J1047" s="166"/>
      <c r="K1047" s="167"/>
      <c r="L1047" s="167"/>
      <c r="M1047" s="167"/>
      <c r="N1047" s="167"/>
      <c r="P1047" s="168"/>
    </row>
    <row r="1048" spans="6:16">
      <c r="F1048" s="166"/>
      <c r="G1048" s="166"/>
      <c r="H1048" s="166"/>
      <c r="I1048" s="166"/>
      <c r="J1048" s="166"/>
      <c r="K1048" s="167"/>
      <c r="L1048" s="167"/>
      <c r="M1048" s="167"/>
      <c r="N1048" s="167"/>
      <c r="P1048" s="168"/>
    </row>
    <row r="1049" spans="6:16">
      <c r="F1049" s="166"/>
      <c r="G1049" s="166"/>
      <c r="H1049" s="166"/>
      <c r="I1049" s="166"/>
      <c r="J1049" s="166"/>
      <c r="K1049" s="167"/>
      <c r="L1049" s="167"/>
      <c r="M1049" s="167"/>
      <c r="N1049" s="167"/>
      <c r="P1049" s="168"/>
    </row>
    <row r="1050" spans="6:16">
      <c r="F1050" s="166"/>
      <c r="G1050" s="166"/>
      <c r="H1050" s="166"/>
      <c r="I1050" s="166"/>
      <c r="J1050" s="166"/>
      <c r="K1050" s="167"/>
      <c r="L1050" s="167"/>
      <c r="M1050" s="167"/>
      <c r="N1050" s="167"/>
      <c r="P1050" s="168"/>
    </row>
    <row r="1051" spans="6:16">
      <c r="F1051" s="166"/>
      <c r="G1051" s="166"/>
      <c r="H1051" s="166"/>
      <c r="I1051" s="166"/>
      <c r="J1051" s="166"/>
      <c r="K1051" s="167"/>
      <c r="L1051" s="167"/>
      <c r="M1051" s="167"/>
      <c r="N1051" s="167"/>
      <c r="P1051" s="168"/>
    </row>
    <row r="1052" spans="6:16">
      <c r="F1052" s="166"/>
      <c r="G1052" s="166"/>
      <c r="H1052" s="166"/>
      <c r="I1052" s="166"/>
      <c r="J1052" s="166"/>
      <c r="K1052" s="167"/>
      <c r="L1052" s="167"/>
      <c r="M1052" s="167"/>
      <c r="N1052" s="167"/>
      <c r="P1052" s="168"/>
    </row>
    <row r="1053" spans="6:16">
      <c r="F1053" s="166"/>
      <c r="G1053" s="166"/>
      <c r="H1053" s="166"/>
      <c r="I1053" s="166"/>
      <c r="J1053" s="166"/>
      <c r="K1053" s="167"/>
      <c r="L1053" s="167"/>
      <c r="M1053" s="167"/>
      <c r="N1053" s="167"/>
      <c r="P1053" s="168"/>
    </row>
    <row r="1054" spans="6:16">
      <c r="F1054" s="166"/>
      <c r="G1054" s="166"/>
      <c r="H1054" s="166"/>
      <c r="I1054" s="166"/>
      <c r="J1054" s="166"/>
      <c r="K1054" s="167"/>
      <c r="L1054" s="167"/>
      <c r="M1054" s="167"/>
      <c r="N1054" s="167"/>
      <c r="P1054" s="168"/>
    </row>
    <row r="1055" spans="6:16">
      <c r="F1055" s="166"/>
      <c r="G1055" s="166"/>
      <c r="H1055" s="166"/>
      <c r="I1055" s="166"/>
      <c r="J1055" s="166"/>
      <c r="K1055" s="167"/>
      <c r="L1055" s="167"/>
      <c r="M1055" s="167"/>
      <c r="N1055" s="167"/>
      <c r="P1055" s="168"/>
    </row>
    <row r="1056" spans="6:16">
      <c r="F1056" s="166"/>
      <c r="G1056" s="166"/>
      <c r="H1056" s="166"/>
      <c r="I1056" s="166"/>
      <c r="J1056" s="166"/>
      <c r="K1056" s="167"/>
      <c r="L1056" s="167"/>
      <c r="M1056" s="167"/>
      <c r="N1056" s="167"/>
      <c r="P1056" s="168"/>
    </row>
    <row r="1057" spans="6:16">
      <c r="F1057" s="166"/>
      <c r="G1057" s="166"/>
      <c r="H1057" s="166"/>
      <c r="I1057" s="166"/>
      <c r="J1057" s="166"/>
      <c r="K1057" s="167"/>
      <c r="L1057" s="167"/>
      <c r="M1057" s="167"/>
      <c r="N1057" s="167"/>
      <c r="P1057" s="168"/>
    </row>
    <row r="1058" spans="6:16">
      <c r="F1058" s="166"/>
      <c r="G1058" s="166"/>
      <c r="H1058" s="166"/>
      <c r="I1058" s="166"/>
      <c r="J1058" s="166"/>
      <c r="K1058" s="167"/>
      <c r="L1058" s="167"/>
      <c r="M1058" s="167"/>
      <c r="N1058" s="167"/>
      <c r="P1058" s="168"/>
    </row>
    <row r="1059" spans="6:16">
      <c r="F1059" s="166"/>
      <c r="G1059" s="166"/>
      <c r="H1059" s="166"/>
      <c r="I1059" s="166"/>
      <c r="J1059" s="166"/>
      <c r="K1059" s="167"/>
      <c r="L1059" s="167"/>
      <c r="M1059" s="167"/>
      <c r="N1059" s="167"/>
      <c r="P1059" s="168"/>
    </row>
    <row r="1060" spans="6:16">
      <c r="F1060" s="166"/>
      <c r="G1060" s="166"/>
      <c r="H1060" s="166"/>
      <c r="I1060" s="166"/>
      <c r="J1060" s="166"/>
      <c r="K1060" s="167"/>
      <c r="L1060" s="167"/>
      <c r="M1060" s="167"/>
      <c r="N1060" s="167"/>
      <c r="P1060" s="168"/>
    </row>
    <row r="1061" spans="6:16">
      <c r="F1061" s="166"/>
      <c r="G1061" s="166"/>
      <c r="H1061" s="166"/>
      <c r="I1061" s="166"/>
      <c r="J1061" s="166"/>
      <c r="K1061" s="167"/>
      <c r="L1061" s="167"/>
      <c r="M1061" s="167"/>
      <c r="N1061" s="167"/>
      <c r="P1061" s="168"/>
    </row>
    <row r="1062" spans="6:16">
      <c r="F1062" s="166"/>
      <c r="G1062" s="166"/>
      <c r="H1062" s="166"/>
      <c r="I1062" s="166"/>
      <c r="J1062" s="166"/>
      <c r="K1062" s="167"/>
      <c r="L1062" s="167"/>
      <c r="M1062" s="167"/>
      <c r="N1062" s="167"/>
      <c r="P1062" s="168"/>
    </row>
    <row r="1063" spans="6:16">
      <c r="F1063" s="166"/>
      <c r="G1063" s="166"/>
      <c r="H1063" s="166"/>
      <c r="I1063" s="166"/>
      <c r="J1063" s="166"/>
      <c r="K1063" s="167"/>
      <c r="L1063" s="167"/>
      <c r="M1063" s="167"/>
      <c r="N1063" s="167"/>
      <c r="P1063" s="168"/>
    </row>
    <row r="1064" spans="6:16">
      <c r="F1064" s="166"/>
      <c r="G1064" s="166"/>
      <c r="H1064" s="166"/>
      <c r="I1064" s="166"/>
      <c r="J1064" s="166"/>
      <c r="K1064" s="167"/>
      <c r="L1064" s="167"/>
      <c r="M1064" s="167"/>
      <c r="N1064" s="167"/>
      <c r="P1064" s="168"/>
    </row>
    <row r="1065" spans="6:16">
      <c r="F1065" s="166"/>
      <c r="G1065" s="166"/>
      <c r="H1065" s="166"/>
      <c r="I1065" s="166"/>
      <c r="J1065" s="166"/>
      <c r="K1065" s="167"/>
      <c r="L1065" s="167"/>
      <c r="M1065" s="167"/>
      <c r="N1065" s="167"/>
      <c r="P1065" s="168"/>
    </row>
    <row r="1066" spans="6:16">
      <c r="F1066" s="166"/>
      <c r="G1066" s="166"/>
      <c r="H1066" s="166"/>
      <c r="I1066" s="166"/>
      <c r="J1066" s="166"/>
      <c r="K1066" s="167"/>
      <c r="L1066" s="167"/>
      <c r="M1066" s="167"/>
      <c r="N1066" s="167"/>
      <c r="P1066" s="168"/>
    </row>
    <row r="1067" spans="6:16">
      <c r="F1067" s="166"/>
      <c r="G1067" s="166"/>
      <c r="H1067" s="166"/>
      <c r="I1067" s="166"/>
      <c r="J1067" s="166"/>
      <c r="K1067" s="167"/>
      <c r="L1067" s="167"/>
      <c r="M1067" s="167"/>
      <c r="N1067" s="167"/>
      <c r="P1067" s="168"/>
    </row>
    <row r="1068" spans="6:16">
      <c r="F1068" s="166"/>
      <c r="G1068" s="166"/>
      <c r="H1068" s="166"/>
      <c r="I1068" s="166"/>
      <c r="J1068" s="166"/>
      <c r="K1068" s="167"/>
      <c r="L1068" s="167"/>
      <c r="M1068" s="167"/>
      <c r="N1068" s="167"/>
      <c r="P1068" s="168"/>
    </row>
    <row r="1069" spans="6:16">
      <c r="F1069" s="166"/>
      <c r="G1069" s="166"/>
      <c r="H1069" s="166"/>
      <c r="I1069" s="166"/>
      <c r="J1069" s="166"/>
      <c r="K1069" s="167"/>
      <c r="L1069" s="167"/>
      <c r="M1069" s="167"/>
      <c r="N1069" s="167"/>
      <c r="P1069" s="168"/>
    </row>
    <row r="1070" spans="6:16">
      <c r="F1070" s="166"/>
      <c r="G1070" s="166"/>
      <c r="H1070" s="166"/>
      <c r="I1070" s="166"/>
      <c r="J1070" s="166"/>
      <c r="K1070" s="167"/>
      <c r="L1070" s="167"/>
      <c r="M1070" s="167"/>
      <c r="N1070" s="167"/>
      <c r="P1070" s="168"/>
    </row>
    <row r="1071" spans="6:16">
      <c r="F1071" s="166"/>
      <c r="G1071" s="166"/>
      <c r="H1071" s="166"/>
      <c r="I1071" s="166"/>
      <c r="J1071" s="166"/>
      <c r="K1071" s="167"/>
      <c r="L1071" s="167"/>
      <c r="M1071" s="167"/>
      <c r="N1071" s="167"/>
      <c r="P1071" s="168"/>
    </row>
    <row r="1072" spans="6:16">
      <c r="F1072" s="166"/>
      <c r="G1072" s="166"/>
      <c r="H1072" s="166"/>
      <c r="I1072" s="166"/>
      <c r="J1072" s="166"/>
      <c r="K1072" s="167"/>
      <c r="L1072" s="167"/>
      <c r="M1072" s="167"/>
      <c r="N1072" s="167"/>
      <c r="P1072" s="168"/>
    </row>
    <row r="1073" spans="6:16">
      <c r="F1073" s="166"/>
      <c r="G1073" s="166"/>
      <c r="H1073" s="166"/>
      <c r="I1073" s="166"/>
      <c r="J1073" s="166"/>
      <c r="K1073" s="167"/>
      <c r="L1073" s="167"/>
      <c r="M1073" s="167"/>
      <c r="N1073" s="167"/>
      <c r="P1073" s="168"/>
    </row>
    <row r="1074" spans="6:16">
      <c r="F1074" s="166"/>
      <c r="G1074" s="166"/>
      <c r="H1074" s="166"/>
      <c r="I1074" s="166"/>
      <c r="J1074" s="166"/>
      <c r="K1074" s="167"/>
      <c r="L1074" s="167"/>
      <c r="M1074" s="167"/>
      <c r="N1074" s="167"/>
      <c r="P1074" s="168"/>
    </row>
    <row r="1075" spans="6:16">
      <c r="F1075" s="166"/>
      <c r="G1075" s="166"/>
      <c r="H1075" s="166"/>
      <c r="I1075" s="166"/>
      <c r="J1075" s="166"/>
      <c r="K1075" s="167"/>
      <c r="L1075" s="167"/>
      <c r="M1075" s="167"/>
      <c r="N1075" s="167"/>
      <c r="P1075" s="168"/>
    </row>
    <row r="1076" spans="6:16">
      <c r="F1076" s="166"/>
      <c r="G1076" s="166"/>
      <c r="H1076" s="166"/>
      <c r="I1076" s="166"/>
      <c r="J1076" s="166"/>
      <c r="K1076" s="167"/>
      <c r="L1076" s="167"/>
      <c r="M1076" s="167"/>
      <c r="N1076" s="167"/>
      <c r="P1076" s="168"/>
    </row>
    <row r="1077" spans="6:16">
      <c r="F1077" s="166"/>
      <c r="G1077" s="166"/>
      <c r="H1077" s="166"/>
      <c r="I1077" s="166"/>
      <c r="J1077" s="166"/>
      <c r="K1077" s="167"/>
      <c r="L1077" s="167"/>
      <c r="M1077" s="167"/>
      <c r="N1077" s="167"/>
      <c r="P1077" s="168"/>
    </row>
    <row r="1078" spans="6:16">
      <c r="F1078" s="166"/>
      <c r="G1078" s="166"/>
      <c r="H1078" s="166"/>
      <c r="I1078" s="166"/>
      <c r="J1078" s="166"/>
      <c r="K1078" s="167"/>
      <c r="L1078" s="167"/>
      <c r="M1078" s="167"/>
      <c r="N1078" s="167"/>
      <c r="P1078" s="168"/>
    </row>
    <row r="1079" spans="6:16">
      <c r="F1079" s="166"/>
      <c r="G1079" s="166"/>
      <c r="H1079" s="166"/>
      <c r="I1079" s="166"/>
      <c r="J1079" s="166"/>
      <c r="K1079" s="167"/>
      <c r="L1079" s="167"/>
      <c r="M1079" s="167"/>
      <c r="N1079" s="167"/>
      <c r="P1079" s="168"/>
    </row>
    <row r="1080" spans="6:16">
      <c r="F1080" s="166"/>
      <c r="G1080" s="166"/>
      <c r="H1080" s="166"/>
      <c r="I1080" s="166"/>
      <c r="J1080" s="166"/>
      <c r="K1080" s="167"/>
      <c r="L1080" s="167"/>
      <c r="M1080" s="167"/>
      <c r="N1080" s="167"/>
      <c r="P1080" s="168"/>
    </row>
    <row r="1081" spans="6:16">
      <c r="F1081" s="166"/>
      <c r="G1081" s="166"/>
      <c r="H1081" s="166"/>
      <c r="I1081" s="166"/>
      <c r="J1081" s="166"/>
      <c r="K1081" s="167"/>
      <c r="L1081" s="167"/>
      <c r="M1081" s="167"/>
      <c r="N1081" s="167"/>
      <c r="P1081" s="168"/>
    </row>
    <row r="1082" spans="6:16">
      <c r="F1082" s="166"/>
      <c r="G1082" s="166"/>
      <c r="H1082" s="166"/>
      <c r="I1082" s="166"/>
      <c r="J1082" s="166"/>
      <c r="K1082" s="167"/>
      <c r="L1082" s="167"/>
      <c r="M1082" s="167"/>
      <c r="N1082" s="167"/>
      <c r="P1082" s="168"/>
    </row>
    <row r="1083" spans="6:16">
      <c r="F1083" s="166"/>
      <c r="G1083" s="166"/>
      <c r="H1083" s="166"/>
      <c r="I1083" s="166"/>
      <c r="J1083" s="166"/>
      <c r="K1083" s="167"/>
      <c r="L1083" s="167"/>
      <c r="M1083" s="167"/>
      <c r="N1083" s="167"/>
      <c r="P1083" s="168"/>
    </row>
    <row r="1084" spans="6:16">
      <c r="F1084" s="166"/>
      <c r="G1084" s="166"/>
      <c r="H1084" s="166"/>
      <c r="I1084" s="166"/>
      <c r="J1084" s="166"/>
      <c r="K1084" s="167"/>
      <c r="L1084" s="167"/>
      <c r="M1084" s="167"/>
      <c r="N1084" s="167"/>
      <c r="P1084" s="168"/>
    </row>
    <row r="1085" spans="6:16">
      <c r="F1085" s="166"/>
      <c r="G1085" s="166"/>
      <c r="H1085" s="166"/>
      <c r="I1085" s="166"/>
      <c r="J1085" s="166"/>
      <c r="K1085" s="167"/>
      <c r="L1085" s="167"/>
      <c r="M1085" s="167"/>
      <c r="N1085" s="167"/>
      <c r="P1085" s="168"/>
    </row>
    <row r="1086" spans="6:16">
      <c r="F1086" s="166"/>
      <c r="G1086" s="166"/>
      <c r="H1086" s="166"/>
      <c r="I1086" s="166"/>
      <c r="J1086" s="166"/>
      <c r="K1086" s="167"/>
      <c r="L1086" s="167"/>
      <c r="M1086" s="167"/>
      <c r="N1086" s="167"/>
      <c r="P1086" s="168"/>
    </row>
    <row r="1087" spans="6:16">
      <c r="F1087" s="166"/>
      <c r="G1087" s="166"/>
      <c r="H1087" s="166"/>
      <c r="I1087" s="166"/>
      <c r="J1087" s="166"/>
      <c r="K1087" s="167"/>
      <c r="L1087" s="167"/>
      <c r="M1087" s="167"/>
      <c r="N1087" s="167"/>
      <c r="P1087" s="168"/>
    </row>
    <row r="1088" spans="6:16">
      <c r="F1088" s="166"/>
      <c r="G1088" s="166"/>
      <c r="H1088" s="166"/>
      <c r="I1088" s="166"/>
      <c r="J1088" s="166"/>
      <c r="K1088" s="167"/>
      <c r="L1088" s="167"/>
      <c r="M1088" s="167"/>
      <c r="N1088" s="167"/>
      <c r="P1088" s="168"/>
    </row>
    <row r="1089" spans="6:16">
      <c r="F1089" s="166"/>
      <c r="G1089" s="166"/>
      <c r="H1089" s="166"/>
      <c r="I1089" s="166"/>
      <c r="J1089" s="166"/>
      <c r="K1089" s="167"/>
      <c r="L1089" s="167"/>
      <c r="M1089" s="167"/>
      <c r="N1089" s="167"/>
      <c r="P1089" s="168"/>
    </row>
    <row r="1090" spans="6:16">
      <c r="F1090" s="166"/>
      <c r="G1090" s="166"/>
      <c r="H1090" s="166"/>
      <c r="I1090" s="166"/>
      <c r="J1090" s="166"/>
      <c r="K1090" s="167"/>
      <c r="L1090" s="167"/>
      <c r="M1090" s="167"/>
      <c r="N1090" s="167"/>
      <c r="P1090" s="168"/>
    </row>
    <row r="1091" spans="6:16">
      <c r="F1091" s="166"/>
      <c r="G1091" s="166"/>
      <c r="H1091" s="166"/>
      <c r="I1091" s="166"/>
      <c r="J1091" s="166"/>
      <c r="K1091" s="167"/>
      <c r="L1091" s="167"/>
      <c r="M1091" s="167"/>
      <c r="N1091" s="167"/>
      <c r="P1091" s="168"/>
    </row>
    <row r="1092" spans="6:16">
      <c r="F1092" s="166"/>
      <c r="G1092" s="166"/>
      <c r="H1092" s="166"/>
      <c r="I1092" s="166"/>
      <c r="J1092" s="166"/>
      <c r="K1092" s="167"/>
      <c r="L1092" s="167"/>
      <c r="M1092" s="167"/>
      <c r="N1092" s="167"/>
      <c r="P1092" s="168"/>
    </row>
    <row r="1093" spans="6:16">
      <c r="F1093" s="166"/>
      <c r="G1093" s="166"/>
      <c r="H1093" s="166"/>
      <c r="I1093" s="166"/>
      <c r="J1093" s="166"/>
      <c r="K1093" s="167"/>
      <c r="L1093" s="167"/>
      <c r="M1093" s="167"/>
      <c r="N1093" s="167"/>
      <c r="P1093" s="168"/>
    </row>
    <row r="1094" spans="6:16">
      <c r="F1094" s="166"/>
      <c r="G1094" s="166"/>
      <c r="H1094" s="166"/>
      <c r="I1094" s="166"/>
      <c r="J1094" s="166"/>
      <c r="K1094" s="167"/>
      <c r="L1094" s="167"/>
      <c r="M1094" s="167"/>
      <c r="N1094" s="167"/>
      <c r="P1094" s="168"/>
    </row>
    <row r="1095" spans="6:16">
      <c r="F1095" s="166"/>
      <c r="G1095" s="166"/>
      <c r="H1095" s="166"/>
      <c r="I1095" s="166"/>
      <c r="J1095" s="166"/>
      <c r="K1095" s="167"/>
      <c r="L1095" s="167"/>
      <c r="M1095" s="167"/>
      <c r="N1095" s="167"/>
      <c r="P1095" s="168"/>
    </row>
    <row r="1096" spans="6:16">
      <c r="F1096" s="166"/>
      <c r="G1096" s="166"/>
      <c r="H1096" s="166"/>
      <c r="I1096" s="166"/>
      <c r="J1096" s="166"/>
      <c r="K1096" s="167"/>
      <c r="L1096" s="167"/>
      <c r="M1096" s="167"/>
      <c r="N1096" s="167"/>
      <c r="P1096" s="168"/>
    </row>
    <row r="1097" spans="6:16">
      <c r="F1097" s="166"/>
      <c r="G1097" s="166"/>
      <c r="H1097" s="166"/>
      <c r="I1097" s="166"/>
      <c r="J1097" s="166"/>
      <c r="K1097" s="167"/>
      <c r="L1097" s="167"/>
      <c r="M1097" s="167"/>
      <c r="N1097" s="167"/>
      <c r="P1097" s="168"/>
    </row>
    <row r="1098" spans="6:16">
      <c r="F1098" s="166"/>
      <c r="G1098" s="166"/>
      <c r="H1098" s="166"/>
      <c r="I1098" s="166"/>
      <c r="J1098" s="166"/>
      <c r="K1098" s="167"/>
      <c r="L1098" s="167"/>
      <c r="M1098" s="167"/>
      <c r="N1098" s="167"/>
      <c r="P1098" s="168"/>
    </row>
    <row r="1099" spans="6:16">
      <c r="F1099" s="166"/>
      <c r="G1099" s="166"/>
      <c r="H1099" s="166"/>
      <c r="I1099" s="166"/>
      <c r="J1099" s="166"/>
      <c r="K1099" s="167"/>
      <c r="L1099" s="167"/>
      <c r="M1099" s="167"/>
      <c r="N1099" s="167"/>
      <c r="P1099" s="168"/>
    </row>
    <row r="1100" spans="6:16">
      <c r="F1100" s="166"/>
      <c r="G1100" s="166"/>
      <c r="H1100" s="166"/>
      <c r="I1100" s="166"/>
      <c r="J1100" s="166"/>
      <c r="K1100" s="167"/>
      <c r="L1100" s="167"/>
      <c r="M1100" s="167"/>
      <c r="N1100" s="167"/>
      <c r="P1100" s="168"/>
    </row>
    <row r="1101" spans="6:16">
      <c r="F1101" s="166"/>
      <c r="G1101" s="166"/>
      <c r="H1101" s="166"/>
      <c r="I1101" s="166"/>
      <c r="J1101" s="166"/>
      <c r="K1101" s="167"/>
      <c r="L1101" s="167"/>
      <c r="M1101" s="167"/>
      <c r="N1101" s="167"/>
      <c r="P1101" s="168"/>
    </row>
    <row r="1102" spans="6:16">
      <c r="F1102" s="166"/>
      <c r="G1102" s="166"/>
      <c r="H1102" s="166"/>
      <c r="I1102" s="166"/>
      <c r="J1102" s="166"/>
      <c r="K1102" s="167"/>
      <c r="L1102" s="167"/>
      <c r="M1102" s="167"/>
      <c r="N1102" s="167"/>
      <c r="P1102" s="168"/>
    </row>
    <row r="1103" spans="6:16">
      <c r="F1103" s="166"/>
      <c r="G1103" s="166"/>
      <c r="H1103" s="166"/>
      <c r="I1103" s="166"/>
      <c r="J1103" s="166"/>
      <c r="K1103" s="167"/>
      <c r="L1103" s="167"/>
      <c r="M1103" s="167"/>
      <c r="N1103" s="167"/>
      <c r="P1103" s="168"/>
    </row>
    <row r="1104" spans="6:16">
      <c r="F1104" s="166"/>
      <c r="G1104" s="166"/>
      <c r="H1104" s="166"/>
      <c r="I1104" s="166"/>
      <c r="J1104" s="166"/>
      <c r="K1104" s="167"/>
      <c r="L1104" s="167"/>
      <c r="M1104" s="167"/>
      <c r="N1104" s="167"/>
      <c r="P1104" s="168"/>
    </row>
    <row r="1105" spans="6:16">
      <c r="F1105" s="166"/>
      <c r="G1105" s="166"/>
      <c r="H1105" s="166"/>
      <c r="I1105" s="166"/>
      <c r="J1105" s="166"/>
      <c r="K1105" s="167"/>
      <c r="L1105" s="167"/>
      <c r="M1105" s="167"/>
      <c r="N1105" s="167"/>
      <c r="P1105" s="168"/>
    </row>
    <row r="1106" spans="6:16">
      <c r="F1106" s="166"/>
      <c r="G1106" s="166"/>
      <c r="H1106" s="166"/>
      <c r="I1106" s="166"/>
      <c r="J1106" s="166"/>
      <c r="K1106" s="167"/>
      <c r="L1106" s="167"/>
      <c r="M1106" s="167"/>
      <c r="N1106" s="167"/>
      <c r="P1106" s="168"/>
    </row>
    <row r="1107" spans="6:16">
      <c r="F1107" s="166"/>
      <c r="G1107" s="166"/>
      <c r="H1107" s="166"/>
      <c r="I1107" s="166"/>
      <c r="J1107" s="166"/>
      <c r="K1107" s="167"/>
      <c r="L1107" s="167"/>
      <c r="M1107" s="167"/>
      <c r="N1107" s="167"/>
      <c r="P1107" s="168"/>
    </row>
    <row r="1108" spans="6:16">
      <c r="F1108" s="166"/>
      <c r="G1108" s="166"/>
      <c r="H1108" s="166"/>
      <c r="I1108" s="166"/>
      <c r="J1108" s="166"/>
      <c r="K1108" s="167"/>
      <c r="L1108" s="167"/>
      <c r="M1108" s="167"/>
      <c r="N1108" s="167"/>
      <c r="P1108" s="168"/>
    </row>
    <row r="1109" spans="6:16">
      <c r="F1109" s="166"/>
      <c r="G1109" s="166"/>
      <c r="H1109" s="166"/>
      <c r="I1109" s="166"/>
      <c r="J1109" s="166"/>
      <c r="K1109" s="167"/>
      <c r="L1109" s="167"/>
      <c r="M1109" s="167"/>
      <c r="N1109" s="167"/>
      <c r="P1109" s="168"/>
    </row>
    <row r="1110" spans="6:16">
      <c r="F1110" s="166"/>
      <c r="G1110" s="166"/>
      <c r="H1110" s="166"/>
      <c r="I1110" s="166"/>
      <c r="J1110" s="166"/>
      <c r="K1110" s="167"/>
      <c r="L1110" s="167"/>
      <c r="M1110" s="167"/>
      <c r="N1110" s="167"/>
      <c r="P1110" s="168"/>
    </row>
    <row r="1111" spans="6:16">
      <c r="F1111" s="166"/>
      <c r="G1111" s="166"/>
      <c r="H1111" s="166"/>
      <c r="I1111" s="166"/>
      <c r="J1111" s="166"/>
      <c r="K1111" s="167"/>
      <c r="L1111" s="167"/>
      <c r="M1111" s="167"/>
      <c r="N1111" s="167"/>
      <c r="P1111" s="168"/>
    </row>
    <row r="1112" spans="6:16">
      <c r="F1112" s="166"/>
      <c r="G1112" s="166"/>
      <c r="H1112" s="166"/>
      <c r="I1112" s="166"/>
      <c r="J1112" s="166"/>
      <c r="K1112" s="167"/>
      <c r="L1112" s="167"/>
      <c r="M1112" s="167"/>
      <c r="N1112" s="167"/>
      <c r="P1112" s="168"/>
    </row>
    <row r="1113" spans="6:16">
      <c r="F1113" s="166"/>
      <c r="G1113" s="166"/>
      <c r="H1113" s="166"/>
      <c r="I1113" s="166"/>
      <c r="J1113" s="166"/>
      <c r="K1113" s="167"/>
      <c r="L1113" s="167"/>
      <c r="M1113" s="167"/>
      <c r="N1113" s="167"/>
      <c r="P1113" s="168"/>
    </row>
    <row r="1114" spans="1:16">
      <c r="A1114" s="169"/>
      <c r="F1114" s="166"/>
      <c r="G1114" s="166"/>
      <c r="H1114" s="166"/>
      <c r="I1114" s="166"/>
      <c r="J1114" s="166"/>
      <c r="K1114" s="167"/>
      <c r="L1114" s="167"/>
      <c r="M1114" s="167"/>
      <c r="N1114" s="167"/>
      <c r="P1114" s="168"/>
    </row>
    <row r="1115" spans="1:16">
      <c r="A1115" s="169"/>
      <c r="F1115" s="166"/>
      <c r="G1115" s="166"/>
      <c r="H1115" s="166"/>
      <c r="I1115" s="166"/>
      <c r="J1115" s="166"/>
      <c r="K1115" s="167"/>
      <c r="L1115" s="167"/>
      <c r="M1115" s="167"/>
      <c r="N1115" s="167"/>
      <c r="P1115" s="168"/>
    </row>
    <row r="1116" spans="1:16">
      <c r="A1116" s="169"/>
      <c r="F1116" s="166"/>
      <c r="G1116" s="166"/>
      <c r="H1116" s="166"/>
      <c r="I1116" s="166"/>
      <c r="J1116" s="166"/>
      <c r="K1116" s="167"/>
      <c r="L1116" s="167"/>
      <c r="M1116" s="167"/>
      <c r="N1116" s="167"/>
      <c r="P1116" s="168"/>
    </row>
    <row r="1117" spans="1:16">
      <c r="A1117" s="169"/>
      <c r="F1117" s="166"/>
      <c r="G1117" s="166"/>
      <c r="H1117" s="166"/>
      <c r="I1117" s="166"/>
      <c r="J1117" s="166"/>
      <c r="K1117" s="167"/>
      <c r="L1117" s="167"/>
      <c r="M1117" s="167"/>
      <c r="N1117" s="167"/>
      <c r="P1117" s="168"/>
    </row>
    <row r="1118" spans="6:16">
      <c r="F1118" s="166"/>
      <c r="G1118" s="166"/>
      <c r="H1118" s="166"/>
      <c r="I1118" s="166"/>
      <c r="J1118" s="166"/>
      <c r="K1118" s="167"/>
      <c r="L1118" s="167"/>
      <c r="M1118" s="167"/>
      <c r="N1118" s="167"/>
      <c r="P1118" s="168"/>
    </row>
    <row r="1119" spans="6:16">
      <c r="F1119" s="166"/>
      <c r="G1119" s="166"/>
      <c r="H1119" s="166"/>
      <c r="I1119" s="166"/>
      <c r="J1119" s="166"/>
      <c r="K1119" s="167"/>
      <c r="L1119" s="167"/>
      <c r="M1119" s="167"/>
      <c r="N1119" s="167"/>
      <c r="P1119" s="168"/>
    </row>
    <row r="1120" spans="6:16">
      <c r="F1120" s="166"/>
      <c r="G1120" s="166"/>
      <c r="H1120" s="166"/>
      <c r="I1120" s="166"/>
      <c r="J1120" s="166"/>
      <c r="K1120" s="167"/>
      <c r="L1120" s="167"/>
      <c r="M1120" s="167"/>
      <c r="N1120" s="167"/>
      <c r="P1120" s="168"/>
    </row>
    <row r="1121" spans="4:16">
      <c r="D1121" s="170"/>
      <c r="E1121" s="171"/>
      <c r="F1121" s="166"/>
      <c r="G1121" s="166"/>
      <c r="H1121" s="166"/>
      <c r="I1121" s="166"/>
      <c r="J1121" s="166"/>
      <c r="K1121" s="167"/>
      <c r="L1121" s="167"/>
      <c r="M1121" s="167"/>
      <c r="N1121" s="167"/>
      <c r="P1121" s="168"/>
    </row>
    <row r="1122" spans="4:16">
      <c r="D1122" s="170"/>
      <c r="E1122" s="171"/>
      <c r="F1122" s="166"/>
      <c r="G1122" s="166"/>
      <c r="H1122" s="166"/>
      <c r="I1122" s="166"/>
      <c r="J1122" s="166"/>
      <c r="K1122" s="167"/>
      <c r="L1122" s="167"/>
      <c r="M1122" s="167"/>
      <c r="N1122" s="167"/>
      <c r="P1122" s="168"/>
    </row>
    <row r="1123" spans="4:16">
      <c r="D1123" s="170"/>
      <c r="E1123" s="171"/>
      <c r="F1123" s="166"/>
      <c r="G1123" s="166"/>
      <c r="H1123" s="166"/>
      <c r="I1123" s="166"/>
      <c r="J1123" s="166"/>
      <c r="K1123" s="167"/>
      <c r="L1123" s="167"/>
      <c r="M1123" s="167"/>
      <c r="N1123" s="167"/>
      <c r="P1123" s="168"/>
    </row>
    <row r="1124" spans="4:16">
      <c r="D1124" s="170"/>
      <c r="E1124" s="171"/>
      <c r="F1124" s="166"/>
      <c r="G1124" s="166"/>
      <c r="H1124" s="166"/>
      <c r="I1124" s="166"/>
      <c r="J1124" s="166"/>
      <c r="K1124" s="167"/>
      <c r="L1124" s="167"/>
      <c r="M1124" s="167"/>
      <c r="N1124" s="167"/>
      <c r="P1124" s="168"/>
    </row>
    <row r="1125" spans="6:16">
      <c r="F1125" s="166"/>
      <c r="G1125" s="166"/>
      <c r="H1125" s="166"/>
      <c r="I1125" s="166"/>
      <c r="J1125" s="166"/>
      <c r="K1125" s="167"/>
      <c r="L1125" s="167"/>
      <c r="M1125" s="167"/>
      <c r="N1125" s="167"/>
      <c r="P1125" s="168"/>
    </row>
    <row r="1126" spans="6:16">
      <c r="F1126" s="166"/>
      <c r="G1126" s="166"/>
      <c r="H1126" s="166"/>
      <c r="I1126" s="166"/>
      <c r="J1126" s="166"/>
      <c r="K1126" s="167"/>
      <c r="L1126" s="167"/>
      <c r="M1126" s="167"/>
      <c r="N1126" s="167"/>
      <c r="P1126" s="168"/>
    </row>
    <row r="1127" spans="6:16">
      <c r="F1127" s="166"/>
      <c r="G1127" s="166"/>
      <c r="H1127" s="166"/>
      <c r="I1127" s="166"/>
      <c r="J1127" s="166"/>
      <c r="K1127" s="167"/>
      <c r="L1127" s="167"/>
      <c r="M1127" s="167"/>
      <c r="N1127" s="167"/>
      <c r="P1127" s="168"/>
    </row>
    <row r="1128" spans="6:16">
      <c r="F1128" s="166"/>
      <c r="G1128" s="166"/>
      <c r="H1128" s="166"/>
      <c r="I1128" s="166"/>
      <c r="J1128" s="166"/>
      <c r="K1128" s="167"/>
      <c r="L1128" s="167"/>
      <c r="M1128" s="167"/>
      <c r="N1128" s="167"/>
      <c r="P1128" s="168"/>
    </row>
    <row r="1129" spans="6:16">
      <c r="F1129" s="166"/>
      <c r="G1129" s="166"/>
      <c r="H1129" s="166"/>
      <c r="I1129" s="166"/>
      <c r="J1129" s="166"/>
      <c r="K1129" s="167"/>
      <c r="L1129" s="167"/>
      <c r="M1129" s="167"/>
      <c r="N1129" s="167"/>
      <c r="P1129" s="168"/>
    </row>
    <row r="1130" spans="6:16">
      <c r="F1130" s="166"/>
      <c r="G1130" s="166"/>
      <c r="H1130" s="166"/>
      <c r="I1130" s="166"/>
      <c r="J1130" s="166"/>
      <c r="K1130" s="167"/>
      <c r="L1130" s="167"/>
      <c r="M1130" s="167"/>
      <c r="N1130" s="167"/>
      <c r="P1130" s="168"/>
    </row>
    <row r="1131" spans="6:16">
      <c r="F1131" s="166"/>
      <c r="G1131" s="166"/>
      <c r="H1131" s="166"/>
      <c r="I1131" s="166"/>
      <c r="J1131" s="166"/>
      <c r="K1131" s="167"/>
      <c r="L1131" s="167"/>
      <c r="M1131" s="167"/>
      <c r="N1131" s="167"/>
      <c r="P1131" s="168"/>
    </row>
    <row r="1132" spans="6:16">
      <c r="F1132" s="166"/>
      <c r="G1132" s="166"/>
      <c r="H1132" s="166"/>
      <c r="I1132" s="166"/>
      <c r="J1132" s="166"/>
      <c r="K1132" s="167"/>
      <c r="L1132" s="167"/>
      <c r="M1132" s="167"/>
      <c r="N1132" s="167"/>
      <c r="P1132" s="168"/>
    </row>
    <row r="1133" spans="6:16">
      <c r="F1133" s="166"/>
      <c r="G1133" s="166"/>
      <c r="H1133" s="166"/>
      <c r="I1133" s="166"/>
      <c r="J1133" s="166"/>
      <c r="K1133" s="167"/>
      <c r="L1133" s="167"/>
      <c r="M1133" s="167"/>
      <c r="N1133" s="167"/>
      <c r="P1133" s="168"/>
    </row>
    <row r="1134" spans="6:16">
      <c r="F1134" s="166"/>
      <c r="G1134" s="166"/>
      <c r="H1134" s="166"/>
      <c r="I1134" s="166"/>
      <c r="J1134" s="166"/>
      <c r="K1134" s="167"/>
      <c r="L1134" s="167"/>
      <c r="M1134" s="167"/>
      <c r="N1134" s="167"/>
      <c r="P1134" s="168"/>
    </row>
    <row r="1135" spans="6:16">
      <c r="F1135" s="166"/>
      <c r="G1135" s="166"/>
      <c r="H1135" s="166"/>
      <c r="I1135" s="166"/>
      <c r="J1135" s="166"/>
      <c r="K1135" s="167"/>
      <c r="L1135" s="167"/>
      <c r="M1135" s="167"/>
      <c r="N1135" s="167"/>
      <c r="P1135" s="168"/>
    </row>
    <row r="1136" spans="6:16">
      <c r="F1136" s="166"/>
      <c r="G1136" s="166"/>
      <c r="H1136" s="166"/>
      <c r="I1136" s="166"/>
      <c r="J1136" s="166"/>
      <c r="K1136" s="167"/>
      <c r="L1136" s="167"/>
      <c r="M1136" s="167"/>
      <c r="N1136" s="167"/>
      <c r="P1136" s="168"/>
    </row>
    <row r="1137" spans="6:16">
      <c r="F1137" s="166"/>
      <c r="G1137" s="166"/>
      <c r="H1137" s="166"/>
      <c r="I1137" s="166"/>
      <c r="J1137" s="166"/>
      <c r="K1137" s="167"/>
      <c r="L1137" s="167"/>
      <c r="M1137" s="167"/>
      <c r="N1137" s="167"/>
      <c r="P1137" s="168"/>
    </row>
    <row r="1138" spans="6:16">
      <c r="F1138" s="166"/>
      <c r="G1138" s="166"/>
      <c r="H1138" s="166"/>
      <c r="I1138" s="166"/>
      <c r="J1138" s="166"/>
      <c r="K1138" s="167"/>
      <c r="L1138" s="167"/>
      <c r="M1138" s="167"/>
      <c r="N1138" s="167"/>
      <c r="P1138" s="168"/>
    </row>
    <row r="1139" spans="6:16">
      <c r="F1139" s="166"/>
      <c r="G1139" s="166"/>
      <c r="H1139" s="166"/>
      <c r="I1139" s="166"/>
      <c r="J1139" s="166"/>
      <c r="K1139" s="167"/>
      <c r="L1139" s="167"/>
      <c r="M1139" s="167"/>
      <c r="N1139" s="167"/>
      <c r="P1139" s="168"/>
    </row>
    <row r="1140" spans="6:16">
      <c r="F1140" s="166"/>
      <c r="G1140" s="166"/>
      <c r="H1140" s="166"/>
      <c r="I1140" s="166"/>
      <c r="J1140" s="166"/>
      <c r="K1140" s="167"/>
      <c r="L1140" s="167"/>
      <c r="M1140" s="167"/>
      <c r="N1140" s="167"/>
      <c r="P1140" s="168"/>
    </row>
    <row r="1141" spans="6:16">
      <c r="F1141" s="166"/>
      <c r="G1141" s="166"/>
      <c r="H1141" s="166"/>
      <c r="I1141" s="166"/>
      <c r="J1141" s="166"/>
      <c r="K1141" s="167"/>
      <c r="L1141" s="167"/>
      <c r="M1141" s="167"/>
      <c r="N1141" s="167"/>
      <c r="P1141" s="168"/>
    </row>
    <row r="1142" spans="6:16">
      <c r="F1142" s="166"/>
      <c r="G1142" s="166"/>
      <c r="H1142" s="166"/>
      <c r="I1142" s="166"/>
      <c r="J1142" s="166"/>
      <c r="K1142" s="167"/>
      <c r="L1142" s="167"/>
      <c r="M1142" s="167"/>
      <c r="N1142" s="167"/>
      <c r="P1142" s="168"/>
    </row>
    <row r="1143" spans="6:16">
      <c r="F1143" s="166"/>
      <c r="G1143" s="166"/>
      <c r="H1143" s="166"/>
      <c r="I1143" s="166"/>
      <c r="J1143" s="166"/>
      <c r="K1143" s="167"/>
      <c r="L1143" s="167"/>
      <c r="M1143" s="167"/>
      <c r="N1143" s="167"/>
      <c r="P1143" s="168"/>
    </row>
    <row r="1144" spans="6:16">
      <c r="F1144" s="166"/>
      <c r="G1144" s="166"/>
      <c r="H1144" s="166"/>
      <c r="I1144" s="166"/>
      <c r="J1144" s="166"/>
      <c r="K1144" s="167"/>
      <c r="L1144" s="167"/>
      <c r="M1144" s="167"/>
      <c r="N1144" s="167"/>
      <c r="P1144" s="168"/>
    </row>
    <row r="1145" spans="6:16">
      <c r="F1145" s="166"/>
      <c r="G1145" s="166"/>
      <c r="H1145" s="166"/>
      <c r="I1145" s="166"/>
      <c r="J1145" s="166"/>
      <c r="K1145" s="167"/>
      <c r="L1145" s="167"/>
      <c r="M1145" s="167"/>
      <c r="N1145" s="167"/>
      <c r="P1145" s="168"/>
    </row>
    <row r="1146" spans="6:16">
      <c r="F1146" s="166"/>
      <c r="G1146" s="166"/>
      <c r="H1146" s="166"/>
      <c r="I1146" s="166"/>
      <c r="J1146" s="166"/>
      <c r="K1146" s="167"/>
      <c r="L1146" s="167"/>
      <c r="M1146" s="167"/>
      <c r="N1146" s="167"/>
      <c r="P1146" s="168"/>
    </row>
    <row r="1147" spans="6:16">
      <c r="F1147" s="166"/>
      <c r="G1147" s="166"/>
      <c r="H1147" s="166"/>
      <c r="I1147" s="166"/>
      <c r="J1147" s="166"/>
      <c r="K1147" s="167"/>
      <c r="L1147" s="167"/>
      <c r="M1147" s="167"/>
      <c r="N1147" s="167"/>
      <c r="P1147" s="168"/>
    </row>
    <row r="1148" spans="6:16">
      <c r="F1148" s="166"/>
      <c r="G1148" s="166"/>
      <c r="H1148" s="166"/>
      <c r="I1148" s="166"/>
      <c r="J1148" s="166"/>
      <c r="K1148" s="167"/>
      <c r="L1148" s="167"/>
      <c r="M1148" s="167"/>
      <c r="N1148" s="167"/>
      <c r="P1148" s="168"/>
    </row>
    <row r="1149" spans="6:16">
      <c r="F1149" s="166"/>
      <c r="G1149" s="166"/>
      <c r="H1149" s="166"/>
      <c r="I1149" s="166"/>
      <c r="J1149" s="166"/>
      <c r="K1149" s="167"/>
      <c r="L1149" s="167"/>
      <c r="M1149" s="167"/>
      <c r="N1149" s="167"/>
      <c r="P1149" s="168"/>
    </row>
    <row r="1150" spans="6:16">
      <c r="F1150" s="166"/>
      <c r="G1150" s="166"/>
      <c r="H1150" s="166"/>
      <c r="I1150" s="166"/>
      <c r="J1150" s="166"/>
      <c r="K1150" s="167"/>
      <c r="L1150" s="167"/>
      <c r="M1150" s="167"/>
      <c r="N1150" s="167"/>
      <c r="P1150" s="168"/>
    </row>
    <row r="1151" spans="6:16">
      <c r="F1151" s="166"/>
      <c r="G1151" s="166"/>
      <c r="H1151" s="166"/>
      <c r="I1151" s="166"/>
      <c r="J1151" s="166"/>
      <c r="K1151" s="167"/>
      <c r="L1151" s="167"/>
      <c r="M1151" s="167"/>
      <c r="N1151" s="167"/>
      <c r="P1151" s="168"/>
    </row>
    <row r="1152" spans="6:16">
      <c r="F1152" s="166"/>
      <c r="G1152" s="166"/>
      <c r="H1152" s="166"/>
      <c r="I1152" s="166"/>
      <c r="J1152" s="166"/>
      <c r="K1152" s="167"/>
      <c r="L1152" s="167"/>
      <c r="M1152" s="167"/>
      <c r="N1152" s="167"/>
      <c r="P1152" s="168"/>
    </row>
    <row r="1153" spans="6:16">
      <c r="F1153" s="166"/>
      <c r="G1153" s="166"/>
      <c r="H1153" s="166"/>
      <c r="I1153" s="166"/>
      <c r="J1153" s="166"/>
      <c r="K1153" s="167"/>
      <c r="L1153" s="167"/>
      <c r="M1153" s="167"/>
      <c r="N1153" s="167"/>
      <c r="P1153" s="168"/>
    </row>
    <row r="1154" spans="6:16">
      <c r="F1154" s="166"/>
      <c r="G1154" s="166"/>
      <c r="H1154" s="166"/>
      <c r="I1154" s="166"/>
      <c r="J1154" s="166"/>
      <c r="K1154" s="167"/>
      <c r="L1154" s="167"/>
      <c r="M1154" s="167"/>
      <c r="N1154" s="167"/>
      <c r="P1154" s="168"/>
    </row>
    <row r="1155" spans="6:16">
      <c r="F1155" s="166"/>
      <c r="G1155" s="166"/>
      <c r="H1155" s="166"/>
      <c r="I1155" s="166"/>
      <c r="J1155" s="166"/>
      <c r="K1155" s="167"/>
      <c r="L1155" s="167"/>
      <c r="M1155" s="167"/>
      <c r="N1155" s="167"/>
      <c r="P1155" s="168"/>
    </row>
    <row r="1156" spans="6:16">
      <c r="F1156" s="166"/>
      <c r="G1156" s="166"/>
      <c r="H1156" s="166"/>
      <c r="I1156" s="166"/>
      <c r="J1156" s="166"/>
      <c r="K1156" s="167"/>
      <c r="L1156" s="167"/>
      <c r="M1156" s="167"/>
      <c r="N1156" s="167"/>
      <c r="P1156" s="168"/>
    </row>
    <row r="1157" spans="6:16">
      <c r="F1157" s="166"/>
      <c r="G1157" s="166"/>
      <c r="H1157" s="166"/>
      <c r="I1157" s="166"/>
      <c r="J1157" s="166"/>
      <c r="K1157" s="167"/>
      <c r="L1157" s="167"/>
      <c r="M1157" s="167"/>
      <c r="N1157" s="167"/>
      <c r="P1157" s="168"/>
    </row>
    <row r="1158" spans="6:16">
      <c r="F1158" s="166"/>
      <c r="G1158" s="166"/>
      <c r="H1158" s="166"/>
      <c r="I1158" s="166"/>
      <c r="J1158" s="166"/>
      <c r="K1158" s="167"/>
      <c r="L1158" s="167"/>
      <c r="M1158" s="167"/>
      <c r="N1158" s="167"/>
      <c r="P1158" s="168"/>
    </row>
    <row r="1159" spans="6:16">
      <c r="F1159" s="166"/>
      <c r="G1159" s="166"/>
      <c r="H1159" s="166"/>
      <c r="I1159" s="166"/>
      <c r="J1159" s="166"/>
      <c r="K1159" s="167"/>
      <c r="L1159" s="167"/>
      <c r="M1159" s="167"/>
      <c r="N1159" s="167"/>
      <c r="P1159" s="168"/>
    </row>
    <row r="1160" spans="6:16">
      <c r="F1160" s="166"/>
      <c r="G1160" s="166"/>
      <c r="H1160" s="166"/>
      <c r="I1160" s="166"/>
      <c r="J1160" s="166"/>
      <c r="K1160" s="167"/>
      <c r="L1160" s="167"/>
      <c r="M1160" s="167"/>
      <c r="N1160" s="167"/>
      <c r="P1160" s="168"/>
    </row>
    <row r="1161" spans="6:16">
      <c r="F1161" s="166"/>
      <c r="G1161" s="166"/>
      <c r="H1161" s="166"/>
      <c r="I1161" s="166"/>
      <c r="J1161" s="166"/>
      <c r="K1161" s="167"/>
      <c r="L1161" s="167"/>
      <c r="M1161" s="167"/>
      <c r="N1161" s="167"/>
      <c r="P1161" s="168"/>
    </row>
    <row r="1162" spans="6:16">
      <c r="F1162" s="166"/>
      <c r="G1162" s="166"/>
      <c r="H1162" s="166"/>
      <c r="I1162" s="166"/>
      <c r="J1162" s="166"/>
      <c r="K1162" s="167"/>
      <c r="L1162" s="167"/>
      <c r="M1162" s="167"/>
      <c r="N1162" s="167"/>
      <c r="P1162" s="168"/>
    </row>
    <row r="1163" spans="6:16">
      <c r="F1163" s="166"/>
      <c r="G1163" s="166"/>
      <c r="H1163" s="166"/>
      <c r="I1163" s="166"/>
      <c r="J1163" s="166"/>
      <c r="K1163" s="167"/>
      <c r="L1163" s="167"/>
      <c r="M1163" s="167"/>
      <c r="N1163" s="167"/>
      <c r="P1163" s="168"/>
    </row>
    <row r="1164" spans="6:16">
      <c r="F1164" s="166"/>
      <c r="G1164" s="166"/>
      <c r="H1164" s="166"/>
      <c r="I1164" s="166"/>
      <c r="J1164" s="166"/>
      <c r="K1164" s="167"/>
      <c r="L1164" s="167"/>
      <c r="M1164" s="167"/>
      <c r="N1164" s="167"/>
      <c r="P1164" s="168"/>
    </row>
    <row r="1165" spans="6:16">
      <c r="F1165" s="166"/>
      <c r="G1165" s="166"/>
      <c r="H1165" s="166"/>
      <c r="I1165" s="166"/>
      <c r="J1165" s="166"/>
      <c r="K1165" s="167"/>
      <c r="L1165" s="167"/>
      <c r="M1165" s="167"/>
      <c r="N1165" s="167"/>
      <c r="P1165" s="168"/>
    </row>
    <row r="1166" spans="6:16">
      <c r="F1166" s="166"/>
      <c r="G1166" s="166"/>
      <c r="H1166" s="166"/>
      <c r="I1166" s="166"/>
      <c r="J1166" s="166"/>
      <c r="K1166" s="167"/>
      <c r="L1166" s="167"/>
      <c r="M1166" s="167"/>
      <c r="N1166" s="167"/>
      <c r="P1166" s="168"/>
    </row>
    <row r="1167" spans="6:16">
      <c r="F1167" s="166"/>
      <c r="G1167" s="166"/>
      <c r="H1167" s="166"/>
      <c r="I1167" s="166"/>
      <c r="J1167" s="166"/>
      <c r="K1167" s="167"/>
      <c r="L1167" s="167"/>
      <c r="M1167" s="167"/>
      <c r="N1167" s="167"/>
      <c r="P1167" s="168"/>
    </row>
    <row r="1168" spans="6:16">
      <c r="F1168" s="166"/>
      <c r="G1168" s="166"/>
      <c r="H1168" s="166"/>
      <c r="I1168" s="166"/>
      <c r="J1168" s="166"/>
      <c r="K1168" s="167"/>
      <c r="L1168" s="167"/>
      <c r="M1168" s="167"/>
      <c r="N1168" s="167"/>
      <c r="P1168" s="168"/>
    </row>
    <row r="1169" spans="6:16">
      <c r="F1169" s="166"/>
      <c r="G1169" s="166"/>
      <c r="H1169" s="166"/>
      <c r="I1169" s="166"/>
      <c r="J1169" s="166"/>
      <c r="K1169" s="167"/>
      <c r="L1169" s="167"/>
      <c r="M1169" s="167"/>
      <c r="N1169" s="167"/>
      <c r="P1169" s="168"/>
    </row>
    <row r="1170" spans="6:16">
      <c r="F1170" s="166"/>
      <c r="G1170" s="166"/>
      <c r="H1170" s="166"/>
      <c r="I1170" s="166"/>
      <c r="J1170" s="166"/>
      <c r="K1170" s="167"/>
      <c r="L1170" s="167"/>
      <c r="M1170" s="167"/>
      <c r="N1170" s="167"/>
      <c r="P1170" s="168"/>
    </row>
    <row r="1171" spans="6:16">
      <c r="F1171" s="166"/>
      <c r="G1171" s="166"/>
      <c r="H1171" s="166"/>
      <c r="I1171" s="166"/>
      <c r="J1171" s="166"/>
      <c r="K1171" s="167"/>
      <c r="L1171" s="167"/>
      <c r="M1171" s="167"/>
      <c r="N1171" s="167"/>
      <c r="P1171" s="168"/>
    </row>
    <row r="1172" spans="6:16">
      <c r="F1172" s="166"/>
      <c r="G1172" s="166"/>
      <c r="H1172" s="166"/>
      <c r="I1172" s="166"/>
      <c r="J1172" s="166"/>
      <c r="K1172" s="167"/>
      <c r="L1172" s="167"/>
      <c r="M1172" s="167"/>
      <c r="N1172" s="167"/>
      <c r="P1172" s="168"/>
    </row>
    <row r="1173" spans="6:16">
      <c r="F1173" s="166"/>
      <c r="G1173" s="166"/>
      <c r="H1173" s="166"/>
      <c r="I1173" s="166"/>
      <c r="J1173" s="166"/>
      <c r="K1173" s="167"/>
      <c r="L1173" s="167"/>
      <c r="M1173" s="167"/>
      <c r="N1173" s="167"/>
      <c r="P1173" s="168"/>
    </row>
    <row r="1174" spans="6:16">
      <c r="F1174" s="166"/>
      <c r="G1174" s="166"/>
      <c r="H1174" s="166"/>
      <c r="I1174" s="166"/>
      <c r="J1174" s="166"/>
      <c r="K1174" s="167"/>
      <c r="L1174" s="167"/>
      <c r="M1174" s="167"/>
      <c r="N1174" s="167"/>
      <c r="P1174" s="168"/>
    </row>
    <row r="1175" spans="6:16">
      <c r="F1175" s="166"/>
      <c r="G1175" s="166"/>
      <c r="H1175" s="166"/>
      <c r="I1175" s="166"/>
      <c r="J1175" s="166"/>
      <c r="K1175" s="167"/>
      <c r="L1175" s="167"/>
      <c r="M1175" s="167"/>
      <c r="N1175" s="167"/>
      <c r="P1175" s="168"/>
    </row>
    <row r="1176" spans="6:16">
      <c r="F1176" s="166"/>
      <c r="G1176" s="166"/>
      <c r="H1176" s="166"/>
      <c r="I1176" s="166"/>
      <c r="J1176" s="166"/>
      <c r="K1176" s="167"/>
      <c r="L1176" s="167"/>
      <c r="M1176" s="167"/>
      <c r="N1176" s="167"/>
      <c r="P1176" s="168"/>
    </row>
    <row r="1177" spans="6:16">
      <c r="F1177" s="166"/>
      <c r="G1177" s="166"/>
      <c r="H1177" s="166"/>
      <c r="I1177" s="166"/>
      <c r="J1177" s="166"/>
      <c r="K1177" s="167"/>
      <c r="L1177" s="167"/>
      <c r="M1177" s="167"/>
      <c r="N1177" s="167"/>
      <c r="P1177" s="168"/>
    </row>
    <row r="1178" spans="6:16">
      <c r="F1178" s="166"/>
      <c r="G1178" s="166"/>
      <c r="H1178" s="166"/>
      <c r="I1178" s="166"/>
      <c r="J1178" s="166"/>
      <c r="K1178" s="167"/>
      <c r="L1178" s="167"/>
      <c r="M1178" s="167"/>
      <c r="N1178" s="167"/>
      <c r="P1178" s="168"/>
    </row>
    <row r="1179" spans="6:16">
      <c r="F1179" s="166"/>
      <c r="G1179" s="166"/>
      <c r="H1179" s="166"/>
      <c r="I1179" s="166"/>
      <c r="J1179" s="166"/>
      <c r="K1179" s="167"/>
      <c r="L1179" s="167"/>
      <c r="M1179" s="167"/>
      <c r="N1179" s="167"/>
      <c r="P1179" s="168"/>
    </row>
    <row r="1180" spans="6:16">
      <c r="F1180" s="166"/>
      <c r="G1180" s="166"/>
      <c r="H1180" s="166"/>
      <c r="I1180" s="166"/>
      <c r="J1180" s="166"/>
      <c r="K1180" s="167"/>
      <c r="L1180" s="167"/>
      <c r="M1180" s="167"/>
      <c r="N1180" s="167"/>
      <c r="P1180" s="168"/>
    </row>
    <row r="1181" spans="6:16">
      <c r="F1181" s="166"/>
      <c r="G1181" s="166"/>
      <c r="H1181" s="166"/>
      <c r="I1181" s="166"/>
      <c r="J1181" s="166"/>
      <c r="K1181" s="167"/>
      <c r="L1181" s="167"/>
      <c r="M1181" s="167"/>
      <c r="N1181" s="167"/>
      <c r="P1181" s="168"/>
    </row>
    <row r="1182" spans="6:16">
      <c r="F1182" s="166"/>
      <c r="G1182" s="166"/>
      <c r="H1182" s="166"/>
      <c r="I1182" s="166"/>
      <c r="J1182" s="166"/>
      <c r="K1182" s="167"/>
      <c r="L1182" s="167"/>
      <c r="M1182" s="167"/>
      <c r="N1182" s="167"/>
      <c r="P1182" s="168"/>
    </row>
    <row r="1183" spans="6:16">
      <c r="F1183" s="166"/>
      <c r="G1183" s="166"/>
      <c r="H1183" s="166"/>
      <c r="I1183" s="166"/>
      <c r="J1183" s="166"/>
      <c r="K1183" s="167"/>
      <c r="L1183" s="167"/>
      <c r="M1183" s="167"/>
      <c r="N1183" s="167"/>
      <c r="P1183" s="168"/>
    </row>
    <row r="1184" spans="6:16">
      <c r="F1184" s="166"/>
      <c r="G1184" s="166"/>
      <c r="H1184" s="166"/>
      <c r="I1184" s="166"/>
      <c r="J1184" s="166"/>
      <c r="K1184" s="167"/>
      <c r="L1184" s="167"/>
      <c r="M1184" s="167"/>
      <c r="N1184" s="167"/>
      <c r="P1184" s="168"/>
    </row>
    <row r="1185" spans="6:16">
      <c r="F1185" s="166"/>
      <c r="G1185" s="166"/>
      <c r="H1185" s="166"/>
      <c r="I1185" s="166"/>
      <c r="J1185" s="166"/>
      <c r="K1185" s="167"/>
      <c r="L1185" s="167"/>
      <c r="M1185" s="167"/>
      <c r="N1185" s="167"/>
      <c r="P1185" s="168"/>
    </row>
    <row r="1186" spans="6:16">
      <c r="F1186" s="166"/>
      <c r="G1186" s="166"/>
      <c r="H1186" s="166"/>
      <c r="I1186" s="166"/>
      <c r="J1186" s="166"/>
      <c r="K1186" s="167"/>
      <c r="L1186" s="167"/>
      <c r="M1186" s="167"/>
      <c r="N1186" s="167"/>
      <c r="P1186" s="168"/>
    </row>
    <row r="1187" spans="6:16">
      <c r="F1187" s="166"/>
      <c r="G1187" s="166"/>
      <c r="H1187" s="166"/>
      <c r="I1187" s="166"/>
      <c r="J1187" s="166"/>
      <c r="K1187" s="167"/>
      <c r="L1187" s="167"/>
      <c r="M1187" s="167"/>
      <c r="N1187" s="167"/>
      <c r="P1187" s="168"/>
    </row>
    <row r="1188" spans="6:16">
      <c r="F1188" s="166"/>
      <c r="G1188" s="166"/>
      <c r="H1188" s="166"/>
      <c r="I1188" s="166"/>
      <c r="J1188" s="166"/>
      <c r="K1188" s="167"/>
      <c r="L1188" s="167"/>
      <c r="M1188" s="167"/>
      <c r="N1188" s="167"/>
      <c r="P1188" s="168"/>
    </row>
    <row r="1189" spans="6:16">
      <c r="F1189" s="166"/>
      <c r="G1189" s="166"/>
      <c r="H1189" s="166"/>
      <c r="I1189" s="166"/>
      <c r="J1189" s="166"/>
      <c r="K1189" s="167"/>
      <c r="L1189" s="167"/>
      <c r="M1189" s="167"/>
      <c r="N1189" s="167"/>
      <c r="P1189" s="168"/>
    </row>
    <row r="1190" spans="6:16">
      <c r="F1190" s="166"/>
      <c r="G1190" s="166"/>
      <c r="H1190" s="166"/>
      <c r="I1190" s="166"/>
      <c r="J1190" s="166"/>
      <c r="K1190" s="167"/>
      <c r="L1190" s="167"/>
      <c r="M1190" s="167"/>
      <c r="N1190" s="167"/>
      <c r="P1190" s="168"/>
    </row>
    <row r="1191" spans="6:16">
      <c r="F1191" s="166"/>
      <c r="G1191" s="166"/>
      <c r="H1191" s="166"/>
      <c r="I1191" s="166"/>
      <c r="J1191" s="166"/>
      <c r="K1191" s="167"/>
      <c r="L1191" s="167"/>
      <c r="M1191" s="167"/>
      <c r="N1191" s="167"/>
      <c r="P1191" s="168"/>
    </row>
    <row r="1192" spans="6:16">
      <c r="F1192" s="166"/>
      <c r="G1192" s="166"/>
      <c r="H1192" s="166"/>
      <c r="I1192" s="166"/>
      <c r="J1192" s="166"/>
      <c r="K1192" s="167"/>
      <c r="L1192" s="167"/>
      <c r="M1192" s="167"/>
      <c r="N1192" s="167"/>
      <c r="P1192" s="168"/>
    </row>
    <row r="1193" spans="6:16">
      <c r="F1193" s="166"/>
      <c r="G1193" s="166"/>
      <c r="H1193" s="166"/>
      <c r="I1193" s="166"/>
      <c r="J1193" s="166"/>
      <c r="K1193" s="167"/>
      <c r="L1193" s="167"/>
      <c r="M1193" s="167"/>
      <c r="N1193" s="167"/>
      <c r="P1193" s="168"/>
    </row>
    <row r="1194" spans="6:16">
      <c r="F1194" s="166"/>
      <c r="G1194" s="166"/>
      <c r="H1194" s="166"/>
      <c r="I1194" s="166"/>
      <c r="J1194" s="166"/>
      <c r="K1194" s="167"/>
      <c r="L1194" s="167"/>
      <c r="M1194" s="167"/>
      <c r="N1194" s="167"/>
      <c r="P1194" s="168"/>
    </row>
    <row r="1195" spans="6:16">
      <c r="F1195" s="166"/>
      <c r="G1195" s="166"/>
      <c r="H1195" s="166"/>
      <c r="I1195" s="166"/>
      <c r="J1195" s="166"/>
      <c r="K1195" s="167"/>
      <c r="L1195" s="167"/>
      <c r="M1195" s="167"/>
      <c r="N1195" s="167"/>
      <c r="P1195" s="168"/>
    </row>
    <row r="1196" spans="6:16">
      <c r="F1196" s="166"/>
      <c r="G1196" s="166"/>
      <c r="H1196" s="166"/>
      <c r="I1196" s="166"/>
      <c r="J1196" s="166"/>
      <c r="K1196" s="167"/>
      <c r="L1196" s="167"/>
      <c r="M1196" s="167"/>
      <c r="N1196" s="167"/>
      <c r="P1196" s="168"/>
    </row>
    <row r="1197" spans="6:16">
      <c r="F1197" s="166"/>
      <c r="G1197" s="166"/>
      <c r="H1197" s="166"/>
      <c r="I1197" s="166"/>
      <c r="J1197" s="166"/>
      <c r="K1197" s="167"/>
      <c r="L1197" s="167"/>
      <c r="M1197" s="167"/>
      <c r="N1197" s="167"/>
      <c r="P1197" s="168"/>
    </row>
    <row r="1198" spans="6:16">
      <c r="F1198" s="166"/>
      <c r="G1198" s="166"/>
      <c r="H1198" s="166"/>
      <c r="I1198" s="166"/>
      <c r="J1198" s="166"/>
      <c r="K1198" s="167"/>
      <c r="L1198" s="167"/>
      <c r="M1198" s="167"/>
      <c r="N1198" s="167"/>
      <c r="P1198" s="168"/>
    </row>
    <row r="1199" spans="6:16">
      <c r="F1199" s="166"/>
      <c r="G1199" s="166"/>
      <c r="H1199" s="166"/>
      <c r="I1199" s="166"/>
      <c r="J1199" s="166"/>
      <c r="K1199" s="167"/>
      <c r="L1199" s="167"/>
      <c r="M1199" s="167"/>
      <c r="N1199" s="167"/>
      <c r="P1199" s="168"/>
    </row>
    <row r="1200" spans="6:16">
      <c r="F1200" s="166"/>
      <c r="G1200" s="166"/>
      <c r="H1200" s="166"/>
      <c r="I1200" s="166"/>
      <c r="J1200" s="166"/>
      <c r="K1200" s="167"/>
      <c r="L1200" s="167"/>
      <c r="M1200" s="167"/>
      <c r="N1200" s="167"/>
      <c r="P1200" s="168"/>
    </row>
    <row r="1201" spans="6:16">
      <c r="F1201" s="166"/>
      <c r="G1201" s="166"/>
      <c r="H1201" s="166"/>
      <c r="I1201" s="166"/>
      <c r="J1201" s="166"/>
      <c r="K1201" s="167"/>
      <c r="L1201" s="167"/>
      <c r="M1201" s="167"/>
      <c r="N1201" s="167"/>
      <c r="P1201" s="168"/>
    </row>
    <row r="1202" spans="6:16">
      <c r="F1202" s="166"/>
      <c r="G1202" s="166"/>
      <c r="H1202" s="166"/>
      <c r="I1202" s="166"/>
      <c r="J1202" s="166"/>
      <c r="K1202" s="167"/>
      <c r="L1202" s="167"/>
      <c r="M1202" s="167"/>
      <c r="N1202" s="167"/>
      <c r="P1202" s="168"/>
    </row>
    <row r="1203" spans="6:16">
      <c r="F1203" s="166"/>
      <c r="G1203" s="166"/>
      <c r="H1203" s="166"/>
      <c r="I1203" s="166"/>
      <c r="J1203" s="166"/>
      <c r="K1203" s="167"/>
      <c r="L1203" s="167"/>
      <c r="M1203" s="167"/>
      <c r="N1203" s="167"/>
      <c r="P1203" s="168"/>
    </row>
    <row r="1204" spans="6:16">
      <c r="F1204" s="166"/>
      <c r="G1204" s="166"/>
      <c r="H1204" s="166"/>
      <c r="I1204" s="166"/>
      <c r="J1204" s="166"/>
      <c r="K1204" s="167"/>
      <c r="L1204" s="167"/>
      <c r="M1204" s="167"/>
      <c r="N1204" s="167"/>
      <c r="P1204" s="168"/>
    </row>
    <row r="1205" spans="6:16">
      <c r="F1205" s="166"/>
      <c r="G1205" s="166"/>
      <c r="H1205" s="166"/>
      <c r="I1205" s="166"/>
      <c r="J1205" s="166"/>
      <c r="K1205" s="167"/>
      <c r="L1205" s="167"/>
      <c r="M1205" s="167"/>
      <c r="N1205" s="167"/>
      <c r="P1205" s="168"/>
    </row>
    <row r="1206" spans="6:16">
      <c r="F1206" s="166"/>
      <c r="G1206" s="166"/>
      <c r="H1206" s="166"/>
      <c r="I1206" s="166"/>
      <c r="J1206" s="166"/>
      <c r="K1206" s="167"/>
      <c r="L1206" s="167"/>
      <c r="M1206" s="167"/>
      <c r="N1206" s="167"/>
      <c r="P1206" s="168"/>
    </row>
    <row r="1207" spans="6:16">
      <c r="F1207" s="166"/>
      <c r="G1207" s="166"/>
      <c r="H1207" s="166"/>
      <c r="I1207" s="166"/>
      <c r="J1207" s="166"/>
      <c r="K1207" s="167"/>
      <c r="L1207" s="167"/>
      <c r="M1207" s="167"/>
      <c r="N1207" s="167"/>
      <c r="P1207" s="168"/>
    </row>
    <row r="1208" spans="6:16">
      <c r="F1208" s="166"/>
      <c r="G1208" s="166"/>
      <c r="H1208" s="166"/>
      <c r="I1208" s="166"/>
      <c r="J1208" s="166"/>
      <c r="K1208" s="167"/>
      <c r="L1208" s="167"/>
      <c r="M1208" s="167"/>
      <c r="N1208" s="167"/>
      <c r="P1208" s="168"/>
    </row>
    <row r="1209" spans="6:16">
      <c r="F1209" s="166"/>
      <c r="G1209" s="166"/>
      <c r="H1209" s="166"/>
      <c r="I1209" s="166"/>
      <c r="J1209" s="166"/>
      <c r="K1209" s="167"/>
      <c r="L1209" s="167"/>
      <c r="M1209" s="167"/>
      <c r="N1209" s="167"/>
      <c r="P1209" s="168"/>
    </row>
    <row r="1210" spans="6:16">
      <c r="F1210" s="166"/>
      <c r="G1210" s="166"/>
      <c r="H1210" s="166"/>
      <c r="I1210" s="166"/>
      <c r="J1210" s="166"/>
      <c r="K1210" s="167"/>
      <c r="L1210" s="167"/>
      <c r="M1210" s="167"/>
      <c r="N1210" s="167"/>
      <c r="P1210" s="168"/>
    </row>
    <row r="1211" spans="6:16">
      <c r="F1211" s="166"/>
      <c r="G1211" s="166"/>
      <c r="H1211" s="166"/>
      <c r="I1211" s="166"/>
      <c r="J1211" s="166"/>
      <c r="K1211" s="167"/>
      <c r="L1211" s="167"/>
      <c r="M1211" s="167"/>
      <c r="N1211" s="167"/>
      <c r="P1211" s="168"/>
    </row>
    <row r="1212" spans="1:16">
      <c r="A1212" s="169"/>
      <c r="F1212" s="166"/>
      <c r="G1212" s="166"/>
      <c r="H1212" s="166"/>
      <c r="I1212" s="166"/>
      <c r="J1212" s="166"/>
      <c r="K1212" s="167"/>
      <c r="L1212" s="167"/>
      <c r="M1212" s="167"/>
      <c r="N1212" s="167"/>
      <c r="P1212" s="168"/>
    </row>
    <row r="1213" spans="1:16">
      <c r="A1213" s="169"/>
      <c r="F1213" s="166"/>
      <c r="G1213" s="166"/>
      <c r="H1213" s="166"/>
      <c r="I1213" s="166"/>
      <c r="J1213" s="166"/>
      <c r="K1213" s="167"/>
      <c r="L1213" s="167"/>
      <c r="M1213" s="167"/>
      <c r="N1213" s="167"/>
      <c r="P1213" s="168"/>
    </row>
    <row r="1214" spans="1:16">
      <c r="A1214" s="169"/>
      <c r="F1214" s="166"/>
      <c r="G1214" s="166"/>
      <c r="H1214" s="166"/>
      <c r="I1214" s="166"/>
      <c r="J1214" s="166"/>
      <c r="K1214" s="167"/>
      <c r="L1214" s="167"/>
      <c r="M1214" s="167"/>
      <c r="N1214" s="167"/>
      <c r="P1214" s="168"/>
    </row>
    <row r="1215" spans="1:16">
      <c r="A1215" s="169"/>
      <c r="F1215" s="166"/>
      <c r="G1215" s="166"/>
      <c r="H1215" s="166"/>
      <c r="I1215" s="166"/>
      <c r="J1215" s="166"/>
      <c r="K1215" s="167"/>
      <c r="L1215" s="167"/>
      <c r="M1215" s="167"/>
      <c r="N1215" s="167"/>
      <c r="P1215" s="168"/>
    </row>
    <row r="1216" spans="6:16">
      <c r="F1216" s="166"/>
      <c r="G1216" s="166"/>
      <c r="H1216" s="166"/>
      <c r="I1216" s="166"/>
      <c r="J1216" s="166"/>
      <c r="K1216" s="167"/>
      <c r="L1216" s="167"/>
      <c r="M1216" s="167"/>
      <c r="N1216" s="167"/>
      <c r="P1216" s="168"/>
    </row>
    <row r="1217" spans="6:16">
      <c r="F1217" s="166"/>
      <c r="G1217" s="166"/>
      <c r="H1217" s="166"/>
      <c r="I1217" s="166"/>
      <c r="J1217" s="166"/>
      <c r="K1217" s="167"/>
      <c r="L1217" s="167"/>
      <c r="M1217" s="167"/>
      <c r="N1217" s="167"/>
      <c r="P1217" s="168"/>
    </row>
    <row r="1218" spans="6:16">
      <c r="F1218" s="166"/>
      <c r="G1218" s="166"/>
      <c r="H1218" s="166"/>
      <c r="I1218" s="166"/>
      <c r="J1218" s="166"/>
      <c r="K1218" s="167"/>
      <c r="L1218" s="167"/>
      <c r="M1218" s="167"/>
      <c r="N1218" s="167"/>
      <c r="P1218" s="168"/>
    </row>
    <row r="1219" spans="4:16">
      <c r="D1219" s="170"/>
      <c r="E1219" s="171"/>
      <c r="F1219" s="166"/>
      <c r="G1219" s="166"/>
      <c r="H1219" s="166"/>
      <c r="I1219" s="166"/>
      <c r="J1219" s="166"/>
      <c r="K1219" s="167"/>
      <c r="L1219" s="167"/>
      <c r="M1219" s="167"/>
      <c r="N1219" s="167"/>
      <c r="P1219" s="168"/>
    </row>
    <row r="1220" spans="4:16">
      <c r="D1220" s="170"/>
      <c r="E1220" s="171"/>
      <c r="F1220" s="166"/>
      <c r="G1220" s="166"/>
      <c r="H1220" s="166"/>
      <c r="I1220" s="166"/>
      <c r="J1220" s="166"/>
      <c r="K1220" s="167"/>
      <c r="L1220" s="167"/>
      <c r="M1220" s="167"/>
      <c r="N1220" s="167"/>
      <c r="P1220" s="168"/>
    </row>
    <row r="1221" spans="4:16">
      <c r="D1221" s="170"/>
      <c r="E1221" s="171"/>
      <c r="F1221" s="166"/>
      <c r="G1221" s="166"/>
      <c r="H1221" s="166"/>
      <c r="I1221" s="166"/>
      <c r="J1221" s="166"/>
      <c r="K1221" s="167"/>
      <c r="L1221" s="167"/>
      <c r="M1221" s="167"/>
      <c r="N1221" s="167"/>
      <c r="P1221" s="168"/>
    </row>
    <row r="1222" spans="4:16">
      <c r="D1222" s="170"/>
      <c r="E1222" s="171"/>
      <c r="F1222" s="166"/>
      <c r="G1222" s="166"/>
      <c r="H1222" s="166"/>
      <c r="I1222" s="166"/>
      <c r="J1222" s="166"/>
      <c r="K1222" s="167"/>
      <c r="L1222" s="167"/>
      <c r="M1222" s="167"/>
      <c r="N1222" s="167"/>
      <c r="P1222" s="168"/>
    </row>
    <row r="1223" spans="6:16">
      <c r="F1223" s="166"/>
      <c r="G1223" s="166"/>
      <c r="H1223" s="166"/>
      <c r="I1223" s="166"/>
      <c r="J1223" s="166"/>
      <c r="K1223" s="167"/>
      <c r="L1223" s="167"/>
      <c r="M1223" s="167"/>
      <c r="N1223" s="167"/>
      <c r="P1223" s="168"/>
    </row>
    <row r="1224" spans="6:16">
      <c r="F1224" s="166"/>
      <c r="G1224" s="166"/>
      <c r="H1224" s="166"/>
      <c r="I1224" s="166"/>
      <c r="J1224" s="166"/>
      <c r="K1224" s="167"/>
      <c r="L1224" s="167"/>
      <c r="M1224" s="167"/>
      <c r="N1224" s="167"/>
      <c r="P1224" s="168"/>
    </row>
    <row r="1225" spans="6:16">
      <c r="F1225" s="166"/>
      <c r="G1225" s="166"/>
      <c r="H1225" s="166"/>
      <c r="I1225" s="166"/>
      <c r="J1225" s="166"/>
      <c r="K1225" s="167"/>
      <c r="L1225" s="167"/>
      <c r="M1225" s="167"/>
      <c r="N1225" s="167"/>
      <c r="P1225" s="168"/>
    </row>
    <row r="1226" spans="6:16">
      <c r="F1226" s="166"/>
      <c r="G1226" s="166"/>
      <c r="H1226" s="166"/>
      <c r="I1226" s="166"/>
      <c r="J1226" s="166"/>
      <c r="K1226" s="167"/>
      <c r="L1226" s="167"/>
      <c r="M1226" s="167"/>
      <c r="N1226" s="167"/>
      <c r="P1226" s="168"/>
    </row>
    <row r="1227" spans="6:16">
      <c r="F1227" s="166"/>
      <c r="G1227" s="166"/>
      <c r="H1227" s="166"/>
      <c r="I1227" s="166"/>
      <c r="J1227" s="166"/>
      <c r="K1227" s="167"/>
      <c r="L1227" s="167"/>
      <c r="M1227" s="167"/>
      <c r="N1227" s="167"/>
      <c r="P1227" s="168"/>
    </row>
    <row r="1228" spans="6:16">
      <c r="F1228" s="166"/>
      <c r="G1228" s="166"/>
      <c r="H1228" s="166"/>
      <c r="I1228" s="166"/>
      <c r="J1228" s="166"/>
      <c r="K1228" s="167"/>
      <c r="L1228" s="167"/>
      <c r="M1228" s="167"/>
      <c r="N1228" s="167"/>
      <c r="P1228" s="168"/>
    </row>
    <row r="1229" spans="6:16">
      <c r="F1229" s="166"/>
      <c r="G1229" s="166"/>
      <c r="H1229" s="166"/>
      <c r="I1229" s="166"/>
      <c r="J1229" s="166"/>
      <c r="K1229" s="167"/>
      <c r="L1229" s="167"/>
      <c r="M1229" s="167"/>
      <c r="N1229" s="167"/>
      <c r="P1229" s="168"/>
    </row>
    <row r="1230" spans="6:16">
      <c r="F1230" s="166"/>
      <c r="G1230" s="166"/>
      <c r="H1230" s="166"/>
      <c r="I1230" s="166"/>
      <c r="J1230" s="166"/>
      <c r="K1230" s="167"/>
      <c r="L1230" s="167"/>
      <c r="M1230" s="167"/>
      <c r="N1230" s="167"/>
      <c r="P1230" s="168"/>
    </row>
    <row r="1231" spans="6:16">
      <c r="F1231" s="166"/>
      <c r="G1231" s="166"/>
      <c r="H1231" s="166"/>
      <c r="I1231" s="166"/>
      <c r="J1231" s="166"/>
      <c r="K1231" s="167"/>
      <c r="L1231" s="167"/>
      <c r="M1231" s="167"/>
      <c r="N1231" s="167"/>
      <c r="P1231" s="168"/>
    </row>
    <row r="1232" spans="6:16">
      <c r="F1232" s="166"/>
      <c r="G1232" s="166"/>
      <c r="H1232" s="166"/>
      <c r="I1232" s="166"/>
      <c r="J1232" s="166"/>
      <c r="K1232" s="167"/>
      <c r="L1232" s="167"/>
      <c r="M1232" s="167"/>
      <c r="N1232" s="167"/>
      <c r="P1232" s="168"/>
    </row>
    <row r="1233" spans="6:16">
      <c r="F1233" s="166"/>
      <c r="G1233" s="166"/>
      <c r="H1233" s="166"/>
      <c r="I1233" s="166"/>
      <c r="J1233" s="166"/>
      <c r="K1233" s="167"/>
      <c r="L1233" s="167"/>
      <c r="M1233" s="167"/>
      <c r="N1233" s="167"/>
      <c r="P1233" s="168"/>
    </row>
    <row r="1234" spans="6:16">
      <c r="F1234" s="166"/>
      <c r="G1234" s="166"/>
      <c r="H1234" s="166"/>
      <c r="I1234" s="166"/>
      <c r="J1234" s="166"/>
      <c r="K1234" s="167"/>
      <c r="L1234" s="167"/>
      <c r="M1234" s="167"/>
      <c r="N1234" s="167"/>
      <c r="P1234" s="168"/>
    </row>
    <row r="1235" spans="6:16">
      <c r="F1235" s="166"/>
      <c r="G1235" s="166"/>
      <c r="H1235" s="166"/>
      <c r="I1235" s="166"/>
      <c r="J1235" s="166"/>
      <c r="K1235" s="167"/>
      <c r="L1235" s="167"/>
      <c r="M1235" s="167"/>
      <c r="N1235" s="167"/>
      <c r="P1235" s="168"/>
    </row>
    <row r="1236" spans="6:16">
      <c r="F1236" s="166"/>
      <c r="G1236" s="166"/>
      <c r="H1236" s="166"/>
      <c r="I1236" s="166"/>
      <c r="J1236" s="166"/>
      <c r="K1236" s="167"/>
      <c r="L1236" s="167"/>
      <c r="M1236" s="167"/>
      <c r="N1236" s="167"/>
      <c r="P1236" s="168"/>
    </row>
    <row r="1237" spans="6:16">
      <c r="F1237" s="166"/>
      <c r="G1237" s="166"/>
      <c r="H1237" s="166"/>
      <c r="I1237" s="166"/>
      <c r="J1237" s="166"/>
      <c r="K1237" s="167"/>
      <c r="L1237" s="167"/>
      <c r="M1237" s="167"/>
      <c r="N1237" s="167"/>
      <c r="P1237" s="168"/>
    </row>
    <row r="1238" spans="6:16">
      <c r="F1238" s="166"/>
      <c r="G1238" s="166"/>
      <c r="H1238" s="166"/>
      <c r="I1238" s="166"/>
      <c r="J1238" s="166"/>
      <c r="K1238" s="167"/>
      <c r="L1238" s="167"/>
      <c r="M1238" s="167"/>
      <c r="N1238" s="167"/>
      <c r="P1238" s="168"/>
    </row>
    <row r="1239" spans="6:16">
      <c r="F1239" s="166"/>
      <c r="G1239" s="166"/>
      <c r="H1239" s="166"/>
      <c r="I1239" s="166"/>
      <c r="J1239" s="166"/>
      <c r="K1239" s="167"/>
      <c r="L1239" s="167"/>
      <c r="M1239" s="167"/>
      <c r="N1239" s="167"/>
      <c r="P1239" s="168"/>
    </row>
    <row r="1240" spans="6:16">
      <c r="F1240" s="166"/>
      <c r="G1240" s="166"/>
      <c r="H1240" s="166"/>
      <c r="I1240" s="166"/>
      <c r="J1240" s="166"/>
      <c r="K1240" s="167"/>
      <c r="L1240" s="167"/>
      <c r="M1240" s="167"/>
      <c r="N1240" s="167"/>
      <c r="P1240" s="168"/>
    </row>
    <row r="1241" spans="6:16">
      <c r="F1241" s="166"/>
      <c r="G1241" s="166"/>
      <c r="H1241" s="166"/>
      <c r="I1241" s="166"/>
      <c r="J1241" s="166"/>
      <c r="K1241" s="167"/>
      <c r="L1241" s="167"/>
      <c r="M1241" s="167"/>
      <c r="N1241" s="167"/>
      <c r="P1241" s="168"/>
    </row>
    <row r="1242" spans="6:16">
      <c r="F1242" s="166"/>
      <c r="G1242" s="166"/>
      <c r="H1242" s="166"/>
      <c r="I1242" s="166"/>
      <c r="J1242" s="166"/>
      <c r="K1242" s="167"/>
      <c r="L1242" s="167"/>
      <c r="M1242" s="167"/>
      <c r="N1242" s="167"/>
      <c r="P1242" s="168"/>
    </row>
    <row r="1243" spans="6:16">
      <c r="F1243" s="166"/>
      <c r="G1243" s="166"/>
      <c r="H1243" s="166"/>
      <c r="I1243" s="166"/>
      <c r="J1243" s="166"/>
      <c r="K1243" s="167"/>
      <c r="L1243" s="167"/>
      <c r="M1243" s="167"/>
      <c r="N1243" s="167"/>
      <c r="P1243" s="168"/>
    </row>
    <row r="1244" spans="6:16">
      <c r="F1244" s="166"/>
      <c r="G1244" s="166"/>
      <c r="H1244" s="166"/>
      <c r="I1244" s="166"/>
      <c r="J1244" s="166"/>
      <c r="K1244" s="167"/>
      <c r="L1244" s="167"/>
      <c r="M1244" s="167"/>
      <c r="N1244" s="167"/>
      <c r="P1244" s="168"/>
    </row>
    <row r="1245" spans="6:16">
      <c r="F1245" s="166"/>
      <c r="G1245" s="166"/>
      <c r="H1245" s="166"/>
      <c r="I1245" s="166"/>
      <c r="J1245" s="166"/>
      <c r="K1245" s="167"/>
      <c r="L1245" s="167"/>
      <c r="M1245" s="167"/>
      <c r="N1245" s="167"/>
      <c r="P1245" s="168"/>
    </row>
    <row r="1246" spans="6:16">
      <c r="F1246" s="166"/>
      <c r="G1246" s="166"/>
      <c r="H1246" s="166"/>
      <c r="I1246" s="166"/>
      <c r="J1246" s="166"/>
      <c r="K1246" s="167"/>
      <c r="L1246" s="167"/>
      <c r="M1246" s="167"/>
      <c r="N1246" s="167"/>
      <c r="P1246" s="168"/>
    </row>
    <row r="1247" spans="6:16">
      <c r="F1247" s="166"/>
      <c r="G1247" s="166"/>
      <c r="H1247" s="166"/>
      <c r="I1247" s="166"/>
      <c r="J1247" s="166"/>
      <c r="K1247" s="167"/>
      <c r="L1247" s="167"/>
      <c r="M1247" s="167"/>
      <c r="N1247" s="167"/>
      <c r="P1247" s="168"/>
    </row>
    <row r="1248" spans="6:16">
      <c r="F1248" s="166"/>
      <c r="G1248" s="166"/>
      <c r="H1248" s="166"/>
      <c r="I1248" s="166"/>
      <c r="J1248" s="166"/>
      <c r="K1248" s="167"/>
      <c r="L1248" s="167"/>
      <c r="M1248" s="167"/>
      <c r="N1248" s="167"/>
      <c r="P1248" s="168"/>
    </row>
    <row r="1249" spans="6:16">
      <c r="F1249" s="166"/>
      <c r="G1249" s="166"/>
      <c r="H1249" s="166"/>
      <c r="I1249" s="166"/>
      <c r="J1249" s="166"/>
      <c r="K1249" s="167"/>
      <c r="L1249" s="167"/>
      <c r="M1249" s="167"/>
      <c r="N1249" s="167"/>
      <c r="P1249" s="168"/>
    </row>
    <row r="1250" spans="6:16">
      <c r="F1250" s="166"/>
      <c r="G1250" s="166"/>
      <c r="H1250" s="166"/>
      <c r="I1250" s="166"/>
      <c r="J1250" s="166"/>
      <c r="K1250" s="167"/>
      <c r="L1250" s="167"/>
      <c r="M1250" s="167"/>
      <c r="N1250" s="167"/>
      <c r="P1250" s="168"/>
    </row>
    <row r="1251" spans="6:16">
      <c r="F1251" s="166"/>
      <c r="G1251" s="166"/>
      <c r="H1251" s="166"/>
      <c r="I1251" s="166"/>
      <c r="J1251" s="166"/>
      <c r="K1251" s="167"/>
      <c r="L1251" s="167"/>
      <c r="M1251" s="167"/>
      <c r="N1251" s="167"/>
      <c r="P1251" s="168"/>
    </row>
    <row r="1252" spans="6:16">
      <c r="F1252" s="166"/>
      <c r="G1252" s="166"/>
      <c r="H1252" s="166"/>
      <c r="I1252" s="166"/>
      <c r="J1252" s="166"/>
      <c r="K1252" s="167"/>
      <c r="L1252" s="167"/>
      <c r="M1252" s="167"/>
      <c r="N1252" s="167"/>
      <c r="P1252" s="168"/>
    </row>
    <row r="1253" spans="6:16">
      <c r="F1253" s="166"/>
      <c r="G1253" s="166"/>
      <c r="H1253" s="166"/>
      <c r="I1253" s="166"/>
      <c r="J1253" s="166"/>
      <c r="K1253" s="167"/>
      <c r="L1253" s="167"/>
      <c r="M1253" s="167"/>
      <c r="N1253" s="167"/>
      <c r="P1253" s="168"/>
    </row>
    <row r="1254" spans="6:16">
      <c r="F1254" s="166"/>
      <c r="G1254" s="166"/>
      <c r="H1254" s="166"/>
      <c r="I1254" s="166"/>
      <c r="J1254" s="166"/>
      <c r="K1254" s="167"/>
      <c r="L1254" s="167"/>
      <c r="M1254" s="167"/>
      <c r="N1254" s="167"/>
      <c r="P1254" s="168"/>
    </row>
    <row r="1255" spans="6:16">
      <c r="F1255" s="166"/>
      <c r="G1255" s="166"/>
      <c r="H1255" s="166"/>
      <c r="I1255" s="166"/>
      <c r="J1255" s="166"/>
      <c r="K1255" s="167"/>
      <c r="L1255" s="167"/>
      <c r="M1255" s="167"/>
      <c r="N1255" s="167"/>
      <c r="P1255" s="168"/>
    </row>
    <row r="1256" spans="6:16">
      <c r="F1256" s="166"/>
      <c r="G1256" s="166"/>
      <c r="H1256" s="166"/>
      <c r="I1256" s="166"/>
      <c r="J1256" s="166"/>
      <c r="K1256" s="167"/>
      <c r="L1256" s="167"/>
      <c r="M1256" s="167"/>
      <c r="N1256" s="167"/>
      <c r="P1256" s="168"/>
    </row>
    <row r="1257" spans="6:16">
      <c r="F1257" s="166"/>
      <c r="G1257" s="166"/>
      <c r="H1257" s="166"/>
      <c r="I1257" s="166"/>
      <c r="J1257" s="166"/>
      <c r="K1257" s="167"/>
      <c r="L1257" s="167"/>
      <c r="M1257" s="167"/>
      <c r="N1257" s="167"/>
      <c r="P1257" s="168"/>
    </row>
    <row r="1258" spans="6:16">
      <c r="F1258" s="166"/>
      <c r="G1258" s="166"/>
      <c r="H1258" s="166"/>
      <c r="I1258" s="166"/>
      <c r="J1258" s="166"/>
      <c r="K1258" s="167"/>
      <c r="L1258" s="167"/>
      <c r="M1258" s="167"/>
      <c r="N1258" s="167"/>
      <c r="P1258" s="168"/>
    </row>
    <row r="1259" spans="6:16">
      <c r="F1259" s="166"/>
      <c r="G1259" s="166"/>
      <c r="H1259" s="166"/>
      <c r="I1259" s="166"/>
      <c r="J1259" s="166"/>
      <c r="K1259" s="167"/>
      <c r="L1259" s="167"/>
      <c r="M1259" s="167"/>
      <c r="N1259" s="167"/>
      <c r="P1259" s="168"/>
    </row>
    <row r="1260" spans="6:16">
      <c r="F1260" s="166"/>
      <c r="G1260" s="166"/>
      <c r="H1260" s="166"/>
      <c r="I1260" s="166"/>
      <c r="J1260" s="166"/>
      <c r="K1260" s="167"/>
      <c r="L1260" s="167"/>
      <c r="M1260" s="167"/>
      <c r="N1260" s="167"/>
      <c r="P1260" s="168"/>
    </row>
    <row r="1261" spans="6:16">
      <c r="F1261" s="166"/>
      <c r="G1261" s="166"/>
      <c r="H1261" s="166"/>
      <c r="I1261" s="166"/>
      <c r="J1261" s="166"/>
      <c r="K1261" s="167"/>
      <c r="L1261" s="167"/>
      <c r="M1261" s="167"/>
      <c r="N1261" s="167"/>
      <c r="P1261" s="168"/>
    </row>
    <row r="1262" spans="6:16">
      <c r="F1262" s="166"/>
      <c r="G1262" s="166"/>
      <c r="H1262" s="166"/>
      <c r="I1262" s="166"/>
      <c r="J1262" s="166"/>
      <c r="K1262" s="167"/>
      <c r="L1262" s="167"/>
      <c r="M1262" s="167"/>
      <c r="N1262" s="167"/>
      <c r="P1262" s="168"/>
    </row>
    <row r="1263" spans="6:16">
      <c r="F1263" s="166"/>
      <c r="G1263" s="166"/>
      <c r="H1263" s="166"/>
      <c r="I1263" s="166"/>
      <c r="J1263" s="166"/>
      <c r="K1263" s="167"/>
      <c r="L1263" s="167"/>
      <c r="M1263" s="167"/>
      <c r="N1263" s="167"/>
      <c r="P1263" s="168"/>
    </row>
    <row r="1264" spans="6:16">
      <c r="F1264" s="166"/>
      <c r="G1264" s="166"/>
      <c r="H1264" s="166"/>
      <c r="I1264" s="166"/>
      <c r="J1264" s="166"/>
      <c r="K1264" s="167"/>
      <c r="L1264" s="167"/>
      <c r="M1264" s="167"/>
      <c r="N1264" s="167"/>
      <c r="P1264" s="168"/>
    </row>
    <row r="1265" spans="6:16">
      <c r="F1265" s="166"/>
      <c r="G1265" s="166"/>
      <c r="H1265" s="166"/>
      <c r="I1265" s="166"/>
      <c r="J1265" s="166"/>
      <c r="K1265" s="167"/>
      <c r="L1265" s="167"/>
      <c r="M1265" s="167"/>
      <c r="N1265" s="167"/>
      <c r="P1265" s="168"/>
    </row>
    <row r="1266" spans="6:16">
      <c r="F1266" s="166"/>
      <c r="G1266" s="166"/>
      <c r="H1266" s="166"/>
      <c r="I1266" s="166"/>
      <c r="J1266" s="166"/>
      <c r="K1266" s="167"/>
      <c r="L1266" s="167"/>
      <c r="M1266" s="167"/>
      <c r="N1266" s="167"/>
      <c r="P1266" s="168"/>
    </row>
    <row r="1267" spans="6:16">
      <c r="F1267" s="166"/>
      <c r="G1267" s="166"/>
      <c r="H1267" s="166"/>
      <c r="I1267" s="166"/>
      <c r="J1267" s="166"/>
      <c r="K1267" s="167"/>
      <c r="L1267" s="167"/>
      <c r="M1267" s="167"/>
      <c r="N1267" s="167"/>
      <c r="P1267" s="168"/>
    </row>
    <row r="1268" spans="6:16">
      <c r="F1268" s="166"/>
      <c r="G1268" s="166"/>
      <c r="H1268" s="166"/>
      <c r="I1268" s="166"/>
      <c r="J1268" s="166"/>
      <c r="K1268" s="167"/>
      <c r="L1268" s="167"/>
      <c r="M1268" s="167"/>
      <c r="N1268" s="167"/>
      <c r="P1268" s="168"/>
    </row>
    <row r="1269" spans="6:16">
      <c r="F1269" s="166"/>
      <c r="G1269" s="166"/>
      <c r="H1269" s="166"/>
      <c r="I1269" s="166"/>
      <c r="J1269" s="166"/>
      <c r="K1269" s="167"/>
      <c r="L1269" s="167"/>
      <c r="M1269" s="167"/>
      <c r="N1269" s="167"/>
      <c r="P1269" s="168"/>
    </row>
    <row r="1270" spans="6:16">
      <c r="F1270" s="166"/>
      <c r="G1270" s="166"/>
      <c r="H1270" s="166"/>
      <c r="I1270" s="166"/>
      <c r="J1270" s="166"/>
      <c r="K1270" s="167"/>
      <c r="L1270" s="167"/>
      <c r="M1270" s="167"/>
      <c r="N1270" s="167"/>
      <c r="P1270" s="168"/>
    </row>
    <row r="1271" spans="6:16">
      <c r="F1271" s="166"/>
      <c r="G1271" s="166"/>
      <c r="H1271" s="166"/>
      <c r="I1271" s="166"/>
      <c r="J1271" s="166"/>
      <c r="K1271" s="167"/>
      <c r="L1271" s="167"/>
      <c r="M1271" s="167"/>
      <c r="N1271" s="167"/>
      <c r="P1271" s="168"/>
    </row>
    <row r="1272" spans="6:16">
      <c r="F1272" s="166"/>
      <c r="G1272" s="166"/>
      <c r="H1272" s="166"/>
      <c r="I1272" s="166"/>
      <c r="J1272" s="166"/>
      <c r="K1272" s="167"/>
      <c r="L1272" s="167"/>
      <c r="M1272" s="167"/>
      <c r="N1272" s="167"/>
      <c r="P1272" s="168"/>
    </row>
    <row r="1273" spans="6:16">
      <c r="F1273" s="166"/>
      <c r="G1273" s="166"/>
      <c r="H1273" s="166"/>
      <c r="I1273" s="166"/>
      <c r="J1273" s="166"/>
      <c r="K1273" s="167"/>
      <c r="L1273" s="167"/>
      <c r="M1273" s="167"/>
      <c r="N1273" s="167"/>
      <c r="P1273" s="168"/>
    </row>
    <row r="1274" spans="6:16">
      <c r="F1274" s="166"/>
      <c r="G1274" s="166"/>
      <c r="H1274" s="166"/>
      <c r="I1274" s="166"/>
      <c r="J1274" s="166"/>
      <c r="K1274" s="167"/>
      <c r="L1274" s="167"/>
      <c r="M1274" s="167"/>
      <c r="N1274" s="167"/>
      <c r="P1274" s="168"/>
    </row>
    <row r="1275" spans="6:16">
      <c r="F1275" s="166"/>
      <c r="G1275" s="166"/>
      <c r="H1275" s="166"/>
      <c r="I1275" s="166"/>
      <c r="J1275" s="166"/>
      <c r="K1275" s="167"/>
      <c r="L1275" s="167"/>
      <c r="M1275" s="167"/>
      <c r="N1275" s="167"/>
      <c r="P1275" s="168"/>
    </row>
    <row r="1276" spans="6:16">
      <c r="F1276" s="166"/>
      <c r="G1276" s="166"/>
      <c r="H1276" s="166"/>
      <c r="I1276" s="166"/>
      <c r="J1276" s="166"/>
      <c r="K1276" s="167"/>
      <c r="L1276" s="167"/>
      <c r="M1276" s="167"/>
      <c r="N1276" s="167"/>
      <c r="P1276" s="168"/>
    </row>
    <row r="1277" spans="6:16">
      <c r="F1277" s="166"/>
      <c r="G1277" s="166"/>
      <c r="H1277" s="166"/>
      <c r="I1277" s="166"/>
      <c r="J1277" s="166"/>
      <c r="K1277" s="167"/>
      <c r="L1277" s="167"/>
      <c r="M1277" s="167"/>
      <c r="N1277" s="167"/>
      <c r="P1277" s="168"/>
    </row>
    <row r="1278" spans="6:16">
      <c r="F1278" s="166"/>
      <c r="G1278" s="166"/>
      <c r="H1278" s="166"/>
      <c r="I1278" s="166"/>
      <c r="J1278" s="166"/>
      <c r="K1278" s="167"/>
      <c r="L1278" s="167"/>
      <c r="M1278" s="167"/>
      <c r="N1278" s="167"/>
      <c r="P1278" s="168"/>
    </row>
    <row r="1279" spans="6:16">
      <c r="F1279" s="166"/>
      <c r="G1279" s="166"/>
      <c r="H1279" s="166"/>
      <c r="I1279" s="166"/>
      <c r="J1279" s="166"/>
      <c r="K1279" s="167"/>
      <c r="L1279" s="167"/>
      <c r="M1279" s="167"/>
      <c r="N1279" s="167"/>
      <c r="P1279" s="168"/>
    </row>
    <row r="1280" spans="6:16">
      <c r="F1280" s="166"/>
      <c r="G1280" s="166"/>
      <c r="H1280" s="166"/>
      <c r="I1280" s="166"/>
      <c r="J1280" s="166"/>
      <c r="K1280" s="167"/>
      <c r="L1280" s="167"/>
      <c r="M1280" s="167"/>
      <c r="N1280" s="167"/>
      <c r="P1280" s="168"/>
    </row>
    <row r="1281" spans="6:16">
      <c r="F1281" s="166"/>
      <c r="G1281" s="166"/>
      <c r="H1281" s="166"/>
      <c r="I1281" s="166"/>
      <c r="J1281" s="166"/>
      <c r="K1281" s="167"/>
      <c r="L1281" s="167"/>
      <c r="M1281" s="167"/>
      <c r="N1281" s="167"/>
      <c r="P1281" s="168"/>
    </row>
    <row r="1282" spans="6:16">
      <c r="F1282" s="166"/>
      <c r="G1282" s="166"/>
      <c r="H1282" s="166"/>
      <c r="I1282" s="166"/>
      <c r="J1282" s="166"/>
      <c r="K1282" s="167"/>
      <c r="L1282" s="167"/>
      <c r="M1282" s="167"/>
      <c r="N1282" s="167"/>
      <c r="P1282" s="168"/>
    </row>
    <row r="1283" spans="6:16">
      <c r="F1283" s="166"/>
      <c r="G1283" s="166"/>
      <c r="H1283" s="166"/>
      <c r="I1283" s="166"/>
      <c r="J1283" s="166"/>
      <c r="K1283" s="167"/>
      <c r="L1283" s="167"/>
      <c r="M1283" s="167"/>
      <c r="N1283" s="167"/>
      <c r="P1283" s="168"/>
    </row>
    <row r="1284" spans="6:16">
      <c r="F1284" s="166"/>
      <c r="G1284" s="166"/>
      <c r="H1284" s="166"/>
      <c r="I1284" s="166"/>
      <c r="J1284" s="166"/>
      <c r="K1284" s="167"/>
      <c r="L1284" s="167"/>
      <c r="M1284" s="167"/>
      <c r="N1284" s="167"/>
      <c r="P1284" s="168"/>
    </row>
    <row r="1285" spans="6:16">
      <c r="F1285" s="166"/>
      <c r="G1285" s="166"/>
      <c r="H1285" s="166"/>
      <c r="I1285" s="166"/>
      <c r="J1285" s="166"/>
      <c r="K1285" s="167"/>
      <c r="L1285" s="167"/>
      <c r="M1285" s="167"/>
      <c r="N1285" s="167"/>
      <c r="P1285" s="168"/>
    </row>
    <row r="1286" spans="6:16">
      <c r="F1286" s="166"/>
      <c r="G1286" s="166"/>
      <c r="H1286" s="166"/>
      <c r="I1286" s="166"/>
      <c r="J1286" s="166"/>
      <c r="K1286" s="167"/>
      <c r="L1286" s="167"/>
      <c r="M1286" s="167"/>
      <c r="N1286" s="167"/>
      <c r="P1286" s="168"/>
    </row>
    <row r="1287" spans="6:16">
      <c r="F1287" s="166"/>
      <c r="G1287" s="166"/>
      <c r="H1287" s="166"/>
      <c r="I1287" s="166"/>
      <c r="J1287" s="166"/>
      <c r="K1287" s="167"/>
      <c r="L1287" s="167"/>
      <c r="M1287" s="167"/>
      <c r="N1287" s="167"/>
      <c r="P1287" s="168"/>
    </row>
    <row r="1288" spans="6:16">
      <c r="F1288" s="166"/>
      <c r="G1288" s="166"/>
      <c r="H1288" s="166"/>
      <c r="I1288" s="166"/>
      <c r="J1288" s="166"/>
      <c r="K1288" s="167"/>
      <c r="L1288" s="167"/>
      <c r="M1288" s="167"/>
      <c r="N1288" s="167"/>
      <c r="P1288" s="168"/>
    </row>
    <row r="1289" spans="6:16">
      <c r="F1289" s="166"/>
      <c r="G1289" s="166"/>
      <c r="H1289" s="166"/>
      <c r="I1289" s="166"/>
      <c r="J1289" s="166"/>
      <c r="K1289" s="167"/>
      <c r="L1289" s="167"/>
      <c r="M1289" s="167"/>
      <c r="N1289" s="167"/>
      <c r="P1289" s="168"/>
    </row>
    <row r="1290" spans="6:16">
      <c r="F1290" s="166"/>
      <c r="G1290" s="166"/>
      <c r="H1290" s="166"/>
      <c r="I1290" s="166"/>
      <c r="J1290" s="166"/>
      <c r="K1290" s="167"/>
      <c r="L1290" s="167"/>
      <c r="M1290" s="167"/>
      <c r="N1290" s="167"/>
      <c r="P1290" s="168"/>
    </row>
    <row r="1291" spans="6:16">
      <c r="F1291" s="166"/>
      <c r="G1291" s="166"/>
      <c r="H1291" s="166"/>
      <c r="I1291" s="166"/>
      <c r="J1291" s="166"/>
      <c r="K1291" s="167"/>
      <c r="L1291" s="167"/>
      <c r="M1291" s="167"/>
      <c r="N1291" s="167"/>
      <c r="P1291" s="168"/>
    </row>
    <row r="1292" spans="6:16">
      <c r="F1292" s="166"/>
      <c r="G1292" s="166"/>
      <c r="H1292" s="166"/>
      <c r="I1292" s="166"/>
      <c r="J1292" s="166"/>
      <c r="K1292" s="167"/>
      <c r="L1292" s="167"/>
      <c r="M1292" s="167"/>
      <c r="N1292" s="167"/>
      <c r="P1292" s="168"/>
    </row>
    <row r="1293" spans="6:16">
      <c r="F1293" s="166"/>
      <c r="G1293" s="166"/>
      <c r="H1293" s="166"/>
      <c r="I1293" s="166"/>
      <c r="J1293" s="166"/>
      <c r="K1293" s="167"/>
      <c r="L1293" s="167"/>
      <c r="M1293" s="167"/>
      <c r="N1293" s="167"/>
      <c r="P1293" s="168"/>
    </row>
    <row r="1294" spans="6:16">
      <c r="F1294" s="166"/>
      <c r="G1294" s="166"/>
      <c r="H1294" s="166"/>
      <c r="I1294" s="166"/>
      <c r="J1294" s="166"/>
      <c r="K1294" s="167"/>
      <c r="L1294" s="167"/>
      <c r="M1294" s="167"/>
      <c r="N1294" s="167"/>
      <c r="P1294" s="168"/>
    </row>
    <row r="1295" spans="6:16">
      <c r="F1295" s="166"/>
      <c r="G1295" s="166"/>
      <c r="H1295" s="166"/>
      <c r="I1295" s="166"/>
      <c r="J1295" s="166"/>
      <c r="K1295" s="167"/>
      <c r="L1295" s="167"/>
      <c r="M1295" s="167"/>
      <c r="N1295" s="167"/>
      <c r="P1295" s="168"/>
    </row>
    <row r="1296" spans="6:16">
      <c r="F1296" s="166"/>
      <c r="G1296" s="166"/>
      <c r="H1296" s="166"/>
      <c r="I1296" s="166"/>
      <c r="J1296" s="166"/>
      <c r="K1296" s="167"/>
      <c r="L1296" s="167"/>
      <c r="M1296" s="167"/>
      <c r="N1296" s="167"/>
      <c r="P1296" s="168"/>
    </row>
    <row r="1297" spans="6:16">
      <c r="F1297" s="166"/>
      <c r="G1297" s="166"/>
      <c r="H1297" s="166"/>
      <c r="I1297" s="166"/>
      <c r="J1297" s="166"/>
      <c r="K1297" s="167"/>
      <c r="L1297" s="167"/>
      <c r="M1297" s="167"/>
      <c r="N1297" s="167"/>
      <c r="P1297" s="168"/>
    </row>
    <row r="1298" spans="6:16">
      <c r="F1298" s="166"/>
      <c r="G1298" s="166"/>
      <c r="H1298" s="166"/>
      <c r="I1298" s="166"/>
      <c r="J1298" s="166"/>
      <c r="K1298" s="167"/>
      <c r="L1298" s="167"/>
      <c r="M1298" s="167"/>
      <c r="N1298" s="167"/>
      <c r="P1298" s="168"/>
    </row>
    <row r="1299" spans="6:16">
      <c r="F1299" s="166"/>
      <c r="G1299" s="166"/>
      <c r="H1299" s="166"/>
      <c r="I1299" s="166"/>
      <c r="J1299" s="166"/>
      <c r="K1299" s="167"/>
      <c r="L1299" s="167"/>
      <c r="M1299" s="167"/>
      <c r="N1299" s="167"/>
      <c r="P1299" s="168"/>
    </row>
    <row r="1300" spans="6:16">
      <c r="F1300" s="166"/>
      <c r="G1300" s="166"/>
      <c r="H1300" s="166"/>
      <c r="I1300" s="166"/>
      <c r="J1300" s="166"/>
      <c r="K1300" s="167"/>
      <c r="L1300" s="167"/>
      <c r="M1300" s="167"/>
      <c r="N1300" s="167"/>
      <c r="P1300" s="168"/>
    </row>
    <row r="1301" spans="6:16">
      <c r="F1301" s="166"/>
      <c r="G1301" s="166"/>
      <c r="H1301" s="166"/>
      <c r="I1301" s="166"/>
      <c r="J1301" s="166"/>
      <c r="K1301" s="167"/>
      <c r="L1301" s="167"/>
      <c r="M1301" s="167"/>
      <c r="N1301" s="167"/>
      <c r="P1301" s="168"/>
    </row>
    <row r="1302" spans="6:16">
      <c r="F1302" s="166"/>
      <c r="G1302" s="166"/>
      <c r="H1302" s="166"/>
      <c r="I1302" s="166"/>
      <c r="J1302" s="166"/>
      <c r="K1302" s="167"/>
      <c r="L1302" s="167"/>
      <c r="M1302" s="167"/>
      <c r="N1302" s="167"/>
      <c r="P1302" s="168"/>
    </row>
    <row r="1303" spans="6:16">
      <c r="F1303" s="166"/>
      <c r="G1303" s="166"/>
      <c r="H1303" s="166"/>
      <c r="I1303" s="166"/>
      <c r="J1303" s="166"/>
      <c r="K1303" s="167"/>
      <c r="L1303" s="167"/>
      <c r="M1303" s="167"/>
      <c r="N1303" s="167"/>
      <c r="P1303" s="168"/>
    </row>
    <row r="1304" spans="6:16">
      <c r="F1304" s="166"/>
      <c r="G1304" s="166"/>
      <c r="H1304" s="166"/>
      <c r="I1304" s="166"/>
      <c r="J1304" s="166"/>
      <c r="K1304" s="167"/>
      <c r="L1304" s="167"/>
      <c r="M1304" s="167"/>
      <c r="N1304" s="167"/>
      <c r="P1304" s="168"/>
    </row>
    <row r="1305" spans="6:16">
      <c r="F1305" s="166"/>
      <c r="G1305" s="166"/>
      <c r="H1305" s="166"/>
      <c r="I1305" s="166"/>
      <c r="J1305" s="166"/>
      <c r="K1305" s="167"/>
      <c r="L1305" s="167"/>
      <c r="M1305" s="167"/>
      <c r="N1305" s="167"/>
      <c r="P1305" s="168"/>
    </row>
    <row r="1306" spans="6:16">
      <c r="F1306" s="166"/>
      <c r="G1306" s="166"/>
      <c r="H1306" s="166"/>
      <c r="I1306" s="166"/>
      <c r="J1306" s="166"/>
      <c r="K1306" s="167"/>
      <c r="L1306" s="167"/>
      <c r="M1306" s="167"/>
      <c r="N1306" s="167"/>
      <c r="P1306" s="168"/>
    </row>
    <row r="1307" spans="6:16">
      <c r="F1307" s="166"/>
      <c r="G1307" s="166"/>
      <c r="H1307" s="166"/>
      <c r="I1307" s="166"/>
      <c r="J1307" s="166"/>
      <c r="K1307" s="167"/>
      <c r="L1307" s="167"/>
      <c r="M1307" s="167"/>
      <c r="N1307" s="167"/>
      <c r="P1307" s="168"/>
    </row>
    <row r="1308" spans="6:16">
      <c r="F1308" s="166"/>
      <c r="G1308" s="166"/>
      <c r="H1308" s="166"/>
      <c r="I1308" s="166"/>
      <c r="J1308" s="166"/>
      <c r="K1308" s="167"/>
      <c r="L1308" s="167"/>
      <c r="M1308" s="167"/>
      <c r="N1308" s="167"/>
      <c r="P1308" s="168"/>
    </row>
    <row r="1309" spans="6:16">
      <c r="F1309" s="166"/>
      <c r="G1309" s="166"/>
      <c r="H1309" s="166"/>
      <c r="I1309" s="166"/>
      <c r="J1309" s="166"/>
      <c r="K1309" s="167"/>
      <c r="L1309" s="167"/>
      <c r="M1309" s="167"/>
      <c r="N1309" s="167"/>
      <c r="P1309" s="168"/>
    </row>
    <row r="1310" spans="6:16">
      <c r="F1310" s="166"/>
      <c r="G1310" s="166"/>
      <c r="H1310" s="166"/>
      <c r="I1310" s="166"/>
      <c r="J1310" s="166"/>
      <c r="K1310" s="167"/>
      <c r="L1310" s="167"/>
      <c r="M1310" s="167"/>
      <c r="N1310" s="167"/>
      <c r="P1310" s="168"/>
    </row>
    <row r="1311" spans="6:16">
      <c r="F1311" s="166"/>
      <c r="G1311" s="166"/>
      <c r="H1311" s="166"/>
      <c r="I1311" s="166"/>
      <c r="J1311" s="166"/>
      <c r="K1311" s="167"/>
      <c r="L1311" s="167"/>
      <c r="M1311" s="167"/>
      <c r="N1311" s="167"/>
      <c r="P1311" s="168"/>
    </row>
    <row r="1312" spans="6:16">
      <c r="F1312" s="166"/>
      <c r="G1312" s="166"/>
      <c r="H1312" s="166"/>
      <c r="I1312" s="166"/>
      <c r="J1312" s="166"/>
      <c r="K1312" s="167"/>
      <c r="L1312" s="167"/>
      <c r="M1312" s="167"/>
      <c r="N1312" s="167"/>
      <c r="P1312" s="168"/>
    </row>
    <row r="1313" spans="6:16">
      <c r="F1313" s="166"/>
      <c r="G1313" s="166"/>
      <c r="H1313" s="166"/>
      <c r="I1313" s="166"/>
      <c r="J1313" s="166"/>
      <c r="K1313" s="167"/>
      <c r="L1313" s="167"/>
      <c r="M1313" s="167"/>
      <c r="N1313" s="167"/>
      <c r="P1313" s="168"/>
    </row>
    <row r="1314" spans="6:16">
      <c r="F1314" s="166"/>
      <c r="G1314" s="166"/>
      <c r="H1314" s="166"/>
      <c r="I1314" s="166"/>
      <c r="J1314" s="166"/>
      <c r="K1314" s="167"/>
      <c r="L1314" s="167"/>
      <c r="M1314" s="167"/>
      <c r="N1314" s="167"/>
      <c r="P1314" s="168"/>
    </row>
    <row r="1315" spans="1:16">
      <c r="A1315" s="169"/>
      <c r="F1315" s="166"/>
      <c r="G1315" s="166"/>
      <c r="H1315" s="166"/>
      <c r="I1315" s="166"/>
      <c r="J1315" s="166"/>
      <c r="K1315" s="167"/>
      <c r="L1315" s="167"/>
      <c r="M1315" s="167"/>
      <c r="N1315" s="167"/>
      <c r="P1315" s="168"/>
    </row>
    <row r="1316" spans="1:16">
      <c r="A1316" s="169"/>
      <c r="F1316" s="166"/>
      <c r="G1316" s="166"/>
      <c r="H1316" s="166"/>
      <c r="I1316" s="166"/>
      <c r="J1316" s="166"/>
      <c r="K1316" s="167"/>
      <c r="L1316" s="167"/>
      <c r="M1316" s="167"/>
      <c r="N1316" s="167"/>
      <c r="P1316" s="168"/>
    </row>
    <row r="1317" spans="1:16">
      <c r="A1317" s="169"/>
      <c r="F1317" s="166"/>
      <c r="G1317" s="166"/>
      <c r="H1317" s="166"/>
      <c r="I1317" s="166"/>
      <c r="J1317" s="166"/>
      <c r="K1317" s="167"/>
      <c r="L1317" s="167"/>
      <c r="M1317" s="167"/>
      <c r="N1317" s="167"/>
      <c r="P1317" s="168"/>
    </row>
    <row r="1318" spans="6:16">
      <c r="F1318" s="166"/>
      <c r="G1318" s="166"/>
      <c r="H1318" s="166"/>
      <c r="I1318" s="166"/>
      <c r="J1318" s="166"/>
      <c r="K1318" s="167"/>
      <c r="L1318" s="167"/>
      <c r="M1318" s="167"/>
      <c r="N1318" s="167"/>
      <c r="P1318" s="168"/>
    </row>
    <row r="1319" spans="6:16">
      <c r="F1319" s="166"/>
      <c r="G1319" s="166"/>
      <c r="H1319" s="166"/>
      <c r="I1319" s="166"/>
      <c r="J1319" s="166"/>
      <c r="K1319" s="167"/>
      <c r="L1319" s="167"/>
      <c r="M1319" s="167"/>
      <c r="N1319" s="167"/>
      <c r="P1319" s="168"/>
    </row>
    <row r="1320" spans="6:16">
      <c r="F1320" s="166"/>
      <c r="G1320" s="166"/>
      <c r="H1320" s="166"/>
      <c r="I1320" s="166"/>
      <c r="J1320" s="166"/>
      <c r="K1320" s="167"/>
      <c r="L1320" s="167"/>
      <c r="M1320" s="167"/>
      <c r="N1320" s="167"/>
      <c r="P1320" s="168"/>
    </row>
    <row r="1321" spans="6:16">
      <c r="F1321" s="166"/>
      <c r="G1321" s="166"/>
      <c r="H1321" s="166"/>
      <c r="I1321" s="166"/>
      <c r="J1321" s="166"/>
      <c r="K1321" s="167"/>
      <c r="L1321" s="167"/>
      <c r="M1321" s="167"/>
      <c r="N1321" s="167"/>
      <c r="P1321" s="168"/>
    </row>
    <row r="1322" spans="4:16">
      <c r="D1322" s="170"/>
      <c r="E1322" s="171"/>
      <c r="F1322" s="166"/>
      <c r="G1322" s="166"/>
      <c r="H1322" s="166"/>
      <c r="I1322" s="166"/>
      <c r="J1322" s="166"/>
      <c r="K1322" s="167"/>
      <c r="L1322" s="167"/>
      <c r="M1322" s="167"/>
      <c r="N1322" s="167"/>
      <c r="P1322" s="168"/>
    </row>
    <row r="1323" spans="4:16">
      <c r="D1323" s="170"/>
      <c r="E1323" s="171"/>
      <c r="F1323" s="166"/>
      <c r="G1323" s="166"/>
      <c r="H1323" s="166"/>
      <c r="I1323" s="166"/>
      <c r="J1323" s="166"/>
      <c r="K1323" s="167"/>
      <c r="L1323" s="167"/>
      <c r="M1323" s="167"/>
      <c r="N1323" s="167"/>
      <c r="P1323" s="168"/>
    </row>
    <row r="1324" spans="4:16">
      <c r="D1324" s="170"/>
      <c r="E1324" s="171"/>
      <c r="F1324" s="166"/>
      <c r="G1324" s="166"/>
      <c r="H1324" s="166"/>
      <c r="I1324" s="166"/>
      <c r="J1324" s="166"/>
      <c r="K1324" s="167"/>
      <c r="L1324" s="167"/>
      <c r="M1324" s="167"/>
      <c r="N1324" s="167"/>
      <c r="P1324" s="168"/>
    </row>
    <row r="1325" spans="6:16">
      <c r="F1325" s="166"/>
      <c r="G1325" s="166"/>
      <c r="H1325" s="166"/>
      <c r="I1325" s="166"/>
      <c r="J1325" s="166"/>
      <c r="K1325" s="167"/>
      <c r="L1325" s="167"/>
      <c r="M1325" s="167"/>
      <c r="N1325" s="167"/>
      <c r="P1325" s="168"/>
    </row>
    <row r="1326" spans="6:16">
      <c r="F1326" s="166"/>
      <c r="G1326" s="166"/>
      <c r="H1326" s="166"/>
      <c r="I1326" s="166"/>
      <c r="J1326" s="166"/>
      <c r="K1326" s="167"/>
      <c r="L1326" s="167"/>
      <c r="M1326" s="167"/>
      <c r="N1326" s="167"/>
      <c r="P1326" s="168"/>
    </row>
    <row r="1327" spans="6:16">
      <c r="F1327" s="166"/>
      <c r="G1327" s="166"/>
      <c r="H1327" s="166"/>
      <c r="I1327" s="166"/>
      <c r="J1327" s="166"/>
      <c r="K1327" s="167"/>
      <c r="L1327" s="167"/>
      <c r="M1327" s="167"/>
      <c r="N1327" s="167"/>
      <c r="P1327" s="168"/>
    </row>
    <row r="1328" spans="6:16">
      <c r="F1328" s="166"/>
      <c r="G1328" s="166"/>
      <c r="H1328" s="166"/>
      <c r="I1328" s="166"/>
      <c r="J1328" s="166"/>
      <c r="K1328" s="167"/>
      <c r="L1328" s="167"/>
      <c r="M1328" s="167"/>
      <c r="N1328" s="167"/>
      <c r="P1328" s="168"/>
    </row>
    <row r="1329" spans="6:16">
      <c r="F1329" s="166"/>
      <c r="G1329" s="166"/>
      <c r="H1329" s="166"/>
      <c r="I1329" s="166"/>
      <c r="J1329" s="166"/>
      <c r="K1329" s="167"/>
      <c r="L1329" s="167"/>
      <c r="M1329" s="167"/>
      <c r="N1329" s="167"/>
      <c r="P1329" s="168"/>
    </row>
    <row r="1330" spans="6:16">
      <c r="F1330" s="166"/>
      <c r="G1330" s="166"/>
      <c r="H1330" s="166"/>
      <c r="I1330" s="166"/>
      <c r="J1330" s="166"/>
      <c r="K1330" s="167"/>
      <c r="L1330" s="167"/>
      <c r="M1330" s="167"/>
      <c r="N1330" s="167"/>
      <c r="P1330" s="168"/>
    </row>
    <row r="1331" spans="6:16">
      <c r="F1331" s="166"/>
      <c r="G1331" s="166"/>
      <c r="H1331" s="166"/>
      <c r="I1331" s="166"/>
      <c r="J1331" s="166"/>
      <c r="K1331" s="167"/>
      <c r="L1331" s="167"/>
      <c r="M1331" s="167"/>
      <c r="N1331" s="167"/>
      <c r="P1331" s="168"/>
    </row>
    <row r="1332" spans="6:16">
      <c r="F1332" s="166"/>
      <c r="G1332" s="166"/>
      <c r="H1332" s="166"/>
      <c r="I1332" s="166"/>
      <c r="J1332" s="166"/>
      <c r="K1332" s="167"/>
      <c r="L1332" s="167"/>
      <c r="M1332" s="167"/>
      <c r="N1332" s="167"/>
      <c r="P1332" s="168"/>
    </row>
    <row r="1333" spans="6:16">
      <c r="F1333" s="166"/>
      <c r="G1333" s="166"/>
      <c r="H1333" s="166"/>
      <c r="I1333" s="166"/>
      <c r="J1333" s="166"/>
      <c r="K1333" s="167"/>
      <c r="L1333" s="167"/>
      <c r="M1333" s="167"/>
      <c r="N1333" s="167"/>
      <c r="P1333" s="168"/>
    </row>
    <row r="1334" spans="6:16">
      <c r="F1334" s="166"/>
      <c r="G1334" s="166"/>
      <c r="H1334" s="166"/>
      <c r="I1334" s="166"/>
      <c r="J1334" s="166"/>
      <c r="K1334" s="167"/>
      <c r="L1334" s="167"/>
      <c r="M1334" s="167"/>
      <c r="N1334" s="167"/>
      <c r="P1334" s="168"/>
    </row>
    <row r="1335" spans="6:16">
      <c r="F1335" s="166"/>
      <c r="G1335" s="166"/>
      <c r="H1335" s="166"/>
      <c r="I1335" s="166"/>
      <c r="J1335" s="166"/>
      <c r="K1335" s="167"/>
      <c r="L1335" s="167"/>
      <c r="M1335" s="167"/>
      <c r="N1335" s="167"/>
      <c r="P1335" s="168"/>
    </row>
    <row r="1336" spans="6:16">
      <c r="F1336" s="166"/>
      <c r="G1336" s="166"/>
      <c r="H1336" s="166"/>
      <c r="I1336" s="166"/>
      <c r="J1336" s="166"/>
      <c r="K1336" s="167"/>
      <c r="L1336" s="167"/>
      <c r="M1336" s="167"/>
      <c r="N1336" s="167"/>
      <c r="P1336" s="168"/>
    </row>
    <row r="1337" spans="6:16">
      <c r="F1337" s="166"/>
      <c r="G1337" s="166"/>
      <c r="H1337" s="166"/>
      <c r="I1337" s="166"/>
      <c r="J1337" s="166"/>
      <c r="K1337" s="167"/>
      <c r="L1337" s="167"/>
      <c r="M1337" s="167"/>
      <c r="N1337" s="167"/>
      <c r="P1337" s="168"/>
    </row>
    <row r="1338" spans="6:16">
      <c r="F1338" s="166"/>
      <c r="G1338" s="166"/>
      <c r="H1338" s="166"/>
      <c r="I1338" s="166"/>
      <c r="J1338" s="166"/>
      <c r="K1338" s="167"/>
      <c r="L1338" s="167"/>
      <c r="M1338" s="167"/>
      <c r="N1338" s="167"/>
      <c r="P1338" s="168"/>
    </row>
    <row r="1339" spans="6:16">
      <c r="F1339" s="166"/>
      <c r="G1339" s="166"/>
      <c r="H1339" s="166"/>
      <c r="I1339" s="166"/>
      <c r="J1339" s="166"/>
      <c r="K1339" s="167"/>
      <c r="L1339" s="167"/>
      <c r="M1339" s="167"/>
      <c r="N1339" s="167"/>
      <c r="P1339" s="168"/>
    </row>
    <row r="1340" spans="6:16">
      <c r="F1340" s="166"/>
      <c r="G1340" s="166"/>
      <c r="H1340" s="166"/>
      <c r="I1340" s="166"/>
      <c r="J1340" s="166"/>
      <c r="K1340" s="167"/>
      <c r="L1340" s="167"/>
      <c r="M1340" s="167"/>
      <c r="N1340" s="167"/>
      <c r="P1340" s="168"/>
    </row>
    <row r="1341" spans="6:16">
      <c r="F1341" s="166"/>
      <c r="G1341" s="166"/>
      <c r="H1341" s="166"/>
      <c r="I1341" s="166"/>
      <c r="J1341" s="166"/>
      <c r="K1341" s="167"/>
      <c r="L1341" s="167"/>
      <c r="M1341" s="167"/>
      <c r="N1341" s="167"/>
      <c r="P1341" s="168"/>
    </row>
    <row r="1342" spans="6:16">
      <c r="F1342" s="166"/>
      <c r="G1342" s="166"/>
      <c r="H1342" s="166"/>
      <c r="I1342" s="166"/>
      <c r="J1342" s="166"/>
      <c r="K1342" s="167"/>
      <c r="L1342" s="167"/>
      <c r="M1342" s="167"/>
      <c r="N1342" s="167"/>
      <c r="P1342" s="168"/>
    </row>
    <row r="1343" spans="6:16">
      <c r="F1343" s="166"/>
      <c r="G1343" s="166"/>
      <c r="H1343" s="166"/>
      <c r="I1343" s="166"/>
      <c r="J1343" s="166"/>
      <c r="K1343" s="167"/>
      <c r="L1343" s="167"/>
      <c r="M1343" s="167"/>
      <c r="N1343" s="167"/>
      <c r="P1343" s="168"/>
    </row>
    <row r="1344" spans="6:16">
      <c r="F1344" s="166"/>
      <c r="G1344" s="166"/>
      <c r="H1344" s="166"/>
      <c r="I1344" s="166"/>
      <c r="J1344" s="166"/>
      <c r="K1344" s="167"/>
      <c r="L1344" s="167"/>
      <c r="M1344" s="167"/>
      <c r="N1344" s="167"/>
      <c r="P1344" s="168"/>
    </row>
    <row r="1345" spans="6:16">
      <c r="F1345" s="166"/>
      <c r="G1345" s="166"/>
      <c r="H1345" s="166"/>
      <c r="I1345" s="166"/>
      <c r="J1345" s="166"/>
      <c r="K1345" s="167"/>
      <c r="L1345" s="167"/>
      <c r="M1345" s="167"/>
      <c r="N1345" s="167"/>
      <c r="P1345" s="168"/>
    </row>
    <row r="1346" spans="6:16">
      <c r="F1346" s="166"/>
      <c r="G1346" s="166"/>
      <c r="H1346" s="166"/>
      <c r="I1346" s="166"/>
      <c r="J1346" s="166"/>
      <c r="K1346" s="167"/>
      <c r="L1346" s="167"/>
      <c r="M1346" s="167"/>
      <c r="N1346" s="167"/>
      <c r="P1346" s="168"/>
    </row>
    <row r="1347" spans="6:16">
      <c r="F1347" s="166"/>
      <c r="G1347" s="166"/>
      <c r="H1347" s="166"/>
      <c r="I1347" s="166"/>
      <c r="J1347" s="166"/>
      <c r="K1347" s="167"/>
      <c r="L1347" s="167"/>
      <c r="M1347" s="167"/>
      <c r="N1347" s="167"/>
      <c r="P1347" s="168"/>
    </row>
    <row r="1348" spans="6:16">
      <c r="F1348" s="166"/>
      <c r="G1348" s="166"/>
      <c r="H1348" s="166"/>
      <c r="I1348" s="166"/>
      <c r="J1348" s="166"/>
      <c r="K1348" s="167"/>
      <c r="L1348" s="167"/>
      <c r="M1348" s="167"/>
      <c r="N1348" s="167"/>
      <c r="P1348" s="168"/>
    </row>
    <row r="1349" spans="6:16">
      <c r="F1349" s="166"/>
      <c r="G1349" s="166"/>
      <c r="H1349" s="166"/>
      <c r="I1349" s="166"/>
      <c r="J1349" s="166"/>
      <c r="K1349" s="167"/>
      <c r="L1349" s="167"/>
      <c r="M1349" s="167"/>
      <c r="N1349" s="167"/>
      <c r="P1349" s="168"/>
    </row>
    <row r="1350" spans="6:16">
      <c r="F1350" s="166"/>
      <c r="G1350" s="166"/>
      <c r="H1350" s="166"/>
      <c r="I1350" s="166"/>
      <c r="J1350" s="166"/>
      <c r="K1350" s="167"/>
      <c r="L1350" s="167"/>
      <c r="M1350" s="167"/>
      <c r="N1350" s="167"/>
      <c r="P1350" s="168"/>
    </row>
    <row r="1351" spans="6:16">
      <c r="F1351" s="166"/>
      <c r="G1351" s="166"/>
      <c r="H1351" s="166"/>
      <c r="I1351" s="166"/>
      <c r="J1351" s="166"/>
      <c r="K1351" s="167"/>
      <c r="L1351" s="167"/>
      <c r="M1351" s="167"/>
      <c r="N1351" s="167"/>
      <c r="P1351" s="168"/>
    </row>
    <row r="1352" spans="6:16">
      <c r="F1352" s="166"/>
      <c r="G1352" s="166"/>
      <c r="H1352" s="166"/>
      <c r="I1352" s="166"/>
      <c r="J1352" s="166"/>
      <c r="K1352" s="167"/>
      <c r="L1352" s="167"/>
      <c r="M1352" s="167"/>
      <c r="N1352" s="167"/>
      <c r="P1352" s="168"/>
    </row>
    <row r="1353" spans="6:16">
      <c r="F1353" s="166"/>
      <c r="G1353" s="166"/>
      <c r="H1353" s="166"/>
      <c r="I1353" s="166"/>
      <c r="J1353" s="166"/>
      <c r="K1353" s="167"/>
      <c r="L1353" s="167"/>
      <c r="M1353" s="167"/>
      <c r="N1353" s="167"/>
      <c r="P1353" s="168"/>
    </row>
    <row r="1354" spans="6:16">
      <c r="F1354" s="166"/>
      <c r="G1354" s="166"/>
      <c r="H1354" s="166"/>
      <c r="I1354" s="166"/>
      <c r="J1354" s="166"/>
      <c r="K1354" s="167"/>
      <c r="L1354" s="167"/>
      <c r="M1354" s="167"/>
      <c r="N1354" s="167"/>
      <c r="P1354" s="168"/>
    </row>
    <row r="1355" spans="6:16">
      <c r="F1355" s="166"/>
      <c r="G1355" s="166"/>
      <c r="H1355" s="166"/>
      <c r="I1355" s="166"/>
      <c r="J1355" s="166"/>
      <c r="K1355" s="167"/>
      <c r="L1355" s="167"/>
      <c r="M1355" s="167"/>
      <c r="N1355" s="167"/>
      <c r="P1355" s="168"/>
    </row>
    <row r="1356" spans="6:16">
      <c r="F1356" s="166"/>
      <c r="G1356" s="166"/>
      <c r="H1356" s="166"/>
      <c r="I1356" s="166"/>
      <c r="J1356" s="166"/>
      <c r="K1356" s="167"/>
      <c r="L1356" s="167"/>
      <c r="M1356" s="167"/>
      <c r="N1356" s="167"/>
      <c r="P1356" s="168"/>
    </row>
    <row r="1357" spans="6:16">
      <c r="F1357" s="166"/>
      <c r="G1357" s="166"/>
      <c r="H1357" s="166"/>
      <c r="I1357" s="166"/>
      <c r="J1357" s="166"/>
      <c r="K1357" s="167"/>
      <c r="L1357" s="167"/>
      <c r="M1357" s="167"/>
      <c r="N1357" s="167"/>
      <c r="P1357" s="168"/>
    </row>
    <row r="1358" spans="6:16">
      <c r="F1358" s="166"/>
      <c r="G1358" s="166"/>
      <c r="H1358" s="166"/>
      <c r="I1358" s="166"/>
      <c r="J1358" s="166"/>
      <c r="K1358" s="167"/>
      <c r="L1358" s="167"/>
      <c r="M1358" s="167"/>
      <c r="N1358" s="167"/>
      <c r="P1358" s="168"/>
    </row>
    <row r="1359" spans="6:16">
      <c r="F1359" s="166"/>
      <c r="G1359" s="166"/>
      <c r="H1359" s="166"/>
      <c r="I1359" s="166"/>
      <c r="J1359" s="166"/>
      <c r="K1359" s="167"/>
      <c r="L1359" s="167"/>
      <c r="M1359" s="167"/>
      <c r="N1359" s="167"/>
      <c r="P1359" s="168"/>
    </row>
    <row r="1360" spans="6:16">
      <c r="F1360" s="166"/>
      <c r="G1360" s="166"/>
      <c r="H1360" s="166"/>
      <c r="I1360" s="166"/>
      <c r="J1360" s="166"/>
      <c r="K1360" s="167"/>
      <c r="L1360" s="167"/>
      <c r="M1360" s="167"/>
      <c r="N1360" s="167"/>
      <c r="P1360" s="168"/>
    </row>
    <row r="1361" spans="6:16">
      <c r="F1361" s="166"/>
      <c r="G1361" s="166"/>
      <c r="H1361" s="166"/>
      <c r="I1361" s="166"/>
      <c r="J1361" s="166"/>
      <c r="K1361" s="167"/>
      <c r="L1361" s="167"/>
      <c r="M1361" s="167"/>
      <c r="N1361" s="167"/>
      <c r="P1361" s="168"/>
    </row>
    <row r="1362" spans="6:16">
      <c r="F1362" s="166"/>
      <c r="G1362" s="166"/>
      <c r="H1362" s="166"/>
      <c r="I1362" s="166"/>
      <c r="J1362" s="166"/>
      <c r="K1362" s="167"/>
      <c r="L1362" s="167"/>
      <c r="M1362" s="167"/>
      <c r="N1362" s="167"/>
      <c r="P1362" s="168"/>
    </row>
    <row r="1363" spans="6:16">
      <c r="F1363" s="166"/>
      <c r="G1363" s="166"/>
      <c r="H1363" s="166"/>
      <c r="I1363" s="166"/>
      <c r="J1363" s="166"/>
      <c r="K1363" s="167"/>
      <c r="L1363" s="167"/>
      <c r="M1363" s="167"/>
      <c r="N1363" s="167"/>
      <c r="P1363" s="168"/>
    </row>
    <row r="1364" spans="6:16">
      <c r="F1364" s="166"/>
      <c r="G1364" s="166"/>
      <c r="H1364" s="166"/>
      <c r="I1364" s="166"/>
      <c r="J1364" s="166"/>
      <c r="K1364" s="167"/>
      <c r="L1364" s="167"/>
      <c r="M1364" s="167"/>
      <c r="N1364" s="167"/>
      <c r="P1364" s="168"/>
    </row>
    <row r="1365" spans="6:16">
      <c r="F1365" s="166"/>
      <c r="G1365" s="166"/>
      <c r="H1365" s="166"/>
      <c r="I1365" s="166"/>
      <c r="J1365" s="166"/>
      <c r="K1365" s="167"/>
      <c r="L1365" s="167"/>
      <c r="M1365" s="167"/>
      <c r="N1365" s="167"/>
      <c r="P1365" s="168"/>
    </row>
    <row r="1366" spans="6:16">
      <c r="F1366" s="166"/>
      <c r="G1366" s="166"/>
      <c r="H1366" s="166"/>
      <c r="I1366" s="166"/>
      <c r="J1366" s="166"/>
      <c r="K1366" s="167"/>
      <c r="L1366" s="167"/>
      <c r="M1366" s="167"/>
      <c r="N1366" s="167"/>
      <c r="P1366" s="168"/>
    </row>
    <row r="1367" spans="6:16">
      <c r="F1367" s="166"/>
      <c r="G1367" s="166"/>
      <c r="H1367" s="166"/>
      <c r="I1367" s="166"/>
      <c r="J1367" s="166"/>
      <c r="K1367" s="167"/>
      <c r="L1367" s="167"/>
      <c r="M1367" s="167"/>
      <c r="N1367" s="167"/>
      <c r="P1367" s="168"/>
    </row>
    <row r="1368" spans="6:16">
      <c r="F1368" s="166"/>
      <c r="G1368" s="166"/>
      <c r="H1368" s="166"/>
      <c r="I1368" s="166"/>
      <c r="J1368" s="166"/>
      <c r="K1368" s="167"/>
      <c r="L1368" s="167"/>
      <c r="M1368" s="167"/>
      <c r="N1368" s="167"/>
      <c r="P1368" s="168"/>
    </row>
    <row r="1369" spans="6:16">
      <c r="F1369" s="166"/>
      <c r="G1369" s="166"/>
      <c r="H1369" s="166"/>
      <c r="I1369" s="166"/>
      <c r="J1369" s="166"/>
      <c r="K1369" s="167"/>
      <c r="L1369" s="167"/>
      <c r="M1369" s="167"/>
      <c r="N1369" s="167"/>
      <c r="P1369" s="168"/>
    </row>
    <row r="1370" spans="6:16">
      <c r="F1370" s="166"/>
      <c r="G1370" s="166"/>
      <c r="H1370" s="166"/>
      <c r="I1370" s="166"/>
      <c r="J1370" s="166"/>
      <c r="K1370" s="167"/>
      <c r="L1370" s="167"/>
      <c r="M1370" s="167"/>
      <c r="N1370" s="167"/>
      <c r="P1370" s="168"/>
    </row>
    <row r="1371" spans="6:16">
      <c r="F1371" s="166"/>
      <c r="G1371" s="166"/>
      <c r="H1371" s="166"/>
      <c r="I1371" s="166"/>
      <c r="J1371" s="166"/>
      <c r="K1371" s="167"/>
      <c r="L1371" s="167"/>
      <c r="M1371" s="167"/>
      <c r="N1371" s="167"/>
      <c r="P1371" s="168"/>
    </row>
    <row r="1372" spans="6:16">
      <c r="F1372" s="166"/>
      <c r="G1372" s="166"/>
      <c r="H1372" s="166"/>
      <c r="I1372" s="166"/>
      <c r="J1372" s="166"/>
      <c r="K1372" s="167"/>
      <c r="L1372" s="167"/>
      <c r="M1372" s="167"/>
      <c r="N1372" s="167"/>
      <c r="P1372" s="168"/>
    </row>
    <row r="1373" spans="6:16">
      <c r="F1373" s="166"/>
      <c r="G1373" s="166"/>
      <c r="H1373" s="166"/>
      <c r="I1373" s="166"/>
      <c r="J1373" s="166"/>
      <c r="K1373" s="167"/>
      <c r="L1373" s="167"/>
      <c r="M1373" s="167"/>
      <c r="N1373" s="167"/>
      <c r="P1373" s="168"/>
    </row>
    <row r="1374" spans="6:16">
      <c r="F1374" s="166"/>
      <c r="G1374" s="166"/>
      <c r="H1374" s="166"/>
      <c r="I1374" s="166"/>
      <c r="J1374" s="166"/>
      <c r="K1374" s="167"/>
      <c r="L1374" s="167"/>
      <c r="M1374" s="167"/>
      <c r="N1374" s="167"/>
      <c r="P1374" s="168"/>
    </row>
    <row r="1375" spans="6:16">
      <c r="F1375" s="166"/>
      <c r="G1375" s="166"/>
      <c r="H1375" s="166"/>
      <c r="I1375" s="166"/>
      <c r="J1375" s="166"/>
      <c r="K1375" s="167"/>
      <c r="L1375" s="167"/>
      <c r="M1375" s="167"/>
      <c r="N1375" s="167"/>
      <c r="P1375" s="168"/>
    </row>
    <row r="1376" spans="6:16">
      <c r="F1376" s="166"/>
      <c r="G1376" s="166"/>
      <c r="H1376" s="166"/>
      <c r="I1376" s="166"/>
      <c r="J1376" s="166"/>
      <c r="K1376" s="167"/>
      <c r="L1376" s="167"/>
      <c r="M1376" s="167"/>
      <c r="N1376" s="167"/>
      <c r="P1376" s="168"/>
    </row>
    <row r="1377" spans="6:16">
      <c r="F1377" s="166"/>
      <c r="G1377" s="166"/>
      <c r="H1377" s="166"/>
      <c r="I1377" s="166"/>
      <c r="J1377" s="166"/>
      <c r="K1377" s="167"/>
      <c r="L1377" s="167"/>
      <c r="M1377" s="167"/>
      <c r="N1377" s="167"/>
      <c r="P1377" s="168"/>
    </row>
    <row r="1378" spans="6:16">
      <c r="F1378" s="166"/>
      <c r="G1378" s="166"/>
      <c r="H1378" s="166"/>
      <c r="I1378" s="166"/>
      <c r="J1378" s="166"/>
      <c r="K1378" s="167"/>
      <c r="L1378" s="167"/>
      <c r="M1378" s="167"/>
      <c r="N1378" s="167"/>
      <c r="P1378" s="168"/>
    </row>
    <row r="1379" spans="6:16">
      <c r="F1379" s="166"/>
      <c r="G1379" s="166"/>
      <c r="H1379" s="166"/>
      <c r="I1379" s="166"/>
      <c r="J1379" s="166"/>
      <c r="K1379" s="167"/>
      <c r="L1379" s="167"/>
      <c r="M1379" s="167"/>
      <c r="N1379" s="167"/>
      <c r="P1379" s="168"/>
    </row>
    <row r="1380" spans="6:16">
      <c r="F1380" s="166"/>
      <c r="G1380" s="166"/>
      <c r="H1380" s="166"/>
      <c r="I1380" s="166"/>
      <c r="J1380" s="166"/>
      <c r="K1380" s="167"/>
      <c r="L1380" s="167"/>
      <c r="M1380" s="167"/>
      <c r="N1380" s="167"/>
      <c r="P1380" s="168"/>
    </row>
    <row r="1381" spans="6:16">
      <c r="F1381" s="166"/>
      <c r="G1381" s="166"/>
      <c r="H1381" s="166"/>
      <c r="I1381" s="166"/>
      <c r="J1381" s="166"/>
      <c r="K1381" s="167"/>
      <c r="L1381" s="167"/>
      <c r="M1381" s="167"/>
      <c r="N1381" s="167"/>
      <c r="P1381" s="168"/>
    </row>
    <row r="1382" spans="6:16">
      <c r="F1382" s="166"/>
      <c r="G1382" s="166"/>
      <c r="H1382" s="166"/>
      <c r="I1382" s="166"/>
      <c r="J1382" s="166"/>
      <c r="K1382" s="167"/>
      <c r="L1382" s="167"/>
      <c r="M1382" s="167"/>
      <c r="N1382" s="167"/>
      <c r="P1382" s="168"/>
    </row>
    <row r="1383" spans="6:16">
      <c r="F1383" s="166"/>
      <c r="G1383" s="166"/>
      <c r="H1383" s="166"/>
      <c r="I1383" s="166"/>
      <c r="J1383" s="166"/>
      <c r="K1383" s="167"/>
      <c r="L1383" s="167"/>
      <c r="M1383" s="167"/>
      <c r="N1383" s="167"/>
      <c r="P1383" s="168"/>
    </row>
    <row r="1384" spans="6:16">
      <c r="F1384" s="166"/>
      <c r="G1384" s="166"/>
      <c r="H1384" s="166"/>
      <c r="I1384" s="166"/>
      <c r="J1384" s="166"/>
      <c r="K1384" s="167"/>
      <c r="L1384" s="167"/>
      <c r="M1384" s="167"/>
      <c r="N1384" s="167"/>
      <c r="P1384" s="168"/>
    </row>
    <row r="1385" spans="6:16">
      <c r="F1385" s="166"/>
      <c r="G1385" s="166"/>
      <c r="H1385" s="166"/>
      <c r="I1385" s="166"/>
      <c r="J1385" s="166"/>
      <c r="K1385" s="167"/>
      <c r="L1385" s="167"/>
      <c r="M1385" s="167"/>
      <c r="N1385" s="167"/>
      <c r="P1385" s="168"/>
    </row>
    <row r="1386" spans="6:16">
      <c r="F1386" s="166"/>
      <c r="G1386" s="166"/>
      <c r="H1386" s="166"/>
      <c r="I1386" s="166"/>
      <c r="J1386" s="166"/>
      <c r="K1386" s="167"/>
      <c r="L1386" s="167"/>
      <c r="M1386" s="167"/>
      <c r="N1386" s="167"/>
      <c r="P1386" s="168"/>
    </row>
    <row r="1387" spans="6:16">
      <c r="F1387" s="166"/>
      <c r="G1387" s="166"/>
      <c r="H1387" s="166"/>
      <c r="I1387" s="166"/>
      <c r="J1387" s="166"/>
      <c r="K1387" s="167"/>
      <c r="L1387" s="167"/>
      <c r="M1387" s="167"/>
      <c r="N1387" s="167"/>
      <c r="P1387" s="168"/>
    </row>
    <row r="1388" spans="6:16">
      <c r="F1388" s="166"/>
      <c r="G1388" s="166"/>
      <c r="H1388" s="166"/>
      <c r="I1388" s="166"/>
      <c r="J1388" s="166"/>
      <c r="K1388" s="167"/>
      <c r="L1388" s="167"/>
      <c r="M1388" s="167"/>
      <c r="N1388" s="167"/>
      <c r="P1388" s="168"/>
    </row>
    <row r="1389" spans="6:16">
      <c r="F1389" s="166"/>
      <c r="G1389" s="166"/>
      <c r="H1389" s="166"/>
      <c r="I1389" s="166"/>
      <c r="J1389" s="166"/>
      <c r="K1389" s="167"/>
      <c r="L1389" s="167"/>
      <c r="M1389" s="167"/>
      <c r="N1389" s="167"/>
      <c r="P1389" s="168"/>
    </row>
    <row r="1390" spans="6:16">
      <c r="F1390" s="166"/>
      <c r="G1390" s="166"/>
      <c r="H1390" s="166"/>
      <c r="I1390" s="166"/>
      <c r="J1390" s="166"/>
      <c r="K1390" s="167"/>
      <c r="L1390" s="167"/>
      <c r="M1390" s="167"/>
      <c r="N1390" s="167"/>
      <c r="P1390" s="168"/>
    </row>
    <row r="1391" spans="6:16">
      <c r="F1391" s="166"/>
      <c r="G1391" s="166"/>
      <c r="H1391" s="166"/>
      <c r="I1391" s="166"/>
      <c r="J1391" s="166"/>
      <c r="K1391" s="167"/>
      <c r="L1391" s="167"/>
      <c r="M1391" s="167"/>
      <c r="N1391" s="167"/>
      <c r="P1391" s="168"/>
    </row>
    <row r="1392" spans="6:16">
      <c r="F1392" s="166"/>
      <c r="G1392" s="166"/>
      <c r="H1392" s="166"/>
      <c r="I1392" s="166"/>
      <c r="J1392" s="166"/>
      <c r="K1392" s="167"/>
      <c r="L1392" s="167"/>
      <c r="M1392" s="167"/>
      <c r="N1392" s="167"/>
      <c r="P1392" s="168"/>
    </row>
    <row r="1393" spans="6:16">
      <c r="F1393" s="166"/>
      <c r="G1393" s="166"/>
      <c r="H1393" s="166"/>
      <c r="I1393" s="166"/>
      <c r="J1393" s="166"/>
      <c r="K1393" s="167"/>
      <c r="L1393" s="167"/>
      <c r="M1393" s="167"/>
      <c r="N1393" s="167"/>
      <c r="P1393" s="168"/>
    </row>
    <row r="1394" spans="6:16">
      <c r="F1394" s="166"/>
      <c r="G1394" s="166"/>
      <c r="H1394" s="166"/>
      <c r="I1394" s="166"/>
      <c r="J1394" s="166"/>
      <c r="K1394" s="167"/>
      <c r="L1394" s="167"/>
      <c r="M1394" s="167"/>
      <c r="N1394" s="167"/>
      <c r="P1394" s="168"/>
    </row>
    <row r="1395" spans="6:16">
      <c r="F1395" s="166"/>
      <c r="G1395" s="166"/>
      <c r="H1395" s="166"/>
      <c r="I1395" s="166"/>
      <c r="J1395" s="166"/>
      <c r="K1395" s="167"/>
      <c r="L1395" s="167"/>
      <c r="M1395" s="167"/>
      <c r="N1395" s="167"/>
      <c r="P1395" s="168"/>
    </row>
    <row r="1396" spans="6:16">
      <c r="F1396" s="166"/>
      <c r="G1396" s="166"/>
      <c r="H1396" s="166"/>
      <c r="I1396" s="166"/>
      <c r="J1396" s="166"/>
      <c r="K1396" s="167"/>
      <c r="L1396" s="167"/>
      <c r="M1396" s="167"/>
      <c r="N1396" s="167"/>
      <c r="P1396" s="168"/>
    </row>
    <row r="1397" spans="6:16">
      <c r="F1397" s="166"/>
      <c r="G1397" s="166"/>
      <c r="H1397" s="166"/>
      <c r="I1397" s="166"/>
      <c r="J1397" s="166"/>
      <c r="K1397" s="167"/>
      <c r="L1397" s="167"/>
      <c r="M1397" s="167"/>
      <c r="N1397" s="167"/>
      <c r="P1397" s="168"/>
    </row>
    <row r="1398" spans="6:16">
      <c r="F1398" s="166"/>
      <c r="G1398" s="166"/>
      <c r="H1398" s="166"/>
      <c r="I1398" s="166"/>
      <c r="J1398" s="166"/>
      <c r="K1398" s="167"/>
      <c r="L1398" s="167"/>
      <c r="M1398" s="167"/>
      <c r="N1398" s="167"/>
      <c r="P1398" s="168"/>
    </row>
    <row r="1399" spans="6:16">
      <c r="F1399" s="166"/>
      <c r="G1399" s="166"/>
      <c r="H1399" s="166"/>
      <c r="I1399" s="166"/>
      <c r="J1399" s="166"/>
      <c r="K1399" s="167"/>
      <c r="L1399" s="167"/>
      <c r="M1399" s="167"/>
      <c r="N1399" s="167"/>
      <c r="P1399" s="168"/>
    </row>
    <row r="1400" spans="6:16">
      <c r="F1400" s="166"/>
      <c r="G1400" s="166"/>
      <c r="H1400" s="166"/>
      <c r="I1400" s="166"/>
      <c r="J1400" s="166"/>
      <c r="K1400" s="167"/>
      <c r="L1400" s="167"/>
      <c r="M1400" s="167"/>
      <c r="N1400" s="167"/>
      <c r="P1400" s="168"/>
    </row>
    <row r="1401" spans="6:16">
      <c r="F1401" s="166"/>
      <c r="G1401" s="166"/>
      <c r="H1401" s="166"/>
      <c r="I1401" s="166"/>
      <c r="J1401" s="166"/>
      <c r="K1401" s="167"/>
      <c r="L1401" s="167"/>
      <c r="M1401" s="167"/>
      <c r="N1401" s="167"/>
      <c r="P1401" s="168"/>
    </row>
    <row r="1402" spans="6:16">
      <c r="F1402" s="166"/>
      <c r="G1402" s="166"/>
      <c r="H1402" s="166"/>
      <c r="I1402" s="166"/>
      <c r="J1402" s="166"/>
      <c r="K1402" s="167"/>
      <c r="L1402" s="167"/>
      <c r="M1402" s="167"/>
      <c r="N1402" s="167"/>
      <c r="P1402" s="168"/>
    </row>
    <row r="1403" spans="6:16">
      <c r="F1403" s="166"/>
      <c r="G1403" s="166"/>
      <c r="H1403" s="166"/>
      <c r="I1403" s="166"/>
      <c r="J1403" s="166"/>
      <c r="K1403" s="167"/>
      <c r="L1403" s="167"/>
      <c r="M1403" s="167"/>
      <c r="N1403" s="167"/>
      <c r="P1403" s="168"/>
    </row>
    <row r="1404" spans="6:16">
      <c r="F1404" s="166"/>
      <c r="G1404" s="166"/>
      <c r="H1404" s="166"/>
      <c r="I1404" s="166"/>
      <c r="J1404" s="166"/>
      <c r="K1404" s="167"/>
      <c r="L1404" s="167"/>
      <c r="M1404" s="167"/>
      <c r="N1404" s="167"/>
      <c r="P1404" s="168"/>
    </row>
    <row r="1405" spans="6:16">
      <c r="F1405" s="166"/>
      <c r="G1405" s="166"/>
      <c r="H1405" s="166"/>
      <c r="I1405" s="166"/>
      <c r="J1405" s="166"/>
      <c r="K1405" s="167"/>
      <c r="L1405" s="167"/>
      <c r="M1405" s="167"/>
      <c r="N1405" s="167"/>
      <c r="P1405" s="168"/>
    </row>
    <row r="1406" spans="6:16">
      <c r="F1406" s="166"/>
      <c r="G1406" s="166"/>
      <c r="H1406" s="166"/>
      <c r="I1406" s="166"/>
      <c r="J1406" s="166"/>
      <c r="K1406" s="167"/>
      <c r="L1406" s="167"/>
      <c r="M1406" s="167"/>
      <c r="N1406" s="167"/>
      <c r="P1406" s="168"/>
    </row>
    <row r="1407" spans="6:16">
      <c r="F1407" s="166"/>
      <c r="G1407" s="166"/>
      <c r="H1407" s="166"/>
      <c r="I1407" s="166"/>
      <c r="J1407" s="166"/>
      <c r="K1407" s="167"/>
      <c r="L1407" s="167"/>
      <c r="M1407" s="167"/>
      <c r="N1407" s="167"/>
      <c r="P1407" s="168"/>
    </row>
    <row r="1408" spans="6:16">
      <c r="F1408" s="166"/>
      <c r="G1408" s="166"/>
      <c r="H1408" s="166"/>
      <c r="I1408" s="166"/>
      <c r="J1408" s="166"/>
      <c r="K1408" s="167"/>
      <c r="L1408" s="167"/>
      <c r="M1408" s="167"/>
      <c r="N1408" s="167"/>
      <c r="P1408" s="168"/>
    </row>
    <row r="1409" spans="6:16">
      <c r="F1409" s="166"/>
      <c r="G1409" s="166"/>
      <c r="H1409" s="166"/>
      <c r="I1409" s="166"/>
      <c r="J1409" s="166"/>
      <c r="K1409" s="167"/>
      <c r="L1409" s="167"/>
      <c r="M1409" s="167"/>
      <c r="N1409" s="167"/>
      <c r="P1409" s="168"/>
    </row>
    <row r="1410" spans="6:16">
      <c r="F1410" s="166"/>
      <c r="G1410" s="166"/>
      <c r="H1410" s="166"/>
      <c r="I1410" s="166"/>
      <c r="J1410" s="166"/>
      <c r="K1410" s="167"/>
      <c r="L1410" s="167"/>
      <c r="M1410" s="167"/>
      <c r="N1410" s="167"/>
      <c r="P1410" s="168"/>
    </row>
    <row r="1411" spans="6:16">
      <c r="F1411" s="166"/>
      <c r="G1411" s="166"/>
      <c r="H1411" s="166"/>
      <c r="I1411" s="166"/>
      <c r="J1411" s="166"/>
      <c r="K1411" s="167"/>
      <c r="L1411" s="167"/>
      <c r="M1411" s="167"/>
      <c r="N1411" s="167"/>
      <c r="P1411" s="168"/>
    </row>
    <row r="1412" spans="6:16">
      <c r="F1412" s="166"/>
      <c r="G1412" s="166"/>
      <c r="H1412" s="166"/>
      <c r="I1412" s="166"/>
      <c r="J1412" s="166"/>
      <c r="K1412" s="167"/>
      <c r="L1412" s="167"/>
      <c r="M1412" s="167"/>
      <c r="N1412" s="167"/>
      <c r="P1412" s="168"/>
    </row>
    <row r="1413" spans="6:16">
      <c r="F1413" s="166"/>
      <c r="G1413" s="166"/>
      <c r="H1413" s="166"/>
      <c r="I1413" s="166"/>
      <c r="J1413" s="166"/>
      <c r="K1413" s="167"/>
      <c r="L1413" s="167"/>
      <c r="M1413" s="167"/>
      <c r="N1413" s="167"/>
      <c r="P1413" s="168"/>
    </row>
    <row r="1414" spans="6:16">
      <c r="F1414" s="166"/>
      <c r="G1414" s="166"/>
      <c r="H1414" s="166"/>
      <c r="I1414" s="166"/>
      <c r="J1414" s="166"/>
      <c r="K1414" s="167"/>
      <c r="L1414" s="167"/>
      <c r="M1414" s="167"/>
      <c r="N1414" s="167"/>
      <c r="P1414" s="168"/>
    </row>
    <row r="1415" spans="1:16">
      <c r="A1415" s="169"/>
      <c r="F1415" s="166"/>
      <c r="G1415" s="166"/>
      <c r="H1415" s="166"/>
      <c r="I1415" s="166"/>
      <c r="J1415" s="166"/>
      <c r="K1415" s="167"/>
      <c r="L1415" s="167"/>
      <c r="M1415" s="167"/>
      <c r="N1415" s="167"/>
      <c r="P1415" s="168"/>
    </row>
    <row r="1416" spans="1:16">
      <c r="A1416" s="169"/>
      <c r="F1416" s="166"/>
      <c r="G1416" s="166"/>
      <c r="H1416" s="166"/>
      <c r="I1416" s="166"/>
      <c r="J1416" s="166"/>
      <c r="K1416" s="167"/>
      <c r="L1416" s="167"/>
      <c r="M1416" s="167"/>
      <c r="N1416" s="167"/>
      <c r="P1416" s="168"/>
    </row>
    <row r="1417" spans="1:16">
      <c r="A1417" s="169"/>
      <c r="F1417" s="166"/>
      <c r="G1417" s="166"/>
      <c r="H1417" s="166"/>
      <c r="I1417" s="166"/>
      <c r="J1417" s="166"/>
      <c r="K1417" s="167"/>
      <c r="L1417" s="167"/>
      <c r="M1417" s="167"/>
      <c r="N1417" s="167"/>
      <c r="P1417" s="168"/>
    </row>
    <row r="1418" spans="1:16">
      <c r="A1418" s="169"/>
      <c r="F1418" s="166"/>
      <c r="G1418" s="166"/>
      <c r="H1418" s="166"/>
      <c r="I1418" s="166"/>
      <c r="J1418" s="166"/>
      <c r="K1418" s="167"/>
      <c r="L1418" s="167"/>
      <c r="M1418" s="167"/>
      <c r="N1418" s="167"/>
      <c r="P1418" s="168"/>
    </row>
    <row r="1419" spans="6:16">
      <c r="F1419" s="166"/>
      <c r="G1419" s="166"/>
      <c r="H1419" s="166"/>
      <c r="I1419" s="166"/>
      <c r="J1419" s="166"/>
      <c r="K1419" s="167"/>
      <c r="L1419" s="167"/>
      <c r="M1419" s="167"/>
      <c r="N1419" s="167"/>
      <c r="P1419" s="168"/>
    </row>
    <row r="1420" spans="6:16">
      <c r="F1420" s="166"/>
      <c r="G1420" s="166"/>
      <c r="H1420" s="166"/>
      <c r="I1420" s="166"/>
      <c r="J1420" s="166"/>
      <c r="K1420" s="167"/>
      <c r="L1420" s="167"/>
      <c r="M1420" s="167"/>
      <c r="N1420" s="167"/>
      <c r="P1420" s="168"/>
    </row>
    <row r="1421" spans="6:16">
      <c r="F1421" s="166"/>
      <c r="G1421" s="166"/>
      <c r="H1421" s="166"/>
      <c r="I1421" s="166"/>
      <c r="J1421" s="166"/>
      <c r="K1421" s="167"/>
      <c r="L1421" s="167"/>
      <c r="M1421" s="167"/>
      <c r="N1421" s="167"/>
      <c r="P1421" s="168"/>
    </row>
    <row r="1422" spans="4:16">
      <c r="D1422" s="170"/>
      <c r="E1422" s="171"/>
      <c r="F1422" s="166"/>
      <c r="G1422" s="166"/>
      <c r="H1422" s="166"/>
      <c r="I1422" s="166"/>
      <c r="J1422" s="166"/>
      <c r="K1422" s="167"/>
      <c r="L1422" s="167"/>
      <c r="M1422" s="167"/>
      <c r="N1422" s="167"/>
      <c r="P1422" s="168"/>
    </row>
    <row r="1423" spans="4:16">
      <c r="D1423" s="170"/>
      <c r="E1423" s="171"/>
      <c r="F1423" s="166"/>
      <c r="G1423" s="166"/>
      <c r="H1423" s="166"/>
      <c r="I1423" s="166"/>
      <c r="J1423" s="166"/>
      <c r="K1423" s="167"/>
      <c r="L1423" s="167"/>
      <c r="M1423" s="167"/>
      <c r="N1423" s="167"/>
      <c r="P1423" s="168"/>
    </row>
    <row r="1424" spans="4:16">
      <c r="D1424" s="170"/>
      <c r="E1424" s="171"/>
      <c r="F1424" s="166"/>
      <c r="G1424" s="166"/>
      <c r="H1424" s="166"/>
      <c r="I1424" s="166"/>
      <c r="J1424" s="166"/>
      <c r="K1424" s="167"/>
      <c r="L1424" s="167"/>
      <c r="M1424" s="167"/>
      <c r="N1424" s="167"/>
      <c r="P1424" s="168"/>
    </row>
    <row r="1425" spans="4:16">
      <c r="D1425" s="170"/>
      <c r="E1425" s="171"/>
      <c r="F1425" s="166"/>
      <c r="G1425" s="166"/>
      <c r="H1425" s="166"/>
      <c r="I1425" s="166"/>
      <c r="J1425" s="166"/>
      <c r="K1425" s="167"/>
      <c r="L1425" s="167"/>
      <c r="M1425" s="167"/>
      <c r="N1425" s="167"/>
      <c r="P1425" s="168"/>
    </row>
    <row r="1426" spans="6:16">
      <c r="F1426" s="166"/>
      <c r="G1426" s="166"/>
      <c r="H1426" s="166"/>
      <c r="I1426" s="166"/>
      <c r="J1426" s="166"/>
      <c r="K1426" s="167"/>
      <c r="L1426" s="167"/>
      <c r="M1426" s="167"/>
      <c r="N1426" s="167"/>
      <c r="P1426" s="168"/>
    </row>
    <row r="1427" spans="6:16">
      <c r="F1427" s="166"/>
      <c r="G1427" s="166"/>
      <c r="H1427" s="166"/>
      <c r="I1427" s="166"/>
      <c r="J1427" s="166"/>
      <c r="K1427" s="167"/>
      <c r="L1427" s="167"/>
      <c r="M1427" s="167"/>
      <c r="N1427" s="167"/>
      <c r="P1427" s="168"/>
    </row>
    <row r="1428" spans="6:16">
      <c r="F1428" s="166"/>
      <c r="G1428" s="166"/>
      <c r="H1428" s="166"/>
      <c r="I1428" s="166"/>
      <c r="J1428" s="166"/>
      <c r="K1428" s="167"/>
      <c r="L1428" s="167"/>
      <c r="M1428" s="167"/>
      <c r="N1428" s="167"/>
      <c r="P1428" s="168"/>
    </row>
    <row r="1429" spans="6:16">
      <c r="F1429" s="166"/>
      <c r="G1429" s="166"/>
      <c r="H1429" s="166"/>
      <c r="I1429" s="166"/>
      <c r="J1429" s="166"/>
      <c r="K1429" s="167"/>
      <c r="L1429" s="167"/>
      <c r="M1429" s="167"/>
      <c r="N1429" s="167"/>
      <c r="P1429" s="168"/>
    </row>
    <row r="1430" spans="6:16">
      <c r="F1430" s="166"/>
      <c r="G1430" s="166"/>
      <c r="H1430" s="166"/>
      <c r="I1430" s="166"/>
      <c r="J1430" s="166"/>
      <c r="K1430" s="167"/>
      <c r="L1430" s="167"/>
      <c r="M1430" s="167"/>
      <c r="N1430" s="167"/>
      <c r="P1430" s="168"/>
    </row>
    <row r="1431" spans="6:16">
      <c r="F1431" s="166"/>
      <c r="G1431" s="166"/>
      <c r="H1431" s="166"/>
      <c r="I1431" s="166"/>
      <c r="J1431" s="166"/>
      <c r="K1431" s="167"/>
      <c r="L1431" s="167"/>
      <c r="M1431" s="167"/>
      <c r="N1431" s="167"/>
      <c r="P1431" s="168"/>
    </row>
    <row r="1432" spans="6:16">
      <c r="F1432" s="166"/>
      <c r="G1432" s="166"/>
      <c r="H1432" s="166"/>
      <c r="I1432" s="166"/>
      <c r="J1432" s="166"/>
      <c r="K1432" s="167"/>
      <c r="L1432" s="167"/>
      <c r="M1432" s="167"/>
      <c r="N1432" s="167"/>
      <c r="P1432" s="168"/>
    </row>
    <row r="1433" spans="6:16">
      <c r="F1433" s="166"/>
      <c r="G1433" s="166"/>
      <c r="H1433" s="166"/>
      <c r="I1433" s="166"/>
      <c r="J1433" s="166"/>
      <c r="K1433" s="167"/>
      <c r="L1433" s="167"/>
      <c r="M1433" s="167"/>
      <c r="N1433" s="167"/>
      <c r="P1433" s="168"/>
    </row>
    <row r="1434" spans="6:16">
      <c r="F1434" s="166"/>
      <c r="G1434" s="166"/>
      <c r="H1434" s="166"/>
      <c r="I1434" s="166"/>
      <c r="J1434" s="166"/>
      <c r="K1434" s="167"/>
      <c r="L1434" s="167"/>
      <c r="M1434" s="167"/>
      <c r="N1434" s="167"/>
      <c r="P1434" s="168"/>
    </row>
    <row r="1435" spans="6:16">
      <c r="F1435" s="166"/>
      <c r="G1435" s="166"/>
      <c r="H1435" s="166"/>
      <c r="I1435" s="166"/>
      <c r="J1435" s="166"/>
      <c r="K1435" s="167"/>
      <c r="L1435" s="167"/>
      <c r="M1435" s="167"/>
      <c r="N1435" s="167"/>
      <c r="P1435" s="168"/>
    </row>
    <row r="1436" spans="6:16">
      <c r="F1436" s="166"/>
      <c r="G1436" s="166"/>
      <c r="H1436" s="166"/>
      <c r="I1436" s="166"/>
      <c r="J1436" s="166"/>
      <c r="K1436" s="167"/>
      <c r="L1436" s="167"/>
      <c r="M1436" s="167"/>
      <c r="N1436" s="167"/>
      <c r="P1436" s="168"/>
    </row>
    <row r="1437" spans="6:16">
      <c r="F1437" s="166"/>
      <c r="G1437" s="166"/>
      <c r="H1437" s="166"/>
      <c r="I1437" s="166"/>
      <c r="J1437" s="166"/>
      <c r="K1437" s="167"/>
      <c r="L1437" s="167"/>
      <c r="M1437" s="167"/>
      <c r="N1437" s="167"/>
      <c r="P1437" s="168"/>
    </row>
    <row r="1438" spans="6:16">
      <c r="F1438" s="166"/>
      <c r="G1438" s="166"/>
      <c r="H1438" s="166"/>
      <c r="I1438" s="166"/>
      <c r="J1438" s="166"/>
      <c r="K1438" s="167"/>
      <c r="L1438" s="167"/>
      <c r="M1438" s="167"/>
      <c r="N1438" s="167"/>
      <c r="P1438" s="168"/>
    </row>
    <row r="1439" spans="6:16">
      <c r="F1439" s="166"/>
      <c r="G1439" s="166"/>
      <c r="H1439" s="166"/>
      <c r="I1439" s="166"/>
      <c r="J1439" s="166"/>
      <c r="K1439" s="167"/>
      <c r="L1439" s="167"/>
      <c r="M1439" s="167"/>
      <c r="N1439" s="167"/>
      <c r="P1439" s="168"/>
    </row>
    <row r="1440" spans="6:16">
      <c r="F1440" s="166"/>
      <c r="G1440" s="166"/>
      <c r="H1440" s="166"/>
      <c r="I1440" s="166"/>
      <c r="J1440" s="166"/>
      <c r="K1440" s="167"/>
      <c r="L1440" s="167"/>
      <c r="M1440" s="167"/>
      <c r="N1440" s="167"/>
      <c r="P1440" s="168"/>
    </row>
    <row r="1441" spans="6:16">
      <c r="F1441" s="166"/>
      <c r="G1441" s="166"/>
      <c r="H1441" s="166"/>
      <c r="I1441" s="166"/>
      <c r="J1441" s="166"/>
      <c r="K1441" s="167"/>
      <c r="L1441" s="167"/>
      <c r="M1441" s="167"/>
      <c r="N1441" s="167"/>
      <c r="P1441" s="168"/>
    </row>
    <row r="1442" spans="6:16">
      <c r="F1442" s="166"/>
      <c r="G1442" s="166"/>
      <c r="H1442" s="166"/>
      <c r="I1442" s="166"/>
      <c r="J1442" s="166"/>
      <c r="K1442" s="167"/>
      <c r="L1442" s="167"/>
      <c r="M1442" s="167"/>
      <c r="N1442" s="167"/>
      <c r="P1442" s="168"/>
    </row>
    <row r="1443" spans="6:16">
      <c r="F1443" s="166"/>
      <c r="G1443" s="166"/>
      <c r="H1443" s="166"/>
      <c r="I1443" s="166"/>
      <c r="J1443" s="166"/>
      <c r="K1443" s="167"/>
      <c r="L1443" s="167"/>
      <c r="M1443" s="167"/>
      <c r="N1443" s="167"/>
      <c r="P1443" s="168"/>
    </row>
    <row r="1444" spans="6:16">
      <c r="F1444" s="166"/>
      <c r="G1444" s="166"/>
      <c r="H1444" s="166"/>
      <c r="I1444" s="166"/>
      <c r="J1444" s="166"/>
      <c r="K1444" s="167"/>
      <c r="L1444" s="167"/>
      <c r="M1444" s="167"/>
      <c r="N1444" s="167"/>
      <c r="P1444" s="168"/>
    </row>
    <row r="1445" spans="6:16">
      <c r="F1445" s="166"/>
      <c r="G1445" s="166"/>
      <c r="H1445" s="166"/>
      <c r="I1445" s="166"/>
      <c r="J1445" s="166"/>
      <c r="K1445" s="167"/>
      <c r="L1445" s="167"/>
      <c r="M1445" s="167"/>
      <c r="N1445" s="167"/>
      <c r="P1445" s="168"/>
    </row>
    <row r="1446" spans="6:16">
      <c r="F1446" s="166"/>
      <c r="G1446" s="166"/>
      <c r="H1446" s="166"/>
      <c r="I1446" s="166"/>
      <c r="J1446" s="166"/>
      <c r="K1446" s="167"/>
      <c r="L1446" s="167"/>
      <c r="M1446" s="167"/>
      <c r="N1446" s="167"/>
      <c r="P1446" s="168"/>
    </row>
    <row r="1447" spans="6:16">
      <c r="F1447" s="166"/>
      <c r="G1447" s="166"/>
      <c r="H1447" s="166"/>
      <c r="I1447" s="166"/>
      <c r="J1447" s="166"/>
      <c r="K1447" s="167"/>
      <c r="L1447" s="167"/>
      <c r="M1447" s="167"/>
      <c r="N1447" s="167"/>
      <c r="P1447" s="168"/>
    </row>
    <row r="1448" spans="6:16">
      <c r="F1448" s="166"/>
      <c r="G1448" s="166"/>
      <c r="H1448" s="166"/>
      <c r="I1448" s="166"/>
      <c r="J1448" s="166"/>
      <c r="K1448" s="167"/>
      <c r="L1448" s="167"/>
      <c r="M1448" s="167"/>
      <c r="N1448" s="167"/>
      <c r="P1448" s="168"/>
    </row>
    <row r="1449" spans="6:16">
      <c r="F1449" s="166"/>
      <c r="G1449" s="166"/>
      <c r="H1449" s="166"/>
      <c r="I1449" s="166"/>
      <c r="J1449" s="166"/>
      <c r="K1449" s="167"/>
      <c r="L1449" s="167"/>
      <c r="M1449" s="167"/>
      <c r="N1449" s="167"/>
      <c r="P1449" s="168"/>
    </row>
    <row r="1450" spans="6:16">
      <c r="F1450" s="166"/>
      <c r="G1450" s="166"/>
      <c r="H1450" s="166"/>
      <c r="I1450" s="166"/>
      <c r="J1450" s="166"/>
      <c r="K1450" s="167"/>
      <c r="L1450" s="167"/>
      <c r="M1450" s="167"/>
      <c r="N1450" s="167"/>
      <c r="P1450" s="168"/>
    </row>
    <row r="1451" spans="6:16">
      <c r="F1451" s="166"/>
      <c r="G1451" s="166"/>
      <c r="H1451" s="166"/>
      <c r="I1451" s="166"/>
      <c r="J1451" s="166"/>
      <c r="K1451" s="167"/>
      <c r="L1451" s="167"/>
      <c r="M1451" s="167"/>
      <c r="N1451" s="167"/>
      <c r="P1451" s="168"/>
    </row>
    <row r="1452" spans="6:16">
      <c r="F1452" s="166"/>
      <c r="G1452" s="166"/>
      <c r="H1452" s="166"/>
      <c r="I1452" s="166"/>
      <c r="J1452" s="166"/>
      <c r="K1452" s="167"/>
      <c r="L1452" s="167"/>
      <c r="M1452" s="167"/>
      <c r="N1452" s="167"/>
      <c r="P1452" s="168"/>
    </row>
    <row r="1453" spans="6:16">
      <c r="F1453" s="166"/>
      <c r="G1453" s="166"/>
      <c r="H1453" s="166"/>
      <c r="I1453" s="166"/>
      <c r="J1453" s="166"/>
      <c r="K1453" s="167"/>
      <c r="L1453" s="167"/>
      <c r="M1453" s="167"/>
      <c r="N1453" s="167"/>
      <c r="P1453" s="168"/>
    </row>
    <row r="1454" spans="6:16">
      <c r="F1454" s="166"/>
      <c r="G1454" s="166"/>
      <c r="H1454" s="166"/>
      <c r="I1454" s="166"/>
      <c r="J1454" s="166"/>
      <c r="K1454" s="167"/>
      <c r="L1454" s="167"/>
      <c r="M1454" s="167"/>
      <c r="N1454" s="167"/>
      <c r="P1454" s="168"/>
    </row>
    <row r="1455" spans="6:16">
      <c r="F1455" s="166"/>
      <c r="G1455" s="166"/>
      <c r="H1455" s="166"/>
      <c r="I1455" s="166"/>
      <c r="J1455" s="166"/>
      <c r="K1455" s="167"/>
      <c r="L1455" s="167"/>
      <c r="M1455" s="167"/>
      <c r="N1455" s="167"/>
      <c r="P1455" s="168"/>
    </row>
    <row r="1456" spans="6:16">
      <c r="F1456" s="166"/>
      <c r="G1456" s="166"/>
      <c r="H1456" s="166"/>
      <c r="I1456" s="166"/>
      <c r="J1456" s="166"/>
      <c r="K1456" s="167"/>
      <c r="L1456" s="167"/>
      <c r="M1456" s="167"/>
      <c r="N1456" s="167"/>
      <c r="P1456" s="168"/>
    </row>
    <row r="1457" spans="6:16">
      <c r="F1457" s="166"/>
      <c r="G1457" s="166"/>
      <c r="H1457" s="166"/>
      <c r="I1457" s="166"/>
      <c r="J1457" s="166"/>
      <c r="K1457" s="167"/>
      <c r="L1457" s="167"/>
      <c r="M1457" s="167"/>
      <c r="N1457" s="167"/>
      <c r="P1457" s="168"/>
    </row>
    <row r="1458" spans="6:16">
      <c r="F1458" s="166"/>
      <c r="G1458" s="166"/>
      <c r="H1458" s="166"/>
      <c r="I1458" s="166"/>
      <c r="J1458" s="166"/>
      <c r="K1458" s="167"/>
      <c r="L1458" s="167"/>
      <c r="M1458" s="167"/>
      <c r="N1458" s="167"/>
      <c r="P1458" s="168"/>
    </row>
    <row r="1459" spans="6:16">
      <c r="F1459" s="166"/>
      <c r="G1459" s="166"/>
      <c r="H1459" s="166"/>
      <c r="I1459" s="166"/>
      <c r="J1459" s="166"/>
      <c r="K1459" s="167"/>
      <c r="L1459" s="167"/>
      <c r="M1459" s="167"/>
      <c r="N1459" s="167"/>
      <c r="P1459" s="168"/>
    </row>
    <row r="1460" spans="6:16">
      <c r="F1460" s="166"/>
      <c r="G1460" s="166"/>
      <c r="H1460" s="166"/>
      <c r="I1460" s="166"/>
      <c r="J1460" s="166"/>
      <c r="K1460" s="167"/>
      <c r="L1460" s="167"/>
      <c r="M1460" s="167"/>
      <c r="N1460" s="167"/>
      <c r="P1460" s="168"/>
    </row>
    <row r="1461" spans="6:16">
      <c r="F1461" s="166"/>
      <c r="G1461" s="166"/>
      <c r="H1461" s="166"/>
      <c r="I1461" s="166"/>
      <c r="J1461" s="166"/>
      <c r="K1461" s="167"/>
      <c r="L1461" s="167"/>
      <c r="M1461" s="167"/>
      <c r="N1461" s="167"/>
      <c r="P1461" s="168"/>
    </row>
    <row r="1462" spans="6:16">
      <c r="F1462" s="166"/>
      <c r="G1462" s="166"/>
      <c r="H1462" s="166"/>
      <c r="I1462" s="166"/>
      <c r="J1462" s="166"/>
      <c r="K1462" s="167"/>
      <c r="L1462" s="167"/>
      <c r="M1462" s="167"/>
      <c r="N1462" s="167"/>
      <c r="P1462" s="168"/>
    </row>
    <row r="1463" spans="6:16">
      <c r="F1463" s="166"/>
      <c r="G1463" s="166"/>
      <c r="H1463" s="166"/>
      <c r="I1463" s="166"/>
      <c r="J1463" s="166"/>
      <c r="K1463" s="167"/>
      <c r="L1463" s="167"/>
      <c r="M1463" s="167"/>
      <c r="N1463" s="167"/>
      <c r="P1463" s="168"/>
    </row>
    <row r="1464" spans="6:16">
      <c r="F1464" s="166"/>
      <c r="G1464" s="166"/>
      <c r="H1464" s="166"/>
      <c r="I1464" s="166"/>
      <c r="J1464" s="166"/>
      <c r="K1464" s="167"/>
      <c r="L1464" s="167"/>
      <c r="M1464" s="167"/>
      <c r="N1464" s="167"/>
      <c r="P1464" s="168"/>
    </row>
    <row r="1465" spans="6:16">
      <c r="F1465" s="166"/>
      <c r="G1465" s="166"/>
      <c r="H1465" s="166"/>
      <c r="I1465" s="166"/>
      <c r="J1465" s="166"/>
      <c r="K1465" s="167"/>
      <c r="L1465" s="167"/>
      <c r="M1465" s="167"/>
      <c r="N1465" s="167"/>
      <c r="P1465" s="168"/>
    </row>
    <row r="1466" spans="6:16">
      <c r="F1466" s="166"/>
      <c r="G1466" s="166"/>
      <c r="H1466" s="166"/>
      <c r="I1466" s="166"/>
      <c r="J1466" s="166"/>
      <c r="K1466" s="167"/>
      <c r="L1466" s="167"/>
      <c r="M1466" s="167"/>
      <c r="N1466" s="167"/>
      <c r="P1466" s="168"/>
    </row>
    <row r="1467" spans="6:16">
      <c r="F1467" s="166"/>
      <c r="G1467" s="166"/>
      <c r="H1467" s="166"/>
      <c r="I1467" s="166"/>
      <c r="J1467" s="166"/>
      <c r="K1467" s="167"/>
      <c r="L1467" s="167"/>
      <c r="M1467" s="167"/>
      <c r="N1467" s="167"/>
      <c r="P1467" s="168"/>
    </row>
    <row r="1468" spans="6:16">
      <c r="F1468" s="166"/>
      <c r="G1468" s="166"/>
      <c r="H1468" s="166"/>
      <c r="I1468" s="166"/>
      <c r="J1468" s="166"/>
      <c r="K1468" s="167"/>
      <c r="L1468" s="167"/>
      <c r="M1468" s="167"/>
      <c r="N1468" s="167"/>
      <c r="P1468" s="168"/>
    </row>
    <row r="1469" spans="6:16">
      <c r="F1469" s="166"/>
      <c r="G1469" s="166"/>
      <c r="H1469" s="166"/>
      <c r="I1469" s="166"/>
      <c r="J1469" s="166"/>
      <c r="K1469" s="167"/>
      <c r="L1469" s="167"/>
      <c r="M1469" s="167"/>
      <c r="N1469" s="167"/>
      <c r="P1469" s="168"/>
    </row>
    <row r="1470" spans="6:16">
      <c r="F1470" s="166"/>
      <c r="G1470" s="166"/>
      <c r="H1470" s="166"/>
      <c r="I1470" s="166"/>
      <c r="J1470" s="166"/>
      <c r="K1470" s="167"/>
      <c r="L1470" s="167"/>
      <c r="M1470" s="167"/>
      <c r="N1470" s="167"/>
      <c r="P1470" s="168"/>
    </row>
    <row r="1471" spans="6:16">
      <c r="F1471" s="166"/>
      <c r="G1471" s="166"/>
      <c r="H1471" s="166"/>
      <c r="I1471" s="166"/>
      <c r="J1471" s="166"/>
      <c r="K1471" s="167"/>
      <c r="L1471" s="167"/>
      <c r="M1471" s="167"/>
      <c r="N1471" s="167"/>
      <c r="P1471" s="168"/>
    </row>
    <row r="1472" spans="6:16">
      <c r="F1472" s="166"/>
      <c r="G1472" s="166"/>
      <c r="H1472" s="166"/>
      <c r="I1472" s="166"/>
      <c r="J1472" s="166"/>
      <c r="K1472" s="167"/>
      <c r="L1472" s="167"/>
      <c r="M1472" s="167"/>
      <c r="N1472" s="167"/>
      <c r="P1472" s="168"/>
    </row>
    <row r="1473" spans="6:16">
      <c r="F1473" s="166"/>
      <c r="G1473" s="166"/>
      <c r="H1473" s="166"/>
      <c r="I1473" s="166"/>
      <c r="J1473" s="166"/>
      <c r="K1473" s="167"/>
      <c r="L1473" s="167"/>
      <c r="M1473" s="167"/>
      <c r="N1473" s="167"/>
      <c r="P1473" s="168"/>
    </row>
    <row r="1474" spans="6:16">
      <c r="F1474" s="166"/>
      <c r="G1474" s="166"/>
      <c r="H1474" s="166"/>
      <c r="I1474" s="166"/>
      <c r="J1474" s="166"/>
      <c r="K1474" s="167"/>
      <c r="L1474" s="167"/>
      <c r="M1474" s="167"/>
      <c r="N1474" s="167"/>
      <c r="P1474" s="168"/>
    </row>
    <row r="1475" spans="6:16">
      <c r="F1475" s="166"/>
      <c r="G1475" s="166"/>
      <c r="H1475" s="166"/>
      <c r="I1475" s="166"/>
      <c r="J1475" s="166"/>
      <c r="K1475" s="167"/>
      <c r="L1475" s="167"/>
      <c r="M1475" s="167"/>
      <c r="N1475" s="167"/>
      <c r="P1475" s="168"/>
    </row>
    <row r="1476" spans="6:16">
      <c r="F1476" s="166"/>
      <c r="G1476" s="166"/>
      <c r="H1476" s="166"/>
      <c r="I1476" s="166"/>
      <c r="J1476" s="166"/>
      <c r="K1476" s="167"/>
      <c r="L1476" s="167"/>
      <c r="M1476" s="167"/>
      <c r="N1476" s="167"/>
      <c r="P1476" s="168"/>
    </row>
    <row r="1477" spans="6:16">
      <c r="F1477" s="166"/>
      <c r="G1477" s="166"/>
      <c r="H1477" s="166"/>
      <c r="I1477" s="166"/>
      <c r="J1477" s="166"/>
      <c r="K1477" s="167"/>
      <c r="L1477" s="167"/>
      <c r="M1477" s="167"/>
      <c r="N1477" s="167"/>
      <c r="P1477" s="168"/>
    </row>
    <row r="1478" spans="6:16">
      <c r="F1478" s="166"/>
      <c r="G1478" s="166"/>
      <c r="H1478" s="166"/>
      <c r="I1478" s="166"/>
      <c r="J1478" s="166"/>
      <c r="K1478" s="167"/>
      <c r="L1478" s="167"/>
      <c r="M1478" s="167"/>
      <c r="N1478" s="167"/>
      <c r="P1478" s="168"/>
    </row>
    <row r="1479" spans="6:16">
      <c r="F1479" s="166"/>
      <c r="G1479" s="166"/>
      <c r="H1479" s="166"/>
      <c r="I1479" s="166"/>
      <c r="J1479" s="166"/>
      <c r="K1479" s="167"/>
      <c r="L1479" s="167"/>
      <c r="M1479" s="167"/>
      <c r="N1479" s="167"/>
      <c r="P1479" s="168"/>
    </row>
    <row r="1480" spans="6:16">
      <c r="F1480" s="166"/>
      <c r="G1480" s="166"/>
      <c r="H1480" s="166"/>
      <c r="I1480" s="166"/>
      <c r="J1480" s="166"/>
      <c r="K1480" s="167"/>
      <c r="L1480" s="167"/>
      <c r="M1480" s="167"/>
      <c r="N1480" s="167"/>
      <c r="P1480" s="168"/>
    </row>
    <row r="1481" spans="6:16">
      <c r="F1481" s="166"/>
      <c r="G1481" s="166"/>
      <c r="H1481" s="166"/>
      <c r="I1481" s="166"/>
      <c r="J1481" s="166"/>
      <c r="K1481" s="167"/>
      <c r="L1481" s="167"/>
      <c r="M1481" s="167"/>
      <c r="N1481" s="167"/>
      <c r="P1481" s="168"/>
    </row>
    <row r="1482" spans="6:16">
      <c r="F1482" s="166"/>
      <c r="G1482" s="166"/>
      <c r="H1482" s="166"/>
      <c r="I1482" s="166"/>
      <c r="J1482" s="166"/>
      <c r="K1482" s="167"/>
      <c r="L1482" s="167"/>
      <c r="M1482" s="167"/>
      <c r="N1482" s="167"/>
      <c r="P1482" s="168"/>
    </row>
    <row r="1483" spans="6:16">
      <c r="F1483" s="166"/>
      <c r="G1483" s="166"/>
      <c r="H1483" s="166"/>
      <c r="I1483" s="166"/>
      <c r="J1483" s="166"/>
      <c r="K1483" s="167"/>
      <c r="L1483" s="167"/>
      <c r="M1483" s="167"/>
      <c r="N1483" s="167"/>
      <c r="P1483" s="168"/>
    </row>
    <row r="1484" spans="6:16">
      <c r="F1484" s="166"/>
      <c r="G1484" s="166"/>
      <c r="H1484" s="166"/>
      <c r="I1484" s="166"/>
      <c r="J1484" s="166"/>
      <c r="K1484" s="167"/>
      <c r="L1484" s="167"/>
      <c r="M1484" s="167"/>
      <c r="N1484" s="167"/>
      <c r="P1484" s="168"/>
    </row>
    <row r="1485" spans="6:16">
      <c r="F1485" s="166"/>
      <c r="G1485" s="166"/>
      <c r="H1485" s="166"/>
      <c r="I1485" s="166"/>
      <c r="J1485" s="166"/>
      <c r="K1485" s="167"/>
      <c r="L1485" s="167"/>
      <c r="M1485" s="167"/>
      <c r="N1485" s="167"/>
      <c r="P1485" s="168"/>
    </row>
    <row r="1486" spans="6:16">
      <c r="F1486" s="166"/>
      <c r="G1486" s="166"/>
      <c r="H1486" s="166"/>
      <c r="I1486" s="166"/>
      <c r="J1486" s="166"/>
      <c r="K1486" s="167"/>
      <c r="L1486" s="167"/>
      <c r="M1486" s="167"/>
      <c r="N1486" s="167"/>
      <c r="P1486" s="168"/>
    </row>
    <row r="1487" spans="6:16">
      <c r="F1487" s="166"/>
      <c r="G1487" s="166"/>
      <c r="H1487" s="166"/>
      <c r="I1487" s="166"/>
      <c r="J1487" s="166"/>
      <c r="K1487" s="167"/>
      <c r="L1487" s="167"/>
      <c r="M1487" s="167"/>
      <c r="N1487" s="167"/>
      <c r="P1487" s="168"/>
    </row>
    <row r="1488" spans="6:16">
      <c r="F1488" s="166"/>
      <c r="G1488" s="166"/>
      <c r="H1488" s="166"/>
      <c r="I1488" s="166"/>
      <c r="J1488" s="166"/>
      <c r="K1488" s="167"/>
      <c r="L1488" s="167"/>
      <c r="M1488" s="167"/>
      <c r="N1488" s="167"/>
      <c r="P1488" s="168"/>
    </row>
    <row r="1489" spans="6:16">
      <c r="F1489" s="166"/>
      <c r="G1489" s="166"/>
      <c r="H1489" s="166"/>
      <c r="I1489" s="166"/>
      <c r="J1489" s="166"/>
      <c r="K1489" s="167"/>
      <c r="L1489" s="167"/>
      <c r="M1489" s="167"/>
      <c r="N1489" s="167"/>
      <c r="P1489" s="168"/>
    </row>
    <row r="1490" spans="6:16">
      <c r="F1490" s="166"/>
      <c r="G1490" s="166"/>
      <c r="H1490" s="166"/>
      <c r="I1490" s="166"/>
      <c r="J1490" s="166"/>
      <c r="K1490" s="167"/>
      <c r="L1490" s="167"/>
      <c r="M1490" s="167"/>
      <c r="N1490" s="167"/>
      <c r="P1490" s="168"/>
    </row>
    <row r="1491" spans="6:16">
      <c r="F1491" s="166"/>
      <c r="G1491" s="166"/>
      <c r="H1491" s="166"/>
      <c r="I1491" s="166"/>
      <c r="J1491" s="166"/>
      <c r="K1491" s="167"/>
      <c r="L1491" s="167"/>
      <c r="M1491" s="167"/>
      <c r="N1491" s="167"/>
      <c r="P1491" s="168"/>
    </row>
    <row r="1492" spans="6:16">
      <c r="F1492" s="166"/>
      <c r="G1492" s="166"/>
      <c r="H1492" s="166"/>
      <c r="I1492" s="166"/>
      <c r="J1492" s="166"/>
      <c r="K1492" s="167"/>
      <c r="L1492" s="167"/>
      <c r="M1492" s="167"/>
      <c r="N1492" s="167"/>
      <c r="P1492" s="168"/>
    </row>
    <row r="1493" spans="6:16">
      <c r="F1493" s="166"/>
      <c r="G1493" s="166"/>
      <c r="H1493" s="166"/>
      <c r="I1493" s="166"/>
      <c r="J1493" s="166"/>
      <c r="K1493" s="167"/>
      <c r="L1493" s="167"/>
      <c r="M1493" s="167"/>
      <c r="N1493" s="167"/>
      <c r="P1493" s="168"/>
    </row>
    <row r="1494" spans="6:16">
      <c r="F1494" s="166"/>
      <c r="G1494" s="166"/>
      <c r="H1494" s="166"/>
      <c r="I1494" s="166"/>
      <c r="J1494" s="166"/>
      <c r="K1494" s="167"/>
      <c r="L1494" s="167"/>
      <c r="M1494" s="167"/>
      <c r="N1494" s="167"/>
      <c r="P1494" s="168"/>
    </row>
    <row r="1495" spans="6:16">
      <c r="F1495" s="166"/>
      <c r="G1495" s="166"/>
      <c r="H1495" s="166"/>
      <c r="I1495" s="166"/>
      <c r="J1495" s="166"/>
      <c r="K1495" s="167"/>
      <c r="L1495" s="167"/>
      <c r="M1495" s="167"/>
      <c r="N1495" s="167"/>
      <c r="P1495" s="168"/>
    </row>
    <row r="1496" spans="6:16">
      <c r="F1496" s="166"/>
      <c r="G1496" s="166"/>
      <c r="H1496" s="166"/>
      <c r="I1496" s="166"/>
      <c r="J1496" s="166"/>
      <c r="K1496" s="167"/>
      <c r="L1496" s="167"/>
      <c r="M1496" s="167"/>
      <c r="N1496" s="167"/>
      <c r="P1496" s="168"/>
    </row>
    <row r="1497" spans="6:16">
      <c r="F1497" s="166"/>
      <c r="G1497" s="166"/>
      <c r="H1497" s="166"/>
      <c r="I1497" s="166"/>
      <c r="J1497" s="166"/>
      <c r="K1497" s="167"/>
      <c r="L1497" s="167"/>
      <c r="M1497" s="167"/>
      <c r="N1497" s="167"/>
      <c r="P1497" s="168"/>
    </row>
    <row r="1498" spans="6:16">
      <c r="F1498" s="166"/>
      <c r="G1498" s="166"/>
      <c r="H1498" s="166"/>
      <c r="I1498" s="166"/>
      <c r="J1498" s="166"/>
      <c r="K1498" s="167"/>
      <c r="L1498" s="167"/>
      <c r="M1498" s="167"/>
      <c r="N1498" s="167"/>
      <c r="P1498" s="168"/>
    </row>
    <row r="1499" spans="6:16">
      <c r="F1499" s="166"/>
      <c r="G1499" s="166"/>
      <c r="H1499" s="166"/>
      <c r="I1499" s="166"/>
      <c r="J1499" s="166"/>
      <c r="K1499" s="167"/>
      <c r="L1499" s="167"/>
      <c r="M1499" s="167"/>
      <c r="N1499" s="167"/>
      <c r="P1499" s="168"/>
    </row>
    <row r="1500" spans="6:16">
      <c r="F1500" s="166"/>
      <c r="G1500" s="166"/>
      <c r="H1500" s="166"/>
      <c r="I1500" s="166"/>
      <c r="J1500" s="166"/>
      <c r="K1500" s="167"/>
      <c r="L1500" s="167"/>
      <c r="M1500" s="167"/>
      <c r="N1500" s="167"/>
      <c r="P1500" s="168"/>
    </row>
    <row r="1501" spans="6:16">
      <c r="F1501" s="166"/>
      <c r="G1501" s="166"/>
      <c r="H1501" s="166"/>
      <c r="I1501" s="166"/>
      <c r="J1501" s="166"/>
      <c r="K1501" s="167"/>
      <c r="L1501" s="167"/>
      <c r="M1501" s="167"/>
      <c r="N1501" s="167"/>
      <c r="P1501" s="168"/>
    </row>
    <row r="1502" spans="6:16">
      <c r="F1502" s="166"/>
      <c r="G1502" s="166"/>
      <c r="H1502" s="166"/>
      <c r="I1502" s="166"/>
      <c r="J1502" s="166"/>
      <c r="K1502" s="167"/>
      <c r="L1502" s="167"/>
      <c r="M1502" s="167"/>
      <c r="N1502" s="167"/>
      <c r="P1502" s="168"/>
    </row>
    <row r="1503" spans="6:16">
      <c r="F1503" s="166"/>
      <c r="G1503" s="166"/>
      <c r="H1503" s="166"/>
      <c r="I1503" s="166"/>
      <c r="J1503" s="166"/>
      <c r="K1503" s="167"/>
      <c r="L1503" s="167"/>
      <c r="M1503" s="167"/>
      <c r="N1503" s="167"/>
      <c r="P1503" s="168"/>
    </row>
    <row r="1504" spans="6:16">
      <c r="F1504" s="166"/>
      <c r="G1504" s="166"/>
      <c r="H1504" s="166"/>
      <c r="I1504" s="166"/>
      <c r="J1504" s="166"/>
      <c r="K1504" s="167"/>
      <c r="L1504" s="167"/>
      <c r="M1504" s="167"/>
      <c r="N1504" s="167"/>
      <c r="P1504" s="168"/>
    </row>
    <row r="1505" spans="6:16">
      <c r="F1505" s="166"/>
      <c r="G1505" s="166"/>
      <c r="H1505" s="166"/>
      <c r="I1505" s="166"/>
      <c r="J1505" s="166"/>
      <c r="K1505" s="167"/>
      <c r="L1505" s="167"/>
      <c r="M1505" s="167"/>
      <c r="N1505" s="167"/>
      <c r="P1505" s="168"/>
    </row>
    <row r="1506" spans="6:16">
      <c r="F1506" s="166"/>
      <c r="G1506" s="166"/>
      <c r="H1506" s="166"/>
      <c r="I1506" s="166"/>
      <c r="J1506" s="166"/>
      <c r="K1506" s="167"/>
      <c r="L1506" s="167"/>
      <c r="M1506" s="167"/>
      <c r="N1506" s="167"/>
      <c r="P1506" s="168"/>
    </row>
    <row r="1507" spans="6:16">
      <c r="F1507" s="166"/>
      <c r="G1507" s="166"/>
      <c r="H1507" s="166"/>
      <c r="I1507" s="166"/>
      <c r="J1507" s="166"/>
      <c r="K1507" s="167"/>
      <c r="L1507" s="167"/>
      <c r="M1507" s="167"/>
      <c r="N1507" s="167"/>
      <c r="P1507" s="168"/>
    </row>
    <row r="1508" spans="6:16">
      <c r="F1508" s="166"/>
      <c r="G1508" s="166"/>
      <c r="H1508" s="166"/>
      <c r="I1508" s="166"/>
      <c r="J1508" s="166"/>
      <c r="K1508" s="167"/>
      <c r="L1508" s="167"/>
      <c r="M1508" s="167"/>
      <c r="N1508" s="167"/>
      <c r="P1508" s="168"/>
    </row>
    <row r="1509" spans="6:16">
      <c r="F1509" s="166"/>
      <c r="G1509" s="166"/>
      <c r="H1509" s="166"/>
      <c r="I1509" s="166"/>
      <c r="J1509" s="166"/>
      <c r="K1509" s="167"/>
      <c r="L1509" s="167"/>
      <c r="M1509" s="167"/>
      <c r="N1509" s="167"/>
      <c r="P1509" s="168"/>
    </row>
    <row r="1510" spans="6:16">
      <c r="F1510" s="166"/>
      <c r="G1510" s="166"/>
      <c r="H1510" s="166"/>
      <c r="I1510" s="166"/>
      <c r="J1510" s="166"/>
      <c r="K1510" s="167"/>
      <c r="L1510" s="167"/>
      <c r="M1510" s="167"/>
      <c r="N1510" s="167"/>
      <c r="P1510" s="168"/>
    </row>
    <row r="1511" spans="6:16">
      <c r="F1511" s="166"/>
      <c r="G1511" s="166"/>
      <c r="H1511" s="166"/>
      <c r="I1511" s="166"/>
      <c r="J1511" s="166"/>
      <c r="K1511" s="167"/>
      <c r="L1511" s="167"/>
      <c r="M1511" s="167"/>
      <c r="N1511" s="167"/>
      <c r="P1511" s="168"/>
    </row>
    <row r="1512" spans="6:16">
      <c r="F1512" s="166"/>
      <c r="G1512" s="166"/>
      <c r="H1512" s="166"/>
      <c r="I1512" s="166"/>
      <c r="J1512" s="166"/>
      <c r="K1512" s="167"/>
      <c r="L1512" s="167"/>
      <c r="M1512" s="167"/>
      <c r="N1512" s="167"/>
      <c r="P1512" s="168"/>
    </row>
    <row r="1513" spans="6:16">
      <c r="F1513" s="166"/>
      <c r="G1513" s="166"/>
      <c r="H1513" s="166"/>
      <c r="I1513" s="166"/>
      <c r="J1513" s="166"/>
      <c r="K1513" s="167"/>
      <c r="L1513" s="167"/>
      <c r="M1513" s="167"/>
      <c r="N1513" s="167"/>
      <c r="P1513" s="168"/>
    </row>
    <row r="1514" spans="6:16">
      <c r="F1514" s="166"/>
      <c r="G1514" s="166"/>
      <c r="H1514" s="166"/>
      <c r="I1514" s="166"/>
      <c r="J1514" s="166"/>
      <c r="K1514" s="167"/>
      <c r="L1514" s="167"/>
      <c r="M1514" s="167"/>
      <c r="N1514" s="167"/>
      <c r="P1514" s="168"/>
    </row>
    <row r="1515" spans="1:16">
      <c r="A1515" s="169"/>
      <c r="F1515" s="166"/>
      <c r="G1515" s="166"/>
      <c r="H1515" s="166"/>
      <c r="I1515" s="166"/>
      <c r="J1515" s="166"/>
      <c r="K1515" s="167"/>
      <c r="L1515" s="167"/>
      <c r="M1515" s="167"/>
      <c r="N1515" s="167"/>
      <c r="P1515" s="168"/>
    </row>
    <row r="1516" spans="1:16">
      <c r="A1516" s="169"/>
      <c r="F1516" s="166"/>
      <c r="G1516" s="166"/>
      <c r="H1516" s="166"/>
      <c r="I1516" s="166"/>
      <c r="J1516" s="166"/>
      <c r="K1516" s="167"/>
      <c r="L1516" s="167"/>
      <c r="M1516" s="167"/>
      <c r="N1516" s="167"/>
      <c r="P1516" s="168"/>
    </row>
    <row r="1517" spans="1:16">
      <c r="A1517" s="169"/>
      <c r="F1517" s="166"/>
      <c r="G1517" s="166"/>
      <c r="H1517" s="166"/>
      <c r="I1517" s="166"/>
      <c r="J1517" s="166"/>
      <c r="K1517" s="167"/>
      <c r="L1517" s="167"/>
      <c r="M1517" s="167"/>
      <c r="N1517" s="167"/>
      <c r="P1517" s="168"/>
    </row>
    <row r="1518" spans="6:16">
      <c r="F1518" s="166"/>
      <c r="G1518" s="166"/>
      <c r="H1518" s="166"/>
      <c r="I1518" s="166"/>
      <c r="J1518" s="166"/>
      <c r="K1518" s="167"/>
      <c r="L1518" s="167"/>
      <c r="M1518" s="167"/>
      <c r="N1518" s="167"/>
      <c r="P1518" s="168"/>
    </row>
    <row r="1519" spans="6:16">
      <c r="F1519" s="166"/>
      <c r="G1519" s="166"/>
      <c r="H1519" s="166"/>
      <c r="I1519" s="166"/>
      <c r="J1519" s="166"/>
      <c r="K1519" s="167"/>
      <c r="L1519" s="167"/>
      <c r="M1519" s="167"/>
      <c r="N1519" s="167"/>
      <c r="P1519" s="168"/>
    </row>
    <row r="1520" spans="6:16">
      <c r="F1520" s="166"/>
      <c r="G1520" s="166"/>
      <c r="H1520" s="166"/>
      <c r="I1520" s="166"/>
      <c r="J1520" s="166"/>
      <c r="K1520" s="167"/>
      <c r="L1520" s="167"/>
      <c r="M1520" s="167"/>
      <c r="N1520" s="167"/>
      <c r="P1520" s="168"/>
    </row>
    <row r="1521" spans="6:16">
      <c r="F1521" s="166"/>
      <c r="G1521" s="166"/>
      <c r="H1521" s="166"/>
      <c r="I1521" s="166"/>
      <c r="J1521" s="166"/>
      <c r="K1521" s="167"/>
      <c r="L1521" s="167"/>
      <c r="M1521" s="167"/>
      <c r="N1521" s="167"/>
      <c r="P1521" s="168"/>
    </row>
    <row r="1522" spans="4:16">
      <c r="D1522" s="170"/>
      <c r="E1522" s="171"/>
      <c r="F1522" s="166"/>
      <c r="G1522" s="166"/>
      <c r="H1522" s="166"/>
      <c r="I1522" s="166"/>
      <c r="J1522" s="166"/>
      <c r="K1522" s="167"/>
      <c r="L1522" s="167"/>
      <c r="M1522" s="167"/>
      <c r="N1522" s="167"/>
      <c r="P1522" s="168"/>
    </row>
    <row r="1523" spans="4:16">
      <c r="D1523" s="170"/>
      <c r="E1523" s="171"/>
      <c r="F1523" s="166"/>
      <c r="G1523" s="166"/>
      <c r="H1523" s="166"/>
      <c r="I1523" s="166"/>
      <c r="J1523" s="166"/>
      <c r="K1523" s="167"/>
      <c r="L1523" s="167"/>
      <c r="M1523" s="167"/>
      <c r="N1523" s="167"/>
      <c r="P1523" s="168"/>
    </row>
    <row r="1524" spans="4:16">
      <c r="D1524" s="170"/>
      <c r="E1524" s="171"/>
      <c r="F1524" s="166"/>
      <c r="G1524" s="166"/>
      <c r="H1524" s="166"/>
      <c r="I1524" s="166"/>
      <c r="J1524" s="166"/>
      <c r="K1524" s="167"/>
      <c r="L1524" s="167"/>
      <c r="M1524" s="167"/>
      <c r="N1524" s="167"/>
      <c r="P1524" s="168"/>
    </row>
    <row r="1525" spans="6:16">
      <c r="F1525" s="166"/>
      <c r="G1525" s="166"/>
      <c r="H1525" s="166"/>
      <c r="I1525" s="166"/>
      <c r="J1525" s="166"/>
      <c r="K1525" s="167"/>
      <c r="L1525" s="167"/>
      <c r="M1525" s="167"/>
      <c r="N1525" s="167"/>
      <c r="P1525" s="168"/>
    </row>
    <row r="1526" spans="6:16">
      <c r="F1526" s="166"/>
      <c r="G1526" s="166"/>
      <c r="H1526" s="166"/>
      <c r="I1526" s="166"/>
      <c r="J1526" s="166"/>
      <c r="K1526" s="167"/>
      <c r="L1526" s="167"/>
      <c r="M1526" s="167"/>
      <c r="N1526" s="167"/>
      <c r="P1526" s="168"/>
    </row>
    <row r="1527" spans="6:16">
      <c r="F1527" s="166"/>
      <c r="G1527" s="166"/>
      <c r="H1527" s="166"/>
      <c r="I1527" s="166"/>
      <c r="J1527" s="166"/>
      <c r="K1527" s="167"/>
      <c r="L1527" s="167"/>
      <c r="M1527" s="167"/>
      <c r="N1527" s="167"/>
      <c r="P1527" s="168"/>
    </row>
    <row r="1528" spans="6:16">
      <c r="F1528" s="166"/>
      <c r="G1528" s="166"/>
      <c r="H1528" s="166"/>
      <c r="I1528" s="166"/>
      <c r="J1528" s="166"/>
      <c r="K1528" s="167"/>
      <c r="L1528" s="167"/>
      <c r="M1528" s="167"/>
      <c r="N1528" s="167"/>
      <c r="P1528" s="168"/>
    </row>
    <row r="1529" spans="6:16">
      <c r="F1529" s="166"/>
      <c r="G1529" s="166"/>
      <c r="H1529" s="166"/>
      <c r="I1529" s="166"/>
      <c r="J1529" s="166"/>
      <c r="K1529" s="167"/>
      <c r="L1529" s="167"/>
      <c r="M1529" s="167"/>
      <c r="N1529" s="167"/>
      <c r="P1529" s="168"/>
    </row>
    <row r="1530" spans="6:16">
      <c r="F1530" s="166"/>
      <c r="G1530" s="166"/>
      <c r="H1530" s="166"/>
      <c r="I1530" s="166"/>
      <c r="J1530" s="166"/>
      <c r="K1530" s="167"/>
      <c r="L1530" s="167"/>
      <c r="M1530" s="167"/>
      <c r="N1530" s="167"/>
      <c r="P1530" s="168"/>
    </row>
    <row r="1531" spans="6:16">
      <c r="F1531" s="166"/>
      <c r="G1531" s="166"/>
      <c r="H1531" s="166"/>
      <c r="I1531" s="166"/>
      <c r="J1531" s="166"/>
      <c r="K1531" s="167"/>
      <c r="L1531" s="167"/>
      <c r="M1531" s="167"/>
      <c r="N1531" s="167"/>
      <c r="P1531" s="168"/>
    </row>
    <row r="1532" spans="6:16">
      <c r="F1532" s="166"/>
      <c r="G1532" s="166"/>
      <c r="H1532" s="166"/>
      <c r="I1532" s="166"/>
      <c r="J1532" s="166"/>
      <c r="K1532" s="167"/>
      <c r="L1532" s="167"/>
      <c r="M1532" s="167"/>
      <c r="N1532" s="167"/>
      <c r="P1532" s="168"/>
    </row>
    <row r="1533" spans="6:16">
      <c r="F1533" s="166"/>
      <c r="G1533" s="166"/>
      <c r="H1533" s="166"/>
      <c r="I1533" s="166"/>
      <c r="J1533" s="166"/>
      <c r="K1533" s="167"/>
      <c r="L1533" s="167"/>
      <c r="M1533" s="167"/>
      <c r="N1533" s="167"/>
      <c r="P1533" s="168"/>
    </row>
    <row r="1534" spans="6:16">
      <c r="F1534" s="166"/>
      <c r="G1534" s="166"/>
      <c r="H1534" s="166"/>
      <c r="I1534" s="166"/>
      <c r="J1534" s="166"/>
      <c r="K1534" s="167"/>
      <c r="L1534" s="167"/>
      <c r="M1534" s="167"/>
      <c r="N1534" s="167"/>
      <c r="P1534" s="168"/>
    </row>
    <row r="1535" spans="6:16">
      <c r="F1535" s="166"/>
      <c r="G1535" s="166"/>
      <c r="H1535" s="166"/>
      <c r="I1535" s="166"/>
      <c r="J1535" s="166"/>
      <c r="K1535" s="167"/>
      <c r="L1535" s="167"/>
      <c r="M1535" s="167"/>
      <c r="N1535" s="167"/>
      <c r="P1535" s="168"/>
    </row>
    <row r="1536" spans="6:16">
      <c r="F1536" s="166"/>
      <c r="G1536" s="166"/>
      <c r="H1536" s="166"/>
      <c r="I1536" s="166"/>
      <c r="J1536" s="166"/>
      <c r="K1536" s="167"/>
      <c r="L1536" s="167"/>
      <c r="M1536" s="167"/>
      <c r="N1536" s="167"/>
      <c r="P1536" s="168"/>
    </row>
    <row r="1537" spans="6:16">
      <c r="F1537" s="166"/>
      <c r="G1537" s="166"/>
      <c r="H1537" s="166"/>
      <c r="I1537" s="166"/>
      <c r="J1537" s="166"/>
      <c r="K1537" s="167"/>
      <c r="L1537" s="167"/>
      <c r="M1537" s="167"/>
      <c r="N1537" s="167"/>
      <c r="P1537" s="168"/>
    </row>
    <row r="1538" spans="6:16">
      <c r="F1538" s="166"/>
      <c r="G1538" s="166"/>
      <c r="H1538" s="166"/>
      <c r="I1538" s="166"/>
      <c r="J1538" s="166"/>
      <c r="K1538" s="167"/>
      <c r="L1538" s="167"/>
      <c r="M1538" s="167"/>
      <c r="N1538" s="167"/>
      <c r="P1538" s="168"/>
    </row>
    <row r="1539" spans="6:16">
      <c r="F1539" s="166"/>
      <c r="G1539" s="166"/>
      <c r="H1539" s="166"/>
      <c r="I1539" s="166"/>
      <c r="J1539" s="166"/>
      <c r="K1539" s="167"/>
      <c r="L1539" s="167"/>
      <c r="M1539" s="167"/>
      <c r="N1539" s="167"/>
      <c r="P1539" s="168"/>
    </row>
    <row r="1540" spans="6:16">
      <c r="F1540" s="166"/>
      <c r="G1540" s="166"/>
      <c r="H1540" s="166"/>
      <c r="I1540" s="166"/>
      <c r="J1540" s="166"/>
      <c r="K1540" s="167"/>
      <c r="L1540" s="167"/>
      <c r="M1540" s="167"/>
      <c r="N1540" s="167"/>
      <c r="P1540" s="168"/>
    </row>
    <row r="1541" spans="6:16">
      <c r="F1541" s="166"/>
      <c r="G1541" s="166"/>
      <c r="H1541" s="166"/>
      <c r="I1541" s="166"/>
      <c r="J1541" s="166"/>
      <c r="K1541" s="167"/>
      <c r="L1541" s="167"/>
      <c r="M1541" s="167"/>
      <c r="N1541" s="167"/>
      <c r="P1541" s="168"/>
    </row>
    <row r="1542" spans="6:16">
      <c r="F1542" s="166"/>
      <c r="G1542" s="166"/>
      <c r="H1542" s="166"/>
      <c r="I1542" s="166"/>
      <c r="J1542" s="166"/>
      <c r="K1542" s="167"/>
      <c r="L1542" s="167"/>
      <c r="M1542" s="167"/>
      <c r="N1542" s="167"/>
      <c r="P1542" s="168"/>
    </row>
    <row r="1543" spans="6:16">
      <c r="F1543" s="166"/>
      <c r="G1543" s="166"/>
      <c r="H1543" s="166"/>
      <c r="I1543" s="166"/>
      <c r="J1543" s="166"/>
      <c r="K1543" s="167"/>
      <c r="L1543" s="167"/>
      <c r="M1543" s="167"/>
      <c r="N1543" s="167"/>
      <c r="P1543" s="168"/>
    </row>
    <row r="1544" spans="6:16">
      <c r="F1544" s="166"/>
      <c r="G1544" s="166"/>
      <c r="H1544" s="166"/>
      <c r="I1544" s="166"/>
      <c r="J1544" s="166"/>
      <c r="K1544" s="167"/>
      <c r="L1544" s="167"/>
      <c r="M1544" s="167"/>
      <c r="N1544" s="167"/>
      <c r="P1544" s="168"/>
    </row>
    <row r="1545" spans="6:16">
      <c r="F1545" s="166"/>
      <c r="G1545" s="166"/>
      <c r="H1545" s="166"/>
      <c r="I1545" s="166"/>
      <c r="J1545" s="166"/>
      <c r="K1545" s="167"/>
      <c r="L1545" s="167"/>
      <c r="M1545" s="167"/>
      <c r="N1545" s="167"/>
      <c r="P1545" s="168"/>
    </row>
    <row r="1546" spans="6:16">
      <c r="F1546" s="166"/>
      <c r="G1546" s="166"/>
      <c r="H1546" s="166"/>
      <c r="I1546" s="166"/>
      <c r="J1546" s="166"/>
      <c r="K1546" s="167"/>
      <c r="L1546" s="167"/>
      <c r="M1546" s="167"/>
      <c r="N1546" s="167"/>
      <c r="P1546" s="168"/>
    </row>
    <row r="1547" spans="6:16">
      <c r="F1547" s="166"/>
      <c r="G1547" s="166"/>
      <c r="H1547" s="166"/>
      <c r="I1547" s="166"/>
      <c r="J1547" s="166"/>
      <c r="K1547" s="167"/>
      <c r="L1547" s="167"/>
      <c r="M1547" s="167"/>
      <c r="N1547" s="167"/>
      <c r="P1547" s="168"/>
    </row>
    <row r="1548" spans="6:16">
      <c r="F1548" s="166"/>
      <c r="G1548" s="166"/>
      <c r="H1548" s="166"/>
      <c r="I1548" s="166"/>
      <c r="J1548" s="166"/>
      <c r="K1548" s="167"/>
      <c r="L1548" s="167"/>
      <c r="M1548" s="167"/>
      <c r="N1548" s="167"/>
      <c r="P1548" s="168"/>
    </row>
    <row r="1549" spans="6:16">
      <c r="F1549" s="166"/>
      <c r="G1549" s="166"/>
      <c r="H1549" s="166"/>
      <c r="I1549" s="166"/>
      <c r="J1549" s="166"/>
      <c r="K1549" s="167"/>
      <c r="L1549" s="167"/>
      <c r="M1549" s="167"/>
      <c r="N1549" s="167"/>
      <c r="P1549" s="168"/>
    </row>
    <row r="1550" spans="6:16">
      <c r="F1550" s="166"/>
      <c r="G1550" s="166"/>
      <c r="H1550" s="166"/>
      <c r="I1550" s="166"/>
      <c r="J1550" s="166"/>
      <c r="K1550" s="167"/>
      <c r="L1550" s="167"/>
      <c r="M1550" s="167"/>
      <c r="N1550" s="167"/>
      <c r="P1550" s="168"/>
    </row>
    <row r="1551" spans="6:16">
      <c r="F1551" s="166"/>
      <c r="G1551" s="166"/>
      <c r="H1551" s="166"/>
      <c r="I1551" s="166"/>
      <c r="J1551" s="166"/>
      <c r="K1551" s="167"/>
      <c r="L1551" s="167"/>
      <c r="M1551" s="167"/>
      <c r="N1551" s="167"/>
      <c r="P1551" s="168"/>
    </row>
    <row r="1552" spans="6:16">
      <c r="F1552" s="166"/>
      <c r="G1552" s="166"/>
      <c r="H1552" s="166"/>
      <c r="I1552" s="166"/>
      <c r="J1552" s="166"/>
      <c r="K1552" s="167"/>
      <c r="L1552" s="167"/>
      <c r="M1552" s="167"/>
      <c r="N1552" s="167"/>
      <c r="P1552" s="168"/>
    </row>
    <row r="1553" spans="6:16">
      <c r="F1553" s="166"/>
      <c r="G1553" s="166"/>
      <c r="H1553" s="166"/>
      <c r="I1553" s="166"/>
      <c r="J1553" s="166"/>
      <c r="K1553" s="167"/>
      <c r="L1553" s="167"/>
      <c r="M1553" s="167"/>
      <c r="N1553" s="167"/>
      <c r="P1553" s="168"/>
    </row>
    <row r="1554" spans="6:16">
      <c r="F1554" s="166"/>
      <c r="G1554" s="166"/>
      <c r="H1554" s="166"/>
      <c r="I1554" s="166"/>
      <c r="J1554" s="166"/>
      <c r="K1554" s="167"/>
      <c r="L1554" s="167"/>
      <c r="M1554" s="167"/>
      <c r="N1554" s="167"/>
      <c r="P1554" s="168"/>
    </row>
    <row r="1555" spans="6:16">
      <c r="F1555" s="166"/>
      <c r="G1555" s="166"/>
      <c r="H1555" s="166"/>
      <c r="I1555" s="166"/>
      <c r="J1555" s="166"/>
      <c r="K1555" s="167"/>
      <c r="L1555" s="167"/>
      <c r="M1555" s="167"/>
      <c r="N1555" s="167"/>
      <c r="P1555" s="168"/>
    </row>
    <row r="1556" spans="6:16">
      <c r="F1556" s="166"/>
      <c r="G1556" s="166"/>
      <c r="H1556" s="166"/>
      <c r="I1556" s="166"/>
      <c r="J1556" s="166"/>
      <c r="K1556" s="167"/>
      <c r="L1556" s="167"/>
      <c r="M1556" s="167"/>
      <c r="N1556" s="167"/>
      <c r="P1556" s="168"/>
    </row>
    <row r="1557" spans="6:16">
      <c r="F1557" s="166"/>
      <c r="G1557" s="166"/>
      <c r="H1557" s="166"/>
      <c r="I1557" s="166"/>
      <c r="J1557" s="166"/>
      <c r="K1557" s="167"/>
      <c r="L1557" s="167"/>
      <c r="M1557" s="167"/>
      <c r="N1557" s="167"/>
      <c r="P1557" s="168"/>
    </row>
    <row r="1558" spans="6:16">
      <c r="F1558" s="166"/>
      <c r="G1558" s="166"/>
      <c r="H1558" s="166"/>
      <c r="I1558" s="166"/>
      <c r="J1558" s="166"/>
      <c r="K1558" s="167"/>
      <c r="L1558" s="167"/>
      <c r="M1558" s="167"/>
      <c r="N1558" s="167"/>
      <c r="P1558" s="168"/>
    </row>
    <row r="1559" spans="6:16">
      <c r="F1559" s="166"/>
      <c r="G1559" s="166"/>
      <c r="H1559" s="166"/>
      <c r="I1559" s="166"/>
      <c r="J1559" s="166"/>
      <c r="K1559" s="167"/>
      <c r="L1559" s="167"/>
      <c r="M1559" s="167"/>
      <c r="N1559" s="167"/>
      <c r="P1559" s="168"/>
    </row>
    <row r="1560" spans="6:16">
      <c r="F1560" s="166"/>
      <c r="G1560" s="166"/>
      <c r="H1560" s="166"/>
      <c r="I1560" s="166"/>
      <c r="J1560" s="166"/>
      <c r="K1560" s="167"/>
      <c r="L1560" s="167"/>
      <c r="M1560" s="167"/>
      <c r="N1560" s="167"/>
      <c r="P1560" s="168"/>
    </row>
    <row r="1561" spans="6:16">
      <c r="F1561" s="166"/>
      <c r="G1561" s="166"/>
      <c r="H1561" s="166"/>
      <c r="I1561" s="166"/>
      <c r="J1561" s="166"/>
      <c r="K1561" s="167"/>
      <c r="L1561" s="167"/>
      <c r="M1561" s="167"/>
      <c r="N1561" s="167"/>
      <c r="P1561" s="168"/>
    </row>
    <row r="1562" spans="6:16">
      <c r="F1562" s="166"/>
      <c r="G1562" s="166"/>
      <c r="H1562" s="166"/>
      <c r="I1562" s="166"/>
      <c r="J1562" s="166"/>
      <c r="K1562" s="167"/>
      <c r="L1562" s="167"/>
      <c r="M1562" s="167"/>
      <c r="N1562" s="167"/>
      <c r="P1562" s="168"/>
    </row>
    <row r="1563" spans="6:16">
      <c r="F1563" s="166"/>
      <c r="G1563" s="166"/>
      <c r="H1563" s="166"/>
      <c r="I1563" s="166"/>
      <c r="J1563" s="166"/>
      <c r="K1563" s="167"/>
      <c r="L1563" s="167"/>
      <c r="M1563" s="167"/>
      <c r="N1563" s="167"/>
      <c r="P1563" s="168"/>
    </row>
    <row r="1564" spans="6:16">
      <c r="F1564" s="166"/>
      <c r="G1564" s="166"/>
      <c r="H1564" s="166"/>
      <c r="I1564" s="166"/>
      <c r="J1564" s="166"/>
      <c r="K1564" s="167"/>
      <c r="L1564" s="167"/>
      <c r="M1564" s="167"/>
      <c r="N1564" s="167"/>
      <c r="P1564" s="168"/>
    </row>
    <row r="1565" spans="6:16">
      <c r="F1565" s="166"/>
      <c r="G1565" s="166"/>
      <c r="H1565" s="166"/>
      <c r="I1565" s="166"/>
      <c r="J1565" s="166"/>
      <c r="K1565" s="167"/>
      <c r="L1565" s="167"/>
      <c r="M1565" s="167"/>
      <c r="N1565" s="167"/>
      <c r="P1565" s="168"/>
    </row>
    <row r="1566" spans="6:16">
      <c r="F1566" s="166"/>
      <c r="G1566" s="166"/>
      <c r="H1566" s="166"/>
      <c r="I1566" s="166"/>
      <c r="J1566" s="166"/>
      <c r="K1566" s="167"/>
      <c r="L1566" s="167"/>
      <c r="M1566" s="167"/>
      <c r="N1566" s="167"/>
      <c r="P1566" s="168"/>
    </row>
    <row r="1567" spans="6:16">
      <c r="F1567" s="166"/>
      <c r="G1567" s="166"/>
      <c r="H1567" s="166"/>
      <c r="I1567" s="166"/>
      <c r="J1567" s="166"/>
      <c r="K1567" s="167"/>
      <c r="L1567" s="167"/>
      <c r="M1567" s="167"/>
      <c r="N1567" s="167"/>
      <c r="P1567" s="168"/>
    </row>
    <row r="1568" spans="6:16">
      <c r="F1568" s="166"/>
      <c r="G1568" s="166"/>
      <c r="H1568" s="166"/>
      <c r="I1568" s="166"/>
      <c r="J1568" s="166"/>
      <c r="K1568" s="167"/>
      <c r="L1568" s="167"/>
      <c r="M1568" s="167"/>
      <c r="N1568" s="167"/>
      <c r="P1568" s="168"/>
    </row>
    <row r="1569" spans="6:16">
      <c r="F1569" s="166"/>
      <c r="G1569" s="166"/>
      <c r="H1569" s="166"/>
      <c r="I1569" s="166"/>
      <c r="J1569" s="166"/>
      <c r="K1569" s="167"/>
      <c r="L1569" s="167"/>
      <c r="M1569" s="167"/>
      <c r="N1569" s="167"/>
      <c r="P1569" s="168"/>
    </row>
    <row r="1570" spans="6:16">
      <c r="F1570" s="166"/>
      <c r="G1570" s="166"/>
      <c r="H1570" s="166"/>
      <c r="I1570" s="166"/>
      <c r="J1570" s="166"/>
      <c r="K1570" s="167"/>
      <c r="L1570" s="167"/>
      <c r="M1570" s="167"/>
      <c r="N1570" s="167"/>
      <c r="P1570" s="168"/>
    </row>
    <row r="1571" spans="6:16">
      <c r="F1571" s="166"/>
      <c r="G1571" s="166"/>
      <c r="H1571" s="166"/>
      <c r="I1571" s="166"/>
      <c r="J1571" s="166"/>
      <c r="K1571" s="167"/>
      <c r="L1571" s="167"/>
      <c r="M1571" s="167"/>
      <c r="N1571" s="167"/>
      <c r="P1571" s="168"/>
    </row>
    <row r="1572" spans="6:16">
      <c r="F1572" s="166"/>
      <c r="G1572" s="166"/>
      <c r="H1572" s="166"/>
      <c r="I1572" s="166"/>
      <c r="J1572" s="166"/>
      <c r="K1572" s="167"/>
      <c r="L1572" s="167"/>
      <c r="M1572" s="167"/>
      <c r="N1572" s="167"/>
      <c r="P1572" s="168"/>
    </row>
    <row r="1573" spans="6:16">
      <c r="F1573" s="166"/>
      <c r="G1573" s="166"/>
      <c r="H1573" s="166"/>
      <c r="I1573" s="166"/>
      <c r="J1573" s="166"/>
      <c r="K1573" s="167"/>
      <c r="L1573" s="167"/>
      <c r="M1573" s="167"/>
      <c r="N1573" s="167"/>
      <c r="P1573" s="168"/>
    </row>
    <row r="1574" spans="6:16">
      <c r="F1574" s="166"/>
      <c r="G1574" s="166"/>
      <c r="H1574" s="166"/>
      <c r="I1574" s="166"/>
      <c r="J1574" s="166"/>
      <c r="K1574" s="167"/>
      <c r="L1574" s="167"/>
      <c r="M1574" s="167"/>
      <c r="N1574" s="167"/>
      <c r="P1574" s="168"/>
    </row>
    <row r="1575" spans="6:16">
      <c r="F1575" s="166"/>
      <c r="G1575" s="166"/>
      <c r="H1575" s="166"/>
      <c r="I1575" s="166"/>
      <c r="J1575" s="166"/>
      <c r="K1575" s="167"/>
      <c r="L1575" s="167"/>
      <c r="M1575" s="167"/>
      <c r="N1575" s="167"/>
      <c r="P1575" s="168"/>
    </row>
    <row r="1576" spans="6:16">
      <c r="F1576" s="166"/>
      <c r="G1576" s="166"/>
      <c r="H1576" s="166"/>
      <c r="I1576" s="166"/>
      <c r="J1576" s="166"/>
      <c r="K1576" s="167"/>
      <c r="L1576" s="167"/>
      <c r="M1576" s="167"/>
      <c r="N1576" s="167"/>
      <c r="P1576" s="168"/>
    </row>
    <row r="1577" spans="6:16">
      <c r="F1577" s="166"/>
      <c r="G1577" s="166"/>
      <c r="H1577" s="166"/>
      <c r="I1577" s="166"/>
      <c r="J1577" s="166"/>
      <c r="K1577" s="167"/>
      <c r="L1577" s="167"/>
      <c r="M1577" s="167"/>
      <c r="N1577" s="167"/>
      <c r="P1577" s="168"/>
    </row>
    <row r="1578" spans="6:16">
      <c r="F1578" s="166"/>
      <c r="G1578" s="166"/>
      <c r="H1578" s="166"/>
      <c r="I1578" s="166"/>
      <c r="J1578" s="166"/>
      <c r="K1578" s="167"/>
      <c r="L1578" s="167"/>
      <c r="M1578" s="167"/>
      <c r="N1578" s="167"/>
      <c r="P1578" s="168"/>
    </row>
    <row r="1579" spans="6:16">
      <c r="F1579" s="166"/>
      <c r="G1579" s="166"/>
      <c r="H1579" s="166"/>
      <c r="I1579" s="166"/>
      <c r="J1579" s="166"/>
      <c r="K1579" s="167"/>
      <c r="L1579" s="167"/>
      <c r="M1579" s="167"/>
      <c r="N1579" s="167"/>
      <c r="P1579" s="168"/>
    </row>
    <row r="1580" spans="6:16">
      <c r="F1580" s="166"/>
      <c r="G1580" s="166"/>
      <c r="H1580" s="166"/>
      <c r="I1580" s="166"/>
      <c r="J1580" s="166"/>
      <c r="K1580" s="167"/>
      <c r="L1580" s="167"/>
      <c r="M1580" s="167"/>
      <c r="N1580" s="167"/>
      <c r="P1580" s="168"/>
    </row>
    <row r="1581" spans="6:16">
      <c r="F1581" s="166"/>
      <c r="G1581" s="166"/>
      <c r="H1581" s="166"/>
      <c r="I1581" s="166"/>
      <c r="J1581" s="166"/>
      <c r="K1581" s="167"/>
      <c r="L1581" s="167"/>
      <c r="M1581" s="167"/>
      <c r="N1581" s="167"/>
      <c r="P1581" s="168"/>
    </row>
    <row r="1582" spans="6:16">
      <c r="F1582" s="166"/>
      <c r="G1582" s="166"/>
      <c r="H1582" s="166"/>
      <c r="I1582" s="166"/>
      <c r="J1582" s="166"/>
      <c r="K1582" s="167"/>
      <c r="L1582" s="167"/>
      <c r="M1582" s="167"/>
      <c r="N1582" s="167"/>
      <c r="P1582" s="168"/>
    </row>
    <row r="1583" spans="6:16">
      <c r="F1583" s="166"/>
      <c r="G1583" s="166"/>
      <c r="H1583" s="166"/>
      <c r="I1583" s="166"/>
      <c r="J1583" s="166"/>
      <c r="K1583" s="167"/>
      <c r="L1583" s="167"/>
      <c r="M1583" s="167"/>
      <c r="N1583" s="167"/>
      <c r="P1583" s="168"/>
    </row>
    <row r="1584" spans="6:16">
      <c r="F1584" s="166"/>
      <c r="G1584" s="166"/>
      <c r="H1584" s="166"/>
      <c r="I1584" s="166"/>
      <c r="J1584" s="166"/>
      <c r="K1584" s="167"/>
      <c r="L1584" s="167"/>
      <c r="M1584" s="167"/>
      <c r="N1584" s="167"/>
      <c r="P1584" s="168"/>
    </row>
    <row r="1585" spans="6:16">
      <c r="F1585" s="166"/>
      <c r="G1585" s="166"/>
      <c r="H1585" s="166"/>
      <c r="I1585" s="166"/>
      <c r="J1585" s="166"/>
      <c r="K1585" s="167"/>
      <c r="L1585" s="167"/>
      <c r="M1585" s="167"/>
      <c r="N1585" s="167"/>
      <c r="P1585" s="168"/>
    </row>
    <row r="1586" spans="6:16">
      <c r="F1586" s="166"/>
      <c r="G1586" s="166"/>
      <c r="H1586" s="166"/>
      <c r="I1586" s="166"/>
      <c r="J1586" s="166"/>
      <c r="K1586" s="167"/>
      <c r="L1586" s="167"/>
      <c r="M1586" s="167"/>
      <c r="N1586" s="167"/>
      <c r="P1586" s="168"/>
    </row>
    <row r="1587" spans="6:16">
      <c r="F1587" s="166"/>
      <c r="G1587" s="166"/>
      <c r="H1587" s="166"/>
      <c r="I1587" s="166"/>
      <c r="J1587" s="166"/>
      <c r="K1587" s="167"/>
      <c r="L1587" s="167"/>
      <c r="M1587" s="167"/>
      <c r="N1587" s="167"/>
      <c r="P1587" s="168"/>
    </row>
    <row r="1588" spans="6:16">
      <c r="F1588" s="166"/>
      <c r="G1588" s="166"/>
      <c r="H1588" s="166"/>
      <c r="I1588" s="166"/>
      <c r="J1588" s="166"/>
      <c r="K1588" s="167"/>
      <c r="L1588" s="167"/>
      <c r="M1588" s="167"/>
      <c r="N1588" s="167"/>
      <c r="P1588" s="168"/>
    </row>
    <row r="1589" spans="6:16">
      <c r="F1589" s="166"/>
      <c r="G1589" s="166"/>
      <c r="H1589" s="166"/>
      <c r="I1589" s="166"/>
      <c r="J1589" s="166"/>
      <c r="K1589" s="167"/>
      <c r="L1589" s="167"/>
      <c r="M1589" s="167"/>
      <c r="N1589" s="167"/>
      <c r="P1589" s="168"/>
    </row>
    <row r="1590" spans="6:16">
      <c r="F1590" s="166"/>
      <c r="G1590" s="166"/>
      <c r="H1590" s="166"/>
      <c r="I1590" s="166"/>
      <c r="J1590" s="166"/>
      <c r="K1590" s="167"/>
      <c r="L1590" s="167"/>
      <c r="M1590" s="167"/>
      <c r="N1590" s="167"/>
      <c r="P1590" s="168"/>
    </row>
    <row r="1591" spans="6:16">
      <c r="F1591" s="166"/>
      <c r="G1591" s="166"/>
      <c r="H1591" s="166"/>
      <c r="I1591" s="166"/>
      <c r="J1591" s="166"/>
      <c r="K1591" s="167"/>
      <c r="L1591" s="167"/>
      <c r="M1591" s="167"/>
      <c r="N1591" s="167"/>
      <c r="P1591" s="168"/>
    </row>
    <row r="1592" spans="6:16">
      <c r="F1592" s="166"/>
      <c r="G1592" s="166"/>
      <c r="H1592" s="166"/>
      <c r="I1592" s="166"/>
      <c r="J1592" s="166"/>
      <c r="K1592" s="167"/>
      <c r="L1592" s="167"/>
      <c r="M1592" s="167"/>
      <c r="N1592" s="167"/>
      <c r="P1592" s="168"/>
    </row>
    <row r="1593" spans="6:16">
      <c r="F1593" s="166"/>
      <c r="G1593" s="166"/>
      <c r="H1593" s="166"/>
      <c r="I1593" s="166"/>
      <c r="J1593" s="166"/>
      <c r="K1593" s="167"/>
      <c r="L1593" s="167"/>
      <c r="M1593" s="167"/>
      <c r="N1593" s="167"/>
      <c r="P1593" s="168"/>
    </row>
    <row r="1594" spans="6:16">
      <c r="F1594" s="166"/>
      <c r="G1594" s="166"/>
      <c r="H1594" s="166"/>
      <c r="I1594" s="166"/>
      <c r="J1594" s="166"/>
      <c r="K1594" s="167"/>
      <c r="L1594" s="167"/>
      <c r="M1594" s="167"/>
      <c r="N1594" s="167"/>
      <c r="P1594" s="168"/>
    </row>
    <row r="1595" spans="6:16">
      <c r="F1595" s="166"/>
      <c r="G1595" s="166"/>
      <c r="H1595" s="166"/>
      <c r="I1595" s="166"/>
      <c r="J1595" s="166"/>
      <c r="K1595" s="167"/>
      <c r="L1595" s="167"/>
      <c r="M1595" s="167"/>
      <c r="N1595" s="167"/>
      <c r="P1595" s="168"/>
    </row>
    <row r="1596" spans="6:16">
      <c r="F1596" s="166"/>
      <c r="G1596" s="166"/>
      <c r="H1596" s="166"/>
      <c r="I1596" s="166"/>
      <c r="J1596" s="166"/>
      <c r="K1596" s="167"/>
      <c r="L1596" s="167"/>
      <c r="M1596" s="167"/>
      <c r="N1596" s="167"/>
      <c r="P1596" s="168"/>
    </row>
    <row r="1597" spans="6:16">
      <c r="F1597" s="166"/>
      <c r="G1597" s="166"/>
      <c r="H1597" s="166"/>
      <c r="I1597" s="166"/>
      <c r="J1597" s="166"/>
      <c r="K1597" s="167"/>
      <c r="L1597" s="167"/>
      <c r="M1597" s="167"/>
      <c r="N1597" s="167"/>
      <c r="P1597" s="168"/>
    </row>
    <row r="1598" spans="6:16">
      <c r="F1598" s="166"/>
      <c r="G1598" s="166"/>
      <c r="H1598" s="166"/>
      <c r="I1598" s="166"/>
      <c r="J1598" s="166"/>
      <c r="K1598" s="167"/>
      <c r="L1598" s="167"/>
      <c r="M1598" s="167"/>
      <c r="N1598" s="167"/>
      <c r="P1598" s="168"/>
    </row>
    <row r="1599" spans="6:16">
      <c r="F1599" s="166"/>
      <c r="G1599" s="166"/>
      <c r="H1599" s="166"/>
      <c r="I1599" s="166"/>
      <c r="J1599" s="166"/>
      <c r="K1599" s="167"/>
      <c r="L1599" s="167"/>
      <c r="M1599" s="167"/>
      <c r="N1599" s="167"/>
      <c r="P1599" s="168"/>
    </row>
    <row r="1600" spans="6:16">
      <c r="F1600" s="166"/>
      <c r="G1600" s="166"/>
      <c r="H1600" s="166"/>
      <c r="I1600" s="166"/>
      <c r="J1600" s="166"/>
      <c r="K1600" s="167"/>
      <c r="L1600" s="167"/>
      <c r="M1600" s="167"/>
      <c r="N1600" s="167"/>
      <c r="P1600" s="168"/>
    </row>
    <row r="1601" spans="6:16">
      <c r="F1601" s="166"/>
      <c r="G1601" s="166"/>
      <c r="H1601" s="166"/>
      <c r="I1601" s="166"/>
      <c r="J1601" s="166"/>
      <c r="K1601" s="167"/>
      <c r="L1601" s="167"/>
      <c r="M1601" s="167"/>
      <c r="N1601" s="167"/>
      <c r="P1601" s="168"/>
    </row>
    <row r="1602" spans="6:16">
      <c r="F1602" s="166"/>
      <c r="G1602" s="166"/>
      <c r="H1602" s="166"/>
      <c r="I1602" s="166"/>
      <c r="J1602" s="166"/>
      <c r="K1602" s="167"/>
      <c r="L1602" s="167"/>
      <c r="M1602" s="167"/>
      <c r="N1602" s="167"/>
      <c r="P1602" s="168"/>
    </row>
    <row r="1603" spans="6:16">
      <c r="F1603" s="166"/>
      <c r="G1603" s="166"/>
      <c r="H1603" s="166"/>
      <c r="I1603" s="166"/>
      <c r="J1603" s="166"/>
      <c r="K1603" s="167"/>
      <c r="L1603" s="167"/>
      <c r="M1603" s="167"/>
      <c r="N1603" s="167"/>
      <c r="P1603" s="168"/>
    </row>
    <row r="1604" spans="6:16">
      <c r="F1604" s="166"/>
      <c r="G1604" s="166"/>
      <c r="H1604" s="166"/>
      <c r="I1604" s="166"/>
      <c r="J1604" s="166"/>
      <c r="K1604" s="167"/>
      <c r="L1604" s="167"/>
      <c r="M1604" s="167"/>
      <c r="N1604" s="167"/>
      <c r="P1604" s="168"/>
    </row>
    <row r="1605" spans="6:16">
      <c r="F1605" s="166"/>
      <c r="G1605" s="166"/>
      <c r="H1605" s="166"/>
      <c r="I1605" s="166"/>
      <c r="J1605" s="166"/>
      <c r="K1605" s="167"/>
      <c r="L1605" s="167"/>
      <c r="M1605" s="167"/>
      <c r="N1605" s="167"/>
      <c r="P1605" s="168"/>
    </row>
    <row r="1606" spans="6:16">
      <c r="F1606" s="166"/>
      <c r="G1606" s="166"/>
      <c r="H1606" s="166"/>
      <c r="I1606" s="166"/>
      <c r="J1606" s="166"/>
      <c r="K1606" s="167"/>
      <c r="L1606" s="167"/>
      <c r="M1606" s="167"/>
      <c r="N1606" s="167"/>
      <c r="P1606" s="168"/>
    </row>
    <row r="1607" spans="6:16">
      <c r="F1607" s="166"/>
      <c r="G1607" s="166"/>
      <c r="H1607" s="166"/>
      <c r="I1607" s="166"/>
      <c r="J1607" s="166"/>
      <c r="K1607" s="167"/>
      <c r="L1607" s="167"/>
      <c r="M1607" s="167"/>
      <c r="N1607" s="167"/>
      <c r="P1607" s="168"/>
    </row>
    <row r="1608" spans="6:16">
      <c r="F1608" s="166"/>
      <c r="G1608" s="166"/>
      <c r="H1608" s="166"/>
      <c r="I1608" s="166"/>
      <c r="J1608" s="166"/>
      <c r="K1608" s="167"/>
      <c r="L1608" s="167"/>
      <c r="M1608" s="167"/>
      <c r="N1608" s="167"/>
      <c r="P1608" s="168"/>
    </row>
    <row r="1609" spans="6:16">
      <c r="F1609" s="166"/>
      <c r="G1609" s="166"/>
      <c r="H1609" s="166"/>
      <c r="I1609" s="166"/>
      <c r="J1609" s="166"/>
      <c r="K1609" s="167"/>
      <c r="L1609" s="167"/>
      <c r="M1609" s="167"/>
      <c r="N1609" s="167"/>
      <c r="P1609" s="168"/>
    </row>
    <row r="1610" spans="6:16">
      <c r="F1610" s="166"/>
      <c r="G1610" s="166"/>
      <c r="H1610" s="166"/>
      <c r="I1610" s="166"/>
      <c r="J1610" s="166"/>
      <c r="K1610" s="167"/>
      <c r="L1610" s="167"/>
      <c r="M1610" s="167"/>
      <c r="N1610" s="167"/>
      <c r="P1610" s="168"/>
    </row>
    <row r="1611" spans="6:16">
      <c r="F1611" s="166"/>
      <c r="G1611" s="166"/>
      <c r="H1611" s="166"/>
      <c r="I1611" s="166"/>
      <c r="J1611" s="166"/>
      <c r="K1611" s="167"/>
      <c r="L1611" s="167"/>
      <c r="M1611" s="167"/>
      <c r="N1611" s="167"/>
      <c r="P1611" s="168"/>
    </row>
    <row r="1612" spans="6:16">
      <c r="F1612" s="166"/>
      <c r="G1612" s="166"/>
      <c r="H1612" s="166"/>
      <c r="I1612" s="166"/>
      <c r="J1612" s="166"/>
      <c r="K1612" s="167"/>
      <c r="L1612" s="167"/>
      <c r="M1612" s="167"/>
      <c r="N1612" s="167"/>
      <c r="P1612" s="168"/>
    </row>
    <row r="1613" spans="6:16">
      <c r="F1613" s="166"/>
      <c r="G1613" s="166"/>
      <c r="H1613" s="166"/>
      <c r="I1613" s="166"/>
      <c r="J1613" s="166"/>
      <c r="K1613" s="167"/>
      <c r="L1613" s="167"/>
      <c r="M1613" s="167"/>
      <c r="N1613" s="167"/>
      <c r="P1613" s="168"/>
    </row>
    <row r="1614" spans="1:16">
      <c r="A1614" s="169"/>
      <c r="F1614" s="166"/>
      <c r="G1614" s="166"/>
      <c r="H1614" s="166"/>
      <c r="I1614" s="166"/>
      <c r="J1614" s="166"/>
      <c r="K1614" s="167"/>
      <c r="L1614" s="167"/>
      <c r="M1614" s="167"/>
      <c r="N1614" s="167"/>
      <c r="P1614" s="168"/>
    </row>
    <row r="1615" spans="1:16">
      <c r="A1615" s="169"/>
      <c r="F1615" s="166"/>
      <c r="G1615" s="166"/>
      <c r="H1615" s="166"/>
      <c r="I1615" s="166"/>
      <c r="J1615" s="166"/>
      <c r="K1615" s="167"/>
      <c r="L1615" s="167"/>
      <c r="M1615" s="167"/>
      <c r="N1615" s="167"/>
      <c r="P1615" s="168"/>
    </row>
    <row r="1616" spans="1:16">
      <c r="A1616" s="169"/>
      <c r="F1616" s="166"/>
      <c r="G1616" s="166"/>
      <c r="H1616" s="166"/>
      <c r="I1616" s="166"/>
      <c r="J1616" s="166"/>
      <c r="K1616" s="167"/>
      <c r="L1616" s="167"/>
      <c r="M1616" s="167"/>
      <c r="N1616" s="167"/>
      <c r="P1616" s="168"/>
    </row>
    <row r="1617" spans="6:14">
      <c r="F1617" s="166"/>
      <c r="G1617" s="166"/>
      <c r="H1617" s="166"/>
      <c r="I1617" s="166"/>
      <c r="J1617" s="166"/>
      <c r="K1617" s="167"/>
      <c r="L1617" s="167"/>
      <c r="M1617" s="167"/>
      <c r="N1617" s="167"/>
    </row>
    <row r="1618" spans="6:14">
      <c r="F1618" s="166"/>
      <c r="G1618" s="166"/>
      <c r="H1618" s="166"/>
      <c r="I1618" s="166"/>
      <c r="J1618" s="166"/>
      <c r="K1618" s="167"/>
      <c r="L1618" s="167"/>
      <c r="M1618" s="167"/>
      <c r="N1618" s="167"/>
    </row>
    <row r="1619" spans="6:14">
      <c r="F1619" s="166"/>
      <c r="G1619" s="166"/>
      <c r="H1619" s="166"/>
      <c r="I1619" s="166"/>
      <c r="J1619" s="166"/>
      <c r="K1619" s="167"/>
      <c r="L1619" s="167"/>
      <c r="M1619" s="167"/>
      <c r="N1619" s="167"/>
    </row>
    <row r="1620" spans="6:14">
      <c r="F1620" s="166"/>
      <c r="G1620" s="166"/>
      <c r="H1620" s="166"/>
      <c r="I1620" s="166"/>
      <c r="J1620" s="166"/>
      <c r="K1620" s="167"/>
      <c r="L1620" s="167"/>
      <c r="M1620" s="167"/>
      <c r="N1620" s="167"/>
    </row>
    <row r="1621" spans="4:14">
      <c r="D1621" s="170"/>
      <c r="E1621" s="171"/>
      <c r="F1621" s="166"/>
      <c r="G1621" s="166"/>
      <c r="H1621" s="166"/>
      <c r="I1621" s="166"/>
      <c r="J1621" s="166"/>
      <c r="K1621" s="167"/>
      <c r="L1621" s="167"/>
      <c r="M1621" s="167"/>
      <c r="N1621" s="167"/>
    </row>
    <row r="1622" spans="4:14">
      <c r="D1622" s="170"/>
      <c r="E1622" s="171"/>
      <c r="F1622" s="166"/>
      <c r="G1622" s="166"/>
      <c r="H1622" s="166"/>
      <c r="I1622" s="166"/>
      <c r="J1622" s="166"/>
      <c r="K1622" s="167"/>
      <c r="L1622" s="167"/>
      <c r="M1622" s="167"/>
      <c r="N1622" s="167"/>
    </row>
    <row r="1623" spans="4:14">
      <c r="D1623" s="170"/>
      <c r="E1623" s="171"/>
      <c r="F1623" s="166"/>
      <c r="G1623" s="166"/>
      <c r="H1623" s="166"/>
      <c r="I1623" s="166"/>
      <c r="J1623" s="166"/>
      <c r="K1623" s="167"/>
      <c r="L1623" s="167"/>
      <c r="M1623" s="167"/>
      <c r="N1623" s="167"/>
    </row>
    <row r="1624" spans="6:14">
      <c r="F1624" s="166"/>
      <c r="G1624" s="166"/>
      <c r="H1624" s="166"/>
      <c r="I1624" s="166"/>
      <c r="J1624" s="166"/>
      <c r="K1624" s="167"/>
      <c r="L1624" s="167"/>
      <c r="M1624" s="167"/>
      <c r="N1624" s="167"/>
    </row>
    <row r="1625" spans="6:14">
      <c r="F1625" s="166"/>
      <c r="G1625" s="166"/>
      <c r="H1625" s="166"/>
      <c r="I1625" s="166"/>
      <c r="J1625" s="166"/>
      <c r="K1625" s="167"/>
      <c r="L1625" s="167"/>
      <c r="M1625" s="167"/>
      <c r="N1625" s="167"/>
    </row>
    <row r="1626" spans="6:14">
      <c r="F1626" s="166"/>
      <c r="G1626" s="166"/>
      <c r="H1626" s="166"/>
      <c r="I1626" s="166"/>
      <c r="J1626" s="166"/>
      <c r="K1626" s="167"/>
      <c r="L1626" s="167"/>
      <c r="M1626" s="167"/>
      <c r="N1626" s="167"/>
    </row>
    <row r="1627" spans="6:14">
      <c r="F1627" s="166"/>
      <c r="G1627" s="166"/>
      <c r="H1627" s="166"/>
      <c r="I1627" s="166"/>
      <c r="J1627" s="166"/>
      <c r="K1627" s="167"/>
      <c r="L1627" s="167"/>
      <c r="M1627" s="167"/>
      <c r="N1627" s="167"/>
    </row>
    <row r="1628" spans="6:14">
      <c r="F1628" s="166"/>
      <c r="G1628" s="166"/>
      <c r="H1628" s="166"/>
      <c r="I1628" s="166"/>
      <c r="J1628" s="166"/>
      <c r="K1628" s="167"/>
      <c r="L1628" s="167"/>
      <c r="M1628" s="167"/>
      <c r="N1628" s="167"/>
    </row>
    <row r="1629" spans="6:14">
      <c r="F1629" s="166"/>
      <c r="G1629" s="166"/>
      <c r="H1629" s="166"/>
      <c r="I1629" s="166"/>
      <c r="J1629" s="166"/>
      <c r="K1629" s="167"/>
      <c r="L1629" s="167"/>
      <c r="M1629" s="167"/>
      <c r="N1629" s="167"/>
    </row>
    <row r="1630" spans="6:14">
      <c r="F1630" s="166"/>
      <c r="G1630" s="166"/>
      <c r="H1630" s="166"/>
      <c r="I1630" s="166"/>
      <c r="J1630" s="166"/>
      <c r="K1630" s="167"/>
      <c r="L1630" s="167"/>
      <c r="M1630" s="167"/>
      <c r="N1630" s="167"/>
    </row>
    <row r="1631" spans="6:14">
      <c r="F1631" s="166"/>
      <c r="G1631" s="166"/>
      <c r="H1631" s="166"/>
      <c r="I1631" s="166"/>
      <c r="J1631" s="166"/>
      <c r="K1631" s="167"/>
      <c r="L1631" s="167"/>
      <c r="M1631" s="167"/>
      <c r="N1631" s="167"/>
    </row>
    <row r="1632" spans="6:14">
      <c r="F1632" s="166"/>
      <c r="G1632" s="166"/>
      <c r="H1632" s="166"/>
      <c r="I1632" s="166"/>
      <c r="J1632" s="166"/>
      <c r="K1632" s="167"/>
      <c r="L1632" s="167"/>
      <c r="M1632" s="167"/>
      <c r="N1632" s="167"/>
    </row>
    <row r="1633" spans="6:14">
      <c r="F1633" s="166"/>
      <c r="G1633" s="166"/>
      <c r="H1633" s="166"/>
      <c r="I1633" s="166"/>
      <c r="J1633" s="166"/>
      <c r="K1633" s="167"/>
      <c r="L1633" s="167"/>
      <c r="M1633" s="167"/>
      <c r="N1633" s="167"/>
    </row>
    <row r="1634" spans="6:14">
      <c r="F1634" s="166"/>
      <c r="G1634" s="166"/>
      <c r="H1634" s="166"/>
      <c r="I1634" s="166"/>
      <c r="J1634" s="166"/>
      <c r="K1634" s="167"/>
      <c r="L1634" s="167"/>
      <c r="M1634" s="167"/>
      <c r="N1634" s="167"/>
    </row>
    <row r="1635" spans="6:14">
      <c r="F1635" s="166"/>
      <c r="G1635" s="166"/>
      <c r="H1635" s="166"/>
      <c r="I1635" s="166"/>
      <c r="J1635" s="166"/>
      <c r="K1635" s="167"/>
      <c r="L1635" s="167"/>
      <c r="M1635" s="167"/>
      <c r="N1635" s="167"/>
    </row>
    <row r="1636" spans="6:14">
      <c r="F1636" s="166"/>
      <c r="G1636" s="166"/>
      <c r="H1636" s="166"/>
      <c r="I1636" s="166"/>
      <c r="J1636" s="166"/>
      <c r="K1636" s="167"/>
      <c r="L1636" s="167"/>
      <c r="M1636" s="167"/>
      <c r="N1636" s="167"/>
    </row>
    <row r="1637" spans="6:14">
      <c r="F1637" s="166"/>
      <c r="G1637" s="166"/>
      <c r="H1637" s="166"/>
      <c r="I1637" s="166"/>
      <c r="J1637" s="166"/>
      <c r="K1637" s="167"/>
      <c r="L1637" s="167"/>
      <c r="M1637" s="167"/>
      <c r="N1637" s="167"/>
    </row>
    <row r="1638" spans="6:14">
      <c r="F1638" s="166"/>
      <c r="G1638" s="166"/>
      <c r="H1638" s="166"/>
      <c r="I1638" s="166"/>
      <c r="J1638" s="166"/>
      <c r="K1638" s="167"/>
      <c r="L1638" s="167"/>
      <c r="M1638" s="167"/>
      <c r="N1638" s="167"/>
    </row>
    <row r="1639" spans="6:14">
      <c r="F1639" s="166"/>
      <c r="G1639" s="166"/>
      <c r="H1639" s="166"/>
      <c r="I1639" s="166"/>
      <c r="J1639" s="166"/>
      <c r="K1639" s="167"/>
      <c r="L1639" s="167"/>
      <c r="M1639" s="167"/>
      <c r="N1639" s="167"/>
    </row>
    <row r="1640" spans="6:14">
      <c r="F1640" s="166"/>
      <c r="G1640" s="166"/>
      <c r="H1640" s="166"/>
      <c r="I1640" s="166"/>
      <c r="J1640" s="166"/>
      <c r="K1640" s="167"/>
      <c r="L1640" s="167"/>
      <c r="M1640" s="167"/>
      <c r="N1640" s="167"/>
    </row>
    <row r="1641" spans="6:14">
      <c r="F1641" s="166"/>
      <c r="G1641" s="166"/>
      <c r="H1641" s="166"/>
      <c r="I1641" s="166"/>
      <c r="J1641" s="166"/>
      <c r="K1641" s="167"/>
      <c r="L1641" s="167"/>
      <c r="M1641" s="167"/>
      <c r="N1641" s="167"/>
    </row>
    <row r="1642" spans="6:14">
      <c r="F1642" s="166"/>
      <c r="G1642" s="166"/>
      <c r="H1642" s="166"/>
      <c r="I1642" s="166"/>
      <c r="J1642" s="166"/>
      <c r="K1642" s="167"/>
      <c r="L1642" s="167"/>
      <c r="M1642" s="167"/>
      <c r="N1642" s="167"/>
    </row>
    <row r="1643" spans="6:14">
      <c r="F1643" s="166"/>
      <c r="G1643" s="166"/>
      <c r="H1643" s="166"/>
      <c r="I1643" s="166"/>
      <c r="J1643" s="166"/>
      <c r="K1643" s="167"/>
      <c r="L1643" s="167"/>
      <c r="M1643" s="167"/>
      <c r="N1643" s="167"/>
    </row>
    <row r="1644" spans="6:14">
      <c r="F1644" s="166"/>
      <c r="G1644" s="166"/>
      <c r="H1644" s="166"/>
      <c r="I1644" s="166"/>
      <c r="J1644" s="166"/>
      <c r="K1644" s="167"/>
      <c r="L1644" s="167"/>
      <c r="M1644" s="167"/>
      <c r="N1644" s="167"/>
    </row>
    <row r="1645" spans="6:14">
      <c r="F1645" s="166"/>
      <c r="G1645" s="166"/>
      <c r="H1645" s="166"/>
      <c r="I1645" s="166"/>
      <c r="J1645" s="166"/>
      <c r="K1645" s="167"/>
      <c r="L1645" s="167"/>
      <c r="M1645" s="167"/>
      <c r="N1645" s="167"/>
    </row>
    <row r="1646" spans="6:14">
      <c r="F1646" s="166"/>
      <c r="G1646" s="166"/>
      <c r="H1646" s="166"/>
      <c r="I1646" s="166"/>
      <c r="J1646" s="166"/>
      <c r="K1646" s="167"/>
      <c r="L1646" s="167"/>
      <c r="M1646" s="167"/>
      <c r="N1646" s="167"/>
    </row>
    <row r="1647" spans="6:14">
      <c r="F1647" s="166"/>
      <c r="G1647" s="166"/>
      <c r="H1647" s="166"/>
      <c r="I1647" s="166"/>
      <c r="J1647" s="166"/>
      <c r="K1647" s="167"/>
      <c r="L1647" s="167"/>
      <c r="M1647" s="167"/>
      <c r="N1647" s="167"/>
    </row>
    <row r="1648" spans="6:14">
      <c r="F1648" s="166"/>
      <c r="G1648" s="166"/>
      <c r="H1648" s="166"/>
      <c r="I1648" s="166"/>
      <c r="J1648" s="166"/>
      <c r="K1648" s="167"/>
      <c r="L1648" s="167"/>
      <c r="M1648" s="167"/>
      <c r="N1648" s="167"/>
    </row>
    <row r="1649" spans="6:14">
      <c r="F1649" s="166"/>
      <c r="G1649" s="166"/>
      <c r="H1649" s="166"/>
      <c r="I1649" s="166"/>
      <c r="J1649" s="166"/>
      <c r="K1649" s="167"/>
      <c r="L1649" s="167"/>
      <c r="M1649" s="167"/>
      <c r="N1649" s="167"/>
    </row>
    <row r="1650" spans="6:14">
      <c r="F1650" s="166"/>
      <c r="G1650" s="166"/>
      <c r="H1650" s="166"/>
      <c r="I1650" s="166"/>
      <c r="J1650" s="166"/>
      <c r="K1650" s="167"/>
      <c r="L1650" s="167"/>
      <c r="M1650" s="167"/>
      <c r="N1650" s="167"/>
    </row>
    <row r="1651" spans="6:14">
      <c r="F1651" s="166"/>
      <c r="G1651" s="166"/>
      <c r="H1651" s="166"/>
      <c r="I1651" s="166"/>
      <c r="J1651" s="166"/>
      <c r="K1651" s="167"/>
      <c r="L1651" s="167"/>
      <c r="M1651" s="167"/>
      <c r="N1651" s="167"/>
    </row>
    <row r="1652" spans="6:14">
      <c r="F1652" s="166"/>
      <c r="G1652" s="166"/>
      <c r="H1652" s="166"/>
      <c r="I1652" s="166"/>
      <c r="J1652" s="166"/>
      <c r="K1652" s="167"/>
      <c r="L1652" s="167"/>
      <c r="M1652" s="167"/>
      <c r="N1652" s="167"/>
    </row>
    <row r="1653" spans="6:14">
      <c r="F1653" s="166"/>
      <c r="G1653" s="166"/>
      <c r="H1653" s="166"/>
      <c r="I1653" s="166"/>
      <c r="J1653" s="166"/>
      <c r="K1653" s="167"/>
      <c r="L1653" s="167"/>
      <c r="M1653" s="167"/>
      <c r="N1653" s="167"/>
    </row>
    <row r="1654" spans="6:14">
      <c r="F1654" s="166"/>
      <c r="G1654" s="166"/>
      <c r="H1654" s="166"/>
      <c r="I1654" s="166"/>
      <c r="J1654" s="166"/>
      <c r="K1654" s="167"/>
      <c r="L1654" s="167"/>
      <c r="M1654" s="167"/>
      <c r="N1654" s="167"/>
    </row>
    <row r="1655" spans="6:14">
      <c r="F1655" s="166"/>
      <c r="G1655" s="166"/>
      <c r="H1655" s="166"/>
      <c r="I1655" s="166"/>
      <c r="J1655" s="166"/>
      <c r="K1655" s="167"/>
      <c r="L1655" s="167"/>
      <c r="M1655" s="167"/>
      <c r="N1655" s="167"/>
    </row>
    <row r="1656" spans="6:14">
      <c r="F1656" s="166"/>
      <c r="G1656" s="166"/>
      <c r="H1656" s="166"/>
      <c r="I1656" s="166"/>
      <c r="J1656" s="166"/>
      <c r="K1656" s="167"/>
      <c r="L1656" s="167"/>
      <c r="M1656" s="167"/>
      <c r="N1656" s="167"/>
    </row>
    <row r="1657" spans="6:14">
      <c r="F1657" s="166"/>
      <c r="G1657" s="166"/>
      <c r="H1657" s="166"/>
      <c r="I1657" s="166"/>
      <c r="J1657" s="166"/>
      <c r="K1657" s="167"/>
      <c r="L1657" s="167"/>
      <c r="M1657" s="167"/>
      <c r="N1657" s="167"/>
    </row>
    <row r="1658" spans="6:14">
      <c r="F1658" s="166"/>
      <c r="G1658" s="166"/>
      <c r="H1658" s="166"/>
      <c r="I1658" s="166"/>
      <c r="J1658" s="166"/>
      <c r="K1658" s="167"/>
      <c r="L1658" s="167"/>
      <c r="M1658" s="167"/>
      <c r="N1658" s="167"/>
    </row>
    <row r="1659" spans="6:14">
      <c r="F1659" s="166"/>
      <c r="G1659" s="166"/>
      <c r="H1659" s="166"/>
      <c r="I1659" s="166"/>
      <c r="J1659" s="166"/>
      <c r="K1659" s="167"/>
      <c r="L1659" s="167"/>
      <c r="M1659" s="167"/>
      <c r="N1659" s="167"/>
    </row>
    <row r="1660" spans="6:14">
      <c r="F1660" s="166"/>
      <c r="G1660" s="166"/>
      <c r="H1660" s="166"/>
      <c r="I1660" s="166"/>
      <c r="J1660" s="166"/>
      <c r="K1660" s="167"/>
      <c r="L1660" s="167"/>
      <c r="M1660" s="167"/>
      <c r="N1660" s="167"/>
    </row>
    <row r="1661" spans="6:14">
      <c r="F1661" s="166"/>
      <c r="G1661" s="166"/>
      <c r="H1661" s="166"/>
      <c r="I1661" s="166"/>
      <c r="J1661" s="166"/>
      <c r="K1661" s="167"/>
      <c r="L1661" s="167"/>
      <c r="M1661" s="167"/>
      <c r="N1661" s="167"/>
    </row>
    <row r="1662" spans="6:14">
      <c r="F1662" s="166"/>
      <c r="G1662" s="166"/>
      <c r="H1662" s="166"/>
      <c r="I1662" s="166"/>
      <c r="J1662" s="166"/>
      <c r="K1662" s="167"/>
      <c r="L1662" s="167"/>
      <c r="M1662" s="167"/>
      <c r="N1662" s="167"/>
    </row>
    <row r="1663" spans="6:14">
      <c r="F1663" s="166"/>
      <c r="G1663" s="166"/>
      <c r="H1663" s="166"/>
      <c r="I1663" s="166"/>
      <c r="J1663" s="166"/>
      <c r="K1663" s="167"/>
      <c r="L1663" s="167"/>
      <c r="M1663" s="167"/>
      <c r="N1663" s="167"/>
    </row>
    <row r="1664" spans="6:14">
      <c r="F1664" s="166"/>
      <c r="G1664" s="166"/>
      <c r="H1664" s="166"/>
      <c r="I1664" s="166"/>
      <c r="J1664" s="166"/>
      <c r="K1664" s="167"/>
      <c r="L1664" s="167"/>
      <c r="M1664" s="167"/>
      <c r="N1664" s="167"/>
    </row>
    <row r="1665" spans="6:14">
      <c r="F1665" s="166"/>
      <c r="G1665" s="166"/>
      <c r="H1665" s="166"/>
      <c r="I1665" s="166"/>
      <c r="J1665" s="166"/>
      <c r="K1665" s="167"/>
      <c r="L1665" s="167"/>
      <c r="M1665" s="167"/>
      <c r="N1665" s="167"/>
    </row>
    <row r="1666" spans="6:16">
      <c r="F1666" s="166"/>
      <c r="G1666" s="166"/>
      <c r="H1666" s="166"/>
      <c r="I1666" s="166"/>
      <c r="J1666" s="166"/>
      <c r="K1666" s="167"/>
      <c r="L1666" s="167"/>
      <c r="M1666" s="167"/>
      <c r="N1666" s="167"/>
      <c r="P1666" s="172"/>
    </row>
    <row r="1667" spans="6:16">
      <c r="F1667" s="166"/>
      <c r="G1667" s="166"/>
      <c r="H1667" s="166"/>
      <c r="I1667" s="166"/>
      <c r="J1667" s="166"/>
      <c r="K1667" s="167"/>
      <c r="L1667" s="167"/>
      <c r="M1667" s="167"/>
      <c r="N1667" s="167"/>
      <c r="P1667" s="173"/>
    </row>
    <row r="1668" spans="6:14">
      <c r="F1668" s="166"/>
      <c r="G1668" s="166"/>
      <c r="H1668" s="166"/>
      <c r="I1668" s="166"/>
      <c r="J1668" s="166"/>
      <c r="K1668" s="167"/>
      <c r="L1668" s="167"/>
      <c r="M1668" s="167"/>
      <c r="N1668" s="167"/>
    </row>
    <row r="1669" spans="6:14">
      <c r="F1669" s="166"/>
      <c r="G1669" s="166"/>
      <c r="H1669" s="166"/>
      <c r="I1669" s="166"/>
      <c r="J1669" s="166"/>
      <c r="K1669" s="167"/>
      <c r="L1669" s="167"/>
      <c r="M1669" s="167"/>
      <c r="N1669" s="167"/>
    </row>
    <row r="1670" spans="6:14">
      <c r="F1670" s="166"/>
      <c r="G1670" s="166"/>
      <c r="H1670" s="166"/>
      <c r="I1670" s="166"/>
      <c r="J1670" s="166"/>
      <c r="K1670" s="167"/>
      <c r="L1670" s="167"/>
      <c r="M1670" s="167"/>
      <c r="N1670" s="167"/>
    </row>
    <row r="1671" spans="6:14">
      <c r="F1671" s="166"/>
      <c r="G1671" s="166"/>
      <c r="H1671" s="166"/>
      <c r="I1671" s="166"/>
      <c r="J1671" s="166"/>
      <c r="K1671" s="167"/>
      <c r="L1671" s="167"/>
      <c r="M1671" s="167"/>
      <c r="N1671" s="167"/>
    </row>
    <row r="1672" spans="6:14">
      <c r="F1672" s="166"/>
      <c r="G1672" s="166"/>
      <c r="H1672" s="166"/>
      <c r="I1672" s="166"/>
      <c r="J1672" s="166"/>
      <c r="K1672" s="167"/>
      <c r="L1672" s="167"/>
      <c r="M1672" s="167"/>
      <c r="N1672" s="167"/>
    </row>
    <row r="1673" spans="6:14">
      <c r="F1673" s="166"/>
      <c r="G1673" s="166"/>
      <c r="H1673" s="166"/>
      <c r="I1673" s="166"/>
      <c r="J1673" s="166"/>
      <c r="K1673" s="167"/>
      <c r="L1673" s="167"/>
      <c r="M1673" s="167"/>
      <c r="N1673" s="167"/>
    </row>
    <row r="1674" spans="6:14">
      <c r="F1674" s="166"/>
      <c r="G1674" s="166"/>
      <c r="H1674" s="166"/>
      <c r="I1674" s="166"/>
      <c r="J1674" s="166"/>
      <c r="K1674" s="167"/>
      <c r="L1674" s="167"/>
      <c r="M1674" s="167"/>
      <c r="N1674" s="167"/>
    </row>
    <row r="1675" spans="6:14">
      <c r="F1675" s="166"/>
      <c r="G1675" s="166"/>
      <c r="H1675" s="166"/>
      <c r="I1675" s="166"/>
      <c r="J1675" s="166"/>
      <c r="K1675" s="167"/>
      <c r="L1675" s="167"/>
      <c r="M1675" s="167"/>
      <c r="N1675" s="167"/>
    </row>
    <row r="1676" spans="6:14">
      <c r="F1676" s="166"/>
      <c r="G1676" s="166"/>
      <c r="H1676" s="166"/>
      <c r="I1676" s="166"/>
      <c r="J1676" s="166"/>
      <c r="K1676" s="167"/>
      <c r="L1676" s="167"/>
      <c r="M1676" s="167"/>
      <c r="N1676" s="167"/>
    </row>
    <row r="1677" spans="6:14">
      <c r="F1677" s="166"/>
      <c r="G1677" s="166"/>
      <c r="H1677" s="166"/>
      <c r="I1677" s="166"/>
      <c r="J1677" s="166"/>
      <c r="K1677" s="167"/>
      <c r="L1677" s="167"/>
      <c r="M1677" s="167"/>
      <c r="N1677" s="167"/>
    </row>
    <row r="1678" spans="6:14">
      <c r="F1678" s="166"/>
      <c r="G1678" s="166"/>
      <c r="H1678" s="166"/>
      <c r="I1678" s="166"/>
      <c r="J1678" s="166"/>
      <c r="K1678" s="167"/>
      <c r="L1678" s="167"/>
      <c r="M1678" s="167"/>
      <c r="N1678" s="167"/>
    </row>
    <row r="1679" spans="6:14">
      <c r="F1679" s="166"/>
      <c r="G1679" s="166"/>
      <c r="H1679" s="166"/>
      <c r="I1679" s="166"/>
      <c r="J1679" s="166"/>
      <c r="K1679" s="167"/>
      <c r="L1679" s="167"/>
      <c r="M1679" s="167"/>
      <c r="N1679" s="167"/>
    </row>
    <row r="1680" spans="6:14">
      <c r="F1680" s="166"/>
      <c r="G1680" s="166"/>
      <c r="H1680" s="166"/>
      <c r="I1680" s="166"/>
      <c r="J1680" s="166"/>
      <c r="K1680" s="167"/>
      <c r="L1680" s="167"/>
      <c r="M1680" s="167"/>
      <c r="N1680" s="167"/>
    </row>
    <row r="1681" spans="6:14">
      <c r="F1681" s="166"/>
      <c r="G1681" s="166"/>
      <c r="H1681" s="166"/>
      <c r="I1681" s="166"/>
      <c r="J1681" s="166"/>
      <c r="K1681" s="167"/>
      <c r="L1681" s="167"/>
      <c r="M1681" s="167"/>
      <c r="N1681" s="167"/>
    </row>
    <row r="1682" spans="6:14">
      <c r="F1682" s="166"/>
      <c r="G1682" s="166"/>
      <c r="H1682" s="166"/>
      <c r="I1682" s="166"/>
      <c r="J1682" s="166"/>
      <c r="K1682" s="167"/>
      <c r="L1682" s="167"/>
      <c r="M1682" s="167"/>
      <c r="N1682" s="167"/>
    </row>
    <row r="1683" spans="6:14">
      <c r="F1683" s="166"/>
      <c r="G1683" s="166"/>
      <c r="H1683" s="166"/>
      <c r="I1683" s="166"/>
      <c r="J1683" s="166"/>
      <c r="K1683" s="167"/>
      <c r="L1683" s="167"/>
      <c r="M1683" s="167"/>
      <c r="N1683" s="167"/>
    </row>
    <row r="1684" spans="6:14">
      <c r="F1684" s="166"/>
      <c r="G1684" s="166"/>
      <c r="H1684" s="166"/>
      <c r="I1684" s="166"/>
      <c r="J1684" s="166"/>
      <c r="K1684" s="167"/>
      <c r="L1684" s="167"/>
      <c r="M1684" s="167"/>
      <c r="N1684" s="167"/>
    </row>
    <row r="1685" spans="6:14">
      <c r="F1685" s="166"/>
      <c r="G1685" s="166"/>
      <c r="H1685" s="166"/>
      <c r="I1685" s="166"/>
      <c r="J1685" s="166"/>
      <c r="K1685" s="167"/>
      <c r="L1685" s="167"/>
      <c r="M1685" s="167"/>
      <c r="N1685" s="167"/>
    </row>
    <row r="1686" spans="6:14">
      <c r="F1686" s="166"/>
      <c r="G1686" s="166"/>
      <c r="H1686" s="166"/>
      <c r="I1686" s="166"/>
      <c r="J1686" s="166"/>
      <c r="K1686" s="167"/>
      <c r="L1686" s="167"/>
      <c r="M1686" s="167"/>
      <c r="N1686" s="167"/>
    </row>
    <row r="1687" spans="6:14">
      <c r="F1687" s="166"/>
      <c r="G1687" s="166"/>
      <c r="H1687" s="166"/>
      <c r="I1687" s="166"/>
      <c r="J1687" s="166"/>
      <c r="K1687" s="167"/>
      <c r="L1687" s="167"/>
      <c r="M1687" s="167"/>
      <c r="N1687" s="167"/>
    </row>
    <row r="1688" spans="6:14">
      <c r="F1688" s="166"/>
      <c r="G1688" s="166"/>
      <c r="H1688" s="166"/>
      <c r="I1688" s="166"/>
      <c r="J1688" s="166"/>
      <c r="K1688" s="167"/>
      <c r="L1688" s="167"/>
      <c r="M1688" s="167"/>
      <c r="N1688" s="167"/>
    </row>
    <row r="1689" spans="6:14">
      <c r="F1689" s="166"/>
      <c r="G1689" s="166"/>
      <c r="H1689" s="166"/>
      <c r="I1689" s="166"/>
      <c r="J1689" s="166"/>
      <c r="K1689" s="167"/>
      <c r="L1689" s="167"/>
      <c r="M1689" s="167"/>
      <c r="N1689" s="167"/>
    </row>
    <row r="1690" spans="6:14">
      <c r="F1690" s="166"/>
      <c r="G1690" s="166"/>
      <c r="H1690" s="166"/>
      <c r="I1690" s="166"/>
      <c r="J1690" s="166"/>
      <c r="K1690" s="167"/>
      <c r="L1690" s="167"/>
      <c r="M1690" s="167"/>
      <c r="N1690" s="167"/>
    </row>
    <row r="1691" spans="6:14">
      <c r="F1691" s="166"/>
      <c r="G1691" s="166"/>
      <c r="H1691" s="166"/>
      <c r="I1691" s="166"/>
      <c r="J1691" s="166"/>
      <c r="K1691" s="167"/>
      <c r="L1691" s="167"/>
      <c r="M1691" s="167"/>
      <c r="N1691" s="167"/>
    </row>
    <row r="1692" spans="6:14">
      <c r="F1692" s="166"/>
      <c r="G1692" s="166"/>
      <c r="H1692" s="166"/>
      <c r="I1692" s="166"/>
      <c r="J1692" s="166"/>
      <c r="K1692" s="167"/>
      <c r="L1692" s="167"/>
      <c r="M1692" s="167"/>
      <c r="N1692" s="167"/>
    </row>
    <row r="1693" spans="6:14">
      <c r="F1693" s="166"/>
      <c r="G1693" s="166"/>
      <c r="H1693" s="166"/>
      <c r="I1693" s="166"/>
      <c r="J1693" s="166"/>
      <c r="K1693" s="167"/>
      <c r="L1693" s="167"/>
      <c r="M1693" s="167"/>
      <c r="N1693" s="167"/>
    </row>
    <row r="1694" spans="6:14">
      <c r="F1694" s="166"/>
      <c r="G1694" s="166"/>
      <c r="H1694" s="166"/>
      <c r="I1694" s="166"/>
      <c r="J1694" s="166"/>
      <c r="K1694" s="167"/>
      <c r="L1694" s="167"/>
      <c r="M1694" s="167"/>
      <c r="N1694" s="167"/>
    </row>
    <row r="1695" spans="6:14">
      <c r="F1695" s="166"/>
      <c r="G1695" s="166"/>
      <c r="H1695" s="166"/>
      <c r="I1695" s="166"/>
      <c r="J1695" s="166"/>
      <c r="K1695" s="167"/>
      <c r="L1695" s="167"/>
      <c r="M1695" s="167"/>
      <c r="N1695" s="167"/>
    </row>
    <row r="1696" spans="6:14">
      <c r="F1696" s="166"/>
      <c r="G1696" s="166"/>
      <c r="H1696" s="166"/>
      <c r="I1696" s="166"/>
      <c r="J1696" s="166"/>
      <c r="K1696" s="167"/>
      <c r="L1696" s="167"/>
      <c r="M1696" s="167"/>
      <c r="N1696" s="167"/>
    </row>
    <row r="1697" spans="6:14">
      <c r="F1697" s="166"/>
      <c r="G1697" s="166"/>
      <c r="H1697" s="166"/>
      <c r="I1697" s="166"/>
      <c r="J1697" s="166"/>
      <c r="K1697" s="167"/>
      <c r="L1697" s="167"/>
      <c r="M1697" s="167"/>
      <c r="N1697" s="167"/>
    </row>
    <row r="1698" spans="6:14">
      <c r="F1698" s="166"/>
      <c r="G1698" s="166"/>
      <c r="H1698" s="166"/>
      <c r="I1698" s="166"/>
      <c r="J1698" s="166"/>
      <c r="K1698" s="167"/>
      <c r="L1698" s="167"/>
      <c r="M1698" s="167"/>
      <c r="N1698" s="167"/>
    </row>
    <row r="1699" spans="6:14">
      <c r="F1699" s="166"/>
      <c r="G1699" s="166"/>
      <c r="H1699" s="166"/>
      <c r="I1699" s="166"/>
      <c r="J1699" s="166"/>
      <c r="K1699" s="167"/>
      <c r="L1699" s="167"/>
      <c r="M1699" s="167"/>
      <c r="N1699" s="167"/>
    </row>
  </sheetData>
  <sortState ref="A2:P1793">
    <sortCondition ref="D2"/>
  </sortState>
  <conditionalFormatting sqref="J665">
    <cfRule type="cellIs" dxfId="1" priority="2" operator="equal">
      <formula>0</formula>
    </cfRule>
  </conditionalFormatting>
  <conditionalFormatting sqref="D2:D664">
    <cfRule type="duplicateValues" dxfId="0" priority="3"/>
  </conditionalFormatting>
  <conditionalFormatting sqref="D1 D665:D1048576">
    <cfRule type="duplicateValues" dxfId="0" priority="6"/>
  </conditionalFormatting>
  <conditionalFormatting sqref="K1:N1 K665:N870 F871:N1048576">
    <cfRule type="cellIs" dxfId="1" priority="5" operator="equal">
      <formula>0</formula>
    </cfRule>
  </conditionalFormatting>
  <conditionalFormatting sqref="F1:J1 F665:I665 F666:J870">
    <cfRule type="cellIs" dxfId="1" priority="4" operator="equal">
      <formula>0</formula>
    </cfRule>
  </conditionalFormatting>
  <conditionalFormatting sqref="F2:P664">
    <cfRule type="cellIs" dxfId="1" priority="1" operator="equal">
      <formula>0</formula>
    </cfRule>
  </conditionalFormatting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5"/>
  <sheetViews>
    <sheetView zoomScale="85" zoomScaleNormal="85" topLeftCell="A34" workbookViewId="0">
      <selection activeCell="L77" sqref="L77"/>
    </sheetView>
  </sheetViews>
  <sheetFormatPr defaultColWidth="9" defaultRowHeight="13.5"/>
  <cols>
    <col min="1" max="1" width="7.75" style="26" customWidth="1"/>
    <col min="2" max="2" width="9.5" style="26" customWidth="1"/>
    <col min="3" max="3" width="9.25" style="26" customWidth="1"/>
    <col min="4" max="13" width="8.5" style="26" customWidth="1"/>
    <col min="14" max="14" width="8.375" style="26" customWidth="1"/>
    <col min="15" max="17" width="8.5" style="26" customWidth="1"/>
    <col min="18" max="18" width="8.375" style="26" customWidth="1"/>
    <col min="19" max="19" width="9.375" style="26" customWidth="1"/>
    <col min="20" max="20" width="8.5" style="26" customWidth="1"/>
    <col min="21" max="32" width="9" style="26"/>
    <col min="33" max="33" width="14.875" style="26" customWidth="1"/>
    <col min="34" max="16384" width="9" style="26"/>
  </cols>
  <sheetData>
    <row r="1" ht="24" customHeight="1" spans="1:20">
      <c r="A1" s="27" t="s">
        <v>1884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</row>
    <row r="2" ht="15.95" customHeight="1" spans="1:20">
      <c r="A2" s="9" t="s">
        <v>1</v>
      </c>
      <c r="B2" s="9"/>
      <c r="C2" s="9">
        <v>1</v>
      </c>
      <c r="D2" s="9">
        <v>2</v>
      </c>
      <c r="E2" s="9">
        <v>3</v>
      </c>
      <c r="F2" s="9">
        <v>4</v>
      </c>
      <c r="G2" s="9">
        <v>5</v>
      </c>
      <c r="H2" s="9">
        <v>6</v>
      </c>
      <c r="I2" s="9">
        <v>7</v>
      </c>
      <c r="J2" s="9">
        <v>8</v>
      </c>
      <c r="K2" s="9">
        <v>9</v>
      </c>
      <c r="L2" s="9">
        <v>10</v>
      </c>
      <c r="M2" s="9">
        <v>11</v>
      </c>
      <c r="N2" s="9">
        <v>12</v>
      </c>
      <c r="O2" s="9">
        <v>13</v>
      </c>
      <c r="P2" s="9">
        <v>14</v>
      </c>
      <c r="Q2" s="9">
        <v>15</v>
      </c>
      <c r="R2" s="9">
        <v>16</v>
      </c>
      <c r="S2" s="9">
        <v>17</v>
      </c>
      <c r="T2" s="9">
        <v>18</v>
      </c>
    </row>
    <row r="3" ht="15.95" customHeight="1" spans="1:20">
      <c r="A3" s="28" t="s">
        <v>1739</v>
      </c>
      <c r="B3" s="29"/>
      <c r="C3" s="30" t="s">
        <v>1740</v>
      </c>
      <c r="D3" s="14" t="s">
        <v>1741</v>
      </c>
      <c r="E3" s="14" t="s">
        <v>1742</v>
      </c>
      <c r="F3" s="14" t="s">
        <v>1742</v>
      </c>
      <c r="G3" s="14" t="s">
        <v>1742</v>
      </c>
      <c r="H3" s="14" t="s">
        <v>1743</v>
      </c>
      <c r="I3" s="14" t="s">
        <v>1743</v>
      </c>
      <c r="J3" s="30" t="s">
        <v>1744</v>
      </c>
      <c r="K3" s="30" t="s">
        <v>1744</v>
      </c>
      <c r="L3" s="30" t="s">
        <v>1744</v>
      </c>
      <c r="M3" s="30" t="s">
        <v>1744</v>
      </c>
      <c r="N3" s="30" t="s">
        <v>1744</v>
      </c>
      <c r="O3" s="30" t="s">
        <v>1744</v>
      </c>
      <c r="P3" s="14" t="s">
        <v>1745</v>
      </c>
      <c r="Q3" s="14" t="s">
        <v>1745</v>
      </c>
      <c r="R3" s="13" t="s">
        <v>1746</v>
      </c>
      <c r="S3" s="14" t="s">
        <v>1747</v>
      </c>
      <c r="T3" s="14" t="s">
        <v>1747</v>
      </c>
    </row>
    <row r="4" ht="15.95" customHeight="1" spans="1:20">
      <c r="A4" s="9" t="s">
        <v>1748</v>
      </c>
      <c r="B4" s="9"/>
      <c r="C4" s="9">
        <v>64</v>
      </c>
      <c r="D4" s="9">
        <v>48</v>
      </c>
      <c r="E4" s="9">
        <v>49</v>
      </c>
      <c r="F4" s="9">
        <v>46</v>
      </c>
      <c r="G4" s="9">
        <v>48</v>
      </c>
      <c r="H4" s="9">
        <v>40</v>
      </c>
      <c r="I4" s="9">
        <v>39</v>
      </c>
      <c r="J4" s="9">
        <v>58</v>
      </c>
      <c r="K4" s="9">
        <v>54</v>
      </c>
      <c r="L4" s="9">
        <v>58</v>
      </c>
      <c r="M4" s="9">
        <v>57</v>
      </c>
      <c r="N4" s="9">
        <v>58</v>
      </c>
      <c r="O4" s="9">
        <v>58</v>
      </c>
      <c r="P4" s="9">
        <v>42</v>
      </c>
      <c r="Q4" s="9">
        <v>44</v>
      </c>
      <c r="R4" s="9">
        <v>40</v>
      </c>
      <c r="S4" s="9">
        <v>45</v>
      </c>
      <c r="T4" s="9">
        <v>44</v>
      </c>
    </row>
    <row r="5" ht="15.95" customHeight="1" spans="1:20">
      <c r="A5" s="9" t="s">
        <v>1749</v>
      </c>
      <c r="B5" s="9"/>
      <c r="C5" s="9">
        <f>COUNTIF(赋分!$B:$B,C2)</f>
        <v>63</v>
      </c>
      <c r="D5" s="9">
        <f>COUNTIF(赋分!$B:$B,D2)</f>
        <v>48</v>
      </c>
      <c r="E5" s="9">
        <f>COUNTIF(赋分!$B:$B,E2)</f>
        <v>49</v>
      </c>
      <c r="F5" s="9">
        <f>COUNTIF(赋分!$B:$B,F2)</f>
        <v>44</v>
      </c>
      <c r="G5" s="9">
        <f>COUNTIF(赋分!$B:$B,G2)</f>
        <v>47</v>
      </c>
      <c r="H5" s="9">
        <f>COUNTIF(赋分!$B:$B,H2)</f>
        <v>39</v>
      </c>
      <c r="I5" s="9">
        <f>COUNTIF(赋分!$B:$B,I2)</f>
        <v>38</v>
      </c>
      <c r="J5" s="9">
        <f>COUNTIF(赋分!$B:$B,J2)</f>
        <v>57</v>
      </c>
      <c r="K5" s="9">
        <f>COUNTIF(赋分!$B:$B,K2)</f>
        <v>54</v>
      </c>
      <c r="L5" s="9">
        <f>COUNTIF(赋分!$B:$B,L2)</f>
        <v>57</v>
      </c>
      <c r="M5" s="9">
        <f>COUNTIF(赋分!$B:$B,M2)</f>
        <v>57</v>
      </c>
      <c r="N5" s="9">
        <f>COUNTIF(赋分!$B:$B,N2)</f>
        <v>56</v>
      </c>
      <c r="O5" s="9">
        <f>COUNTIF(赋分!$B:$B,O2)</f>
        <v>54</v>
      </c>
      <c r="P5" s="9">
        <f>COUNTIF(赋分!$B:$B,P2)</f>
        <v>40</v>
      </c>
      <c r="Q5" s="9">
        <f>COUNTIF(赋分!$B:$B,Q2)</f>
        <v>42</v>
      </c>
      <c r="R5" s="9">
        <f>COUNTIF(赋分!$B:$B,R2)</f>
        <v>38</v>
      </c>
      <c r="S5" s="9">
        <f>COUNTIF(赋分!$B:$B,S2)</f>
        <v>43</v>
      </c>
      <c r="T5" s="9">
        <f>COUNTIF(赋分!$B:$B,T2)</f>
        <v>43</v>
      </c>
    </row>
    <row r="6" ht="15.95" customHeight="1" spans="1:20">
      <c r="A6" s="31" t="s">
        <v>1885</v>
      </c>
      <c r="B6" s="13" t="s">
        <v>1751</v>
      </c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  <c r="M6" s="13" t="s">
        <v>1752</v>
      </c>
      <c r="N6" s="13" t="s">
        <v>1753</v>
      </c>
      <c r="O6" s="13"/>
      <c r="P6" s="13"/>
      <c r="Q6" s="13"/>
      <c r="R6" s="13"/>
      <c r="S6" s="13"/>
      <c r="T6" s="13"/>
    </row>
    <row r="7" ht="15.95" customHeight="1" spans="1:20">
      <c r="A7" s="31"/>
      <c r="B7" s="13" t="s">
        <v>1754</v>
      </c>
      <c r="C7" s="13">
        <f>MAX(赋分!F:F)</f>
        <v>119.5</v>
      </c>
      <c r="D7" s="13">
        <f>MAX(赋分!G:G)</f>
        <v>140</v>
      </c>
      <c r="E7" s="13">
        <f>MAX(赋分!H:H)</f>
        <v>138.75</v>
      </c>
      <c r="F7" s="13">
        <f>MAX(赋分!I:I)</f>
        <v>89</v>
      </c>
      <c r="G7" s="13">
        <f>MAX(赋分!J:J)</f>
        <v>82.5</v>
      </c>
      <c r="H7" s="13">
        <f>MAX(赋分!K:K)</f>
        <v>94</v>
      </c>
      <c r="I7" s="13">
        <f>MAX(赋分!L:L)</f>
        <v>94</v>
      </c>
      <c r="J7" s="13">
        <f>MAX(赋分!M:M)</f>
        <v>96</v>
      </c>
      <c r="K7" s="13">
        <f>MAX(赋分!N:N)</f>
        <v>95</v>
      </c>
      <c r="L7" s="13">
        <f>MAX(赋分!O:O)</f>
        <v>373</v>
      </c>
      <c r="M7" s="13">
        <f>MAX(赋分!P2:P676)</f>
        <v>641.5</v>
      </c>
      <c r="N7" s="13">
        <f>MAX(赋分!P677:P969)</f>
        <v>615.75</v>
      </c>
      <c r="O7" s="13"/>
      <c r="P7" s="13"/>
      <c r="Q7" s="13"/>
      <c r="R7" s="13"/>
      <c r="S7" s="13"/>
      <c r="T7" s="13"/>
    </row>
    <row r="8" ht="15.95" customHeight="1" spans="1:20">
      <c r="A8" s="31"/>
      <c r="B8" s="13" t="s">
        <v>1755</v>
      </c>
      <c r="C8" s="13">
        <f>MIN(赋分!F:F)</f>
        <v>64</v>
      </c>
      <c r="D8" s="13">
        <f>MIN(赋分!G:G)</f>
        <v>12</v>
      </c>
      <c r="E8" s="13">
        <f>MIN(赋分!H:H)</f>
        <v>26</v>
      </c>
      <c r="F8" s="13">
        <f>MIN(赋分!I:I)</f>
        <v>14</v>
      </c>
      <c r="G8" s="13">
        <f>MIN(赋分!J:J)</f>
        <v>36.5</v>
      </c>
      <c r="H8" s="13">
        <f>MIN(赋分!K:K)</f>
        <v>38</v>
      </c>
      <c r="I8" s="13">
        <f>MIN(赋分!L:L)</f>
        <v>46</v>
      </c>
      <c r="J8" s="13">
        <f>MIN(赋分!M:M)</f>
        <v>54</v>
      </c>
      <c r="K8" s="13">
        <f>MIN(赋分!N:N)</f>
        <v>37</v>
      </c>
      <c r="L8" s="13">
        <f>MIN(赋分!O:O)</f>
        <v>112.25</v>
      </c>
      <c r="M8" s="13">
        <f>MIN(赋分!P2:P676)</f>
        <v>205.25</v>
      </c>
      <c r="N8" s="13">
        <f>MIN(赋分!P677:P969)</f>
        <v>350.5</v>
      </c>
      <c r="O8" s="13"/>
      <c r="P8" s="13"/>
      <c r="Q8" s="13"/>
      <c r="R8" s="13"/>
      <c r="S8" s="13"/>
      <c r="T8" s="13"/>
    </row>
    <row r="9" ht="15.95" customHeight="1" spans="1:20">
      <c r="A9" s="31"/>
      <c r="B9" s="13" t="s">
        <v>1756</v>
      </c>
      <c r="C9" s="32">
        <f>AVERAGE(赋分!F2:F899)</f>
        <v>99.0785385500575</v>
      </c>
      <c r="D9" s="32">
        <f>AVERAGE(赋分!G2:G899)</f>
        <v>98.1731875719217</v>
      </c>
      <c r="E9" s="32">
        <f>AVERAGE(赋分!H2:H899)</f>
        <v>96.4277905638665</v>
      </c>
      <c r="F9" s="32">
        <f>AVERAGE(赋分!I2:I899)</f>
        <v>51.0806938159879</v>
      </c>
      <c r="G9" s="32">
        <f>AVERAGE(赋分!J2:J899)</f>
        <v>56.8216019417476</v>
      </c>
      <c r="H9" s="32">
        <f>AVERAGE(赋分!K2:K899)</f>
        <v>73.9907407407407</v>
      </c>
      <c r="I9" s="32">
        <f>AVERAGE(赋分!L2:L899)</f>
        <v>78.282131661442</v>
      </c>
      <c r="J9" s="32">
        <f>AVERAGE(赋分!M2:M899)</f>
        <v>79.4857142857143</v>
      </c>
      <c r="K9" s="32">
        <f>AVERAGE(赋分!N2:N899)</f>
        <v>78.1099290780142</v>
      </c>
      <c r="L9" s="32">
        <f>SUM(C9:E9)</f>
        <v>293.679516685846</v>
      </c>
      <c r="M9" s="32">
        <f>AVERAGE(赋分!P2:P665)</f>
        <v>495.984186746988</v>
      </c>
      <c r="N9" s="160">
        <f>AVERAGE(赋分!P666:P969)</f>
        <v>514.462195121951</v>
      </c>
      <c r="O9" s="13"/>
      <c r="P9" s="13"/>
      <c r="Q9" s="13"/>
      <c r="R9" s="13"/>
      <c r="S9" s="13"/>
      <c r="T9" s="13"/>
    </row>
    <row r="10" ht="15.95" customHeight="1" spans="1:20">
      <c r="A10" s="31"/>
      <c r="B10" s="13" t="s">
        <v>1757</v>
      </c>
      <c r="C10" s="32">
        <f>MAX(C18:T18)-MIN(C18:T18)</f>
        <v>11.6225832438238</v>
      </c>
      <c r="D10" s="32">
        <f>MAX(C24:T24)-MIN(C24:T24)</f>
        <v>36.3485142118863</v>
      </c>
      <c r="E10" s="32">
        <f>MAX(C30:T30)-MIN(C30:T30)</f>
        <v>33.8421052631579</v>
      </c>
      <c r="F10" s="32">
        <f>MAX(C36:T36)-MIN(C36:T36)</f>
        <v>31.0872319688109</v>
      </c>
      <c r="G10" s="32">
        <f>MAX(P36:T36)-MIN(P36:T36)</f>
        <v>8.01667686658507</v>
      </c>
      <c r="H10" s="32">
        <f>MAX(C42:T42)-MIN(C42:T42)</f>
        <v>13.0734126984127</v>
      </c>
      <c r="I10" s="32">
        <f>MAX(C48:T48)-MIN(C48:T48)</f>
        <v>11.0929487179487</v>
      </c>
      <c r="J10" s="32">
        <f>MAX(C54:T54)-MIN(C54:T54)</f>
        <v>9.71825396825398</v>
      </c>
      <c r="K10" s="32">
        <f>MAX(C60:T60)-MIN(C60:T60)</f>
        <v>14.4678362573099</v>
      </c>
      <c r="L10" s="32">
        <f>MAX(C14:T14)-MIN(C14:T14)</f>
        <v>61.3335769980507</v>
      </c>
      <c r="M10" s="32">
        <f>MAX(C11:O11)-MIN(C11:O11)</f>
        <v>113.944200779727</v>
      </c>
      <c r="N10" s="32">
        <f>MAX(P11:T11)-MIN(P11:T11)</f>
        <v>67.8069155446756</v>
      </c>
      <c r="O10" s="13"/>
      <c r="P10" s="13"/>
      <c r="Q10" s="13"/>
      <c r="R10" s="13"/>
      <c r="S10" s="13"/>
      <c r="T10" s="13"/>
    </row>
    <row r="11" ht="15.95" customHeight="1" spans="1:20">
      <c r="A11" s="34" t="s">
        <v>15</v>
      </c>
      <c r="B11" s="34" t="s">
        <v>1756</v>
      </c>
      <c r="C11" s="35">
        <f>AVERAGEIFS(赋分!$P$2:$P$1666,赋分!$B$2:$B$1666,C2)</f>
        <v>488.650793650794</v>
      </c>
      <c r="D11" s="35">
        <f>AVERAGEIFS(赋分!$P$2:$P$1666,赋分!$B$2:$B$1666,D2)</f>
        <v>491.119791666667</v>
      </c>
      <c r="E11" s="35">
        <f>AVERAGEIFS(赋分!$P$2:$P$1666,赋分!$B$2:$B$1666,E2)</f>
        <v>483.510204081633</v>
      </c>
      <c r="F11" s="35">
        <f>AVERAGEIFS(赋分!$P$2:$P$1666,赋分!$B$2:$B$1666,F2)</f>
        <v>489.857954545455</v>
      </c>
      <c r="G11" s="35">
        <f>AVERAGEIFS(赋分!$P$2:$P$1666,赋分!$B$2:$B$1666,G2)</f>
        <v>499.031914893617</v>
      </c>
      <c r="H11" s="35">
        <f>AVERAGEIFS(赋分!$P$2:$P$1666,赋分!$B$2:$B$1666,H2)</f>
        <v>478.852564102564</v>
      </c>
      <c r="I11" s="35">
        <f>AVERAGEIFS(赋分!$P$2:$P$1666,赋分!$B$2:$B$1666,I2)</f>
        <v>462.703947368421</v>
      </c>
      <c r="J11" s="35">
        <f>AVERAGEIFS(赋分!$P$2:$P$1666,赋分!$B$2:$B$1666,J2)</f>
        <v>486.486842105263</v>
      </c>
      <c r="K11" s="35">
        <f>AVERAGEIFS(赋分!$P$2:$P$1666,赋分!$B$2:$B$1666,K2)</f>
        <v>576.648148148148</v>
      </c>
      <c r="L11" s="35">
        <f>AVERAGEIFS(赋分!$P$2:$P$1666,赋分!$B$2:$B$1666,L2)</f>
        <v>543.25</v>
      </c>
      <c r="M11" s="35">
        <f>AVERAGEIFS(赋分!$P$2:$P$1666,赋分!$B$2:$B$1666,M2)</f>
        <v>479.214912280702</v>
      </c>
      <c r="N11" s="35">
        <f>AVERAGEIFS(赋分!$P$2:$P$1666,赋分!$B$2:$B$1666,N2)</f>
        <v>467.205357142857</v>
      </c>
      <c r="O11" s="35">
        <f>AVERAGEIFS(赋分!$P$2:$P$1666,赋分!$B$2:$B$1666,O2)</f>
        <v>485.462962962963</v>
      </c>
      <c r="P11" s="35">
        <f>AVERAGEIFS(赋分!$P$2:$P$1666,赋分!$B$2:$B$1666,P2)</f>
        <v>501.2125</v>
      </c>
      <c r="Q11" s="35">
        <f>AVERAGEIFS(赋分!$P$2:$P$1666,赋分!$B$2:$B$1666,Q2)</f>
        <v>504.714285714286</v>
      </c>
      <c r="R11" s="35">
        <f>AVERAGEIFS(赋分!$P$2:$P$1666,赋分!$B$2:$B$1666,R2)</f>
        <v>566.289473684211</v>
      </c>
      <c r="S11" s="35">
        <f>AVERAGEIFS(赋分!$P$2:$P$1666,赋分!$B$2:$B$1666,S2)</f>
        <v>505.889534883721</v>
      </c>
      <c r="T11" s="35">
        <f>AVERAGEIFS(赋分!$P$2:$P$1666,赋分!$B$2:$B$1666,T2)</f>
        <v>498.482558139535</v>
      </c>
    </row>
    <row r="12" ht="15.95" customHeight="1" spans="1:20">
      <c r="A12" s="34"/>
      <c r="B12" s="34" t="s">
        <v>1758</v>
      </c>
      <c r="C12" s="34">
        <f>RANK(C11,$C$11:$O$11)</f>
        <v>6</v>
      </c>
      <c r="D12" s="34">
        <f t="shared" ref="D12:O12" si="0">RANK(D11,$C$11:$O$11)</f>
        <v>4</v>
      </c>
      <c r="E12" s="34">
        <f t="shared" si="0"/>
        <v>9</v>
      </c>
      <c r="F12" s="34">
        <f t="shared" si="0"/>
        <v>5</v>
      </c>
      <c r="G12" s="34">
        <f t="shared" si="0"/>
        <v>3</v>
      </c>
      <c r="H12" s="34">
        <f t="shared" si="0"/>
        <v>11</v>
      </c>
      <c r="I12" s="34">
        <f t="shared" si="0"/>
        <v>13</v>
      </c>
      <c r="J12" s="34">
        <f t="shared" si="0"/>
        <v>7</v>
      </c>
      <c r="K12" s="34">
        <f t="shared" si="0"/>
        <v>1</v>
      </c>
      <c r="L12" s="34">
        <f t="shared" si="0"/>
        <v>2</v>
      </c>
      <c r="M12" s="34">
        <f t="shared" si="0"/>
        <v>10</v>
      </c>
      <c r="N12" s="34">
        <f t="shared" si="0"/>
        <v>12</v>
      </c>
      <c r="O12" s="34">
        <f t="shared" si="0"/>
        <v>8</v>
      </c>
      <c r="P12" s="34">
        <f>RANK(P11,$P$11:$T$11)</f>
        <v>4</v>
      </c>
      <c r="Q12" s="34">
        <f>RANK(Q11,$P$11:$T$11)</f>
        <v>3</v>
      </c>
      <c r="R12" s="34">
        <f>RANK(R11,$P$11:$T$11)</f>
        <v>1</v>
      </c>
      <c r="S12" s="34">
        <f>RANK(S11,$P$11:$T$11)</f>
        <v>2</v>
      </c>
      <c r="T12" s="34">
        <f>RANK(T11,$P$11:$T$11)</f>
        <v>5</v>
      </c>
    </row>
    <row r="13" ht="15.95" customHeight="1" spans="1:20">
      <c r="A13" s="34"/>
      <c r="B13" s="34" t="s">
        <v>1759</v>
      </c>
      <c r="C13" s="35">
        <f t="shared" ref="C13:T13" si="1">C11-$M$9</f>
        <v>-7.3333930961943</v>
      </c>
      <c r="D13" s="35">
        <f t="shared" si="1"/>
        <v>-4.86439508032129</v>
      </c>
      <c r="E13" s="35">
        <f t="shared" si="1"/>
        <v>-12.4739826653553</v>
      </c>
      <c r="F13" s="35">
        <f t="shared" si="1"/>
        <v>-6.12623220153341</v>
      </c>
      <c r="G13" s="35">
        <f t="shared" si="1"/>
        <v>3.04772814662903</v>
      </c>
      <c r="H13" s="35">
        <f t="shared" si="1"/>
        <v>-17.1316226444239</v>
      </c>
      <c r="I13" s="35">
        <f t="shared" si="1"/>
        <v>-33.2802393785669</v>
      </c>
      <c r="J13" s="35">
        <f t="shared" si="1"/>
        <v>-9.49734464172479</v>
      </c>
      <c r="K13" s="35">
        <f t="shared" si="1"/>
        <v>80.6639614011602</v>
      </c>
      <c r="L13" s="35">
        <f t="shared" si="1"/>
        <v>47.265813253012</v>
      </c>
      <c r="M13" s="35">
        <f t="shared" si="1"/>
        <v>-16.7692744662862</v>
      </c>
      <c r="N13" s="35">
        <f t="shared" si="1"/>
        <v>-28.7788296041308</v>
      </c>
      <c r="O13" s="35">
        <f t="shared" si="1"/>
        <v>-10.521223784025</v>
      </c>
      <c r="P13" s="35">
        <f t="shared" si="1"/>
        <v>5.228313253012</v>
      </c>
      <c r="Q13" s="35">
        <f t="shared" si="1"/>
        <v>8.73009896729775</v>
      </c>
      <c r="R13" s="35">
        <f t="shared" si="1"/>
        <v>70.3052869372225</v>
      </c>
      <c r="S13" s="35">
        <f t="shared" si="1"/>
        <v>9.90534813673298</v>
      </c>
      <c r="T13" s="35">
        <f t="shared" si="1"/>
        <v>2.49837139254691</v>
      </c>
    </row>
    <row r="14" ht="15.95" customHeight="1" spans="1:20">
      <c r="A14" s="34" t="s">
        <v>14</v>
      </c>
      <c r="B14" s="34" t="s">
        <v>1756</v>
      </c>
      <c r="C14" s="35">
        <f>AVERAGEIFS(赋分!$O$2:$O$1666,赋分!$B$2:$B$1666,C2)</f>
        <v>290.420634920635</v>
      </c>
      <c r="D14" s="35">
        <f>AVERAGEIFS(赋分!$O$2:$O$1666,赋分!$B$2:$B$1666,D2)</f>
        <v>288.776041666667</v>
      </c>
      <c r="E14" s="35">
        <f>AVERAGEIFS(赋分!$O$2:$O$1666,赋分!$B$2:$B$1666,E2)</f>
        <v>286.775510204082</v>
      </c>
      <c r="F14" s="35">
        <f>AVERAGEIFS(赋分!$O$2:$O$1666,赋分!$B$2:$B$1666,F2)</f>
        <v>291.346590909091</v>
      </c>
      <c r="G14" s="35">
        <f>AVERAGEIFS(赋分!$O$2:$O$1666,赋分!$B$2:$B$1666,G2)</f>
        <v>297.191489361702</v>
      </c>
      <c r="H14" s="35">
        <f>AVERAGEIFS(赋分!$O$2:$O$1666,赋分!$B$2:$B$1666,H2)</f>
        <v>279.057692307692</v>
      </c>
      <c r="I14" s="35">
        <f>AVERAGEIFS(赋分!$O$2:$O$1666,赋分!$B$2:$B$1666,I2)</f>
        <v>275.546052631579</v>
      </c>
      <c r="J14" s="35">
        <f>AVERAGEIFS(赋分!$O$2:$O$1666,赋分!$B$2:$B$1666,J2)</f>
        <v>287.232456140351</v>
      </c>
      <c r="K14" s="35">
        <f>AVERAGEIFS(赋分!$O$2:$O$1666,赋分!$B$2:$B$1666,K2)</f>
        <v>336.87962962963</v>
      </c>
      <c r="L14" s="35">
        <f>AVERAGEIFS(赋分!$O$2:$O$1666,赋分!$B$2:$B$1666,L2)</f>
        <v>314.828947368421</v>
      </c>
      <c r="M14" s="35">
        <f>AVERAGEIFS(赋分!$O$2:$O$1666,赋分!$B$2:$B$1666,M2)</f>
        <v>282.811403508772</v>
      </c>
      <c r="N14" s="35">
        <f>AVERAGEIFS(赋分!$O$2:$O$1666,赋分!$B$2:$B$1666,N2)</f>
        <v>278.8125</v>
      </c>
      <c r="O14" s="35">
        <f>AVERAGEIFS(赋分!$O$2:$O$1666,赋分!$B$2:$B$1666,O2)</f>
        <v>284.305555555556</v>
      </c>
      <c r="P14" s="35">
        <f>AVERAGEIFS(赋分!$O$2:$O$1666,赋分!$B$2:$B$1666,P2)</f>
        <v>290.74375</v>
      </c>
      <c r="Q14" s="35">
        <f>AVERAGEIFS(赋分!$O$2:$O$1666,赋分!$B$2:$B$1666,Q2)</f>
        <v>290.422619047619</v>
      </c>
      <c r="R14" s="35">
        <f>AVERAGEIFS(赋分!$O$2:$O$1666,赋分!$B$2:$B$1666,R2)</f>
        <v>332.585526315789</v>
      </c>
      <c r="S14" s="35">
        <f>AVERAGEIFS(赋分!$O$2:$O$1666,赋分!$B$2:$B$1666,S2)</f>
        <v>290.145348837209</v>
      </c>
      <c r="T14" s="35">
        <f>AVERAGEIFS(赋分!$O$2:$O$1666,赋分!$B$2:$B$1666,T2)</f>
        <v>286.494186046512</v>
      </c>
    </row>
    <row r="15" ht="15.95" customHeight="1" spans="1:20">
      <c r="A15" s="34"/>
      <c r="B15" s="34" t="s">
        <v>1758</v>
      </c>
      <c r="C15" s="34">
        <f t="shared" ref="C15:T15" si="2">RANK(C14,$C$14:$T$14)</f>
        <v>8</v>
      </c>
      <c r="D15" s="34">
        <f t="shared" si="2"/>
        <v>10</v>
      </c>
      <c r="E15" s="34">
        <f t="shared" si="2"/>
        <v>12</v>
      </c>
      <c r="F15" s="34">
        <f t="shared" si="2"/>
        <v>5</v>
      </c>
      <c r="G15" s="34">
        <f t="shared" si="2"/>
        <v>4</v>
      </c>
      <c r="H15" s="34">
        <f t="shared" si="2"/>
        <v>16</v>
      </c>
      <c r="I15" s="34">
        <f t="shared" si="2"/>
        <v>18</v>
      </c>
      <c r="J15" s="34">
        <f t="shared" si="2"/>
        <v>11</v>
      </c>
      <c r="K15" s="34">
        <f t="shared" si="2"/>
        <v>1</v>
      </c>
      <c r="L15" s="34">
        <f t="shared" si="2"/>
        <v>3</v>
      </c>
      <c r="M15" s="34">
        <f t="shared" si="2"/>
        <v>15</v>
      </c>
      <c r="N15" s="34">
        <f t="shared" si="2"/>
        <v>17</v>
      </c>
      <c r="O15" s="34">
        <f t="shared" si="2"/>
        <v>14</v>
      </c>
      <c r="P15" s="34">
        <f t="shared" si="2"/>
        <v>6</v>
      </c>
      <c r="Q15" s="34">
        <f t="shared" si="2"/>
        <v>7</v>
      </c>
      <c r="R15" s="34">
        <f t="shared" si="2"/>
        <v>2</v>
      </c>
      <c r="S15" s="34">
        <f t="shared" si="2"/>
        <v>9</v>
      </c>
      <c r="T15" s="34">
        <f t="shared" si="2"/>
        <v>13</v>
      </c>
    </row>
    <row r="16" ht="15.95" customHeight="1" spans="1:20">
      <c r="A16" s="34"/>
      <c r="B16" s="34" t="s">
        <v>1759</v>
      </c>
      <c r="C16" s="35">
        <f t="shared" ref="C16:T16" si="3">C14-$L$9</f>
        <v>-3.25888176521084</v>
      </c>
      <c r="D16" s="35">
        <f t="shared" si="3"/>
        <v>-4.9034750191791</v>
      </c>
      <c r="E16" s="35">
        <f t="shared" si="3"/>
        <v>-6.90400648176416</v>
      </c>
      <c r="F16" s="35">
        <f t="shared" si="3"/>
        <v>-2.33292577675485</v>
      </c>
      <c r="G16" s="35">
        <f t="shared" si="3"/>
        <v>3.51197267585633</v>
      </c>
      <c r="H16" s="35">
        <f t="shared" si="3"/>
        <v>-14.6218243781535</v>
      </c>
      <c r="I16" s="35">
        <f t="shared" si="3"/>
        <v>-18.1334640542668</v>
      </c>
      <c r="J16" s="35">
        <f t="shared" si="3"/>
        <v>-6.44706054549488</v>
      </c>
      <c r="K16" s="35">
        <f t="shared" si="3"/>
        <v>43.2001129437838</v>
      </c>
      <c r="L16" s="35">
        <f t="shared" si="3"/>
        <v>21.1494306825753</v>
      </c>
      <c r="M16" s="35">
        <f t="shared" si="3"/>
        <v>-10.8681131770738</v>
      </c>
      <c r="N16" s="35">
        <f t="shared" si="3"/>
        <v>-14.8670166858458</v>
      </c>
      <c r="O16" s="35">
        <f t="shared" si="3"/>
        <v>-9.37396113029024</v>
      </c>
      <c r="P16" s="35">
        <f t="shared" si="3"/>
        <v>-2.93576668584581</v>
      </c>
      <c r="Q16" s="35">
        <f t="shared" si="3"/>
        <v>-3.25689763822675</v>
      </c>
      <c r="R16" s="35">
        <f t="shared" si="3"/>
        <v>38.9060096299437</v>
      </c>
      <c r="S16" s="35">
        <f t="shared" si="3"/>
        <v>-3.53416784863646</v>
      </c>
      <c r="T16" s="35">
        <f t="shared" si="3"/>
        <v>-7.18533063933415</v>
      </c>
    </row>
    <row r="17" ht="15.95" customHeight="1" spans="1:20">
      <c r="A17" s="34"/>
      <c r="B17" s="34" t="s">
        <v>1760</v>
      </c>
      <c r="C17" s="30" t="s">
        <v>1761</v>
      </c>
      <c r="D17" s="30" t="s">
        <v>1762</v>
      </c>
      <c r="E17" s="14" t="s">
        <v>1763</v>
      </c>
      <c r="F17" s="30" t="s">
        <v>1764</v>
      </c>
      <c r="G17" s="14" t="s">
        <v>1765</v>
      </c>
      <c r="H17" s="30" t="s">
        <v>1766</v>
      </c>
      <c r="I17" s="30" t="s">
        <v>1767</v>
      </c>
      <c r="J17" s="30" t="s">
        <v>1768</v>
      </c>
      <c r="K17" s="30" t="s">
        <v>1769</v>
      </c>
      <c r="L17" s="30" t="s">
        <v>1770</v>
      </c>
      <c r="M17" s="30" t="s">
        <v>1771</v>
      </c>
      <c r="N17" s="14" t="s">
        <v>1772</v>
      </c>
      <c r="O17" s="30" t="s">
        <v>1773</v>
      </c>
      <c r="P17" s="30" t="s">
        <v>1774</v>
      </c>
      <c r="Q17" s="14" t="s">
        <v>1775</v>
      </c>
      <c r="R17" s="30" t="s">
        <v>1776</v>
      </c>
      <c r="S17" s="30" t="s">
        <v>1777</v>
      </c>
      <c r="T17" s="30" t="s">
        <v>1778</v>
      </c>
    </row>
    <row r="18" ht="15.95" customHeight="1" spans="1:20">
      <c r="A18" s="9" t="s">
        <v>5</v>
      </c>
      <c r="B18" s="9" t="s">
        <v>1756</v>
      </c>
      <c r="C18" s="39">
        <f>AVERAGEIFS(赋分!$F$2:$F$1666,赋分!$B$2:$B$1666,C2)</f>
        <v>99.1547619047619</v>
      </c>
      <c r="D18" s="39">
        <f>AVERAGEIFS(赋分!$F$2:$F$1666,赋分!$B$2:$B$1666,D2)</f>
        <v>99.1875</v>
      </c>
      <c r="E18" s="39">
        <f>AVERAGEIFS(赋分!$F$2:$F$1666,赋分!$B$2:$B$1666,E2)</f>
        <v>94.9234693877551</v>
      </c>
      <c r="F18" s="39">
        <f>AVERAGEIFS(赋分!$F$2:$F$1666,赋分!$B$2:$B$1666,F2)</f>
        <v>96.4147727272727</v>
      </c>
      <c r="G18" s="39">
        <f>AVERAGEIFS(赋分!$F$2:$F$1666,赋分!$B$2:$B$1666,G2)</f>
        <v>96.2234042553192</v>
      </c>
      <c r="H18" s="39">
        <f>AVERAGEIFS(赋分!$F$2:$F$1666,赋分!$B$2:$B$1666,H2)</f>
        <v>97.0512820512821</v>
      </c>
      <c r="I18" s="39">
        <f>AVERAGEIFS(赋分!$F$2:$F$1666,赋分!$B$2:$B$1666,I2)</f>
        <v>97.6644736842105</v>
      </c>
      <c r="J18" s="39">
        <f>AVERAGEIFS(赋分!$F$2:$F$1666,赋分!$B$2:$B$1666,J2)</f>
        <v>98.640350877193</v>
      </c>
      <c r="K18" s="39">
        <f>AVERAGEIFS(赋分!$F$2:$F$1666,赋分!$B$2:$B$1666,K2)</f>
        <v>102.828703703704</v>
      </c>
      <c r="L18" s="39">
        <f>AVERAGEIFS(赋分!$F$2:$F$1666,赋分!$B$2:$B$1666,L2)</f>
        <v>102.171052631579</v>
      </c>
      <c r="M18" s="39">
        <f>AVERAGEIFS(赋分!$F$2:$F$1666,赋分!$B$2:$B$1666,M2)</f>
        <v>96.8640350877193</v>
      </c>
      <c r="N18" s="39">
        <f>AVERAGEIFS(赋分!$F$2:$F$1666,赋分!$B$2:$B$1666,N2)</f>
        <v>95.53125</v>
      </c>
      <c r="O18" s="39">
        <f>AVERAGEIFS(赋分!$F$2:$F$1666,赋分!$B$2:$B$1666,O2)</f>
        <v>97.3240740740741</v>
      </c>
      <c r="P18" s="39">
        <f>AVERAGEIFS(赋分!$F$2:$F$1666,赋分!$B$2:$B$1666,P2)</f>
        <v>100.00625</v>
      </c>
      <c r="Q18" s="39">
        <f>AVERAGEIFS(赋分!$F$2:$F$1666,赋分!$B$2:$B$1666,Q2)</f>
        <v>99.7261904761905</v>
      </c>
      <c r="R18" s="39">
        <f>AVERAGEIFS(赋分!$F$2:$F$1666,赋分!$B$2:$B$1666,R2)</f>
        <v>106.546052631579</v>
      </c>
      <c r="S18" s="39">
        <f>AVERAGEIFS(赋分!$F$2:$F$1666,赋分!$B$2:$B$1666,S2)</f>
        <v>102.046511627907</v>
      </c>
      <c r="T18" s="39">
        <f>AVERAGEIFS(赋分!$F$2:$F$1666,赋分!$B$2:$B$1666,T2)</f>
        <v>102.982558139535</v>
      </c>
    </row>
    <row r="19" ht="15.95" customHeight="1" spans="1:20">
      <c r="A19" s="9"/>
      <c r="B19" s="9" t="s">
        <v>1758</v>
      </c>
      <c r="C19" s="9">
        <f t="shared" ref="C19:T19" si="4">RANK(C18,$C$18:$T$18)</f>
        <v>9</v>
      </c>
      <c r="D19" s="9">
        <f t="shared" si="4"/>
        <v>8</v>
      </c>
      <c r="E19" s="9">
        <f t="shared" si="4"/>
        <v>18</v>
      </c>
      <c r="F19" s="9">
        <f t="shared" si="4"/>
        <v>15</v>
      </c>
      <c r="G19" s="9">
        <f t="shared" si="4"/>
        <v>16</v>
      </c>
      <c r="H19" s="9">
        <f t="shared" si="4"/>
        <v>13</v>
      </c>
      <c r="I19" s="9">
        <f t="shared" si="4"/>
        <v>11</v>
      </c>
      <c r="J19" s="9">
        <f t="shared" si="4"/>
        <v>10</v>
      </c>
      <c r="K19" s="9">
        <f t="shared" si="4"/>
        <v>3</v>
      </c>
      <c r="L19" s="9">
        <f t="shared" si="4"/>
        <v>4</v>
      </c>
      <c r="M19" s="9">
        <f t="shared" si="4"/>
        <v>14</v>
      </c>
      <c r="N19" s="9">
        <f t="shared" si="4"/>
        <v>17</v>
      </c>
      <c r="O19" s="9">
        <f t="shared" si="4"/>
        <v>12</v>
      </c>
      <c r="P19" s="9">
        <f t="shared" si="4"/>
        <v>6</v>
      </c>
      <c r="Q19" s="9">
        <f t="shared" si="4"/>
        <v>7</v>
      </c>
      <c r="R19" s="9">
        <f t="shared" si="4"/>
        <v>1</v>
      </c>
      <c r="S19" s="9">
        <f t="shared" si="4"/>
        <v>5</v>
      </c>
      <c r="T19" s="9">
        <f t="shared" si="4"/>
        <v>2</v>
      </c>
    </row>
    <row r="20" ht="15.95" customHeight="1" spans="1:20">
      <c r="A20" s="9"/>
      <c r="B20" s="9" t="s">
        <v>1759</v>
      </c>
      <c r="C20" s="39">
        <f t="shared" ref="C20:T20" si="5">C18-$C$9</f>
        <v>0.0762233547043536</v>
      </c>
      <c r="D20" s="39">
        <f t="shared" si="5"/>
        <v>0.108961449942456</v>
      </c>
      <c r="E20" s="39">
        <f t="shared" si="5"/>
        <v>-4.15506916230244</v>
      </c>
      <c r="F20" s="39">
        <f t="shared" si="5"/>
        <v>-2.66376582278481</v>
      </c>
      <c r="G20" s="39">
        <f t="shared" si="5"/>
        <v>-2.85513429473839</v>
      </c>
      <c r="H20" s="39">
        <f t="shared" si="5"/>
        <v>-2.02725649877549</v>
      </c>
      <c r="I20" s="39">
        <f t="shared" si="5"/>
        <v>-1.41406486584702</v>
      </c>
      <c r="J20" s="39">
        <f t="shared" si="5"/>
        <v>-0.438187672864558</v>
      </c>
      <c r="K20" s="39">
        <f t="shared" si="5"/>
        <v>3.75016515364616</v>
      </c>
      <c r="L20" s="39">
        <f t="shared" si="5"/>
        <v>3.0925140815214</v>
      </c>
      <c r="M20" s="39">
        <f t="shared" si="5"/>
        <v>-2.21450346233824</v>
      </c>
      <c r="N20" s="39">
        <f t="shared" si="5"/>
        <v>-3.54728855005754</v>
      </c>
      <c r="O20" s="39">
        <f t="shared" si="5"/>
        <v>-1.75446447598347</v>
      </c>
      <c r="P20" s="39">
        <f t="shared" si="5"/>
        <v>0.92771144994245</v>
      </c>
      <c r="Q20" s="39">
        <f t="shared" si="5"/>
        <v>0.647651926132937</v>
      </c>
      <c r="R20" s="39">
        <f t="shared" si="5"/>
        <v>7.4675140815214</v>
      </c>
      <c r="S20" s="39">
        <f t="shared" si="5"/>
        <v>2.96797307784944</v>
      </c>
      <c r="T20" s="39">
        <f t="shared" si="5"/>
        <v>3.90401958947734</v>
      </c>
    </row>
    <row r="21" ht="15.95" customHeight="1" spans="1:20">
      <c r="A21" s="9"/>
      <c r="B21" s="9" t="s">
        <v>1779</v>
      </c>
      <c r="C21" s="158">
        <f t="array" ref="C21">SUM((赋分!$B$2:$B$1666=C2)*(赋分!$F$2:$F$1666&gt;=90))/C5</f>
        <v>0.904761904761905</v>
      </c>
      <c r="D21" s="158">
        <f t="array" ref="D21">SUM((赋分!$B$2:$B$1666=D2)*(赋分!$F$2:$F$1666&gt;=90))/D5</f>
        <v>0.979166666666667</v>
      </c>
      <c r="E21" s="158">
        <f t="array" ref="E21">SUM((赋分!$B$2:$B$1666=E2)*(赋分!$F$2:$F$1666&gt;=90))/E5</f>
        <v>0.836734693877551</v>
      </c>
      <c r="F21" s="158">
        <f t="array" ref="F21">SUM((赋分!$B$2:$B$1666=F2)*(赋分!$F$2:$F$1666&gt;=90))/F5</f>
        <v>0.727272727272727</v>
      </c>
      <c r="G21" s="158">
        <f t="array" ref="G21">SUM((赋分!$B$2:$B$1666=G2)*(赋分!$F$2:$F$1666&gt;=90))/G5</f>
        <v>0.851063829787234</v>
      </c>
      <c r="H21" s="158">
        <f t="array" ref="H21">SUM((赋分!$B$2:$B$1666=H2)*(赋分!$F$2:$F$1666&gt;=90))/H5</f>
        <v>0.846153846153846</v>
      </c>
      <c r="I21" s="158">
        <f t="array" ref="I21">SUM((赋分!$B$2:$B$1666=I2)*(赋分!$F$2:$F$1666&gt;=90))/I5</f>
        <v>0.868421052631579</v>
      </c>
      <c r="J21" s="158">
        <f t="array" ref="J21">SUM((赋分!$B$2:$B$1666=J2)*(赋分!$F$2:$F$1666&gt;=90))/J5</f>
        <v>0.87719298245614</v>
      </c>
      <c r="K21" s="158">
        <f t="array" ref="K21">SUM((赋分!$B$2:$B$1666=K2)*(赋分!$F$2:$F$1666&gt;=90))/K5</f>
        <v>1</v>
      </c>
      <c r="L21" s="158">
        <f t="array" ref="L21">SUM((赋分!$B$2:$B$1666=L2)*(赋分!$F$2:$F$1666&gt;=90))/L5</f>
        <v>0.982456140350877</v>
      </c>
      <c r="M21" s="158">
        <f t="array" ref="M21">SUM((赋分!$B$2:$B$1666=M2)*(赋分!$F$2:$F$1666&gt;=90))/M5</f>
        <v>0.894736842105263</v>
      </c>
      <c r="N21" s="158">
        <f t="array" ref="N21">SUM((赋分!$B$2:$B$1666=N2)*(赋分!$F$2:$F$1666&gt;=90))/N5</f>
        <v>0.803571428571429</v>
      </c>
      <c r="O21" s="158">
        <f t="array" ref="O21">SUM((赋分!$B$2:$B$1666=O2)*(赋分!$F$2:$F$1666&gt;=90))/O5</f>
        <v>0.888888888888889</v>
      </c>
      <c r="P21" s="158">
        <f t="array" ref="P21">SUM((赋分!$B$2:$B$1666=P2)*(赋分!$F$2:$F$1666&gt;=90))/P5</f>
        <v>0.925</v>
      </c>
      <c r="Q21" s="158">
        <f t="array" ref="Q21">SUM((赋分!$B$2:$B$1666=Q2)*(赋分!$F$2:$F$1666&gt;=90))/Q5</f>
        <v>0.952380952380952</v>
      </c>
      <c r="R21" s="158">
        <f t="array" ref="R21">SUM((赋分!$B$2:$B$1666=R2)*(赋分!$F$2:$F$1666&gt;=90))/R5</f>
        <v>1</v>
      </c>
      <c r="S21" s="158">
        <f t="array" ref="S21">SUM((赋分!$B$2:$B$1666=S2)*(赋分!$F$2:$F$1666&gt;=90))/S5</f>
        <v>0.976744186046512</v>
      </c>
      <c r="T21" s="158">
        <f t="array" ref="T21">SUM((赋分!$B$2:$B$1666=T2)*(赋分!$F$2:$F$1666&gt;=90))/T5</f>
        <v>1</v>
      </c>
    </row>
    <row r="22" ht="15.95" customHeight="1" spans="1:20">
      <c r="A22" s="9"/>
      <c r="B22" s="9" t="s">
        <v>1780</v>
      </c>
      <c r="C22" s="158">
        <f t="array" ref="C22">SUM((赋分!$B$2:$B$1666=C2)*(赋分!$F$2:$F$1666&gt;=120))/C5</f>
        <v>0</v>
      </c>
      <c r="D22" s="158">
        <f t="array" ref="D22">SUM((赋分!$B$2:$B$1666=D2)*(赋分!$F$2:$F$1666&gt;=120))/D5</f>
        <v>0</v>
      </c>
      <c r="E22" s="158">
        <f t="array" ref="E22">SUM((赋分!$B$2:$B$1666=E2)*(赋分!$F$2:$F$1666&gt;=120))/E5</f>
        <v>0</v>
      </c>
      <c r="F22" s="158">
        <f t="array" ref="F22">SUM((赋分!$B$2:$B$1666=F2)*(赋分!$F$2:$F$1666&gt;=120))/F5</f>
        <v>0</v>
      </c>
      <c r="G22" s="158">
        <f t="array" ref="G22">SUM((赋分!$B$2:$B$1666=G2)*(赋分!$F$2:$F$1666&gt;=120))/G5</f>
        <v>0</v>
      </c>
      <c r="H22" s="158">
        <f t="array" ref="H22">SUM((赋分!$B$2:$B$1666=H2)*(赋分!$F$2:$F$1666&gt;=120))/H5</f>
        <v>0</v>
      </c>
      <c r="I22" s="158">
        <f t="array" ref="I22">SUM((赋分!$B$2:$B$1666=I2)*(赋分!$F$2:$F$1666&gt;=120))/I5</f>
        <v>0</v>
      </c>
      <c r="J22" s="158">
        <f t="array" ref="J22">SUM((赋分!$B$2:$B$1666=J2)*(赋分!$F$2:$F$1666&gt;=120))/J5</f>
        <v>0</v>
      </c>
      <c r="K22" s="158">
        <f t="array" ref="K22">SUM((赋分!$B$2:$B$1666=K2)*(赋分!$F$2:$F$1666&gt;=120))/K5</f>
        <v>0</v>
      </c>
      <c r="L22" s="158">
        <f t="array" ref="L22">SUM((赋分!$B$2:$B$1666=L2)*(赋分!$F$2:$F$1666&gt;=120))/L5</f>
        <v>0</v>
      </c>
      <c r="M22" s="158">
        <f t="array" ref="M22">SUM((赋分!$B$2:$B$1666=M2)*(赋分!$F$2:$F$1666&gt;=120))/M5</f>
        <v>0</v>
      </c>
      <c r="N22" s="158">
        <f t="array" ref="N22">SUM((赋分!$B$2:$B$1666=N2)*(赋分!$F$2:$F$1666&gt;=120))/N5</f>
        <v>0</v>
      </c>
      <c r="O22" s="158">
        <f t="array" ref="O22">SUM((赋分!$B$2:$B$1666=O2)*(赋分!$F$2:$F$1666&gt;=120))/O5</f>
        <v>0</v>
      </c>
      <c r="P22" s="158">
        <f t="array" ref="P22">SUM((赋分!$B$2:$B$1666=P2)*(赋分!$F$2:$F$1666&gt;=120))/P5</f>
        <v>0</v>
      </c>
      <c r="Q22" s="158">
        <f t="array" ref="Q22">SUM((赋分!$B$2:$B$1666=Q2)*(赋分!$F$2:$F$1666&gt;=120))/Q5</f>
        <v>0</v>
      </c>
      <c r="R22" s="158">
        <f t="array" ref="R22">SUM((赋分!$B$2:$B$1666=R2)*(赋分!$F$2:$F$1666&gt;=120))/R5</f>
        <v>0</v>
      </c>
      <c r="S22" s="158">
        <f t="array" ref="S22">SUM((赋分!$B$2:$B$1666=S2)*(赋分!$F$2:$F$1666&gt;=120))/S5</f>
        <v>0</v>
      </c>
      <c r="T22" s="158">
        <f t="array" ref="T22">SUM((赋分!$B$2:$B$1666=T2)*(赋分!$F$2:$F$1666&gt;=120))/T5</f>
        <v>0</v>
      </c>
    </row>
    <row r="23" ht="15.95" customHeight="1" spans="1:20">
      <c r="A23" s="9"/>
      <c r="B23" s="9" t="s">
        <v>1781</v>
      </c>
      <c r="C23" s="40" t="s">
        <v>1782</v>
      </c>
      <c r="D23" s="40" t="s">
        <v>1783</v>
      </c>
      <c r="E23" s="40" t="s">
        <v>1784</v>
      </c>
      <c r="F23" s="40" t="s">
        <v>1785</v>
      </c>
      <c r="G23" s="40" t="s">
        <v>1784</v>
      </c>
      <c r="H23" s="40" t="s">
        <v>1772</v>
      </c>
      <c r="I23" s="40" t="s">
        <v>1786</v>
      </c>
      <c r="J23" s="40" t="s">
        <v>1782</v>
      </c>
      <c r="K23" s="40" t="s">
        <v>1787</v>
      </c>
      <c r="L23" s="40" t="s">
        <v>1771</v>
      </c>
      <c r="M23" s="40" t="s">
        <v>1771</v>
      </c>
      <c r="N23" s="40" t="s">
        <v>1772</v>
      </c>
      <c r="O23" s="40" t="s">
        <v>1788</v>
      </c>
      <c r="P23" s="40" t="s">
        <v>1789</v>
      </c>
      <c r="Q23" s="40" t="s">
        <v>1788</v>
      </c>
      <c r="R23" s="40" t="s">
        <v>1790</v>
      </c>
      <c r="S23" s="40" t="s">
        <v>1783</v>
      </c>
      <c r="T23" s="40" t="s">
        <v>1786</v>
      </c>
    </row>
    <row r="24" ht="15.95" customHeight="1" spans="1:20">
      <c r="A24" s="34" t="s">
        <v>6</v>
      </c>
      <c r="B24" s="34" t="s">
        <v>1756</v>
      </c>
      <c r="C24" s="35">
        <f>AVERAGEIFS(赋分!$G$2:$G$1666,赋分!$B$2:$B$1666,C2)</f>
        <v>97.7936507936508</v>
      </c>
      <c r="D24" s="35">
        <f>AVERAGEIFS(赋分!$G$2:$G$1666,赋分!$B$2:$B$1666,D2)</f>
        <v>92.03125</v>
      </c>
      <c r="E24" s="35">
        <f>AVERAGEIFS(赋分!$G$2:$G$1666,赋分!$B$2:$B$1666,E2)</f>
        <v>96.7857142857143</v>
      </c>
      <c r="F24" s="35">
        <f>AVERAGEIFS(赋分!$G$2:$G$1666,赋分!$B$2:$B$1666,F2)</f>
        <v>100.477272727273</v>
      </c>
      <c r="G24" s="35">
        <f>AVERAGEIFS(赋分!$G$2:$G$1666,赋分!$B$2:$B$1666,G2)</f>
        <v>106.026595744681</v>
      </c>
      <c r="H24" s="35">
        <f>AVERAGEIFS(赋分!$G$2:$G$1666,赋分!$B$2:$B$1666,H2)</f>
        <v>89.1666666666667</v>
      </c>
      <c r="I24" s="35">
        <f>AVERAGEIFS(赋分!$G$2:$G$1666,赋分!$B$2:$B$1666,I2)</f>
        <v>92.7631578947368</v>
      </c>
      <c r="J24" s="35">
        <f>AVERAGEIFS(赋分!$G$2:$G$1666,赋分!$B$2:$B$1666,J2)</f>
        <v>98.3070175438596</v>
      </c>
      <c r="K24" s="35">
        <f>AVERAGEIFS(赋分!$G$2:$G$1666,赋分!$B$2:$B$1666,K2)</f>
        <v>121.069444444444</v>
      </c>
      <c r="L24" s="35">
        <f>AVERAGEIFS(赋分!$G$2:$G$1666,赋分!$B$2:$B$1666,L2)</f>
        <v>110.263157894737</v>
      </c>
      <c r="M24" s="35">
        <f>AVERAGEIFS(赋分!$G$2:$G$1666,赋分!$B$2:$B$1666,M2)</f>
        <v>96.7017543859649</v>
      </c>
      <c r="N24" s="35">
        <f>AVERAGEIFS(赋分!$G$2:$G$1666,赋分!$B$2:$B$1666,N2)</f>
        <v>95.8214285714286</v>
      </c>
      <c r="O24" s="35">
        <f>AVERAGEIFS(赋分!$G$2:$G$1666,赋分!$B$2:$B$1666,O2)</f>
        <v>98.3611111111111</v>
      </c>
      <c r="P24" s="35">
        <f>AVERAGEIFS(赋分!$G$2:$G$1666,赋分!$B$2:$B$1666,P2)</f>
        <v>91.125</v>
      </c>
      <c r="Q24" s="35">
        <f>AVERAGEIFS(赋分!$G$2:$G$1666,赋分!$B$2:$B$1666,Q2)</f>
        <v>91.3809523809524</v>
      </c>
      <c r="R24" s="35">
        <f>AVERAGEIFS(赋分!$G$2:$G$1666,赋分!$B$2:$B$1666,R2)</f>
        <v>107.078947368421</v>
      </c>
      <c r="S24" s="35">
        <f>AVERAGEIFS(赋分!$G$2:$G$1666,赋分!$B$2:$B$1666,S2)</f>
        <v>87.7674418604651</v>
      </c>
      <c r="T24" s="35">
        <f>AVERAGEIFS(赋分!$G$2:$G$1666,赋分!$B$2:$B$1666,T2)</f>
        <v>84.7209302325581</v>
      </c>
    </row>
    <row r="25" ht="15.95" customHeight="1" spans="1:20">
      <c r="A25" s="34"/>
      <c r="B25" s="34" t="s">
        <v>1758</v>
      </c>
      <c r="C25" s="34">
        <f t="shared" ref="C25:T25" si="6">RANK(C24,$C$24:$T$24)</f>
        <v>8</v>
      </c>
      <c r="D25" s="34">
        <f t="shared" si="6"/>
        <v>13</v>
      </c>
      <c r="E25" s="34">
        <f t="shared" si="6"/>
        <v>9</v>
      </c>
      <c r="F25" s="34">
        <f t="shared" si="6"/>
        <v>5</v>
      </c>
      <c r="G25" s="34">
        <f t="shared" si="6"/>
        <v>4</v>
      </c>
      <c r="H25" s="34">
        <f t="shared" si="6"/>
        <v>16</v>
      </c>
      <c r="I25" s="34">
        <f t="shared" si="6"/>
        <v>12</v>
      </c>
      <c r="J25" s="34">
        <f t="shared" si="6"/>
        <v>7</v>
      </c>
      <c r="K25" s="34">
        <f t="shared" si="6"/>
        <v>1</v>
      </c>
      <c r="L25" s="34">
        <f t="shared" si="6"/>
        <v>2</v>
      </c>
      <c r="M25" s="34">
        <f t="shared" si="6"/>
        <v>10</v>
      </c>
      <c r="N25" s="34">
        <f t="shared" si="6"/>
        <v>11</v>
      </c>
      <c r="O25" s="34">
        <f t="shared" si="6"/>
        <v>6</v>
      </c>
      <c r="P25" s="34">
        <f t="shared" si="6"/>
        <v>15</v>
      </c>
      <c r="Q25" s="34">
        <f t="shared" si="6"/>
        <v>14</v>
      </c>
      <c r="R25" s="34">
        <f t="shared" si="6"/>
        <v>3</v>
      </c>
      <c r="S25" s="34">
        <f t="shared" si="6"/>
        <v>17</v>
      </c>
      <c r="T25" s="34">
        <f t="shared" si="6"/>
        <v>18</v>
      </c>
    </row>
    <row r="26" ht="15.95" customHeight="1" spans="1:20">
      <c r="A26" s="34"/>
      <c r="B26" s="34" t="s">
        <v>1759</v>
      </c>
      <c r="C26" s="35">
        <f t="shared" ref="C26:T26" si="7">C24-$D$9</f>
        <v>-0.379536778270946</v>
      </c>
      <c r="D26" s="35">
        <f t="shared" si="7"/>
        <v>-6.14193757192174</v>
      </c>
      <c r="E26" s="35">
        <f t="shared" si="7"/>
        <v>-1.38747328620745</v>
      </c>
      <c r="F26" s="35">
        <f t="shared" si="7"/>
        <v>2.30408515535099</v>
      </c>
      <c r="G26" s="35">
        <f t="shared" si="7"/>
        <v>7.8534081727591</v>
      </c>
      <c r="H26" s="35">
        <f t="shared" si="7"/>
        <v>-9.00652090525507</v>
      </c>
      <c r="I26" s="35">
        <f t="shared" si="7"/>
        <v>-5.41002967718491</v>
      </c>
      <c r="J26" s="35">
        <f t="shared" si="7"/>
        <v>0.133829971937899</v>
      </c>
      <c r="K26" s="35">
        <f t="shared" si="7"/>
        <v>22.8962568725227</v>
      </c>
      <c r="L26" s="35">
        <f t="shared" si="7"/>
        <v>12.0899703228151</v>
      </c>
      <c r="M26" s="35">
        <f t="shared" si="7"/>
        <v>-1.47143318595683</v>
      </c>
      <c r="N26" s="35">
        <f t="shared" si="7"/>
        <v>-2.35175900049317</v>
      </c>
      <c r="O26" s="35">
        <f t="shared" si="7"/>
        <v>0.18792353918937</v>
      </c>
      <c r="P26" s="35">
        <f t="shared" si="7"/>
        <v>-7.04818757192174</v>
      </c>
      <c r="Q26" s="35">
        <f t="shared" si="7"/>
        <v>-6.79223519096936</v>
      </c>
      <c r="R26" s="35">
        <f t="shared" si="7"/>
        <v>8.90575979649931</v>
      </c>
      <c r="S26" s="35">
        <f t="shared" si="7"/>
        <v>-10.4057457114566</v>
      </c>
      <c r="T26" s="35">
        <f t="shared" si="7"/>
        <v>-13.4522573393636</v>
      </c>
    </row>
    <row r="27" ht="15.95" customHeight="1" spans="1:20">
      <c r="A27" s="34"/>
      <c r="B27" s="34" t="s">
        <v>1779</v>
      </c>
      <c r="C27" s="159">
        <f t="array" ref="C27">SUM((赋分!$B$2:$B$1666=C2)*(赋分!$G$2:$G$1666&gt;=90))/C5</f>
        <v>0.73015873015873</v>
      </c>
      <c r="D27" s="159">
        <f t="array" ref="D27">SUM((赋分!$B$2:$B$1666=D2)*(赋分!$G$2:$G$1666&gt;=90))/D5</f>
        <v>0.645833333333333</v>
      </c>
      <c r="E27" s="159">
        <f t="array" ref="E27">SUM((赋分!$B$2:$B$1666=E2)*(赋分!$G$2:$G$1666&gt;=90))/E5</f>
        <v>0.673469387755102</v>
      </c>
      <c r="F27" s="159">
        <f t="array" ref="F27">SUM((赋分!$B$2:$B$1666=F2)*(赋分!$G$2:$G$1666&gt;=90))/F5</f>
        <v>0.772727272727273</v>
      </c>
      <c r="G27" s="159">
        <f t="array" ref="G27">SUM((赋分!$B$2:$B$1666=G2)*(赋分!$G$2:$G$1666&gt;=90))/G5</f>
        <v>0.893617021276596</v>
      </c>
      <c r="H27" s="159">
        <f t="array" ref="H27">SUM((赋分!$B$2:$B$1666=H2)*(赋分!$G$2:$G$1666&gt;=90))/H5</f>
        <v>0.487179487179487</v>
      </c>
      <c r="I27" s="159">
        <f t="array" ref="I27">SUM((赋分!$B$2:$B$1666=I2)*(赋分!$G$2:$G$1666&gt;=90))/I5</f>
        <v>0.552631578947368</v>
      </c>
      <c r="J27" s="159">
        <f t="array" ref="J27">SUM((赋分!$B$2:$B$1666=J2)*(赋分!$G$2:$G$1666&gt;=90))/J5</f>
        <v>0.754385964912281</v>
      </c>
      <c r="K27" s="159">
        <f t="array" ref="K27">SUM((赋分!$B$2:$B$1666=K2)*(赋分!$G$2:$G$1666&gt;=90))/K5</f>
        <v>0.981481481481482</v>
      </c>
      <c r="L27" s="159">
        <f t="array" ref="L27">SUM((赋分!$B$2:$B$1666=L2)*(赋分!$G$2:$G$1666&gt;=90))/L5</f>
        <v>0.982456140350877</v>
      </c>
      <c r="M27" s="159">
        <f t="array" ref="M27">SUM((赋分!$B$2:$B$1666=M2)*(赋分!$G$2:$G$1666&gt;=90))/M5</f>
        <v>0.701754385964912</v>
      </c>
      <c r="N27" s="159">
        <f t="array" ref="N27">SUM((赋分!$B$2:$B$1666=N2)*(赋分!$G$2:$G$1666&gt;=90))/N5</f>
        <v>0.767857142857143</v>
      </c>
      <c r="O27" s="159">
        <f t="array" ref="O27">SUM((赋分!$B$2:$B$1666=O2)*(赋分!$G$2:$G$1666&gt;=90))/O5</f>
        <v>0.685185185185185</v>
      </c>
      <c r="P27" s="159">
        <f t="array" ref="P27">SUM((赋分!$B$2:$B$1666=P2)*(赋分!$G$2:$G$1666&gt;=90))/P5</f>
        <v>0.6</v>
      </c>
      <c r="Q27" s="159">
        <f t="array" ref="Q27">SUM((赋分!$B$2:$B$1666=Q2)*(赋分!$G$2:$G$1666&gt;=90))/Q5</f>
        <v>0.5</v>
      </c>
      <c r="R27" s="159">
        <f t="array" ref="R27">SUM((赋分!$B$2:$B$1666=R2)*(赋分!$G$2:$G$1666&gt;=90))/R5</f>
        <v>0.921052631578947</v>
      </c>
      <c r="S27" s="159">
        <f t="array" ref="S27">SUM((赋分!$B$2:$B$1666=S2)*(赋分!$G$2:$G$1666&gt;=90))/S5</f>
        <v>0.534883720930233</v>
      </c>
      <c r="T27" s="159">
        <f t="array" ref="T27">SUM((赋分!$B$2:$B$1666=T2)*(赋分!$G$2:$G$1666&gt;=90))/T5</f>
        <v>0.465116279069767</v>
      </c>
    </row>
    <row r="28" ht="15.95" customHeight="1" spans="1:20">
      <c r="A28" s="34"/>
      <c r="B28" s="34" t="s">
        <v>1780</v>
      </c>
      <c r="C28" s="159">
        <f t="array" ref="C28">SUM((赋分!$B$2:$B$1666=C2)*(赋分!$G$2:$G$1666&gt;=120))/C5</f>
        <v>0.0634920634920635</v>
      </c>
      <c r="D28" s="159">
        <f t="array" ref="D28">SUM((赋分!$B$2:$B$1666=D2)*(赋分!$G$2:$G$1666&gt;=120))/D5</f>
        <v>0</v>
      </c>
      <c r="E28" s="159">
        <f t="array" ref="E28">SUM((赋分!$B$2:$B$1666=E2)*(赋分!$G$2:$G$1666&gt;=120))/E5</f>
        <v>0.0612244897959184</v>
      </c>
      <c r="F28" s="159">
        <f t="array" ref="F28">SUM((赋分!$B$2:$B$1666=F2)*(赋分!$G$2:$G$1666&gt;=120))/F5</f>
        <v>0.0454545454545455</v>
      </c>
      <c r="G28" s="159">
        <f t="array" ref="G28">SUM((赋分!$B$2:$B$1666=G2)*(赋分!$G$2:$G$1666&gt;=120))/G5</f>
        <v>0.127659574468085</v>
      </c>
      <c r="H28" s="159">
        <f t="array" ref="H28">SUM((赋分!$B$2:$B$1666=H2)*(赋分!$G$2:$G$1666&gt;=120))/H5</f>
        <v>0.0256410256410256</v>
      </c>
      <c r="I28" s="159">
        <f t="array" ref="I28">SUM((赋分!$B$2:$B$1666=I2)*(赋分!$G$2:$G$1666&gt;=120))/I5</f>
        <v>0</v>
      </c>
      <c r="J28" s="159">
        <f t="array" ref="J28">SUM((赋分!$B$2:$B$1666=J2)*(赋分!$G$2:$G$1666&gt;=120))/J5</f>
        <v>0.087719298245614</v>
      </c>
      <c r="K28" s="159">
        <f t="array" ref="K28">SUM((赋分!$B$2:$B$1666=K2)*(赋分!$G$2:$G$1666&gt;=120))/K5</f>
        <v>0.555555555555556</v>
      </c>
      <c r="L28" s="159">
        <f t="array" ref="L28">SUM((赋分!$B$2:$B$1666=L2)*(赋分!$G$2:$G$1666&gt;=120))/L5</f>
        <v>0.0701754385964912</v>
      </c>
      <c r="M28" s="159">
        <f t="array" ref="M28">SUM((赋分!$B$2:$B$1666=M2)*(赋分!$G$2:$G$1666&gt;=120))/M5</f>
        <v>0.087719298245614</v>
      </c>
      <c r="N28" s="159">
        <f t="array" ref="N28">SUM((赋分!$B$2:$B$1666=N2)*(赋分!$G$2:$G$1666&gt;=120))/N5</f>
        <v>0</v>
      </c>
      <c r="O28" s="159">
        <f t="array" ref="O28">SUM((赋分!$B$2:$B$1666=O2)*(赋分!$G$2:$G$1666&gt;=120))/O5</f>
        <v>0.0555555555555556</v>
      </c>
      <c r="P28" s="159">
        <f t="array" ref="P28">SUM((赋分!$B$2:$B$1666=P2)*(赋分!$G$2:$G$1666&gt;=120))/P5</f>
        <v>0</v>
      </c>
      <c r="Q28" s="159">
        <f t="array" ref="Q28">SUM((赋分!$B$2:$B$1666=Q2)*(赋分!$G$2:$G$1666&gt;=120))/Q5</f>
        <v>0.0238095238095238</v>
      </c>
      <c r="R28" s="159">
        <f t="array" ref="R28">SUM((赋分!$B$2:$B$1666=R2)*(赋分!$G$2:$G$1666&gt;=120))/R5</f>
        <v>0.131578947368421</v>
      </c>
      <c r="S28" s="159">
        <f t="array" ref="S28">SUM((赋分!$B$2:$B$1666=S2)*(赋分!$G$2:$G$1666&gt;=120))/S5</f>
        <v>0</v>
      </c>
      <c r="T28" s="159">
        <f t="array" ref="T28">SUM((赋分!$B$2:$B$1666=T2)*(赋分!$G$2:$G$1666&gt;=120))/T5</f>
        <v>0</v>
      </c>
    </row>
    <row r="29" ht="15.95" customHeight="1" spans="1:20">
      <c r="A29" s="34"/>
      <c r="B29" s="34" t="s">
        <v>1781</v>
      </c>
      <c r="C29" s="40" t="s">
        <v>1791</v>
      </c>
      <c r="D29" s="41" t="s">
        <v>1792</v>
      </c>
      <c r="E29" s="40" t="s">
        <v>1763</v>
      </c>
      <c r="F29" s="40" t="s">
        <v>1793</v>
      </c>
      <c r="G29" s="40" t="s">
        <v>1765</v>
      </c>
      <c r="H29" s="40" t="s">
        <v>294</v>
      </c>
      <c r="I29" s="40" t="s">
        <v>1794</v>
      </c>
      <c r="J29" s="40" t="s">
        <v>1794</v>
      </c>
      <c r="K29" s="40" t="s">
        <v>1769</v>
      </c>
      <c r="L29" s="40" t="s">
        <v>1770</v>
      </c>
      <c r="M29" s="40" t="s">
        <v>1763</v>
      </c>
      <c r="N29" s="40" t="s">
        <v>1795</v>
      </c>
      <c r="O29" s="40" t="s">
        <v>1777</v>
      </c>
      <c r="P29" s="40" t="s">
        <v>1774</v>
      </c>
      <c r="Q29" s="40" t="s">
        <v>1765</v>
      </c>
      <c r="R29" s="40" t="s">
        <v>1776</v>
      </c>
      <c r="S29" s="40" t="s">
        <v>1777</v>
      </c>
      <c r="T29" s="40" t="s">
        <v>1774</v>
      </c>
    </row>
    <row r="30" ht="15.95" customHeight="1" spans="1:20">
      <c r="A30" s="9" t="s">
        <v>7</v>
      </c>
      <c r="B30" s="9" t="s">
        <v>1756</v>
      </c>
      <c r="C30" s="39">
        <f>AVERAGEIFS(赋分!$H$2:$H$1666,赋分!$B$2:$B$1666,C2)</f>
        <v>93.4722222222222</v>
      </c>
      <c r="D30" s="39">
        <f>AVERAGEIFS(赋分!$H$2:$H$1666,赋分!$B$2:$B$1666,D2)</f>
        <v>97.5572916666667</v>
      </c>
      <c r="E30" s="39">
        <f>AVERAGEIFS(赋分!$H$2:$H$1666,赋分!$B$2:$B$1666,E2)</f>
        <v>95.0663265306122</v>
      </c>
      <c r="F30" s="39">
        <f>AVERAGEIFS(赋分!$H$2:$H$1666,赋分!$B$2:$B$1666,F2)</f>
        <v>94.4545454545455</v>
      </c>
      <c r="G30" s="39">
        <f>AVERAGEIFS(赋分!$H$2:$H$1666,赋分!$B$2:$B$1666,G2)</f>
        <v>94.9414893617021</v>
      </c>
      <c r="H30" s="39">
        <f>AVERAGEIFS(赋分!$H$2:$H$1666,赋分!$B$2:$B$1666,H2)</f>
        <v>92.8397435897436</v>
      </c>
      <c r="I30" s="39">
        <f>AVERAGEIFS(赋分!$H$2:$H$1666,赋分!$B$2:$B$1666,I2)</f>
        <v>85.1184210526316</v>
      </c>
      <c r="J30" s="39">
        <f>AVERAGEIFS(赋分!$H$2:$H$1666,赋分!$B$2:$B$1666,J2)</f>
        <v>90.2850877192982</v>
      </c>
      <c r="K30" s="39">
        <f>AVERAGEIFS(赋分!$H$2:$H$1666,赋分!$B$2:$B$1666,K2)</f>
        <v>112.981481481481</v>
      </c>
      <c r="L30" s="39">
        <f>AVERAGEIFS(赋分!$H$2:$H$1666,赋分!$B$2:$B$1666,L2)</f>
        <v>102.394736842105</v>
      </c>
      <c r="M30" s="39">
        <f>AVERAGEIFS(赋分!$H$2:$H$1666,赋分!$B$2:$B$1666,M2)</f>
        <v>89.2456140350877</v>
      </c>
      <c r="N30" s="39">
        <f>AVERAGEIFS(赋分!$H$2:$H$1666,赋分!$B$2:$B$1666,N2)</f>
        <v>87.4598214285714</v>
      </c>
      <c r="O30" s="39">
        <f>AVERAGEIFS(赋分!$H$2:$H$1666,赋分!$B$2:$B$1666,O2)</f>
        <v>88.6203703703704</v>
      </c>
      <c r="P30" s="39">
        <f>AVERAGEIFS(赋分!$H$2:$H$1666,赋分!$B$2:$B$1666,P2)</f>
        <v>99.6125</v>
      </c>
      <c r="Q30" s="39">
        <f>AVERAGEIFS(赋分!$H$2:$H$1666,赋分!$B$2:$B$1666,Q2)</f>
        <v>99.3154761904762</v>
      </c>
      <c r="R30" s="39">
        <f>AVERAGEIFS(赋分!$H$2:$H$1666,赋分!$B$2:$B$1666,R2)</f>
        <v>118.960526315789</v>
      </c>
      <c r="S30" s="39">
        <f>AVERAGEIFS(赋分!$H$2:$H$1666,赋分!$B$2:$B$1666,S2)</f>
        <v>100.331395348837</v>
      </c>
      <c r="T30" s="39">
        <f>AVERAGEIFS(赋分!$H$2:$H$1666,赋分!$B$2:$B$1666,T2)</f>
        <v>98.7906976744186</v>
      </c>
    </row>
    <row r="31" ht="15.95" customHeight="1" spans="1:20">
      <c r="A31" s="9"/>
      <c r="B31" s="9" t="s">
        <v>1758</v>
      </c>
      <c r="C31" s="9">
        <f t="shared" ref="C31:T31" si="8">RANK(C30,$C$30:$T$30)</f>
        <v>12</v>
      </c>
      <c r="D31" s="9">
        <f t="shared" si="8"/>
        <v>8</v>
      </c>
      <c r="E31" s="9">
        <f t="shared" si="8"/>
        <v>9</v>
      </c>
      <c r="F31" s="9">
        <f t="shared" si="8"/>
        <v>11</v>
      </c>
      <c r="G31" s="9">
        <f t="shared" si="8"/>
        <v>10</v>
      </c>
      <c r="H31" s="9">
        <f t="shared" si="8"/>
        <v>13</v>
      </c>
      <c r="I31" s="9">
        <f t="shared" si="8"/>
        <v>18</v>
      </c>
      <c r="J31" s="9">
        <f t="shared" si="8"/>
        <v>14</v>
      </c>
      <c r="K31" s="9">
        <f t="shared" si="8"/>
        <v>2</v>
      </c>
      <c r="L31" s="9">
        <f t="shared" si="8"/>
        <v>3</v>
      </c>
      <c r="M31" s="9">
        <f t="shared" si="8"/>
        <v>15</v>
      </c>
      <c r="N31" s="9">
        <f t="shared" si="8"/>
        <v>17</v>
      </c>
      <c r="O31" s="9">
        <f t="shared" si="8"/>
        <v>16</v>
      </c>
      <c r="P31" s="9">
        <f t="shared" si="8"/>
        <v>5</v>
      </c>
      <c r="Q31" s="9">
        <f t="shared" si="8"/>
        <v>6</v>
      </c>
      <c r="R31" s="9">
        <f t="shared" si="8"/>
        <v>1</v>
      </c>
      <c r="S31" s="9">
        <f t="shared" si="8"/>
        <v>4</v>
      </c>
      <c r="T31" s="9">
        <f t="shared" si="8"/>
        <v>7</v>
      </c>
    </row>
    <row r="32" ht="15.95" customHeight="1" spans="1:20">
      <c r="A32" s="9"/>
      <c r="B32" s="9" t="s">
        <v>1759</v>
      </c>
      <c r="C32" s="39">
        <f t="shared" ref="C32:T32" si="9">C30-$E$9</f>
        <v>-2.95556834164428</v>
      </c>
      <c r="D32" s="39">
        <f t="shared" si="9"/>
        <v>1.12950110280016</v>
      </c>
      <c r="E32" s="39">
        <f t="shared" si="9"/>
        <v>-1.36146403325426</v>
      </c>
      <c r="F32" s="39">
        <f t="shared" si="9"/>
        <v>-1.97324510932106</v>
      </c>
      <c r="G32" s="39">
        <f t="shared" si="9"/>
        <v>-1.48630120216438</v>
      </c>
      <c r="H32" s="39">
        <f t="shared" si="9"/>
        <v>-3.58804697412292</v>
      </c>
      <c r="I32" s="39">
        <f t="shared" si="9"/>
        <v>-11.3093695112349</v>
      </c>
      <c r="J32" s="39">
        <f t="shared" si="9"/>
        <v>-6.14270284456826</v>
      </c>
      <c r="K32" s="39">
        <f t="shared" si="9"/>
        <v>16.553690917615</v>
      </c>
      <c r="L32" s="39">
        <f t="shared" si="9"/>
        <v>5.96694627823875</v>
      </c>
      <c r="M32" s="39">
        <f t="shared" si="9"/>
        <v>-7.18217652877878</v>
      </c>
      <c r="N32" s="39">
        <f t="shared" si="9"/>
        <v>-8.96796913529508</v>
      </c>
      <c r="O32" s="39">
        <f t="shared" si="9"/>
        <v>-7.80742019349614</v>
      </c>
      <c r="P32" s="39">
        <f t="shared" si="9"/>
        <v>3.18470943613349</v>
      </c>
      <c r="Q32" s="39">
        <f t="shared" si="9"/>
        <v>2.88768562660968</v>
      </c>
      <c r="R32" s="39">
        <f t="shared" si="9"/>
        <v>22.532735751923</v>
      </c>
      <c r="S32" s="39">
        <f t="shared" si="9"/>
        <v>3.9036047849707</v>
      </c>
      <c r="T32" s="39">
        <f t="shared" si="9"/>
        <v>2.3629071105521</v>
      </c>
    </row>
    <row r="33" ht="15.95" customHeight="1" spans="1:20">
      <c r="A33" s="9"/>
      <c r="B33" s="9" t="s">
        <v>1779</v>
      </c>
      <c r="C33" s="158">
        <f t="array" ref="C33">SUM((赋分!$B$2:$B$1666=C2)*(赋分!$H$2:$H$1666&gt;=90))/C5</f>
        <v>0.603174603174603</v>
      </c>
      <c r="D33" s="158">
        <f t="array" ref="D33">SUM((赋分!$B$2:$B$1666=D2)*(赋分!$H$2:$H$1666&gt;=90))/D5</f>
        <v>0.770833333333333</v>
      </c>
      <c r="E33" s="158">
        <f t="array" ref="E33">SUM((赋分!$B$2:$B$1666=E2)*(赋分!$H$2:$H$1666&gt;=90))/E5</f>
        <v>0.612244897959184</v>
      </c>
      <c r="F33" s="158">
        <f t="array" ref="F33">SUM((赋分!$B$2:$B$1666=F2)*(赋分!$H$2:$H$1666&gt;=90))/F5</f>
        <v>0.727272727272727</v>
      </c>
      <c r="G33" s="158">
        <f t="array" ref="G33">SUM((赋分!$B$2:$B$1666=G2)*(赋分!$H$2:$H$1666&gt;=90))/G5</f>
        <v>0.659574468085106</v>
      </c>
      <c r="H33" s="158">
        <f t="array" ref="H33">SUM((赋分!$B$2:$B$1666=H2)*(赋分!$H$2:$H$1666&gt;=90))/H5</f>
        <v>0.615384615384615</v>
      </c>
      <c r="I33" s="158">
        <f t="array" ref="I33">SUM((赋分!$B$2:$B$1666=I2)*(赋分!$H$2:$H$1666&gt;=90))/I5</f>
        <v>0.368421052631579</v>
      </c>
      <c r="J33" s="158">
        <f t="array" ref="J33">SUM((赋分!$B$2:$B$1666=J2)*(赋分!$H$2:$H$1666&gt;=90))/J5</f>
        <v>0.526315789473684</v>
      </c>
      <c r="K33" s="158">
        <f t="array" ref="K33">SUM((赋分!$B$2:$B$1666=K2)*(赋分!$H$2:$H$1666&gt;=90))/K5</f>
        <v>0.981481481481482</v>
      </c>
      <c r="L33" s="158">
        <f t="array" ref="L33">SUM((赋分!$B$2:$B$1666=L2)*(赋分!$H$2:$H$1666&gt;=90))/L5</f>
        <v>0.859649122807018</v>
      </c>
      <c r="M33" s="158">
        <f t="array" ref="M33">SUM((赋分!$B$2:$B$1666=M2)*(赋分!$H$2:$H$1666&gt;=90))/M5</f>
        <v>0.56140350877193</v>
      </c>
      <c r="N33" s="158">
        <f t="array" ref="N33">SUM((赋分!$B$2:$B$1666=N2)*(赋分!$H$2:$H$1666&gt;=90))/N5</f>
        <v>0.517857142857143</v>
      </c>
      <c r="O33" s="158">
        <f t="array" ref="O33">SUM((赋分!$B$2:$B$1666=O2)*(赋分!$H$2:$H$1666&gt;=90))/O5</f>
        <v>0.444444444444444</v>
      </c>
      <c r="P33" s="158">
        <f t="array" ref="P33">SUM((赋分!$B$2:$B$1666=P2)*(赋分!$H$2:$H$1666&gt;=90))/P5</f>
        <v>0.8</v>
      </c>
      <c r="Q33" s="158">
        <f t="array" ref="Q33">SUM((赋分!$B$2:$B$1666=Q2)*(赋分!$H$2:$H$1666&gt;=90))/Q5</f>
        <v>0.761904761904762</v>
      </c>
      <c r="R33" s="158">
        <f t="array" ref="R33">SUM((赋分!$B$2:$B$1666=R2)*(赋分!$H$2:$H$1666&gt;=90))/R5</f>
        <v>1</v>
      </c>
      <c r="S33" s="158">
        <f t="array" ref="S33">SUM((赋分!$B$2:$B$1666=S2)*(赋分!$H$2:$H$1666&gt;=90))/S5</f>
        <v>0.767441860465116</v>
      </c>
      <c r="T33" s="158">
        <f t="array" ref="T33">SUM((赋分!$B$2:$B$1666=T2)*(赋分!$H$2:$H$1666&gt;=90))/T5</f>
        <v>0.697674418604651</v>
      </c>
    </row>
    <row r="34" ht="15.95" customHeight="1" spans="1:20">
      <c r="A34" s="9"/>
      <c r="B34" s="9" t="s">
        <v>1780</v>
      </c>
      <c r="C34" s="158">
        <f t="array" ref="C34">SUM((赋分!$B$2:$B$1666=C2)*(赋分!$H$2:$H$1666&gt;=120))/C5</f>
        <v>0.0158730158730159</v>
      </c>
      <c r="D34" s="158">
        <f t="array" ref="D34">SUM((赋分!$B$2:$B$1666=D2)*(赋分!$H$2:$H$1666&gt;=120))/D5</f>
        <v>0.0625</v>
      </c>
      <c r="E34" s="158">
        <f t="array" ref="E34">SUM((赋分!$B$2:$B$1666=E2)*(赋分!$H$2:$H$1666&gt;=120))/E5</f>
        <v>0.0204081632653061</v>
      </c>
      <c r="F34" s="158">
        <f t="array" ref="F34">SUM((赋分!$B$2:$B$1666=F2)*(赋分!$H$2:$H$1666&gt;=120))/F5</f>
        <v>0</v>
      </c>
      <c r="G34" s="158">
        <f t="array" ref="G34">SUM((赋分!$B$2:$B$1666=G2)*(赋分!$H$2:$H$1666&gt;=120))/G5</f>
        <v>0</v>
      </c>
      <c r="H34" s="158">
        <f t="array" ref="H34">SUM((赋分!$B$2:$B$1666=H2)*(赋分!$H$2:$H$1666&gt;=120))/H5</f>
        <v>0</v>
      </c>
      <c r="I34" s="158">
        <f t="array" ref="I34">SUM((赋分!$B$2:$B$1666=I2)*(赋分!$H$2:$H$1666&gt;=120))/I5</f>
        <v>0.0263157894736842</v>
      </c>
      <c r="J34" s="158">
        <f t="array" ref="J34">SUM((赋分!$B$2:$B$1666=J2)*(赋分!$H$2:$H$1666&gt;=120))/J5</f>
        <v>0</v>
      </c>
      <c r="K34" s="158">
        <f t="array" ref="K34">SUM((赋分!$B$2:$B$1666=K2)*(赋分!$H$2:$H$1666&gt;=120))/K5</f>
        <v>0.259259259259259</v>
      </c>
      <c r="L34" s="158">
        <f t="array" ref="L34">SUM((赋分!$B$2:$B$1666=L2)*(赋分!$H$2:$H$1666&gt;=120))/L5</f>
        <v>0.0175438596491228</v>
      </c>
      <c r="M34" s="158">
        <f t="array" ref="M34">SUM((赋分!$B$2:$B$1666=M2)*(赋分!$H$2:$H$1666&gt;=120))/M5</f>
        <v>0</v>
      </c>
      <c r="N34" s="158">
        <f t="array" ref="N34">SUM((赋分!$B$2:$B$1666=N2)*(赋分!$H$2:$H$1666&gt;=120))/N5</f>
        <v>0.0357142857142857</v>
      </c>
      <c r="O34" s="158">
        <f t="array" ref="O34">SUM((赋分!$B$2:$B$1666=O2)*(赋分!$H$2:$H$1666&gt;=120))/O5</f>
        <v>0</v>
      </c>
      <c r="P34" s="158">
        <f t="array" ref="P34">SUM((赋分!$B$2:$B$1666=P2)*(赋分!$H$2:$H$1666&gt;=120))/P5</f>
        <v>0</v>
      </c>
      <c r="Q34" s="158">
        <f t="array" ref="Q34">SUM((赋分!$B$2:$B$1666=Q2)*(赋分!$H$2:$H$1666&gt;=120))/Q5</f>
        <v>0.0714285714285714</v>
      </c>
      <c r="R34" s="158">
        <f t="array" ref="R34">SUM((赋分!$B$2:$B$1666=R2)*(赋分!$H$2:$H$1666&gt;=120))/R5</f>
        <v>0.5</v>
      </c>
      <c r="S34" s="158">
        <f t="array" ref="S34">SUM((赋分!$B$2:$B$1666=S2)*(赋分!$H$2:$H$1666&gt;=120))/S5</f>
        <v>0</v>
      </c>
      <c r="T34" s="158">
        <f t="array" ref="T34">SUM((赋分!$B$2:$B$1666=T2)*(赋分!$H$2:$H$1666&gt;=120))/T5</f>
        <v>0.0465116279069767</v>
      </c>
    </row>
    <row r="35" ht="15.95" customHeight="1" spans="1:20">
      <c r="A35" s="9"/>
      <c r="B35" s="9" t="s">
        <v>1781</v>
      </c>
      <c r="C35" s="40" t="s">
        <v>1796</v>
      </c>
      <c r="D35" s="40" t="s">
        <v>1797</v>
      </c>
      <c r="E35" s="40" t="s">
        <v>1798</v>
      </c>
      <c r="F35" s="40" t="s">
        <v>1764</v>
      </c>
      <c r="G35" s="40" t="s">
        <v>1798</v>
      </c>
      <c r="H35" s="40" t="s">
        <v>1799</v>
      </c>
      <c r="I35" s="40" t="s">
        <v>1767</v>
      </c>
      <c r="J35" s="40" t="s">
        <v>1764</v>
      </c>
      <c r="K35" s="40" t="s">
        <v>1800</v>
      </c>
      <c r="L35" s="40" t="s">
        <v>1801</v>
      </c>
      <c r="M35" s="40" t="s">
        <v>1767</v>
      </c>
      <c r="N35" s="40" t="s">
        <v>1802</v>
      </c>
      <c r="O35" s="40" t="s">
        <v>1803</v>
      </c>
      <c r="P35" s="40" t="s">
        <v>1803</v>
      </c>
      <c r="Q35" s="40" t="s">
        <v>1799</v>
      </c>
      <c r="R35" s="40" t="s">
        <v>1804</v>
      </c>
      <c r="S35" s="40" t="s">
        <v>1805</v>
      </c>
      <c r="T35" s="40" t="s">
        <v>1797</v>
      </c>
    </row>
    <row r="36" ht="15.95" customHeight="1" spans="1:20">
      <c r="A36" s="42" t="s">
        <v>1886</v>
      </c>
      <c r="B36" s="34" t="s">
        <v>1756</v>
      </c>
      <c r="C36" s="35">
        <f>AVERAGEIFS(赋分!$I$2:$I$1666,赋分!$B$2:$B$1666,C2)</f>
        <v>48.5634920634921</v>
      </c>
      <c r="D36" s="35">
        <f>AVERAGEIFS(赋分!$I$2:$I$1666,赋分!$B$2:$B$1666,D2)</f>
        <v>46.3229166666667</v>
      </c>
      <c r="E36" s="35">
        <f>AVERAGEIFS(赋分!$I$2:$I$1666,赋分!$B$2:$B$1666,E2)</f>
        <v>49.4285714285714</v>
      </c>
      <c r="F36" s="35">
        <f>AVERAGEIFS(赋分!$I$2:$I$1666,赋分!$B$2:$B$1666,F2)</f>
        <v>47.1931818181818</v>
      </c>
      <c r="G36" s="35">
        <f>AVERAGEIFS(赋分!$I$2:$I$1666,赋分!$B$2:$B$1666,G2)</f>
        <v>49.4148936170213</v>
      </c>
      <c r="H36" s="35">
        <f>AVERAGEIFS(赋分!$I$2:$I$1666,赋分!$B$2:$B$1666,H2)</f>
        <v>49.3076923076923</v>
      </c>
      <c r="I36" s="35">
        <f>AVERAGEIFS(赋分!$I$2:$I$1666,赋分!$B$2:$B$1666,I2)</f>
        <v>39.7368421052632</v>
      </c>
      <c r="J36" s="35">
        <f>AVERAGEIFS(赋分!$I$2:$I$1666,赋分!$B$2:$B$1666,J2)</f>
        <v>52.1315789473684</v>
      </c>
      <c r="K36" s="35">
        <f>AVERAGEIFS(赋分!$I$2:$I$1666,赋分!$B$2:$B$1666,K2)</f>
        <v>70.8240740740741</v>
      </c>
      <c r="L36" s="35">
        <f>AVERAGEIFS(赋分!$I$2:$I$1666,赋分!$B$2:$B$1666,L2)</f>
        <v>63.2982456140351</v>
      </c>
      <c r="M36" s="35">
        <f>AVERAGEIFS(赋分!$I$2:$I$1666,赋分!$B$2:$B$1666,M2)</f>
        <v>45.8947368421053</v>
      </c>
      <c r="N36" s="35">
        <f>AVERAGEIFS(赋分!$I$2:$I$1666,赋分!$B$2:$B$1666,N2)</f>
        <v>46.9285714285714</v>
      </c>
      <c r="O36" s="35">
        <f>AVERAGEIFS(赋分!$I$2:$I$1666,赋分!$B$2:$B$1666,O2)</f>
        <v>49.6574074074074</v>
      </c>
      <c r="P36" s="39">
        <f>AVERAGEIFS(赋分!$J$2:$J$1666,赋分!$B$2:$B$1666,P2)</f>
        <v>56.34375</v>
      </c>
      <c r="Q36" s="39">
        <f>AVERAGEIFS(赋分!$J$2:$J$1666,赋分!$B$2:$B$1666,Q2)</f>
        <v>55.6964285714286</v>
      </c>
      <c r="R36" s="39">
        <f>AVERAGEIFS(赋分!$J$2:$J$1666,赋分!$B$2:$B$1666,R2)</f>
        <v>62.4934210526316</v>
      </c>
      <c r="S36" s="39">
        <f>AVERAGEIFS(赋分!$J$2:$J$1666,赋分!$B$2:$B$1666,S2)</f>
        <v>55.6976744186046</v>
      </c>
      <c r="T36" s="39">
        <f>AVERAGEIFS(赋分!$J$2:$J$1666,赋分!$B$2:$B$1666,T2)</f>
        <v>54.4767441860465</v>
      </c>
    </row>
    <row r="37" ht="15.95" customHeight="1" spans="1:20">
      <c r="A37" s="42"/>
      <c r="B37" s="34" t="s">
        <v>1758</v>
      </c>
      <c r="C37" s="34">
        <f>RANK(C36,$C$36:$O$36)</f>
        <v>8</v>
      </c>
      <c r="D37" s="34">
        <f t="shared" ref="D37:O37" si="10">RANK(D36,$C$36:$O$36)</f>
        <v>11</v>
      </c>
      <c r="E37" s="34">
        <f t="shared" si="10"/>
        <v>5</v>
      </c>
      <c r="F37" s="34">
        <f t="shared" si="10"/>
        <v>9</v>
      </c>
      <c r="G37" s="34">
        <f t="shared" si="10"/>
        <v>6</v>
      </c>
      <c r="H37" s="34">
        <f t="shared" si="10"/>
        <v>7</v>
      </c>
      <c r="I37" s="34">
        <f t="shared" si="10"/>
        <v>13</v>
      </c>
      <c r="J37" s="34">
        <f t="shared" si="10"/>
        <v>3</v>
      </c>
      <c r="K37" s="34">
        <f t="shared" si="10"/>
        <v>1</v>
      </c>
      <c r="L37" s="34">
        <f t="shared" si="10"/>
        <v>2</v>
      </c>
      <c r="M37" s="34">
        <f t="shared" si="10"/>
        <v>12</v>
      </c>
      <c r="N37" s="34">
        <f t="shared" si="10"/>
        <v>10</v>
      </c>
      <c r="O37" s="34">
        <f t="shared" si="10"/>
        <v>4</v>
      </c>
      <c r="P37" s="9">
        <f>RANK(P36,$P$36:$T$36)</f>
        <v>2</v>
      </c>
      <c r="Q37" s="9">
        <f>RANK(Q36,$P$36:$T$36)</f>
        <v>4</v>
      </c>
      <c r="R37" s="9">
        <f>RANK(R36,$P$36:$T$36)</f>
        <v>1</v>
      </c>
      <c r="S37" s="9">
        <f>RANK(S36,$P$36:$T$36)</f>
        <v>3</v>
      </c>
      <c r="T37" s="9">
        <f>RANK(T36,$P$36:$T$36)</f>
        <v>5</v>
      </c>
    </row>
    <row r="38" ht="15.95" customHeight="1" spans="1:20">
      <c r="A38" s="42"/>
      <c r="B38" s="34" t="s">
        <v>1759</v>
      </c>
      <c r="C38" s="35">
        <f t="shared" ref="C38:O38" si="11">C36-$F$9</f>
        <v>-2.51720175249587</v>
      </c>
      <c r="D38" s="35">
        <f t="shared" si="11"/>
        <v>-4.75777714932127</v>
      </c>
      <c r="E38" s="35">
        <f t="shared" si="11"/>
        <v>-1.6521223874165</v>
      </c>
      <c r="F38" s="35">
        <f t="shared" si="11"/>
        <v>-3.88751199780611</v>
      </c>
      <c r="G38" s="35">
        <f t="shared" si="11"/>
        <v>-1.66580019896666</v>
      </c>
      <c r="H38" s="35">
        <f t="shared" si="11"/>
        <v>-1.77300150829563</v>
      </c>
      <c r="I38" s="35">
        <f t="shared" si="11"/>
        <v>-11.3438517107248</v>
      </c>
      <c r="J38" s="35">
        <f t="shared" si="11"/>
        <v>1.05088513138048</v>
      </c>
      <c r="K38" s="35">
        <f t="shared" si="11"/>
        <v>19.7433802580861</v>
      </c>
      <c r="L38" s="35">
        <f t="shared" si="11"/>
        <v>12.2175517980472</v>
      </c>
      <c r="M38" s="35">
        <f t="shared" si="11"/>
        <v>-5.18595697388267</v>
      </c>
      <c r="N38" s="35">
        <f t="shared" si="11"/>
        <v>-4.1521223874165</v>
      </c>
      <c r="O38" s="35">
        <f t="shared" si="11"/>
        <v>-1.42328640858053</v>
      </c>
      <c r="P38" s="39">
        <f t="shared" ref="P38:T38" si="12">P36-$G$9</f>
        <v>-0.477851941747574</v>
      </c>
      <c r="Q38" s="39">
        <f t="shared" si="12"/>
        <v>-1.125173370319</v>
      </c>
      <c r="R38" s="39">
        <f t="shared" si="12"/>
        <v>5.67181911088401</v>
      </c>
      <c r="S38" s="39">
        <f t="shared" si="12"/>
        <v>-1.12392752314292</v>
      </c>
      <c r="T38" s="39">
        <f t="shared" si="12"/>
        <v>-2.34485775570106</v>
      </c>
    </row>
    <row r="39" ht="15.95" customHeight="1" spans="1:20">
      <c r="A39" s="42"/>
      <c r="B39" s="34" t="s">
        <v>1779</v>
      </c>
      <c r="C39" s="159">
        <f t="array" ref="C39">SUM((赋分!$B$2:$B$1666=C2)*(赋分!$I$2:$I$1666&gt;=60))/C5</f>
        <v>0.19047619047619</v>
      </c>
      <c r="D39" s="159">
        <f t="array" ref="D39">SUM((赋分!$B$2:$B$1666=D2)*(赋分!$I$2:$I$1666&gt;=60))/D5</f>
        <v>0.166666666666667</v>
      </c>
      <c r="E39" s="159">
        <f t="array" ref="E39">SUM((赋分!$B$2:$B$1666=E2)*(赋分!$I$2:$I$1666&gt;=60))/E5</f>
        <v>0.244897959183673</v>
      </c>
      <c r="F39" s="159">
        <f t="array" ref="F39">SUM((赋分!$B$2:$B$1666=F2)*(赋分!$I$2:$I$1666&gt;=60))/F5</f>
        <v>0.0909090909090909</v>
      </c>
      <c r="G39" s="159">
        <f t="array" ref="G39">SUM((赋分!$B$2:$B$1666=G2)*(赋分!$I$2:$I$1666&gt;=60))/G5</f>
        <v>0.234042553191489</v>
      </c>
      <c r="H39" s="159">
        <f t="array" ref="H39">SUM((赋分!$B$2:$B$1666=H2)*(赋分!$I$2:$I$1666&gt;=60))/H5</f>
        <v>0.230769230769231</v>
      </c>
      <c r="I39" s="159">
        <f t="array" ref="I39">SUM((赋分!$B$2:$B$1666=I2)*(赋分!$I$2:$I$1666&gt;=60))/I5</f>
        <v>0.0526315789473684</v>
      </c>
      <c r="J39" s="159">
        <f t="array" ref="J39">SUM((赋分!$B$2:$B$1666=J2)*(赋分!$I$2:$I$1666&gt;=60))/J5</f>
        <v>0.298245614035088</v>
      </c>
      <c r="K39" s="159">
        <f t="array" ref="K39">SUM((赋分!$B$2:$B$1666=K2)*(赋分!$I$2:$I$1666&gt;=60))/K5</f>
        <v>0.851851851851852</v>
      </c>
      <c r="L39" s="159">
        <f t="array" ref="L39">SUM((赋分!$B$2:$B$1666=L2)*(赋分!$I$2:$I$1666&gt;=60))/L5</f>
        <v>0.701754385964912</v>
      </c>
      <c r="M39" s="159">
        <f t="array" ref="M39">SUM((赋分!$B$2:$B$1666=M2)*(赋分!$I$2:$I$1666&gt;=60))/M5</f>
        <v>0.157894736842105</v>
      </c>
      <c r="N39" s="159">
        <f t="array" ref="N39">SUM((赋分!$B$2:$B$1666=N2)*(赋分!$I$2:$I$1666&gt;=60))/N5</f>
        <v>0.178571428571429</v>
      </c>
      <c r="O39" s="159">
        <f t="array" ref="O39">SUM((赋分!$B$2:$B$1666=O2)*(赋分!$I$2:$I$1666&gt;=60))/O5</f>
        <v>0.259259259259259</v>
      </c>
      <c r="P39" s="158">
        <f t="array" ref="P39">SUM((赋分!$B$2:$B$1666=P2)*(赋分!$J$2:$J$1666&gt;=60))/P5</f>
        <v>0.325</v>
      </c>
      <c r="Q39" s="158">
        <f t="array" ref="Q39">SUM((赋分!$B$2:$B$1666=Q2)*(赋分!$J$2:$J$1666&gt;=60))/Q5</f>
        <v>0.214285714285714</v>
      </c>
      <c r="R39" s="158">
        <f t="array" ref="R39">SUM((赋分!$B$2:$B$1666=R2)*(赋分!$J$2:$J$1666&gt;=60))/R5</f>
        <v>0.631578947368421</v>
      </c>
      <c r="S39" s="158">
        <f t="array" ref="S39">SUM((赋分!$B$2:$B$1666=S2)*(赋分!$J$2:$J$1666&gt;=60))/S5</f>
        <v>0.27906976744186</v>
      </c>
      <c r="T39" s="158">
        <f t="array" ref="T39">SUM((赋分!$B$2:$B$1666=T2)*(赋分!$J$2:$J$1666&gt;=60))/T5</f>
        <v>0.232558139534884</v>
      </c>
    </row>
    <row r="40" ht="15.95" customHeight="1" spans="1:20">
      <c r="A40" s="42"/>
      <c r="B40" s="34" t="s">
        <v>1780</v>
      </c>
      <c r="C40" s="159">
        <f t="array" ref="C40">SUM((赋分!$B$2:$B$1666=C2)*(赋分!$I$2:$I$1666&gt;=80))/C5</f>
        <v>0</v>
      </c>
      <c r="D40" s="159">
        <f t="array" ref="D40">SUM((赋分!$B$2:$B$1666=D2)*(赋分!$I$2:$I$1666&gt;=80))/D5</f>
        <v>0</v>
      </c>
      <c r="E40" s="159">
        <f t="array" ref="E40">SUM((赋分!$B$2:$B$1666=E2)*(赋分!$I$2:$I$1666&gt;=80))/E5</f>
        <v>0.0204081632653061</v>
      </c>
      <c r="F40" s="159">
        <f t="array" ref="F40">SUM((赋分!$B$2:$B$1666=F2)*(赋分!$I$2:$I$1666&gt;=80))/F5</f>
        <v>0</v>
      </c>
      <c r="G40" s="159">
        <f t="array" ref="G40">SUM((赋分!$B$2:$B$1666=G2)*(赋分!$I$2:$I$1666&gt;=80))/G5</f>
        <v>0.0212765957446809</v>
      </c>
      <c r="H40" s="159">
        <f t="array" ref="H40">SUM((赋分!$B$2:$B$1666=H2)*(赋分!$I$2:$I$1666&gt;=80))/H5</f>
        <v>0.0256410256410256</v>
      </c>
      <c r="I40" s="159">
        <f t="array" ref="I40">SUM((赋分!$B$2:$B$1666=I2)*(赋分!$I$2:$I$1666&gt;=80))/I5</f>
        <v>0</v>
      </c>
      <c r="J40" s="159">
        <f t="array" ref="J40">SUM((赋分!$B$2:$B$1666=J2)*(赋分!$I$2:$I$1666&gt;=80))/J5</f>
        <v>0</v>
      </c>
      <c r="K40" s="159">
        <f t="array" ref="K40">SUM((赋分!$B$2:$B$1666=K2)*(赋分!$I$2:$I$1666&gt;=80))/K5</f>
        <v>0.12962962962963</v>
      </c>
      <c r="L40" s="159">
        <f t="array" ref="L40">SUM((赋分!$B$2:$B$1666=L2)*(赋分!$I$2:$I$1666&gt;=80))/L5</f>
        <v>0.0526315789473684</v>
      </c>
      <c r="M40" s="159">
        <f t="array" ref="M40">SUM((赋分!$B$2:$B$1666=M2)*(赋分!$I$2:$I$1666&gt;=80))/M5</f>
        <v>0</v>
      </c>
      <c r="N40" s="159">
        <f t="array" ref="N40">SUM((赋分!$B$2:$B$1666=N2)*(赋分!$I$2:$I$1666&gt;=80))/N5</f>
        <v>0</v>
      </c>
      <c r="O40" s="159">
        <f t="array" ref="O40">SUM((赋分!$B$2:$B$1666=O2)*(赋分!$I$2:$I$1666&gt;=80))/O5</f>
        <v>0</v>
      </c>
      <c r="P40" s="159">
        <f t="array" ref="P40">SUM((赋分!$B$2:$B$1666=P2)*(赋分!$J$2:$J$1666&gt;=80))/P5</f>
        <v>0</v>
      </c>
      <c r="Q40" s="159">
        <f t="array" ref="Q40">SUM((赋分!$B$2:$B$1666=Q2)*(赋分!$J$2:$J$1666&gt;=80))/Q5</f>
        <v>0</v>
      </c>
      <c r="R40" s="159">
        <f t="array" ref="R40">SUM((赋分!$B$2:$B$1666=R2)*(赋分!$J$2:$J$1666&gt;=80))/R5</f>
        <v>0.0263157894736842</v>
      </c>
      <c r="S40" s="159">
        <f t="array" ref="S40">SUM((赋分!$B$2:$B$1666=S2)*(赋分!$J$2:$J$1666&gt;=80))/S5</f>
        <v>0</v>
      </c>
      <c r="T40" s="159">
        <f t="array" ref="T40">SUM((赋分!$B$2:$B$1666=T2)*(赋分!$J$2:$J$1666&gt;=80))/T5</f>
        <v>0</v>
      </c>
    </row>
    <row r="41" ht="15.95" customHeight="1" spans="1:20">
      <c r="A41" s="42"/>
      <c r="B41" s="34" t="s">
        <v>1781</v>
      </c>
      <c r="C41" s="40" t="s">
        <v>1761</v>
      </c>
      <c r="D41" s="13" t="s">
        <v>1766</v>
      </c>
      <c r="E41" s="40" t="s">
        <v>1807</v>
      </c>
      <c r="F41" s="40" t="s">
        <v>1808</v>
      </c>
      <c r="G41" s="40" t="s">
        <v>1809</v>
      </c>
      <c r="H41" s="13" t="s">
        <v>1766</v>
      </c>
      <c r="I41" s="40" t="s">
        <v>1810</v>
      </c>
      <c r="J41" s="40" t="s">
        <v>1768</v>
      </c>
      <c r="K41" s="40" t="s">
        <v>1811</v>
      </c>
      <c r="L41" s="40" t="s">
        <v>1768</v>
      </c>
      <c r="M41" s="40" t="s">
        <v>1809</v>
      </c>
      <c r="N41" s="40" t="s">
        <v>1807</v>
      </c>
      <c r="O41" s="40" t="s">
        <v>1761</v>
      </c>
      <c r="P41" s="40" t="s">
        <v>1812</v>
      </c>
      <c r="Q41" s="40" t="s">
        <v>1775</v>
      </c>
      <c r="R41" s="40" t="s">
        <v>1813</v>
      </c>
      <c r="S41" s="40" t="s">
        <v>1814</v>
      </c>
      <c r="T41" s="40" t="s">
        <v>1814</v>
      </c>
    </row>
    <row r="42" ht="15.95" customHeight="1" spans="1:20">
      <c r="A42" s="34" t="s">
        <v>10</v>
      </c>
      <c r="B42" s="34" t="s">
        <v>1756</v>
      </c>
      <c r="C42" s="35">
        <f>AVERAGEIFS(赋分!$K$2:$K$1666,赋分!$B$2:$B$1666,C2)</f>
        <v>72.968253968254</v>
      </c>
      <c r="D42" s="35"/>
      <c r="E42" s="35">
        <f>AVERAGEIFS(赋分!$K$2:$K$1666,赋分!$B$2:$B$1666,E2)</f>
        <v>70.4897959183673</v>
      </c>
      <c r="F42" s="35">
        <f>AVERAGEIFS(赋分!$K$2:$K$1666,赋分!$B$2:$B$1666,F2)</f>
        <v>70.8863636363636</v>
      </c>
      <c r="G42" s="35">
        <f>AVERAGEIFS(赋分!$K$2:$K$1666,赋分!$B$2:$B$1666,G2)</f>
        <v>73.8723404255319</v>
      </c>
      <c r="H42" s="35"/>
      <c r="I42" s="35"/>
      <c r="J42" s="35">
        <f>AVERAGEIFS(赋分!$K$2:$K$1666,赋分!$B$2:$B$1666,J2)</f>
        <v>71.8947368421053</v>
      </c>
      <c r="K42" s="35">
        <f>AVERAGEIFS(赋分!$K$2:$K$1666,赋分!$B$2:$B$1666,K2)</f>
        <v>82.0555555555556</v>
      </c>
      <c r="L42" s="35">
        <f>AVERAGEIFS(赋分!$K$2:$K$1666,赋分!$B$2:$B$1666,L2)</f>
        <v>80.9649122807018</v>
      </c>
      <c r="M42" s="35">
        <f>AVERAGEIFS(赋分!$K$2:$K$1666,赋分!$B$2:$B$1666,M2)</f>
        <v>73.719298245614</v>
      </c>
      <c r="N42" s="35">
        <f>AVERAGEIFS(赋分!$K$2:$K$1666,赋分!$B$2:$B$1666,N2)</f>
        <v>68.9821428571429</v>
      </c>
      <c r="O42" s="35">
        <f>AVERAGEIFS(赋分!$K$2:$K$1666,赋分!$B$2:$B$1666,O2)</f>
        <v>73.0740740740741</v>
      </c>
      <c r="P42" s="35"/>
      <c r="Q42" s="35"/>
      <c r="R42" s="35"/>
      <c r="S42" s="35"/>
      <c r="T42" s="35"/>
    </row>
    <row r="43" ht="15.95" customHeight="1" spans="1:20">
      <c r="A43" s="34"/>
      <c r="B43" s="34" t="s">
        <v>1758</v>
      </c>
      <c r="C43" s="34">
        <f>RANK(C42,$C$42:$T$42)</f>
        <v>6</v>
      </c>
      <c r="D43" s="34"/>
      <c r="E43" s="34">
        <f>RANK(E42,$C$42:$T$42)</f>
        <v>9</v>
      </c>
      <c r="F43" s="34">
        <f>RANK(F42,$C$42:$T$42)</f>
        <v>8</v>
      </c>
      <c r="G43" s="34">
        <f>RANK(G42,$C$42:$T$42)</f>
        <v>3</v>
      </c>
      <c r="H43" s="34"/>
      <c r="I43" s="34"/>
      <c r="J43" s="34">
        <f t="shared" ref="J43:O43" si="13">RANK(J42,$C$42:$T$42)</f>
        <v>7</v>
      </c>
      <c r="K43" s="34">
        <f t="shared" si="13"/>
        <v>1</v>
      </c>
      <c r="L43" s="34">
        <f t="shared" si="13"/>
        <v>2</v>
      </c>
      <c r="M43" s="34">
        <f t="shared" si="13"/>
        <v>4</v>
      </c>
      <c r="N43" s="34">
        <f t="shared" si="13"/>
        <v>10</v>
      </c>
      <c r="O43" s="34">
        <f t="shared" si="13"/>
        <v>5</v>
      </c>
      <c r="P43" s="34"/>
      <c r="Q43" s="34"/>
      <c r="R43" s="34"/>
      <c r="S43" s="34"/>
      <c r="T43" s="34"/>
    </row>
    <row r="44" ht="15.95" customHeight="1" spans="1:20">
      <c r="A44" s="34"/>
      <c r="B44" s="34" t="s">
        <v>1759</v>
      </c>
      <c r="C44" s="35">
        <f t="shared" ref="C44:G44" si="14">C42-$H$9</f>
        <v>-1.02248677248679</v>
      </c>
      <c r="D44" s="35"/>
      <c r="E44" s="35">
        <f t="shared" si="14"/>
        <v>-3.5009448223734</v>
      </c>
      <c r="F44" s="35">
        <f t="shared" si="14"/>
        <v>-3.10437710437711</v>
      </c>
      <c r="G44" s="35">
        <f t="shared" si="14"/>
        <v>-0.118400315208831</v>
      </c>
      <c r="H44" s="35"/>
      <c r="I44" s="35"/>
      <c r="J44" s="35">
        <f t="shared" ref="J44:O44" si="15">J42-$H$9</f>
        <v>-2.09600389863549</v>
      </c>
      <c r="K44" s="35">
        <f t="shared" si="15"/>
        <v>8.06481481481481</v>
      </c>
      <c r="L44" s="35">
        <f t="shared" si="15"/>
        <v>6.97417153996101</v>
      </c>
      <c r="M44" s="35">
        <f t="shared" si="15"/>
        <v>-0.271442495126706</v>
      </c>
      <c r="N44" s="35">
        <f t="shared" si="15"/>
        <v>-5.00859788359789</v>
      </c>
      <c r="O44" s="35">
        <f t="shared" si="15"/>
        <v>-0.916666666666671</v>
      </c>
      <c r="P44" s="35"/>
      <c r="Q44" s="35"/>
      <c r="R44" s="35"/>
      <c r="S44" s="35"/>
      <c r="T44" s="35"/>
    </row>
    <row r="45" ht="15.95" customHeight="1" spans="1:20">
      <c r="A45" s="34"/>
      <c r="B45" s="34" t="s">
        <v>1779</v>
      </c>
      <c r="C45" s="159">
        <f t="array" ref="C45">SUM((赋分!$B$2:$B$1666=C2)*(赋分!$K$2:$K$1666&gt;=60))/C5</f>
        <v>0.968253968253968</v>
      </c>
      <c r="D45" s="159"/>
      <c r="E45" s="159">
        <f t="array" ref="E45">SUM((赋分!$B$2:$B$1666=E2)*(赋分!$K$2:$K$1666&gt;=60))/E5</f>
        <v>0.857142857142857</v>
      </c>
      <c r="F45" s="159">
        <f t="array" ref="F45">SUM((赋分!$B$2:$B$1666=F2)*(赋分!$K$2:$K$1666&gt;=60))/F5</f>
        <v>0.863636363636364</v>
      </c>
      <c r="G45" s="159">
        <f t="array" ref="G45">SUM((赋分!$B$2:$B$1666=G2)*(赋分!$K$2:$K$1666&gt;=60))/G5</f>
        <v>0.893617021276596</v>
      </c>
      <c r="H45" s="159"/>
      <c r="I45" s="159"/>
      <c r="J45" s="159">
        <f t="array" ref="J45">SUM((赋分!$B$2:$B$1666=J2)*(赋分!$K$2:$K$1666&gt;=60))/J5</f>
        <v>0.912280701754386</v>
      </c>
      <c r="K45" s="159">
        <f t="array" ref="K45">SUM((赋分!$B$2:$B$1666=K2)*(赋分!$K$2:$K$1666&gt;=60))/K5</f>
        <v>1</v>
      </c>
      <c r="L45" s="159">
        <f t="array" ref="L45">SUM((赋分!$B$2:$B$1666=L2)*(赋分!$K$2:$K$1666&gt;=60))/L5</f>
        <v>0.982456140350877</v>
      </c>
      <c r="M45" s="159">
        <f t="array" ref="M45">SUM((赋分!$B$2:$B$1666=M2)*(赋分!$K$2:$K$1666&gt;=60))/M5</f>
        <v>0.894736842105263</v>
      </c>
      <c r="N45" s="159">
        <f t="array" ref="N45">SUM((赋分!$B$2:$B$1666=N2)*(赋分!$K$2:$K$1666&gt;=60))/N5</f>
        <v>0.75</v>
      </c>
      <c r="O45" s="159">
        <f t="array" ref="O45">SUM((赋分!$B$2:$B$1666=O2)*(赋分!$K$2:$K$1666&gt;=60))/O5</f>
        <v>0.962962962962963</v>
      </c>
      <c r="P45" s="159"/>
      <c r="Q45" s="159"/>
      <c r="R45" s="159"/>
      <c r="S45" s="159"/>
      <c r="T45" s="159"/>
    </row>
    <row r="46" ht="15.95" customHeight="1" spans="1:20">
      <c r="A46" s="34"/>
      <c r="B46" s="34" t="s">
        <v>1780</v>
      </c>
      <c r="C46" s="159">
        <f t="array" ref="C46">SUM((赋分!$B$2:$B$1666=C2)*(赋分!$K$2:$K$1666&gt;=80))/C5</f>
        <v>0.253968253968254</v>
      </c>
      <c r="D46" s="159"/>
      <c r="E46" s="159">
        <f t="array" ref="E46">SUM((赋分!$B$2:$B$1666=E2)*(赋分!$K$2:$K$1666&gt;=80))/E5</f>
        <v>0.244897959183673</v>
      </c>
      <c r="F46" s="159">
        <f t="array" ref="F46">SUM((赋分!$B$2:$B$1666=F2)*(赋分!$K$2:$K$1666&gt;=80))/F5</f>
        <v>0.204545454545455</v>
      </c>
      <c r="G46" s="159">
        <f t="array" ref="G46">SUM((赋分!$B$2:$B$1666=G2)*(赋分!$K$2:$K$1666&gt;=80))/G5</f>
        <v>0.340425531914894</v>
      </c>
      <c r="H46" s="159"/>
      <c r="I46" s="159"/>
      <c r="J46" s="159">
        <f t="array" ref="J46">SUM((赋分!$B$2:$B$1666=J2)*(赋分!$K$2:$K$1666&gt;=80))/J5</f>
        <v>0.228070175438596</v>
      </c>
      <c r="K46" s="159">
        <f t="array" ref="K46">SUM((赋分!$B$2:$B$1666=K2)*(赋分!$K$2:$K$1666&gt;=80))/K5</f>
        <v>0.666666666666667</v>
      </c>
      <c r="L46" s="159">
        <f t="array" ref="L46">SUM((赋分!$B$2:$B$1666=L2)*(赋分!$K$2:$K$1666&gt;=80))/L5</f>
        <v>0.631578947368421</v>
      </c>
      <c r="M46" s="159">
        <f t="array" ref="M46">SUM((赋分!$B$2:$B$1666=M2)*(赋分!$K$2:$K$1666&gt;=80))/M5</f>
        <v>0.403508771929825</v>
      </c>
      <c r="N46" s="159">
        <f t="array" ref="N46">SUM((赋分!$B$2:$B$1666=N2)*(赋分!$K$2:$K$1666&gt;=80))/N5</f>
        <v>0.196428571428571</v>
      </c>
      <c r="O46" s="159">
        <f t="array" ref="O46">SUM((赋分!$B$2:$B$1666=O2)*(赋分!$K$2:$K$1666&gt;=80))/O5</f>
        <v>0.259259259259259</v>
      </c>
      <c r="P46" s="159"/>
      <c r="Q46" s="159"/>
      <c r="R46" s="159"/>
      <c r="S46" s="159"/>
      <c r="T46" s="159"/>
    </row>
    <row r="47" ht="15.95" customHeight="1" spans="1:20">
      <c r="A47" s="34"/>
      <c r="B47" s="34" t="s">
        <v>1781</v>
      </c>
      <c r="C47" s="13" t="s">
        <v>1815</v>
      </c>
      <c r="D47" s="40"/>
      <c r="E47" s="40" t="s">
        <v>1816</v>
      </c>
      <c r="F47" s="40" t="s">
        <v>1817</v>
      </c>
      <c r="G47" s="40" t="s">
        <v>1773</v>
      </c>
      <c r="H47" s="40"/>
      <c r="I47" s="40"/>
      <c r="J47" s="40" t="s">
        <v>1818</v>
      </c>
      <c r="K47" s="40" t="s">
        <v>1819</v>
      </c>
      <c r="L47" s="40" t="s">
        <v>1817</v>
      </c>
      <c r="M47" s="13" t="s">
        <v>1815</v>
      </c>
      <c r="N47" s="40" t="s">
        <v>1818</v>
      </c>
      <c r="O47" s="40" t="s">
        <v>1773</v>
      </c>
      <c r="P47" s="30"/>
      <c r="Q47" s="14"/>
      <c r="R47" s="14"/>
      <c r="S47" s="14"/>
      <c r="T47" s="30"/>
    </row>
    <row r="48" ht="15.95" customHeight="1" spans="1:20">
      <c r="A48" s="9" t="s">
        <v>11</v>
      </c>
      <c r="B48" s="9" t="s">
        <v>1756</v>
      </c>
      <c r="C48" s="39"/>
      <c r="D48" s="39"/>
      <c r="E48" s="39">
        <f>AVERAGEIFS(赋分!$L$2:$L$1666,赋分!$B$2:$B$1666,E2)</f>
        <v>76.8163265306122</v>
      </c>
      <c r="F48" s="39">
        <f>AVERAGEIFS(赋分!$L$2:$L$1666,赋分!$B$2:$B$1666,F2)</f>
        <v>80.4318181818182</v>
      </c>
      <c r="G48" s="39">
        <f>AVERAGEIFS(赋分!$L$2:$L$1666,赋分!$B$2:$B$1666,G2)</f>
        <v>78.5531914893617</v>
      </c>
      <c r="H48" s="39">
        <f>AVERAGEIFS(赋分!$L$2:$L$1666,赋分!$B$2:$B$1666,H2)</f>
        <v>74.2820512820513</v>
      </c>
      <c r="I48" s="39">
        <f>AVERAGEIFS(赋分!$L$2:$L$1666,赋分!$B$2:$B$1666,I2)</f>
        <v>75</v>
      </c>
      <c r="J48" s="39"/>
      <c r="K48" s="39"/>
      <c r="L48" s="39"/>
      <c r="M48" s="39"/>
      <c r="N48" s="39"/>
      <c r="O48" s="39"/>
      <c r="P48" s="39"/>
      <c r="Q48" s="39"/>
      <c r="R48" s="39">
        <f>AVERAGEIFS(赋分!$L$2:$L$1666,赋分!$B$2:$B$1666,R2)</f>
        <v>85.375</v>
      </c>
      <c r="S48" s="39">
        <f>AVERAGEIFS(赋分!$L$2:$L$1666,赋分!$B$2:$B$1666,S2)</f>
        <v>78.9302325581395</v>
      </c>
      <c r="T48" s="39">
        <f>AVERAGEIFS(赋分!$L$2:$L$1666,赋分!$B$2:$B$1666,T2)</f>
        <v>80.6976744186046</v>
      </c>
    </row>
    <row r="49" ht="15.95" customHeight="1" spans="1:20">
      <c r="A49" s="9"/>
      <c r="B49" s="9" t="s">
        <v>1758</v>
      </c>
      <c r="C49" s="9"/>
      <c r="D49" s="9"/>
      <c r="E49" s="9">
        <f>RANK(E48,$C$48:$T$48)</f>
        <v>6</v>
      </c>
      <c r="F49" s="9">
        <f>RANK(F48,$C$48:$T$48)</f>
        <v>3</v>
      </c>
      <c r="G49" s="9">
        <f>RANK(G48,$C$48:$T$48)</f>
        <v>5</v>
      </c>
      <c r="H49" s="9">
        <f>RANK(H48,$C$48:$T$48)</f>
        <v>8</v>
      </c>
      <c r="I49" s="9">
        <f>RANK(I48,$C$48:$T$48)</f>
        <v>7</v>
      </c>
      <c r="J49" s="9"/>
      <c r="K49" s="9"/>
      <c r="L49" s="9"/>
      <c r="M49" s="9"/>
      <c r="N49" s="9"/>
      <c r="O49" s="9"/>
      <c r="P49" s="9"/>
      <c r="Q49" s="9"/>
      <c r="R49" s="9">
        <f>RANK(R48,$C$48:$T$48)</f>
        <v>1</v>
      </c>
      <c r="S49" s="9">
        <f>RANK(S48,$C$48:$T$48)</f>
        <v>4</v>
      </c>
      <c r="T49" s="9">
        <f>RANK(T48,$C$48:$T$48)</f>
        <v>2</v>
      </c>
    </row>
    <row r="50" ht="15.95" customHeight="1" spans="1:20">
      <c r="A50" s="9"/>
      <c r="B50" s="9" t="s">
        <v>1759</v>
      </c>
      <c r="C50" s="39"/>
      <c r="D50" s="39"/>
      <c r="E50" s="39">
        <f t="shared" ref="E50:I50" si="16">E48-$I$9</f>
        <v>-1.46580513082976</v>
      </c>
      <c r="F50" s="39">
        <f t="shared" si="16"/>
        <v>2.14968652037618</v>
      </c>
      <c r="G50" s="39">
        <f t="shared" si="16"/>
        <v>0.2710598279197</v>
      </c>
      <c r="H50" s="39">
        <f t="shared" si="16"/>
        <v>-4.00008037939072</v>
      </c>
      <c r="I50" s="39">
        <f t="shared" si="16"/>
        <v>-3.28213166144201</v>
      </c>
      <c r="J50" s="39"/>
      <c r="K50" s="39"/>
      <c r="L50" s="39"/>
      <c r="M50" s="39"/>
      <c r="N50" s="39"/>
      <c r="O50" s="39"/>
      <c r="P50" s="39"/>
      <c r="Q50" s="39"/>
      <c r="R50" s="39">
        <f t="shared" ref="R50:T50" si="17">R48-$I$9</f>
        <v>7.09286833855799</v>
      </c>
      <c r="S50" s="39">
        <f t="shared" si="17"/>
        <v>0.648100896697528</v>
      </c>
      <c r="T50" s="39">
        <f t="shared" si="17"/>
        <v>2.41554275716264</v>
      </c>
    </row>
    <row r="51" ht="15.95" customHeight="1" spans="1:20">
      <c r="A51" s="9"/>
      <c r="B51" s="9" t="s">
        <v>1779</v>
      </c>
      <c r="C51" s="158"/>
      <c r="D51" s="158"/>
      <c r="E51" s="158">
        <f t="array" ref="E51">SUM((赋分!$B$2:$B$1666=E2)*(赋分!$L$2:$L$1666&gt;=60))/E5</f>
        <v>0.877551020408163</v>
      </c>
      <c r="F51" s="158">
        <f t="array" ref="F51">SUM((赋分!$B$2:$B$1666=F2)*(赋分!$L$2:$L$1666&gt;=60))/F5</f>
        <v>0.977272727272727</v>
      </c>
      <c r="G51" s="158">
        <f t="array" ref="G51">SUM((赋分!$B$2:$B$1666=G2)*(赋分!$L$2:$L$1666&gt;=60))/G5</f>
        <v>0.978723404255319</v>
      </c>
      <c r="H51" s="158">
        <f t="array" ref="H51">SUM((赋分!$B$2:$B$1666=H2)*(赋分!$L$2:$L$1666&gt;=60))/H5</f>
        <v>0.948717948717949</v>
      </c>
      <c r="I51" s="158">
        <f t="array" ref="I51">SUM((赋分!$B$2:$B$1666=I2)*(赋分!$L$2:$L$1666&gt;=60))/I5</f>
        <v>0.973684210526316</v>
      </c>
      <c r="J51" s="158"/>
      <c r="K51" s="158"/>
      <c r="L51" s="158"/>
      <c r="M51" s="158"/>
      <c r="N51" s="158"/>
      <c r="O51" s="158"/>
      <c r="P51" s="158"/>
      <c r="Q51" s="158"/>
      <c r="R51" s="158">
        <f t="array" ref="R51">SUM((赋分!$B$2:$B$1666=R2)*(赋分!$L$2:$L$1666&gt;=60))/R5</f>
        <v>0.421052631578947</v>
      </c>
      <c r="S51" s="158">
        <f t="array" ref="S51">SUM((赋分!$B$2:$B$1666=S2)*(赋分!$L$2:$L$1666&gt;=60))/S5</f>
        <v>1</v>
      </c>
      <c r="T51" s="158">
        <f t="array" ref="T51">SUM((赋分!$B$2:$B$1666=T2)*(赋分!$L$2:$L$1666&gt;=60))/T5</f>
        <v>1</v>
      </c>
    </row>
    <row r="52" ht="15.95" customHeight="1" spans="1:20">
      <c r="A52" s="9"/>
      <c r="B52" s="9" t="s">
        <v>1780</v>
      </c>
      <c r="C52" s="158"/>
      <c r="D52" s="158"/>
      <c r="E52" s="158">
        <f t="array" ref="E52">SUM((赋分!$B$2:$B$1666=E2)*(赋分!$L$2:$L$1666&gt;=80))/E5</f>
        <v>0.469387755102041</v>
      </c>
      <c r="F52" s="158">
        <f t="array" ref="F52">SUM((赋分!$B$2:$B$1666=F2)*(赋分!$L$2:$L$1666&gt;=80))/F5</f>
        <v>0.590909090909091</v>
      </c>
      <c r="G52" s="158">
        <f t="array" ref="G52">SUM((赋分!$B$2:$B$1666=G2)*(赋分!$L$2:$L$1666&gt;=80))/G5</f>
        <v>0.404255319148936</v>
      </c>
      <c r="H52" s="158">
        <f t="array" ref="H52">SUM((赋分!$B$2:$B$1666=H2)*(赋分!$L$2:$L$1666&gt;=80))/H5</f>
        <v>0.333333333333333</v>
      </c>
      <c r="I52" s="158">
        <f t="array" ref="I52">SUM((赋分!$B$2:$B$1666=I2)*(赋分!$L$2:$L$1666&gt;=80))/I5</f>
        <v>0.342105263157895</v>
      </c>
      <c r="J52" s="158"/>
      <c r="K52" s="158"/>
      <c r="L52" s="158"/>
      <c r="M52" s="158"/>
      <c r="N52" s="158"/>
      <c r="O52" s="158"/>
      <c r="P52" s="158"/>
      <c r="Q52" s="158"/>
      <c r="R52" s="158">
        <f t="array" ref="R52">SUM((赋分!$B$2:$B$1666=R2)*(赋分!$L$2:$L$1666&gt;=80))/R5</f>
        <v>0.315789473684211</v>
      </c>
      <c r="S52" s="158">
        <f t="array" ref="S52">SUM((赋分!$B$2:$B$1666=S2)*(赋分!$L$2:$L$1666&gt;=80))/S5</f>
        <v>0.511627906976744</v>
      </c>
      <c r="T52" s="158">
        <f t="array" ref="T52">SUM((赋分!$B$2:$B$1666=T2)*(赋分!$L$2:$L$1666&gt;=80))/T5</f>
        <v>0.581395348837209</v>
      </c>
    </row>
    <row r="53" ht="15.95" customHeight="1" spans="1:20">
      <c r="A53" s="9"/>
      <c r="B53" s="9" t="s">
        <v>1781</v>
      </c>
      <c r="C53" s="9"/>
      <c r="D53" s="9"/>
      <c r="E53" s="40" t="s">
        <v>1820</v>
      </c>
      <c r="F53" s="40" t="s">
        <v>1820</v>
      </c>
      <c r="G53" s="40" t="s">
        <v>1821</v>
      </c>
      <c r="H53" s="40" t="s">
        <v>1822</v>
      </c>
      <c r="I53" s="40" t="s">
        <v>1823</v>
      </c>
      <c r="J53" s="40"/>
      <c r="K53" s="40"/>
      <c r="L53" s="40"/>
      <c r="M53" s="40"/>
      <c r="N53" s="40"/>
      <c r="O53" s="40"/>
      <c r="P53" s="40"/>
      <c r="Q53" s="40"/>
      <c r="R53" s="40" t="s">
        <v>1778</v>
      </c>
      <c r="S53" s="40" t="s">
        <v>1822</v>
      </c>
      <c r="T53" s="40" t="s">
        <v>1778</v>
      </c>
    </row>
    <row r="54" ht="15.95" customHeight="1" spans="1:20">
      <c r="A54" s="34" t="s">
        <v>12</v>
      </c>
      <c r="B54" s="34" t="s">
        <v>1756</v>
      </c>
      <c r="C54" s="35">
        <f>AVERAGEIFS(赋分!$M$2:$M$1666,赋分!$B$2:$B$1666,C2)</f>
        <v>76.6984126984127</v>
      </c>
      <c r="D54" s="35">
        <f>AVERAGEIFS(赋分!$M$2:$M$1666,赋分!$B$2:$B$1666,D2)</f>
        <v>77.6875</v>
      </c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>
        <f>AVERAGEIFS(赋分!$M$2:$M$1666,赋分!$B$2:$B$1666,P2)</f>
        <v>80.025</v>
      </c>
      <c r="Q54" s="35">
        <f>AVERAGEIFS(赋分!$M$2:$M$1666,赋分!$B$2:$B$1666,Q2)</f>
        <v>80.3333333333333</v>
      </c>
      <c r="R54" s="35">
        <f>AVERAGEIFS(赋分!$M$2:$M$1666,赋分!$B$2:$B$1666,R2)</f>
        <v>86.4166666666667</v>
      </c>
      <c r="S54" s="35">
        <f>AVERAGEIFS(赋分!$M$2:$M$1666,赋分!$B$2:$B$1666,S2)</f>
        <v>81.1162790697674</v>
      </c>
      <c r="T54" s="35">
        <f>AVERAGEIFS(赋分!$M$2:$M$1666,赋分!$B$2:$B$1666,T2)</f>
        <v>76.8139534883721</v>
      </c>
    </row>
    <row r="55" ht="15.95" customHeight="1" spans="1:20">
      <c r="A55" s="34"/>
      <c r="B55" s="34" t="s">
        <v>1758</v>
      </c>
      <c r="C55" s="34">
        <f>RANK(C54,$C$54:$T$54)</f>
        <v>7</v>
      </c>
      <c r="D55" s="34">
        <f>RANK(D54,$C$54:$T$54)</f>
        <v>5</v>
      </c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>
        <f>RANK(P54,$C$54:$T$54)</f>
        <v>4</v>
      </c>
      <c r="Q55" s="34">
        <f>RANK(Q54,$C$54:$T$54)</f>
        <v>3</v>
      </c>
      <c r="R55" s="34">
        <f>RANK(R54,$C$54:$T$54)</f>
        <v>1</v>
      </c>
      <c r="S55" s="34">
        <f>RANK(S54,$C$54:$T$54)</f>
        <v>2</v>
      </c>
      <c r="T55" s="34">
        <f>RANK(T54,$C$54:$T$54)</f>
        <v>6</v>
      </c>
    </row>
    <row r="56" ht="15.95" customHeight="1" spans="1:20">
      <c r="A56" s="34"/>
      <c r="B56" s="34" t="s">
        <v>1759</v>
      </c>
      <c r="C56" s="35">
        <f>C54-$J$9</f>
        <v>-2.78730158730158</v>
      </c>
      <c r="D56" s="35">
        <f>D54-$J$9</f>
        <v>-1.79821428571428</v>
      </c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>
        <f t="shared" ref="P56:T56" si="18">P54-$J$9</f>
        <v>0.539285714285725</v>
      </c>
      <c r="Q56" s="35">
        <f t="shared" si="18"/>
        <v>0.847619047619048</v>
      </c>
      <c r="R56" s="35">
        <f t="shared" si="18"/>
        <v>6.93095238095239</v>
      </c>
      <c r="S56" s="35">
        <f t="shared" si="18"/>
        <v>1.63056478405316</v>
      </c>
      <c r="T56" s="35">
        <f t="shared" si="18"/>
        <v>-2.67176079734219</v>
      </c>
    </row>
    <row r="57" ht="15.95" customHeight="1" spans="1:20">
      <c r="A57" s="34"/>
      <c r="B57" s="34" t="s">
        <v>1779</v>
      </c>
      <c r="C57" s="159">
        <f t="array" ref="C57">SUM((赋分!$B$2:$B$1666=C2)*(赋分!$M$2:$M$1666&gt;=60))/C5</f>
        <v>0.968253968253968</v>
      </c>
      <c r="D57" s="159">
        <f t="array" ref="D57">SUM((赋分!$B$2:$B$1666=D2)*(赋分!$M$2:$M$1666&gt;=60))/D5</f>
        <v>1</v>
      </c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>
        <f t="array" ref="P57">SUM((赋分!$B$2:$B$1666=P2)*(赋分!$M$2:$M$1666&gt;=60))/P5</f>
        <v>1</v>
      </c>
      <c r="Q57" s="159">
        <f t="array" ref="Q57">SUM((赋分!$B$2:$B$1666=Q2)*(赋分!$M$2:$M$1666&gt;=60))/Q5</f>
        <v>1</v>
      </c>
      <c r="R57" s="159">
        <f t="array" ref="R57">SUM((赋分!$B$2:$B$1666=R2)*(赋分!$M$2:$M$1666&gt;=60))/R5</f>
        <v>0.947368421052632</v>
      </c>
      <c r="S57" s="159">
        <f t="array" ref="S57">SUM((赋分!$B$2:$B$1666=S2)*(赋分!$M$2:$M$1666&gt;=60))/S5</f>
        <v>0.953488372093023</v>
      </c>
      <c r="T57" s="159">
        <f t="array" ref="T57">SUM((赋分!$B$2:$B$1666=T2)*(赋分!$M$2:$M$1666&gt;=60))/T5</f>
        <v>0.976744186046512</v>
      </c>
    </row>
    <row r="58" ht="15.95" customHeight="1" spans="1:20">
      <c r="A58" s="34"/>
      <c r="B58" s="34" t="s">
        <v>1780</v>
      </c>
      <c r="C58" s="159">
        <f t="array" ref="C58">SUM((赋分!$B$2:$B$1666=C2)*(赋分!$M$2:$M$1666&gt;=80))/C5</f>
        <v>0.46031746031746</v>
      </c>
      <c r="D58" s="159">
        <f t="array" ref="D58">SUM((赋分!$B$2:$B$1666=D2)*(赋分!$M$2:$M$1666&gt;=80))/D5</f>
        <v>0.416666666666667</v>
      </c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>
        <f t="array" ref="P58">SUM((赋分!$B$2:$B$1666=P2)*(赋分!$M$2:$M$1666&gt;=80))/P5</f>
        <v>0.625</v>
      </c>
      <c r="Q58" s="159">
        <f t="array" ref="Q58">SUM((赋分!$B$2:$B$1666=Q2)*(赋分!$M$2:$M$1666&gt;=80))/Q5</f>
        <v>0.571428571428571</v>
      </c>
      <c r="R58" s="159">
        <f t="array" ref="R58">SUM((赋分!$B$2:$B$1666=R2)*(赋分!$M$2:$M$1666&gt;=80))/R5</f>
        <v>0.842105263157895</v>
      </c>
      <c r="S58" s="159">
        <f t="array" ref="S58">SUM((赋分!$B$2:$B$1666=S2)*(赋分!$M$2:$M$1666&gt;=80))/S5</f>
        <v>0.674418604651163</v>
      </c>
      <c r="T58" s="159">
        <f t="array" ref="T58">SUM((赋分!$B$2:$B$1666=T2)*(赋分!$M$2:$M$1666&gt;=80))/T5</f>
        <v>0.488372093023256</v>
      </c>
    </row>
    <row r="59" ht="15.95" customHeight="1" spans="1:20">
      <c r="A59" s="34"/>
      <c r="B59" s="34" t="s">
        <v>1781</v>
      </c>
      <c r="C59" s="40" t="s">
        <v>1824</v>
      </c>
      <c r="D59" s="40" t="s">
        <v>1825</v>
      </c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 t="s">
        <v>1826</v>
      </c>
      <c r="Q59" s="40" t="s">
        <v>1825</v>
      </c>
      <c r="R59" s="40" t="s">
        <v>1826</v>
      </c>
      <c r="S59" s="40" t="s">
        <v>1824</v>
      </c>
      <c r="T59" s="40" t="s">
        <v>1827</v>
      </c>
    </row>
    <row r="60" ht="15.95" customHeight="1" spans="1:20">
      <c r="A60" s="9" t="s">
        <v>13</v>
      </c>
      <c r="B60" s="9" t="s">
        <v>1756</v>
      </c>
      <c r="C60" s="39"/>
      <c r="D60" s="39">
        <f>AVERAGEIFS(赋分!$N$2:$N$1666,赋分!$B$2:$B$1666,D2)</f>
        <v>78.3333333333333</v>
      </c>
      <c r="E60" s="39"/>
      <c r="F60" s="39"/>
      <c r="G60" s="39"/>
      <c r="H60" s="39">
        <f>AVERAGEIFS(赋分!$N$2:$N$1666,赋分!$B$2:$B$1666,H2)</f>
        <v>76.2051282051282</v>
      </c>
      <c r="I60" s="39">
        <f>AVERAGEIFS(赋分!$N$2:$N$1666,赋分!$B$2:$B$1666,I2)</f>
        <v>72.4210526315789</v>
      </c>
      <c r="J60" s="39">
        <f>AVERAGEIFS(赋分!$N$2:$N$1666,赋分!$B$2:$B$1666,J2)</f>
        <v>75.2280701754386</v>
      </c>
      <c r="K60" s="39">
        <f>AVERAGEIFS(赋分!$N$2:$N$1666,赋分!$B$2:$B$1666,K2)</f>
        <v>86.8888888888889</v>
      </c>
      <c r="L60" s="39">
        <f>AVERAGEIFS(赋分!$N$2:$N$1666,赋分!$B$2:$B$1666,L2)</f>
        <v>84.1578947368421</v>
      </c>
      <c r="M60" s="39">
        <f>AVERAGEIFS(赋分!$N$2:$N$1666,赋分!$B$2:$B$1666,M2)</f>
        <v>76.7894736842105</v>
      </c>
      <c r="N60" s="39">
        <f>AVERAGEIFS(赋分!$N$2:$N$1666,赋分!$B$2:$B$1666,N2)</f>
        <v>72.4821428571429</v>
      </c>
      <c r="O60" s="39">
        <f>AVERAGEIFS(赋分!$N$2:$N$1666,赋分!$B$2:$B$1666,O2)</f>
        <v>78.4259259259259</v>
      </c>
      <c r="P60" s="39">
        <f>AVERAGEIFS(赋分!$N$2:$N$1666,赋分!$B$2:$B$1666,P2)</f>
        <v>74.1</v>
      </c>
      <c r="Q60" s="39">
        <f>AVERAGEIFS(赋分!$N$2:$N$1666,赋分!$B$2:$B$1666,Q2)</f>
        <v>78.2619047619048</v>
      </c>
      <c r="R60" s="39">
        <f>AVERAGEIFS(赋分!$N$2:$N$1666,赋分!$B$2:$B$1666,R2)</f>
        <v>85.0454545454545</v>
      </c>
      <c r="S60" s="39"/>
      <c r="T60" s="39"/>
    </row>
    <row r="61" ht="15.95" customHeight="1" spans="1:20">
      <c r="A61" s="9"/>
      <c r="B61" s="9" t="s">
        <v>1758</v>
      </c>
      <c r="C61" s="9"/>
      <c r="D61" s="9">
        <f>RANK(D60,$C$60:$T$60)</f>
        <v>5</v>
      </c>
      <c r="E61" s="9"/>
      <c r="F61" s="9"/>
      <c r="G61" s="9"/>
      <c r="H61" s="9">
        <f t="shared" ref="H61:R61" si="19">RANK(H60,$C$60:$T$60)</f>
        <v>8</v>
      </c>
      <c r="I61" s="9">
        <f t="shared" si="19"/>
        <v>12</v>
      </c>
      <c r="J61" s="9">
        <f t="shared" si="19"/>
        <v>9</v>
      </c>
      <c r="K61" s="9">
        <f t="shared" si="19"/>
        <v>1</v>
      </c>
      <c r="L61" s="9">
        <f t="shared" si="19"/>
        <v>3</v>
      </c>
      <c r="M61" s="9">
        <f t="shared" si="19"/>
        <v>7</v>
      </c>
      <c r="N61" s="9">
        <f t="shared" si="19"/>
        <v>11</v>
      </c>
      <c r="O61" s="9">
        <f t="shared" si="19"/>
        <v>4</v>
      </c>
      <c r="P61" s="9">
        <f t="shared" si="19"/>
        <v>10</v>
      </c>
      <c r="Q61" s="9">
        <f t="shared" si="19"/>
        <v>6</v>
      </c>
      <c r="R61" s="9">
        <f t="shared" si="19"/>
        <v>2</v>
      </c>
      <c r="S61" s="9"/>
      <c r="T61" s="9"/>
    </row>
    <row r="62" ht="15.95" customHeight="1" spans="1:20">
      <c r="A62" s="9"/>
      <c r="B62" s="9" t="s">
        <v>1759</v>
      </c>
      <c r="C62" s="39"/>
      <c r="D62" s="39">
        <f t="shared" ref="D62:R62" si="20">D60-$K$9</f>
        <v>0.223404255319139</v>
      </c>
      <c r="E62" s="39"/>
      <c r="F62" s="39"/>
      <c r="G62" s="39"/>
      <c r="H62" s="39">
        <f t="shared" si="20"/>
        <v>-1.90480087288599</v>
      </c>
      <c r="I62" s="39">
        <f t="shared" si="20"/>
        <v>-5.68887644643524</v>
      </c>
      <c r="J62" s="39">
        <f t="shared" si="20"/>
        <v>-2.88185890257559</v>
      </c>
      <c r="K62" s="39">
        <f t="shared" si="20"/>
        <v>8.7789598108747</v>
      </c>
      <c r="L62" s="39">
        <f t="shared" si="20"/>
        <v>6.04796565882792</v>
      </c>
      <c r="M62" s="39">
        <f t="shared" si="20"/>
        <v>-1.32045539380367</v>
      </c>
      <c r="N62" s="39">
        <f t="shared" si="20"/>
        <v>-5.62778622087133</v>
      </c>
      <c r="O62" s="39">
        <f t="shared" si="20"/>
        <v>0.315996847911734</v>
      </c>
      <c r="P62" s="39">
        <f t="shared" si="20"/>
        <v>-4.0099290780142</v>
      </c>
      <c r="Q62" s="39">
        <f t="shared" si="20"/>
        <v>0.151975683890569</v>
      </c>
      <c r="R62" s="39">
        <f t="shared" si="20"/>
        <v>6.93552546744036</v>
      </c>
      <c r="S62" s="39"/>
      <c r="T62" s="39"/>
    </row>
    <row r="63" ht="15.95" customHeight="1" spans="1:20">
      <c r="A63" s="9"/>
      <c r="B63" s="9" t="s">
        <v>1779</v>
      </c>
      <c r="C63" s="158"/>
      <c r="D63" s="158">
        <f t="array" ref="D63">SUM((赋分!$B$2:$B$1666=D2)*(赋分!$N$2:$N$1666&gt;=60))/D5</f>
        <v>0.958333333333333</v>
      </c>
      <c r="E63" s="158"/>
      <c r="F63" s="158"/>
      <c r="G63" s="158"/>
      <c r="H63" s="158">
        <f t="array" ref="H63">SUM((赋分!$B$2:$B$1666=H2)*(赋分!$N$2:$N$1666&gt;=60))/H5</f>
        <v>0.948717948717949</v>
      </c>
      <c r="I63" s="158">
        <f t="array" ref="I63">SUM((赋分!$B$2:$B$1666=I2)*(赋分!$N$2:$N$1666&gt;=60))/I5</f>
        <v>0.868421052631579</v>
      </c>
      <c r="J63" s="158">
        <f t="array" ref="J63">SUM((赋分!$B$2:$B$1666=J2)*(赋分!$N$2:$N$1666&gt;=60))/J5</f>
        <v>0.947368421052632</v>
      </c>
      <c r="K63" s="158">
        <f t="array" ref="K63">SUM((赋分!$B$2:$B$1666=K2)*(赋分!$N$2:$N$1666&gt;=60))/K5</f>
        <v>1</v>
      </c>
      <c r="L63" s="158">
        <f t="array" ref="L63">SUM((赋分!$B$2:$B$1666=L2)*(赋分!$N$2:$N$1666&gt;=60))/L5</f>
        <v>1</v>
      </c>
      <c r="M63" s="158">
        <f t="array" ref="M63">SUM((赋分!$B$2:$B$1666=M2)*(赋分!$N$2:$N$1666&gt;=60))/M5</f>
        <v>0.982456140350877</v>
      </c>
      <c r="N63" s="158">
        <f t="array" ref="N63">SUM((赋分!$B$2:$B$1666=N2)*(赋分!$N$2:$N$1666&gt;=60))/N5</f>
        <v>0.875</v>
      </c>
      <c r="O63" s="158">
        <f t="array" ref="O63">SUM((赋分!$B$2:$B$1666=O2)*(赋分!$N$2:$N$1666&gt;=60))/O5</f>
        <v>1</v>
      </c>
      <c r="P63" s="158">
        <f t="array" ref="P63">SUM((赋分!$B$2:$B$1666=P2)*(赋分!$N$2:$N$1666&gt;=60))/P5</f>
        <v>0.95</v>
      </c>
      <c r="Q63" s="158">
        <f t="array" ref="Q63">SUM((赋分!$B$2:$B$1666=Q2)*(赋分!$N$2:$N$1666&gt;=60))/Q5</f>
        <v>0.976190476190476</v>
      </c>
      <c r="R63" s="158">
        <f t="array" ref="R63">SUM((赋分!$B$2:$B$1666=R2)*(赋分!$N$2:$N$1666&gt;=60))/R5</f>
        <v>0.578947368421053</v>
      </c>
      <c r="S63" s="158"/>
      <c r="T63" s="158"/>
    </row>
    <row r="64" ht="15.95" customHeight="1" spans="1:20">
      <c r="A64" s="9"/>
      <c r="B64" s="9" t="s">
        <v>1780</v>
      </c>
      <c r="C64" s="158"/>
      <c r="D64" s="158">
        <f t="array" ref="D64">SUM((赋分!$B$2:$B$1666=D2)*(赋分!$N$2:$N$1666&gt;=80))/D5</f>
        <v>0.5</v>
      </c>
      <c r="E64" s="158"/>
      <c r="F64" s="158"/>
      <c r="G64" s="158"/>
      <c r="H64" s="158">
        <f t="array" ref="H64">SUM((赋分!$B$2:$B$1666=H2)*(赋分!$N$2:$N$1666&gt;=80))/H5</f>
        <v>0.333333333333333</v>
      </c>
      <c r="I64" s="158">
        <f t="array" ref="I64">SUM((赋分!$B$2:$B$1666=I2)*(赋分!$N$2:$N$1666&gt;=80))/I5</f>
        <v>0.263157894736842</v>
      </c>
      <c r="J64" s="158">
        <f t="array" ref="J64">SUM((赋分!$B$2:$B$1666=J2)*(赋分!$N$2:$N$1666&gt;=80))/J5</f>
        <v>0.350877192982456</v>
      </c>
      <c r="K64" s="158">
        <f t="array" ref="K64">SUM((赋分!$B$2:$B$1666=K2)*(赋分!$N$2:$N$1666&gt;=80))/K5</f>
        <v>0.907407407407407</v>
      </c>
      <c r="L64" s="158">
        <f t="array" ref="L64">SUM((赋分!$B$2:$B$1666=L2)*(赋分!$N$2:$N$1666&gt;=80))/L5</f>
        <v>0.807017543859649</v>
      </c>
      <c r="M64" s="158">
        <f t="array" ref="M64">SUM((赋分!$B$2:$B$1666=M2)*(赋分!$N$2:$N$1666&gt;=80))/M5</f>
        <v>0.456140350877193</v>
      </c>
      <c r="N64" s="158">
        <f t="array" ref="N64">SUM((赋分!$B$2:$B$1666=N2)*(赋分!$N$2:$N$1666&gt;=80))/N5</f>
        <v>0.25</v>
      </c>
      <c r="O64" s="158">
        <f t="array" ref="O64">SUM((赋分!$B$2:$B$1666=O2)*(赋分!$N$2:$N$1666&gt;=80))/O5</f>
        <v>0.444444444444444</v>
      </c>
      <c r="P64" s="158">
        <f t="array" ref="P64">SUM((赋分!$B$2:$B$1666=P2)*(赋分!$N$2:$N$1666&gt;=80))/P5</f>
        <v>0.3</v>
      </c>
      <c r="Q64" s="158">
        <f t="array" ref="Q64">SUM((赋分!$B$2:$B$1666=Q2)*(赋分!$N$2:$N$1666&gt;=80))/Q5</f>
        <v>0.452380952380952</v>
      </c>
      <c r="R64" s="158">
        <f t="array" ref="R64">SUM((赋分!$B$2:$B$1666=R2)*(赋分!$N$2:$N$1666&gt;=80))/R5</f>
        <v>0.526315789473684</v>
      </c>
      <c r="S64" s="158"/>
      <c r="T64" s="158"/>
    </row>
    <row r="65" ht="15.95" customHeight="1" spans="1:20">
      <c r="A65" s="9"/>
      <c r="B65" s="9" t="s">
        <v>1781</v>
      </c>
      <c r="C65" s="9"/>
      <c r="D65" s="40" t="s">
        <v>1762</v>
      </c>
      <c r="E65" s="40"/>
      <c r="F65" s="40"/>
      <c r="G65" s="40"/>
      <c r="H65" s="13" t="s">
        <v>1828</v>
      </c>
      <c r="I65" s="44" t="s">
        <v>1829</v>
      </c>
      <c r="J65" s="44" t="s">
        <v>1829</v>
      </c>
      <c r="K65" s="40" t="s">
        <v>1830</v>
      </c>
      <c r="L65" s="40" t="s">
        <v>1830</v>
      </c>
      <c r="M65" s="13" t="s">
        <v>1828</v>
      </c>
      <c r="N65" s="40" t="s">
        <v>1831</v>
      </c>
      <c r="O65" s="40" t="s">
        <v>1762</v>
      </c>
      <c r="P65" s="40" t="s">
        <v>1831</v>
      </c>
      <c r="Q65" s="40" t="s">
        <v>1832</v>
      </c>
      <c r="R65" s="40" t="s">
        <v>1832</v>
      </c>
      <c r="S65" s="30"/>
      <c r="T65" s="14"/>
    </row>
  </sheetData>
  <mergeCells count="16">
    <mergeCell ref="A1:T1"/>
    <mergeCell ref="A2:B2"/>
    <mergeCell ref="A3:B3"/>
    <mergeCell ref="A4:B4"/>
    <mergeCell ref="A5:B5"/>
    <mergeCell ref="A6:A10"/>
    <mergeCell ref="A11:A13"/>
    <mergeCell ref="A14:A17"/>
    <mergeCell ref="A18:A23"/>
    <mergeCell ref="A24:A29"/>
    <mergeCell ref="A30:A35"/>
    <mergeCell ref="A36:A41"/>
    <mergeCell ref="A42:A47"/>
    <mergeCell ref="A48:A53"/>
    <mergeCell ref="A54:A59"/>
    <mergeCell ref="A60:A65"/>
  </mergeCells>
  <printOptions gridLines="1"/>
  <pageMargins left="0.472222222222222" right="0" top="1" bottom="1" header="0.5" footer="0.5"/>
  <pageSetup paperSize="286" scale="75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419"/>
  <sheetViews>
    <sheetView view="pageBreakPreview" zoomScaleNormal="100" workbookViewId="0">
      <selection activeCell="AB3" sqref="AB3"/>
    </sheetView>
  </sheetViews>
  <sheetFormatPr defaultColWidth="9" defaultRowHeight="13.5"/>
  <cols>
    <col min="1" max="3" width="5.125" style="9" customWidth="1"/>
    <col min="4" max="4" width="5.375" style="10" customWidth="1"/>
    <col min="5" max="5" width="9.375" style="9" customWidth="1"/>
    <col min="6" max="6" width="7.375" style="9" customWidth="1"/>
    <col min="7" max="7" width="6.375" style="9" customWidth="1"/>
    <col min="8" max="8" width="7.375" style="9" customWidth="1"/>
    <col min="9" max="9" width="6.375" style="9" customWidth="1"/>
    <col min="10" max="10" width="7.375" style="9" customWidth="1"/>
    <col min="11" max="11" width="6.375" style="9" customWidth="1"/>
    <col min="12" max="12" width="5.375" style="9" customWidth="1"/>
    <col min="13" max="13" width="6.375" style="9" customWidth="1"/>
    <col min="14" max="14" width="5.75" style="9" customWidth="1"/>
    <col min="15" max="15" width="4.875" style="9" customWidth="1"/>
    <col min="16" max="16" width="5.125" style="9" customWidth="1"/>
    <col min="17" max="17" width="6.375" style="9" customWidth="1"/>
    <col min="18" max="18" width="5.125" style="9" customWidth="1"/>
    <col min="19" max="19" width="6.375" style="9" customWidth="1"/>
    <col min="20" max="20" width="5.125" style="9" customWidth="1"/>
    <col min="21" max="21" width="5.375" style="9" customWidth="1"/>
    <col min="22" max="22" width="5.125" style="9" customWidth="1"/>
    <col min="23" max="23" width="5.375" style="9" customWidth="1"/>
    <col min="24" max="24" width="7.375" style="11" customWidth="1"/>
    <col min="25" max="25" width="5.25" style="9" customWidth="1"/>
    <col min="26" max="26" width="7.375" style="11" customWidth="1"/>
    <col min="27" max="27" width="6.375" style="9" customWidth="1"/>
    <col min="28" max="28" width="4.375" style="12" customWidth="1"/>
    <col min="29" max="29" width="6.25" style="12" customWidth="1"/>
    <col min="30" max="31" width="7.375" style="12" customWidth="1"/>
    <col min="32" max="16384" width="9" style="12"/>
  </cols>
  <sheetData>
    <row r="1" ht="27" spans="1:31">
      <c r="A1" s="7" t="s">
        <v>1887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18"/>
      <c r="Y1" s="7"/>
      <c r="Z1" s="18"/>
      <c r="AA1" s="7"/>
      <c r="AC1" s="155" t="s">
        <v>1834</v>
      </c>
      <c r="AD1" s="156" t="s">
        <v>1888</v>
      </c>
      <c r="AE1" s="156" t="s">
        <v>1836</v>
      </c>
    </row>
    <row r="2" spans="1:31">
      <c r="A2" s="13" t="s">
        <v>0</v>
      </c>
      <c r="B2" s="13" t="s">
        <v>1</v>
      </c>
      <c r="C2" s="13" t="s">
        <v>2</v>
      </c>
      <c r="D2" s="14" t="s">
        <v>3</v>
      </c>
      <c r="E2" s="14" t="s">
        <v>4</v>
      </c>
      <c r="F2" s="9" t="s">
        <v>5</v>
      </c>
      <c r="G2" s="9" t="s">
        <v>1837</v>
      </c>
      <c r="H2" s="9" t="s">
        <v>6</v>
      </c>
      <c r="I2" s="9" t="s">
        <v>1838</v>
      </c>
      <c r="J2" s="9" t="s">
        <v>7</v>
      </c>
      <c r="K2" s="9" t="s">
        <v>1839</v>
      </c>
      <c r="L2" s="9" t="s">
        <v>8</v>
      </c>
      <c r="M2" s="9" t="s">
        <v>1840</v>
      </c>
      <c r="N2" s="11" t="s">
        <v>9</v>
      </c>
      <c r="O2" s="11" t="s">
        <v>1841</v>
      </c>
      <c r="P2" s="9" t="s">
        <v>10</v>
      </c>
      <c r="Q2" s="9" t="s">
        <v>1842</v>
      </c>
      <c r="R2" s="9" t="s">
        <v>11</v>
      </c>
      <c r="S2" s="9" t="s">
        <v>1843</v>
      </c>
      <c r="T2" s="9" t="s">
        <v>12</v>
      </c>
      <c r="U2" s="9" t="s">
        <v>1844</v>
      </c>
      <c r="V2" s="9" t="s">
        <v>13</v>
      </c>
      <c r="W2" s="9" t="s">
        <v>1845</v>
      </c>
      <c r="X2" s="11" t="s">
        <v>14</v>
      </c>
      <c r="Y2" s="9" t="s">
        <v>1846</v>
      </c>
      <c r="Z2" s="11" t="s">
        <v>15</v>
      </c>
      <c r="AA2" s="9" t="s">
        <v>1847</v>
      </c>
      <c r="AC2" s="14" t="s">
        <v>1</v>
      </c>
      <c r="AD2" s="9" t="s">
        <v>1848</v>
      </c>
      <c r="AE2" s="9" t="s">
        <v>1848</v>
      </c>
    </row>
    <row r="3" ht="14.25" spans="1:31">
      <c r="A3" s="13">
        <v>1</v>
      </c>
      <c r="B3" s="15">
        <v>1</v>
      </c>
      <c r="C3" s="16">
        <v>1</v>
      </c>
      <c r="D3" s="17" t="s">
        <v>16</v>
      </c>
      <c r="E3" s="17" t="s">
        <v>17</v>
      </c>
      <c r="F3" s="17">
        <v>95.5</v>
      </c>
      <c r="G3" s="17">
        <v>5877</v>
      </c>
      <c r="H3" s="17">
        <v>86.5</v>
      </c>
      <c r="I3" s="17">
        <v>6657</v>
      </c>
      <c r="J3" s="17">
        <v>96.5</v>
      </c>
      <c r="K3" s="17">
        <v>3746</v>
      </c>
      <c r="L3" s="17">
        <v>39.5</v>
      </c>
      <c r="M3" s="17">
        <v>6404</v>
      </c>
      <c r="N3" s="17"/>
      <c r="O3" s="17"/>
      <c r="P3" s="17">
        <v>62</v>
      </c>
      <c r="Q3" s="17">
        <v>8021</v>
      </c>
      <c r="R3" s="17"/>
      <c r="S3" s="17"/>
      <c r="T3" s="17">
        <v>73</v>
      </c>
      <c r="U3" s="17">
        <v>1585</v>
      </c>
      <c r="V3" s="17"/>
      <c r="W3" s="17"/>
      <c r="X3" s="15">
        <v>278.5</v>
      </c>
      <c r="Y3" s="17">
        <v>462</v>
      </c>
      <c r="Z3" s="17">
        <v>453</v>
      </c>
      <c r="AA3" s="17">
        <v>5915</v>
      </c>
      <c r="AB3" s="12">
        <v>532</v>
      </c>
      <c r="AC3" s="157">
        <v>1</v>
      </c>
      <c r="AD3" s="126">
        <f t="shared" ref="AD3:AD15" si="0">COUNTIFS($AB:$AB,"&lt;=100",$B:$B,AC3)</f>
        <v>5</v>
      </c>
      <c r="AE3" s="126">
        <f t="shared" ref="AE3:AE15" si="1">COUNTIFS($AB:$AB,"&gt;600",$B:$B,AC3)</f>
        <v>5</v>
      </c>
    </row>
    <row r="4" ht="14.25" spans="1:31">
      <c r="A4" s="13">
        <v>2</v>
      </c>
      <c r="B4" s="15">
        <v>1</v>
      </c>
      <c r="C4" s="16">
        <v>2</v>
      </c>
      <c r="D4" s="17" t="s">
        <v>18</v>
      </c>
      <c r="E4" s="17" t="s">
        <v>19</v>
      </c>
      <c r="F4" s="17">
        <v>97.5</v>
      </c>
      <c r="G4" s="17">
        <v>4695</v>
      </c>
      <c r="H4" s="17">
        <v>101.5</v>
      </c>
      <c r="I4" s="17">
        <v>3477</v>
      </c>
      <c r="J4" s="17">
        <v>83.5</v>
      </c>
      <c r="K4" s="17">
        <v>6874</v>
      </c>
      <c r="L4" s="17">
        <v>32</v>
      </c>
      <c r="M4" s="17">
        <v>8723</v>
      </c>
      <c r="N4" s="17"/>
      <c r="O4" s="17"/>
      <c r="P4" s="17">
        <v>68</v>
      </c>
      <c r="Q4" s="17">
        <v>6016</v>
      </c>
      <c r="R4" s="17"/>
      <c r="S4" s="17"/>
      <c r="T4" s="17">
        <v>83</v>
      </c>
      <c r="U4" s="17">
        <v>561</v>
      </c>
      <c r="V4" s="17"/>
      <c r="W4" s="17"/>
      <c r="X4" s="15">
        <v>282.5</v>
      </c>
      <c r="Y4" s="17">
        <v>425</v>
      </c>
      <c r="Z4" s="17">
        <v>465.5</v>
      </c>
      <c r="AA4" s="17">
        <v>5127</v>
      </c>
      <c r="AB4" s="12">
        <v>485</v>
      </c>
      <c r="AC4" s="157">
        <v>2</v>
      </c>
      <c r="AD4" s="126">
        <f t="shared" si="0"/>
        <v>2</v>
      </c>
      <c r="AE4" s="126">
        <f t="shared" si="1"/>
        <v>4</v>
      </c>
    </row>
    <row r="5" ht="14.25" spans="1:31">
      <c r="A5" s="13">
        <v>3</v>
      </c>
      <c r="B5" s="15">
        <v>1</v>
      </c>
      <c r="C5" s="16">
        <v>4</v>
      </c>
      <c r="D5" s="17" t="s">
        <v>20</v>
      </c>
      <c r="E5" s="17" t="s">
        <v>21</v>
      </c>
      <c r="F5" s="17">
        <v>83</v>
      </c>
      <c r="G5" s="17">
        <v>13396</v>
      </c>
      <c r="H5" s="17">
        <v>96.5</v>
      </c>
      <c r="I5" s="17">
        <v>4438</v>
      </c>
      <c r="J5" s="17">
        <v>90.5</v>
      </c>
      <c r="K5" s="17">
        <v>5135</v>
      </c>
      <c r="L5" s="17">
        <v>56.5</v>
      </c>
      <c r="M5" s="17">
        <v>2801</v>
      </c>
      <c r="N5" s="17"/>
      <c r="O5" s="17"/>
      <c r="P5" s="17">
        <v>66</v>
      </c>
      <c r="Q5" s="17">
        <v>6766</v>
      </c>
      <c r="R5" s="17"/>
      <c r="S5" s="17"/>
      <c r="T5" s="17">
        <v>73</v>
      </c>
      <c r="U5" s="17">
        <v>1585</v>
      </c>
      <c r="V5" s="17"/>
      <c r="W5" s="17"/>
      <c r="X5" s="15">
        <v>270</v>
      </c>
      <c r="Y5" s="17">
        <v>531</v>
      </c>
      <c r="Z5" s="17">
        <v>465.5</v>
      </c>
      <c r="AA5" s="17">
        <v>5127</v>
      </c>
      <c r="AB5" s="12">
        <v>485</v>
      </c>
      <c r="AC5" s="157">
        <v>3</v>
      </c>
      <c r="AD5" s="126">
        <f t="shared" si="0"/>
        <v>3</v>
      </c>
      <c r="AE5" s="126">
        <f t="shared" si="1"/>
        <v>5</v>
      </c>
    </row>
    <row r="6" ht="14.25" spans="1:31">
      <c r="A6" s="13">
        <v>4</v>
      </c>
      <c r="B6" s="15">
        <v>1</v>
      </c>
      <c r="C6" s="16">
        <v>5</v>
      </c>
      <c r="D6" s="17" t="s">
        <v>22</v>
      </c>
      <c r="E6" s="17" t="s">
        <v>23</v>
      </c>
      <c r="F6" s="17">
        <v>92.5</v>
      </c>
      <c r="G6" s="17">
        <v>7705</v>
      </c>
      <c r="H6" s="17">
        <v>114.5</v>
      </c>
      <c r="I6" s="17">
        <v>1277</v>
      </c>
      <c r="J6" s="17">
        <v>71.75</v>
      </c>
      <c r="K6" s="17">
        <v>9931</v>
      </c>
      <c r="L6" s="17">
        <v>48.5</v>
      </c>
      <c r="M6" s="17">
        <v>4255</v>
      </c>
      <c r="N6" s="17"/>
      <c r="O6" s="17"/>
      <c r="P6" s="17">
        <v>72</v>
      </c>
      <c r="Q6" s="17">
        <v>4881</v>
      </c>
      <c r="R6" s="17"/>
      <c r="S6" s="17"/>
      <c r="T6" s="17">
        <v>67</v>
      </c>
      <c r="U6" s="17">
        <v>2274</v>
      </c>
      <c r="V6" s="17"/>
      <c r="W6" s="17"/>
      <c r="X6" s="15">
        <v>278.75</v>
      </c>
      <c r="Y6" s="17">
        <v>459</v>
      </c>
      <c r="Z6" s="17">
        <v>466.25</v>
      </c>
      <c r="AA6" s="17">
        <v>5079</v>
      </c>
      <c r="AB6" s="12">
        <v>480</v>
      </c>
      <c r="AC6" s="157">
        <v>4</v>
      </c>
      <c r="AD6" s="126">
        <f t="shared" si="0"/>
        <v>1</v>
      </c>
      <c r="AE6" s="126">
        <f t="shared" si="1"/>
        <v>5</v>
      </c>
    </row>
    <row r="7" ht="14.25" spans="1:31">
      <c r="A7" s="13">
        <v>5</v>
      </c>
      <c r="B7" s="15">
        <v>1</v>
      </c>
      <c r="C7" s="16">
        <v>6</v>
      </c>
      <c r="D7" s="17" t="s">
        <v>24</v>
      </c>
      <c r="E7" s="17" t="s">
        <v>25</v>
      </c>
      <c r="F7" s="17">
        <v>111</v>
      </c>
      <c r="G7" s="17">
        <v>303</v>
      </c>
      <c r="H7" s="17">
        <v>107.5</v>
      </c>
      <c r="I7" s="17">
        <v>2373</v>
      </c>
      <c r="J7" s="17">
        <v>83.5</v>
      </c>
      <c r="K7" s="17">
        <v>6874</v>
      </c>
      <c r="L7" s="17">
        <v>48.5</v>
      </c>
      <c r="M7" s="17">
        <v>4255</v>
      </c>
      <c r="N7" s="17"/>
      <c r="O7" s="17"/>
      <c r="P7" s="17">
        <v>76</v>
      </c>
      <c r="Q7" s="17">
        <v>3515</v>
      </c>
      <c r="R7" s="17"/>
      <c r="S7" s="17"/>
      <c r="T7" s="17">
        <v>77</v>
      </c>
      <c r="U7" s="17">
        <v>1152</v>
      </c>
      <c r="V7" s="17"/>
      <c r="W7" s="17"/>
      <c r="X7" s="15">
        <v>302</v>
      </c>
      <c r="Y7" s="17">
        <v>261</v>
      </c>
      <c r="Z7" s="17">
        <v>503.5</v>
      </c>
      <c r="AA7" s="17">
        <v>3078</v>
      </c>
      <c r="AB7" s="12">
        <v>308</v>
      </c>
      <c r="AC7" s="157">
        <v>5</v>
      </c>
      <c r="AD7" s="126">
        <f t="shared" si="0"/>
        <v>3</v>
      </c>
      <c r="AE7" s="126">
        <f t="shared" si="1"/>
        <v>3</v>
      </c>
    </row>
    <row r="8" ht="14.25" spans="1:31">
      <c r="A8" s="13">
        <v>6</v>
      </c>
      <c r="B8" s="15">
        <v>1</v>
      </c>
      <c r="C8" s="16">
        <v>7</v>
      </c>
      <c r="D8" s="17" t="s">
        <v>26</v>
      </c>
      <c r="E8" s="17" t="s">
        <v>27</v>
      </c>
      <c r="F8" s="17">
        <v>99.5</v>
      </c>
      <c r="G8" s="17">
        <v>3607</v>
      </c>
      <c r="H8" s="17">
        <v>96.5</v>
      </c>
      <c r="I8" s="17">
        <v>4438</v>
      </c>
      <c r="J8" s="17">
        <v>109.75</v>
      </c>
      <c r="K8" s="17">
        <v>1503</v>
      </c>
      <c r="L8" s="17">
        <v>57</v>
      </c>
      <c r="M8" s="17">
        <v>2714</v>
      </c>
      <c r="N8" s="17"/>
      <c r="O8" s="17"/>
      <c r="P8" s="17">
        <v>86</v>
      </c>
      <c r="Q8" s="17">
        <v>1052</v>
      </c>
      <c r="R8" s="17"/>
      <c r="S8" s="17"/>
      <c r="T8" s="17">
        <v>87</v>
      </c>
      <c r="U8" s="17">
        <v>259</v>
      </c>
      <c r="V8" s="17"/>
      <c r="W8" s="17"/>
      <c r="X8" s="15">
        <v>305.75</v>
      </c>
      <c r="Y8" s="17">
        <v>229</v>
      </c>
      <c r="Z8" s="17">
        <v>535.75</v>
      </c>
      <c r="AA8" s="17">
        <v>1752</v>
      </c>
      <c r="AB8" s="12">
        <v>148</v>
      </c>
      <c r="AC8" s="157">
        <v>6</v>
      </c>
      <c r="AD8" s="126">
        <f t="shared" si="0"/>
        <v>1</v>
      </c>
      <c r="AE8" s="126">
        <f t="shared" si="1"/>
        <v>6</v>
      </c>
    </row>
    <row r="9" ht="14.25" spans="1:31">
      <c r="A9" s="13">
        <v>7</v>
      </c>
      <c r="B9" s="15">
        <v>1</v>
      </c>
      <c r="C9" s="16">
        <v>8</v>
      </c>
      <c r="D9" s="17" t="s">
        <v>28</v>
      </c>
      <c r="E9" s="17" t="s">
        <v>29</v>
      </c>
      <c r="F9" s="17">
        <v>101.5</v>
      </c>
      <c r="G9" s="17">
        <v>2674</v>
      </c>
      <c r="H9" s="17">
        <v>114</v>
      </c>
      <c r="I9" s="17">
        <v>1340</v>
      </c>
      <c r="J9" s="17">
        <v>114</v>
      </c>
      <c r="K9" s="17">
        <v>991</v>
      </c>
      <c r="L9" s="17">
        <v>69.5</v>
      </c>
      <c r="M9" s="17">
        <v>899</v>
      </c>
      <c r="N9" s="17"/>
      <c r="O9" s="17"/>
      <c r="P9" s="17">
        <v>87</v>
      </c>
      <c r="Q9" s="17">
        <v>681</v>
      </c>
      <c r="R9" s="17"/>
      <c r="S9" s="17"/>
      <c r="T9" s="17">
        <v>88</v>
      </c>
      <c r="U9" s="17">
        <v>161</v>
      </c>
      <c r="V9" s="17"/>
      <c r="W9" s="17"/>
      <c r="X9" s="15">
        <v>329.5</v>
      </c>
      <c r="Y9" s="17">
        <v>69</v>
      </c>
      <c r="Z9" s="17">
        <v>574</v>
      </c>
      <c r="AA9" s="17">
        <v>650</v>
      </c>
      <c r="AB9" s="12">
        <v>37</v>
      </c>
      <c r="AC9" s="157">
        <v>7</v>
      </c>
      <c r="AD9" s="126">
        <f t="shared" si="0"/>
        <v>0</v>
      </c>
      <c r="AE9" s="126">
        <f t="shared" si="1"/>
        <v>7</v>
      </c>
    </row>
    <row r="10" ht="14.25" spans="1:31">
      <c r="A10" s="13">
        <v>8</v>
      </c>
      <c r="B10" s="15">
        <v>1</v>
      </c>
      <c r="C10" s="16">
        <v>9</v>
      </c>
      <c r="D10" s="17" t="s">
        <v>30</v>
      </c>
      <c r="E10" s="17" t="s">
        <v>31</v>
      </c>
      <c r="F10" s="17">
        <v>100.5</v>
      </c>
      <c r="G10" s="17">
        <v>3131</v>
      </c>
      <c r="H10" s="17">
        <v>90.5</v>
      </c>
      <c r="I10" s="17">
        <v>5743</v>
      </c>
      <c r="J10" s="17">
        <v>119</v>
      </c>
      <c r="K10" s="17">
        <v>560</v>
      </c>
      <c r="L10" s="17">
        <v>45.5</v>
      </c>
      <c r="M10" s="17">
        <v>4898</v>
      </c>
      <c r="N10" s="17"/>
      <c r="O10" s="17"/>
      <c r="P10" s="17">
        <v>82</v>
      </c>
      <c r="Q10" s="17">
        <v>1870</v>
      </c>
      <c r="R10" s="17"/>
      <c r="S10" s="17"/>
      <c r="T10" s="17">
        <v>88</v>
      </c>
      <c r="U10" s="17">
        <v>161</v>
      </c>
      <c r="V10" s="17"/>
      <c r="W10" s="17"/>
      <c r="X10" s="15">
        <v>310</v>
      </c>
      <c r="Y10" s="17">
        <v>193</v>
      </c>
      <c r="Z10" s="17">
        <v>525.5</v>
      </c>
      <c r="AA10" s="17">
        <v>2118</v>
      </c>
      <c r="AB10" s="12">
        <v>181</v>
      </c>
      <c r="AC10" s="157">
        <v>8</v>
      </c>
      <c r="AD10" s="126">
        <f t="shared" si="0"/>
        <v>3</v>
      </c>
      <c r="AE10" s="126">
        <f t="shared" si="1"/>
        <v>4</v>
      </c>
    </row>
    <row r="11" ht="14.25" spans="1:31">
      <c r="A11" s="13">
        <v>9</v>
      </c>
      <c r="B11" s="15">
        <v>1</v>
      </c>
      <c r="C11" s="16">
        <v>10</v>
      </c>
      <c r="D11" s="17" t="s">
        <v>32</v>
      </c>
      <c r="E11" s="17" t="s">
        <v>33</v>
      </c>
      <c r="F11" s="17">
        <v>98.5</v>
      </c>
      <c r="G11" s="17">
        <v>4145</v>
      </c>
      <c r="H11" s="17">
        <v>94.5</v>
      </c>
      <c r="I11" s="17">
        <v>4840</v>
      </c>
      <c r="J11" s="17">
        <v>98.5</v>
      </c>
      <c r="K11" s="17">
        <v>3338</v>
      </c>
      <c r="L11" s="17">
        <v>66.5</v>
      </c>
      <c r="M11" s="17">
        <v>1237</v>
      </c>
      <c r="N11" s="17"/>
      <c r="O11" s="17"/>
      <c r="P11" s="17">
        <v>61</v>
      </c>
      <c r="Q11" s="17">
        <v>8358</v>
      </c>
      <c r="R11" s="17"/>
      <c r="S11" s="17"/>
      <c r="T11" s="17">
        <v>80</v>
      </c>
      <c r="U11" s="17">
        <v>813</v>
      </c>
      <c r="V11" s="17"/>
      <c r="W11" s="17"/>
      <c r="X11" s="15">
        <v>291.5</v>
      </c>
      <c r="Y11" s="17">
        <v>357</v>
      </c>
      <c r="Z11" s="17">
        <v>499</v>
      </c>
      <c r="AA11" s="17">
        <v>3285</v>
      </c>
      <c r="AB11" s="12">
        <v>332</v>
      </c>
      <c r="AC11" s="157">
        <v>9</v>
      </c>
      <c r="AD11" s="126">
        <f t="shared" si="0"/>
        <v>49</v>
      </c>
      <c r="AE11" s="126">
        <f t="shared" si="1"/>
        <v>0</v>
      </c>
    </row>
    <row r="12" ht="14.25" spans="1:31">
      <c r="A12" s="13">
        <v>10</v>
      </c>
      <c r="B12" s="15">
        <v>1</v>
      </c>
      <c r="C12" s="16">
        <v>11</v>
      </c>
      <c r="D12" s="17" t="s">
        <v>34</v>
      </c>
      <c r="E12" s="17" t="s">
        <v>35</v>
      </c>
      <c r="F12" s="17">
        <v>104.5</v>
      </c>
      <c r="G12" s="17">
        <v>1551</v>
      </c>
      <c r="H12" s="17">
        <v>75</v>
      </c>
      <c r="I12" s="17">
        <v>9019</v>
      </c>
      <c r="J12" s="17">
        <v>85.75</v>
      </c>
      <c r="K12" s="17">
        <v>6343</v>
      </c>
      <c r="L12" s="17">
        <v>21</v>
      </c>
      <c r="M12" s="17">
        <v>13491</v>
      </c>
      <c r="N12" s="17"/>
      <c r="O12" s="17"/>
      <c r="P12" s="17">
        <v>73</v>
      </c>
      <c r="Q12" s="17">
        <v>4501</v>
      </c>
      <c r="R12" s="17"/>
      <c r="S12" s="17"/>
      <c r="T12" s="17">
        <v>64</v>
      </c>
      <c r="U12" s="17">
        <v>2679</v>
      </c>
      <c r="V12" s="17"/>
      <c r="W12" s="17"/>
      <c r="X12" s="15">
        <v>265.25</v>
      </c>
      <c r="Y12" s="17">
        <v>553</v>
      </c>
      <c r="Z12" s="17">
        <v>423.25</v>
      </c>
      <c r="AA12" s="17">
        <v>7986</v>
      </c>
      <c r="AB12" s="12">
        <v>619</v>
      </c>
      <c r="AC12" s="157">
        <v>10</v>
      </c>
      <c r="AD12" s="126">
        <f t="shared" si="0"/>
        <v>23</v>
      </c>
      <c r="AE12" s="126">
        <f t="shared" si="1"/>
        <v>0</v>
      </c>
    </row>
    <row r="13" ht="14.25" spans="1:31">
      <c r="A13" s="13">
        <v>11</v>
      </c>
      <c r="B13" s="15">
        <v>1</v>
      </c>
      <c r="C13" s="16">
        <v>12</v>
      </c>
      <c r="D13" s="17" t="s">
        <v>36</v>
      </c>
      <c r="E13" s="17" t="s">
        <v>37</v>
      </c>
      <c r="F13" s="17">
        <v>87.5</v>
      </c>
      <c r="G13" s="17">
        <v>10920</v>
      </c>
      <c r="H13" s="17">
        <v>98.5</v>
      </c>
      <c r="I13" s="17">
        <v>4047</v>
      </c>
      <c r="J13" s="17">
        <v>85.5</v>
      </c>
      <c r="K13" s="17">
        <v>6376</v>
      </c>
      <c r="L13" s="17">
        <v>55</v>
      </c>
      <c r="M13" s="17">
        <v>3031</v>
      </c>
      <c r="N13" s="17"/>
      <c r="O13" s="17"/>
      <c r="P13" s="17">
        <v>77</v>
      </c>
      <c r="Q13" s="17">
        <v>3207</v>
      </c>
      <c r="R13" s="17"/>
      <c r="S13" s="17"/>
      <c r="T13" s="17">
        <v>80</v>
      </c>
      <c r="U13" s="17">
        <v>813</v>
      </c>
      <c r="V13" s="17"/>
      <c r="W13" s="17"/>
      <c r="X13" s="15">
        <v>271.5</v>
      </c>
      <c r="Y13" s="17">
        <v>518</v>
      </c>
      <c r="Z13" s="17">
        <v>483.5</v>
      </c>
      <c r="AA13" s="17">
        <v>4074</v>
      </c>
      <c r="AB13" s="12">
        <v>406</v>
      </c>
      <c r="AC13" s="157">
        <v>11</v>
      </c>
      <c r="AD13" s="126">
        <f t="shared" si="0"/>
        <v>3</v>
      </c>
      <c r="AE13" s="126">
        <f t="shared" si="1"/>
        <v>9</v>
      </c>
    </row>
    <row r="14" ht="14.25" spans="1:31">
      <c r="A14" s="13">
        <v>12</v>
      </c>
      <c r="B14" s="15">
        <v>1</v>
      </c>
      <c r="C14" s="16">
        <v>13</v>
      </c>
      <c r="D14" s="17" t="s">
        <v>38</v>
      </c>
      <c r="E14" s="17" t="s">
        <v>39</v>
      </c>
      <c r="F14" s="17">
        <v>98</v>
      </c>
      <c r="G14" s="17">
        <v>4423</v>
      </c>
      <c r="H14" s="17">
        <v>85</v>
      </c>
      <c r="I14" s="17">
        <v>6959</v>
      </c>
      <c r="J14" s="17">
        <v>104</v>
      </c>
      <c r="K14" s="17">
        <v>2352</v>
      </c>
      <c r="L14" s="17">
        <v>39</v>
      </c>
      <c r="M14" s="17">
        <v>6535</v>
      </c>
      <c r="N14" s="17"/>
      <c r="O14" s="17"/>
      <c r="P14" s="17">
        <v>81</v>
      </c>
      <c r="Q14" s="17">
        <v>2079</v>
      </c>
      <c r="R14" s="17"/>
      <c r="S14" s="17"/>
      <c r="T14" s="17">
        <v>67</v>
      </c>
      <c r="U14" s="17">
        <v>2274</v>
      </c>
      <c r="V14" s="17"/>
      <c r="W14" s="17"/>
      <c r="X14" s="15">
        <v>287</v>
      </c>
      <c r="Y14" s="17">
        <v>386</v>
      </c>
      <c r="Z14" s="17">
        <v>474</v>
      </c>
      <c r="AA14" s="17">
        <v>4595</v>
      </c>
      <c r="AB14" s="12">
        <v>443</v>
      </c>
      <c r="AC14" s="157">
        <v>12</v>
      </c>
      <c r="AD14" s="126">
        <f t="shared" si="0"/>
        <v>3</v>
      </c>
      <c r="AE14" s="126">
        <f t="shared" si="1"/>
        <v>12</v>
      </c>
    </row>
    <row r="15" ht="14.25" spans="1:31">
      <c r="A15" s="13">
        <v>13</v>
      </c>
      <c r="B15" s="15">
        <v>1</v>
      </c>
      <c r="C15" s="16">
        <v>14</v>
      </c>
      <c r="D15" s="17" t="s">
        <v>40</v>
      </c>
      <c r="E15" s="17" t="s">
        <v>41</v>
      </c>
      <c r="F15" s="17">
        <v>111</v>
      </c>
      <c r="G15" s="17">
        <v>303</v>
      </c>
      <c r="H15" s="17">
        <v>119.5</v>
      </c>
      <c r="I15" s="17">
        <v>753</v>
      </c>
      <c r="J15" s="17">
        <v>106.5</v>
      </c>
      <c r="K15" s="17">
        <v>1929</v>
      </c>
      <c r="L15" s="17">
        <v>63.5</v>
      </c>
      <c r="M15" s="17">
        <v>1636</v>
      </c>
      <c r="N15" s="17"/>
      <c r="O15" s="17"/>
      <c r="P15" s="17">
        <v>88</v>
      </c>
      <c r="Q15" s="17">
        <v>397</v>
      </c>
      <c r="R15" s="17"/>
      <c r="S15" s="17"/>
      <c r="T15" s="17">
        <v>82</v>
      </c>
      <c r="U15" s="17">
        <v>654</v>
      </c>
      <c r="V15" s="17"/>
      <c r="W15" s="17"/>
      <c r="X15" s="15">
        <v>337</v>
      </c>
      <c r="Y15" s="17">
        <v>37</v>
      </c>
      <c r="Z15" s="17">
        <v>570.5</v>
      </c>
      <c r="AA15" s="17">
        <v>736</v>
      </c>
      <c r="AB15" s="12">
        <v>44</v>
      </c>
      <c r="AC15" s="157">
        <v>13</v>
      </c>
      <c r="AD15" s="126">
        <f t="shared" si="0"/>
        <v>4</v>
      </c>
      <c r="AE15" s="126">
        <f t="shared" si="1"/>
        <v>3</v>
      </c>
    </row>
    <row r="16" ht="14.25" spans="1:31">
      <c r="A16" s="13">
        <v>14</v>
      </c>
      <c r="B16" s="15">
        <v>1</v>
      </c>
      <c r="C16" s="16">
        <v>15</v>
      </c>
      <c r="D16" s="17" t="s">
        <v>42</v>
      </c>
      <c r="E16" s="17" t="s">
        <v>43</v>
      </c>
      <c r="F16" s="17">
        <v>104</v>
      </c>
      <c r="G16" s="17">
        <v>1709</v>
      </c>
      <c r="H16" s="17">
        <v>112</v>
      </c>
      <c r="I16" s="17">
        <v>1617</v>
      </c>
      <c r="J16" s="17">
        <v>107.5</v>
      </c>
      <c r="K16" s="17">
        <v>1810</v>
      </c>
      <c r="L16" s="17">
        <v>56.5</v>
      </c>
      <c r="M16" s="17">
        <v>2801</v>
      </c>
      <c r="N16" s="17"/>
      <c r="O16" s="17"/>
      <c r="P16" s="17">
        <v>87</v>
      </c>
      <c r="Q16" s="17">
        <v>681</v>
      </c>
      <c r="R16" s="17"/>
      <c r="S16" s="17"/>
      <c r="T16" s="17">
        <v>89</v>
      </c>
      <c r="U16" s="17">
        <v>84</v>
      </c>
      <c r="V16" s="17"/>
      <c r="W16" s="17"/>
      <c r="X16" s="15">
        <v>323.5</v>
      </c>
      <c r="Y16" s="17">
        <v>95</v>
      </c>
      <c r="Z16" s="17">
        <v>556</v>
      </c>
      <c r="AA16" s="17">
        <v>1115</v>
      </c>
      <c r="AB16" s="12">
        <v>81</v>
      </c>
      <c r="AC16" s="14">
        <v>14</v>
      </c>
      <c r="AD16" s="9">
        <f>COUNTIFS($AB:$AB,"&lt;=50",$B:$B,AC16)</f>
        <v>3</v>
      </c>
      <c r="AE16" s="9">
        <f>COUNTIFS($AB:$AB,"&gt;200",$B:$B,AC16)</f>
        <v>1</v>
      </c>
    </row>
    <row r="17" ht="14.25" spans="1:31">
      <c r="A17" s="13">
        <v>15</v>
      </c>
      <c r="B17" s="15">
        <v>1</v>
      </c>
      <c r="C17" s="16">
        <v>17</v>
      </c>
      <c r="D17" s="17" t="s">
        <v>44</v>
      </c>
      <c r="E17" s="17" t="s">
        <v>45</v>
      </c>
      <c r="F17" s="17">
        <v>95.5</v>
      </c>
      <c r="G17" s="17">
        <v>5877</v>
      </c>
      <c r="H17" s="17">
        <v>124.5</v>
      </c>
      <c r="I17" s="17">
        <v>386</v>
      </c>
      <c r="J17" s="17">
        <v>91.25</v>
      </c>
      <c r="K17" s="17">
        <v>4978</v>
      </c>
      <c r="L17" s="17">
        <v>71</v>
      </c>
      <c r="M17" s="17">
        <v>762</v>
      </c>
      <c r="N17" s="17"/>
      <c r="O17" s="17"/>
      <c r="P17" s="17">
        <v>73</v>
      </c>
      <c r="Q17" s="17">
        <v>4501</v>
      </c>
      <c r="R17" s="17"/>
      <c r="S17" s="17"/>
      <c r="T17" s="17">
        <v>80</v>
      </c>
      <c r="U17" s="17">
        <v>813</v>
      </c>
      <c r="V17" s="17"/>
      <c r="W17" s="17"/>
      <c r="X17" s="15">
        <v>311.25</v>
      </c>
      <c r="Y17" s="17">
        <v>176</v>
      </c>
      <c r="Z17" s="17">
        <v>535.25</v>
      </c>
      <c r="AA17" s="17">
        <v>1775</v>
      </c>
      <c r="AB17" s="12">
        <v>151</v>
      </c>
      <c r="AC17" s="14">
        <v>15</v>
      </c>
      <c r="AD17" s="9">
        <f>COUNTIFS($AB:$AB,"&lt;=50",$B:$B,AC17)</f>
        <v>3</v>
      </c>
      <c r="AE17" s="9">
        <f>COUNTIFS($AB:$AB,"&gt;200",$B:$B,AC17)</f>
        <v>0</v>
      </c>
    </row>
    <row r="18" ht="14.25" spans="1:31">
      <c r="A18" s="13">
        <v>16</v>
      </c>
      <c r="B18" s="15">
        <v>1</v>
      </c>
      <c r="C18" s="16">
        <v>18</v>
      </c>
      <c r="D18" s="17" t="s">
        <v>46</v>
      </c>
      <c r="E18" s="17" t="s">
        <v>47</v>
      </c>
      <c r="F18" s="17">
        <v>97.5</v>
      </c>
      <c r="G18" s="17">
        <v>4695</v>
      </c>
      <c r="H18" s="17">
        <v>87</v>
      </c>
      <c r="I18" s="17">
        <v>6532</v>
      </c>
      <c r="J18" s="17">
        <v>86</v>
      </c>
      <c r="K18" s="17">
        <v>6253</v>
      </c>
      <c r="L18" s="17">
        <v>52</v>
      </c>
      <c r="M18" s="17">
        <v>3556</v>
      </c>
      <c r="N18" s="17"/>
      <c r="O18" s="17"/>
      <c r="P18" s="17">
        <v>73</v>
      </c>
      <c r="Q18" s="17">
        <v>4501</v>
      </c>
      <c r="R18" s="17"/>
      <c r="S18" s="17"/>
      <c r="T18" s="17">
        <v>77</v>
      </c>
      <c r="U18" s="17">
        <v>1152</v>
      </c>
      <c r="V18" s="17"/>
      <c r="W18" s="17"/>
      <c r="X18" s="15">
        <v>270.5</v>
      </c>
      <c r="Y18" s="17">
        <v>526</v>
      </c>
      <c r="Z18" s="17">
        <v>472.5</v>
      </c>
      <c r="AA18" s="17">
        <v>4687</v>
      </c>
      <c r="AB18" s="12">
        <v>448</v>
      </c>
      <c r="AC18" s="14">
        <v>16</v>
      </c>
      <c r="AD18" s="9">
        <f>COUNTIFS($AB:$AB,"&lt;=50",$B:$B,AC18)</f>
        <v>35</v>
      </c>
      <c r="AE18" s="9">
        <f>COUNTIFS($AB:$AB,"&gt;200",$B:$B,AC18)</f>
        <v>0</v>
      </c>
    </row>
    <row r="19" ht="14.25" spans="1:31">
      <c r="A19" s="13">
        <v>17</v>
      </c>
      <c r="B19" s="15">
        <v>1</v>
      </c>
      <c r="C19" s="16">
        <v>19</v>
      </c>
      <c r="D19" s="17" t="s">
        <v>48</v>
      </c>
      <c r="E19" s="17" t="s">
        <v>49</v>
      </c>
      <c r="F19" s="17">
        <v>106</v>
      </c>
      <c r="G19" s="17">
        <v>1174</v>
      </c>
      <c r="H19" s="17">
        <v>89</v>
      </c>
      <c r="I19" s="17">
        <v>6077</v>
      </c>
      <c r="J19" s="17">
        <v>98.75</v>
      </c>
      <c r="K19" s="17">
        <v>3309</v>
      </c>
      <c r="L19" s="17">
        <v>57</v>
      </c>
      <c r="M19" s="17">
        <v>2714</v>
      </c>
      <c r="N19" s="17"/>
      <c r="O19" s="17"/>
      <c r="P19" s="17">
        <v>74</v>
      </c>
      <c r="Q19" s="17">
        <v>4168</v>
      </c>
      <c r="R19" s="17"/>
      <c r="S19" s="17"/>
      <c r="T19" s="17">
        <v>74</v>
      </c>
      <c r="U19" s="17">
        <v>1516</v>
      </c>
      <c r="V19" s="17"/>
      <c r="W19" s="17"/>
      <c r="X19" s="15">
        <v>293.75</v>
      </c>
      <c r="Y19" s="17">
        <v>328</v>
      </c>
      <c r="Z19" s="17">
        <v>498.75</v>
      </c>
      <c r="AA19" s="17">
        <v>3301</v>
      </c>
      <c r="AB19" s="12">
        <v>335</v>
      </c>
      <c r="AC19" s="14">
        <v>17</v>
      </c>
      <c r="AD19" s="9">
        <f>COUNTIFS($AB:$AB,"&lt;=50",$B:$B,AC19)</f>
        <v>5</v>
      </c>
      <c r="AE19" s="9">
        <f>COUNTIFS($AB:$AB,"&gt;200",$B:$B,AC19)</f>
        <v>1</v>
      </c>
    </row>
    <row r="20" ht="14.25" spans="1:31">
      <c r="A20" s="13">
        <v>18</v>
      </c>
      <c r="B20" s="15">
        <v>1</v>
      </c>
      <c r="C20" s="16">
        <v>20</v>
      </c>
      <c r="D20" s="17" t="s">
        <v>50</v>
      </c>
      <c r="E20" s="17" t="s">
        <v>51</v>
      </c>
      <c r="F20" s="17">
        <v>104.5</v>
      </c>
      <c r="G20" s="17">
        <v>1551</v>
      </c>
      <c r="H20" s="17">
        <v>94.5</v>
      </c>
      <c r="I20" s="17">
        <v>4840</v>
      </c>
      <c r="J20" s="17">
        <v>88.25</v>
      </c>
      <c r="K20" s="17">
        <v>5710</v>
      </c>
      <c r="L20" s="17">
        <v>62</v>
      </c>
      <c r="M20" s="17">
        <v>1839</v>
      </c>
      <c r="N20" s="17"/>
      <c r="O20" s="17"/>
      <c r="P20" s="17">
        <v>72</v>
      </c>
      <c r="Q20" s="17">
        <v>4881</v>
      </c>
      <c r="R20" s="17"/>
      <c r="S20" s="17"/>
      <c r="T20" s="17">
        <v>79</v>
      </c>
      <c r="U20" s="17">
        <v>951</v>
      </c>
      <c r="V20" s="17"/>
      <c r="W20" s="17"/>
      <c r="X20" s="15">
        <v>287.25</v>
      </c>
      <c r="Y20" s="17">
        <v>384</v>
      </c>
      <c r="Z20" s="17">
        <v>500.25</v>
      </c>
      <c r="AA20" s="17">
        <v>3240</v>
      </c>
      <c r="AB20" s="12">
        <v>324</v>
      </c>
      <c r="AC20" s="14">
        <v>18</v>
      </c>
      <c r="AD20" s="9">
        <f>COUNTIFS($AB:$AB,"&lt;=50",$B:$B,AC20)</f>
        <v>4</v>
      </c>
      <c r="AE20" s="9">
        <f>COUNTIFS($AB:$AB,"&gt;200",$B:$B,AC20)</f>
        <v>4</v>
      </c>
    </row>
    <row r="21" ht="14.25" spans="1:31">
      <c r="A21" s="13">
        <v>19</v>
      </c>
      <c r="B21" s="15">
        <v>1</v>
      </c>
      <c r="C21" s="16">
        <v>21</v>
      </c>
      <c r="D21" s="17" t="s">
        <v>52</v>
      </c>
      <c r="E21" s="17" t="s">
        <v>53</v>
      </c>
      <c r="F21" s="17">
        <v>85.5</v>
      </c>
      <c r="G21" s="17">
        <v>12079</v>
      </c>
      <c r="H21" s="17">
        <v>125</v>
      </c>
      <c r="I21" s="17">
        <v>360</v>
      </c>
      <c r="J21" s="17">
        <v>87.5</v>
      </c>
      <c r="K21" s="17">
        <v>5877</v>
      </c>
      <c r="L21" s="17">
        <v>55</v>
      </c>
      <c r="M21" s="17">
        <v>3031</v>
      </c>
      <c r="N21" s="17"/>
      <c r="O21" s="17"/>
      <c r="P21" s="17">
        <v>72</v>
      </c>
      <c r="Q21" s="17">
        <v>4881</v>
      </c>
      <c r="R21" s="17"/>
      <c r="S21" s="17"/>
      <c r="T21" s="17">
        <v>86</v>
      </c>
      <c r="U21" s="17">
        <v>377</v>
      </c>
      <c r="V21" s="17"/>
      <c r="W21" s="17"/>
      <c r="X21" s="15">
        <v>298</v>
      </c>
      <c r="Y21" s="17">
        <v>293</v>
      </c>
      <c r="Z21" s="17">
        <v>511</v>
      </c>
      <c r="AA21" s="17">
        <v>2723</v>
      </c>
      <c r="AB21" s="12">
        <v>268</v>
      </c>
      <c r="AC21" s="14" t="s">
        <v>1849</v>
      </c>
      <c r="AD21" s="9">
        <f>SUM(AD3:AD20)</f>
        <v>150</v>
      </c>
      <c r="AE21" s="9">
        <f>SUM(AE3:AE20)</f>
        <v>69</v>
      </c>
    </row>
    <row r="22" ht="14.25" spans="1:28">
      <c r="A22" s="13">
        <v>20</v>
      </c>
      <c r="B22" s="15">
        <v>1</v>
      </c>
      <c r="C22" s="16">
        <v>22</v>
      </c>
      <c r="D22" s="17" t="s">
        <v>54</v>
      </c>
      <c r="E22" s="17" t="s">
        <v>55</v>
      </c>
      <c r="F22" s="17">
        <v>93.5</v>
      </c>
      <c r="G22" s="17">
        <v>7127</v>
      </c>
      <c r="H22" s="17">
        <v>96.5</v>
      </c>
      <c r="I22" s="17">
        <v>4438</v>
      </c>
      <c r="J22" s="17">
        <v>93.25</v>
      </c>
      <c r="K22" s="17">
        <v>4519</v>
      </c>
      <c r="L22" s="17">
        <v>46.5</v>
      </c>
      <c r="M22" s="17">
        <v>4690</v>
      </c>
      <c r="N22" s="17"/>
      <c r="O22" s="17"/>
      <c r="P22" s="17">
        <v>59</v>
      </c>
      <c r="Q22" s="17">
        <v>8996</v>
      </c>
      <c r="R22" s="17"/>
      <c r="S22" s="17"/>
      <c r="T22" s="17">
        <v>72</v>
      </c>
      <c r="U22" s="17">
        <v>1741</v>
      </c>
      <c r="V22" s="17"/>
      <c r="W22" s="17"/>
      <c r="X22" s="15">
        <v>283.25</v>
      </c>
      <c r="Y22" s="17">
        <v>416</v>
      </c>
      <c r="Z22" s="17">
        <v>460.75</v>
      </c>
      <c r="AA22" s="17">
        <v>5435</v>
      </c>
      <c r="AB22" s="12">
        <v>507</v>
      </c>
    </row>
    <row r="23" ht="14.25" spans="1:28">
      <c r="A23" s="13">
        <v>21</v>
      </c>
      <c r="B23" s="15">
        <v>1</v>
      </c>
      <c r="C23" s="16">
        <v>23</v>
      </c>
      <c r="D23" s="17" t="s">
        <v>56</v>
      </c>
      <c r="E23" s="17" t="s">
        <v>57</v>
      </c>
      <c r="F23" s="17">
        <v>91</v>
      </c>
      <c r="G23" s="17">
        <v>8620</v>
      </c>
      <c r="H23" s="17">
        <v>64</v>
      </c>
      <c r="I23" s="17">
        <v>11086</v>
      </c>
      <c r="J23" s="17">
        <v>113.25</v>
      </c>
      <c r="K23" s="17">
        <v>1094</v>
      </c>
      <c r="L23" s="17">
        <v>43</v>
      </c>
      <c r="M23" s="17">
        <v>5463</v>
      </c>
      <c r="N23" s="17"/>
      <c r="O23" s="17"/>
      <c r="P23" s="17">
        <v>72</v>
      </c>
      <c r="Q23" s="17">
        <v>4881</v>
      </c>
      <c r="R23" s="17"/>
      <c r="S23" s="17"/>
      <c r="T23" s="17">
        <v>78</v>
      </c>
      <c r="U23" s="17">
        <v>1013</v>
      </c>
      <c r="V23" s="17"/>
      <c r="W23" s="17"/>
      <c r="X23" s="15">
        <v>268.25</v>
      </c>
      <c r="Y23" s="17">
        <v>540</v>
      </c>
      <c r="Z23" s="17">
        <v>461.25</v>
      </c>
      <c r="AA23" s="17">
        <v>5398</v>
      </c>
      <c r="AB23" s="12">
        <v>505</v>
      </c>
    </row>
    <row r="24" ht="14.25" spans="1:28">
      <c r="A24" s="13">
        <v>22</v>
      </c>
      <c r="B24" s="15">
        <v>1</v>
      </c>
      <c r="C24" s="16">
        <v>24</v>
      </c>
      <c r="D24" s="17" t="s">
        <v>58</v>
      </c>
      <c r="E24" s="17" t="s">
        <v>59</v>
      </c>
      <c r="F24" s="17">
        <v>91.25</v>
      </c>
      <c r="G24" s="17">
        <v>8581</v>
      </c>
      <c r="H24" s="17">
        <v>102</v>
      </c>
      <c r="I24" s="17">
        <v>3381</v>
      </c>
      <c r="J24" s="17">
        <v>87</v>
      </c>
      <c r="K24" s="17">
        <v>5999</v>
      </c>
      <c r="L24" s="17">
        <v>43</v>
      </c>
      <c r="M24" s="17">
        <v>5463</v>
      </c>
      <c r="N24" s="17"/>
      <c r="O24" s="17"/>
      <c r="P24" s="17">
        <v>71</v>
      </c>
      <c r="Q24" s="17">
        <v>5258</v>
      </c>
      <c r="R24" s="17"/>
      <c r="S24" s="17"/>
      <c r="T24" s="17">
        <v>73</v>
      </c>
      <c r="U24" s="17">
        <v>1585</v>
      </c>
      <c r="V24" s="17"/>
      <c r="W24" s="17"/>
      <c r="X24" s="15">
        <v>280.25</v>
      </c>
      <c r="Y24" s="17">
        <v>447</v>
      </c>
      <c r="Z24" s="17">
        <v>467.25</v>
      </c>
      <c r="AA24" s="17">
        <v>5021</v>
      </c>
      <c r="AB24" s="12">
        <v>474</v>
      </c>
    </row>
    <row r="25" ht="14.25" spans="1:28">
      <c r="A25" s="13">
        <v>23</v>
      </c>
      <c r="B25" s="15">
        <v>1</v>
      </c>
      <c r="C25" s="16">
        <v>25</v>
      </c>
      <c r="D25" s="17" t="s">
        <v>60</v>
      </c>
      <c r="E25" s="17" t="s">
        <v>61</v>
      </c>
      <c r="F25" s="17">
        <v>102</v>
      </c>
      <c r="G25" s="17">
        <v>2480</v>
      </c>
      <c r="H25" s="17">
        <v>103</v>
      </c>
      <c r="I25" s="17">
        <v>3209</v>
      </c>
      <c r="J25" s="17">
        <v>95</v>
      </c>
      <c r="K25" s="17">
        <v>4092</v>
      </c>
      <c r="L25" s="17">
        <v>32.5</v>
      </c>
      <c r="M25" s="17">
        <v>8567</v>
      </c>
      <c r="N25" s="17"/>
      <c r="O25" s="17"/>
      <c r="P25" s="17">
        <v>60</v>
      </c>
      <c r="Q25" s="17">
        <v>8673</v>
      </c>
      <c r="R25" s="17"/>
      <c r="S25" s="17"/>
      <c r="T25" s="17">
        <v>82</v>
      </c>
      <c r="U25" s="17">
        <v>654</v>
      </c>
      <c r="V25" s="17"/>
      <c r="W25" s="17"/>
      <c r="X25" s="15">
        <v>300</v>
      </c>
      <c r="Y25" s="17">
        <v>276</v>
      </c>
      <c r="Z25" s="17">
        <v>474.5</v>
      </c>
      <c r="AA25" s="17">
        <v>4571</v>
      </c>
      <c r="AB25" s="12">
        <v>439</v>
      </c>
    </row>
    <row r="26" ht="14.25" spans="1:28">
      <c r="A26" s="13">
        <v>24</v>
      </c>
      <c r="B26" s="15">
        <v>1</v>
      </c>
      <c r="C26" s="16">
        <v>26</v>
      </c>
      <c r="D26" s="17" t="s">
        <v>62</v>
      </c>
      <c r="E26" s="17" t="s">
        <v>63</v>
      </c>
      <c r="F26" s="17">
        <v>104.25</v>
      </c>
      <c r="G26" s="17">
        <v>1691</v>
      </c>
      <c r="H26" s="17">
        <v>94.5</v>
      </c>
      <c r="I26" s="17">
        <v>4840</v>
      </c>
      <c r="J26" s="17">
        <v>102.5</v>
      </c>
      <c r="K26" s="17">
        <v>2600</v>
      </c>
      <c r="L26" s="17">
        <v>51</v>
      </c>
      <c r="M26" s="17">
        <v>3730</v>
      </c>
      <c r="N26" s="17"/>
      <c r="O26" s="17"/>
      <c r="P26" s="17">
        <v>64</v>
      </c>
      <c r="Q26" s="17">
        <v>7304</v>
      </c>
      <c r="R26" s="17"/>
      <c r="S26" s="17"/>
      <c r="T26" s="17">
        <v>88</v>
      </c>
      <c r="U26" s="17">
        <v>161</v>
      </c>
      <c r="V26" s="17"/>
      <c r="W26" s="17"/>
      <c r="X26" s="15">
        <v>301.25</v>
      </c>
      <c r="Y26" s="17">
        <v>268</v>
      </c>
      <c r="Z26" s="17">
        <v>504.25</v>
      </c>
      <c r="AA26" s="17">
        <v>3051</v>
      </c>
      <c r="AB26" s="12">
        <v>305</v>
      </c>
    </row>
    <row r="27" ht="14.25" spans="1:28">
      <c r="A27" s="13">
        <v>25</v>
      </c>
      <c r="B27" s="15">
        <v>1</v>
      </c>
      <c r="C27" s="16">
        <v>27</v>
      </c>
      <c r="D27" s="17" t="s">
        <v>64</v>
      </c>
      <c r="E27" s="17" t="s">
        <v>65</v>
      </c>
      <c r="F27" s="17">
        <v>111</v>
      </c>
      <c r="G27" s="17">
        <v>303</v>
      </c>
      <c r="H27" s="17">
        <v>107.5</v>
      </c>
      <c r="I27" s="17">
        <v>2373</v>
      </c>
      <c r="J27" s="17">
        <v>91</v>
      </c>
      <c r="K27" s="17">
        <v>5010</v>
      </c>
      <c r="L27" s="17">
        <v>56</v>
      </c>
      <c r="M27" s="17">
        <v>2878</v>
      </c>
      <c r="N27" s="17"/>
      <c r="O27" s="17"/>
      <c r="P27" s="17">
        <v>70</v>
      </c>
      <c r="Q27" s="17">
        <v>5445</v>
      </c>
      <c r="R27" s="17"/>
      <c r="S27" s="17"/>
      <c r="T27" s="17">
        <v>80</v>
      </c>
      <c r="U27" s="17">
        <v>813</v>
      </c>
      <c r="V27" s="17"/>
      <c r="W27" s="17"/>
      <c r="X27" s="15">
        <v>309.5</v>
      </c>
      <c r="Y27" s="17">
        <v>197</v>
      </c>
      <c r="Z27" s="17">
        <v>515.5</v>
      </c>
      <c r="AA27" s="17">
        <v>2526</v>
      </c>
      <c r="AB27" s="12">
        <v>243</v>
      </c>
    </row>
    <row r="28" ht="14.25" spans="1:28">
      <c r="A28" s="13">
        <v>26</v>
      </c>
      <c r="B28" s="15">
        <v>1</v>
      </c>
      <c r="C28" s="16">
        <v>28</v>
      </c>
      <c r="D28" s="17" t="s">
        <v>66</v>
      </c>
      <c r="E28" s="17" t="s">
        <v>67</v>
      </c>
      <c r="F28" s="17">
        <v>95.5</v>
      </c>
      <c r="G28" s="17">
        <v>5877</v>
      </c>
      <c r="H28" s="17">
        <v>115</v>
      </c>
      <c r="I28" s="17">
        <v>1213</v>
      </c>
      <c r="J28" s="17">
        <v>109.5</v>
      </c>
      <c r="K28" s="17">
        <v>1527</v>
      </c>
      <c r="L28" s="17">
        <v>56.5</v>
      </c>
      <c r="M28" s="17">
        <v>2801</v>
      </c>
      <c r="N28" s="17"/>
      <c r="O28" s="17"/>
      <c r="P28" s="17">
        <v>66</v>
      </c>
      <c r="Q28" s="17">
        <v>6766</v>
      </c>
      <c r="R28" s="17"/>
      <c r="S28" s="17"/>
      <c r="T28" s="17">
        <v>75</v>
      </c>
      <c r="U28" s="17">
        <v>1363</v>
      </c>
      <c r="V28" s="17"/>
      <c r="W28" s="17"/>
      <c r="X28" s="15">
        <v>320</v>
      </c>
      <c r="Y28" s="17">
        <v>118</v>
      </c>
      <c r="Z28" s="17">
        <v>517.5</v>
      </c>
      <c r="AA28" s="17">
        <v>2432</v>
      </c>
      <c r="AB28" s="12">
        <v>230</v>
      </c>
    </row>
    <row r="29" ht="14.25" spans="1:28">
      <c r="A29" s="13">
        <v>27</v>
      </c>
      <c r="B29" s="15">
        <v>1</v>
      </c>
      <c r="C29" s="16">
        <v>29</v>
      </c>
      <c r="D29" s="17" t="s">
        <v>68</v>
      </c>
      <c r="E29" s="17" t="s">
        <v>69</v>
      </c>
      <c r="F29" s="17">
        <v>108</v>
      </c>
      <c r="G29" s="17">
        <v>736</v>
      </c>
      <c r="H29" s="17">
        <v>108</v>
      </c>
      <c r="I29" s="17">
        <v>2274</v>
      </c>
      <c r="J29" s="17">
        <v>121.75</v>
      </c>
      <c r="K29" s="17">
        <v>398</v>
      </c>
      <c r="L29" s="17">
        <v>48</v>
      </c>
      <c r="M29" s="17">
        <v>4355</v>
      </c>
      <c r="N29" s="17"/>
      <c r="O29" s="17"/>
      <c r="P29" s="17">
        <v>82</v>
      </c>
      <c r="Q29" s="17">
        <v>1870</v>
      </c>
      <c r="R29" s="17"/>
      <c r="S29" s="17"/>
      <c r="T29" s="17">
        <v>81</v>
      </c>
      <c r="U29" s="17">
        <v>759</v>
      </c>
      <c r="V29" s="17"/>
      <c r="W29" s="17"/>
      <c r="X29" s="15">
        <v>337.75</v>
      </c>
      <c r="Y29" s="17">
        <v>33</v>
      </c>
      <c r="Z29" s="17">
        <v>548.75</v>
      </c>
      <c r="AA29" s="17">
        <v>1342</v>
      </c>
      <c r="AB29" s="12">
        <v>103</v>
      </c>
    </row>
    <row r="30" ht="14.25" spans="1:28">
      <c r="A30" s="13">
        <v>28</v>
      </c>
      <c r="B30" s="15">
        <v>1</v>
      </c>
      <c r="C30" s="16">
        <v>30</v>
      </c>
      <c r="D30" s="17" t="s">
        <v>70</v>
      </c>
      <c r="E30" s="17" t="s">
        <v>71</v>
      </c>
      <c r="F30" s="17">
        <v>109.5</v>
      </c>
      <c r="G30" s="17">
        <v>495</v>
      </c>
      <c r="H30" s="17">
        <v>113</v>
      </c>
      <c r="I30" s="17">
        <v>1467</v>
      </c>
      <c r="J30" s="17">
        <v>117.5</v>
      </c>
      <c r="K30" s="17">
        <v>682</v>
      </c>
      <c r="L30" s="17">
        <v>50.5</v>
      </c>
      <c r="M30" s="17">
        <v>3830</v>
      </c>
      <c r="N30" s="17"/>
      <c r="O30" s="17"/>
      <c r="P30" s="17">
        <v>81</v>
      </c>
      <c r="Q30" s="17">
        <v>2079</v>
      </c>
      <c r="R30" s="17"/>
      <c r="S30" s="17"/>
      <c r="T30" s="17">
        <v>89</v>
      </c>
      <c r="U30" s="17">
        <v>84</v>
      </c>
      <c r="V30" s="17"/>
      <c r="W30" s="17"/>
      <c r="X30" s="15">
        <v>340</v>
      </c>
      <c r="Y30" s="17">
        <v>29</v>
      </c>
      <c r="Z30" s="17">
        <v>560.5</v>
      </c>
      <c r="AA30" s="17">
        <v>988</v>
      </c>
      <c r="AB30" s="12">
        <v>71</v>
      </c>
    </row>
    <row r="31" ht="14.25" spans="1:28">
      <c r="A31" s="13">
        <v>29</v>
      </c>
      <c r="B31" s="15">
        <v>1</v>
      </c>
      <c r="C31" s="16">
        <v>31</v>
      </c>
      <c r="D31" s="17" t="s">
        <v>72</v>
      </c>
      <c r="E31" s="17" t="s">
        <v>73</v>
      </c>
      <c r="F31" s="17">
        <v>105.5</v>
      </c>
      <c r="G31" s="17">
        <v>1281</v>
      </c>
      <c r="H31" s="17">
        <v>120.5</v>
      </c>
      <c r="I31" s="17">
        <v>665</v>
      </c>
      <c r="J31" s="17">
        <v>92</v>
      </c>
      <c r="K31" s="17">
        <v>4787</v>
      </c>
      <c r="L31" s="17">
        <v>50.5</v>
      </c>
      <c r="M31" s="17">
        <v>3830</v>
      </c>
      <c r="N31" s="17"/>
      <c r="O31" s="17"/>
      <c r="P31" s="17">
        <v>68</v>
      </c>
      <c r="Q31" s="17">
        <v>6016</v>
      </c>
      <c r="R31" s="17"/>
      <c r="S31" s="17"/>
      <c r="T31" s="17">
        <v>72</v>
      </c>
      <c r="U31" s="17">
        <v>1741</v>
      </c>
      <c r="V31" s="17"/>
      <c r="W31" s="17"/>
      <c r="X31" s="15">
        <v>318</v>
      </c>
      <c r="Y31" s="17">
        <v>130</v>
      </c>
      <c r="Z31" s="17">
        <v>508.5</v>
      </c>
      <c r="AA31" s="17">
        <v>2836</v>
      </c>
      <c r="AB31" s="12">
        <v>279</v>
      </c>
    </row>
    <row r="32" ht="14.25" spans="1:28">
      <c r="A32" s="13">
        <v>30</v>
      </c>
      <c r="B32" s="15">
        <v>1</v>
      </c>
      <c r="C32" s="16">
        <v>32</v>
      </c>
      <c r="D32" s="17" t="s">
        <v>74</v>
      </c>
      <c r="E32" s="17" t="s">
        <v>75</v>
      </c>
      <c r="F32" s="17">
        <v>94</v>
      </c>
      <c r="G32" s="17">
        <v>6811</v>
      </c>
      <c r="H32" s="17">
        <v>95</v>
      </c>
      <c r="I32" s="17">
        <v>4735</v>
      </c>
      <c r="J32" s="17">
        <v>81</v>
      </c>
      <c r="K32" s="17">
        <v>7529</v>
      </c>
      <c r="L32" s="17">
        <v>64.5</v>
      </c>
      <c r="M32" s="17">
        <v>1506</v>
      </c>
      <c r="N32" s="17"/>
      <c r="O32" s="17"/>
      <c r="P32" s="17">
        <v>63</v>
      </c>
      <c r="Q32" s="17">
        <v>7666</v>
      </c>
      <c r="R32" s="17"/>
      <c r="S32" s="17"/>
      <c r="T32" s="17">
        <v>70</v>
      </c>
      <c r="U32" s="17">
        <v>1974</v>
      </c>
      <c r="V32" s="17"/>
      <c r="W32" s="17"/>
      <c r="X32" s="15">
        <v>270</v>
      </c>
      <c r="Y32" s="17">
        <v>531</v>
      </c>
      <c r="Z32" s="17">
        <v>467.5</v>
      </c>
      <c r="AA32" s="17">
        <v>5000</v>
      </c>
      <c r="AB32" s="12">
        <v>470</v>
      </c>
    </row>
    <row r="33" ht="14.25" spans="1:28">
      <c r="A33" s="13">
        <v>31</v>
      </c>
      <c r="B33" s="15">
        <v>1</v>
      </c>
      <c r="C33" s="16">
        <v>33</v>
      </c>
      <c r="D33" s="17" t="s">
        <v>76</v>
      </c>
      <c r="E33" s="17" t="s">
        <v>77</v>
      </c>
      <c r="F33" s="17">
        <v>101.75</v>
      </c>
      <c r="G33" s="17">
        <v>2660</v>
      </c>
      <c r="H33" s="17">
        <v>114.5</v>
      </c>
      <c r="I33" s="17">
        <v>1277</v>
      </c>
      <c r="J33" s="17">
        <v>94</v>
      </c>
      <c r="K33" s="17">
        <v>4318</v>
      </c>
      <c r="L33" s="17">
        <v>41.5</v>
      </c>
      <c r="M33" s="17">
        <v>5867</v>
      </c>
      <c r="N33" s="17"/>
      <c r="O33" s="17"/>
      <c r="P33" s="17">
        <v>68</v>
      </c>
      <c r="Q33" s="17">
        <v>6016</v>
      </c>
      <c r="R33" s="17"/>
      <c r="S33" s="17"/>
      <c r="T33" s="17">
        <v>79</v>
      </c>
      <c r="U33" s="17">
        <v>951</v>
      </c>
      <c r="V33" s="17"/>
      <c r="W33" s="17"/>
      <c r="X33" s="15">
        <v>310.25</v>
      </c>
      <c r="Y33" s="17">
        <v>189</v>
      </c>
      <c r="Z33" s="17">
        <v>498.75</v>
      </c>
      <c r="AA33" s="17">
        <v>3301</v>
      </c>
      <c r="AB33" s="12">
        <v>335</v>
      </c>
    </row>
    <row r="34" ht="14.25" spans="1:28">
      <c r="A34" s="13">
        <v>32</v>
      </c>
      <c r="B34" s="15">
        <v>1</v>
      </c>
      <c r="C34" s="16">
        <v>34</v>
      </c>
      <c r="D34" s="17" t="s">
        <v>78</v>
      </c>
      <c r="E34" s="17" t="s">
        <v>79</v>
      </c>
      <c r="F34" s="17">
        <v>100.5</v>
      </c>
      <c r="G34" s="17">
        <v>3131</v>
      </c>
      <c r="H34" s="17">
        <v>113</v>
      </c>
      <c r="I34" s="17">
        <v>1467</v>
      </c>
      <c r="J34" s="17">
        <v>95.5</v>
      </c>
      <c r="K34" s="17">
        <v>3977</v>
      </c>
      <c r="L34" s="17">
        <v>47.5</v>
      </c>
      <c r="M34" s="17">
        <v>4470</v>
      </c>
      <c r="N34" s="17"/>
      <c r="O34" s="17"/>
      <c r="P34" s="17">
        <v>66</v>
      </c>
      <c r="Q34" s="17">
        <v>6766</v>
      </c>
      <c r="R34" s="17"/>
      <c r="S34" s="17"/>
      <c r="T34" s="17">
        <v>80</v>
      </c>
      <c r="U34" s="17">
        <v>813</v>
      </c>
      <c r="V34" s="17"/>
      <c r="W34" s="17"/>
      <c r="X34" s="15">
        <v>309</v>
      </c>
      <c r="Y34" s="17">
        <v>203</v>
      </c>
      <c r="Z34" s="17">
        <v>502.5</v>
      </c>
      <c r="AA34" s="17">
        <v>3122</v>
      </c>
      <c r="AB34" s="12">
        <v>312</v>
      </c>
    </row>
    <row r="35" ht="14.25" spans="1:28">
      <c r="A35" s="13">
        <v>33</v>
      </c>
      <c r="B35" s="15">
        <v>1</v>
      </c>
      <c r="C35" s="16">
        <v>35</v>
      </c>
      <c r="D35" s="17" t="s">
        <v>80</v>
      </c>
      <c r="E35" s="17" t="s">
        <v>81</v>
      </c>
      <c r="F35" s="17">
        <v>85</v>
      </c>
      <c r="G35" s="17">
        <v>12359</v>
      </c>
      <c r="H35" s="17">
        <v>77.5</v>
      </c>
      <c r="I35" s="17">
        <v>8540</v>
      </c>
      <c r="J35" s="17">
        <v>83</v>
      </c>
      <c r="K35" s="17">
        <v>6990</v>
      </c>
      <c r="L35" s="17">
        <v>65.5</v>
      </c>
      <c r="M35" s="17">
        <v>1373</v>
      </c>
      <c r="N35" s="17"/>
      <c r="O35" s="17"/>
      <c r="P35" s="17">
        <v>73</v>
      </c>
      <c r="Q35" s="17">
        <v>4501</v>
      </c>
      <c r="R35" s="17"/>
      <c r="S35" s="17"/>
      <c r="T35" s="17">
        <v>59</v>
      </c>
      <c r="U35" s="17">
        <v>3217</v>
      </c>
      <c r="V35" s="17"/>
      <c r="W35" s="17"/>
      <c r="X35" s="15">
        <v>245.5</v>
      </c>
      <c r="Y35" s="17">
        <v>617</v>
      </c>
      <c r="Z35" s="17">
        <v>443</v>
      </c>
      <c r="AA35" s="17">
        <v>6599</v>
      </c>
      <c r="AB35" s="12">
        <v>558</v>
      </c>
    </row>
    <row r="36" ht="14.25" spans="1:28">
      <c r="A36" s="13">
        <v>34</v>
      </c>
      <c r="B36" s="15">
        <v>1</v>
      </c>
      <c r="C36" s="16">
        <v>36</v>
      </c>
      <c r="D36" s="17" t="s">
        <v>82</v>
      </c>
      <c r="E36" s="17" t="s">
        <v>83</v>
      </c>
      <c r="F36" s="17">
        <v>105.5</v>
      </c>
      <c r="G36" s="17">
        <v>1281</v>
      </c>
      <c r="H36" s="17">
        <v>102.5</v>
      </c>
      <c r="I36" s="17">
        <v>3278</v>
      </c>
      <c r="J36" s="17">
        <v>102</v>
      </c>
      <c r="K36" s="17">
        <v>2685</v>
      </c>
      <c r="L36" s="17">
        <v>49</v>
      </c>
      <c r="M36" s="17">
        <v>4146</v>
      </c>
      <c r="N36" s="17"/>
      <c r="O36" s="17"/>
      <c r="P36" s="17">
        <v>80</v>
      </c>
      <c r="Q36" s="17">
        <v>2333</v>
      </c>
      <c r="R36" s="17"/>
      <c r="S36" s="17"/>
      <c r="T36" s="17">
        <v>83</v>
      </c>
      <c r="U36" s="17">
        <v>561</v>
      </c>
      <c r="V36" s="17"/>
      <c r="W36" s="17"/>
      <c r="X36" s="15">
        <v>310</v>
      </c>
      <c r="Y36" s="17">
        <v>193</v>
      </c>
      <c r="Z36" s="17">
        <v>522</v>
      </c>
      <c r="AA36" s="17">
        <v>2281</v>
      </c>
      <c r="AB36" s="12">
        <v>206</v>
      </c>
    </row>
    <row r="37" ht="14.25" spans="1:28">
      <c r="A37" s="13">
        <v>35</v>
      </c>
      <c r="B37" s="15">
        <v>1</v>
      </c>
      <c r="C37" s="16">
        <v>37</v>
      </c>
      <c r="D37" s="17" t="s">
        <v>84</v>
      </c>
      <c r="E37" s="17" t="s">
        <v>85</v>
      </c>
      <c r="F37" s="17">
        <v>105.5</v>
      </c>
      <c r="G37" s="17">
        <v>1281</v>
      </c>
      <c r="H37" s="17">
        <v>97.5</v>
      </c>
      <c r="I37" s="17">
        <v>4244</v>
      </c>
      <c r="J37" s="17">
        <v>108.5</v>
      </c>
      <c r="K37" s="17">
        <v>1655</v>
      </c>
      <c r="L37" s="17">
        <v>57</v>
      </c>
      <c r="M37" s="17">
        <v>2714</v>
      </c>
      <c r="N37" s="17"/>
      <c r="O37" s="17"/>
      <c r="P37" s="17">
        <v>74</v>
      </c>
      <c r="Q37" s="17">
        <v>4168</v>
      </c>
      <c r="R37" s="17"/>
      <c r="S37" s="17"/>
      <c r="T37" s="17">
        <v>77</v>
      </c>
      <c r="U37" s="17">
        <v>1152</v>
      </c>
      <c r="V37" s="17"/>
      <c r="W37" s="17"/>
      <c r="X37" s="15">
        <v>311.5</v>
      </c>
      <c r="Y37" s="17">
        <v>173</v>
      </c>
      <c r="Z37" s="17">
        <v>519.5</v>
      </c>
      <c r="AA37" s="17">
        <v>2367</v>
      </c>
      <c r="AB37" s="12">
        <v>220</v>
      </c>
    </row>
    <row r="38" ht="14.25" spans="1:28">
      <c r="A38" s="13">
        <v>36</v>
      </c>
      <c r="B38" s="15">
        <v>1</v>
      </c>
      <c r="C38" s="16">
        <v>38</v>
      </c>
      <c r="D38" s="17" t="s">
        <v>86</v>
      </c>
      <c r="E38" s="17" t="s">
        <v>87</v>
      </c>
      <c r="F38" s="17">
        <v>94.5</v>
      </c>
      <c r="G38" s="17">
        <v>6496</v>
      </c>
      <c r="H38" s="17">
        <v>121.5</v>
      </c>
      <c r="I38" s="17">
        <v>581</v>
      </c>
      <c r="J38" s="17">
        <v>87</v>
      </c>
      <c r="K38" s="17">
        <v>5999</v>
      </c>
      <c r="L38" s="17">
        <v>37.5</v>
      </c>
      <c r="M38" s="17">
        <v>6979</v>
      </c>
      <c r="N38" s="17"/>
      <c r="O38" s="17"/>
      <c r="P38" s="17">
        <v>86</v>
      </c>
      <c r="Q38" s="17">
        <v>1052</v>
      </c>
      <c r="R38" s="17"/>
      <c r="S38" s="17"/>
      <c r="T38" s="17">
        <v>73</v>
      </c>
      <c r="U38" s="17">
        <v>1585</v>
      </c>
      <c r="V38" s="17"/>
      <c r="W38" s="17"/>
      <c r="X38" s="15">
        <v>303</v>
      </c>
      <c r="Y38" s="17">
        <v>251</v>
      </c>
      <c r="Z38" s="17">
        <v>499.5</v>
      </c>
      <c r="AA38" s="17">
        <v>3259</v>
      </c>
      <c r="AB38" s="12">
        <v>328</v>
      </c>
    </row>
    <row r="39" ht="14.25" spans="1:28">
      <c r="A39" s="13">
        <v>37</v>
      </c>
      <c r="B39" s="15">
        <v>1</v>
      </c>
      <c r="C39" s="16">
        <v>39</v>
      </c>
      <c r="D39" s="17" t="s">
        <v>88</v>
      </c>
      <c r="E39" s="17" t="s">
        <v>89</v>
      </c>
      <c r="F39" s="17">
        <v>103.5</v>
      </c>
      <c r="G39" s="17">
        <v>1897</v>
      </c>
      <c r="H39" s="17">
        <v>99</v>
      </c>
      <c r="I39" s="17">
        <v>3947</v>
      </c>
      <c r="J39" s="17">
        <v>53</v>
      </c>
      <c r="K39" s="17">
        <v>13628</v>
      </c>
      <c r="L39" s="17">
        <v>60.5</v>
      </c>
      <c r="M39" s="17">
        <v>2106</v>
      </c>
      <c r="N39" s="17"/>
      <c r="O39" s="17"/>
      <c r="P39" s="17">
        <v>77</v>
      </c>
      <c r="Q39" s="17">
        <v>3207</v>
      </c>
      <c r="R39" s="17"/>
      <c r="S39" s="17"/>
      <c r="T39" s="17">
        <v>81</v>
      </c>
      <c r="U39" s="17">
        <v>759</v>
      </c>
      <c r="V39" s="17"/>
      <c r="W39" s="17"/>
      <c r="X39" s="15">
        <v>255.5</v>
      </c>
      <c r="Y39" s="17">
        <v>595</v>
      </c>
      <c r="Z39" s="17">
        <v>474</v>
      </c>
      <c r="AA39" s="17">
        <v>4595</v>
      </c>
      <c r="AB39" s="12">
        <v>443</v>
      </c>
    </row>
    <row r="40" ht="14.25" spans="1:28">
      <c r="A40" s="13">
        <v>38</v>
      </c>
      <c r="B40" s="15">
        <v>1</v>
      </c>
      <c r="C40" s="16">
        <v>40</v>
      </c>
      <c r="D40" s="17" t="s">
        <v>90</v>
      </c>
      <c r="E40" s="17" t="s">
        <v>91</v>
      </c>
      <c r="F40" s="17">
        <v>102.5</v>
      </c>
      <c r="G40" s="17">
        <v>2274</v>
      </c>
      <c r="H40" s="17">
        <v>92</v>
      </c>
      <c r="I40" s="17">
        <v>5417</v>
      </c>
      <c r="J40" s="17">
        <v>80</v>
      </c>
      <c r="K40" s="17">
        <v>7802</v>
      </c>
      <c r="L40" s="17">
        <v>46</v>
      </c>
      <c r="M40" s="17">
        <v>4785</v>
      </c>
      <c r="N40" s="17"/>
      <c r="O40" s="17"/>
      <c r="P40" s="17">
        <v>74</v>
      </c>
      <c r="Q40" s="17">
        <v>4168</v>
      </c>
      <c r="R40" s="17"/>
      <c r="S40" s="17"/>
      <c r="T40" s="17">
        <v>69</v>
      </c>
      <c r="U40" s="17">
        <v>2042</v>
      </c>
      <c r="V40" s="17"/>
      <c r="W40" s="17"/>
      <c r="X40" s="15">
        <v>274.5</v>
      </c>
      <c r="Y40" s="17">
        <v>502</v>
      </c>
      <c r="Z40" s="17">
        <v>463.5</v>
      </c>
      <c r="AA40" s="17">
        <v>5265</v>
      </c>
      <c r="AB40" s="12">
        <v>494</v>
      </c>
    </row>
    <row r="41" ht="14.25" spans="1:28">
      <c r="A41" s="13">
        <v>39</v>
      </c>
      <c r="B41" s="15">
        <v>1</v>
      </c>
      <c r="C41" s="16">
        <v>41</v>
      </c>
      <c r="D41" s="17" t="s">
        <v>92</v>
      </c>
      <c r="E41" s="17" t="s">
        <v>93</v>
      </c>
      <c r="F41" s="17">
        <v>112</v>
      </c>
      <c r="G41" s="17">
        <v>223</v>
      </c>
      <c r="H41" s="17">
        <v>110.5</v>
      </c>
      <c r="I41" s="17">
        <v>1866</v>
      </c>
      <c r="J41" s="17">
        <v>106.25</v>
      </c>
      <c r="K41" s="17">
        <v>1993</v>
      </c>
      <c r="L41" s="17">
        <v>65.5</v>
      </c>
      <c r="M41" s="17">
        <v>1373</v>
      </c>
      <c r="N41" s="17"/>
      <c r="O41" s="17"/>
      <c r="P41" s="17">
        <v>80</v>
      </c>
      <c r="Q41" s="17">
        <v>2333</v>
      </c>
      <c r="R41" s="17"/>
      <c r="S41" s="17"/>
      <c r="T41" s="17">
        <v>89</v>
      </c>
      <c r="U41" s="17">
        <v>84</v>
      </c>
      <c r="V41" s="17"/>
      <c r="W41" s="17"/>
      <c r="X41" s="15">
        <v>328.75</v>
      </c>
      <c r="Y41" s="17">
        <v>74</v>
      </c>
      <c r="Z41" s="17">
        <v>563.25</v>
      </c>
      <c r="AA41" s="17">
        <v>921</v>
      </c>
      <c r="AB41" s="12">
        <v>64</v>
      </c>
    </row>
    <row r="42" ht="14.25" spans="1:28">
      <c r="A42" s="13">
        <v>40</v>
      </c>
      <c r="B42" s="15">
        <v>1</v>
      </c>
      <c r="C42" s="16">
        <v>42</v>
      </c>
      <c r="D42" s="17" t="s">
        <v>94</v>
      </c>
      <c r="E42" s="17" t="s">
        <v>95</v>
      </c>
      <c r="F42" s="17">
        <v>93</v>
      </c>
      <c r="G42" s="17">
        <v>7407</v>
      </c>
      <c r="H42" s="17">
        <v>106</v>
      </c>
      <c r="I42" s="17">
        <v>2619</v>
      </c>
      <c r="J42" s="17">
        <v>91.5</v>
      </c>
      <c r="K42" s="17">
        <v>4916</v>
      </c>
      <c r="L42" s="17">
        <v>67.5</v>
      </c>
      <c r="M42" s="17">
        <v>1130</v>
      </c>
      <c r="N42" s="17"/>
      <c r="O42" s="17"/>
      <c r="P42" s="17">
        <v>74</v>
      </c>
      <c r="Q42" s="17">
        <v>4168</v>
      </c>
      <c r="R42" s="17"/>
      <c r="S42" s="17"/>
      <c r="T42" s="17">
        <v>86</v>
      </c>
      <c r="U42" s="17">
        <v>377</v>
      </c>
      <c r="V42" s="17"/>
      <c r="W42" s="17"/>
      <c r="X42" s="15">
        <v>290.5</v>
      </c>
      <c r="Y42" s="17">
        <v>364</v>
      </c>
      <c r="Z42" s="17">
        <v>518</v>
      </c>
      <c r="AA42" s="17">
        <v>2415</v>
      </c>
      <c r="AB42" s="12">
        <v>226</v>
      </c>
    </row>
    <row r="43" ht="14.25" spans="1:28">
      <c r="A43" s="13">
        <v>41</v>
      </c>
      <c r="B43" s="15">
        <v>1</v>
      </c>
      <c r="C43" s="16">
        <v>43</v>
      </c>
      <c r="D43" s="17" t="s">
        <v>96</v>
      </c>
      <c r="E43" s="17" t="s">
        <v>97</v>
      </c>
      <c r="F43" s="17">
        <v>109.5</v>
      </c>
      <c r="G43" s="17">
        <v>495</v>
      </c>
      <c r="H43" s="17">
        <v>111</v>
      </c>
      <c r="I43" s="17">
        <v>1774</v>
      </c>
      <c r="J43" s="17">
        <v>100.25</v>
      </c>
      <c r="K43" s="17">
        <v>3011</v>
      </c>
      <c r="L43" s="17">
        <v>54.5</v>
      </c>
      <c r="M43" s="17">
        <v>3126</v>
      </c>
      <c r="N43" s="17"/>
      <c r="O43" s="17"/>
      <c r="P43" s="17">
        <v>65</v>
      </c>
      <c r="Q43" s="17">
        <v>7113</v>
      </c>
      <c r="R43" s="17"/>
      <c r="S43" s="17"/>
      <c r="T43" s="17">
        <v>86</v>
      </c>
      <c r="U43" s="17">
        <v>377</v>
      </c>
      <c r="V43" s="17"/>
      <c r="W43" s="17"/>
      <c r="X43" s="15">
        <v>320.75</v>
      </c>
      <c r="Y43" s="17">
        <v>110</v>
      </c>
      <c r="Z43" s="17">
        <v>526.25</v>
      </c>
      <c r="AA43" s="17">
        <v>2097</v>
      </c>
      <c r="AB43" s="12">
        <v>180</v>
      </c>
    </row>
    <row r="44" ht="14.25" spans="1:28">
      <c r="A44" s="13">
        <v>42</v>
      </c>
      <c r="B44" s="15">
        <v>1</v>
      </c>
      <c r="C44" s="16">
        <v>44</v>
      </c>
      <c r="D44" s="17" t="s">
        <v>98</v>
      </c>
      <c r="E44" s="17" t="s">
        <v>99</v>
      </c>
      <c r="F44" s="17">
        <v>95.5</v>
      </c>
      <c r="G44" s="17">
        <v>5877</v>
      </c>
      <c r="H44" s="17">
        <v>84.5</v>
      </c>
      <c r="I44" s="17">
        <v>7091</v>
      </c>
      <c r="J44" s="17">
        <v>83.5</v>
      </c>
      <c r="K44" s="17">
        <v>6874</v>
      </c>
      <c r="L44" s="17">
        <v>50.5</v>
      </c>
      <c r="M44" s="17">
        <v>3830</v>
      </c>
      <c r="N44" s="17"/>
      <c r="O44" s="17"/>
      <c r="P44" s="17">
        <v>86</v>
      </c>
      <c r="Q44" s="17">
        <v>1052</v>
      </c>
      <c r="R44" s="17"/>
      <c r="S44" s="17"/>
      <c r="T44" s="17">
        <v>65</v>
      </c>
      <c r="U44" s="17">
        <v>2551</v>
      </c>
      <c r="V44" s="17"/>
      <c r="W44" s="17"/>
      <c r="X44" s="15">
        <v>263.5</v>
      </c>
      <c r="Y44" s="17">
        <v>563</v>
      </c>
      <c r="Z44" s="17">
        <v>465</v>
      </c>
      <c r="AA44" s="17">
        <v>5161</v>
      </c>
      <c r="AB44" s="12">
        <v>489</v>
      </c>
    </row>
    <row r="45" ht="14.25" spans="1:28">
      <c r="A45" s="13">
        <v>43</v>
      </c>
      <c r="B45" s="15">
        <v>1</v>
      </c>
      <c r="C45" s="16">
        <v>45</v>
      </c>
      <c r="D45" s="17" t="s">
        <v>100</v>
      </c>
      <c r="E45" s="17" t="s">
        <v>101</v>
      </c>
      <c r="F45" s="17">
        <v>89.5</v>
      </c>
      <c r="G45" s="17">
        <v>9648</v>
      </c>
      <c r="H45" s="17">
        <v>104</v>
      </c>
      <c r="I45" s="17">
        <v>2999</v>
      </c>
      <c r="J45" s="17">
        <v>85.5</v>
      </c>
      <c r="K45" s="17">
        <v>6376</v>
      </c>
      <c r="L45" s="17">
        <v>65</v>
      </c>
      <c r="M45" s="17">
        <v>1440</v>
      </c>
      <c r="N45" s="17"/>
      <c r="O45" s="17"/>
      <c r="P45" s="17">
        <v>80</v>
      </c>
      <c r="Q45" s="17">
        <v>2333</v>
      </c>
      <c r="R45" s="17"/>
      <c r="S45" s="17"/>
      <c r="T45" s="17">
        <v>66</v>
      </c>
      <c r="U45" s="17">
        <v>2417</v>
      </c>
      <c r="V45" s="17"/>
      <c r="W45" s="17"/>
      <c r="X45" s="15">
        <v>279</v>
      </c>
      <c r="Y45" s="17">
        <v>456</v>
      </c>
      <c r="Z45" s="17">
        <v>490</v>
      </c>
      <c r="AA45" s="17">
        <v>3746</v>
      </c>
      <c r="AB45" s="12">
        <v>373</v>
      </c>
    </row>
    <row r="46" ht="14.25" spans="1:28">
      <c r="A46" s="13">
        <v>44</v>
      </c>
      <c r="B46" s="15">
        <v>1</v>
      </c>
      <c r="C46" s="16">
        <v>46</v>
      </c>
      <c r="D46" s="17" t="s">
        <v>102</v>
      </c>
      <c r="E46" s="17" t="s">
        <v>103</v>
      </c>
      <c r="F46" s="17">
        <v>105.5</v>
      </c>
      <c r="G46" s="17">
        <v>1281</v>
      </c>
      <c r="H46" s="17">
        <v>112</v>
      </c>
      <c r="I46" s="17">
        <v>1617</v>
      </c>
      <c r="J46" s="17">
        <v>85.5</v>
      </c>
      <c r="K46" s="17">
        <v>6376</v>
      </c>
      <c r="L46" s="17">
        <v>46.5</v>
      </c>
      <c r="M46" s="17">
        <v>4690</v>
      </c>
      <c r="N46" s="17"/>
      <c r="O46" s="17"/>
      <c r="P46" s="17">
        <v>65</v>
      </c>
      <c r="Q46" s="17">
        <v>7113</v>
      </c>
      <c r="R46" s="17"/>
      <c r="S46" s="17"/>
      <c r="T46" s="17">
        <v>87</v>
      </c>
      <c r="U46" s="17">
        <v>259</v>
      </c>
      <c r="V46" s="17"/>
      <c r="W46" s="17"/>
      <c r="X46" s="15">
        <v>303</v>
      </c>
      <c r="Y46" s="17">
        <v>251</v>
      </c>
      <c r="Z46" s="17">
        <v>501.5</v>
      </c>
      <c r="AA46" s="17">
        <v>3169</v>
      </c>
      <c r="AB46" s="12">
        <v>319</v>
      </c>
    </row>
    <row r="47" ht="14.25" spans="1:28">
      <c r="A47" s="13">
        <v>45</v>
      </c>
      <c r="B47" s="15">
        <v>1</v>
      </c>
      <c r="C47" s="16">
        <v>47</v>
      </c>
      <c r="D47" s="17" t="s">
        <v>104</v>
      </c>
      <c r="E47" s="17" t="s">
        <v>105</v>
      </c>
      <c r="F47" s="17">
        <v>112.25</v>
      </c>
      <c r="G47" s="17">
        <v>219</v>
      </c>
      <c r="H47" s="17">
        <v>97.5</v>
      </c>
      <c r="I47" s="17">
        <v>4244</v>
      </c>
      <c r="J47" s="17">
        <v>101.5</v>
      </c>
      <c r="K47" s="17">
        <v>2779</v>
      </c>
      <c r="L47" s="17">
        <v>38</v>
      </c>
      <c r="M47" s="17">
        <v>6823</v>
      </c>
      <c r="N47" s="17"/>
      <c r="O47" s="17"/>
      <c r="P47" s="17">
        <v>72</v>
      </c>
      <c r="Q47" s="17">
        <v>4881</v>
      </c>
      <c r="R47" s="17"/>
      <c r="S47" s="17"/>
      <c r="T47" s="17">
        <v>87</v>
      </c>
      <c r="U47" s="17">
        <v>259</v>
      </c>
      <c r="V47" s="17"/>
      <c r="W47" s="17"/>
      <c r="X47" s="15">
        <v>311.25</v>
      </c>
      <c r="Y47" s="17">
        <v>176</v>
      </c>
      <c r="Z47" s="17">
        <v>508.25</v>
      </c>
      <c r="AA47" s="17">
        <v>2856</v>
      </c>
      <c r="AB47" s="12">
        <v>282</v>
      </c>
    </row>
    <row r="48" ht="14.25" spans="1:28">
      <c r="A48" s="13">
        <v>46</v>
      </c>
      <c r="B48" s="15">
        <v>1</v>
      </c>
      <c r="C48" s="16">
        <v>48</v>
      </c>
      <c r="D48" s="17" t="s">
        <v>106</v>
      </c>
      <c r="E48" s="17" t="s">
        <v>107</v>
      </c>
      <c r="F48" s="17">
        <v>103.5</v>
      </c>
      <c r="G48" s="17">
        <v>1897</v>
      </c>
      <c r="H48" s="17">
        <v>99</v>
      </c>
      <c r="I48" s="17">
        <v>3947</v>
      </c>
      <c r="J48" s="17">
        <v>92</v>
      </c>
      <c r="K48" s="17">
        <v>4787</v>
      </c>
      <c r="L48" s="17">
        <v>59</v>
      </c>
      <c r="M48" s="17">
        <v>2358</v>
      </c>
      <c r="N48" s="17"/>
      <c r="O48" s="17"/>
      <c r="P48" s="17">
        <v>82</v>
      </c>
      <c r="Q48" s="17">
        <v>1870</v>
      </c>
      <c r="R48" s="17"/>
      <c r="S48" s="17"/>
      <c r="T48" s="17">
        <v>86</v>
      </c>
      <c r="U48" s="17">
        <v>377</v>
      </c>
      <c r="V48" s="17"/>
      <c r="W48" s="17"/>
      <c r="X48" s="15">
        <v>294.5</v>
      </c>
      <c r="Y48" s="17">
        <v>321</v>
      </c>
      <c r="Z48" s="17">
        <v>521.5</v>
      </c>
      <c r="AA48" s="17">
        <v>2298</v>
      </c>
      <c r="AB48" s="12">
        <v>209</v>
      </c>
    </row>
    <row r="49" ht="14.25" spans="1:28">
      <c r="A49" s="13">
        <v>47</v>
      </c>
      <c r="B49" s="15">
        <v>1</v>
      </c>
      <c r="C49" s="16">
        <v>49</v>
      </c>
      <c r="D49" s="17" t="s">
        <v>108</v>
      </c>
      <c r="E49" s="17" t="s">
        <v>109</v>
      </c>
      <c r="F49" s="17">
        <v>99.5</v>
      </c>
      <c r="G49" s="17">
        <v>3607</v>
      </c>
      <c r="H49" s="17">
        <v>108.5</v>
      </c>
      <c r="I49" s="17">
        <v>2198</v>
      </c>
      <c r="J49" s="17">
        <v>77.5</v>
      </c>
      <c r="K49" s="17">
        <v>8422</v>
      </c>
      <c r="L49" s="17">
        <v>44</v>
      </c>
      <c r="M49" s="17">
        <v>5222</v>
      </c>
      <c r="N49" s="17"/>
      <c r="O49" s="17"/>
      <c r="P49" s="17">
        <v>75</v>
      </c>
      <c r="Q49" s="17">
        <v>3841</v>
      </c>
      <c r="R49" s="17"/>
      <c r="S49" s="17"/>
      <c r="T49" s="17">
        <v>73</v>
      </c>
      <c r="U49" s="17">
        <v>1585</v>
      </c>
      <c r="V49" s="17"/>
      <c r="W49" s="17"/>
      <c r="X49" s="15">
        <v>285.5</v>
      </c>
      <c r="Y49" s="17">
        <v>397</v>
      </c>
      <c r="Z49" s="17">
        <v>477.5</v>
      </c>
      <c r="AA49" s="17">
        <v>4411</v>
      </c>
      <c r="AB49" s="12">
        <v>428</v>
      </c>
    </row>
    <row r="50" ht="14.25" spans="1:28">
      <c r="A50" s="13">
        <v>48</v>
      </c>
      <c r="B50" s="15">
        <v>1</v>
      </c>
      <c r="C50" s="16">
        <v>50</v>
      </c>
      <c r="D50" s="17" t="s">
        <v>110</v>
      </c>
      <c r="E50" s="17" t="s">
        <v>111</v>
      </c>
      <c r="F50" s="17">
        <v>90</v>
      </c>
      <c r="G50" s="17">
        <v>9312</v>
      </c>
      <c r="H50" s="17">
        <v>85</v>
      </c>
      <c r="I50" s="17">
        <v>6959</v>
      </c>
      <c r="J50" s="17">
        <v>97</v>
      </c>
      <c r="K50" s="17">
        <v>3649</v>
      </c>
      <c r="L50" s="17">
        <v>38.5</v>
      </c>
      <c r="M50" s="17">
        <v>6692</v>
      </c>
      <c r="N50" s="17"/>
      <c r="O50" s="17"/>
      <c r="P50" s="17">
        <v>77</v>
      </c>
      <c r="Q50" s="17">
        <v>3207</v>
      </c>
      <c r="R50" s="17"/>
      <c r="S50" s="17"/>
      <c r="T50" s="17">
        <v>83</v>
      </c>
      <c r="U50" s="17">
        <v>561</v>
      </c>
      <c r="V50" s="17"/>
      <c r="W50" s="17"/>
      <c r="X50" s="15">
        <v>272</v>
      </c>
      <c r="Y50" s="17">
        <v>514</v>
      </c>
      <c r="Z50" s="17">
        <v>470.5</v>
      </c>
      <c r="AA50" s="17">
        <v>4810</v>
      </c>
      <c r="AB50" s="12">
        <v>456</v>
      </c>
    </row>
    <row r="51" ht="14.25" spans="1:28">
      <c r="A51" s="13">
        <v>49</v>
      </c>
      <c r="B51" s="15">
        <v>1</v>
      </c>
      <c r="C51" s="16">
        <v>51</v>
      </c>
      <c r="D51" s="17" t="s">
        <v>112</v>
      </c>
      <c r="E51" s="17" t="s">
        <v>113</v>
      </c>
      <c r="F51" s="17">
        <v>101.5</v>
      </c>
      <c r="G51" s="17">
        <v>2674</v>
      </c>
      <c r="H51" s="17">
        <v>85</v>
      </c>
      <c r="I51" s="17">
        <v>6959</v>
      </c>
      <c r="J51" s="17">
        <v>93</v>
      </c>
      <c r="K51" s="17">
        <v>4548</v>
      </c>
      <c r="L51" s="17">
        <v>30</v>
      </c>
      <c r="M51" s="17">
        <v>9441</v>
      </c>
      <c r="N51" s="17"/>
      <c r="O51" s="17"/>
      <c r="P51" s="17">
        <v>71</v>
      </c>
      <c r="Q51" s="17">
        <v>5258</v>
      </c>
      <c r="R51" s="17"/>
      <c r="S51" s="17"/>
      <c r="T51" s="17">
        <v>66</v>
      </c>
      <c r="U51" s="17">
        <v>2417</v>
      </c>
      <c r="V51" s="17"/>
      <c r="W51" s="17"/>
      <c r="X51" s="15">
        <v>279.5</v>
      </c>
      <c r="Y51" s="17">
        <v>451</v>
      </c>
      <c r="Z51" s="17">
        <v>446.5</v>
      </c>
      <c r="AA51" s="17">
        <v>6354</v>
      </c>
      <c r="AB51" s="12">
        <v>551</v>
      </c>
    </row>
    <row r="52" ht="14.25" spans="1:28">
      <c r="A52" s="13">
        <v>50</v>
      </c>
      <c r="B52" s="15">
        <v>1</v>
      </c>
      <c r="C52" s="16">
        <v>52</v>
      </c>
      <c r="D52" s="17" t="s">
        <v>114</v>
      </c>
      <c r="E52" s="17" t="s">
        <v>115</v>
      </c>
      <c r="F52" s="17">
        <v>95</v>
      </c>
      <c r="G52" s="17">
        <v>6168</v>
      </c>
      <c r="H52" s="17">
        <v>77</v>
      </c>
      <c r="I52" s="17">
        <v>8656</v>
      </c>
      <c r="J52" s="17">
        <v>105.5</v>
      </c>
      <c r="K52" s="17">
        <v>2098</v>
      </c>
      <c r="L52" s="17">
        <v>47</v>
      </c>
      <c r="M52" s="17">
        <v>4568</v>
      </c>
      <c r="N52" s="17"/>
      <c r="O52" s="17"/>
      <c r="P52" s="17">
        <v>80</v>
      </c>
      <c r="Q52" s="17">
        <v>2333</v>
      </c>
      <c r="R52" s="17"/>
      <c r="S52" s="17"/>
      <c r="T52" s="17">
        <v>73</v>
      </c>
      <c r="U52" s="17">
        <v>1585</v>
      </c>
      <c r="V52" s="17"/>
      <c r="W52" s="17"/>
      <c r="X52" s="15">
        <v>277.5</v>
      </c>
      <c r="Y52" s="17">
        <v>480</v>
      </c>
      <c r="Z52" s="17">
        <v>477.5</v>
      </c>
      <c r="AA52" s="17">
        <v>4411</v>
      </c>
      <c r="AB52" s="12">
        <v>428</v>
      </c>
    </row>
    <row r="53" ht="14.25" spans="1:28">
      <c r="A53" s="13">
        <v>51</v>
      </c>
      <c r="B53" s="15">
        <v>1</v>
      </c>
      <c r="C53" s="16">
        <v>53</v>
      </c>
      <c r="D53" s="17" t="s">
        <v>116</v>
      </c>
      <c r="E53" s="17" t="s">
        <v>117</v>
      </c>
      <c r="F53" s="17">
        <v>91</v>
      </c>
      <c r="G53" s="17">
        <v>8620</v>
      </c>
      <c r="H53" s="17">
        <v>50</v>
      </c>
      <c r="I53" s="17">
        <v>13465</v>
      </c>
      <c r="J53" s="17">
        <v>74</v>
      </c>
      <c r="K53" s="17">
        <v>9352</v>
      </c>
      <c r="L53" s="17">
        <v>27</v>
      </c>
      <c r="M53" s="17">
        <v>10690</v>
      </c>
      <c r="N53" s="17"/>
      <c r="O53" s="17"/>
      <c r="P53" s="17">
        <v>51</v>
      </c>
      <c r="Q53" s="17">
        <v>10643</v>
      </c>
      <c r="R53" s="17"/>
      <c r="S53" s="17"/>
      <c r="T53" s="17">
        <v>66</v>
      </c>
      <c r="U53" s="17">
        <v>2417</v>
      </c>
      <c r="V53" s="17"/>
      <c r="W53" s="17"/>
      <c r="X53" s="15">
        <v>215</v>
      </c>
      <c r="Y53" s="17">
        <v>657</v>
      </c>
      <c r="Z53" s="17">
        <v>359</v>
      </c>
      <c r="AA53" s="17">
        <v>12337</v>
      </c>
      <c r="AB53" s="12">
        <v>657</v>
      </c>
    </row>
    <row r="54" ht="14.25" spans="1:28">
      <c r="A54" s="13">
        <v>52</v>
      </c>
      <c r="B54" s="15">
        <v>1</v>
      </c>
      <c r="C54" s="16">
        <v>54</v>
      </c>
      <c r="D54" s="17" t="s">
        <v>118</v>
      </c>
      <c r="E54" s="17" t="s">
        <v>119</v>
      </c>
      <c r="F54" s="17">
        <v>99.5</v>
      </c>
      <c r="G54" s="17">
        <v>3607</v>
      </c>
      <c r="H54" s="17">
        <v>100.5</v>
      </c>
      <c r="I54" s="17">
        <v>3650</v>
      </c>
      <c r="J54" s="17">
        <v>109</v>
      </c>
      <c r="K54" s="17">
        <v>1584</v>
      </c>
      <c r="L54" s="17">
        <v>54.5</v>
      </c>
      <c r="M54" s="17">
        <v>3126</v>
      </c>
      <c r="N54" s="17"/>
      <c r="O54" s="17"/>
      <c r="P54" s="17">
        <v>71</v>
      </c>
      <c r="Q54" s="17">
        <v>5258</v>
      </c>
      <c r="R54" s="17"/>
      <c r="S54" s="17"/>
      <c r="T54" s="17">
        <v>80</v>
      </c>
      <c r="U54" s="17">
        <v>813</v>
      </c>
      <c r="V54" s="17"/>
      <c r="W54" s="17"/>
      <c r="X54" s="15">
        <v>309</v>
      </c>
      <c r="Y54" s="17">
        <v>203</v>
      </c>
      <c r="Z54" s="17">
        <v>514.5</v>
      </c>
      <c r="AA54" s="17">
        <v>2568</v>
      </c>
      <c r="AB54" s="12">
        <v>248</v>
      </c>
    </row>
    <row r="55" ht="14.25" spans="1:28">
      <c r="A55" s="13">
        <v>53</v>
      </c>
      <c r="B55" s="15">
        <v>1</v>
      </c>
      <c r="C55" s="16">
        <v>55</v>
      </c>
      <c r="D55" s="17" t="s">
        <v>120</v>
      </c>
      <c r="E55" s="17" t="s">
        <v>121</v>
      </c>
      <c r="F55" s="17">
        <v>98.25</v>
      </c>
      <c r="G55" s="17">
        <v>4392</v>
      </c>
      <c r="H55" s="17">
        <v>50</v>
      </c>
      <c r="I55" s="17">
        <v>13465</v>
      </c>
      <c r="J55" s="17">
        <v>94.5</v>
      </c>
      <c r="K55" s="17">
        <v>4208</v>
      </c>
      <c r="L55" s="17">
        <v>27.5</v>
      </c>
      <c r="M55" s="17">
        <v>10504</v>
      </c>
      <c r="N55" s="17"/>
      <c r="O55" s="17"/>
      <c r="P55" s="17">
        <v>68</v>
      </c>
      <c r="Q55" s="17">
        <v>6016</v>
      </c>
      <c r="R55" s="17"/>
      <c r="S55" s="17"/>
      <c r="T55" s="17">
        <v>83</v>
      </c>
      <c r="U55" s="17">
        <v>561</v>
      </c>
      <c r="V55" s="17"/>
      <c r="W55" s="17"/>
      <c r="X55" s="15">
        <v>242.75</v>
      </c>
      <c r="Y55" s="17">
        <v>623</v>
      </c>
      <c r="Z55" s="17">
        <v>421.25</v>
      </c>
      <c r="AA55" s="17">
        <v>8126</v>
      </c>
      <c r="AB55" s="12">
        <v>624</v>
      </c>
    </row>
    <row r="56" ht="14.25" spans="1:28">
      <c r="A56" s="13">
        <v>54</v>
      </c>
      <c r="B56" s="15">
        <v>1</v>
      </c>
      <c r="C56" s="16">
        <v>56</v>
      </c>
      <c r="D56" s="17" t="s">
        <v>122</v>
      </c>
      <c r="E56" s="17" t="s">
        <v>123</v>
      </c>
      <c r="F56" s="17">
        <v>85</v>
      </c>
      <c r="G56" s="17">
        <v>12359</v>
      </c>
      <c r="H56" s="17">
        <v>98.5</v>
      </c>
      <c r="I56" s="17">
        <v>4047</v>
      </c>
      <c r="J56" s="17">
        <v>88</v>
      </c>
      <c r="K56" s="17">
        <v>5738</v>
      </c>
      <c r="L56" s="17">
        <v>35</v>
      </c>
      <c r="M56" s="17">
        <v>7732</v>
      </c>
      <c r="N56" s="17"/>
      <c r="O56" s="17"/>
      <c r="P56" s="17">
        <v>75</v>
      </c>
      <c r="Q56" s="17">
        <v>3841</v>
      </c>
      <c r="R56" s="17"/>
      <c r="S56" s="17"/>
      <c r="T56" s="17">
        <v>78</v>
      </c>
      <c r="U56" s="17">
        <v>1013</v>
      </c>
      <c r="V56" s="17"/>
      <c r="W56" s="17"/>
      <c r="X56" s="15">
        <v>271.5</v>
      </c>
      <c r="Y56" s="17">
        <v>518</v>
      </c>
      <c r="Z56" s="17">
        <v>459.5</v>
      </c>
      <c r="AA56" s="17">
        <v>5507</v>
      </c>
      <c r="AB56" s="12">
        <v>509</v>
      </c>
    </row>
    <row r="57" ht="14.25" spans="1:28">
      <c r="A57" s="13">
        <v>55</v>
      </c>
      <c r="B57" s="15">
        <v>1</v>
      </c>
      <c r="C57" s="16">
        <v>57</v>
      </c>
      <c r="D57" s="17" t="s">
        <v>124</v>
      </c>
      <c r="E57" s="17" t="s">
        <v>125</v>
      </c>
      <c r="F57" s="17">
        <v>101</v>
      </c>
      <c r="G57" s="17">
        <v>2896</v>
      </c>
      <c r="H57" s="17">
        <v>72.5</v>
      </c>
      <c r="I57" s="17">
        <v>9501</v>
      </c>
      <c r="J57" s="17">
        <v>87.5</v>
      </c>
      <c r="K57" s="17">
        <v>5877</v>
      </c>
      <c r="L57" s="17">
        <v>40</v>
      </c>
      <c r="M57" s="17">
        <v>6265</v>
      </c>
      <c r="N57" s="17"/>
      <c r="O57" s="17"/>
      <c r="P57" s="17">
        <v>68</v>
      </c>
      <c r="Q57" s="17">
        <v>6016</v>
      </c>
      <c r="R57" s="17"/>
      <c r="S57" s="17"/>
      <c r="T57" s="17">
        <v>67</v>
      </c>
      <c r="U57" s="17">
        <v>2274</v>
      </c>
      <c r="V57" s="17"/>
      <c r="W57" s="17"/>
      <c r="X57" s="15">
        <v>261</v>
      </c>
      <c r="Y57" s="17">
        <v>580</v>
      </c>
      <c r="Z57" s="17">
        <v>436</v>
      </c>
      <c r="AA57" s="17">
        <v>7096</v>
      </c>
      <c r="AB57" s="12">
        <v>582</v>
      </c>
    </row>
    <row r="58" ht="14.25" spans="1:28">
      <c r="A58" s="13">
        <v>56</v>
      </c>
      <c r="B58" s="15">
        <v>1</v>
      </c>
      <c r="C58" s="16">
        <v>58</v>
      </c>
      <c r="D58" s="17" t="s">
        <v>126</v>
      </c>
      <c r="E58" s="17" t="s">
        <v>127</v>
      </c>
      <c r="F58" s="17">
        <v>91</v>
      </c>
      <c r="G58" s="17">
        <v>8620</v>
      </c>
      <c r="H58" s="17">
        <v>86</v>
      </c>
      <c r="I58" s="17">
        <v>6759</v>
      </c>
      <c r="J58" s="17">
        <v>84.25</v>
      </c>
      <c r="K58" s="17">
        <v>6713</v>
      </c>
      <c r="L58" s="17">
        <v>36.5</v>
      </c>
      <c r="M58" s="17">
        <v>7270</v>
      </c>
      <c r="N58" s="17"/>
      <c r="O58" s="17"/>
      <c r="P58" s="17">
        <v>64</v>
      </c>
      <c r="Q58" s="17">
        <v>7304</v>
      </c>
      <c r="R58" s="17"/>
      <c r="S58" s="17"/>
      <c r="T58" s="17">
        <v>68</v>
      </c>
      <c r="U58" s="17">
        <v>2192</v>
      </c>
      <c r="V58" s="17"/>
      <c r="W58" s="17"/>
      <c r="X58" s="15">
        <v>261.25</v>
      </c>
      <c r="Y58" s="17">
        <v>576</v>
      </c>
      <c r="Z58" s="17">
        <v>429.75</v>
      </c>
      <c r="AA58" s="17">
        <v>7516</v>
      </c>
      <c r="AB58" s="12">
        <v>602</v>
      </c>
    </row>
    <row r="59" ht="14.25" spans="1:28">
      <c r="A59" s="13">
        <v>57</v>
      </c>
      <c r="B59" s="15">
        <v>1</v>
      </c>
      <c r="C59" s="16">
        <v>59</v>
      </c>
      <c r="D59" s="17" t="s">
        <v>128</v>
      </c>
      <c r="E59" s="17" t="s">
        <v>129</v>
      </c>
      <c r="F59" s="17">
        <v>104</v>
      </c>
      <c r="G59" s="17">
        <v>1709</v>
      </c>
      <c r="H59" s="17">
        <v>103.5</v>
      </c>
      <c r="I59" s="17">
        <v>3096</v>
      </c>
      <c r="J59" s="17">
        <v>115.25</v>
      </c>
      <c r="K59" s="17">
        <v>892</v>
      </c>
      <c r="L59" s="17">
        <v>46.5</v>
      </c>
      <c r="M59" s="17">
        <v>4690</v>
      </c>
      <c r="N59" s="17"/>
      <c r="O59" s="17"/>
      <c r="P59" s="17">
        <v>62</v>
      </c>
      <c r="Q59" s="17">
        <v>8021</v>
      </c>
      <c r="R59" s="17"/>
      <c r="S59" s="17"/>
      <c r="T59" s="17">
        <v>68</v>
      </c>
      <c r="U59" s="17">
        <v>2192</v>
      </c>
      <c r="V59" s="17"/>
      <c r="W59" s="17"/>
      <c r="X59" s="15">
        <v>322.75</v>
      </c>
      <c r="Y59" s="17">
        <v>101</v>
      </c>
      <c r="Z59" s="17">
        <v>499.25</v>
      </c>
      <c r="AA59" s="17">
        <v>3279</v>
      </c>
      <c r="AB59" s="12">
        <v>331</v>
      </c>
    </row>
    <row r="60" ht="14.25" spans="1:28">
      <c r="A60" s="13">
        <v>58</v>
      </c>
      <c r="B60" s="15">
        <v>1</v>
      </c>
      <c r="C60" s="16">
        <v>60</v>
      </c>
      <c r="D60" s="17" t="s">
        <v>130</v>
      </c>
      <c r="E60" s="17" t="s">
        <v>131</v>
      </c>
      <c r="F60" s="17">
        <v>101</v>
      </c>
      <c r="G60" s="17">
        <v>2896</v>
      </c>
      <c r="H60" s="17">
        <v>106</v>
      </c>
      <c r="I60" s="17">
        <v>2619</v>
      </c>
      <c r="J60" s="17">
        <v>77.5</v>
      </c>
      <c r="K60" s="17">
        <v>8422</v>
      </c>
      <c r="L60" s="17">
        <v>35</v>
      </c>
      <c r="M60" s="17">
        <v>7732</v>
      </c>
      <c r="N60" s="17"/>
      <c r="O60" s="17"/>
      <c r="P60" s="17">
        <v>80</v>
      </c>
      <c r="Q60" s="17">
        <v>2333</v>
      </c>
      <c r="R60" s="17"/>
      <c r="S60" s="17"/>
      <c r="T60" s="17">
        <v>69</v>
      </c>
      <c r="U60" s="17">
        <v>2042</v>
      </c>
      <c r="V60" s="17"/>
      <c r="W60" s="17"/>
      <c r="X60" s="15">
        <v>284.5</v>
      </c>
      <c r="Y60" s="17">
        <v>405</v>
      </c>
      <c r="Z60" s="17">
        <v>468.5</v>
      </c>
      <c r="AA60" s="17">
        <v>4933</v>
      </c>
      <c r="AB60" s="12">
        <v>466</v>
      </c>
    </row>
    <row r="61" ht="14.25" spans="1:28">
      <c r="A61" s="13">
        <v>59</v>
      </c>
      <c r="B61" s="15">
        <v>1</v>
      </c>
      <c r="C61" s="16">
        <v>61</v>
      </c>
      <c r="D61" s="17" t="s">
        <v>132</v>
      </c>
      <c r="E61" s="17" t="s">
        <v>133</v>
      </c>
      <c r="F61" s="17">
        <v>98</v>
      </c>
      <c r="G61" s="17">
        <v>4423</v>
      </c>
      <c r="H61" s="17">
        <v>79.5</v>
      </c>
      <c r="I61" s="17">
        <v>8139</v>
      </c>
      <c r="J61" s="17">
        <v>64.25</v>
      </c>
      <c r="K61" s="17">
        <v>11649</v>
      </c>
      <c r="L61" s="17">
        <v>20.5</v>
      </c>
      <c r="M61" s="17">
        <v>13774</v>
      </c>
      <c r="N61" s="17"/>
      <c r="O61" s="17"/>
      <c r="P61" s="17">
        <v>64</v>
      </c>
      <c r="Q61" s="17">
        <v>7304</v>
      </c>
      <c r="R61" s="17"/>
      <c r="S61" s="17"/>
      <c r="T61" s="17">
        <v>61</v>
      </c>
      <c r="U61" s="17">
        <v>3026</v>
      </c>
      <c r="V61" s="17"/>
      <c r="W61" s="17"/>
      <c r="X61" s="15">
        <v>241.75</v>
      </c>
      <c r="Y61" s="17">
        <v>627</v>
      </c>
      <c r="Z61" s="17">
        <v>387.25</v>
      </c>
      <c r="AA61" s="17">
        <v>10564</v>
      </c>
      <c r="AB61" s="12">
        <v>649</v>
      </c>
    </row>
    <row r="62" ht="14.25" spans="1:28">
      <c r="A62" s="13">
        <v>60</v>
      </c>
      <c r="B62" s="15">
        <v>1</v>
      </c>
      <c r="C62" s="16">
        <v>62</v>
      </c>
      <c r="D62" s="17" t="s">
        <v>134</v>
      </c>
      <c r="E62" s="17" t="s">
        <v>135</v>
      </c>
      <c r="F62" s="17">
        <v>99</v>
      </c>
      <c r="G62" s="17">
        <v>3868</v>
      </c>
      <c r="H62" s="17">
        <v>86</v>
      </c>
      <c r="I62" s="17">
        <v>6759</v>
      </c>
      <c r="J62" s="17">
        <v>90</v>
      </c>
      <c r="K62" s="17">
        <v>5256</v>
      </c>
      <c r="L62" s="17">
        <v>34.5</v>
      </c>
      <c r="M62" s="17">
        <v>7899</v>
      </c>
      <c r="N62" s="17"/>
      <c r="O62" s="17"/>
      <c r="P62" s="17">
        <v>74</v>
      </c>
      <c r="Q62" s="17">
        <v>4168</v>
      </c>
      <c r="R62" s="17"/>
      <c r="S62" s="17"/>
      <c r="T62" s="17">
        <v>80</v>
      </c>
      <c r="U62" s="17">
        <v>813</v>
      </c>
      <c r="V62" s="17"/>
      <c r="W62" s="17"/>
      <c r="X62" s="15">
        <v>275</v>
      </c>
      <c r="Y62" s="17">
        <v>497</v>
      </c>
      <c r="Z62" s="17">
        <v>463.5</v>
      </c>
      <c r="AA62" s="17">
        <v>5265</v>
      </c>
      <c r="AB62" s="12">
        <v>494</v>
      </c>
    </row>
    <row r="63" ht="14.25" spans="1:28">
      <c r="A63" s="13">
        <v>61</v>
      </c>
      <c r="B63" s="15">
        <v>1</v>
      </c>
      <c r="C63" s="16">
        <v>63</v>
      </c>
      <c r="D63" s="17" t="s">
        <v>136</v>
      </c>
      <c r="E63" s="17" t="s">
        <v>137</v>
      </c>
      <c r="F63" s="17">
        <v>95</v>
      </c>
      <c r="G63" s="17">
        <v>6168</v>
      </c>
      <c r="H63" s="17">
        <v>97.5</v>
      </c>
      <c r="I63" s="17">
        <v>4244</v>
      </c>
      <c r="J63" s="17">
        <v>93.5</v>
      </c>
      <c r="K63" s="17">
        <v>4431</v>
      </c>
      <c r="L63" s="17">
        <v>62</v>
      </c>
      <c r="M63" s="17">
        <v>1839</v>
      </c>
      <c r="N63" s="17"/>
      <c r="O63" s="17"/>
      <c r="P63" s="17">
        <v>75</v>
      </c>
      <c r="Q63" s="17">
        <v>3841</v>
      </c>
      <c r="R63" s="17"/>
      <c r="S63" s="17"/>
      <c r="T63" s="17">
        <v>72</v>
      </c>
      <c r="U63" s="17">
        <v>1741</v>
      </c>
      <c r="V63" s="17"/>
      <c r="W63" s="17"/>
      <c r="X63" s="15">
        <v>286</v>
      </c>
      <c r="Y63" s="17">
        <v>392</v>
      </c>
      <c r="Z63" s="17">
        <v>495</v>
      </c>
      <c r="AA63" s="17">
        <v>3492</v>
      </c>
      <c r="AB63" s="12">
        <v>353</v>
      </c>
    </row>
    <row r="64" ht="14.25" spans="1:28">
      <c r="A64" s="13">
        <v>62</v>
      </c>
      <c r="B64" s="15">
        <v>1</v>
      </c>
      <c r="C64" s="16">
        <v>64</v>
      </c>
      <c r="D64" s="17" t="s">
        <v>138</v>
      </c>
      <c r="E64" s="17" t="s">
        <v>139</v>
      </c>
      <c r="F64" s="17">
        <v>98.5</v>
      </c>
      <c r="G64" s="17">
        <v>4145</v>
      </c>
      <c r="H64" s="17">
        <v>111.5</v>
      </c>
      <c r="I64" s="17">
        <v>1692</v>
      </c>
      <c r="J64" s="17">
        <v>86.5</v>
      </c>
      <c r="K64" s="17">
        <v>6120</v>
      </c>
      <c r="L64" s="17">
        <v>58</v>
      </c>
      <c r="M64" s="17">
        <v>2538</v>
      </c>
      <c r="N64" s="17"/>
      <c r="O64" s="17"/>
      <c r="P64" s="17">
        <v>79</v>
      </c>
      <c r="Q64" s="17">
        <v>2632</v>
      </c>
      <c r="R64" s="17"/>
      <c r="S64" s="17"/>
      <c r="T64" s="17">
        <v>58</v>
      </c>
      <c r="U64" s="17">
        <v>3314</v>
      </c>
      <c r="V64" s="17"/>
      <c r="W64" s="17"/>
      <c r="X64" s="15">
        <v>296.5</v>
      </c>
      <c r="Y64" s="17">
        <v>304</v>
      </c>
      <c r="Z64" s="17">
        <v>491.5</v>
      </c>
      <c r="AA64" s="17">
        <v>3664</v>
      </c>
      <c r="AB64" s="12">
        <v>367</v>
      </c>
    </row>
    <row r="65" ht="14.25" spans="1:28">
      <c r="A65" s="13">
        <v>63</v>
      </c>
      <c r="B65" s="15">
        <v>1</v>
      </c>
      <c r="C65" s="16">
        <v>65</v>
      </c>
      <c r="D65" s="17" t="s">
        <v>140</v>
      </c>
      <c r="E65" s="17" t="s">
        <v>141</v>
      </c>
      <c r="F65" s="17">
        <v>101</v>
      </c>
      <c r="G65" s="17">
        <v>2896</v>
      </c>
      <c r="H65" s="17">
        <v>91</v>
      </c>
      <c r="I65" s="17">
        <v>5638</v>
      </c>
      <c r="J65" s="17">
        <v>90.75</v>
      </c>
      <c r="K65" s="17">
        <v>5098</v>
      </c>
      <c r="L65" s="17">
        <v>34.5</v>
      </c>
      <c r="M65" s="17">
        <v>7899</v>
      </c>
      <c r="N65" s="17"/>
      <c r="O65" s="17"/>
      <c r="P65" s="17">
        <v>75</v>
      </c>
      <c r="Q65" s="17">
        <v>3841</v>
      </c>
      <c r="R65" s="17"/>
      <c r="S65" s="17"/>
      <c r="T65" s="17">
        <v>80</v>
      </c>
      <c r="U65" s="17">
        <v>813</v>
      </c>
      <c r="V65" s="17"/>
      <c r="W65" s="17"/>
      <c r="X65" s="15">
        <v>282.75</v>
      </c>
      <c r="Y65" s="17">
        <v>424</v>
      </c>
      <c r="Z65" s="17">
        <v>472.25</v>
      </c>
      <c r="AA65" s="17">
        <v>4710</v>
      </c>
      <c r="AB65" s="12">
        <v>449</v>
      </c>
    </row>
    <row r="66" ht="14.25" spans="1:28">
      <c r="A66" s="13">
        <v>64</v>
      </c>
      <c r="B66" s="15">
        <v>2</v>
      </c>
      <c r="C66" s="16">
        <v>1</v>
      </c>
      <c r="D66" s="17" t="s">
        <v>142</v>
      </c>
      <c r="E66" s="17" t="s">
        <v>143</v>
      </c>
      <c r="F66" s="17">
        <v>112.5</v>
      </c>
      <c r="G66" s="17">
        <v>186</v>
      </c>
      <c r="H66" s="17">
        <v>84</v>
      </c>
      <c r="I66" s="17">
        <v>7206</v>
      </c>
      <c r="J66" s="17">
        <v>103.75</v>
      </c>
      <c r="K66" s="17">
        <v>2416</v>
      </c>
      <c r="L66" s="17">
        <v>42</v>
      </c>
      <c r="M66" s="17">
        <v>5731</v>
      </c>
      <c r="N66" s="17"/>
      <c r="O66" s="17"/>
      <c r="P66" s="17"/>
      <c r="Q66" s="17"/>
      <c r="R66" s="17">
        <v>82</v>
      </c>
      <c r="S66" s="17">
        <v>1915</v>
      </c>
      <c r="T66" s="17">
        <v>71</v>
      </c>
      <c r="U66" s="17">
        <v>1907</v>
      </c>
      <c r="V66" s="17"/>
      <c r="W66" s="17"/>
      <c r="X66" s="15">
        <v>300.25</v>
      </c>
      <c r="Y66" s="17">
        <v>274</v>
      </c>
      <c r="Z66" s="17">
        <v>495.25</v>
      </c>
      <c r="AA66" s="17">
        <v>3484</v>
      </c>
      <c r="AB66" s="12">
        <v>352</v>
      </c>
    </row>
    <row r="67" ht="14.25" spans="1:28">
      <c r="A67" s="13">
        <v>65</v>
      </c>
      <c r="B67" s="15">
        <v>2</v>
      </c>
      <c r="C67" s="16">
        <v>2</v>
      </c>
      <c r="D67" s="17" t="s">
        <v>144</v>
      </c>
      <c r="E67" s="17" t="s">
        <v>145</v>
      </c>
      <c r="F67" s="17">
        <v>99.5</v>
      </c>
      <c r="G67" s="17">
        <v>3607</v>
      </c>
      <c r="H67" s="17">
        <v>91</v>
      </c>
      <c r="I67" s="17">
        <v>5638</v>
      </c>
      <c r="J67" s="17">
        <v>92.5</v>
      </c>
      <c r="K67" s="17">
        <v>4660</v>
      </c>
      <c r="L67" s="17">
        <v>53.5</v>
      </c>
      <c r="M67" s="17">
        <v>3296</v>
      </c>
      <c r="N67" s="17"/>
      <c r="O67" s="17"/>
      <c r="P67" s="17"/>
      <c r="Q67" s="17"/>
      <c r="R67" s="17">
        <v>75</v>
      </c>
      <c r="S67" s="17">
        <v>3790</v>
      </c>
      <c r="T67" s="17">
        <v>80</v>
      </c>
      <c r="U67" s="17">
        <v>813</v>
      </c>
      <c r="V67" s="17"/>
      <c r="W67" s="17"/>
      <c r="X67" s="15">
        <v>283</v>
      </c>
      <c r="Y67" s="17">
        <v>420</v>
      </c>
      <c r="Z67" s="17">
        <v>491.5</v>
      </c>
      <c r="AA67" s="17">
        <v>3664</v>
      </c>
      <c r="AB67" s="12">
        <v>367</v>
      </c>
    </row>
    <row r="68" ht="14.25" spans="1:28">
      <c r="A68" s="13">
        <v>66</v>
      </c>
      <c r="B68" s="15">
        <v>2</v>
      </c>
      <c r="C68" s="16">
        <v>3</v>
      </c>
      <c r="D68" s="17" t="s">
        <v>146</v>
      </c>
      <c r="E68" s="17" t="s">
        <v>147</v>
      </c>
      <c r="F68" s="17">
        <v>103.5</v>
      </c>
      <c r="G68" s="17">
        <v>1897</v>
      </c>
      <c r="H68" s="17">
        <v>84</v>
      </c>
      <c r="I68" s="17">
        <v>7206</v>
      </c>
      <c r="J68" s="17">
        <v>100.25</v>
      </c>
      <c r="K68" s="17">
        <v>3011</v>
      </c>
      <c r="L68" s="17">
        <v>35</v>
      </c>
      <c r="M68" s="17">
        <v>7732</v>
      </c>
      <c r="N68" s="17"/>
      <c r="O68" s="17"/>
      <c r="P68" s="17"/>
      <c r="Q68" s="17"/>
      <c r="R68" s="17">
        <v>81</v>
      </c>
      <c r="S68" s="17">
        <v>2139</v>
      </c>
      <c r="T68" s="17">
        <v>86</v>
      </c>
      <c r="U68" s="17">
        <v>377</v>
      </c>
      <c r="V68" s="17"/>
      <c r="W68" s="17"/>
      <c r="X68" s="15">
        <v>287.75</v>
      </c>
      <c r="Y68" s="17">
        <v>380</v>
      </c>
      <c r="Z68" s="17">
        <v>489.75</v>
      </c>
      <c r="AA68" s="17">
        <v>3763</v>
      </c>
      <c r="AB68" s="12">
        <v>375</v>
      </c>
    </row>
    <row r="69" ht="14.25" spans="1:28">
      <c r="A69" s="13">
        <v>67</v>
      </c>
      <c r="B69" s="15">
        <v>2</v>
      </c>
      <c r="C69" s="16">
        <v>4</v>
      </c>
      <c r="D69" s="17" t="s">
        <v>148</v>
      </c>
      <c r="E69" s="17" t="s">
        <v>149</v>
      </c>
      <c r="F69" s="17">
        <v>103.5</v>
      </c>
      <c r="G69" s="17">
        <v>1897</v>
      </c>
      <c r="H69" s="17">
        <v>100</v>
      </c>
      <c r="I69" s="17">
        <v>3741</v>
      </c>
      <c r="J69" s="17">
        <v>89.5</v>
      </c>
      <c r="K69" s="17">
        <v>5383</v>
      </c>
      <c r="L69" s="17">
        <v>28.5</v>
      </c>
      <c r="M69" s="17">
        <v>10084</v>
      </c>
      <c r="N69" s="17"/>
      <c r="O69" s="17"/>
      <c r="P69" s="17"/>
      <c r="Q69" s="17"/>
      <c r="R69" s="17">
        <v>71</v>
      </c>
      <c r="S69" s="17">
        <v>5151</v>
      </c>
      <c r="T69" s="17">
        <v>72</v>
      </c>
      <c r="U69" s="17">
        <v>1741</v>
      </c>
      <c r="V69" s="17"/>
      <c r="W69" s="17"/>
      <c r="X69" s="15">
        <v>293</v>
      </c>
      <c r="Y69" s="17">
        <v>335</v>
      </c>
      <c r="Z69" s="17">
        <v>464.5</v>
      </c>
      <c r="AA69" s="17">
        <v>5196</v>
      </c>
      <c r="AB69" s="12">
        <v>490</v>
      </c>
    </row>
    <row r="70" ht="14.25" spans="1:28">
      <c r="A70" s="13">
        <v>68</v>
      </c>
      <c r="B70" s="15">
        <v>2</v>
      </c>
      <c r="C70" s="16">
        <v>5</v>
      </c>
      <c r="D70" s="17" t="s">
        <v>150</v>
      </c>
      <c r="E70" s="17" t="s">
        <v>151</v>
      </c>
      <c r="F70" s="17">
        <v>98</v>
      </c>
      <c r="G70" s="17">
        <v>4423</v>
      </c>
      <c r="H70" s="17">
        <v>91.5</v>
      </c>
      <c r="I70" s="17">
        <v>5528</v>
      </c>
      <c r="J70" s="17">
        <v>112</v>
      </c>
      <c r="K70" s="17">
        <v>1229</v>
      </c>
      <c r="L70" s="17">
        <v>49</v>
      </c>
      <c r="M70" s="17">
        <v>4146</v>
      </c>
      <c r="N70" s="17"/>
      <c r="O70" s="17"/>
      <c r="P70" s="17"/>
      <c r="Q70" s="17"/>
      <c r="R70" s="17">
        <v>86</v>
      </c>
      <c r="S70" s="17">
        <v>1176</v>
      </c>
      <c r="T70" s="17">
        <v>90</v>
      </c>
      <c r="U70" s="17">
        <v>46</v>
      </c>
      <c r="V70" s="17"/>
      <c r="W70" s="17"/>
      <c r="X70" s="15">
        <v>301.5</v>
      </c>
      <c r="Y70" s="17">
        <v>265</v>
      </c>
      <c r="Z70" s="17">
        <v>526.5</v>
      </c>
      <c r="AA70" s="17">
        <v>2076</v>
      </c>
      <c r="AB70" s="12">
        <v>178</v>
      </c>
    </row>
    <row r="71" ht="14.25" spans="1:28">
      <c r="A71" s="13">
        <v>69</v>
      </c>
      <c r="B71" s="15">
        <v>2</v>
      </c>
      <c r="C71" s="16">
        <v>6</v>
      </c>
      <c r="D71" s="17" t="s">
        <v>152</v>
      </c>
      <c r="E71" s="17" t="s">
        <v>153</v>
      </c>
      <c r="F71" s="17">
        <v>95.5</v>
      </c>
      <c r="G71" s="17">
        <v>5877</v>
      </c>
      <c r="H71" s="17">
        <v>80</v>
      </c>
      <c r="I71" s="17">
        <v>8038</v>
      </c>
      <c r="J71" s="17">
        <v>94.25</v>
      </c>
      <c r="K71" s="17">
        <v>4296</v>
      </c>
      <c r="L71" s="17">
        <v>38</v>
      </c>
      <c r="M71" s="17">
        <v>6823</v>
      </c>
      <c r="N71" s="17"/>
      <c r="O71" s="17"/>
      <c r="P71" s="17"/>
      <c r="Q71" s="17"/>
      <c r="R71" s="17">
        <v>65</v>
      </c>
      <c r="S71" s="17">
        <v>7060</v>
      </c>
      <c r="T71" s="17">
        <v>83</v>
      </c>
      <c r="U71" s="17">
        <v>561</v>
      </c>
      <c r="V71" s="17"/>
      <c r="W71" s="17"/>
      <c r="X71" s="15">
        <v>269.75</v>
      </c>
      <c r="Y71" s="17">
        <v>535</v>
      </c>
      <c r="Z71" s="17">
        <v>455.75</v>
      </c>
      <c r="AA71" s="17">
        <v>5761</v>
      </c>
      <c r="AB71" s="12">
        <v>529</v>
      </c>
    </row>
    <row r="72" ht="14.25" spans="1:28">
      <c r="A72" s="13">
        <v>70</v>
      </c>
      <c r="B72" s="15">
        <v>2</v>
      </c>
      <c r="C72" s="16">
        <v>7</v>
      </c>
      <c r="D72" s="17" t="s">
        <v>154</v>
      </c>
      <c r="E72" s="17" t="s">
        <v>155</v>
      </c>
      <c r="F72" s="17">
        <v>94.5</v>
      </c>
      <c r="G72" s="17">
        <v>6496</v>
      </c>
      <c r="H72" s="17">
        <v>111</v>
      </c>
      <c r="I72" s="17">
        <v>1774</v>
      </c>
      <c r="J72" s="17">
        <v>106.5</v>
      </c>
      <c r="K72" s="17">
        <v>1929</v>
      </c>
      <c r="L72" s="17">
        <v>50.5</v>
      </c>
      <c r="M72" s="17">
        <v>3830</v>
      </c>
      <c r="N72" s="17"/>
      <c r="O72" s="17"/>
      <c r="P72" s="17"/>
      <c r="Q72" s="17"/>
      <c r="R72" s="17">
        <v>79</v>
      </c>
      <c r="S72" s="17">
        <v>2629</v>
      </c>
      <c r="T72" s="17">
        <v>87</v>
      </c>
      <c r="U72" s="17">
        <v>259</v>
      </c>
      <c r="V72" s="17"/>
      <c r="W72" s="17"/>
      <c r="X72" s="15">
        <v>312</v>
      </c>
      <c r="Y72" s="17">
        <v>171</v>
      </c>
      <c r="Z72" s="17">
        <v>528.5</v>
      </c>
      <c r="AA72" s="17">
        <v>2006</v>
      </c>
      <c r="AB72" s="12">
        <v>170</v>
      </c>
    </row>
    <row r="73" ht="14.25" spans="1:28">
      <c r="A73" s="13">
        <v>71</v>
      </c>
      <c r="B73" s="15">
        <v>2</v>
      </c>
      <c r="C73" s="16">
        <v>8</v>
      </c>
      <c r="D73" s="17" t="s">
        <v>156</v>
      </c>
      <c r="E73" s="17" t="s">
        <v>157</v>
      </c>
      <c r="F73" s="17">
        <v>102</v>
      </c>
      <c r="G73" s="17">
        <v>2480</v>
      </c>
      <c r="H73" s="17">
        <v>97</v>
      </c>
      <c r="I73" s="17">
        <v>4348</v>
      </c>
      <c r="J73" s="17">
        <v>86.5</v>
      </c>
      <c r="K73" s="17">
        <v>6120</v>
      </c>
      <c r="L73" s="17">
        <v>67.5</v>
      </c>
      <c r="M73" s="17">
        <v>1130</v>
      </c>
      <c r="N73" s="17"/>
      <c r="O73" s="17"/>
      <c r="P73" s="17"/>
      <c r="Q73" s="17"/>
      <c r="R73" s="17">
        <v>87</v>
      </c>
      <c r="S73" s="17">
        <v>883</v>
      </c>
      <c r="T73" s="17">
        <v>74</v>
      </c>
      <c r="U73" s="17">
        <v>1516</v>
      </c>
      <c r="V73" s="17"/>
      <c r="W73" s="17"/>
      <c r="X73" s="15">
        <v>285.5</v>
      </c>
      <c r="Y73" s="17">
        <v>397</v>
      </c>
      <c r="Z73" s="17">
        <v>514</v>
      </c>
      <c r="AA73" s="17">
        <v>2591</v>
      </c>
      <c r="AB73" s="12">
        <v>249</v>
      </c>
    </row>
    <row r="74" ht="14.25" spans="1:28">
      <c r="A74" s="13">
        <v>72</v>
      </c>
      <c r="B74" s="15">
        <v>2</v>
      </c>
      <c r="C74" s="16">
        <v>9</v>
      </c>
      <c r="D74" s="17" t="s">
        <v>158</v>
      </c>
      <c r="E74" s="17" t="s">
        <v>159</v>
      </c>
      <c r="F74" s="17">
        <v>104</v>
      </c>
      <c r="G74" s="17">
        <v>1709</v>
      </c>
      <c r="H74" s="17">
        <v>117</v>
      </c>
      <c r="I74" s="17">
        <v>975</v>
      </c>
      <c r="J74" s="17">
        <v>104.75</v>
      </c>
      <c r="K74" s="17">
        <v>2246</v>
      </c>
      <c r="L74" s="17">
        <v>61</v>
      </c>
      <c r="M74" s="17">
        <v>2008</v>
      </c>
      <c r="N74" s="17"/>
      <c r="O74" s="17"/>
      <c r="P74" s="17"/>
      <c r="Q74" s="17"/>
      <c r="R74" s="17">
        <v>86</v>
      </c>
      <c r="S74" s="17">
        <v>1176</v>
      </c>
      <c r="T74" s="17">
        <v>90</v>
      </c>
      <c r="U74" s="17">
        <v>46</v>
      </c>
      <c r="V74" s="17"/>
      <c r="W74" s="17"/>
      <c r="X74" s="15">
        <v>325.75</v>
      </c>
      <c r="Y74" s="17">
        <v>82</v>
      </c>
      <c r="Z74" s="17">
        <v>562.75</v>
      </c>
      <c r="AA74" s="17">
        <v>936</v>
      </c>
      <c r="AB74" s="12">
        <v>65</v>
      </c>
    </row>
    <row r="75" ht="14.25" spans="1:28">
      <c r="A75" s="13">
        <v>73</v>
      </c>
      <c r="B75" s="15">
        <v>2</v>
      </c>
      <c r="C75" s="16">
        <v>10</v>
      </c>
      <c r="D75" s="17" t="s">
        <v>160</v>
      </c>
      <c r="E75" s="17" t="s">
        <v>161</v>
      </c>
      <c r="F75" s="17">
        <v>99</v>
      </c>
      <c r="G75" s="17">
        <v>3868</v>
      </c>
      <c r="H75" s="17">
        <v>95</v>
      </c>
      <c r="I75" s="17">
        <v>4735</v>
      </c>
      <c r="J75" s="17">
        <v>92.5</v>
      </c>
      <c r="K75" s="17">
        <v>4660</v>
      </c>
      <c r="L75" s="17">
        <v>41.5</v>
      </c>
      <c r="M75" s="17">
        <v>5867</v>
      </c>
      <c r="N75" s="17"/>
      <c r="O75" s="17"/>
      <c r="P75" s="17"/>
      <c r="Q75" s="17"/>
      <c r="R75" s="17">
        <v>68</v>
      </c>
      <c r="S75" s="17">
        <v>6079</v>
      </c>
      <c r="T75" s="17">
        <v>82</v>
      </c>
      <c r="U75" s="17">
        <v>654</v>
      </c>
      <c r="V75" s="17"/>
      <c r="W75" s="17"/>
      <c r="X75" s="15">
        <v>286.5</v>
      </c>
      <c r="Y75" s="17">
        <v>388</v>
      </c>
      <c r="Z75" s="17">
        <v>478</v>
      </c>
      <c r="AA75" s="17">
        <v>4386</v>
      </c>
      <c r="AB75" s="12">
        <v>427</v>
      </c>
    </row>
    <row r="76" ht="14.25" spans="1:28">
      <c r="A76" s="13">
        <v>74</v>
      </c>
      <c r="B76" s="15">
        <v>2</v>
      </c>
      <c r="C76" s="16">
        <v>11</v>
      </c>
      <c r="D76" s="17" t="s">
        <v>162</v>
      </c>
      <c r="E76" s="17" t="s">
        <v>121</v>
      </c>
      <c r="F76" s="17">
        <v>92.5</v>
      </c>
      <c r="G76" s="17">
        <v>7705</v>
      </c>
      <c r="H76" s="17">
        <v>96</v>
      </c>
      <c r="I76" s="17">
        <v>4544</v>
      </c>
      <c r="J76" s="17">
        <v>92</v>
      </c>
      <c r="K76" s="17">
        <v>4787</v>
      </c>
      <c r="L76" s="17">
        <v>47.5</v>
      </c>
      <c r="M76" s="17">
        <v>4470</v>
      </c>
      <c r="N76" s="17"/>
      <c r="O76" s="17"/>
      <c r="P76" s="17"/>
      <c r="Q76" s="17"/>
      <c r="R76" s="17">
        <v>76</v>
      </c>
      <c r="S76" s="17">
        <v>3491</v>
      </c>
      <c r="T76" s="17">
        <v>75</v>
      </c>
      <c r="U76" s="17">
        <v>1363</v>
      </c>
      <c r="V76" s="17"/>
      <c r="W76" s="17"/>
      <c r="X76" s="15">
        <v>280.5</v>
      </c>
      <c r="Y76" s="17">
        <v>443</v>
      </c>
      <c r="Z76" s="17">
        <v>479</v>
      </c>
      <c r="AA76" s="17">
        <v>4330</v>
      </c>
      <c r="AB76" s="12">
        <v>424</v>
      </c>
    </row>
    <row r="77" ht="14.25" spans="1:28">
      <c r="A77" s="13">
        <v>75</v>
      </c>
      <c r="B77" s="15">
        <v>2</v>
      </c>
      <c r="C77" s="16">
        <v>12</v>
      </c>
      <c r="D77" s="17" t="s">
        <v>163</v>
      </c>
      <c r="E77" s="17" t="s">
        <v>164</v>
      </c>
      <c r="F77" s="17">
        <v>95.5</v>
      </c>
      <c r="G77" s="17">
        <v>5877</v>
      </c>
      <c r="H77" s="17">
        <v>107.5</v>
      </c>
      <c r="I77" s="17">
        <v>2373</v>
      </c>
      <c r="J77" s="17">
        <v>113</v>
      </c>
      <c r="K77" s="17">
        <v>1110</v>
      </c>
      <c r="L77" s="17">
        <v>50</v>
      </c>
      <c r="M77" s="17">
        <v>3933</v>
      </c>
      <c r="N77" s="17"/>
      <c r="O77" s="17"/>
      <c r="P77" s="17"/>
      <c r="Q77" s="17"/>
      <c r="R77" s="17">
        <v>90</v>
      </c>
      <c r="S77" s="17">
        <v>255</v>
      </c>
      <c r="T77" s="17">
        <v>88</v>
      </c>
      <c r="U77" s="17">
        <v>161</v>
      </c>
      <c r="V77" s="17"/>
      <c r="W77" s="17"/>
      <c r="X77" s="15">
        <v>316</v>
      </c>
      <c r="Y77" s="17">
        <v>144</v>
      </c>
      <c r="Z77" s="17">
        <v>544</v>
      </c>
      <c r="AA77" s="17">
        <v>1487</v>
      </c>
      <c r="AB77" s="12">
        <v>117</v>
      </c>
    </row>
    <row r="78" ht="14.25" spans="1:28">
      <c r="A78" s="13">
        <v>76</v>
      </c>
      <c r="B78" s="15">
        <v>2</v>
      </c>
      <c r="C78" s="16">
        <v>13</v>
      </c>
      <c r="D78" s="17" t="s">
        <v>165</v>
      </c>
      <c r="E78" s="17" t="s">
        <v>166</v>
      </c>
      <c r="F78" s="17">
        <v>100.5</v>
      </c>
      <c r="G78" s="17">
        <v>3131</v>
      </c>
      <c r="H78" s="17">
        <v>105</v>
      </c>
      <c r="I78" s="17">
        <v>2810</v>
      </c>
      <c r="J78" s="17">
        <v>108.5</v>
      </c>
      <c r="K78" s="17">
        <v>1655</v>
      </c>
      <c r="L78" s="17">
        <v>58.5</v>
      </c>
      <c r="M78" s="17">
        <v>2451</v>
      </c>
      <c r="N78" s="17"/>
      <c r="O78" s="17"/>
      <c r="P78" s="17"/>
      <c r="Q78" s="17"/>
      <c r="R78" s="17">
        <v>89</v>
      </c>
      <c r="S78" s="17">
        <v>415</v>
      </c>
      <c r="T78" s="17">
        <v>67</v>
      </c>
      <c r="U78" s="17">
        <v>2274</v>
      </c>
      <c r="V78" s="17"/>
      <c r="W78" s="17"/>
      <c r="X78" s="15">
        <v>314</v>
      </c>
      <c r="Y78" s="17">
        <v>157</v>
      </c>
      <c r="Z78" s="17">
        <v>528.5</v>
      </c>
      <c r="AA78" s="17">
        <v>2006</v>
      </c>
      <c r="AB78" s="12">
        <v>170</v>
      </c>
    </row>
    <row r="79" ht="14.25" spans="1:28">
      <c r="A79" s="13">
        <v>77</v>
      </c>
      <c r="B79" s="15">
        <v>2</v>
      </c>
      <c r="C79" s="16">
        <v>14</v>
      </c>
      <c r="D79" s="17" t="s">
        <v>167</v>
      </c>
      <c r="E79" s="17" t="s">
        <v>168</v>
      </c>
      <c r="F79" s="17">
        <v>108</v>
      </c>
      <c r="G79" s="17">
        <v>736</v>
      </c>
      <c r="H79" s="17">
        <v>92</v>
      </c>
      <c r="I79" s="17">
        <v>5417</v>
      </c>
      <c r="J79" s="17">
        <v>105.75</v>
      </c>
      <c r="K79" s="17">
        <v>2077</v>
      </c>
      <c r="L79" s="17">
        <v>64.5</v>
      </c>
      <c r="M79" s="17">
        <v>1506</v>
      </c>
      <c r="N79" s="17"/>
      <c r="O79" s="17"/>
      <c r="P79" s="17"/>
      <c r="Q79" s="17"/>
      <c r="R79" s="17">
        <v>76</v>
      </c>
      <c r="S79" s="17">
        <v>3491</v>
      </c>
      <c r="T79" s="17">
        <v>90</v>
      </c>
      <c r="U79" s="17">
        <v>46</v>
      </c>
      <c r="V79" s="17"/>
      <c r="W79" s="17"/>
      <c r="X79" s="15">
        <v>305.75</v>
      </c>
      <c r="Y79" s="17">
        <v>229</v>
      </c>
      <c r="Z79" s="17">
        <v>536.25</v>
      </c>
      <c r="AA79" s="17">
        <v>1737</v>
      </c>
      <c r="AB79" s="12">
        <v>144</v>
      </c>
    </row>
    <row r="80" ht="14.25" spans="1:28">
      <c r="A80" s="13">
        <v>78</v>
      </c>
      <c r="B80" s="15">
        <v>2</v>
      </c>
      <c r="C80" s="16">
        <v>15</v>
      </c>
      <c r="D80" s="17" t="s">
        <v>169</v>
      </c>
      <c r="E80" s="17" t="s">
        <v>170</v>
      </c>
      <c r="F80" s="17">
        <v>91.5</v>
      </c>
      <c r="G80" s="17">
        <v>8306</v>
      </c>
      <c r="H80" s="17">
        <v>105.5</v>
      </c>
      <c r="I80" s="17">
        <v>2718</v>
      </c>
      <c r="J80" s="17">
        <v>107</v>
      </c>
      <c r="K80" s="17">
        <v>1871</v>
      </c>
      <c r="L80" s="17">
        <v>44.5</v>
      </c>
      <c r="M80" s="17">
        <v>5122</v>
      </c>
      <c r="N80" s="17"/>
      <c r="O80" s="17"/>
      <c r="P80" s="17"/>
      <c r="Q80" s="17"/>
      <c r="R80" s="17">
        <v>84</v>
      </c>
      <c r="S80" s="17">
        <v>1490</v>
      </c>
      <c r="T80" s="17">
        <v>78</v>
      </c>
      <c r="U80" s="17">
        <v>1013</v>
      </c>
      <c r="V80" s="17"/>
      <c r="W80" s="17"/>
      <c r="X80" s="15">
        <v>304</v>
      </c>
      <c r="Y80" s="17">
        <v>245</v>
      </c>
      <c r="Z80" s="17">
        <v>510.5</v>
      </c>
      <c r="AA80" s="17">
        <v>2753</v>
      </c>
      <c r="AB80" s="12">
        <v>270</v>
      </c>
    </row>
    <row r="81" ht="14.25" spans="1:28">
      <c r="A81" s="13">
        <v>79</v>
      </c>
      <c r="B81" s="15">
        <v>2</v>
      </c>
      <c r="C81" s="16">
        <v>16</v>
      </c>
      <c r="D81" s="17" t="s">
        <v>171</v>
      </c>
      <c r="E81" s="17" t="s">
        <v>172</v>
      </c>
      <c r="F81" s="17">
        <v>95</v>
      </c>
      <c r="G81" s="17">
        <v>6168</v>
      </c>
      <c r="H81" s="17">
        <v>54.5</v>
      </c>
      <c r="I81" s="17">
        <v>12776</v>
      </c>
      <c r="J81" s="17">
        <v>93</v>
      </c>
      <c r="K81" s="17">
        <v>4548</v>
      </c>
      <c r="L81" s="17">
        <v>23</v>
      </c>
      <c r="M81" s="17">
        <v>12526</v>
      </c>
      <c r="N81" s="17"/>
      <c r="O81" s="17"/>
      <c r="P81" s="17"/>
      <c r="Q81" s="17"/>
      <c r="R81" s="17">
        <v>58</v>
      </c>
      <c r="S81" s="17">
        <v>9300</v>
      </c>
      <c r="T81" s="17">
        <v>66</v>
      </c>
      <c r="U81" s="17">
        <v>2417</v>
      </c>
      <c r="V81" s="17"/>
      <c r="W81" s="17"/>
      <c r="X81" s="15">
        <v>242.5</v>
      </c>
      <c r="Y81" s="17">
        <v>624</v>
      </c>
      <c r="Z81" s="17">
        <v>389.5</v>
      </c>
      <c r="AA81" s="17">
        <v>10396</v>
      </c>
      <c r="AB81" s="12">
        <v>645</v>
      </c>
    </row>
    <row r="82" ht="14.25" spans="1:28">
      <c r="A82" s="13">
        <v>80</v>
      </c>
      <c r="B82" s="15">
        <v>2</v>
      </c>
      <c r="C82" s="16">
        <v>17</v>
      </c>
      <c r="D82" s="17" t="s">
        <v>173</v>
      </c>
      <c r="E82" s="17" t="s">
        <v>174</v>
      </c>
      <c r="F82" s="17">
        <v>102.5</v>
      </c>
      <c r="G82" s="17">
        <v>2274</v>
      </c>
      <c r="H82" s="17">
        <v>96</v>
      </c>
      <c r="I82" s="17">
        <v>4544</v>
      </c>
      <c r="J82" s="17">
        <v>92.5</v>
      </c>
      <c r="K82" s="17">
        <v>4660</v>
      </c>
      <c r="L82" s="17">
        <v>31.5</v>
      </c>
      <c r="M82" s="17">
        <v>8922</v>
      </c>
      <c r="N82" s="17"/>
      <c r="O82" s="17"/>
      <c r="P82" s="17"/>
      <c r="Q82" s="17"/>
      <c r="R82" s="17">
        <v>72</v>
      </c>
      <c r="S82" s="17">
        <v>4793</v>
      </c>
      <c r="T82" s="17">
        <v>82</v>
      </c>
      <c r="U82" s="17">
        <v>654</v>
      </c>
      <c r="V82" s="17"/>
      <c r="W82" s="17"/>
      <c r="X82" s="15">
        <v>291</v>
      </c>
      <c r="Y82" s="17">
        <v>359</v>
      </c>
      <c r="Z82" s="17">
        <v>476.5</v>
      </c>
      <c r="AA82" s="17">
        <v>4460</v>
      </c>
      <c r="AB82" s="12">
        <v>431</v>
      </c>
    </row>
    <row r="83" ht="14.25" spans="1:28">
      <c r="A83" s="13">
        <v>81</v>
      </c>
      <c r="B83" s="15">
        <v>2</v>
      </c>
      <c r="C83" s="16">
        <v>18</v>
      </c>
      <c r="D83" s="17" t="s">
        <v>175</v>
      </c>
      <c r="E83" s="17" t="s">
        <v>176</v>
      </c>
      <c r="F83" s="17">
        <v>93.75</v>
      </c>
      <c r="G83" s="17">
        <v>7095</v>
      </c>
      <c r="H83" s="17">
        <v>89.5</v>
      </c>
      <c r="I83" s="17">
        <v>5946</v>
      </c>
      <c r="J83" s="17">
        <v>98.75</v>
      </c>
      <c r="K83" s="17">
        <v>3309</v>
      </c>
      <c r="L83" s="17">
        <v>53.5</v>
      </c>
      <c r="M83" s="17">
        <v>3296</v>
      </c>
      <c r="N83" s="17"/>
      <c r="O83" s="17"/>
      <c r="P83" s="17"/>
      <c r="Q83" s="17"/>
      <c r="R83" s="17">
        <v>75</v>
      </c>
      <c r="S83" s="17">
        <v>3790</v>
      </c>
      <c r="T83" s="17">
        <v>71</v>
      </c>
      <c r="U83" s="17">
        <v>1907</v>
      </c>
      <c r="V83" s="17"/>
      <c r="W83" s="17"/>
      <c r="X83" s="15">
        <v>282</v>
      </c>
      <c r="Y83" s="17">
        <v>432</v>
      </c>
      <c r="Z83" s="17">
        <v>481.5</v>
      </c>
      <c r="AA83" s="17">
        <v>4198</v>
      </c>
      <c r="AB83" s="12">
        <v>415</v>
      </c>
    </row>
    <row r="84" ht="14.25" spans="1:28">
      <c r="A84" s="13">
        <v>82</v>
      </c>
      <c r="B84" s="15">
        <v>2</v>
      </c>
      <c r="C84" s="16">
        <v>19</v>
      </c>
      <c r="D84" s="17" t="s">
        <v>177</v>
      </c>
      <c r="E84" s="17" t="s">
        <v>178</v>
      </c>
      <c r="F84" s="17">
        <v>98</v>
      </c>
      <c r="G84" s="17">
        <v>4423</v>
      </c>
      <c r="H84" s="17">
        <v>107</v>
      </c>
      <c r="I84" s="17">
        <v>2461</v>
      </c>
      <c r="J84" s="17">
        <v>111</v>
      </c>
      <c r="K84" s="17">
        <v>1337</v>
      </c>
      <c r="L84" s="17">
        <v>66.5</v>
      </c>
      <c r="M84" s="17">
        <v>1237</v>
      </c>
      <c r="N84" s="17"/>
      <c r="O84" s="17"/>
      <c r="P84" s="17"/>
      <c r="Q84" s="17"/>
      <c r="R84" s="17">
        <v>86</v>
      </c>
      <c r="S84" s="17">
        <v>1176</v>
      </c>
      <c r="T84" s="17">
        <v>77</v>
      </c>
      <c r="U84" s="17">
        <v>1152</v>
      </c>
      <c r="V84" s="17"/>
      <c r="W84" s="17"/>
      <c r="X84" s="15">
        <v>316</v>
      </c>
      <c r="Y84" s="17">
        <v>144</v>
      </c>
      <c r="Z84" s="17">
        <v>545.5</v>
      </c>
      <c r="AA84" s="17">
        <v>1433</v>
      </c>
      <c r="AB84" s="12">
        <v>109</v>
      </c>
    </row>
    <row r="85" ht="14.25" spans="1:28">
      <c r="A85" s="13">
        <v>83</v>
      </c>
      <c r="B85" s="15">
        <v>2</v>
      </c>
      <c r="C85" s="16">
        <v>20</v>
      </c>
      <c r="D85" s="17" t="s">
        <v>179</v>
      </c>
      <c r="E85" s="17" t="s">
        <v>180</v>
      </c>
      <c r="F85" s="17">
        <v>103.5</v>
      </c>
      <c r="G85" s="17">
        <v>1897</v>
      </c>
      <c r="H85" s="17">
        <v>87.5</v>
      </c>
      <c r="I85" s="17">
        <v>6415</v>
      </c>
      <c r="J85" s="17">
        <v>87.25</v>
      </c>
      <c r="K85" s="17">
        <v>5964</v>
      </c>
      <c r="L85" s="17">
        <v>41</v>
      </c>
      <c r="M85" s="17">
        <v>5993</v>
      </c>
      <c r="N85" s="17"/>
      <c r="O85" s="17"/>
      <c r="P85" s="17"/>
      <c r="Q85" s="17"/>
      <c r="R85" s="17">
        <v>81</v>
      </c>
      <c r="S85" s="17">
        <v>2139</v>
      </c>
      <c r="T85" s="17">
        <v>65</v>
      </c>
      <c r="U85" s="17">
        <v>2551</v>
      </c>
      <c r="V85" s="17"/>
      <c r="W85" s="17"/>
      <c r="X85" s="15">
        <v>278.25</v>
      </c>
      <c r="Y85" s="17">
        <v>465</v>
      </c>
      <c r="Z85" s="17">
        <v>465.25</v>
      </c>
      <c r="AA85" s="17">
        <v>5144</v>
      </c>
      <c r="AB85" s="12">
        <v>488</v>
      </c>
    </row>
    <row r="86" ht="14.25" spans="1:28">
      <c r="A86" s="13">
        <v>84</v>
      </c>
      <c r="B86" s="15">
        <v>2</v>
      </c>
      <c r="C86" s="16">
        <v>21</v>
      </c>
      <c r="D86" s="17" t="s">
        <v>181</v>
      </c>
      <c r="E86" s="17" t="s">
        <v>182</v>
      </c>
      <c r="F86" s="17">
        <v>104.5</v>
      </c>
      <c r="G86" s="17">
        <v>1551</v>
      </c>
      <c r="H86" s="17">
        <v>102.5</v>
      </c>
      <c r="I86" s="17">
        <v>3278</v>
      </c>
      <c r="J86" s="17">
        <v>96</v>
      </c>
      <c r="K86" s="17">
        <v>3851</v>
      </c>
      <c r="L86" s="17">
        <v>53</v>
      </c>
      <c r="M86" s="17">
        <v>3368</v>
      </c>
      <c r="N86" s="17"/>
      <c r="O86" s="17"/>
      <c r="P86" s="17"/>
      <c r="Q86" s="17"/>
      <c r="R86" s="17">
        <v>84</v>
      </c>
      <c r="S86" s="17">
        <v>1490</v>
      </c>
      <c r="T86" s="17">
        <v>88</v>
      </c>
      <c r="U86" s="17">
        <v>161</v>
      </c>
      <c r="V86" s="17"/>
      <c r="W86" s="17"/>
      <c r="X86" s="15">
        <v>303</v>
      </c>
      <c r="Y86" s="17">
        <v>251</v>
      </c>
      <c r="Z86" s="17">
        <v>528</v>
      </c>
      <c r="AA86" s="17">
        <v>2028</v>
      </c>
      <c r="AB86" s="12">
        <v>175</v>
      </c>
    </row>
    <row r="87" ht="14.25" spans="1:28">
      <c r="A87" s="13">
        <v>85</v>
      </c>
      <c r="B87" s="15">
        <v>2</v>
      </c>
      <c r="C87" s="16">
        <v>22</v>
      </c>
      <c r="D87" s="17" t="s">
        <v>183</v>
      </c>
      <c r="E87" s="17" t="s">
        <v>184</v>
      </c>
      <c r="F87" s="17">
        <v>94.5</v>
      </c>
      <c r="G87" s="17">
        <v>6496</v>
      </c>
      <c r="H87" s="17">
        <v>88.5</v>
      </c>
      <c r="I87" s="17">
        <v>6176</v>
      </c>
      <c r="J87" s="17">
        <v>74.25</v>
      </c>
      <c r="K87" s="17">
        <v>9307</v>
      </c>
      <c r="L87" s="17">
        <v>38.5</v>
      </c>
      <c r="M87" s="17">
        <v>6692</v>
      </c>
      <c r="N87" s="17"/>
      <c r="O87" s="17"/>
      <c r="P87" s="17"/>
      <c r="Q87" s="17"/>
      <c r="R87" s="17">
        <v>86</v>
      </c>
      <c r="S87" s="17">
        <v>1176</v>
      </c>
      <c r="T87" s="17">
        <v>68</v>
      </c>
      <c r="U87" s="17">
        <v>2192</v>
      </c>
      <c r="V87" s="17"/>
      <c r="W87" s="17"/>
      <c r="X87" s="15">
        <v>257.25</v>
      </c>
      <c r="Y87" s="17">
        <v>591</v>
      </c>
      <c r="Z87" s="17">
        <v>449.75</v>
      </c>
      <c r="AA87" s="17">
        <v>6148</v>
      </c>
      <c r="AB87" s="12">
        <v>540</v>
      </c>
    </row>
    <row r="88" ht="14.25" spans="1:28">
      <c r="A88" s="13">
        <v>86</v>
      </c>
      <c r="B88" s="15">
        <v>2</v>
      </c>
      <c r="C88" s="16">
        <v>23</v>
      </c>
      <c r="D88" s="17" t="s">
        <v>185</v>
      </c>
      <c r="E88" s="17" t="s">
        <v>186</v>
      </c>
      <c r="F88" s="17">
        <v>100.5</v>
      </c>
      <c r="G88" s="17">
        <v>3131</v>
      </c>
      <c r="H88" s="17">
        <v>95.5</v>
      </c>
      <c r="I88" s="17">
        <v>4650</v>
      </c>
      <c r="J88" s="17">
        <v>121</v>
      </c>
      <c r="K88" s="17">
        <v>441</v>
      </c>
      <c r="L88" s="17">
        <v>47.5</v>
      </c>
      <c r="M88" s="17">
        <v>4470</v>
      </c>
      <c r="N88" s="17"/>
      <c r="O88" s="17"/>
      <c r="P88" s="17"/>
      <c r="Q88" s="17"/>
      <c r="R88" s="17">
        <v>74</v>
      </c>
      <c r="S88" s="17">
        <v>4119</v>
      </c>
      <c r="T88" s="17">
        <v>88</v>
      </c>
      <c r="U88" s="17">
        <v>161</v>
      </c>
      <c r="V88" s="17"/>
      <c r="W88" s="17"/>
      <c r="X88" s="15">
        <v>317</v>
      </c>
      <c r="Y88" s="17">
        <v>138</v>
      </c>
      <c r="Z88" s="17">
        <v>526.5</v>
      </c>
      <c r="AA88" s="17">
        <v>2076</v>
      </c>
      <c r="AB88" s="12">
        <v>178</v>
      </c>
    </row>
    <row r="89" ht="14.25" spans="1:28">
      <c r="A89" s="13">
        <v>87</v>
      </c>
      <c r="B89" s="15">
        <v>2</v>
      </c>
      <c r="C89" s="16">
        <v>24</v>
      </c>
      <c r="D89" s="17" t="s">
        <v>187</v>
      </c>
      <c r="E89" s="17" t="s">
        <v>188</v>
      </c>
      <c r="F89" s="17">
        <v>107</v>
      </c>
      <c r="G89" s="17">
        <v>945</v>
      </c>
      <c r="H89" s="17">
        <v>92</v>
      </c>
      <c r="I89" s="17">
        <v>5417</v>
      </c>
      <c r="J89" s="17">
        <v>97</v>
      </c>
      <c r="K89" s="17">
        <v>3649</v>
      </c>
      <c r="L89" s="17">
        <v>60.5</v>
      </c>
      <c r="M89" s="17">
        <v>2106</v>
      </c>
      <c r="N89" s="17"/>
      <c r="O89" s="17"/>
      <c r="P89" s="17"/>
      <c r="Q89" s="17"/>
      <c r="R89" s="17">
        <v>78</v>
      </c>
      <c r="S89" s="17">
        <v>2906</v>
      </c>
      <c r="T89" s="17">
        <v>90</v>
      </c>
      <c r="U89" s="17">
        <v>46</v>
      </c>
      <c r="V89" s="17"/>
      <c r="W89" s="17"/>
      <c r="X89" s="15">
        <v>296</v>
      </c>
      <c r="Y89" s="17">
        <v>307</v>
      </c>
      <c r="Z89" s="17">
        <v>524.5</v>
      </c>
      <c r="AA89" s="17">
        <v>2164</v>
      </c>
      <c r="AB89" s="12">
        <v>192</v>
      </c>
    </row>
    <row r="90" ht="14.25" spans="1:28">
      <c r="A90" s="13">
        <v>88</v>
      </c>
      <c r="B90" s="15">
        <v>2</v>
      </c>
      <c r="C90" s="16">
        <v>25</v>
      </c>
      <c r="D90" s="17" t="s">
        <v>189</v>
      </c>
      <c r="E90" s="17" t="s">
        <v>190</v>
      </c>
      <c r="F90" s="17">
        <v>103.5</v>
      </c>
      <c r="G90" s="17">
        <v>1897</v>
      </c>
      <c r="H90" s="17">
        <v>88</v>
      </c>
      <c r="I90" s="17">
        <v>6299</v>
      </c>
      <c r="J90" s="17">
        <v>75.5</v>
      </c>
      <c r="K90" s="17">
        <v>8958</v>
      </c>
      <c r="L90" s="17">
        <v>61</v>
      </c>
      <c r="M90" s="17">
        <v>2008</v>
      </c>
      <c r="N90" s="17"/>
      <c r="O90" s="17"/>
      <c r="P90" s="17"/>
      <c r="Q90" s="17"/>
      <c r="R90" s="17">
        <v>87</v>
      </c>
      <c r="S90" s="17">
        <v>883</v>
      </c>
      <c r="T90" s="17">
        <v>68</v>
      </c>
      <c r="U90" s="17">
        <v>2192</v>
      </c>
      <c r="V90" s="17"/>
      <c r="W90" s="17"/>
      <c r="X90" s="15">
        <v>267</v>
      </c>
      <c r="Y90" s="17">
        <v>545</v>
      </c>
      <c r="Z90" s="17">
        <v>483</v>
      </c>
      <c r="AA90" s="17">
        <v>4100</v>
      </c>
      <c r="AB90" s="12">
        <v>407</v>
      </c>
    </row>
    <row r="91" ht="14.25" spans="1:28">
      <c r="A91" s="13">
        <v>89</v>
      </c>
      <c r="B91" s="15">
        <v>2</v>
      </c>
      <c r="C91" s="16">
        <v>26</v>
      </c>
      <c r="D91" s="17" t="s">
        <v>191</v>
      </c>
      <c r="E91" s="17" t="s">
        <v>192</v>
      </c>
      <c r="F91" s="17">
        <v>106.5</v>
      </c>
      <c r="G91" s="17">
        <v>1059</v>
      </c>
      <c r="H91" s="17">
        <v>89</v>
      </c>
      <c r="I91" s="17">
        <v>6077</v>
      </c>
      <c r="J91" s="17">
        <v>110.25</v>
      </c>
      <c r="K91" s="17">
        <v>1435</v>
      </c>
      <c r="L91" s="17">
        <v>58.5</v>
      </c>
      <c r="M91" s="17">
        <v>2451</v>
      </c>
      <c r="N91" s="17"/>
      <c r="O91" s="17"/>
      <c r="P91" s="17"/>
      <c r="Q91" s="17"/>
      <c r="R91" s="17">
        <v>78</v>
      </c>
      <c r="S91" s="17">
        <v>2906</v>
      </c>
      <c r="T91" s="17">
        <v>75</v>
      </c>
      <c r="U91" s="17">
        <v>1363</v>
      </c>
      <c r="V91" s="17"/>
      <c r="W91" s="17"/>
      <c r="X91" s="15">
        <v>305.75</v>
      </c>
      <c r="Y91" s="17">
        <v>229</v>
      </c>
      <c r="Z91" s="17">
        <v>517.25</v>
      </c>
      <c r="AA91" s="17">
        <v>2449</v>
      </c>
      <c r="AB91" s="12">
        <v>232</v>
      </c>
    </row>
    <row r="92" ht="14.25" spans="1:28">
      <c r="A92" s="13">
        <v>90</v>
      </c>
      <c r="B92" s="15">
        <v>2</v>
      </c>
      <c r="C92" s="16">
        <v>27</v>
      </c>
      <c r="D92" s="17" t="s">
        <v>193</v>
      </c>
      <c r="E92" s="17" t="s">
        <v>194</v>
      </c>
      <c r="F92" s="17">
        <v>106</v>
      </c>
      <c r="G92" s="17">
        <v>1174</v>
      </c>
      <c r="H92" s="17">
        <v>109</v>
      </c>
      <c r="I92" s="17">
        <v>2105</v>
      </c>
      <c r="J92" s="17">
        <v>122</v>
      </c>
      <c r="K92" s="17">
        <v>371</v>
      </c>
      <c r="L92" s="17">
        <v>43</v>
      </c>
      <c r="M92" s="17">
        <v>5463</v>
      </c>
      <c r="N92" s="17"/>
      <c r="O92" s="17"/>
      <c r="P92" s="17"/>
      <c r="Q92" s="17"/>
      <c r="R92" s="17">
        <v>66</v>
      </c>
      <c r="S92" s="17">
        <v>6674</v>
      </c>
      <c r="T92" s="17">
        <v>81</v>
      </c>
      <c r="U92" s="17">
        <v>759</v>
      </c>
      <c r="V92" s="17"/>
      <c r="W92" s="17"/>
      <c r="X92" s="15">
        <v>337</v>
      </c>
      <c r="Y92" s="17">
        <v>37</v>
      </c>
      <c r="Z92" s="17">
        <v>527</v>
      </c>
      <c r="AA92" s="17">
        <v>2061</v>
      </c>
      <c r="AB92" s="12">
        <v>176</v>
      </c>
    </row>
    <row r="93" ht="14.25" spans="1:28">
      <c r="A93" s="13">
        <v>91</v>
      </c>
      <c r="B93" s="15">
        <v>2</v>
      </c>
      <c r="C93" s="16">
        <v>28</v>
      </c>
      <c r="D93" s="17" t="s">
        <v>195</v>
      </c>
      <c r="E93" s="17" t="s">
        <v>196</v>
      </c>
      <c r="F93" s="17">
        <v>81.5</v>
      </c>
      <c r="G93" s="17">
        <v>14072</v>
      </c>
      <c r="H93" s="17">
        <v>90.5</v>
      </c>
      <c r="I93" s="17">
        <v>5743</v>
      </c>
      <c r="J93" s="17">
        <v>98</v>
      </c>
      <c r="K93" s="17">
        <v>3454</v>
      </c>
      <c r="L93" s="17">
        <v>39</v>
      </c>
      <c r="M93" s="17">
        <v>6535</v>
      </c>
      <c r="N93" s="17"/>
      <c r="O93" s="17"/>
      <c r="P93" s="17"/>
      <c r="Q93" s="17"/>
      <c r="R93" s="17">
        <v>73</v>
      </c>
      <c r="S93" s="17">
        <v>4436</v>
      </c>
      <c r="T93" s="17">
        <v>65</v>
      </c>
      <c r="U93" s="17">
        <v>2551</v>
      </c>
      <c r="V93" s="17"/>
      <c r="W93" s="17"/>
      <c r="X93" s="15">
        <v>270</v>
      </c>
      <c r="Y93" s="17">
        <v>531</v>
      </c>
      <c r="Z93" s="17">
        <v>447</v>
      </c>
      <c r="AA93" s="17">
        <v>6327</v>
      </c>
      <c r="AB93" s="12">
        <v>549</v>
      </c>
    </row>
    <row r="94" ht="14.25" spans="1:28">
      <c r="A94" s="13">
        <v>92</v>
      </c>
      <c r="B94" s="15">
        <v>2</v>
      </c>
      <c r="C94" s="16">
        <v>29</v>
      </c>
      <c r="D94" s="17" t="s">
        <v>197</v>
      </c>
      <c r="E94" s="17" t="s">
        <v>198</v>
      </c>
      <c r="F94" s="17">
        <v>94.5</v>
      </c>
      <c r="G94" s="17">
        <v>6496</v>
      </c>
      <c r="H94" s="17">
        <v>105</v>
      </c>
      <c r="I94" s="17">
        <v>2810</v>
      </c>
      <c r="J94" s="17">
        <v>115.5</v>
      </c>
      <c r="K94" s="17">
        <v>849</v>
      </c>
      <c r="L94" s="17">
        <v>70.5</v>
      </c>
      <c r="M94" s="17">
        <v>821</v>
      </c>
      <c r="N94" s="17"/>
      <c r="O94" s="17"/>
      <c r="P94" s="17"/>
      <c r="Q94" s="17"/>
      <c r="R94" s="17">
        <v>90</v>
      </c>
      <c r="S94" s="17">
        <v>255</v>
      </c>
      <c r="T94" s="17">
        <v>88</v>
      </c>
      <c r="U94" s="17">
        <v>161</v>
      </c>
      <c r="V94" s="17"/>
      <c r="W94" s="17"/>
      <c r="X94" s="15">
        <v>315</v>
      </c>
      <c r="Y94" s="17">
        <v>149</v>
      </c>
      <c r="Z94" s="17">
        <v>563.5</v>
      </c>
      <c r="AA94" s="17">
        <v>913</v>
      </c>
      <c r="AB94" s="12">
        <v>63</v>
      </c>
    </row>
    <row r="95" ht="14.25" spans="1:28">
      <c r="A95" s="13">
        <v>93</v>
      </c>
      <c r="B95" s="15">
        <v>2</v>
      </c>
      <c r="C95" s="16">
        <v>30</v>
      </c>
      <c r="D95" s="17" t="s">
        <v>199</v>
      </c>
      <c r="E95" s="17" t="s">
        <v>200</v>
      </c>
      <c r="F95" s="17">
        <v>102</v>
      </c>
      <c r="G95" s="17">
        <v>2480</v>
      </c>
      <c r="H95" s="17">
        <v>107</v>
      </c>
      <c r="I95" s="17">
        <v>2461</v>
      </c>
      <c r="J95" s="17">
        <v>99.5</v>
      </c>
      <c r="K95" s="17">
        <v>3134</v>
      </c>
      <c r="L95" s="17">
        <v>56.5</v>
      </c>
      <c r="M95" s="17">
        <v>2801</v>
      </c>
      <c r="N95" s="17"/>
      <c r="O95" s="17"/>
      <c r="P95" s="17"/>
      <c r="Q95" s="17"/>
      <c r="R95" s="17">
        <v>84</v>
      </c>
      <c r="S95" s="17">
        <v>1490</v>
      </c>
      <c r="T95" s="17">
        <v>66</v>
      </c>
      <c r="U95" s="17">
        <v>2417</v>
      </c>
      <c r="V95" s="17"/>
      <c r="W95" s="17"/>
      <c r="X95" s="15">
        <v>308.5</v>
      </c>
      <c r="Y95" s="17">
        <v>210</v>
      </c>
      <c r="Z95" s="17">
        <v>515</v>
      </c>
      <c r="AA95" s="17">
        <v>2542</v>
      </c>
      <c r="AB95" s="12">
        <v>247</v>
      </c>
    </row>
    <row r="96" ht="14.25" spans="1:28">
      <c r="A96" s="13">
        <v>94</v>
      </c>
      <c r="B96" s="15">
        <v>2</v>
      </c>
      <c r="C96" s="16">
        <v>31</v>
      </c>
      <c r="D96" s="17" t="s">
        <v>201</v>
      </c>
      <c r="E96" s="17" t="s">
        <v>202</v>
      </c>
      <c r="F96" s="17">
        <v>96.5</v>
      </c>
      <c r="G96" s="17">
        <v>5262</v>
      </c>
      <c r="H96" s="17">
        <v>100.5</v>
      </c>
      <c r="I96" s="17">
        <v>3650</v>
      </c>
      <c r="J96" s="17">
        <v>101.5</v>
      </c>
      <c r="K96" s="17">
        <v>2779</v>
      </c>
      <c r="L96" s="17">
        <v>47</v>
      </c>
      <c r="M96" s="17">
        <v>4568</v>
      </c>
      <c r="N96" s="17"/>
      <c r="O96" s="17"/>
      <c r="P96" s="17"/>
      <c r="Q96" s="17"/>
      <c r="R96" s="17">
        <v>87</v>
      </c>
      <c r="S96" s="17">
        <v>883</v>
      </c>
      <c r="T96" s="17">
        <v>67</v>
      </c>
      <c r="U96" s="17">
        <v>2274</v>
      </c>
      <c r="V96" s="17"/>
      <c r="W96" s="17"/>
      <c r="X96" s="15">
        <v>298.5</v>
      </c>
      <c r="Y96" s="17">
        <v>289</v>
      </c>
      <c r="Z96" s="17">
        <v>499.5</v>
      </c>
      <c r="AA96" s="17">
        <v>3259</v>
      </c>
      <c r="AB96" s="12">
        <v>328</v>
      </c>
    </row>
    <row r="97" ht="14.25" spans="1:28">
      <c r="A97" s="13">
        <v>95</v>
      </c>
      <c r="B97" s="15">
        <v>2</v>
      </c>
      <c r="C97" s="16">
        <v>32</v>
      </c>
      <c r="D97" s="17" t="s">
        <v>203</v>
      </c>
      <c r="E97" s="17" t="s">
        <v>204</v>
      </c>
      <c r="F97" s="17">
        <v>96</v>
      </c>
      <c r="G97" s="17">
        <v>5544</v>
      </c>
      <c r="H97" s="17">
        <v>102.5</v>
      </c>
      <c r="I97" s="17">
        <v>3278</v>
      </c>
      <c r="J97" s="17">
        <v>94.75</v>
      </c>
      <c r="K97" s="17">
        <v>4171</v>
      </c>
      <c r="L97" s="17">
        <v>64.5</v>
      </c>
      <c r="M97" s="17">
        <v>1506</v>
      </c>
      <c r="N97" s="17"/>
      <c r="O97" s="17"/>
      <c r="P97" s="17"/>
      <c r="Q97" s="17"/>
      <c r="R97" s="17">
        <v>89</v>
      </c>
      <c r="S97" s="17">
        <v>415</v>
      </c>
      <c r="T97" s="17">
        <v>78</v>
      </c>
      <c r="U97" s="17">
        <v>1013</v>
      </c>
      <c r="V97" s="17"/>
      <c r="W97" s="17"/>
      <c r="X97" s="15">
        <v>293.25</v>
      </c>
      <c r="Y97" s="17">
        <v>334</v>
      </c>
      <c r="Z97" s="17">
        <v>524.75</v>
      </c>
      <c r="AA97" s="17">
        <v>2160</v>
      </c>
      <c r="AB97" s="12">
        <v>190</v>
      </c>
    </row>
    <row r="98" ht="14.25" spans="1:28">
      <c r="A98" s="13">
        <v>96</v>
      </c>
      <c r="B98" s="15">
        <v>2</v>
      </c>
      <c r="C98" s="16">
        <v>33</v>
      </c>
      <c r="D98" s="17" t="s">
        <v>205</v>
      </c>
      <c r="E98" s="17" t="s">
        <v>206</v>
      </c>
      <c r="F98" s="17">
        <v>91.5</v>
      </c>
      <c r="G98" s="17">
        <v>8306</v>
      </c>
      <c r="H98" s="17">
        <v>95</v>
      </c>
      <c r="I98" s="17">
        <v>4735</v>
      </c>
      <c r="J98" s="17">
        <v>105.5</v>
      </c>
      <c r="K98" s="17">
        <v>2098</v>
      </c>
      <c r="L98" s="17">
        <v>39</v>
      </c>
      <c r="M98" s="17">
        <v>6535</v>
      </c>
      <c r="N98" s="17"/>
      <c r="O98" s="17"/>
      <c r="P98" s="17"/>
      <c r="Q98" s="17"/>
      <c r="R98" s="17">
        <v>84</v>
      </c>
      <c r="S98" s="17">
        <v>1490</v>
      </c>
      <c r="T98" s="17">
        <v>78</v>
      </c>
      <c r="U98" s="17">
        <v>1013</v>
      </c>
      <c r="V98" s="17"/>
      <c r="W98" s="17"/>
      <c r="X98" s="15">
        <v>292</v>
      </c>
      <c r="Y98" s="17">
        <v>350</v>
      </c>
      <c r="Z98" s="17">
        <v>493</v>
      </c>
      <c r="AA98" s="17">
        <v>3601</v>
      </c>
      <c r="AB98" s="12">
        <v>360</v>
      </c>
    </row>
    <row r="99" ht="14.25" spans="1:28">
      <c r="A99" s="13">
        <v>97</v>
      </c>
      <c r="B99" s="15">
        <v>2</v>
      </c>
      <c r="C99" s="16">
        <v>34</v>
      </c>
      <c r="D99" s="17" t="s">
        <v>207</v>
      </c>
      <c r="E99" s="17" t="s">
        <v>208</v>
      </c>
      <c r="F99" s="17">
        <v>104</v>
      </c>
      <c r="G99" s="17">
        <v>1709</v>
      </c>
      <c r="H99" s="17">
        <v>88.5</v>
      </c>
      <c r="I99" s="17">
        <v>6176</v>
      </c>
      <c r="J99" s="17">
        <v>100.25</v>
      </c>
      <c r="K99" s="17">
        <v>3011</v>
      </c>
      <c r="L99" s="17">
        <v>47</v>
      </c>
      <c r="M99" s="17">
        <v>4568</v>
      </c>
      <c r="N99" s="17"/>
      <c r="O99" s="17"/>
      <c r="P99" s="17"/>
      <c r="Q99" s="17"/>
      <c r="R99" s="17">
        <v>70</v>
      </c>
      <c r="S99" s="17">
        <v>5497</v>
      </c>
      <c r="T99" s="17">
        <v>69</v>
      </c>
      <c r="U99" s="17">
        <v>2042</v>
      </c>
      <c r="V99" s="17"/>
      <c r="W99" s="17"/>
      <c r="X99" s="15">
        <v>292.75</v>
      </c>
      <c r="Y99" s="17">
        <v>343</v>
      </c>
      <c r="Z99" s="17">
        <v>478.75</v>
      </c>
      <c r="AA99" s="17">
        <v>4351</v>
      </c>
      <c r="AB99" s="12">
        <v>425</v>
      </c>
    </row>
    <row r="100" ht="14.25" spans="1:28">
      <c r="A100" s="13">
        <v>98</v>
      </c>
      <c r="B100" s="15">
        <v>2</v>
      </c>
      <c r="C100" s="16">
        <v>35</v>
      </c>
      <c r="D100" s="17" t="s">
        <v>209</v>
      </c>
      <c r="E100" s="17" t="s">
        <v>210</v>
      </c>
      <c r="F100" s="17">
        <v>95.75</v>
      </c>
      <c r="G100" s="17">
        <v>5826</v>
      </c>
      <c r="H100" s="17">
        <v>59.5</v>
      </c>
      <c r="I100" s="17">
        <v>11928</v>
      </c>
      <c r="J100" s="17">
        <v>64.5</v>
      </c>
      <c r="K100" s="17">
        <v>11584</v>
      </c>
      <c r="L100" s="17">
        <v>18.5</v>
      </c>
      <c r="M100" s="17">
        <v>14721</v>
      </c>
      <c r="N100" s="17"/>
      <c r="O100" s="17"/>
      <c r="P100" s="17"/>
      <c r="Q100" s="17"/>
      <c r="R100" s="17">
        <v>68</v>
      </c>
      <c r="S100" s="17">
        <v>6079</v>
      </c>
      <c r="T100" s="17">
        <v>80</v>
      </c>
      <c r="U100" s="17">
        <v>813</v>
      </c>
      <c r="V100" s="17"/>
      <c r="W100" s="17"/>
      <c r="X100" s="15">
        <v>219.75</v>
      </c>
      <c r="Y100" s="17">
        <v>653</v>
      </c>
      <c r="Z100" s="17">
        <v>386.25</v>
      </c>
      <c r="AA100" s="17">
        <v>10644</v>
      </c>
      <c r="AB100" s="12">
        <v>650</v>
      </c>
    </row>
    <row r="101" ht="14.25" spans="1:28">
      <c r="A101" s="13">
        <v>99</v>
      </c>
      <c r="B101" s="15">
        <v>2</v>
      </c>
      <c r="C101" s="16">
        <v>36</v>
      </c>
      <c r="D101" s="17" t="s">
        <v>211</v>
      </c>
      <c r="E101" s="17" t="s">
        <v>212</v>
      </c>
      <c r="F101" s="17">
        <v>98</v>
      </c>
      <c r="G101" s="17">
        <v>4423</v>
      </c>
      <c r="H101" s="17">
        <v>114</v>
      </c>
      <c r="I101" s="17">
        <v>1340</v>
      </c>
      <c r="J101" s="17">
        <v>77.5</v>
      </c>
      <c r="K101" s="17">
        <v>8422</v>
      </c>
      <c r="L101" s="17">
        <v>42</v>
      </c>
      <c r="M101" s="17">
        <v>5731</v>
      </c>
      <c r="N101" s="17"/>
      <c r="O101" s="17"/>
      <c r="P101" s="17"/>
      <c r="Q101" s="17"/>
      <c r="R101" s="17">
        <v>85</v>
      </c>
      <c r="S101" s="17">
        <v>1393</v>
      </c>
      <c r="T101" s="17">
        <v>71</v>
      </c>
      <c r="U101" s="17">
        <v>1907</v>
      </c>
      <c r="V101" s="17"/>
      <c r="W101" s="17"/>
      <c r="X101" s="15">
        <v>289.5</v>
      </c>
      <c r="Y101" s="17">
        <v>371</v>
      </c>
      <c r="Z101" s="17">
        <v>487.5</v>
      </c>
      <c r="AA101" s="17">
        <v>3869</v>
      </c>
      <c r="AB101" s="12">
        <v>389</v>
      </c>
    </row>
    <row r="102" ht="14.25" spans="1:28">
      <c r="A102" s="13">
        <v>100</v>
      </c>
      <c r="B102" s="15">
        <v>2</v>
      </c>
      <c r="C102" s="16">
        <v>37</v>
      </c>
      <c r="D102" s="17" t="s">
        <v>213</v>
      </c>
      <c r="E102" s="17" t="s">
        <v>214</v>
      </c>
      <c r="F102" s="17">
        <v>90</v>
      </c>
      <c r="G102" s="17">
        <v>9312</v>
      </c>
      <c r="H102" s="17">
        <v>66</v>
      </c>
      <c r="I102" s="17">
        <v>10699</v>
      </c>
      <c r="J102" s="17">
        <v>63.75</v>
      </c>
      <c r="K102" s="17">
        <v>11743</v>
      </c>
      <c r="L102" s="17">
        <v>49</v>
      </c>
      <c r="M102" s="17">
        <v>4146</v>
      </c>
      <c r="N102" s="17"/>
      <c r="O102" s="17"/>
      <c r="P102" s="17"/>
      <c r="Q102" s="17"/>
      <c r="R102" s="17">
        <v>87</v>
      </c>
      <c r="S102" s="17">
        <v>883</v>
      </c>
      <c r="T102" s="17">
        <v>72</v>
      </c>
      <c r="U102" s="17">
        <v>1741</v>
      </c>
      <c r="V102" s="17"/>
      <c r="W102" s="17"/>
      <c r="X102" s="15">
        <v>219.75</v>
      </c>
      <c r="Y102" s="17">
        <v>653</v>
      </c>
      <c r="Z102" s="17">
        <v>427.75</v>
      </c>
      <c r="AA102" s="17">
        <v>7663</v>
      </c>
      <c r="AB102" s="12">
        <v>607</v>
      </c>
    </row>
    <row r="103" ht="14.25" spans="1:28">
      <c r="A103" s="13">
        <v>101</v>
      </c>
      <c r="B103" s="15">
        <v>2</v>
      </c>
      <c r="C103" s="16">
        <v>38</v>
      </c>
      <c r="D103" s="17" t="s">
        <v>215</v>
      </c>
      <c r="E103" s="17" t="s">
        <v>216</v>
      </c>
      <c r="F103" s="17">
        <v>94.5</v>
      </c>
      <c r="G103" s="17">
        <v>6496</v>
      </c>
      <c r="H103" s="17">
        <v>93</v>
      </c>
      <c r="I103" s="17">
        <v>5192</v>
      </c>
      <c r="J103" s="17">
        <v>105.5</v>
      </c>
      <c r="K103" s="17">
        <v>2098</v>
      </c>
      <c r="L103" s="17">
        <v>46</v>
      </c>
      <c r="M103" s="17">
        <v>4785</v>
      </c>
      <c r="N103" s="17"/>
      <c r="O103" s="17"/>
      <c r="P103" s="17"/>
      <c r="Q103" s="17"/>
      <c r="R103" s="17">
        <v>84</v>
      </c>
      <c r="S103" s="17">
        <v>1490</v>
      </c>
      <c r="T103" s="17">
        <v>77</v>
      </c>
      <c r="U103" s="17">
        <v>1152</v>
      </c>
      <c r="V103" s="17"/>
      <c r="W103" s="17"/>
      <c r="X103" s="15">
        <v>293</v>
      </c>
      <c r="Y103" s="17">
        <v>335</v>
      </c>
      <c r="Z103" s="17">
        <v>500</v>
      </c>
      <c r="AA103" s="17">
        <v>3248</v>
      </c>
      <c r="AB103" s="12">
        <v>327</v>
      </c>
    </row>
    <row r="104" ht="14.25" spans="1:28">
      <c r="A104" s="13">
        <v>102</v>
      </c>
      <c r="B104" s="15">
        <v>2</v>
      </c>
      <c r="C104" s="16">
        <v>39</v>
      </c>
      <c r="D104" s="17" t="s">
        <v>217</v>
      </c>
      <c r="E104" s="17" t="s">
        <v>218</v>
      </c>
      <c r="F104" s="17">
        <v>91.5</v>
      </c>
      <c r="G104" s="17">
        <v>8306</v>
      </c>
      <c r="H104" s="17">
        <v>84.5</v>
      </c>
      <c r="I104" s="17">
        <v>7091</v>
      </c>
      <c r="J104" s="17">
        <v>91.5</v>
      </c>
      <c r="K104" s="17">
        <v>4916</v>
      </c>
      <c r="L104" s="17">
        <v>37</v>
      </c>
      <c r="M104" s="17">
        <v>7118</v>
      </c>
      <c r="N104" s="17"/>
      <c r="O104" s="17"/>
      <c r="P104" s="17"/>
      <c r="Q104" s="17"/>
      <c r="R104" s="17">
        <v>59</v>
      </c>
      <c r="S104" s="17">
        <v>8934</v>
      </c>
      <c r="T104" s="17">
        <v>71</v>
      </c>
      <c r="U104" s="17">
        <v>1907</v>
      </c>
      <c r="V104" s="17"/>
      <c r="W104" s="17"/>
      <c r="X104" s="15">
        <v>267.5</v>
      </c>
      <c r="Y104" s="17">
        <v>543</v>
      </c>
      <c r="Z104" s="17">
        <v>434.5</v>
      </c>
      <c r="AA104" s="17">
        <v>7170</v>
      </c>
      <c r="AB104" s="12">
        <v>588</v>
      </c>
    </row>
    <row r="105" ht="14.25" spans="1:28">
      <c r="A105" s="13">
        <v>103</v>
      </c>
      <c r="B105" s="15">
        <v>2</v>
      </c>
      <c r="C105" s="16">
        <v>40</v>
      </c>
      <c r="D105" s="17" t="s">
        <v>219</v>
      </c>
      <c r="E105" s="17" t="s">
        <v>220</v>
      </c>
      <c r="F105" s="17">
        <v>104</v>
      </c>
      <c r="G105" s="17">
        <v>1709</v>
      </c>
      <c r="H105" s="17">
        <v>75</v>
      </c>
      <c r="I105" s="17">
        <v>9019</v>
      </c>
      <c r="J105" s="17">
        <v>93</v>
      </c>
      <c r="K105" s="17">
        <v>4548</v>
      </c>
      <c r="L105" s="17">
        <v>41</v>
      </c>
      <c r="M105" s="17">
        <v>5993</v>
      </c>
      <c r="N105" s="17"/>
      <c r="O105" s="17"/>
      <c r="P105" s="17"/>
      <c r="Q105" s="17"/>
      <c r="R105" s="17">
        <v>72</v>
      </c>
      <c r="S105" s="17">
        <v>4793</v>
      </c>
      <c r="T105" s="17">
        <v>71</v>
      </c>
      <c r="U105" s="17">
        <v>1907</v>
      </c>
      <c r="V105" s="17"/>
      <c r="W105" s="17"/>
      <c r="X105" s="15">
        <v>272</v>
      </c>
      <c r="Y105" s="17">
        <v>514</v>
      </c>
      <c r="Z105" s="17">
        <v>456</v>
      </c>
      <c r="AA105" s="17">
        <v>5731</v>
      </c>
      <c r="AB105" s="12">
        <v>524</v>
      </c>
    </row>
    <row r="106" ht="14.25" spans="1:28">
      <c r="A106" s="13">
        <v>104</v>
      </c>
      <c r="B106" s="15">
        <v>2</v>
      </c>
      <c r="C106" s="16">
        <v>41</v>
      </c>
      <c r="D106" s="17" t="s">
        <v>221</v>
      </c>
      <c r="E106" s="17" t="s">
        <v>222</v>
      </c>
      <c r="F106" s="17">
        <v>96</v>
      </c>
      <c r="G106" s="17">
        <v>5544</v>
      </c>
      <c r="H106" s="17">
        <v>45.5</v>
      </c>
      <c r="I106" s="17">
        <v>14140</v>
      </c>
      <c r="J106" s="17">
        <v>99.25</v>
      </c>
      <c r="K106" s="17">
        <v>3211</v>
      </c>
      <c r="L106" s="17">
        <v>28</v>
      </c>
      <c r="M106" s="17">
        <v>10280</v>
      </c>
      <c r="N106" s="17"/>
      <c r="O106" s="17"/>
      <c r="P106" s="17"/>
      <c r="Q106" s="17"/>
      <c r="R106" s="17">
        <v>86</v>
      </c>
      <c r="S106" s="17">
        <v>1176</v>
      </c>
      <c r="T106" s="17">
        <v>69</v>
      </c>
      <c r="U106" s="17">
        <v>2042</v>
      </c>
      <c r="V106" s="17"/>
      <c r="W106" s="17"/>
      <c r="X106" s="15">
        <v>240.75</v>
      </c>
      <c r="Y106" s="17">
        <v>631</v>
      </c>
      <c r="Z106" s="17">
        <v>423.75</v>
      </c>
      <c r="AA106" s="17">
        <v>7946</v>
      </c>
      <c r="AB106" s="12">
        <v>617</v>
      </c>
    </row>
    <row r="107" ht="14.25" spans="1:28">
      <c r="A107" s="13">
        <v>105</v>
      </c>
      <c r="B107" s="15">
        <v>2</v>
      </c>
      <c r="C107" s="16">
        <v>43</v>
      </c>
      <c r="D107" s="17" t="s">
        <v>223</v>
      </c>
      <c r="E107" s="17" t="s">
        <v>224</v>
      </c>
      <c r="F107" s="17">
        <v>101.5</v>
      </c>
      <c r="G107" s="17">
        <v>2674</v>
      </c>
      <c r="H107" s="17">
        <v>99.5</v>
      </c>
      <c r="I107" s="17">
        <v>3847</v>
      </c>
      <c r="J107" s="17">
        <v>98</v>
      </c>
      <c r="K107" s="17">
        <v>3454</v>
      </c>
      <c r="L107" s="17">
        <v>58.5</v>
      </c>
      <c r="M107" s="17">
        <v>2451</v>
      </c>
      <c r="N107" s="17"/>
      <c r="O107" s="17"/>
      <c r="P107" s="17"/>
      <c r="Q107" s="17"/>
      <c r="R107" s="17">
        <v>75</v>
      </c>
      <c r="S107" s="17">
        <v>3790</v>
      </c>
      <c r="T107" s="17">
        <v>88</v>
      </c>
      <c r="U107" s="17">
        <v>161</v>
      </c>
      <c r="V107" s="17"/>
      <c r="W107" s="17"/>
      <c r="X107" s="15">
        <v>299</v>
      </c>
      <c r="Y107" s="17">
        <v>284</v>
      </c>
      <c r="Z107" s="17">
        <v>520.5</v>
      </c>
      <c r="AA107" s="17">
        <v>2332</v>
      </c>
      <c r="AB107" s="12">
        <v>214</v>
      </c>
    </row>
    <row r="108" ht="14.25" spans="1:28">
      <c r="A108" s="13">
        <v>106</v>
      </c>
      <c r="B108" s="15">
        <v>2</v>
      </c>
      <c r="C108" s="16">
        <v>44</v>
      </c>
      <c r="D108" s="17" t="s">
        <v>225</v>
      </c>
      <c r="E108" s="17" t="s">
        <v>226</v>
      </c>
      <c r="F108" s="17">
        <v>113.5</v>
      </c>
      <c r="G108" s="17">
        <v>139</v>
      </c>
      <c r="H108" s="17">
        <v>94.5</v>
      </c>
      <c r="I108" s="17">
        <v>4840</v>
      </c>
      <c r="J108" s="17">
        <v>95.75</v>
      </c>
      <c r="K108" s="17">
        <v>3946</v>
      </c>
      <c r="L108" s="17">
        <v>36.5</v>
      </c>
      <c r="M108" s="17">
        <v>7270</v>
      </c>
      <c r="N108" s="17"/>
      <c r="O108" s="17"/>
      <c r="P108" s="17"/>
      <c r="Q108" s="17"/>
      <c r="R108" s="17">
        <v>86</v>
      </c>
      <c r="S108" s="17">
        <v>1176</v>
      </c>
      <c r="T108" s="17">
        <v>87</v>
      </c>
      <c r="U108" s="17">
        <v>259</v>
      </c>
      <c r="V108" s="17"/>
      <c r="W108" s="17"/>
      <c r="X108" s="15">
        <v>303.75</v>
      </c>
      <c r="Y108" s="17">
        <v>248</v>
      </c>
      <c r="Z108" s="17">
        <v>513.25</v>
      </c>
      <c r="AA108" s="17">
        <v>2629</v>
      </c>
      <c r="AB108" s="12">
        <v>256</v>
      </c>
    </row>
    <row r="109" ht="14.25" spans="1:28">
      <c r="A109" s="13">
        <v>107</v>
      </c>
      <c r="B109" s="15">
        <v>2</v>
      </c>
      <c r="C109" s="16">
        <v>46</v>
      </c>
      <c r="D109" s="17" t="s">
        <v>227</v>
      </c>
      <c r="E109" s="17" t="s">
        <v>228</v>
      </c>
      <c r="F109" s="17">
        <v>98.25</v>
      </c>
      <c r="G109" s="17">
        <v>4392</v>
      </c>
      <c r="H109" s="17">
        <v>71.5</v>
      </c>
      <c r="I109" s="17">
        <v>9696</v>
      </c>
      <c r="J109" s="17">
        <v>122</v>
      </c>
      <c r="K109" s="17">
        <v>371</v>
      </c>
      <c r="L109" s="17">
        <v>33.5</v>
      </c>
      <c r="M109" s="17">
        <v>8240</v>
      </c>
      <c r="N109" s="17"/>
      <c r="O109" s="17"/>
      <c r="P109" s="17"/>
      <c r="Q109" s="17"/>
      <c r="R109" s="17">
        <v>67</v>
      </c>
      <c r="S109" s="17">
        <v>6298</v>
      </c>
      <c r="T109" s="17">
        <v>75</v>
      </c>
      <c r="U109" s="17">
        <v>1363</v>
      </c>
      <c r="V109" s="17"/>
      <c r="W109" s="17"/>
      <c r="X109" s="15">
        <v>291.75</v>
      </c>
      <c r="Y109" s="17">
        <v>355</v>
      </c>
      <c r="Z109" s="17">
        <v>467.25</v>
      </c>
      <c r="AA109" s="17">
        <v>5021</v>
      </c>
      <c r="AB109" s="12">
        <v>474</v>
      </c>
    </row>
    <row r="110" ht="14.25" spans="1:28">
      <c r="A110" s="13">
        <v>108</v>
      </c>
      <c r="B110" s="15">
        <v>2</v>
      </c>
      <c r="C110" s="16">
        <v>47</v>
      </c>
      <c r="D110" s="17" t="s">
        <v>229</v>
      </c>
      <c r="E110" s="17" t="s">
        <v>230</v>
      </c>
      <c r="F110" s="17">
        <v>98.5</v>
      </c>
      <c r="G110" s="17">
        <v>4145</v>
      </c>
      <c r="H110" s="17">
        <v>63</v>
      </c>
      <c r="I110" s="17">
        <v>11279</v>
      </c>
      <c r="J110" s="17">
        <v>116.25</v>
      </c>
      <c r="K110" s="17">
        <v>797</v>
      </c>
      <c r="L110" s="17">
        <v>35</v>
      </c>
      <c r="M110" s="17">
        <v>7732</v>
      </c>
      <c r="N110" s="17"/>
      <c r="O110" s="17"/>
      <c r="P110" s="17"/>
      <c r="Q110" s="17"/>
      <c r="R110" s="17">
        <v>76</v>
      </c>
      <c r="S110" s="17">
        <v>3491</v>
      </c>
      <c r="T110" s="17">
        <v>78</v>
      </c>
      <c r="U110" s="17">
        <v>1013</v>
      </c>
      <c r="V110" s="17"/>
      <c r="W110" s="17"/>
      <c r="X110" s="15">
        <v>277.75</v>
      </c>
      <c r="Y110" s="17">
        <v>477</v>
      </c>
      <c r="Z110" s="17">
        <v>466.75</v>
      </c>
      <c r="AA110" s="17">
        <v>5050</v>
      </c>
      <c r="AB110" s="12">
        <v>477</v>
      </c>
    </row>
    <row r="111" ht="14.25" spans="1:28">
      <c r="A111" s="13">
        <v>109</v>
      </c>
      <c r="B111" s="15">
        <v>2</v>
      </c>
      <c r="C111" s="16">
        <v>48</v>
      </c>
      <c r="D111" s="17" t="s">
        <v>231</v>
      </c>
      <c r="E111" s="17" t="s">
        <v>232</v>
      </c>
      <c r="F111" s="17">
        <v>103.5</v>
      </c>
      <c r="G111" s="17">
        <v>1897</v>
      </c>
      <c r="H111" s="17">
        <v>92.5</v>
      </c>
      <c r="I111" s="17">
        <v>5299</v>
      </c>
      <c r="J111" s="17">
        <v>77.5</v>
      </c>
      <c r="K111" s="17">
        <v>8422</v>
      </c>
      <c r="L111" s="17">
        <v>38</v>
      </c>
      <c r="M111" s="17">
        <v>6823</v>
      </c>
      <c r="N111" s="17"/>
      <c r="O111" s="17"/>
      <c r="P111" s="17"/>
      <c r="Q111" s="17"/>
      <c r="R111" s="17">
        <v>71</v>
      </c>
      <c r="S111" s="17">
        <v>5151</v>
      </c>
      <c r="T111" s="17">
        <v>76</v>
      </c>
      <c r="U111" s="17">
        <v>1295</v>
      </c>
      <c r="V111" s="17"/>
      <c r="W111" s="17"/>
      <c r="X111" s="15">
        <v>273.5</v>
      </c>
      <c r="Y111" s="17">
        <v>505</v>
      </c>
      <c r="Z111" s="17">
        <v>458.5</v>
      </c>
      <c r="AA111" s="17">
        <v>5560</v>
      </c>
      <c r="AB111" s="12">
        <v>514</v>
      </c>
    </row>
    <row r="112" ht="14.25" spans="1:28">
      <c r="A112" s="13">
        <v>110</v>
      </c>
      <c r="B112" s="15">
        <v>2</v>
      </c>
      <c r="C112" s="16">
        <v>49</v>
      </c>
      <c r="D112" s="17" t="s">
        <v>233</v>
      </c>
      <c r="E112" s="17" t="s">
        <v>234</v>
      </c>
      <c r="F112" s="17">
        <v>95.75</v>
      </c>
      <c r="G112" s="17">
        <v>5826</v>
      </c>
      <c r="H112" s="17">
        <v>116.5</v>
      </c>
      <c r="I112" s="17">
        <v>1035</v>
      </c>
      <c r="J112" s="17">
        <v>89.75</v>
      </c>
      <c r="K112" s="17">
        <v>5344</v>
      </c>
      <c r="L112" s="17">
        <v>45</v>
      </c>
      <c r="M112" s="17">
        <v>5014</v>
      </c>
      <c r="N112" s="17"/>
      <c r="O112" s="17"/>
      <c r="P112" s="17"/>
      <c r="Q112" s="17"/>
      <c r="R112" s="17">
        <v>81</v>
      </c>
      <c r="S112" s="17">
        <v>2139</v>
      </c>
      <c r="T112" s="17">
        <v>84</v>
      </c>
      <c r="U112" s="17">
        <v>506</v>
      </c>
      <c r="V112" s="17"/>
      <c r="W112" s="17"/>
      <c r="X112" s="15">
        <v>302</v>
      </c>
      <c r="Y112" s="17">
        <v>261</v>
      </c>
      <c r="Z112" s="17">
        <v>512</v>
      </c>
      <c r="AA112" s="17">
        <v>2673</v>
      </c>
      <c r="AB112" s="12">
        <v>261</v>
      </c>
    </row>
    <row r="113" ht="14.25" spans="1:28">
      <c r="A113" s="13">
        <v>111</v>
      </c>
      <c r="B113" s="15">
        <v>2</v>
      </c>
      <c r="C113" s="16">
        <v>50</v>
      </c>
      <c r="D113" s="17" t="s">
        <v>235</v>
      </c>
      <c r="E113" s="17" t="s">
        <v>236</v>
      </c>
      <c r="F113" s="17">
        <v>99</v>
      </c>
      <c r="G113" s="17">
        <v>3868</v>
      </c>
      <c r="H113" s="17">
        <v>98</v>
      </c>
      <c r="I113" s="17">
        <v>4147</v>
      </c>
      <c r="J113" s="17">
        <v>86.25</v>
      </c>
      <c r="K113" s="17">
        <v>6223</v>
      </c>
      <c r="L113" s="17">
        <v>43</v>
      </c>
      <c r="M113" s="17">
        <v>5463</v>
      </c>
      <c r="N113" s="17"/>
      <c r="O113" s="17"/>
      <c r="P113" s="17"/>
      <c r="Q113" s="17"/>
      <c r="R113" s="17">
        <v>66</v>
      </c>
      <c r="S113" s="17">
        <v>6674</v>
      </c>
      <c r="T113" s="17">
        <v>87</v>
      </c>
      <c r="U113" s="17">
        <v>259</v>
      </c>
      <c r="V113" s="17"/>
      <c r="W113" s="17"/>
      <c r="X113" s="15">
        <v>283.25</v>
      </c>
      <c r="Y113" s="17">
        <v>416</v>
      </c>
      <c r="Z113" s="17">
        <v>479.25</v>
      </c>
      <c r="AA113" s="17">
        <v>4322</v>
      </c>
      <c r="AB113" s="12">
        <v>423</v>
      </c>
    </row>
    <row r="114" ht="14.25" spans="1:28">
      <c r="A114" s="13">
        <v>112</v>
      </c>
      <c r="B114" s="15">
        <v>3</v>
      </c>
      <c r="C114" s="16">
        <v>1</v>
      </c>
      <c r="D114" s="17" t="s">
        <v>237</v>
      </c>
      <c r="E114" s="17" t="s">
        <v>238</v>
      </c>
      <c r="F114" s="17">
        <v>93</v>
      </c>
      <c r="G114" s="17">
        <v>7407</v>
      </c>
      <c r="H114" s="17">
        <v>103</v>
      </c>
      <c r="I114" s="17">
        <v>3209</v>
      </c>
      <c r="J114" s="17">
        <v>118.25</v>
      </c>
      <c r="K114" s="17">
        <v>630</v>
      </c>
      <c r="L114" s="17">
        <v>50</v>
      </c>
      <c r="M114" s="17">
        <v>3933</v>
      </c>
      <c r="N114" s="17"/>
      <c r="O114" s="17"/>
      <c r="P114" s="17">
        <v>51</v>
      </c>
      <c r="Q114" s="17">
        <v>10643</v>
      </c>
      <c r="R114" s="17"/>
      <c r="S114" s="17"/>
      <c r="T114" s="17"/>
      <c r="U114" s="17"/>
      <c r="V114" s="17">
        <v>63</v>
      </c>
      <c r="W114" s="17">
        <v>3260</v>
      </c>
      <c r="X114" s="15">
        <v>314.25</v>
      </c>
      <c r="Y114" s="17">
        <v>154</v>
      </c>
      <c r="Z114" s="17">
        <v>478.25</v>
      </c>
      <c r="AA114" s="17">
        <v>4381</v>
      </c>
      <c r="AB114" s="12">
        <v>426</v>
      </c>
    </row>
    <row r="115" ht="14.25" spans="1:28">
      <c r="A115" s="13">
        <v>113</v>
      </c>
      <c r="B115" s="15">
        <v>3</v>
      </c>
      <c r="C115" s="16">
        <v>2</v>
      </c>
      <c r="D115" s="17" t="s">
        <v>239</v>
      </c>
      <c r="E115" s="17" t="s">
        <v>240</v>
      </c>
      <c r="F115" s="17">
        <v>75</v>
      </c>
      <c r="G115" s="17">
        <v>16100</v>
      </c>
      <c r="H115" s="17">
        <v>82</v>
      </c>
      <c r="I115" s="17">
        <v>7634</v>
      </c>
      <c r="J115" s="17">
        <v>73.25</v>
      </c>
      <c r="K115" s="17">
        <v>9584</v>
      </c>
      <c r="L115" s="17">
        <v>34.5</v>
      </c>
      <c r="M115" s="17">
        <v>7899</v>
      </c>
      <c r="N115" s="17"/>
      <c r="O115" s="17"/>
      <c r="P115" s="17">
        <v>67</v>
      </c>
      <c r="Q115" s="17">
        <v>6384</v>
      </c>
      <c r="R115" s="17"/>
      <c r="S115" s="17"/>
      <c r="T115" s="17"/>
      <c r="U115" s="17"/>
      <c r="V115" s="17">
        <v>60</v>
      </c>
      <c r="W115" s="17">
        <v>3646</v>
      </c>
      <c r="X115" s="15">
        <v>230.25</v>
      </c>
      <c r="Y115" s="17">
        <v>647</v>
      </c>
      <c r="Z115" s="17">
        <v>391.75</v>
      </c>
      <c r="AA115" s="17">
        <v>10230</v>
      </c>
      <c r="AB115" s="12">
        <v>643</v>
      </c>
    </row>
    <row r="116" ht="14.25" spans="1:28">
      <c r="A116" s="13">
        <v>114</v>
      </c>
      <c r="B116" s="15">
        <v>3</v>
      </c>
      <c r="C116" s="16">
        <v>3</v>
      </c>
      <c r="D116" s="17" t="s">
        <v>241</v>
      </c>
      <c r="E116" s="17" t="s">
        <v>242</v>
      </c>
      <c r="F116" s="17">
        <v>89.5</v>
      </c>
      <c r="G116" s="17">
        <v>9648</v>
      </c>
      <c r="H116" s="17">
        <v>89.5</v>
      </c>
      <c r="I116" s="17">
        <v>5946</v>
      </c>
      <c r="J116" s="17">
        <v>85.75</v>
      </c>
      <c r="K116" s="17">
        <v>6343</v>
      </c>
      <c r="L116" s="17">
        <v>48.5</v>
      </c>
      <c r="M116" s="17">
        <v>4255</v>
      </c>
      <c r="N116" s="17"/>
      <c r="O116" s="17"/>
      <c r="P116" s="17">
        <v>63</v>
      </c>
      <c r="Q116" s="17">
        <v>7666</v>
      </c>
      <c r="R116" s="17"/>
      <c r="S116" s="17"/>
      <c r="T116" s="17"/>
      <c r="U116" s="17"/>
      <c r="V116" s="17">
        <v>73</v>
      </c>
      <c r="W116" s="17">
        <v>1853</v>
      </c>
      <c r="X116" s="15">
        <v>264.75</v>
      </c>
      <c r="Y116" s="17">
        <v>557</v>
      </c>
      <c r="Z116" s="17">
        <v>449.25</v>
      </c>
      <c r="AA116" s="17">
        <v>6185</v>
      </c>
      <c r="AB116" s="12">
        <v>542</v>
      </c>
    </row>
    <row r="117" ht="14.25" spans="1:28">
      <c r="A117" s="13">
        <v>115</v>
      </c>
      <c r="B117" s="15">
        <v>3</v>
      </c>
      <c r="C117" s="16">
        <v>4</v>
      </c>
      <c r="D117" s="17" t="s">
        <v>243</v>
      </c>
      <c r="E117" s="17" t="s">
        <v>244</v>
      </c>
      <c r="F117" s="17">
        <v>90.5</v>
      </c>
      <c r="G117" s="17">
        <v>8999</v>
      </c>
      <c r="H117" s="17">
        <v>69.5</v>
      </c>
      <c r="I117" s="17">
        <v>10065</v>
      </c>
      <c r="J117" s="17">
        <v>92.5</v>
      </c>
      <c r="K117" s="17">
        <v>4660</v>
      </c>
      <c r="L117" s="17">
        <v>40</v>
      </c>
      <c r="M117" s="17">
        <v>6265</v>
      </c>
      <c r="N117" s="17"/>
      <c r="O117" s="17"/>
      <c r="P117" s="17">
        <v>51</v>
      </c>
      <c r="Q117" s="17">
        <v>10643</v>
      </c>
      <c r="R117" s="17"/>
      <c r="S117" s="17"/>
      <c r="T117" s="17"/>
      <c r="U117" s="17"/>
      <c r="V117" s="17">
        <v>67</v>
      </c>
      <c r="W117" s="17">
        <v>2619</v>
      </c>
      <c r="X117" s="15">
        <v>252.5</v>
      </c>
      <c r="Y117" s="17">
        <v>605</v>
      </c>
      <c r="Z117" s="17">
        <v>410.5</v>
      </c>
      <c r="AA117" s="17">
        <v>8910</v>
      </c>
      <c r="AB117" s="12">
        <v>631</v>
      </c>
    </row>
    <row r="118" ht="14.25" spans="1:28">
      <c r="A118" s="13">
        <v>116</v>
      </c>
      <c r="B118" s="15">
        <v>3</v>
      </c>
      <c r="C118" s="16">
        <v>5</v>
      </c>
      <c r="D118" s="17" t="s">
        <v>245</v>
      </c>
      <c r="E118" s="17" t="s">
        <v>246</v>
      </c>
      <c r="F118" s="17">
        <v>98.5</v>
      </c>
      <c r="G118" s="17">
        <v>4145</v>
      </c>
      <c r="H118" s="17">
        <v>79</v>
      </c>
      <c r="I118" s="17">
        <v>8244</v>
      </c>
      <c r="J118" s="17">
        <v>100.5</v>
      </c>
      <c r="K118" s="17">
        <v>2946</v>
      </c>
      <c r="L118" s="17">
        <v>50.5</v>
      </c>
      <c r="M118" s="17">
        <v>3830</v>
      </c>
      <c r="N118" s="17"/>
      <c r="O118" s="17"/>
      <c r="P118" s="17">
        <v>87</v>
      </c>
      <c r="Q118" s="17">
        <v>681</v>
      </c>
      <c r="R118" s="17"/>
      <c r="S118" s="17"/>
      <c r="T118" s="17"/>
      <c r="U118" s="17"/>
      <c r="V118" s="17">
        <v>87</v>
      </c>
      <c r="W118" s="17">
        <v>273</v>
      </c>
      <c r="X118" s="15">
        <v>278</v>
      </c>
      <c r="Y118" s="17">
        <v>469</v>
      </c>
      <c r="Z118" s="17">
        <v>502.5</v>
      </c>
      <c r="AA118" s="17">
        <v>3122</v>
      </c>
      <c r="AB118" s="12">
        <v>312</v>
      </c>
    </row>
    <row r="119" ht="14.25" spans="1:28">
      <c r="A119" s="13">
        <v>117</v>
      </c>
      <c r="B119" s="15">
        <v>3</v>
      </c>
      <c r="C119" s="16">
        <v>6</v>
      </c>
      <c r="D119" s="17" t="s">
        <v>247</v>
      </c>
      <c r="E119" s="17" t="s">
        <v>248</v>
      </c>
      <c r="F119" s="17">
        <v>99</v>
      </c>
      <c r="G119" s="17">
        <v>3868</v>
      </c>
      <c r="H119" s="17">
        <v>82.5</v>
      </c>
      <c r="I119" s="17">
        <v>7529</v>
      </c>
      <c r="J119" s="17">
        <v>100.75</v>
      </c>
      <c r="K119" s="17">
        <v>2915</v>
      </c>
      <c r="L119" s="17">
        <v>53</v>
      </c>
      <c r="M119" s="17">
        <v>3368</v>
      </c>
      <c r="N119" s="17"/>
      <c r="O119" s="17"/>
      <c r="P119" s="17">
        <v>80</v>
      </c>
      <c r="Q119" s="17">
        <v>2333</v>
      </c>
      <c r="R119" s="17"/>
      <c r="S119" s="17"/>
      <c r="T119" s="17"/>
      <c r="U119" s="17"/>
      <c r="V119" s="17">
        <v>85</v>
      </c>
      <c r="W119" s="17">
        <v>530</v>
      </c>
      <c r="X119" s="15">
        <v>282.25</v>
      </c>
      <c r="Y119" s="17">
        <v>430</v>
      </c>
      <c r="Z119" s="17">
        <v>500.25</v>
      </c>
      <c r="AA119" s="17">
        <v>3240</v>
      </c>
      <c r="AB119" s="12">
        <v>324</v>
      </c>
    </row>
    <row r="120" ht="14.25" spans="1:28">
      <c r="A120" s="13">
        <v>118</v>
      </c>
      <c r="B120" s="15">
        <v>3</v>
      </c>
      <c r="C120" s="16">
        <v>7</v>
      </c>
      <c r="D120" s="17" t="s">
        <v>249</v>
      </c>
      <c r="E120" s="17" t="s">
        <v>250</v>
      </c>
      <c r="F120" s="17">
        <v>101</v>
      </c>
      <c r="G120" s="17">
        <v>2896</v>
      </c>
      <c r="H120" s="17">
        <v>102</v>
      </c>
      <c r="I120" s="17">
        <v>3381</v>
      </c>
      <c r="J120" s="17">
        <v>128.25</v>
      </c>
      <c r="K120" s="17">
        <v>115</v>
      </c>
      <c r="L120" s="17">
        <v>44.5</v>
      </c>
      <c r="M120" s="17">
        <v>5122</v>
      </c>
      <c r="N120" s="17"/>
      <c r="O120" s="17"/>
      <c r="P120" s="17">
        <v>76</v>
      </c>
      <c r="Q120" s="17">
        <v>3515</v>
      </c>
      <c r="R120" s="17"/>
      <c r="S120" s="17"/>
      <c r="T120" s="17"/>
      <c r="U120" s="17"/>
      <c r="V120" s="17">
        <v>88</v>
      </c>
      <c r="W120" s="17">
        <v>165</v>
      </c>
      <c r="X120" s="15">
        <v>331.25</v>
      </c>
      <c r="Y120" s="17">
        <v>60</v>
      </c>
      <c r="Z120" s="17">
        <v>539.75</v>
      </c>
      <c r="AA120" s="17">
        <v>1628</v>
      </c>
      <c r="AB120" s="12">
        <v>132</v>
      </c>
    </row>
    <row r="121" ht="14.25" spans="1:28">
      <c r="A121" s="13">
        <v>119</v>
      </c>
      <c r="B121" s="15">
        <v>3</v>
      </c>
      <c r="C121" s="16">
        <v>8</v>
      </c>
      <c r="D121" s="17" t="s">
        <v>251</v>
      </c>
      <c r="E121" s="17" t="s">
        <v>252</v>
      </c>
      <c r="F121" s="17">
        <v>92.25</v>
      </c>
      <c r="G121" s="17">
        <v>7961</v>
      </c>
      <c r="H121" s="17">
        <v>104.5</v>
      </c>
      <c r="I121" s="17">
        <v>2895</v>
      </c>
      <c r="J121" s="17">
        <v>69.25</v>
      </c>
      <c r="K121" s="17">
        <v>10515</v>
      </c>
      <c r="L121" s="17">
        <v>48.5</v>
      </c>
      <c r="M121" s="17">
        <v>4255</v>
      </c>
      <c r="N121" s="17"/>
      <c r="O121" s="17"/>
      <c r="P121" s="17">
        <v>61</v>
      </c>
      <c r="Q121" s="17">
        <v>8358</v>
      </c>
      <c r="R121" s="17"/>
      <c r="S121" s="17"/>
      <c r="T121" s="17"/>
      <c r="U121" s="17"/>
      <c r="V121" s="17">
        <v>82</v>
      </c>
      <c r="W121" s="17">
        <v>723</v>
      </c>
      <c r="X121" s="15">
        <v>266</v>
      </c>
      <c r="Y121" s="17">
        <v>549</v>
      </c>
      <c r="Z121" s="17">
        <v>457.5</v>
      </c>
      <c r="AA121" s="17">
        <v>5634</v>
      </c>
      <c r="AB121" s="12">
        <v>518</v>
      </c>
    </row>
    <row r="122" ht="14.25" spans="1:28">
      <c r="A122" s="13">
        <v>120</v>
      </c>
      <c r="B122" s="15">
        <v>3</v>
      </c>
      <c r="C122" s="16">
        <v>9</v>
      </c>
      <c r="D122" s="17" t="s">
        <v>253</v>
      </c>
      <c r="E122" s="17" t="s">
        <v>254</v>
      </c>
      <c r="F122" s="17">
        <v>98</v>
      </c>
      <c r="G122" s="17">
        <v>4423</v>
      </c>
      <c r="H122" s="17">
        <v>95</v>
      </c>
      <c r="I122" s="17">
        <v>4735</v>
      </c>
      <c r="J122" s="17">
        <v>82</v>
      </c>
      <c r="K122" s="17">
        <v>7249</v>
      </c>
      <c r="L122" s="17">
        <v>51.5</v>
      </c>
      <c r="M122" s="17">
        <v>3642</v>
      </c>
      <c r="N122" s="17"/>
      <c r="O122" s="17"/>
      <c r="P122" s="17">
        <v>54</v>
      </c>
      <c r="Q122" s="17">
        <v>10153</v>
      </c>
      <c r="R122" s="17"/>
      <c r="S122" s="17"/>
      <c r="T122" s="17"/>
      <c r="U122" s="17"/>
      <c r="V122" s="17">
        <v>53</v>
      </c>
      <c r="W122" s="17">
        <v>4421</v>
      </c>
      <c r="X122" s="15">
        <v>275</v>
      </c>
      <c r="Y122" s="17">
        <v>497</v>
      </c>
      <c r="Z122" s="17">
        <v>433.5</v>
      </c>
      <c r="AA122" s="17">
        <v>7257</v>
      </c>
      <c r="AB122" s="12">
        <v>592</v>
      </c>
    </row>
    <row r="123" ht="14.25" spans="1:28">
      <c r="A123" s="13">
        <v>121</v>
      </c>
      <c r="B123" s="15">
        <v>3</v>
      </c>
      <c r="C123" s="16">
        <v>10</v>
      </c>
      <c r="D123" s="17" t="s">
        <v>255</v>
      </c>
      <c r="E123" s="17" t="s">
        <v>256</v>
      </c>
      <c r="F123" s="17">
        <v>107</v>
      </c>
      <c r="G123" s="17">
        <v>945</v>
      </c>
      <c r="H123" s="17">
        <v>109.5</v>
      </c>
      <c r="I123" s="17">
        <v>2023</v>
      </c>
      <c r="J123" s="17">
        <v>98.5</v>
      </c>
      <c r="K123" s="17">
        <v>3338</v>
      </c>
      <c r="L123" s="17">
        <v>47</v>
      </c>
      <c r="M123" s="17">
        <v>4568</v>
      </c>
      <c r="N123" s="17"/>
      <c r="O123" s="17"/>
      <c r="P123" s="17">
        <v>73</v>
      </c>
      <c r="Q123" s="17">
        <v>4501</v>
      </c>
      <c r="R123" s="17"/>
      <c r="S123" s="17"/>
      <c r="T123" s="17"/>
      <c r="U123" s="17"/>
      <c r="V123" s="17">
        <v>77</v>
      </c>
      <c r="W123" s="17">
        <v>1318</v>
      </c>
      <c r="X123" s="15">
        <v>315</v>
      </c>
      <c r="Y123" s="17">
        <v>149</v>
      </c>
      <c r="Z123" s="17">
        <v>512</v>
      </c>
      <c r="AA123" s="17">
        <v>2673</v>
      </c>
      <c r="AB123" s="12">
        <v>261</v>
      </c>
    </row>
    <row r="124" ht="14.25" spans="1:28">
      <c r="A124" s="13">
        <v>122</v>
      </c>
      <c r="B124" s="15">
        <v>3</v>
      </c>
      <c r="C124" s="16">
        <v>11</v>
      </c>
      <c r="D124" s="17" t="s">
        <v>257</v>
      </c>
      <c r="E124" s="17" t="s">
        <v>258</v>
      </c>
      <c r="F124" s="17">
        <v>91.25</v>
      </c>
      <c r="G124" s="17">
        <v>8581</v>
      </c>
      <c r="H124" s="17">
        <v>83.5</v>
      </c>
      <c r="I124" s="17">
        <v>7321</v>
      </c>
      <c r="J124" s="17">
        <v>77.75</v>
      </c>
      <c r="K124" s="17">
        <v>8398</v>
      </c>
      <c r="L124" s="17">
        <v>41.5</v>
      </c>
      <c r="M124" s="17">
        <v>5867</v>
      </c>
      <c r="N124" s="17"/>
      <c r="O124" s="17"/>
      <c r="P124" s="17">
        <v>83</v>
      </c>
      <c r="Q124" s="17">
        <v>1643</v>
      </c>
      <c r="R124" s="17"/>
      <c r="S124" s="17"/>
      <c r="T124" s="17"/>
      <c r="U124" s="17"/>
      <c r="V124" s="17">
        <v>59</v>
      </c>
      <c r="W124" s="17">
        <v>3835</v>
      </c>
      <c r="X124" s="15">
        <v>252.5</v>
      </c>
      <c r="Y124" s="17">
        <v>605</v>
      </c>
      <c r="Z124" s="17">
        <v>436</v>
      </c>
      <c r="AA124" s="17">
        <v>7096</v>
      </c>
      <c r="AB124" s="12">
        <v>582</v>
      </c>
    </row>
    <row r="125" ht="14.25" spans="1:28">
      <c r="A125" s="13">
        <v>123</v>
      </c>
      <c r="B125" s="15">
        <v>3</v>
      </c>
      <c r="C125" s="16">
        <v>12</v>
      </c>
      <c r="D125" s="17" t="s">
        <v>259</v>
      </c>
      <c r="E125" s="17" t="s">
        <v>260</v>
      </c>
      <c r="F125" s="17">
        <v>93.5</v>
      </c>
      <c r="G125" s="17">
        <v>7127</v>
      </c>
      <c r="H125" s="17">
        <v>90</v>
      </c>
      <c r="I125" s="17">
        <v>5850</v>
      </c>
      <c r="J125" s="17">
        <v>102</v>
      </c>
      <c r="K125" s="17">
        <v>2685</v>
      </c>
      <c r="L125" s="17">
        <v>38</v>
      </c>
      <c r="M125" s="17">
        <v>6823</v>
      </c>
      <c r="N125" s="17"/>
      <c r="O125" s="17"/>
      <c r="P125" s="17">
        <v>65</v>
      </c>
      <c r="Q125" s="17">
        <v>7113</v>
      </c>
      <c r="R125" s="17"/>
      <c r="S125" s="17"/>
      <c r="T125" s="17"/>
      <c r="U125" s="17"/>
      <c r="V125" s="17">
        <v>64</v>
      </c>
      <c r="W125" s="17">
        <v>3146</v>
      </c>
      <c r="X125" s="15">
        <v>285.5</v>
      </c>
      <c r="Y125" s="17">
        <v>397</v>
      </c>
      <c r="Z125" s="17">
        <v>452.5</v>
      </c>
      <c r="AA125" s="17">
        <v>5957</v>
      </c>
      <c r="AB125" s="12">
        <v>536</v>
      </c>
    </row>
    <row r="126" ht="14.25" spans="1:28">
      <c r="A126" s="13">
        <v>124</v>
      </c>
      <c r="B126" s="15">
        <v>3</v>
      </c>
      <c r="C126" s="16">
        <v>13</v>
      </c>
      <c r="D126" s="17" t="s">
        <v>261</v>
      </c>
      <c r="E126" s="17" t="s">
        <v>262</v>
      </c>
      <c r="F126" s="17">
        <v>92.75</v>
      </c>
      <c r="G126" s="17">
        <v>7661</v>
      </c>
      <c r="H126" s="17">
        <v>76</v>
      </c>
      <c r="I126" s="17">
        <v>8835</v>
      </c>
      <c r="J126" s="17">
        <v>113.25</v>
      </c>
      <c r="K126" s="17">
        <v>1094</v>
      </c>
      <c r="L126" s="17">
        <v>48</v>
      </c>
      <c r="M126" s="17">
        <v>4355</v>
      </c>
      <c r="N126" s="17"/>
      <c r="O126" s="17"/>
      <c r="P126" s="17">
        <v>74</v>
      </c>
      <c r="Q126" s="17">
        <v>4168</v>
      </c>
      <c r="R126" s="17"/>
      <c r="S126" s="17"/>
      <c r="T126" s="17"/>
      <c r="U126" s="17"/>
      <c r="V126" s="17">
        <v>56</v>
      </c>
      <c r="W126" s="17">
        <v>4212</v>
      </c>
      <c r="X126" s="15">
        <v>282</v>
      </c>
      <c r="Y126" s="17">
        <v>432</v>
      </c>
      <c r="Z126" s="17">
        <v>460</v>
      </c>
      <c r="AA126" s="17">
        <v>5473</v>
      </c>
      <c r="AB126" s="12">
        <v>508</v>
      </c>
    </row>
    <row r="127" ht="14.25" spans="1:28">
      <c r="A127" s="13">
        <v>125</v>
      </c>
      <c r="B127" s="15">
        <v>3</v>
      </c>
      <c r="C127" s="16">
        <v>14</v>
      </c>
      <c r="D127" s="17" t="s">
        <v>263</v>
      </c>
      <c r="E127" s="17" t="s">
        <v>264</v>
      </c>
      <c r="F127" s="17">
        <v>100</v>
      </c>
      <c r="G127" s="17">
        <v>3368</v>
      </c>
      <c r="H127" s="17">
        <v>97.5</v>
      </c>
      <c r="I127" s="17">
        <v>4244</v>
      </c>
      <c r="J127" s="17">
        <v>85.75</v>
      </c>
      <c r="K127" s="17">
        <v>6343</v>
      </c>
      <c r="L127" s="17">
        <v>47.5</v>
      </c>
      <c r="M127" s="17">
        <v>4470</v>
      </c>
      <c r="N127" s="17"/>
      <c r="O127" s="17"/>
      <c r="P127" s="17">
        <v>78</v>
      </c>
      <c r="Q127" s="17">
        <v>2908</v>
      </c>
      <c r="R127" s="17"/>
      <c r="S127" s="17"/>
      <c r="T127" s="17"/>
      <c r="U127" s="17"/>
      <c r="V127" s="17">
        <v>75</v>
      </c>
      <c r="W127" s="17">
        <v>1615</v>
      </c>
      <c r="X127" s="15">
        <v>283.25</v>
      </c>
      <c r="Y127" s="17">
        <v>416</v>
      </c>
      <c r="Z127" s="17">
        <v>483.75</v>
      </c>
      <c r="AA127" s="17">
        <v>4070</v>
      </c>
      <c r="AB127" s="12">
        <v>405</v>
      </c>
    </row>
    <row r="128" ht="14.25" spans="1:28">
      <c r="A128" s="13">
        <v>126</v>
      </c>
      <c r="B128" s="15">
        <v>3</v>
      </c>
      <c r="C128" s="16">
        <v>15</v>
      </c>
      <c r="D128" s="17" t="s">
        <v>265</v>
      </c>
      <c r="E128" s="17" t="s">
        <v>266</v>
      </c>
      <c r="F128" s="17">
        <v>91.5</v>
      </c>
      <c r="G128" s="17">
        <v>8306</v>
      </c>
      <c r="H128" s="17">
        <v>124</v>
      </c>
      <c r="I128" s="17">
        <v>418</v>
      </c>
      <c r="J128" s="17">
        <v>114.5</v>
      </c>
      <c r="K128" s="17">
        <v>951</v>
      </c>
      <c r="L128" s="17">
        <v>70.5</v>
      </c>
      <c r="M128" s="17">
        <v>821</v>
      </c>
      <c r="N128" s="17"/>
      <c r="O128" s="17"/>
      <c r="P128" s="17">
        <v>49</v>
      </c>
      <c r="Q128" s="17">
        <v>10942</v>
      </c>
      <c r="R128" s="17"/>
      <c r="S128" s="17"/>
      <c r="T128" s="17"/>
      <c r="U128" s="17"/>
      <c r="V128" s="17">
        <v>84</v>
      </c>
      <c r="W128" s="17">
        <v>588</v>
      </c>
      <c r="X128" s="15">
        <v>330</v>
      </c>
      <c r="Y128" s="17">
        <v>66</v>
      </c>
      <c r="Z128" s="17">
        <v>533.5</v>
      </c>
      <c r="AA128" s="17">
        <v>1821</v>
      </c>
      <c r="AB128" s="12">
        <v>154</v>
      </c>
    </row>
    <row r="129" ht="14.25" spans="1:28">
      <c r="A129" s="13">
        <v>127</v>
      </c>
      <c r="B129" s="15">
        <v>3</v>
      </c>
      <c r="C129" s="16">
        <v>16</v>
      </c>
      <c r="D129" s="17" t="s">
        <v>267</v>
      </c>
      <c r="E129" s="17" t="s">
        <v>268</v>
      </c>
      <c r="F129" s="17">
        <v>100.5</v>
      </c>
      <c r="G129" s="17">
        <v>3131</v>
      </c>
      <c r="H129" s="17">
        <v>96.5</v>
      </c>
      <c r="I129" s="17">
        <v>4438</v>
      </c>
      <c r="J129" s="17">
        <v>84.5</v>
      </c>
      <c r="K129" s="17">
        <v>6614</v>
      </c>
      <c r="L129" s="17">
        <v>43</v>
      </c>
      <c r="M129" s="17">
        <v>5463</v>
      </c>
      <c r="N129" s="17"/>
      <c r="O129" s="17"/>
      <c r="P129" s="17">
        <v>90</v>
      </c>
      <c r="Q129" s="17">
        <v>119</v>
      </c>
      <c r="R129" s="17"/>
      <c r="S129" s="17"/>
      <c r="T129" s="17"/>
      <c r="U129" s="17"/>
      <c r="V129" s="17">
        <v>90</v>
      </c>
      <c r="W129" s="17">
        <v>44</v>
      </c>
      <c r="X129" s="15">
        <v>281.5</v>
      </c>
      <c r="Y129" s="17">
        <v>438</v>
      </c>
      <c r="Z129" s="17">
        <v>504.5</v>
      </c>
      <c r="AA129" s="17">
        <v>3031</v>
      </c>
      <c r="AB129" s="12">
        <v>301</v>
      </c>
    </row>
    <row r="130" ht="14.25" spans="1:28">
      <c r="A130" s="13">
        <v>128</v>
      </c>
      <c r="B130" s="15">
        <v>3</v>
      </c>
      <c r="C130" s="16">
        <v>17</v>
      </c>
      <c r="D130" s="17" t="s">
        <v>269</v>
      </c>
      <c r="E130" s="17" t="s">
        <v>270</v>
      </c>
      <c r="F130" s="17">
        <v>103.5</v>
      </c>
      <c r="G130" s="17">
        <v>1897</v>
      </c>
      <c r="H130" s="17">
        <v>105</v>
      </c>
      <c r="I130" s="17">
        <v>2810</v>
      </c>
      <c r="J130" s="17">
        <v>112</v>
      </c>
      <c r="K130" s="17">
        <v>1229</v>
      </c>
      <c r="L130" s="17">
        <v>67</v>
      </c>
      <c r="M130" s="17">
        <v>1188</v>
      </c>
      <c r="N130" s="17"/>
      <c r="O130" s="17"/>
      <c r="P130" s="17">
        <v>78</v>
      </c>
      <c r="Q130" s="17">
        <v>2908</v>
      </c>
      <c r="R130" s="17"/>
      <c r="S130" s="17"/>
      <c r="T130" s="17"/>
      <c r="U130" s="17"/>
      <c r="V130" s="17">
        <v>90</v>
      </c>
      <c r="W130" s="17">
        <v>44</v>
      </c>
      <c r="X130" s="15">
        <v>320.5</v>
      </c>
      <c r="Y130" s="17">
        <v>112</v>
      </c>
      <c r="Z130" s="17">
        <v>555.5</v>
      </c>
      <c r="AA130" s="17">
        <v>1128</v>
      </c>
      <c r="AB130" s="12">
        <v>84</v>
      </c>
    </row>
    <row r="131" ht="14.25" spans="1:28">
      <c r="A131" s="13">
        <v>129</v>
      </c>
      <c r="B131" s="15">
        <v>3</v>
      </c>
      <c r="C131" s="16">
        <v>18</v>
      </c>
      <c r="D131" s="17" t="s">
        <v>271</v>
      </c>
      <c r="E131" s="17" t="s">
        <v>272</v>
      </c>
      <c r="F131" s="17">
        <v>98</v>
      </c>
      <c r="G131" s="17">
        <v>4423</v>
      </c>
      <c r="H131" s="17">
        <v>99</v>
      </c>
      <c r="I131" s="17">
        <v>3947</v>
      </c>
      <c r="J131" s="17">
        <v>84</v>
      </c>
      <c r="K131" s="17">
        <v>6761</v>
      </c>
      <c r="L131" s="17">
        <v>60.5</v>
      </c>
      <c r="M131" s="17">
        <v>2106</v>
      </c>
      <c r="N131" s="17"/>
      <c r="O131" s="17"/>
      <c r="P131" s="17">
        <v>76</v>
      </c>
      <c r="Q131" s="17">
        <v>3515</v>
      </c>
      <c r="R131" s="17"/>
      <c r="S131" s="17"/>
      <c r="T131" s="17"/>
      <c r="U131" s="17"/>
      <c r="V131" s="17">
        <v>87</v>
      </c>
      <c r="W131" s="17">
        <v>273</v>
      </c>
      <c r="X131" s="15">
        <v>281</v>
      </c>
      <c r="Y131" s="17">
        <v>439</v>
      </c>
      <c r="Z131" s="17">
        <v>504.5</v>
      </c>
      <c r="AA131" s="17">
        <v>3031</v>
      </c>
      <c r="AB131" s="12">
        <v>301</v>
      </c>
    </row>
    <row r="132" ht="14.25" spans="1:28">
      <c r="A132" s="13">
        <v>130</v>
      </c>
      <c r="B132" s="15">
        <v>3</v>
      </c>
      <c r="C132" s="16">
        <v>19</v>
      </c>
      <c r="D132" s="17" t="s">
        <v>273</v>
      </c>
      <c r="E132" s="17" t="s">
        <v>274</v>
      </c>
      <c r="F132" s="17">
        <v>87.5</v>
      </c>
      <c r="G132" s="17">
        <v>10920</v>
      </c>
      <c r="H132" s="17">
        <v>123.5</v>
      </c>
      <c r="I132" s="17">
        <v>452</v>
      </c>
      <c r="J132" s="17">
        <v>84.25</v>
      </c>
      <c r="K132" s="17">
        <v>6713</v>
      </c>
      <c r="L132" s="17">
        <v>48.5</v>
      </c>
      <c r="M132" s="17">
        <v>4255</v>
      </c>
      <c r="N132" s="17"/>
      <c r="O132" s="17"/>
      <c r="P132" s="17">
        <v>65</v>
      </c>
      <c r="Q132" s="17">
        <v>7113</v>
      </c>
      <c r="R132" s="17"/>
      <c r="S132" s="17"/>
      <c r="T132" s="17"/>
      <c r="U132" s="17"/>
      <c r="V132" s="17">
        <v>76</v>
      </c>
      <c r="W132" s="17">
        <v>1407</v>
      </c>
      <c r="X132" s="15">
        <v>295.25</v>
      </c>
      <c r="Y132" s="17">
        <v>313</v>
      </c>
      <c r="Z132" s="17">
        <v>484.75</v>
      </c>
      <c r="AA132" s="17">
        <v>4013</v>
      </c>
      <c r="AB132" s="12">
        <v>400</v>
      </c>
    </row>
    <row r="133" ht="14.25" spans="1:28">
      <c r="A133" s="13">
        <v>131</v>
      </c>
      <c r="B133" s="15">
        <v>3</v>
      </c>
      <c r="C133" s="16">
        <v>20</v>
      </c>
      <c r="D133" s="17" t="s">
        <v>275</v>
      </c>
      <c r="E133" s="17" t="s">
        <v>276</v>
      </c>
      <c r="F133" s="17">
        <v>78.75</v>
      </c>
      <c r="G133" s="17">
        <v>15139</v>
      </c>
      <c r="H133" s="17">
        <v>95.5</v>
      </c>
      <c r="I133" s="17">
        <v>4650</v>
      </c>
      <c r="J133" s="17">
        <v>73.5</v>
      </c>
      <c r="K133" s="17">
        <v>9484</v>
      </c>
      <c r="L133" s="17">
        <v>41</v>
      </c>
      <c r="M133" s="17">
        <v>5993</v>
      </c>
      <c r="N133" s="17"/>
      <c r="O133" s="17"/>
      <c r="P133" s="17">
        <v>63</v>
      </c>
      <c r="Q133" s="17">
        <v>7666</v>
      </c>
      <c r="R133" s="17"/>
      <c r="S133" s="17"/>
      <c r="T133" s="17"/>
      <c r="U133" s="17"/>
      <c r="V133" s="17">
        <v>87</v>
      </c>
      <c r="W133" s="17">
        <v>273</v>
      </c>
      <c r="X133" s="15">
        <v>247.75</v>
      </c>
      <c r="Y133" s="17">
        <v>615</v>
      </c>
      <c r="Z133" s="17">
        <v>438.75</v>
      </c>
      <c r="AA133" s="17">
        <v>6904</v>
      </c>
      <c r="AB133" s="12">
        <v>575</v>
      </c>
    </row>
    <row r="134" ht="14.25" spans="1:28">
      <c r="A134" s="13">
        <v>132</v>
      </c>
      <c r="B134" s="15">
        <v>3</v>
      </c>
      <c r="C134" s="16">
        <v>21</v>
      </c>
      <c r="D134" s="17" t="s">
        <v>277</v>
      </c>
      <c r="E134" s="17" t="s">
        <v>278</v>
      </c>
      <c r="F134" s="17">
        <v>94.5</v>
      </c>
      <c r="G134" s="17">
        <v>6496</v>
      </c>
      <c r="H134" s="17">
        <v>103.5</v>
      </c>
      <c r="I134" s="17">
        <v>3096</v>
      </c>
      <c r="J134" s="17">
        <v>104</v>
      </c>
      <c r="K134" s="17">
        <v>2352</v>
      </c>
      <c r="L134" s="17">
        <v>47.5</v>
      </c>
      <c r="M134" s="17">
        <v>4470</v>
      </c>
      <c r="N134" s="17"/>
      <c r="O134" s="17"/>
      <c r="P134" s="17">
        <v>77</v>
      </c>
      <c r="Q134" s="17">
        <v>3207</v>
      </c>
      <c r="R134" s="17"/>
      <c r="S134" s="17"/>
      <c r="T134" s="17"/>
      <c r="U134" s="17"/>
      <c r="V134" s="17">
        <v>72</v>
      </c>
      <c r="W134" s="17">
        <v>2049</v>
      </c>
      <c r="X134" s="15">
        <v>302</v>
      </c>
      <c r="Y134" s="17">
        <v>261</v>
      </c>
      <c r="Z134" s="17">
        <v>498.5</v>
      </c>
      <c r="AA134" s="17">
        <v>3314</v>
      </c>
      <c r="AB134" s="12">
        <v>337</v>
      </c>
    </row>
    <row r="135" ht="14.25" spans="1:28">
      <c r="A135" s="13">
        <v>133</v>
      </c>
      <c r="B135" s="15">
        <v>3</v>
      </c>
      <c r="C135" s="16">
        <v>22</v>
      </c>
      <c r="D135" s="17" t="s">
        <v>279</v>
      </c>
      <c r="E135" s="17" t="s">
        <v>280</v>
      </c>
      <c r="F135" s="17">
        <v>94</v>
      </c>
      <c r="G135" s="17">
        <v>6811</v>
      </c>
      <c r="H135" s="17">
        <v>80</v>
      </c>
      <c r="I135" s="17">
        <v>8038</v>
      </c>
      <c r="J135" s="17">
        <v>96.5</v>
      </c>
      <c r="K135" s="17">
        <v>3746</v>
      </c>
      <c r="L135" s="17">
        <v>35</v>
      </c>
      <c r="M135" s="17">
        <v>7732</v>
      </c>
      <c r="N135" s="17"/>
      <c r="O135" s="17"/>
      <c r="P135" s="17">
        <v>65</v>
      </c>
      <c r="Q135" s="17">
        <v>7113</v>
      </c>
      <c r="R135" s="17"/>
      <c r="S135" s="17"/>
      <c r="T135" s="17"/>
      <c r="U135" s="17"/>
      <c r="V135" s="17">
        <v>82</v>
      </c>
      <c r="W135" s="17">
        <v>723</v>
      </c>
      <c r="X135" s="15">
        <v>270.5</v>
      </c>
      <c r="Y135" s="17">
        <v>526</v>
      </c>
      <c r="Z135" s="17">
        <v>452.5</v>
      </c>
      <c r="AA135" s="17">
        <v>5957</v>
      </c>
      <c r="AB135" s="12">
        <v>536</v>
      </c>
    </row>
    <row r="136" ht="14.25" spans="1:28">
      <c r="A136" s="13">
        <v>134</v>
      </c>
      <c r="B136" s="15">
        <v>3</v>
      </c>
      <c r="C136" s="16">
        <v>23</v>
      </c>
      <c r="D136" s="17" t="s">
        <v>281</v>
      </c>
      <c r="E136" s="17" t="s">
        <v>282</v>
      </c>
      <c r="F136" s="17">
        <v>93.25</v>
      </c>
      <c r="G136" s="17">
        <v>7382</v>
      </c>
      <c r="H136" s="17">
        <v>112.5</v>
      </c>
      <c r="I136" s="17">
        <v>1543</v>
      </c>
      <c r="J136" s="17">
        <v>105</v>
      </c>
      <c r="K136" s="17">
        <v>2184</v>
      </c>
      <c r="L136" s="17">
        <v>67</v>
      </c>
      <c r="M136" s="17">
        <v>1188</v>
      </c>
      <c r="N136" s="17"/>
      <c r="O136" s="17"/>
      <c r="P136" s="17">
        <v>61</v>
      </c>
      <c r="Q136" s="17">
        <v>8358</v>
      </c>
      <c r="R136" s="17"/>
      <c r="S136" s="17"/>
      <c r="T136" s="17"/>
      <c r="U136" s="17"/>
      <c r="V136" s="17">
        <v>79</v>
      </c>
      <c r="W136" s="17">
        <v>1023</v>
      </c>
      <c r="X136" s="15">
        <v>310.75</v>
      </c>
      <c r="Y136" s="17">
        <v>183</v>
      </c>
      <c r="Z136" s="17">
        <v>517.75</v>
      </c>
      <c r="AA136" s="17">
        <v>2428</v>
      </c>
      <c r="AB136" s="12">
        <v>229</v>
      </c>
    </row>
    <row r="137" ht="14.25" spans="1:28">
      <c r="A137" s="13">
        <v>135</v>
      </c>
      <c r="B137" s="15">
        <v>3</v>
      </c>
      <c r="C137" s="16">
        <v>24</v>
      </c>
      <c r="D137" s="17" t="s">
        <v>283</v>
      </c>
      <c r="E137" s="17" t="s">
        <v>284</v>
      </c>
      <c r="F137" s="17">
        <v>95</v>
      </c>
      <c r="G137" s="17">
        <v>6168</v>
      </c>
      <c r="H137" s="17">
        <v>119.5</v>
      </c>
      <c r="I137" s="17">
        <v>753</v>
      </c>
      <c r="J137" s="17">
        <v>105.5</v>
      </c>
      <c r="K137" s="17">
        <v>2098</v>
      </c>
      <c r="L137" s="17">
        <v>58.5</v>
      </c>
      <c r="M137" s="17">
        <v>2451</v>
      </c>
      <c r="N137" s="17"/>
      <c r="O137" s="17"/>
      <c r="P137" s="17">
        <v>77</v>
      </c>
      <c r="Q137" s="17">
        <v>3207</v>
      </c>
      <c r="R137" s="17"/>
      <c r="S137" s="17"/>
      <c r="T137" s="17"/>
      <c r="U137" s="17"/>
      <c r="V137" s="17">
        <v>83</v>
      </c>
      <c r="W137" s="17">
        <v>648</v>
      </c>
      <c r="X137" s="15">
        <v>320</v>
      </c>
      <c r="Y137" s="17">
        <v>118</v>
      </c>
      <c r="Z137" s="17">
        <v>538.5</v>
      </c>
      <c r="AA137" s="17">
        <v>1673</v>
      </c>
      <c r="AB137" s="12">
        <v>136</v>
      </c>
    </row>
    <row r="138" ht="14.25" spans="1:28">
      <c r="A138" s="13">
        <v>136</v>
      </c>
      <c r="B138" s="15">
        <v>3</v>
      </c>
      <c r="C138" s="16">
        <v>25</v>
      </c>
      <c r="D138" s="17" t="s">
        <v>285</v>
      </c>
      <c r="E138" s="17" t="s">
        <v>286</v>
      </c>
      <c r="F138" s="17">
        <v>97.5</v>
      </c>
      <c r="G138" s="17">
        <v>4695</v>
      </c>
      <c r="H138" s="17">
        <v>92.5</v>
      </c>
      <c r="I138" s="17">
        <v>5299</v>
      </c>
      <c r="J138" s="17">
        <v>95</v>
      </c>
      <c r="K138" s="17">
        <v>4092</v>
      </c>
      <c r="L138" s="17">
        <v>35.5</v>
      </c>
      <c r="M138" s="17">
        <v>7589</v>
      </c>
      <c r="N138" s="17"/>
      <c r="O138" s="17"/>
      <c r="P138" s="17">
        <v>64</v>
      </c>
      <c r="Q138" s="17">
        <v>7304</v>
      </c>
      <c r="R138" s="17"/>
      <c r="S138" s="17"/>
      <c r="T138" s="17"/>
      <c r="U138" s="17"/>
      <c r="V138" s="17">
        <v>85</v>
      </c>
      <c r="W138" s="17">
        <v>530</v>
      </c>
      <c r="X138" s="15">
        <v>285</v>
      </c>
      <c r="Y138" s="17">
        <v>401</v>
      </c>
      <c r="Z138" s="17">
        <v>469.5</v>
      </c>
      <c r="AA138" s="17">
        <v>4866</v>
      </c>
      <c r="AB138" s="12">
        <v>461</v>
      </c>
    </row>
    <row r="139" ht="14.25" spans="1:28">
      <c r="A139" s="13">
        <v>137</v>
      </c>
      <c r="B139" s="15">
        <v>3</v>
      </c>
      <c r="C139" s="16">
        <v>26</v>
      </c>
      <c r="D139" s="17" t="s">
        <v>287</v>
      </c>
      <c r="E139" s="17" t="s">
        <v>288</v>
      </c>
      <c r="F139" s="17">
        <v>94</v>
      </c>
      <c r="G139" s="17">
        <v>6811</v>
      </c>
      <c r="H139" s="17">
        <v>140</v>
      </c>
      <c r="I139" s="17">
        <v>9</v>
      </c>
      <c r="J139" s="17">
        <v>109</v>
      </c>
      <c r="K139" s="17">
        <v>1584</v>
      </c>
      <c r="L139" s="17">
        <v>74</v>
      </c>
      <c r="M139" s="17">
        <v>514</v>
      </c>
      <c r="N139" s="17"/>
      <c r="O139" s="17"/>
      <c r="P139" s="17">
        <v>86</v>
      </c>
      <c r="Q139" s="17">
        <v>1052</v>
      </c>
      <c r="R139" s="17"/>
      <c r="S139" s="17"/>
      <c r="T139" s="17"/>
      <c r="U139" s="17"/>
      <c r="V139" s="17">
        <v>76</v>
      </c>
      <c r="W139" s="17">
        <v>1407</v>
      </c>
      <c r="X139" s="15">
        <v>343</v>
      </c>
      <c r="Y139" s="17">
        <v>22</v>
      </c>
      <c r="Z139" s="17">
        <v>579</v>
      </c>
      <c r="AA139" s="17">
        <v>536</v>
      </c>
      <c r="AB139" s="12">
        <v>29</v>
      </c>
    </row>
    <row r="140" ht="14.25" spans="1:28">
      <c r="A140" s="13">
        <v>138</v>
      </c>
      <c r="B140" s="15">
        <v>3</v>
      </c>
      <c r="C140" s="16">
        <v>27</v>
      </c>
      <c r="D140" s="17" t="s">
        <v>289</v>
      </c>
      <c r="E140" s="17" t="s">
        <v>290</v>
      </c>
      <c r="F140" s="17">
        <v>96.75</v>
      </c>
      <c r="G140" s="17">
        <v>5236</v>
      </c>
      <c r="H140" s="17">
        <v>114.5</v>
      </c>
      <c r="I140" s="17">
        <v>1277</v>
      </c>
      <c r="J140" s="17">
        <v>97</v>
      </c>
      <c r="K140" s="17">
        <v>3649</v>
      </c>
      <c r="L140" s="17">
        <v>59</v>
      </c>
      <c r="M140" s="17">
        <v>2358</v>
      </c>
      <c r="N140" s="17"/>
      <c r="O140" s="17"/>
      <c r="P140" s="17">
        <v>63</v>
      </c>
      <c r="Q140" s="17">
        <v>7666</v>
      </c>
      <c r="R140" s="17"/>
      <c r="S140" s="17"/>
      <c r="T140" s="17"/>
      <c r="U140" s="17"/>
      <c r="V140" s="17">
        <v>76</v>
      </c>
      <c r="W140" s="17">
        <v>1407</v>
      </c>
      <c r="X140" s="15">
        <v>308.25</v>
      </c>
      <c r="Y140" s="17">
        <v>212</v>
      </c>
      <c r="Z140" s="17">
        <v>506.25</v>
      </c>
      <c r="AA140" s="17">
        <v>2951</v>
      </c>
      <c r="AB140" s="12">
        <v>290</v>
      </c>
    </row>
    <row r="141" ht="14.25" spans="1:28">
      <c r="A141" s="13">
        <v>139</v>
      </c>
      <c r="B141" s="15">
        <v>3</v>
      </c>
      <c r="C141" s="16">
        <v>28</v>
      </c>
      <c r="D141" s="17" t="s">
        <v>291</v>
      </c>
      <c r="E141" s="17" t="s">
        <v>292</v>
      </c>
      <c r="F141" s="17">
        <v>95.5</v>
      </c>
      <c r="G141" s="17">
        <v>5877</v>
      </c>
      <c r="H141" s="17">
        <v>107.5</v>
      </c>
      <c r="I141" s="17">
        <v>2373</v>
      </c>
      <c r="J141" s="17">
        <v>101.5</v>
      </c>
      <c r="K141" s="17">
        <v>2779</v>
      </c>
      <c r="L141" s="17">
        <v>66</v>
      </c>
      <c r="M141" s="17">
        <v>1304</v>
      </c>
      <c r="N141" s="17"/>
      <c r="O141" s="17"/>
      <c r="P141" s="17">
        <v>81</v>
      </c>
      <c r="Q141" s="17">
        <v>2079</v>
      </c>
      <c r="R141" s="17"/>
      <c r="S141" s="17"/>
      <c r="T141" s="17"/>
      <c r="U141" s="17"/>
      <c r="V141" s="17">
        <v>77</v>
      </c>
      <c r="W141" s="17">
        <v>1318</v>
      </c>
      <c r="X141" s="15">
        <v>304.5</v>
      </c>
      <c r="Y141" s="17">
        <v>239</v>
      </c>
      <c r="Z141" s="17">
        <v>528.5</v>
      </c>
      <c r="AA141" s="17">
        <v>2006</v>
      </c>
      <c r="AB141" s="12">
        <v>170</v>
      </c>
    </row>
    <row r="142" ht="14.25" spans="1:28">
      <c r="A142" s="13">
        <v>140</v>
      </c>
      <c r="B142" s="15">
        <v>3</v>
      </c>
      <c r="C142" s="16">
        <v>29</v>
      </c>
      <c r="D142" s="17" t="s">
        <v>293</v>
      </c>
      <c r="E142" s="17" t="s">
        <v>294</v>
      </c>
      <c r="F142" s="17">
        <v>100</v>
      </c>
      <c r="G142" s="17">
        <v>3368</v>
      </c>
      <c r="H142" s="17">
        <v>117</v>
      </c>
      <c r="I142" s="17">
        <v>975</v>
      </c>
      <c r="J142" s="17">
        <v>70.75</v>
      </c>
      <c r="K142" s="17">
        <v>10151</v>
      </c>
      <c r="L142" s="17">
        <v>64</v>
      </c>
      <c r="M142" s="17">
        <v>1577</v>
      </c>
      <c r="N142" s="17"/>
      <c r="O142" s="17"/>
      <c r="P142" s="17">
        <v>85</v>
      </c>
      <c r="Q142" s="17">
        <v>1345</v>
      </c>
      <c r="R142" s="17"/>
      <c r="S142" s="17"/>
      <c r="T142" s="17"/>
      <c r="U142" s="17"/>
      <c r="V142" s="17">
        <v>88</v>
      </c>
      <c r="W142" s="17">
        <v>165</v>
      </c>
      <c r="X142" s="15">
        <v>287.75</v>
      </c>
      <c r="Y142" s="17">
        <v>380</v>
      </c>
      <c r="Z142" s="17">
        <v>524.75</v>
      </c>
      <c r="AA142" s="17">
        <v>2160</v>
      </c>
      <c r="AB142" s="12">
        <v>190</v>
      </c>
    </row>
    <row r="143" ht="14.25" spans="1:28">
      <c r="A143" s="13">
        <v>141</v>
      </c>
      <c r="B143" s="15">
        <v>3</v>
      </c>
      <c r="C143" s="16">
        <v>30</v>
      </c>
      <c r="D143" s="17" t="s">
        <v>295</v>
      </c>
      <c r="E143" s="17" t="s">
        <v>296</v>
      </c>
      <c r="F143" s="17">
        <v>98.5</v>
      </c>
      <c r="G143" s="17">
        <v>4145</v>
      </c>
      <c r="H143" s="17">
        <v>82.5</v>
      </c>
      <c r="I143" s="17">
        <v>7529</v>
      </c>
      <c r="J143" s="17">
        <v>114</v>
      </c>
      <c r="K143" s="17">
        <v>991</v>
      </c>
      <c r="L143" s="17">
        <v>37.5</v>
      </c>
      <c r="M143" s="17">
        <v>6979</v>
      </c>
      <c r="N143" s="17"/>
      <c r="O143" s="17"/>
      <c r="P143" s="17">
        <v>73</v>
      </c>
      <c r="Q143" s="17">
        <v>4501</v>
      </c>
      <c r="R143" s="17"/>
      <c r="S143" s="17"/>
      <c r="T143" s="17"/>
      <c r="U143" s="17"/>
      <c r="V143" s="17">
        <v>87</v>
      </c>
      <c r="W143" s="17">
        <v>273</v>
      </c>
      <c r="X143" s="15">
        <v>295</v>
      </c>
      <c r="Y143" s="17">
        <v>314</v>
      </c>
      <c r="Z143" s="17">
        <v>492.5</v>
      </c>
      <c r="AA143" s="17">
        <v>3626</v>
      </c>
      <c r="AB143" s="12">
        <v>362</v>
      </c>
    </row>
    <row r="144" ht="14.25" spans="1:28">
      <c r="A144" s="13">
        <v>142</v>
      </c>
      <c r="B144" s="15">
        <v>3</v>
      </c>
      <c r="C144" s="16">
        <v>31</v>
      </c>
      <c r="D144" s="17" t="s">
        <v>297</v>
      </c>
      <c r="E144" s="17" t="s">
        <v>298</v>
      </c>
      <c r="F144" s="17">
        <v>102.5</v>
      </c>
      <c r="G144" s="17">
        <v>2274</v>
      </c>
      <c r="H144" s="17">
        <v>118.5</v>
      </c>
      <c r="I144" s="17">
        <v>833</v>
      </c>
      <c r="J144" s="17">
        <v>113</v>
      </c>
      <c r="K144" s="17">
        <v>1110</v>
      </c>
      <c r="L144" s="17">
        <v>82.5</v>
      </c>
      <c r="M144" s="17">
        <v>75</v>
      </c>
      <c r="N144" s="17"/>
      <c r="O144" s="17"/>
      <c r="P144" s="17">
        <v>84</v>
      </c>
      <c r="Q144" s="17">
        <v>1443</v>
      </c>
      <c r="R144" s="17"/>
      <c r="S144" s="17"/>
      <c r="T144" s="17"/>
      <c r="U144" s="17"/>
      <c r="V144" s="17">
        <v>69</v>
      </c>
      <c r="W144" s="17">
        <v>2394</v>
      </c>
      <c r="X144" s="15">
        <v>334</v>
      </c>
      <c r="Y144" s="17">
        <v>53</v>
      </c>
      <c r="Z144" s="17">
        <v>569.5</v>
      </c>
      <c r="AA144" s="17">
        <v>760</v>
      </c>
      <c r="AB144" s="12">
        <v>48</v>
      </c>
    </row>
    <row r="145" ht="14.25" spans="1:28">
      <c r="A145" s="13">
        <v>143</v>
      </c>
      <c r="B145" s="15">
        <v>3</v>
      </c>
      <c r="C145" s="16">
        <v>32</v>
      </c>
      <c r="D145" s="17" t="s">
        <v>299</v>
      </c>
      <c r="E145" s="17" t="s">
        <v>300</v>
      </c>
      <c r="F145" s="17">
        <v>100.5</v>
      </c>
      <c r="G145" s="17">
        <v>3131</v>
      </c>
      <c r="H145" s="17">
        <v>86.5</v>
      </c>
      <c r="I145" s="17">
        <v>6657</v>
      </c>
      <c r="J145" s="17">
        <v>84</v>
      </c>
      <c r="K145" s="17">
        <v>6761</v>
      </c>
      <c r="L145" s="17">
        <v>65.5</v>
      </c>
      <c r="M145" s="17">
        <v>1373</v>
      </c>
      <c r="N145" s="17"/>
      <c r="O145" s="17"/>
      <c r="P145" s="17">
        <v>73</v>
      </c>
      <c r="Q145" s="17">
        <v>4501</v>
      </c>
      <c r="R145" s="17"/>
      <c r="S145" s="17"/>
      <c r="T145" s="17"/>
      <c r="U145" s="17"/>
      <c r="V145" s="17">
        <v>76</v>
      </c>
      <c r="W145" s="17">
        <v>1407</v>
      </c>
      <c r="X145" s="15">
        <v>271</v>
      </c>
      <c r="Y145" s="17">
        <v>522</v>
      </c>
      <c r="Z145" s="17">
        <v>485.5</v>
      </c>
      <c r="AA145" s="17">
        <v>3956</v>
      </c>
      <c r="AB145" s="12">
        <v>395</v>
      </c>
    </row>
    <row r="146" ht="14.25" spans="1:28">
      <c r="A146" s="13">
        <v>144</v>
      </c>
      <c r="B146" s="15">
        <v>3</v>
      </c>
      <c r="C146" s="16">
        <v>33</v>
      </c>
      <c r="D146" s="17" t="s">
        <v>301</v>
      </c>
      <c r="E146" s="17" t="s">
        <v>302</v>
      </c>
      <c r="F146" s="17">
        <v>110</v>
      </c>
      <c r="G146" s="17">
        <v>430</v>
      </c>
      <c r="H146" s="17">
        <v>104.5</v>
      </c>
      <c r="I146" s="17">
        <v>2895</v>
      </c>
      <c r="J146" s="17">
        <v>103</v>
      </c>
      <c r="K146" s="17">
        <v>2527</v>
      </c>
      <c r="L146" s="17">
        <v>63.5</v>
      </c>
      <c r="M146" s="17">
        <v>1636</v>
      </c>
      <c r="N146" s="17"/>
      <c r="O146" s="17"/>
      <c r="P146" s="17">
        <v>77</v>
      </c>
      <c r="Q146" s="17">
        <v>3207</v>
      </c>
      <c r="R146" s="17"/>
      <c r="S146" s="17"/>
      <c r="T146" s="17"/>
      <c r="U146" s="17"/>
      <c r="V146" s="17">
        <v>88</v>
      </c>
      <c r="W146" s="17">
        <v>165</v>
      </c>
      <c r="X146" s="15">
        <v>317.5</v>
      </c>
      <c r="Y146" s="17">
        <v>135</v>
      </c>
      <c r="Z146" s="17">
        <v>546</v>
      </c>
      <c r="AA146" s="17">
        <v>1419</v>
      </c>
      <c r="AB146" s="12">
        <v>108</v>
      </c>
    </row>
    <row r="147" ht="14.25" spans="1:28">
      <c r="A147" s="13">
        <v>145</v>
      </c>
      <c r="B147" s="15">
        <v>3</v>
      </c>
      <c r="C147" s="16">
        <v>34</v>
      </c>
      <c r="D147" s="17" t="s">
        <v>303</v>
      </c>
      <c r="E147" s="17" t="s">
        <v>304</v>
      </c>
      <c r="F147" s="17">
        <v>96</v>
      </c>
      <c r="G147" s="17">
        <v>5544</v>
      </c>
      <c r="H147" s="17">
        <v>82</v>
      </c>
      <c r="I147" s="17">
        <v>7634</v>
      </c>
      <c r="J147" s="17">
        <v>97.25</v>
      </c>
      <c r="K147" s="17">
        <v>3624</v>
      </c>
      <c r="L147" s="17">
        <v>39</v>
      </c>
      <c r="M147" s="17">
        <v>6535</v>
      </c>
      <c r="N147" s="17"/>
      <c r="O147" s="17"/>
      <c r="P147" s="17">
        <v>66</v>
      </c>
      <c r="Q147" s="17">
        <v>6766</v>
      </c>
      <c r="R147" s="17"/>
      <c r="S147" s="17"/>
      <c r="T147" s="17"/>
      <c r="U147" s="17"/>
      <c r="V147" s="17">
        <v>77</v>
      </c>
      <c r="W147" s="17">
        <v>1318</v>
      </c>
      <c r="X147" s="15">
        <v>275.25</v>
      </c>
      <c r="Y147" s="17">
        <v>495</v>
      </c>
      <c r="Z147" s="17">
        <v>457.25</v>
      </c>
      <c r="AA147" s="17">
        <v>5659</v>
      </c>
      <c r="AB147" s="12">
        <v>520</v>
      </c>
    </row>
    <row r="148" ht="14.25" spans="1:28">
      <c r="A148" s="13">
        <v>146</v>
      </c>
      <c r="B148" s="15">
        <v>3</v>
      </c>
      <c r="C148" s="16">
        <v>35</v>
      </c>
      <c r="D148" s="17" t="s">
        <v>305</v>
      </c>
      <c r="E148" s="17" t="s">
        <v>306</v>
      </c>
      <c r="F148" s="17">
        <v>84.25</v>
      </c>
      <c r="G148" s="17">
        <v>12885</v>
      </c>
      <c r="H148" s="17">
        <v>101</v>
      </c>
      <c r="I148" s="17">
        <v>3563</v>
      </c>
      <c r="J148" s="17">
        <v>93</v>
      </c>
      <c r="K148" s="17">
        <v>4548</v>
      </c>
      <c r="L148" s="17">
        <v>43.5</v>
      </c>
      <c r="M148" s="17">
        <v>5353</v>
      </c>
      <c r="N148" s="17"/>
      <c r="O148" s="17"/>
      <c r="P148" s="17">
        <v>69</v>
      </c>
      <c r="Q148" s="17">
        <v>5655</v>
      </c>
      <c r="R148" s="17"/>
      <c r="S148" s="17"/>
      <c r="T148" s="17"/>
      <c r="U148" s="17"/>
      <c r="V148" s="17">
        <v>68</v>
      </c>
      <c r="W148" s="17">
        <v>2512</v>
      </c>
      <c r="X148" s="15">
        <v>278.25</v>
      </c>
      <c r="Y148" s="17">
        <v>465</v>
      </c>
      <c r="Z148" s="17">
        <v>458.75</v>
      </c>
      <c r="AA148" s="17">
        <v>5554</v>
      </c>
      <c r="AB148" s="12">
        <v>513</v>
      </c>
    </row>
    <row r="149" ht="14.25" spans="1:28">
      <c r="A149" s="13">
        <v>147</v>
      </c>
      <c r="B149" s="15">
        <v>3</v>
      </c>
      <c r="C149" s="16">
        <v>36</v>
      </c>
      <c r="D149" s="17" t="s">
        <v>307</v>
      </c>
      <c r="E149" s="17" t="s">
        <v>308</v>
      </c>
      <c r="F149" s="17">
        <v>100</v>
      </c>
      <c r="G149" s="17">
        <v>3368</v>
      </c>
      <c r="H149" s="17">
        <v>107</v>
      </c>
      <c r="I149" s="17">
        <v>2461</v>
      </c>
      <c r="J149" s="17">
        <v>75.5</v>
      </c>
      <c r="K149" s="17">
        <v>8958</v>
      </c>
      <c r="L149" s="17">
        <v>42.5</v>
      </c>
      <c r="M149" s="17">
        <v>5605</v>
      </c>
      <c r="N149" s="17"/>
      <c r="O149" s="17"/>
      <c r="P149" s="17">
        <v>75</v>
      </c>
      <c r="Q149" s="17">
        <v>3841</v>
      </c>
      <c r="R149" s="17"/>
      <c r="S149" s="17"/>
      <c r="T149" s="17"/>
      <c r="U149" s="17"/>
      <c r="V149" s="17">
        <v>87</v>
      </c>
      <c r="W149" s="17">
        <v>273</v>
      </c>
      <c r="X149" s="15">
        <v>282.5</v>
      </c>
      <c r="Y149" s="17">
        <v>425</v>
      </c>
      <c r="Z149" s="17">
        <v>487</v>
      </c>
      <c r="AA149" s="17">
        <v>3895</v>
      </c>
      <c r="AB149" s="12">
        <v>390</v>
      </c>
    </row>
    <row r="150" ht="14.25" spans="1:28">
      <c r="A150" s="13">
        <v>148</v>
      </c>
      <c r="B150" s="15">
        <v>3</v>
      </c>
      <c r="C150" s="16">
        <v>37</v>
      </c>
      <c r="D150" s="17" t="s">
        <v>309</v>
      </c>
      <c r="E150" s="17" t="s">
        <v>310</v>
      </c>
      <c r="F150" s="17">
        <v>85.75</v>
      </c>
      <c r="G150" s="17">
        <v>12052</v>
      </c>
      <c r="H150" s="17">
        <v>75.5</v>
      </c>
      <c r="I150" s="17">
        <v>8934</v>
      </c>
      <c r="J150" s="17">
        <v>83</v>
      </c>
      <c r="K150" s="17">
        <v>6990</v>
      </c>
      <c r="L150" s="17">
        <v>49.5</v>
      </c>
      <c r="M150" s="17">
        <v>4044</v>
      </c>
      <c r="N150" s="17"/>
      <c r="O150" s="17"/>
      <c r="P150" s="17">
        <v>65</v>
      </c>
      <c r="Q150" s="17">
        <v>7113</v>
      </c>
      <c r="R150" s="17"/>
      <c r="S150" s="17"/>
      <c r="T150" s="17"/>
      <c r="U150" s="17"/>
      <c r="V150" s="17">
        <v>91</v>
      </c>
      <c r="W150" s="17">
        <v>15</v>
      </c>
      <c r="X150" s="15">
        <v>244.25</v>
      </c>
      <c r="Y150" s="17">
        <v>619</v>
      </c>
      <c r="Z150" s="17">
        <v>449.75</v>
      </c>
      <c r="AA150" s="17">
        <v>6148</v>
      </c>
      <c r="AB150" s="12">
        <v>540</v>
      </c>
    </row>
    <row r="151" ht="14.25" spans="1:28">
      <c r="A151" s="13">
        <v>149</v>
      </c>
      <c r="B151" s="15">
        <v>3</v>
      </c>
      <c r="C151" s="16">
        <v>38</v>
      </c>
      <c r="D151" s="17" t="s">
        <v>311</v>
      </c>
      <c r="E151" s="17" t="s">
        <v>312</v>
      </c>
      <c r="F151" s="17">
        <v>96.5</v>
      </c>
      <c r="G151" s="17">
        <v>5262</v>
      </c>
      <c r="H151" s="17">
        <v>113.5</v>
      </c>
      <c r="I151" s="17">
        <v>1397</v>
      </c>
      <c r="J151" s="17">
        <v>110.5</v>
      </c>
      <c r="K151" s="17">
        <v>1398</v>
      </c>
      <c r="L151" s="17">
        <v>46</v>
      </c>
      <c r="M151" s="17">
        <v>4785</v>
      </c>
      <c r="N151" s="17"/>
      <c r="O151" s="17"/>
      <c r="P151" s="17">
        <v>80</v>
      </c>
      <c r="Q151" s="17">
        <v>2333</v>
      </c>
      <c r="R151" s="17"/>
      <c r="S151" s="17"/>
      <c r="T151" s="17"/>
      <c r="U151" s="17"/>
      <c r="V151" s="17">
        <v>78</v>
      </c>
      <c r="W151" s="17">
        <v>1218</v>
      </c>
      <c r="X151" s="15">
        <v>320.5</v>
      </c>
      <c r="Y151" s="17">
        <v>112</v>
      </c>
      <c r="Z151" s="17">
        <v>524.5</v>
      </c>
      <c r="AA151" s="17">
        <v>2164</v>
      </c>
      <c r="AB151" s="12">
        <v>192</v>
      </c>
    </row>
    <row r="152" ht="14.25" spans="1:28">
      <c r="A152" s="13">
        <v>150</v>
      </c>
      <c r="B152" s="15">
        <v>3</v>
      </c>
      <c r="C152" s="16">
        <v>39</v>
      </c>
      <c r="D152" s="17" t="s">
        <v>313</v>
      </c>
      <c r="E152" s="17" t="s">
        <v>314</v>
      </c>
      <c r="F152" s="17">
        <v>93.5</v>
      </c>
      <c r="G152" s="17">
        <v>7127</v>
      </c>
      <c r="H152" s="17">
        <v>71</v>
      </c>
      <c r="I152" s="17">
        <v>9797</v>
      </c>
      <c r="J152" s="17">
        <v>89.5</v>
      </c>
      <c r="K152" s="17">
        <v>5383</v>
      </c>
      <c r="L152" s="17">
        <v>29</v>
      </c>
      <c r="M152" s="17">
        <v>9872</v>
      </c>
      <c r="N152" s="17"/>
      <c r="O152" s="17"/>
      <c r="P152" s="17">
        <v>68</v>
      </c>
      <c r="Q152" s="17">
        <v>6016</v>
      </c>
      <c r="R152" s="17"/>
      <c r="S152" s="17"/>
      <c r="T152" s="17"/>
      <c r="U152" s="17"/>
      <c r="V152" s="17">
        <v>89</v>
      </c>
      <c r="W152" s="17">
        <v>100</v>
      </c>
      <c r="X152" s="15">
        <v>254</v>
      </c>
      <c r="Y152" s="17">
        <v>599</v>
      </c>
      <c r="Z152" s="17">
        <v>440</v>
      </c>
      <c r="AA152" s="17">
        <v>6820</v>
      </c>
      <c r="AB152" s="12">
        <v>570</v>
      </c>
    </row>
    <row r="153" ht="14.25" spans="1:28">
      <c r="A153" s="13">
        <v>151</v>
      </c>
      <c r="B153" s="15">
        <v>3</v>
      </c>
      <c r="C153" s="16">
        <v>40</v>
      </c>
      <c r="D153" s="17" t="s">
        <v>315</v>
      </c>
      <c r="E153" s="17" t="s">
        <v>316</v>
      </c>
      <c r="F153" s="17">
        <v>92.75</v>
      </c>
      <c r="G153" s="17">
        <v>7661</v>
      </c>
      <c r="H153" s="17">
        <v>96.5</v>
      </c>
      <c r="I153" s="17">
        <v>4438</v>
      </c>
      <c r="J153" s="17">
        <v>98.5</v>
      </c>
      <c r="K153" s="17">
        <v>3338</v>
      </c>
      <c r="L153" s="17">
        <v>46.5</v>
      </c>
      <c r="M153" s="17">
        <v>4690</v>
      </c>
      <c r="N153" s="17"/>
      <c r="O153" s="17"/>
      <c r="P153" s="17">
        <v>63</v>
      </c>
      <c r="Q153" s="17">
        <v>7666</v>
      </c>
      <c r="R153" s="17"/>
      <c r="S153" s="17"/>
      <c r="T153" s="17"/>
      <c r="U153" s="17"/>
      <c r="V153" s="17">
        <v>59</v>
      </c>
      <c r="W153" s="17">
        <v>3835</v>
      </c>
      <c r="X153" s="15">
        <v>287.75</v>
      </c>
      <c r="Y153" s="17">
        <v>380</v>
      </c>
      <c r="Z153" s="17">
        <v>456.25</v>
      </c>
      <c r="AA153" s="17">
        <v>5724</v>
      </c>
      <c r="AB153" s="12">
        <v>523</v>
      </c>
    </row>
    <row r="154" ht="14.25" spans="1:28">
      <c r="A154" s="13">
        <v>152</v>
      </c>
      <c r="B154" s="15">
        <v>3</v>
      </c>
      <c r="C154" s="16">
        <v>41</v>
      </c>
      <c r="D154" s="17" t="s">
        <v>317</v>
      </c>
      <c r="E154" s="17" t="s">
        <v>318</v>
      </c>
      <c r="F154" s="17">
        <v>94.5</v>
      </c>
      <c r="G154" s="17">
        <v>6496</v>
      </c>
      <c r="H154" s="17">
        <v>94</v>
      </c>
      <c r="I154" s="17">
        <v>4942</v>
      </c>
      <c r="J154" s="17">
        <v>105</v>
      </c>
      <c r="K154" s="17">
        <v>2184</v>
      </c>
      <c r="L154" s="17">
        <v>49</v>
      </c>
      <c r="M154" s="17">
        <v>4146</v>
      </c>
      <c r="N154" s="17"/>
      <c r="O154" s="17"/>
      <c r="P154" s="17">
        <v>76</v>
      </c>
      <c r="Q154" s="17">
        <v>3515</v>
      </c>
      <c r="R154" s="17"/>
      <c r="S154" s="17"/>
      <c r="T154" s="17"/>
      <c r="U154" s="17"/>
      <c r="V154" s="17">
        <v>82</v>
      </c>
      <c r="W154" s="17">
        <v>723</v>
      </c>
      <c r="X154" s="15">
        <v>293.5</v>
      </c>
      <c r="Y154" s="17">
        <v>330</v>
      </c>
      <c r="Z154" s="17">
        <v>500.5</v>
      </c>
      <c r="AA154" s="17">
        <v>3222</v>
      </c>
      <c r="AB154" s="12">
        <v>323</v>
      </c>
    </row>
    <row r="155" ht="14.25" spans="1:28">
      <c r="A155" s="13">
        <v>153</v>
      </c>
      <c r="B155" s="15">
        <v>3</v>
      </c>
      <c r="C155" s="16">
        <v>42</v>
      </c>
      <c r="D155" s="17" t="s">
        <v>319</v>
      </c>
      <c r="E155" s="17" t="s">
        <v>320</v>
      </c>
      <c r="F155" s="17">
        <v>91.25</v>
      </c>
      <c r="G155" s="17">
        <v>8581</v>
      </c>
      <c r="H155" s="17">
        <v>67.5</v>
      </c>
      <c r="I155" s="17">
        <v>10411</v>
      </c>
      <c r="J155" s="17">
        <v>95</v>
      </c>
      <c r="K155" s="17">
        <v>4092</v>
      </c>
      <c r="L155" s="17">
        <v>26</v>
      </c>
      <c r="M155" s="17">
        <v>11124</v>
      </c>
      <c r="N155" s="17"/>
      <c r="O155" s="17"/>
      <c r="P155" s="17">
        <v>61</v>
      </c>
      <c r="Q155" s="17">
        <v>8358</v>
      </c>
      <c r="R155" s="17"/>
      <c r="S155" s="17"/>
      <c r="T155" s="17"/>
      <c r="U155" s="17"/>
      <c r="V155" s="17">
        <v>88</v>
      </c>
      <c r="W155" s="17">
        <v>165</v>
      </c>
      <c r="X155" s="15">
        <v>253.75</v>
      </c>
      <c r="Y155" s="17">
        <v>601</v>
      </c>
      <c r="Z155" s="17">
        <v>428.75</v>
      </c>
      <c r="AA155" s="17">
        <v>7595</v>
      </c>
      <c r="AB155" s="12">
        <v>604</v>
      </c>
    </row>
    <row r="156" ht="14.25" spans="1:28">
      <c r="A156" s="13">
        <v>154</v>
      </c>
      <c r="B156" s="15">
        <v>3</v>
      </c>
      <c r="C156" s="16">
        <v>43</v>
      </c>
      <c r="D156" s="17" t="s">
        <v>321</v>
      </c>
      <c r="E156" s="17" t="s">
        <v>322</v>
      </c>
      <c r="F156" s="17">
        <v>99</v>
      </c>
      <c r="G156" s="17">
        <v>3868</v>
      </c>
      <c r="H156" s="17">
        <v>105.5</v>
      </c>
      <c r="I156" s="17">
        <v>2718</v>
      </c>
      <c r="J156" s="17">
        <v>77.5</v>
      </c>
      <c r="K156" s="17">
        <v>8422</v>
      </c>
      <c r="L156" s="17">
        <v>25</v>
      </c>
      <c r="M156" s="17">
        <v>11593</v>
      </c>
      <c r="N156" s="17"/>
      <c r="O156" s="17"/>
      <c r="P156" s="17">
        <v>50</v>
      </c>
      <c r="Q156" s="17">
        <v>10845</v>
      </c>
      <c r="R156" s="17"/>
      <c r="S156" s="17"/>
      <c r="T156" s="17"/>
      <c r="U156" s="17"/>
      <c r="V156" s="17">
        <v>51</v>
      </c>
      <c r="W156" s="17">
        <v>4622</v>
      </c>
      <c r="X156" s="15">
        <v>282</v>
      </c>
      <c r="Y156" s="17">
        <v>432</v>
      </c>
      <c r="Z156" s="17">
        <v>408</v>
      </c>
      <c r="AA156" s="17">
        <v>9086</v>
      </c>
      <c r="AB156" s="12">
        <v>634</v>
      </c>
    </row>
    <row r="157" ht="14.25" spans="1:28">
      <c r="A157" s="13">
        <v>155</v>
      </c>
      <c r="B157" s="15">
        <v>3</v>
      </c>
      <c r="C157" s="16">
        <v>44</v>
      </c>
      <c r="D157" s="17" t="s">
        <v>323</v>
      </c>
      <c r="E157" s="17" t="s">
        <v>324</v>
      </c>
      <c r="F157" s="17">
        <v>97</v>
      </c>
      <c r="G157" s="17">
        <v>4967</v>
      </c>
      <c r="H157" s="17">
        <v>95</v>
      </c>
      <c r="I157" s="17">
        <v>4735</v>
      </c>
      <c r="J157" s="17">
        <v>98.5</v>
      </c>
      <c r="K157" s="17">
        <v>3338</v>
      </c>
      <c r="L157" s="17">
        <v>36</v>
      </c>
      <c r="M157" s="17">
        <v>7408</v>
      </c>
      <c r="N157" s="17"/>
      <c r="O157" s="17"/>
      <c r="P157" s="17">
        <v>59</v>
      </c>
      <c r="Q157" s="17">
        <v>8996</v>
      </c>
      <c r="R157" s="17"/>
      <c r="S157" s="17"/>
      <c r="T157" s="17"/>
      <c r="U157" s="17"/>
      <c r="V157" s="17">
        <v>89</v>
      </c>
      <c r="W157" s="17">
        <v>100</v>
      </c>
      <c r="X157" s="15">
        <v>290.5</v>
      </c>
      <c r="Y157" s="17">
        <v>364</v>
      </c>
      <c r="Z157" s="17">
        <v>474.5</v>
      </c>
      <c r="AA157" s="17">
        <v>4571</v>
      </c>
      <c r="AB157" s="12">
        <v>439</v>
      </c>
    </row>
    <row r="158" ht="14.25" spans="1:28">
      <c r="A158" s="13">
        <v>156</v>
      </c>
      <c r="B158" s="15">
        <v>3</v>
      </c>
      <c r="C158" s="16">
        <v>45</v>
      </c>
      <c r="D158" s="17" t="s">
        <v>325</v>
      </c>
      <c r="E158" s="17" t="s">
        <v>326</v>
      </c>
      <c r="F158" s="17">
        <v>89</v>
      </c>
      <c r="G158" s="17">
        <v>9959</v>
      </c>
      <c r="H158" s="17">
        <v>94.5</v>
      </c>
      <c r="I158" s="17">
        <v>4840</v>
      </c>
      <c r="J158" s="17">
        <v>84.5</v>
      </c>
      <c r="K158" s="17">
        <v>6614</v>
      </c>
      <c r="L158" s="17">
        <v>75.5</v>
      </c>
      <c r="M158" s="17">
        <v>413</v>
      </c>
      <c r="N158" s="17"/>
      <c r="O158" s="17"/>
      <c r="P158" s="17">
        <v>88</v>
      </c>
      <c r="Q158" s="17">
        <v>397</v>
      </c>
      <c r="R158" s="17"/>
      <c r="S158" s="17"/>
      <c r="T158" s="17"/>
      <c r="U158" s="17"/>
      <c r="V158" s="17">
        <v>76</v>
      </c>
      <c r="W158" s="17">
        <v>1407</v>
      </c>
      <c r="X158" s="15">
        <v>268</v>
      </c>
      <c r="Y158" s="17">
        <v>541</v>
      </c>
      <c r="Z158" s="17">
        <v>507.5</v>
      </c>
      <c r="AA158" s="17">
        <v>2883</v>
      </c>
      <c r="AB158" s="12">
        <v>285</v>
      </c>
    </row>
    <row r="159" ht="14.25" spans="1:28">
      <c r="A159" s="13">
        <v>157</v>
      </c>
      <c r="B159" s="15">
        <v>3</v>
      </c>
      <c r="C159" s="16">
        <v>46</v>
      </c>
      <c r="D159" s="17" t="s">
        <v>327</v>
      </c>
      <c r="E159" s="17" t="s">
        <v>328</v>
      </c>
      <c r="F159" s="17">
        <v>99.25</v>
      </c>
      <c r="G159" s="17">
        <v>3846</v>
      </c>
      <c r="H159" s="17">
        <v>69.5</v>
      </c>
      <c r="I159" s="17">
        <v>10065</v>
      </c>
      <c r="J159" s="17">
        <v>87.5</v>
      </c>
      <c r="K159" s="17">
        <v>5877</v>
      </c>
      <c r="L159" s="17">
        <v>45</v>
      </c>
      <c r="M159" s="17">
        <v>5014</v>
      </c>
      <c r="N159" s="17"/>
      <c r="O159" s="17"/>
      <c r="P159" s="17">
        <v>50</v>
      </c>
      <c r="Q159" s="17">
        <v>10845</v>
      </c>
      <c r="R159" s="17"/>
      <c r="S159" s="17"/>
      <c r="T159" s="17"/>
      <c r="U159" s="17"/>
      <c r="V159" s="17">
        <v>86</v>
      </c>
      <c r="W159" s="17">
        <v>439</v>
      </c>
      <c r="X159" s="15">
        <v>256.25</v>
      </c>
      <c r="Y159" s="17">
        <v>592</v>
      </c>
      <c r="Z159" s="17">
        <v>437.25</v>
      </c>
      <c r="AA159" s="17">
        <v>7022</v>
      </c>
      <c r="AB159" s="12">
        <v>578</v>
      </c>
    </row>
    <row r="160" ht="14.25" spans="1:28">
      <c r="A160" s="13">
        <v>158</v>
      </c>
      <c r="B160" s="15">
        <v>3</v>
      </c>
      <c r="C160" s="16">
        <v>47</v>
      </c>
      <c r="D160" s="17" t="s">
        <v>329</v>
      </c>
      <c r="E160" s="17" t="s">
        <v>330</v>
      </c>
      <c r="F160" s="17">
        <v>94</v>
      </c>
      <c r="G160" s="17">
        <v>6811</v>
      </c>
      <c r="H160" s="17">
        <v>112.5</v>
      </c>
      <c r="I160" s="17">
        <v>1543</v>
      </c>
      <c r="J160" s="17">
        <v>100.5</v>
      </c>
      <c r="K160" s="17">
        <v>2946</v>
      </c>
      <c r="L160" s="17">
        <v>53.5</v>
      </c>
      <c r="M160" s="17">
        <v>3296</v>
      </c>
      <c r="N160" s="17"/>
      <c r="O160" s="17"/>
      <c r="P160" s="17">
        <v>86</v>
      </c>
      <c r="Q160" s="17">
        <v>1052</v>
      </c>
      <c r="R160" s="17"/>
      <c r="S160" s="17"/>
      <c r="T160" s="17"/>
      <c r="U160" s="17"/>
      <c r="V160" s="17">
        <v>85</v>
      </c>
      <c r="W160" s="17">
        <v>530</v>
      </c>
      <c r="X160" s="15">
        <v>307</v>
      </c>
      <c r="Y160" s="17">
        <v>221</v>
      </c>
      <c r="Z160" s="17">
        <v>531.5</v>
      </c>
      <c r="AA160" s="17">
        <v>1892</v>
      </c>
      <c r="AB160" s="12">
        <v>165</v>
      </c>
    </row>
    <row r="161" ht="14.25" spans="1:28">
      <c r="A161" s="13">
        <v>159</v>
      </c>
      <c r="B161" s="15">
        <v>3</v>
      </c>
      <c r="C161" s="16">
        <v>48</v>
      </c>
      <c r="D161" s="17" t="s">
        <v>331</v>
      </c>
      <c r="E161" s="17" t="s">
        <v>332</v>
      </c>
      <c r="F161" s="17">
        <v>96.5</v>
      </c>
      <c r="G161" s="17">
        <v>5262</v>
      </c>
      <c r="H161" s="17">
        <v>106</v>
      </c>
      <c r="I161" s="17">
        <v>2619</v>
      </c>
      <c r="J161" s="17">
        <v>96.75</v>
      </c>
      <c r="K161" s="17">
        <v>3707</v>
      </c>
      <c r="L161" s="17">
        <v>63.5</v>
      </c>
      <c r="M161" s="17">
        <v>1636</v>
      </c>
      <c r="N161" s="17"/>
      <c r="O161" s="17"/>
      <c r="P161" s="17">
        <v>80</v>
      </c>
      <c r="Q161" s="17">
        <v>2333</v>
      </c>
      <c r="R161" s="17"/>
      <c r="S161" s="17"/>
      <c r="T161" s="17"/>
      <c r="U161" s="17"/>
      <c r="V161" s="17">
        <v>67</v>
      </c>
      <c r="W161" s="17">
        <v>2619</v>
      </c>
      <c r="X161" s="15">
        <v>299.25</v>
      </c>
      <c r="Y161" s="17">
        <v>281</v>
      </c>
      <c r="Z161" s="17">
        <v>509.75</v>
      </c>
      <c r="AA161" s="17">
        <v>2790</v>
      </c>
      <c r="AB161" s="12">
        <v>274</v>
      </c>
    </row>
    <row r="162" ht="14.25" spans="1:28">
      <c r="A162" s="13">
        <v>160</v>
      </c>
      <c r="B162" s="15">
        <v>3</v>
      </c>
      <c r="C162" s="16">
        <v>49</v>
      </c>
      <c r="D162" s="17" t="s">
        <v>333</v>
      </c>
      <c r="E162" s="17" t="s">
        <v>334</v>
      </c>
      <c r="F162" s="17">
        <v>89</v>
      </c>
      <c r="G162" s="17">
        <v>9959</v>
      </c>
      <c r="H162" s="17">
        <v>65.5</v>
      </c>
      <c r="I162" s="17">
        <v>10794</v>
      </c>
      <c r="J162" s="17">
        <v>87</v>
      </c>
      <c r="K162" s="17">
        <v>5999</v>
      </c>
      <c r="L162" s="17">
        <v>23.5</v>
      </c>
      <c r="M162" s="17">
        <v>12312</v>
      </c>
      <c r="N162" s="17"/>
      <c r="O162" s="17"/>
      <c r="P162" s="17">
        <v>68</v>
      </c>
      <c r="Q162" s="17">
        <v>6016</v>
      </c>
      <c r="R162" s="17"/>
      <c r="S162" s="17"/>
      <c r="T162" s="17"/>
      <c r="U162" s="17"/>
      <c r="V162" s="17">
        <v>50</v>
      </c>
      <c r="W162" s="17">
        <v>4674</v>
      </c>
      <c r="X162" s="15">
        <v>241.5</v>
      </c>
      <c r="Y162" s="17">
        <v>628</v>
      </c>
      <c r="Z162" s="17">
        <v>383</v>
      </c>
      <c r="AA162" s="17">
        <v>10868</v>
      </c>
      <c r="AB162" s="12">
        <v>651</v>
      </c>
    </row>
    <row r="163" ht="14.25" spans="1:28">
      <c r="A163" s="13">
        <v>161</v>
      </c>
      <c r="B163" s="15">
        <v>4</v>
      </c>
      <c r="C163" s="16">
        <v>2</v>
      </c>
      <c r="D163" s="17" t="s">
        <v>335</v>
      </c>
      <c r="E163" s="17" t="s">
        <v>336</v>
      </c>
      <c r="F163" s="17">
        <v>77.5</v>
      </c>
      <c r="G163" s="17">
        <v>15477</v>
      </c>
      <c r="H163" s="17">
        <v>88</v>
      </c>
      <c r="I163" s="17">
        <v>6299</v>
      </c>
      <c r="J163" s="17">
        <v>71</v>
      </c>
      <c r="K163" s="17">
        <v>10072</v>
      </c>
      <c r="L163" s="17">
        <v>36</v>
      </c>
      <c r="M163" s="17">
        <v>7408</v>
      </c>
      <c r="N163" s="17"/>
      <c r="O163" s="17"/>
      <c r="P163" s="17">
        <v>63</v>
      </c>
      <c r="Q163" s="17">
        <v>7666</v>
      </c>
      <c r="R163" s="17"/>
      <c r="S163" s="17"/>
      <c r="T163" s="17"/>
      <c r="U163" s="17"/>
      <c r="V163" s="17">
        <v>82</v>
      </c>
      <c r="W163" s="17">
        <v>723</v>
      </c>
      <c r="X163" s="15">
        <v>236.5</v>
      </c>
      <c r="Y163" s="17">
        <v>637</v>
      </c>
      <c r="Z163" s="17">
        <v>417.5</v>
      </c>
      <c r="AA163" s="17">
        <v>8404</v>
      </c>
      <c r="AB163" s="12">
        <v>625</v>
      </c>
    </row>
    <row r="164" ht="14.25" spans="1:28">
      <c r="A164" s="13">
        <v>162</v>
      </c>
      <c r="B164" s="15">
        <v>4</v>
      </c>
      <c r="C164" s="16">
        <v>3</v>
      </c>
      <c r="D164" s="17" t="s">
        <v>337</v>
      </c>
      <c r="E164" s="17" t="s">
        <v>338</v>
      </c>
      <c r="F164" s="17">
        <v>106.5</v>
      </c>
      <c r="G164" s="17">
        <v>1059</v>
      </c>
      <c r="H164" s="17">
        <v>94</v>
      </c>
      <c r="I164" s="17">
        <v>4942</v>
      </c>
      <c r="J164" s="17">
        <v>91.75</v>
      </c>
      <c r="K164" s="17">
        <v>4882</v>
      </c>
      <c r="L164" s="17">
        <v>52</v>
      </c>
      <c r="M164" s="17">
        <v>3556</v>
      </c>
      <c r="N164" s="17"/>
      <c r="O164" s="17"/>
      <c r="P164" s="17">
        <v>72</v>
      </c>
      <c r="Q164" s="17">
        <v>4881</v>
      </c>
      <c r="R164" s="17"/>
      <c r="S164" s="17"/>
      <c r="T164" s="17"/>
      <c r="U164" s="17"/>
      <c r="V164" s="17">
        <v>78</v>
      </c>
      <c r="W164" s="17">
        <v>1218</v>
      </c>
      <c r="X164" s="15">
        <v>292.25</v>
      </c>
      <c r="Y164" s="17">
        <v>347</v>
      </c>
      <c r="Z164" s="17">
        <v>494.25</v>
      </c>
      <c r="AA164" s="17">
        <v>3552</v>
      </c>
      <c r="AB164" s="12">
        <v>356</v>
      </c>
    </row>
    <row r="165" ht="14.25" spans="1:28">
      <c r="A165" s="13">
        <v>163</v>
      </c>
      <c r="B165" s="15">
        <v>4</v>
      </c>
      <c r="C165" s="16">
        <v>4</v>
      </c>
      <c r="D165" s="17" t="s">
        <v>339</v>
      </c>
      <c r="E165" s="17" t="s">
        <v>340</v>
      </c>
      <c r="F165" s="17">
        <v>91.5</v>
      </c>
      <c r="G165" s="17">
        <v>8306</v>
      </c>
      <c r="H165" s="17">
        <v>88.5</v>
      </c>
      <c r="I165" s="17">
        <v>6176</v>
      </c>
      <c r="J165" s="17">
        <v>74</v>
      </c>
      <c r="K165" s="17">
        <v>9352</v>
      </c>
      <c r="L165" s="17">
        <v>35</v>
      </c>
      <c r="M165" s="17">
        <v>7732</v>
      </c>
      <c r="N165" s="17"/>
      <c r="O165" s="17"/>
      <c r="P165" s="17">
        <v>64</v>
      </c>
      <c r="Q165" s="17">
        <v>7304</v>
      </c>
      <c r="R165" s="17"/>
      <c r="S165" s="17"/>
      <c r="T165" s="17"/>
      <c r="U165" s="17"/>
      <c r="V165" s="17">
        <v>88</v>
      </c>
      <c r="W165" s="17">
        <v>165</v>
      </c>
      <c r="X165" s="15">
        <v>254</v>
      </c>
      <c r="Y165" s="17">
        <v>599</v>
      </c>
      <c r="Z165" s="17">
        <v>441</v>
      </c>
      <c r="AA165" s="17">
        <v>6744</v>
      </c>
      <c r="AB165" s="12">
        <v>568</v>
      </c>
    </row>
    <row r="166" ht="14.25" spans="1:28">
      <c r="A166" s="13">
        <v>164</v>
      </c>
      <c r="B166" s="15">
        <v>4</v>
      </c>
      <c r="C166" s="16">
        <v>5</v>
      </c>
      <c r="D166" s="17" t="s">
        <v>341</v>
      </c>
      <c r="E166" s="17" t="s">
        <v>342</v>
      </c>
      <c r="F166" s="17">
        <v>83</v>
      </c>
      <c r="G166" s="17">
        <v>13396</v>
      </c>
      <c r="H166" s="17">
        <v>62.5</v>
      </c>
      <c r="I166" s="17">
        <v>11385</v>
      </c>
      <c r="J166" s="17">
        <v>87.5</v>
      </c>
      <c r="K166" s="17">
        <v>5877</v>
      </c>
      <c r="L166" s="17">
        <v>23.5</v>
      </c>
      <c r="M166" s="17">
        <v>12312</v>
      </c>
      <c r="N166" s="17"/>
      <c r="O166" s="17"/>
      <c r="P166" s="17">
        <v>73</v>
      </c>
      <c r="Q166" s="17">
        <v>4501</v>
      </c>
      <c r="R166" s="17"/>
      <c r="S166" s="17"/>
      <c r="T166" s="17"/>
      <c r="U166" s="17"/>
      <c r="V166" s="17">
        <v>81</v>
      </c>
      <c r="W166" s="17">
        <v>860</v>
      </c>
      <c r="X166" s="15">
        <v>233</v>
      </c>
      <c r="Y166" s="17">
        <v>640</v>
      </c>
      <c r="Z166" s="17">
        <v>410.5</v>
      </c>
      <c r="AA166" s="17">
        <v>8910</v>
      </c>
      <c r="AB166" s="12">
        <v>631</v>
      </c>
    </row>
    <row r="167" ht="14.25" spans="1:28">
      <c r="A167" s="13">
        <v>165</v>
      </c>
      <c r="B167" s="15">
        <v>4</v>
      </c>
      <c r="C167" s="16">
        <v>6</v>
      </c>
      <c r="D167" s="17" t="s">
        <v>343</v>
      </c>
      <c r="E167" s="17" t="s">
        <v>344</v>
      </c>
      <c r="F167" s="17">
        <v>84</v>
      </c>
      <c r="G167" s="17">
        <v>12898</v>
      </c>
      <c r="H167" s="17">
        <v>83</v>
      </c>
      <c r="I167" s="17">
        <v>7420</v>
      </c>
      <c r="J167" s="17">
        <v>54.5</v>
      </c>
      <c r="K167" s="17">
        <v>13373</v>
      </c>
      <c r="L167" s="17">
        <v>28</v>
      </c>
      <c r="M167" s="17">
        <v>10280</v>
      </c>
      <c r="N167" s="17"/>
      <c r="O167" s="17"/>
      <c r="P167" s="17">
        <v>59</v>
      </c>
      <c r="Q167" s="17">
        <v>8996</v>
      </c>
      <c r="R167" s="17"/>
      <c r="S167" s="17"/>
      <c r="T167" s="17"/>
      <c r="U167" s="17"/>
      <c r="V167" s="17">
        <v>79</v>
      </c>
      <c r="W167" s="17">
        <v>1023</v>
      </c>
      <c r="X167" s="15">
        <v>221.5</v>
      </c>
      <c r="Y167" s="17">
        <v>652</v>
      </c>
      <c r="Z167" s="17">
        <v>387.5</v>
      </c>
      <c r="AA167" s="17">
        <v>10542</v>
      </c>
      <c r="AB167" s="12">
        <v>648</v>
      </c>
    </row>
    <row r="168" ht="14.25" spans="1:28">
      <c r="A168" s="13">
        <v>166</v>
      </c>
      <c r="B168" s="15">
        <v>4</v>
      </c>
      <c r="C168" s="16">
        <v>7</v>
      </c>
      <c r="D168" s="17" t="s">
        <v>345</v>
      </c>
      <c r="E168" s="17" t="s">
        <v>346</v>
      </c>
      <c r="F168" s="17">
        <v>78</v>
      </c>
      <c r="G168" s="17">
        <v>15316</v>
      </c>
      <c r="H168" s="17">
        <v>98</v>
      </c>
      <c r="I168" s="17">
        <v>4147</v>
      </c>
      <c r="J168" s="17">
        <v>88.75</v>
      </c>
      <c r="K168" s="17">
        <v>5589</v>
      </c>
      <c r="L168" s="17">
        <v>40</v>
      </c>
      <c r="M168" s="17">
        <v>6265</v>
      </c>
      <c r="N168" s="17"/>
      <c r="O168" s="17"/>
      <c r="P168" s="17">
        <v>63</v>
      </c>
      <c r="Q168" s="17">
        <v>7666</v>
      </c>
      <c r="R168" s="17"/>
      <c r="S168" s="17"/>
      <c r="T168" s="17"/>
      <c r="U168" s="17"/>
      <c r="V168" s="17">
        <v>68</v>
      </c>
      <c r="W168" s="17">
        <v>2512</v>
      </c>
      <c r="X168" s="15">
        <v>264.75</v>
      </c>
      <c r="Y168" s="17">
        <v>557</v>
      </c>
      <c r="Z168" s="17">
        <v>435.75</v>
      </c>
      <c r="AA168" s="17">
        <v>7116</v>
      </c>
      <c r="AB168" s="12">
        <v>584</v>
      </c>
    </row>
    <row r="169" ht="14.25" spans="1:28">
      <c r="A169" s="13">
        <v>167</v>
      </c>
      <c r="B169" s="15">
        <v>4</v>
      </c>
      <c r="C169" s="16">
        <v>8</v>
      </c>
      <c r="D169" s="17" t="s">
        <v>347</v>
      </c>
      <c r="E169" s="17" t="s">
        <v>348</v>
      </c>
      <c r="F169" s="17">
        <v>87.5</v>
      </c>
      <c r="G169" s="17">
        <v>10920</v>
      </c>
      <c r="H169" s="17">
        <v>101.5</v>
      </c>
      <c r="I169" s="17">
        <v>3477</v>
      </c>
      <c r="J169" s="17">
        <v>101.5</v>
      </c>
      <c r="K169" s="17">
        <v>2779</v>
      </c>
      <c r="L169" s="17">
        <v>44</v>
      </c>
      <c r="M169" s="17">
        <v>5222</v>
      </c>
      <c r="N169" s="17"/>
      <c r="O169" s="17"/>
      <c r="P169" s="17">
        <v>73</v>
      </c>
      <c r="Q169" s="17">
        <v>4501</v>
      </c>
      <c r="R169" s="17"/>
      <c r="S169" s="17"/>
      <c r="T169" s="17"/>
      <c r="U169" s="17"/>
      <c r="V169" s="17">
        <v>90</v>
      </c>
      <c r="W169" s="17">
        <v>44</v>
      </c>
      <c r="X169" s="15">
        <v>290.5</v>
      </c>
      <c r="Y169" s="17">
        <v>364</v>
      </c>
      <c r="Z169" s="17">
        <v>497.5</v>
      </c>
      <c r="AA169" s="17">
        <v>3359</v>
      </c>
      <c r="AB169" s="12">
        <v>342</v>
      </c>
    </row>
    <row r="170" ht="14.25" spans="1:28">
      <c r="A170" s="13">
        <v>168</v>
      </c>
      <c r="B170" s="15">
        <v>4</v>
      </c>
      <c r="C170" s="16">
        <v>9</v>
      </c>
      <c r="D170" s="17" t="s">
        <v>349</v>
      </c>
      <c r="E170" s="17" t="s">
        <v>350</v>
      </c>
      <c r="F170" s="17">
        <v>95.25</v>
      </c>
      <c r="G170" s="17">
        <v>6136</v>
      </c>
      <c r="H170" s="17">
        <v>89.5</v>
      </c>
      <c r="I170" s="17">
        <v>5946</v>
      </c>
      <c r="J170" s="17">
        <v>80.75</v>
      </c>
      <c r="K170" s="17">
        <v>7625</v>
      </c>
      <c r="L170" s="17">
        <v>54.5</v>
      </c>
      <c r="M170" s="17">
        <v>3126</v>
      </c>
      <c r="N170" s="17"/>
      <c r="O170" s="17"/>
      <c r="P170" s="17">
        <v>81</v>
      </c>
      <c r="Q170" s="17">
        <v>2079</v>
      </c>
      <c r="R170" s="17"/>
      <c r="S170" s="17"/>
      <c r="T170" s="17"/>
      <c r="U170" s="17"/>
      <c r="V170" s="17">
        <v>91</v>
      </c>
      <c r="W170" s="17">
        <v>15</v>
      </c>
      <c r="X170" s="15">
        <v>265.5</v>
      </c>
      <c r="Y170" s="17">
        <v>552</v>
      </c>
      <c r="Z170" s="17">
        <v>492</v>
      </c>
      <c r="AA170" s="17">
        <v>3646</v>
      </c>
      <c r="AB170" s="12">
        <v>363</v>
      </c>
    </row>
    <row r="171" ht="14.25" spans="1:28">
      <c r="A171" s="13">
        <v>169</v>
      </c>
      <c r="B171" s="15">
        <v>4</v>
      </c>
      <c r="C171" s="16">
        <v>10</v>
      </c>
      <c r="D171" s="17" t="s">
        <v>351</v>
      </c>
      <c r="E171" s="17" t="s">
        <v>352</v>
      </c>
      <c r="F171" s="17">
        <v>96</v>
      </c>
      <c r="G171" s="17">
        <v>5544</v>
      </c>
      <c r="H171" s="17">
        <v>106.5</v>
      </c>
      <c r="I171" s="17">
        <v>2542</v>
      </c>
      <c r="J171" s="17">
        <v>96.5</v>
      </c>
      <c r="K171" s="17">
        <v>3746</v>
      </c>
      <c r="L171" s="17">
        <v>60</v>
      </c>
      <c r="M171" s="17">
        <v>2185</v>
      </c>
      <c r="N171" s="17"/>
      <c r="O171" s="17"/>
      <c r="P171" s="17">
        <v>83</v>
      </c>
      <c r="Q171" s="17">
        <v>1643</v>
      </c>
      <c r="R171" s="17"/>
      <c r="S171" s="17"/>
      <c r="T171" s="17"/>
      <c r="U171" s="17"/>
      <c r="V171" s="17">
        <v>90</v>
      </c>
      <c r="W171" s="17">
        <v>44</v>
      </c>
      <c r="X171" s="15">
        <v>299</v>
      </c>
      <c r="Y171" s="17">
        <v>284</v>
      </c>
      <c r="Z171" s="17">
        <v>532</v>
      </c>
      <c r="AA171" s="17">
        <v>1873</v>
      </c>
      <c r="AB171" s="12">
        <v>158</v>
      </c>
    </row>
    <row r="172" ht="14.25" spans="1:28">
      <c r="A172" s="13">
        <v>170</v>
      </c>
      <c r="B172" s="15">
        <v>4</v>
      </c>
      <c r="C172" s="16">
        <v>11</v>
      </c>
      <c r="D172" s="17" t="s">
        <v>353</v>
      </c>
      <c r="E172" s="17" t="s">
        <v>354</v>
      </c>
      <c r="F172" s="17">
        <v>92.5</v>
      </c>
      <c r="G172" s="17">
        <v>7705</v>
      </c>
      <c r="H172" s="17">
        <v>106.5</v>
      </c>
      <c r="I172" s="17">
        <v>2542</v>
      </c>
      <c r="J172" s="17">
        <v>109.75</v>
      </c>
      <c r="K172" s="17">
        <v>1503</v>
      </c>
      <c r="L172" s="17">
        <v>38.5</v>
      </c>
      <c r="M172" s="17">
        <v>6692</v>
      </c>
      <c r="N172" s="17"/>
      <c r="O172" s="17"/>
      <c r="P172" s="17">
        <v>78</v>
      </c>
      <c r="Q172" s="17">
        <v>2908</v>
      </c>
      <c r="R172" s="17"/>
      <c r="S172" s="17"/>
      <c r="T172" s="17"/>
      <c r="U172" s="17"/>
      <c r="V172" s="17">
        <v>84</v>
      </c>
      <c r="W172" s="17">
        <v>588</v>
      </c>
      <c r="X172" s="15">
        <v>308.75</v>
      </c>
      <c r="Y172" s="17">
        <v>206</v>
      </c>
      <c r="Z172" s="17">
        <v>509.25</v>
      </c>
      <c r="AA172" s="17">
        <v>2810</v>
      </c>
      <c r="AB172" s="12">
        <v>277</v>
      </c>
    </row>
    <row r="173" ht="14.25" spans="1:28">
      <c r="A173" s="13">
        <v>171</v>
      </c>
      <c r="B173" s="15">
        <v>4</v>
      </c>
      <c r="C173" s="16">
        <v>12</v>
      </c>
      <c r="D173" s="17" t="s">
        <v>355</v>
      </c>
      <c r="E173" s="17" t="s">
        <v>356</v>
      </c>
      <c r="F173" s="17">
        <v>101</v>
      </c>
      <c r="G173" s="17">
        <v>2896</v>
      </c>
      <c r="H173" s="17">
        <v>109</v>
      </c>
      <c r="I173" s="17">
        <v>2105</v>
      </c>
      <c r="J173" s="17">
        <v>97.5</v>
      </c>
      <c r="K173" s="17">
        <v>3545</v>
      </c>
      <c r="L173" s="17">
        <v>44.5</v>
      </c>
      <c r="M173" s="17">
        <v>5122</v>
      </c>
      <c r="N173" s="17"/>
      <c r="O173" s="17"/>
      <c r="P173" s="17">
        <v>78</v>
      </c>
      <c r="Q173" s="17">
        <v>2908</v>
      </c>
      <c r="R173" s="17"/>
      <c r="S173" s="17"/>
      <c r="T173" s="17"/>
      <c r="U173" s="17"/>
      <c r="V173" s="17">
        <v>91</v>
      </c>
      <c r="W173" s="17">
        <v>15</v>
      </c>
      <c r="X173" s="15">
        <v>307.5</v>
      </c>
      <c r="Y173" s="17">
        <v>214</v>
      </c>
      <c r="Z173" s="17">
        <v>521</v>
      </c>
      <c r="AA173" s="17">
        <v>2318</v>
      </c>
      <c r="AB173" s="12">
        <v>212</v>
      </c>
    </row>
    <row r="174" ht="14.25" spans="1:28">
      <c r="A174" s="13">
        <v>172</v>
      </c>
      <c r="B174" s="15">
        <v>4</v>
      </c>
      <c r="C174" s="16">
        <v>13</v>
      </c>
      <c r="D174" s="17" t="s">
        <v>357</v>
      </c>
      <c r="E174" s="17" t="s">
        <v>358</v>
      </c>
      <c r="F174" s="17">
        <v>105.5</v>
      </c>
      <c r="G174" s="17">
        <v>1281</v>
      </c>
      <c r="H174" s="17">
        <v>121</v>
      </c>
      <c r="I174" s="17">
        <v>621</v>
      </c>
      <c r="J174" s="17">
        <v>110.75</v>
      </c>
      <c r="K174" s="17">
        <v>1380</v>
      </c>
      <c r="L174" s="17">
        <v>49.5</v>
      </c>
      <c r="M174" s="17">
        <v>4044</v>
      </c>
      <c r="N174" s="17"/>
      <c r="O174" s="17"/>
      <c r="P174" s="17">
        <v>69</v>
      </c>
      <c r="Q174" s="17">
        <v>5655</v>
      </c>
      <c r="R174" s="17"/>
      <c r="S174" s="17"/>
      <c r="T174" s="17"/>
      <c r="U174" s="17"/>
      <c r="V174" s="17">
        <v>89</v>
      </c>
      <c r="W174" s="17">
        <v>100</v>
      </c>
      <c r="X174" s="15">
        <v>337.25</v>
      </c>
      <c r="Y174" s="17">
        <v>35</v>
      </c>
      <c r="Z174" s="17">
        <v>544.75</v>
      </c>
      <c r="AA174" s="17">
        <v>1462</v>
      </c>
      <c r="AB174" s="12">
        <v>113</v>
      </c>
    </row>
    <row r="175" ht="14.25" spans="1:28">
      <c r="A175" s="13">
        <v>173</v>
      </c>
      <c r="B175" s="15">
        <v>4</v>
      </c>
      <c r="C175" s="16">
        <v>14</v>
      </c>
      <c r="D175" s="17" t="s">
        <v>359</v>
      </c>
      <c r="E175" s="17" t="s">
        <v>360</v>
      </c>
      <c r="F175" s="17">
        <v>106.5</v>
      </c>
      <c r="G175" s="17">
        <v>1059</v>
      </c>
      <c r="H175" s="17">
        <v>106</v>
      </c>
      <c r="I175" s="17">
        <v>2619</v>
      </c>
      <c r="J175" s="17">
        <v>109.5</v>
      </c>
      <c r="K175" s="17">
        <v>1527</v>
      </c>
      <c r="L175" s="17">
        <v>43.5</v>
      </c>
      <c r="M175" s="17">
        <v>5353</v>
      </c>
      <c r="N175" s="17"/>
      <c r="O175" s="17"/>
      <c r="P175" s="17">
        <v>69</v>
      </c>
      <c r="Q175" s="17">
        <v>5655</v>
      </c>
      <c r="R175" s="17"/>
      <c r="S175" s="17"/>
      <c r="T175" s="17"/>
      <c r="U175" s="17"/>
      <c r="V175" s="17">
        <v>89</v>
      </c>
      <c r="W175" s="17">
        <v>100</v>
      </c>
      <c r="X175" s="15">
        <v>322</v>
      </c>
      <c r="Y175" s="17">
        <v>104</v>
      </c>
      <c r="Z175" s="17">
        <v>523.5</v>
      </c>
      <c r="AA175" s="17">
        <v>2215</v>
      </c>
      <c r="AB175" s="12">
        <v>200</v>
      </c>
    </row>
    <row r="176" ht="14.25" spans="1:28">
      <c r="A176" s="13">
        <v>174</v>
      </c>
      <c r="B176" s="15">
        <v>4</v>
      </c>
      <c r="C176" s="16">
        <v>15</v>
      </c>
      <c r="D176" s="17" t="s">
        <v>361</v>
      </c>
      <c r="E176" s="17" t="s">
        <v>362</v>
      </c>
      <c r="F176" s="17">
        <v>98</v>
      </c>
      <c r="G176" s="17">
        <v>4423</v>
      </c>
      <c r="H176" s="17">
        <v>94</v>
      </c>
      <c r="I176" s="17">
        <v>4942</v>
      </c>
      <c r="J176" s="17">
        <v>94.5</v>
      </c>
      <c r="K176" s="17">
        <v>4208</v>
      </c>
      <c r="L176" s="17">
        <v>52</v>
      </c>
      <c r="M176" s="17">
        <v>3556</v>
      </c>
      <c r="N176" s="17"/>
      <c r="O176" s="17"/>
      <c r="P176" s="17">
        <v>65</v>
      </c>
      <c r="Q176" s="17">
        <v>7113</v>
      </c>
      <c r="R176" s="17"/>
      <c r="S176" s="17"/>
      <c r="T176" s="17"/>
      <c r="U176" s="17"/>
      <c r="V176" s="17">
        <v>82</v>
      </c>
      <c r="W176" s="17">
        <v>723</v>
      </c>
      <c r="X176" s="15">
        <v>286.5</v>
      </c>
      <c r="Y176" s="17">
        <v>388</v>
      </c>
      <c r="Z176" s="17">
        <v>485.5</v>
      </c>
      <c r="AA176" s="17">
        <v>3956</v>
      </c>
      <c r="AB176" s="12">
        <v>395</v>
      </c>
    </row>
    <row r="177" ht="14.25" spans="1:28">
      <c r="A177" s="13">
        <v>175</v>
      </c>
      <c r="B177" s="15">
        <v>4</v>
      </c>
      <c r="C177" s="16">
        <v>16</v>
      </c>
      <c r="D177" s="17" t="s">
        <v>363</v>
      </c>
      <c r="E177" s="17" t="s">
        <v>364</v>
      </c>
      <c r="F177" s="17">
        <v>97.75</v>
      </c>
      <c r="G177" s="17">
        <v>4669</v>
      </c>
      <c r="H177" s="17">
        <v>103.5</v>
      </c>
      <c r="I177" s="17">
        <v>3096</v>
      </c>
      <c r="J177" s="17">
        <v>94.5</v>
      </c>
      <c r="K177" s="17">
        <v>4208</v>
      </c>
      <c r="L177" s="17">
        <v>57.5</v>
      </c>
      <c r="M177" s="17">
        <v>2619</v>
      </c>
      <c r="N177" s="17"/>
      <c r="O177" s="17"/>
      <c r="P177" s="17">
        <v>80</v>
      </c>
      <c r="Q177" s="17">
        <v>2333</v>
      </c>
      <c r="R177" s="17"/>
      <c r="S177" s="17"/>
      <c r="T177" s="17"/>
      <c r="U177" s="17"/>
      <c r="V177" s="17">
        <v>77</v>
      </c>
      <c r="W177" s="17">
        <v>1318</v>
      </c>
      <c r="X177" s="15">
        <v>295.75</v>
      </c>
      <c r="Y177" s="17">
        <v>310</v>
      </c>
      <c r="Z177" s="17">
        <v>510.25</v>
      </c>
      <c r="AA177" s="17">
        <v>2771</v>
      </c>
      <c r="AB177" s="12">
        <v>272</v>
      </c>
    </row>
    <row r="178" ht="14.25" spans="1:28">
      <c r="A178" s="13">
        <v>176</v>
      </c>
      <c r="B178" s="15">
        <v>4</v>
      </c>
      <c r="C178" s="16">
        <v>17</v>
      </c>
      <c r="D178" s="17" t="s">
        <v>365</v>
      </c>
      <c r="E178" s="17" t="s">
        <v>366</v>
      </c>
      <c r="F178" s="17">
        <v>89.5</v>
      </c>
      <c r="G178" s="17">
        <v>9648</v>
      </c>
      <c r="H178" s="17">
        <v>118</v>
      </c>
      <c r="I178" s="17">
        <v>885</v>
      </c>
      <c r="J178" s="17">
        <v>98</v>
      </c>
      <c r="K178" s="17">
        <v>3454</v>
      </c>
      <c r="L178" s="17">
        <v>52.5</v>
      </c>
      <c r="M178" s="17">
        <v>3470</v>
      </c>
      <c r="N178" s="17"/>
      <c r="O178" s="17"/>
      <c r="P178" s="17">
        <v>78</v>
      </c>
      <c r="Q178" s="17">
        <v>2908</v>
      </c>
      <c r="R178" s="17"/>
      <c r="S178" s="17"/>
      <c r="T178" s="17"/>
      <c r="U178" s="17"/>
      <c r="V178" s="17">
        <v>87</v>
      </c>
      <c r="W178" s="17">
        <v>273</v>
      </c>
      <c r="X178" s="15">
        <v>305.5</v>
      </c>
      <c r="Y178" s="17">
        <v>233</v>
      </c>
      <c r="Z178" s="17">
        <v>523</v>
      </c>
      <c r="AA178" s="17">
        <v>2242</v>
      </c>
      <c r="AB178" s="12">
        <v>202</v>
      </c>
    </row>
    <row r="179" ht="14.25" spans="1:28">
      <c r="A179" s="13">
        <v>177</v>
      </c>
      <c r="B179" s="15">
        <v>4</v>
      </c>
      <c r="C179" s="16">
        <v>18</v>
      </c>
      <c r="D179" s="17" t="s">
        <v>367</v>
      </c>
      <c r="E179" s="17" t="s">
        <v>368</v>
      </c>
      <c r="F179" s="17">
        <v>98</v>
      </c>
      <c r="G179" s="17">
        <v>4423</v>
      </c>
      <c r="H179" s="17">
        <v>86</v>
      </c>
      <c r="I179" s="17">
        <v>6759</v>
      </c>
      <c r="J179" s="17">
        <v>99.5</v>
      </c>
      <c r="K179" s="17">
        <v>3134</v>
      </c>
      <c r="L179" s="17">
        <v>56</v>
      </c>
      <c r="M179" s="17">
        <v>2878</v>
      </c>
      <c r="N179" s="17"/>
      <c r="O179" s="17"/>
      <c r="P179" s="17">
        <v>83</v>
      </c>
      <c r="Q179" s="17">
        <v>1643</v>
      </c>
      <c r="R179" s="17"/>
      <c r="S179" s="17"/>
      <c r="T179" s="17"/>
      <c r="U179" s="17"/>
      <c r="V179" s="17">
        <v>88</v>
      </c>
      <c r="W179" s="17">
        <v>165</v>
      </c>
      <c r="X179" s="15">
        <v>283.5</v>
      </c>
      <c r="Y179" s="17">
        <v>412</v>
      </c>
      <c r="Z179" s="17">
        <v>510.5</v>
      </c>
      <c r="AA179" s="17">
        <v>2753</v>
      </c>
      <c r="AB179" s="12">
        <v>270</v>
      </c>
    </row>
    <row r="180" ht="14.25" spans="1:28">
      <c r="A180" s="13">
        <v>178</v>
      </c>
      <c r="B180" s="15">
        <v>4</v>
      </c>
      <c r="C180" s="16">
        <v>19</v>
      </c>
      <c r="D180" s="17" t="s">
        <v>369</v>
      </c>
      <c r="E180" s="17" t="s">
        <v>370</v>
      </c>
      <c r="F180" s="17">
        <v>95.75</v>
      </c>
      <c r="G180" s="17">
        <v>5826</v>
      </c>
      <c r="H180" s="17">
        <v>110.5</v>
      </c>
      <c r="I180" s="17">
        <v>1866</v>
      </c>
      <c r="J180" s="17">
        <v>107</v>
      </c>
      <c r="K180" s="17">
        <v>1871</v>
      </c>
      <c r="L180" s="17">
        <v>60</v>
      </c>
      <c r="M180" s="17">
        <v>2185</v>
      </c>
      <c r="N180" s="17"/>
      <c r="O180" s="17"/>
      <c r="P180" s="17">
        <v>87</v>
      </c>
      <c r="Q180" s="17">
        <v>681</v>
      </c>
      <c r="R180" s="17"/>
      <c r="S180" s="17"/>
      <c r="T180" s="17"/>
      <c r="U180" s="17"/>
      <c r="V180" s="17">
        <v>85</v>
      </c>
      <c r="W180" s="17">
        <v>530</v>
      </c>
      <c r="X180" s="15">
        <v>313.25</v>
      </c>
      <c r="Y180" s="17">
        <v>166</v>
      </c>
      <c r="Z180" s="17">
        <v>545.25</v>
      </c>
      <c r="AA180" s="17">
        <v>1448</v>
      </c>
      <c r="AB180" s="12">
        <v>110</v>
      </c>
    </row>
    <row r="181" ht="14.25" spans="1:28">
      <c r="A181" s="13">
        <v>179</v>
      </c>
      <c r="B181" s="15">
        <v>4</v>
      </c>
      <c r="C181" s="16">
        <v>20</v>
      </c>
      <c r="D181" s="17" t="s">
        <v>371</v>
      </c>
      <c r="E181" s="17" t="s">
        <v>372</v>
      </c>
      <c r="F181" s="17">
        <v>104</v>
      </c>
      <c r="G181" s="17">
        <v>1709</v>
      </c>
      <c r="H181" s="17">
        <v>101.5</v>
      </c>
      <c r="I181" s="17">
        <v>3477</v>
      </c>
      <c r="J181" s="17">
        <v>96.75</v>
      </c>
      <c r="K181" s="17">
        <v>3707</v>
      </c>
      <c r="L181" s="17">
        <v>44</v>
      </c>
      <c r="M181" s="17">
        <v>5222</v>
      </c>
      <c r="N181" s="17"/>
      <c r="O181" s="17"/>
      <c r="P181" s="17">
        <v>73</v>
      </c>
      <c r="Q181" s="17">
        <v>4501</v>
      </c>
      <c r="R181" s="17"/>
      <c r="S181" s="17"/>
      <c r="T181" s="17"/>
      <c r="U181" s="17"/>
      <c r="V181" s="17">
        <v>69</v>
      </c>
      <c r="W181" s="17">
        <v>2394</v>
      </c>
      <c r="X181" s="15">
        <v>302.25</v>
      </c>
      <c r="Y181" s="17">
        <v>260</v>
      </c>
      <c r="Z181" s="17">
        <v>488.25</v>
      </c>
      <c r="AA181" s="17">
        <v>3834</v>
      </c>
      <c r="AB181" s="12">
        <v>385</v>
      </c>
    </row>
    <row r="182" ht="14.25" spans="1:28">
      <c r="A182" s="13">
        <v>180</v>
      </c>
      <c r="B182" s="15">
        <v>4</v>
      </c>
      <c r="C182" s="16">
        <v>21</v>
      </c>
      <c r="D182" s="17" t="s">
        <v>373</v>
      </c>
      <c r="E182" s="17" t="s">
        <v>374</v>
      </c>
      <c r="F182" s="17">
        <v>100.5</v>
      </c>
      <c r="G182" s="17">
        <v>3131</v>
      </c>
      <c r="H182" s="17">
        <v>111.5</v>
      </c>
      <c r="I182" s="17">
        <v>1692</v>
      </c>
      <c r="J182" s="17">
        <v>91</v>
      </c>
      <c r="K182" s="17">
        <v>5010</v>
      </c>
      <c r="L182" s="17">
        <v>47</v>
      </c>
      <c r="M182" s="17">
        <v>4568</v>
      </c>
      <c r="N182" s="17"/>
      <c r="O182" s="17"/>
      <c r="P182" s="17">
        <v>72</v>
      </c>
      <c r="Q182" s="17">
        <v>4881</v>
      </c>
      <c r="R182" s="17"/>
      <c r="S182" s="17"/>
      <c r="T182" s="17"/>
      <c r="U182" s="17"/>
      <c r="V182" s="17">
        <v>65</v>
      </c>
      <c r="W182" s="17">
        <v>2935</v>
      </c>
      <c r="X182" s="15">
        <v>303</v>
      </c>
      <c r="Y182" s="17">
        <v>251</v>
      </c>
      <c r="Z182" s="17">
        <v>487</v>
      </c>
      <c r="AA182" s="17">
        <v>3895</v>
      </c>
      <c r="AB182" s="12">
        <v>390</v>
      </c>
    </row>
    <row r="183" ht="14.25" spans="1:28">
      <c r="A183" s="13">
        <v>181</v>
      </c>
      <c r="B183" s="15">
        <v>4</v>
      </c>
      <c r="C183" s="16">
        <v>22</v>
      </c>
      <c r="D183" s="17" t="s">
        <v>375</v>
      </c>
      <c r="E183" s="17" t="s">
        <v>376</v>
      </c>
      <c r="F183" s="17">
        <v>107</v>
      </c>
      <c r="G183" s="17">
        <v>945</v>
      </c>
      <c r="H183" s="17">
        <v>114.5</v>
      </c>
      <c r="I183" s="17">
        <v>1277</v>
      </c>
      <c r="J183" s="17">
        <v>108</v>
      </c>
      <c r="K183" s="17">
        <v>1721</v>
      </c>
      <c r="L183" s="17">
        <v>56.5</v>
      </c>
      <c r="M183" s="17">
        <v>2801</v>
      </c>
      <c r="N183" s="17"/>
      <c r="O183" s="17"/>
      <c r="P183" s="17">
        <v>72</v>
      </c>
      <c r="Q183" s="17">
        <v>4881</v>
      </c>
      <c r="R183" s="17"/>
      <c r="S183" s="17"/>
      <c r="T183" s="17"/>
      <c r="U183" s="17"/>
      <c r="V183" s="17">
        <v>83</v>
      </c>
      <c r="W183" s="17">
        <v>648</v>
      </c>
      <c r="X183" s="15">
        <v>329.5</v>
      </c>
      <c r="Y183" s="17">
        <v>69</v>
      </c>
      <c r="Z183" s="17">
        <v>541</v>
      </c>
      <c r="AA183" s="17">
        <v>1585</v>
      </c>
      <c r="AB183" s="12">
        <v>125</v>
      </c>
    </row>
    <row r="184" ht="14.25" spans="1:28">
      <c r="A184" s="13">
        <v>182</v>
      </c>
      <c r="B184" s="15">
        <v>4</v>
      </c>
      <c r="C184" s="16">
        <v>23</v>
      </c>
      <c r="D184" s="17" t="s">
        <v>377</v>
      </c>
      <c r="E184" s="17" t="s">
        <v>378</v>
      </c>
      <c r="F184" s="17">
        <v>104.5</v>
      </c>
      <c r="G184" s="17">
        <v>1551</v>
      </c>
      <c r="H184" s="17">
        <v>122.5</v>
      </c>
      <c r="I184" s="17">
        <v>509</v>
      </c>
      <c r="J184" s="17">
        <v>98.5</v>
      </c>
      <c r="K184" s="17">
        <v>3338</v>
      </c>
      <c r="L184" s="17">
        <v>49.5</v>
      </c>
      <c r="M184" s="17">
        <v>4044</v>
      </c>
      <c r="N184" s="17"/>
      <c r="O184" s="17"/>
      <c r="P184" s="17">
        <v>67</v>
      </c>
      <c r="Q184" s="17">
        <v>6384</v>
      </c>
      <c r="R184" s="17"/>
      <c r="S184" s="17"/>
      <c r="T184" s="17"/>
      <c r="U184" s="17"/>
      <c r="V184" s="17">
        <v>76</v>
      </c>
      <c r="W184" s="17">
        <v>1407</v>
      </c>
      <c r="X184" s="15">
        <v>325.5</v>
      </c>
      <c r="Y184" s="17">
        <v>85</v>
      </c>
      <c r="Z184" s="17">
        <v>518</v>
      </c>
      <c r="AA184" s="17">
        <v>2415</v>
      </c>
      <c r="AB184" s="12">
        <v>226</v>
      </c>
    </row>
    <row r="185" ht="14.25" spans="1:28">
      <c r="A185" s="13">
        <v>183</v>
      </c>
      <c r="B185" s="15">
        <v>4</v>
      </c>
      <c r="C185" s="16">
        <v>24</v>
      </c>
      <c r="D185" s="17" t="s">
        <v>379</v>
      </c>
      <c r="E185" s="17" t="s">
        <v>380</v>
      </c>
      <c r="F185" s="17">
        <v>89.25</v>
      </c>
      <c r="G185" s="17">
        <v>9926</v>
      </c>
      <c r="H185" s="17">
        <v>106.5</v>
      </c>
      <c r="I185" s="17">
        <v>2542</v>
      </c>
      <c r="J185" s="17">
        <v>99.25</v>
      </c>
      <c r="K185" s="17">
        <v>3211</v>
      </c>
      <c r="L185" s="17">
        <v>71</v>
      </c>
      <c r="M185" s="17">
        <v>762</v>
      </c>
      <c r="N185" s="17"/>
      <c r="O185" s="17"/>
      <c r="P185" s="17">
        <v>50</v>
      </c>
      <c r="Q185" s="17">
        <v>10845</v>
      </c>
      <c r="R185" s="17"/>
      <c r="S185" s="17"/>
      <c r="T185" s="17"/>
      <c r="U185" s="17"/>
      <c r="V185" s="17">
        <v>82</v>
      </c>
      <c r="W185" s="17">
        <v>723</v>
      </c>
      <c r="X185" s="15">
        <v>295</v>
      </c>
      <c r="Y185" s="17">
        <v>314</v>
      </c>
      <c r="Z185" s="17">
        <v>498</v>
      </c>
      <c r="AA185" s="17">
        <v>3340</v>
      </c>
      <c r="AB185" s="12">
        <v>339</v>
      </c>
    </row>
    <row r="186" ht="14.25" spans="1:28">
      <c r="A186" s="13">
        <v>184</v>
      </c>
      <c r="B186" s="15">
        <v>4</v>
      </c>
      <c r="C186" s="16">
        <v>25</v>
      </c>
      <c r="D186" s="17" t="s">
        <v>381</v>
      </c>
      <c r="E186" s="17" t="s">
        <v>382</v>
      </c>
      <c r="F186" s="17">
        <v>96.5</v>
      </c>
      <c r="G186" s="17">
        <v>5262</v>
      </c>
      <c r="H186" s="17">
        <v>111.5</v>
      </c>
      <c r="I186" s="17">
        <v>1692</v>
      </c>
      <c r="J186" s="17">
        <v>102.75</v>
      </c>
      <c r="K186" s="17">
        <v>2584</v>
      </c>
      <c r="L186" s="17">
        <v>58</v>
      </c>
      <c r="M186" s="17">
        <v>2538</v>
      </c>
      <c r="N186" s="17"/>
      <c r="O186" s="17"/>
      <c r="P186" s="17">
        <v>90</v>
      </c>
      <c r="Q186" s="17">
        <v>119</v>
      </c>
      <c r="R186" s="17"/>
      <c r="S186" s="17"/>
      <c r="T186" s="17"/>
      <c r="U186" s="17"/>
      <c r="V186" s="17">
        <v>88</v>
      </c>
      <c r="W186" s="17">
        <v>165</v>
      </c>
      <c r="X186" s="15">
        <v>310.75</v>
      </c>
      <c r="Y186" s="17">
        <v>183</v>
      </c>
      <c r="Z186" s="17">
        <v>546.75</v>
      </c>
      <c r="AA186" s="17">
        <v>1400</v>
      </c>
      <c r="AB186" s="12">
        <v>106</v>
      </c>
    </row>
    <row r="187" ht="14.25" spans="1:28">
      <c r="A187" s="13">
        <v>185</v>
      </c>
      <c r="B187" s="15">
        <v>4</v>
      </c>
      <c r="C187" s="16">
        <v>26</v>
      </c>
      <c r="D187" s="17" t="s">
        <v>383</v>
      </c>
      <c r="E187" s="17" t="s">
        <v>384</v>
      </c>
      <c r="F187" s="17">
        <v>116</v>
      </c>
      <c r="G187" s="17">
        <v>48</v>
      </c>
      <c r="H187" s="17">
        <v>114.5</v>
      </c>
      <c r="I187" s="17">
        <v>1277</v>
      </c>
      <c r="J187" s="17">
        <v>106</v>
      </c>
      <c r="K187" s="17">
        <v>2012</v>
      </c>
      <c r="L187" s="17">
        <v>65.5</v>
      </c>
      <c r="M187" s="17">
        <v>1373</v>
      </c>
      <c r="N187" s="17"/>
      <c r="O187" s="17"/>
      <c r="P187" s="17">
        <v>72</v>
      </c>
      <c r="Q187" s="17">
        <v>4881</v>
      </c>
      <c r="R187" s="17"/>
      <c r="S187" s="17"/>
      <c r="T187" s="17"/>
      <c r="U187" s="17"/>
      <c r="V187" s="17">
        <v>88</v>
      </c>
      <c r="W187" s="17">
        <v>165</v>
      </c>
      <c r="X187" s="15">
        <v>336.5</v>
      </c>
      <c r="Y187" s="17">
        <v>43</v>
      </c>
      <c r="Z187" s="17">
        <v>562</v>
      </c>
      <c r="AA187" s="17">
        <v>947</v>
      </c>
      <c r="AB187" s="12">
        <v>67</v>
      </c>
    </row>
    <row r="188" ht="14.25" spans="1:28">
      <c r="A188" s="13">
        <v>186</v>
      </c>
      <c r="B188" s="15">
        <v>4</v>
      </c>
      <c r="C188" s="16">
        <v>27</v>
      </c>
      <c r="D188" s="17" t="s">
        <v>385</v>
      </c>
      <c r="E188" s="17" t="s">
        <v>386</v>
      </c>
      <c r="F188" s="17">
        <v>106.5</v>
      </c>
      <c r="G188" s="17">
        <v>1059</v>
      </c>
      <c r="H188" s="17">
        <v>108</v>
      </c>
      <c r="I188" s="17">
        <v>2274</v>
      </c>
      <c r="J188" s="17">
        <v>108.75</v>
      </c>
      <c r="K188" s="17">
        <v>1628</v>
      </c>
      <c r="L188" s="17">
        <v>59.5</v>
      </c>
      <c r="M188" s="17">
        <v>2274</v>
      </c>
      <c r="N188" s="17"/>
      <c r="O188" s="17"/>
      <c r="P188" s="17">
        <v>78</v>
      </c>
      <c r="Q188" s="17">
        <v>2908</v>
      </c>
      <c r="R188" s="17"/>
      <c r="S188" s="17"/>
      <c r="T188" s="17"/>
      <c r="U188" s="17"/>
      <c r="V188" s="17">
        <v>84</v>
      </c>
      <c r="W188" s="17">
        <v>588</v>
      </c>
      <c r="X188" s="15">
        <v>323.25</v>
      </c>
      <c r="Y188" s="17">
        <v>97</v>
      </c>
      <c r="Z188" s="17">
        <v>544.75</v>
      </c>
      <c r="AA188" s="17">
        <v>1462</v>
      </c>
      <c r="AB188" s="12">
        <v>113</v>
      </c>
    </row>
    <row r="189" ht="14.25" spans="1:28">
      <c r="A189" s="13">
        <v>187</v>
      </c>
      <c r="B189" s="15">
        <v>4</v>
      </c>
      <c r="C189" s="16">
        <v>29</v>
      </c>
      <c r="D189" s="17" t="s">
        <v>387</v>
      </c>
      <c r="E189" s="17" t="s">
        <v>388</v>
      </c>
      <c r="F189" s="17">
        <v>99</v>
      </c>
      <c r="G189" s="17">
        <v>3868</v>
      </c>
      <c r="H189" s="17">
        <v>106</v>
      </c>
      <c r="I189" s="17">
        <v>2619</v>
      </c>
      <c r="J189" s="17">
        <v>69.5</v>
      </c>
      <c r="K189" s="17">
        <v>10427</v>
      </c>
      <c r="L189" s="17">
        <v>51</v>
      </c>
      <c r="M189" s="17">
        <v>3730</v>
      </c>
      <c r="N189" s="17"/>
      <c r="O189" s="17"/>
      <c r="P189" s="17">
        <v>67</v>
      </c>
      <c r="Q189" s="17">
        <v>6384</v>
      </c>
      <c r="R189" s="17"/>
      <c r="S189" s="17"/>
      <c r="T189" s="17"/>
      <c r="U189" s="17"/>
      <c r="V189" s="17">
        <v>87</v>
      </c>
      <c r="W189" s="17">
        <v>273</v>
      </c>
      <c r="X189" s="15">
        <v>274.5</v>
      </c>
      <c r="Y189" s="17">
        <v>502</v>
      </c>
      <c r="Z189" s="17">
        <v>479.5</v>
      </c>
      <c r="AA189" s="17">
        <v>4305</v>
      </c>
      <c r="AB189" s="12">
        <v>420</v>
      </c>
    </row>
    <row r="190" ht="14.25" spans="1:28">
      <c r="A190" s="13">
        <v>188</v>
      </c>
      <c r="B190" s="15">
        <v>4</v>
      </c>
      <c r="C190" s="16">
        <v>30</v>
      </c>
      <c r="D190" s="17" t="s">
        <v>389</v>
      </c>
      <c r="E190" s="17" t="s">
        <v>390</v>
      </c>
      <c r="F190" s="17">
        <v>100.5</v>
      </c>
      <c r="G190" s="17">
        <v>3131</v>
      </c>
      <c r="H190" s="17">
        <v>108</v>
      </c>
      <c r="I190" s="17">
        <v>2274</v>
      </c>
      <c r="J190" s="17">
        <v>100.25</v>
      </c>
      <c r="K190" s="17">
        <v>3011</v>
      </c>
      <c r="L190" s="17">
        <v>44.5</v>
      </c>
      <c r="M190" s="17">
        <v>5122</v>
      </c>
      <c r="N190" s="17"/>
      <c r="O190" s="17"/>
      <c r="P190" s="17">
        <v>78</v>
      </c>
      <c r="Q190" s="17">
        <v>2908</v>
      </c>
      <c r="R190" s="17"/>
      <c r="S190" s="17"/>
      <c r="T190" s="17"/>
      <c r="U190" s="17"/>
      <c r="V190" s="17">
        <v>82</v>
      </c>
      <c r="W190" s="17">
        <v>723</v>
      </c>
      <c r="X190" s="15">
        <v>308.75</v>
      </c>
      <c r="Y190" s="17">
        <v>206</v>
      </c>
      <c r="Z190" s="17">
        <v>513.25</v>
      </c>
      <c r="AA190" s="17">
        <v>2629</v>
      </c>
      <c r="AB190" s="12">
        <v>256</v>
      </c>
    </row>
    <row r="191" ht="14.25" spans="1:28">
      <c r="A191" s="13">
        <v>189</v>
      </c>
      <c r="B191" s="15">
        <v>4</v>
      </c>
      <c r="C191" s="16">
        <v>31</v>
      </c>
      <c r="D191" s="17" t="s">
        <v>391</v>
      </c>
      <c r="E191" s="17" t="s">
        <v>392</v>
      </c>
      <c r="F191" s="17">
        <v>91</v>
      </c>
      <c r="G191" s="17">
        <v>8620</v>
      </c>
      <c r="H191" s="17">
        <v>106</v>
      </c>
      <c r="I191" s="17">
        <v>2619</v>
      </c>
      <c r="J191" s="17">
        <v>100.75</v>
      </c>
      <c r="K191" s="17">
        <v>2915</v>
      </c>
      <c r="L191" s="17">
        <v>32</v>
      </c>
      <c r="M191" s="17">
        <v>8723</v>
      </c>
      <c r="N191" s="17"/>
      <c r="O191" s="17"/>
      <c r="P191" s="17">
        <v>72</v>
      </c>
      <c r="Q191" s="17">
        <v>4881</v>
      </c>
      <c r="R191" s="17"/>
      <c r="S191" s="17"/>
      <c r="T191" s="17"/>
      <c r="U191" s="17"/>
      <c r="V191" s="17">
        <v>52</v>
      </c>
      <c r="W191" s="17">
        <v>4491</v>
      </c>
      <c r="X191" s="15">
        <v>297.75</v>
      </c>
      <c r="Y191" s="17">
        <v>297</v>
      </c>
      <c r="Z191" s="17">
        <v>453.75</v>
      </c>
      <c r="AA191" s="17">
        <v>5880</v>
      </c>
      <c r="AB191" s="12">
        <v>530</v>
      </c>
    </row>
    <row r="192" ht="14.25" spans="1:28">
      <c r="A192" s="13">
        <v>190</v>
      </c>
      <c r="B192" s="15">
        <v>4</v>
      </c>
      <c r="C192" s="16">
        <v>32</v>
      </c>
      <c r="D192" s="17" t="s">
        <v>393</v>
      </c>
      <c r="E192" s="17" t="s">
        <v>394</v>
      </c>
      <c r="F192" s="17">
        <v>85</v>
      </c>
      <c r="G192" s="17">
        <v>12359</v>
      </c>
      <c r="H192" s="17">
        <v>91</v>
      </c>
      <c r="I192" s="17">
        <v>5638</v>
      </c>
      <c r="J192" s="17">
        <v>99</v>
      </c>
      <c r="K192" s="17">
        <v>3244</v>
      </c>
      <c r="L192" s="17">
        <v>30</v>
      </c>
      <c r="M192" s="17">
        <v>9441</v>
      </c>
      <c r="N192" s="17"/>
      <c r="O192" s="17"/>
      <c r="P192" s="17">
        <v>60</v>
      </c>
      <c r="Q192" s="17">
        <v>8673</v>
      </c>
      <c r="R192" s="17"/>
      <c r="S192" s="17"/>
      <c r="T192" s="17"/>
      <c r="U192" s="17"/>
      <c r="V192" s="17">
        <v>78</v>
      </c>
      <c r="W192" s="17">
        <v>1218</v>
      </c>
      <c r="X192" s="15">
        <v>275</v>
      </c>
      <c r="Y192" s="17">
        <v>497</v>
      </c>
      <c r="Z192" s="17">
        <v>443</v>
      </c>
      <c r="AA192" s="17">
        <v>6599</v>
      </c>
      <c r="AB192" s="12">
        <v>558</v>
      </c>
    </row>
    <row r="193" ht="14.25" spans="1:28">
      <c r="A193" s="13">
        <v>191</v>
      </c>
      <c r="B193" s="15">
        <v>4</v>
      </c>
      <c r="C193" s="16">
        <v>33</v>
      </c>
      <c r="D193" s="17" t="s">
        <v>395</v>
      </c>
      <c r="E193" s="17" t="s">
        <v>396</v>
      </c>
      <c r="F193" s="17">
        <v>95.5</v>
      </c>
      <c r="G193" s="17">
        <v>5877</v>
      </c>
      <c r="H193" s="17">
        <v>103.5</v>
      </c>
      <c r="I193" s="17">
        <v>3096</v>
      </c>
      <c r="J193" s="17">
        <v>98.75</v>
      </c>
      <c r="K193" s="17">
        <v>3309</v>
      </c>
      <c r="L193" s="17">
        <v>46.5</v>
      </c>
      <c r="M193" s="17">
        <v>4690</v>
      </c>
      <c r="N193" s="17"/>
      <c r="O193" s="17"/>
      <c r="P193" s="17">
        <v>66</v>
      </c>
      <c r="Q193" s="17">
        <v>6766</v>
      </c>
      <c r="R193" s="17"/>
      <c r="S193" s="17"/>
      <c r="T193" s="17"/>
      <c r="U193" s="17"/>
      <c r="V193" s="17">
        <v>88</v>
      </c>
      <c r="W193" s="17">
        <v>165</v>
      </c>
      <c r="X193" s="15">
        <v>297.75</v>
      </c>
      <c r="Y193" s="17">
        <v>297</v>
      </c>
      <c r="Z193" s="17">
        <v>498.25</v>
      </c>
      <c r="AA193" s="17">
        <v>3329</v>
      </c>
      <c r="AB193" s="12">
        <v>338</v>
      </c>
    </row>
    <row r="194" ht="14.25" spans="1:28">
      <c r="A194" s="13">
        <v>192</v>
      </c>
      <c r="B194" s="15">
        <v>4</v>
      </c>
      <c r="C194" s="16">
        <v>34</v>
      </c>
      <c r="D194" s="17" t="s">
        <v>397</v>
      </c>
      <c r="E194" s="17" t="s">
        <v>398</v>
      </c>
      <c r="F194" s="17">
        <v>84.5</v>
      </c>
      <c r="G194" s="17">
        <v>12633</v>
      </c>
      <c r="H194" s="17">
        <v>86</v>
      </c>
      <c r="I194" s="17">
        <v>6759</v>
      </c>
      <c r="J194" s="17">
        <v>70</v>
      </c>
      <c r="K194" s="17">
        <v>10322</v>
      </c>
      <c r="L194" s="17">
        <v>54.5</v>
      </c>
      <c r="M194" s="17">
        <v>3126</v>
      </c>
      <c r="N194" s="17"/>
      <c r="O194" s="17"/>
      <c r="P194" s="17">
        <v>54</v>
      </c>
      <c r="Q194" s="17">
        <v>10153</v>
      </c>
      <c r="R194" s="17"/>
      <c r="S194" s="17"/>
      <c r="T194" s="17"/>
      <c r="U194" s="17"/>
      <c r="V194" s="17">
        <v>73</v>
      </c>
      <c r="W194" s="17">
        <v>1853</v>
      </c>
      <c r="X194" s="15">
        <v>240.5</v>
      </c>
      <c r="Y194" s="17">
        <v>632</v>
      </c>
      <c r="Z194" s="17">
        <v>422</v>
      </c>
      <c r="AA194" s="17">
        <v>8072</v>
      </c>
      <c r="AB194" s="12">
        <v>621</v>
      </c>
    </row>
    <row r="195" ht="14.25" spans="1:28">
      <c r="A195" s="13">
        <v>193</v>
      </c>
      <c r="B195" s="15">
        <v>4</v>
      </c>
      <c r="C195" s="16">
        <v>35</v>
      </c>
      <c r="D195" s="17" t="s">
        <v>399</v>
      </c>
      <c r="E195" s="17" t="s">
        <v>400</v>
      </c>
      <c r="F195" s="17">
        <v>102.75</v>
      </c>
      <c r="G195" s="17">
        <v>2250</v>
      </c>
      <c r="H195" s="17">
        <v>96</v>
      </c>
      <c r="I195" s="17">
        <v>4544</v>
      </c>
      <c r="J195" s="17">
        <v>92</v>
      </c>
      <c r="K195" s="17">
        <v>4787</v>
      </c>
      <c r="L195" s="17">
        <v>44</v>
      </c>
      <c r="M195" s="17">
        <v>5222</v>
      </c>
      <c r="N195" s="17"/>
      <c r="O195" s="17"/>
      <c r="P195" s="17">
        <v>66</v>
      </c>
      <c r="Q195" s="17">
        <v>6766</v>
      </c>
      <c r="R195" s="17"/>
      <c r="S195" s="17"/>
      <c r="T195" s="17"/>
      <c r="U195" s="17"/>
      <c r="V195" s="17">
        <v>86</v>
      </c>
      <c r="W195" s="17">
        <v>439</v>
      </c>
      <c r="X195" s="15">
        <v>290.75</v>
      </c>
      <c r="Y195" s="17">
        <v>361</v>
      </c>
      <c r="Z195" s="17">
        <v>486.75</v>
      </c>
      <c r="AA195" s="17">
        <v>3913</v>
      </c>
      <c r="AB195" s="12">
        <v>393</v>
      </c>
    </row>
    <row r="196" ht="14.25" spans="1:28">
      <c r="A196" s="13">
        <v>194</v>
      </c>
      <c r="B196" s="15">
        <v>4</v>
      </c>
      <c r="C196" s="16">
        <v>37</v>
      </c>
      <c r="D196" s="17" t="s">
        <v>401</v>
      </c>
      <c r="E196" s="17" t="s">
        <v>402</v>
      </c>
      <c r="F196" s="17">
        <v>104.75</v>
      </c>
      <c r="G196" s="17">
        <v>1539</v>
      </c>
      <c r="H196" s="17">
        <v>74.5</v>
      </c>
      <c r="I196" s="17">
        <v>9115</v>
      </c>
      <c r="J196" s="17">
        <v>104</v>
      </c>
      <c r="K196" s="17">
        <v>2352</v>
      </c>
      <c r="L196" s="17">
        <v>41.5</v>
      </c>
      <c r="M196" s="17">
        <v>5867</v>
      </c>
      <c r="N196" s="17"/>
      <c r="O196" s="17"/>
      <c r="P196" s="17">
        <v>58</v>
      </c>
      <c r="Q196" s="17">
        <v>9299</v>
      </c>
      <c r="R196" s="17"/>
      <c r="S196" s="17"/>
      <c r="T196" s="17"/>
      <c r="U196" s="17"/>
      <c r="V196" s="17">
        <v>85</v>
      </c>
      <c r="W196" s="17">
        <v>530</v>
      </c>
      <c r="X196" s="15">
        <v>283.25</v>
      </c>
      <c r="Y196" s="17">
        <v>416</v>
      </c>
      <c r="Z196" s="17">
        <v>467.75</v>
      </c>
      <c r="AA196" s="17">
        <v>4988</v>
      </c>
      <c r="AB196" s="12">
        <v>469</v>
      </c>
    </row>
    <row r="197" ht="14.25" spans="1:28">
      <c r="A197" s="13">
        <v>195</v>
      </c>
      <c r="B197" s="15">
        <v>4</v>
      </c>
      <c r="C197" s="16">
        <v>38</v>
      </c>
      <c r="D197" s="17" t="s">
        <v>403</v>
      </c>
      <c r="E197" s="17" t="s">
        <v>404</v>
      </c>
      <c r="F197" s="17">
        <v>89</v>
      </c>
      <c r="G197" s="17">
        <v>9959</v>
      </c>
      <c r="H197" s="17">
        <v>95</v>
      </c>
      <c r="I197" s="17">
        <v>4735</v>
      </c>
      <c r="J197" s="17">
        <v>92.5</v>
      </c>
      <c r="K197" s="17">
        <v>4660</v>
      </c>
      <c r="L197" s="17">
        <v>57.5</v>
      </c>
      <c r="M197" s="17">
        <v>2619</v>
      </c>
      <c r="N197" s="17"/>
      <c r="O197" s="17"/>
      <c r="P197" s="17">
        <v>86</v>
      </c>
      <c r="Q197" s="17">
        <v>1052</v>
      </c>
      <c r="R197" s="17"/>
      <c r="S197" s="17"/>
      <c r="T197" s="17"/>
      <c r="U197" s="17"/>
      <c r="V197" s="17">
        <v>79</v>
      </c>
      <c r="W197" s="17">
        <v>1023</v>
      </c>
      <c r="X197" s="15">
        <v>276.5</v>
      </c>
      <c r="Y197" s="17">
        <v>488</v>
      </c>
      <c r="Z197" s="17">
        <v>499</v>
      </c>
      <c r="AA197" s="17">
        <v>3285</v>
      </c>
      <c r="AB197" s="12">
        <v>332</v>
      </c>
    </row>
    <row r="198" ht="14.25" spans="1:28">
      <c r="A198" s="13">
        <v>196</v>
      </c>
      <c r="B198" s="15">
        <v>4</v>
      </c>
      <c r="C198" s="16">
        <v>39</v>
      </c>
      <c r="D198" s="17" t="s">
        <v>405</v>
      </c>
      <c r="E198" s="17" t="s">
        <v>406</v>
      </c>
      <c r="F198" s="17">
        <v>102.5</v>
      </c>
      <c r="G198" s="17">
        <v>2274</v>
      </c>
      <c r="H198" s="17">
        <v>106.5</v>
      </c>
      <c r="I198" s="17">
        <v>2542</v>
      </c>
      <c r="J198" s="17">
        <v>104.5</v>
      </c>
      <c r="K198" s="17">
        <v>2265</v>
      </c>
      <c r="L198" s="17">
        <v>47.5</v>
      </c>
      <c r="M198" s="17">
        <v>4470</v>
      </c>
      <c r="N198" s="17"/>
      <c r="O198" s="17"/>
      <c r="P198" s="17">
        <v>64</v>
      </c>
      <c r="Q198" s="17">
        <v>7304</v>
      </c>
      <c r="R198" s="17"/>
      <c r="S198" s="17"/>
      <c r="T198" s="17"/>
      <c r="U198" s="17"/>
      <c r="V198" s="17">
        <v>76</v>
      </c>
      <c r="W198" s="17">
        <v>1407</v>
      </c>
      <c r="X198" s="15">
        <v>313.5</v>
      </c>
      <c r="Y198" s="17">
        <v>164</v>
      </c>
      <c r="Z198" s="17">
        <v>501</v>
      </c>
      <c r="AA198" s="17">
        <v>3195</v>
      </c>
      <c r="AB198" s="12">
        <v>321</v>
      </c>
    </row>
    <row r="199" ht="14.25" spans="1:28">
      <c r="A199" s="13">
        <v>197</v>
      </c>
      <c r="B199" s="15">
        <v>4</v>
      </c>
      <c r="C199" s="16">
        <v>40</v>
      </c>
      <c r="D199" s="17" t="s">
        <v>407</v>
      </c>
      <c r="E199" s="17" t="s">
        <v>408</v>
      </c>
      <c r="F199" s="17">
        <v>95.5</v>
      </c>
      <c r="G199" s="17">
        <v>5877</v>
      </c>
      <c r="H199" s="17">
        <v>83</v>
      </c>
      <c r="I199" s="17">
        <v>7420</v>
      </c>
      <c r="J199" s="17">
        <v>70.25</v>
      </c>
      <c r="K199" s="17">
        <v>10279</v>
      </c>
      <c r="L199" s="17">
        <v>44</v>
      </c>
      <c r="M199" s="17">
        <v>5222</v>
      </c>
      <c r="N199" s="17"/>
      <c r="O199" s="17"/>
      <c r="P199" s="17">
        <v>64</v>
      </c>
      <c r="Q199" s="17">
        <v>7304</v>
      </c>
      <c r="R199" s="17"/>
      <c r="S199" s="17"/>
      <c r="T199" s="17"/>
      <c r="U199" s="17"/>
      <c r="V199" s="17">
        <v>80</v>
      </c>
      <c r="W199" s="17">
        <v>938</v>
      </c>
      <c r="X199" s="15">
        <v>248.75</v>
      </c>
      <c r="Y199" s="17">
        <v>612</v>
      </c>
      <c r="Z199" s="17">
        <v>436.75</v>
      </c>
      <c r="AA199" s="17">
        <v>7056</v>
      </c>
      <c r="AB199" s="12">
        <v>579</v>
      </c>
    </row>
    <row r="200" ht="14.25" spans="1:28">
      <c r="A200" s="13">
        <v>198</v>
      </c>
      <c r="B200" s="15">
        <v>4</v>
      </c>
      <c r="C200" s="16">
        <v>41</v>
      </c>
      <c r="D200" s="17" t="s">
        <v>409</v>
      </c>
      <c r="E200" s="17" t="s">
        <v>410</v>
      </c>
      <c r="F200" s="17">
        <v>89</v>
      </c>
      <c r="G200" s="17">
        <v>9959</v>
      </c>
      <c r="H200" s="17">
        <v>106.5</v>
      </c>
      <c r="I200" s="17">
        <v>2542</v>
      </c>
      <c r="J200" s="17">
        <v>88.5</v>
      </c>
      <c r="K200" s="17">
        <v>5628</v>
      </c>
      <c r="L200" s="17">
        <v>58.5</v>
      </c>
      <c r="M200" s="17">
        <v>2451</v>
      </c>
      <c r="N200" s="17"/>
      <c r="O200" s="17"/>
      <c r="P200" s="17">
        <v>80</v>
      </c>
      <c r="Q200" s="17">
        <v>2333</v>
      </c>
      <c r="R200" s="17"/>
      <c r="S200" s="17"/>
      <c r="T200" s="17"/>
      <c r="U200" s="17"/>
      <c r="V200" s="17">
        <v>66</v>
      </c>
      <c r="W200" s="17">
        <v>2820</v>
      </c>
      <c r="X200" s="15">
        <v>284</v>
      </c>
      <c r="Y200" s="17">
        <v>408</v>
      </c>
      <c r="Z200" s="17">
        <v>488.5</v>
      </c>
      <c r="AA200" s="17">
        <v>3823</v>
      </c>
      <c r="AB200" s="12">
        <v>383</v>
      </c>
    </row>
    <row r="201" ht="14.25" spans="1:28">
      <c r="A201" s="13">
        <v>199</v>
      </c>
      <c r="B201" s="15">
        <v>4</v>
      </c>
      <c r="C201" s="16">
        <v>42</v>
      </c>
      <c r="D201" s="17" t="s">
        <v>411</v>
      </c>
      <c r="E201" s="17" t="s">
        <v>412</v>
      </c>
      <c r="F201" s="17">
        <v>91.5</v>
      </c>
      <c r="G201" s="17">
        <v>8306</v>
      </c>
      <c r="H201" s="17">
        <v>109.5</v>
      </c>
      <c r="I201" s="17">
        <v>2023</v>
      </c>
      <c r="J201" s="17">
        <v>119.25</v>
      </c>
      <c r="K201" s="17">
        <v>551</v>
      </c>
      <c r="L201" s="17">
        <v>59</v>
      </c>
      <c r="M201" s="17">
        <v>2358</v>
      </c>
      <c r="N201" s="17"/>
      <c r="O201" s="17"/>
      <c r="P201" s="17">
        <v>80</v>
      </c>
      <c r="Q201" s="17">
        <v>2333</v>
      </c>
      <c r="R201" s="17"/>
      <c r="S201" s="17"/>
      <c r="T201" s="17"/>
      <c r="U201" s="17"/>
      <c r="V201" s="17">
        <v>86</v>
      </c>
      <c r="W201" s="17">
        <v>439</v>
      </c>
      <c r="X201" s="15">
        <v>320.25</v>
      </c>
      <c r="Y201" s="17">
        <v>114</v>
      </c>
      <c r="Z201" s="17">
        <v>545.25</v>
      </c>
      <c r="AA201" s="17">
        <v>1448</v>
      </c>
      <c r="AB201" s="12">
        <v>110</v>
      </c>
    </row>
    <row r="202" ht="14.25" spans="1:28">
      <c r="A202" s="13">
        <v>200</v>
      </c>
      <c r="B202" s="15">
        <v>4</v>
      </c>
      <c r="C202" s="16">
        <v>43</v>
      </c>
      <c r="D202" s="17" t="s">
        <v>413</v>
      </c>
      <c r="E202" s="17" t="s">
        <v>414</v>
      </c>
      <c r="F202" s="17">
        <v>100.75</v>
      </c>
      <c r="G202" s="17">
        <v>3103</v>
      </c>
      <c r="H202" s="17">
        <v>74.5</v>
      </c>
      <c r="I202" s="17">
        <v>9115</v>
      </c>
      <c r="J202" s="17">
        <v>86</v>
      </c>
      <c r="K202" s="17">
        <v>6253</v>
      </c>
      <c r="L202" s="17">
        <v>17</v>
      </c>
      <c r="M202" s="17">
        <v>15308</v>
      </c>
      <c r="N202" s="17"/>
      <c r="O202" s="17"/>
      <c r="P202" s="17">
        <v>57</v>
      </c>
      <c r="Q202" s="17">
        <v>9600</v>
      </c>
      <c r="R202" s="17"/>
      <c r="S202" s="17"/>
      <c r="T202" s="17"/>
      <c r="U202" s="17"/>
      <c r="V202" s="17">
        <v>72</v>
      </c>
      <c r="W202" s="17">
        <v>2049</v>
      </c>
      <c r="X202" s="15">
        <v>261.25</v>
      </c>
      <c r="Y202" s="17">
        <v>576</v>
      </c>
      <c r="Z202" s="17">
        <v>407.25</v>
      </c>
      <c r="AA202" s="17">
        <v>9147</v>
      </c>
      <c r="AB202" s="12">
        <v>635</v>
      </c>
    </row>
    <row r="203" ht="14.25" spans="1:28">
      <c r="A203" s="13">
        <v>201</v>
      </c>
      <c r="B203" s="15">
        <v>4</v>
      </c>
      <c r="C203" s="16">
        <v>44</v>
      </c>
      <c r="D203" s="17" t="s">
        <v>415</v>
      </c>
      <c r="E203" s="17" t="s">
        <v>416</v>
      </c>
      <c r="F203" s="17">
        <v>106.5</v>
      </c>
      <c r="G203" s="17">
        <v>1059</v>
      </c>
      <c r="H203" s="17">
        <v>106.5</v>
      </c>
      <c r="I203" s="17">
        <v>2542</v>
      </c>
      <c r="J203" s="17">
        <v>103</v>
      </c>
      <c r="K203" s="17">
        <v>2527</v>
      </c>
      <c r="L203" s="17">
        <v>36</v>
      </c>
      <c r="M203" s="17">
        <v>7408</v>
      </c>
      <c r="N203" s="17"/>
      <c r="O203" s="17"/>
      <c r="P203" s="17">
        <v>67</v>
      </c>
      <c r="Q203" s="17">
        <v>6384</v>
      </c>
      <c r="R203" s="17"/>
      <c r="S203" s="17"/>
      <c r="T203" s="17"/>
      <c r="U203" s="17"/>
      <c r="V203" s="17">
        <v>70</v>
      </c>
      <c r="W203" s="17">
        <v>2293</v>
      </c>
      <c r="X203" s="15">
        <v>316</v>
      </c>
      <c r="Y203" s="17">
        <v>144</v>
      </c>
      <c r="Z203" s="17">
        <v>489</v>
      </c>
      <c r="AA203" s="17">
        <v>3796</v>
      </c>
      <c r="AB203" s="12">
        <v>380</v>
      </c>
    </row>
    <row r="204" ht="14.25" spans="1:28">
      <c r="A204" s="13">
        <v>202</v>
      </c>
      <c r="B204" s="15">
        <v>4</v>
      </c>
      <c r="C204" s="16">
        <v>45</v>
      </c>
      <c r="D204" s="17" t="s">
        <v>417</v>
      </c>
      <c r="E204" s="17" t="s">
        <v>418</v>
      </c>
      <c r="F204" s="17">
        <v>101</v>
      </c>
      <c r="G204" s="17">
        <v>2896</v>
      </c>
      <c r="H204" s="17">
        <v>111</v>
      </c>
      <c r="I204" s="17">
        <v>1774</v>
      </c>
      <c r="J204" s="17">
        <v>107.5</v>
      </c>
      <c r="K204" s="17">
        <v>1810</v>
      </c>
      <c r="L204" s="17">
        <v>50.5</v>
      </c>
      <c r="M204" s="17">
        <v>3830</v>
      </c>
      <c r="N204" s="17"/>
      <c r="O204" s="17"/>
      <c r="P204" s="17">
        <v>76</v>
      </c>
      <c r="Q204" s="17">
        <v>3515</v>
      </c>
      <c r="R204" s="17"/>
      <c r="S204" s="17"/>
      <c r="T204" s="17"/>
      <c r="U204" s="17"/>
      <c r="V204" s="17">
        <v>73</v>
      </c>
      <c r="W204" s="17">
        <v>1853</v>
      </c>
      <c r="X204" s="15">
        <v>319.5</v>
      </c>
      <c r="Y204" s="17">
        <v>121</v>
      </c>
      <c r="Z204" s="17">
        <v>519</v>
      </c>
      <c r="AA204" s="17">
        <v>2383</v>
      </c>
      <c r="AB204" s="12">
        <v>223</v>
      </c>
    </row>
    <row r="205" ht="14.25" spans="1:28">
      <c r="A205" s="13">
        <v>203</v>
      </c>
      <c r="B205" s="15">
        <v>4</v>
      </c>
      <c r="C205" s="16">
        <v>46</v>
      </c>
      <c r="D205" s="17" t="s">
        <v>419</v>
      </c>
      <c r="E205" s="17" t="s">
        <v>420</v>
      </c>
      <c r="F205" s="17">
        <v>89.5</v>
      </c>
      <c r="G205" s="17">
        <v>9648</v>
      </c>
      <c r="H205" s="17">
        <v>111</v>
      </c>
      <c r="I205" s="17">
        <v>1774</v>
      </c>
      <c r="J205" s="17">
        <v>77.5</v>
      </c>
      <c r="K205" s="17">
        <v>8422</v>
      </c>
      <c r="L205" s="17">
        <v>44.5</v>
      </c>
      <c r="M205" s="17">
        <v>5122</v>
      </c>
      <c r="N205" s="17"/>
      <c r="O205" s="17"/>
      <c r="P205" s="17">
        <v>74</v>
      </c>
      <c r="Q205" s="17">
        <v>4168</v>
      </c>
      <c r="R205" s="17"/>
      <c r="S205" s="17"/>
      <c r="T205" s="17"/>
      <c r="U205" s="17"/>
      <c r="V205" s="17">
        <v>79</v>
      </c>
      <c r="W205" s="17">
        <v>1023</v>
      </c>
      <c r="X205" s="15">
        <v>278</v>
      </c>
      <c r="Y205" s="17">
        <v>469</v>
      </c>
      <c r="Z205" s="17">
        <v>475.5</v>
      </c>
      <c r="AA205" s="17">
        <v>4513</v>
      </c>
      <c r="AB205" s="12">
        <v>434</v>
      </c>
    </row>
    <row r="206" ht="14.25" spans="1:28">
      <c r="A206" s="13">
        <v>204</v>
      </c>
      <c r="B206" s="15">
        <v>4</v>
      </c>
      <c r="C206" s="16">
        <v>47</v>
      </c>
      <c r="D206" s="17" t="s">
        <v>421</v>
      </c>
      <c r="E206" s="17" t="s">
        <v>422</v>
      </c>
      <c r="F206" s="17">
        <v>106</v>
      </c>
      <c r="G206" s="17">
        <v>1174</v>
      </c>
      <c r="H206" s="17">
        <v>90</v>
      </c>
      <c r="I206" s="17">
        <v>5850</v>
      </c>
      <c r="J206" s="17">
        <v>94.5</v>
      </c>
      <c r="K206" s="17">
        <v>4208</v>
      </c>
      <c r="L206" s="17">
        <v>40</v>
      </c>
      <c r="M206" s="17">
        <v>6265</v>
      </c>
      <c r="N206" s="17"/>
      <c r="O206" s="17"/>
      <c r="P206" s="17">
        <v>58</v>
      </c>
      <c r="Q206" s="17">
        <v>9299</v>
      </c>
      <c r="R206" s="17"/>
      <c r="S206" s="17"/>
      <c r="T206" s="17"/>
      <c r="U206" s="17"/>
      <c r="V206" s="17">
        <v>73</v>
      </c>
      <c r="W206" s="17">
        <v>1853</v>
      </c>
      <c r="X206" s="15">
        <v>290.5</v>
      </c>
      <c r="Y206" s="17">
        <v>364</v>
      </c>
      <c r="Z206" s="17">
        <v>461.5</v>
      </c>
      <c r="AA206" s="17">
        <v>5381</v>
      </c>
      <c r="AB206" s="12">
        <v>503</v>
      </c>
    </row>
    <row r="207" ht="14.25" spans="1:28">
      <c r="A207" s="13">
        <v>205</v>
      </c>
      <c r="B207" s="15">
        <v>5</v>
      </c>
      <c r="C207" s="16">
        <v>1</v>
      </c>
      <c r="D207" s="17" t="s">
        <v>423</v>
      </c>
      <c r="E207" s="17" t="s">
        <v>424</v>
      </c>
      <c r="F207" s="17">
        <v>98</v>
      </c>
      <c r="G207" s="17">
        <v>4423</v>
      </c>
      <c r="H207" s="17">
        <v>130.5</v>
      </c>
      <c r="I207" s="17">
        <v>122</v>
      </c>
      <c r="J207" s="17">
        <v>114.5</v>
      </c>
      <c r="K207" s="17">
        <v>951</v>
      </c>
      <c r="L207" s="17">
        <v>55.5</v>
      </c>
      <c r="M207" s="17">
        <v>2964</v>
      </c>
      <c r="N207" s="17"/>
      <c r="O207" s="17"/>
      <c r="P207" s="17">
        <v>85</v>
      </c>
      <c r="Q207" s="17">
        <v>1345</v>
      </c>
      <c r="R207" s="17"/>
      <c r="S207" s="17"/>
      <c r="T207" s="17"/>
      <c r="U207" s="17"/>
      <c r="V207" s="17">
        <v>86</v>
      </c>
      <c r="W207" s="17">
        <v>439</v>
      </c>
      <c r="X207" s="15">
        <v>343</v>
      </c>
      <c r="Y207" s="17">
        <v>22</v>
      </c>
      <c r="Z207" s="17">
        <v>569.5</v>
      </c>
      <c r="AA207" s="17">
        <v>760</v>
      </c>
      <c r="AB207" s="12">
        <v>48</v>
      </c>
    </row>
    <row r="208" ht="14.25" spans="1:28">
      <c r="A208" s="13">
        <v>206</v>
      </c>
      <c r="B208" s="15">
        <v>5</v>
      </c>
      <c r="C208" s="16">
        <v>2</v>
      </c>
      <c r="D208" s="17" t="s">
        <v>425</v>
      </c>
      <c r="E208" s="17" t="s">
        <v>426</v>
      </c>
      <c r="F208" s="17">
        <v>93</v>
      </c>
      <c r="G208" s="17">
        <v>7407</v>
      </c>
      <c r="H208" s="17">
        <v>99</v>
      </c>
      <c r="I208" s="17">
        <v>3947</v>
      </c>
      <c r="J208" s="17">
        <v>81.5</v>
      </c>
      <c r="K208" s="17">
        <v>7394</v>
      </c>
      <c r="L208" s="17">
        <v>19</v>
      </c>
      <c r="M208" s="17">
        <v>14435</v>
      </c>
      <c r="N208" s="17"/>
      <c r="O208" s="17"/>
      <c r="P208" s="17">
        <v>50</v>
      </c>
      <c r="Q208" s="17">
        <v>10845</v>
      </c>
      <c r="R208" s="17"/>
      <c r="S208" s="17"/>
      <c r="T208" s="17"/>
      <c r="U208" s="17"/>
      <c r="V208" s="17">
        <v>88</v>
      </c>
      <c r="W208" s="17">
        <v>165</v>
      </c>
      <c r="X208" s="15">
        <v>273.5</v>
      </c>
      <c r="Y208" s="17">
        <v>505</v>
      </c>
      <c r="Z208" s="17">
        <v>430.5</v>
      </c>
      <c r="AA208" s="17">
        <v>7460</v>
      </c>
      <c r="AB208" s="12">
        <v>598</v>
      </c>
    </row>
    <row r="209" ht="14.25" spans="1:28">
      <c r="A209" s="13">
        <v>207</v>
      </c>
      <c r="B209" s="15">
        <v>5</v>
      </c>
      <c r="C209" s="16">
        <v>4</v>
      </c>
      <c r="D209" s="17" t="s">
        <v>427</v>
      </c>
      <c r="E209" s="17" t="s">
        <v>428</v>
      </c>
      <c r="F209" s="17">
        <v>84.5</v>
      </c>
      <c r="G209" s="17">
        <v>12633</v>
      </c>
      <c r="H209" s="17">
        <v>96</v>
      </c>
      <c r="I209" s="17">
        <v>4544</v>
      </c>
      <c r="J209" s="17">
        <v>101.75</v>
      </c>
      <c r="K209" s="17">
        <v>2754</v>
      </c>
      <c r="L209" s="17">
        <v>34.5</v>
      </c>
      <c r="M209" s="17">
        <v>7899</v>
      </c>
      <c r="N209" s="17"/>
      <c r="O209" s="17"/>
      <c r="P209" s="17">
        <v>55</v>
      </c>
      <c r="Q209" s="17">
        <v>10022</v>
      </c>
      <c r="R209" s="17"/>
      <c r="S209" s="17"/>
      <c r="T209" s="17"/>
      <c r="U209" s="17"/>
      <c r="V209" s="17">
        <v>74</v>
      </c>
      <c r="W209" s="17">
        <v>1732</v>
      </c>
      <c r="X209" s="15">
        <v>282.25</v>
      </c>
      <c r="Y209" s="17">
        <v>430</v>
      </c>
      <c r="Z209" s="17">
        <v>445.75</v>
      </c>
      <c r="AA209" s="17">
        <v>6412</v>
      </c>
      <c r="AB209" s="12">
        <v>552</v>
      </c>
    </row>
    <row r="210" ht="14.25" spans="1:28">
      <c r="A210" s="13">
        <v>208</v>
      </c>
      <c r="B210" s="15">
        <v>5</v>
      </c>
      <c r="C210" s="16">
        <v>5</v>
      </c>
      <c r="D210" s="17" t="s">
        <v>429</v>
      </c>
      <c r="E210" s="17" t="s">
        <v>430</v>
      </c>
      <c r="F210" s="17">
        <v>98.5</v>
      </c>
      <c r="G210" s="17">
        <v>4145</v>
      </c>
      <c r="H210" s="17">
        <v>120</v>
      </c>
      <c r="I210" s="17">
        <v>708</v>
      </c>
      <c r="J210" s="17">
        <v>95.5</v>
      </c>
      <c r="K210" s="17">
        <v>3977</v>
      </c>
      <c r="L210" s="17">
        <v>51</v>
      </c>
      <c r="M210" s="17">
        <v>3730</v>
      </c>
      <c r="N210" s="17"/>
      <c r="O210" s="17"/>
      <c r="P210" s="17">
        <v>72</v>
      </c>
      <c r="Q210" s="17">
        <v>4881</v>
      </c>
      <c r="R210" s="17"/>
      <c r="S210" s="17"/>
      <c r="T210" s="17"/>
      <c r="U210" s="17"/>
      <c r="V210" s="17">
        <v>84</v>
      </c>
      <c r="W210" s="17">
        <v>588</v>
      </c>
      <c r="X210" s="15">
        <v>314</v>
      </c>
      <c r="Y210" s="17">
        <v>157</v>
      </c>
      <c r="Z210" s="17">
        <v>521</v>
      </c>
      <c r="AA210" s="17">
        <v>2318</v>
      </c>
      <c r="AB210" s="12">
        <v>212</v>
      </c>
    </row>
    <row r="211" ht="14.25" spans="1:28">
      <c r="A211" s="13">
        <v>209</v>
      </c>
      <c r="B211" s="15">
        <v>5</v>
      </c>
      <c r="C211" s="16">
        <v>6</v>
      </c>
      <c r="D211" s="17" t="s">
        <v>431</v>
      </c>
      <c r="E211" s="17" t="s">
        <v>432</v>
      </c>
      <c r="F211" s="17">
        <v>88</v>
      </c>
      <c r="G211" s="17">
        <v>10604</v>
      </c>
      <c r="H211" s="17">
        <v>116</v>
      </c>
      <c r="I211" s="17">
        <v>1095</v>
      </c>
      <c r="J211" s="17">
        <v>116.25</v>
      </c>
      <c r="K211" s="17">
        <v>797</v>
      </c>
      <c r="L211" s="17">
        <v>53</v>
      </c>
      <c r="M211" s="17">
        <v>3368</v>
      </c>
      <c r="N211" s="17"/>
      <c r="O211" s="17"/>
      <c r="P211" s="17">
        <v>78</v>
      </c>
      <c r="Q211" s="17">
        <v>2908</v>
      </c>
      <c r="R211" s="17"/>
      <c r="S211" s="17"/>
      <c r="T211" s="17"/>
      <c r="U211" s="17"/>
      <c r="V211" s="17">
        <v>73</v>
      </c>
      <c r="W211" s="17">
        <v>1853</v>
      </c>
      <c r="X211" s="15">
        <v>320.25</v>
      </c>
      <c r="Y211" s="17">
        <v>114</v>
      </c>
      <c r="Z211" s="17">
        <v>524.25</v>
      </c>
      <c r="AA211" s="17">
        <v>2179</v>
      </c>
      <c r="AB211" s="12">
        <v>196</v>
      </c>
    </row>
    <row r="212" ht="14.25" spans="1:28">
      <c r="A212" s="13">
        <v>210</v>
      </c>
      <c r="B212" s="15">
        <v>5</v>
      </c>
      <c r="C212" s="16">
        <v>7</v>
      </c>
      <c r="D212" s="17" t="s">
        <v>433</v>
      </c>
      <c r="E212" s="17" t="s">
        <v>434</v>
      </c>
      <c r="F212" s="17">
        <v>107.5</v>
      </c>
      <c r="G212" s="17">
        <v>829</v>
      </c>
      <c r="H212" s="17">
        <v>115.5</v>
      </c>
      <c r="I212" s="17">
        <v>1149</v>
      </c>
      <c r="J212" s="17">
        <v>96.75</v>
      </c>
      <c r="K212" s="17">
        <v>3707</v>
      </c>
      <c r="L212" s="17">
        <v>64</v>
      </c>
      <c r="M212" s="17">
        <v>1577</v>
      </c>
      <c r="N212" s="17"/>
      <c r="O212" s="17"/>
      <c r="P212" s="17">
        <v>82</v>
      </c>
      <c r="Q212" s="17">
        <v>1870</v>
      </c>
      <c r="R212" s="17"/>
      <c r="S212" s="17"/>
      <c r="T212" s="17"/>
      <c r="U212" s="17"/>
      <c r="V212" s="17">
        <v>79</v>
      </c>
      <c r="W212" s="17">
        <v>1023</v>
      </c>
      <c r="X212" s="15">
        <v>319.75</v>
      </c>
      <c r="Y212" s="17">
        <v>120</v>
      </c>
      <c r="Z212" s="17">
        <v>544.75</v>
      </c>
      <c r="AA212" s="17">
        <v>1462</v>
      </c>
      <c r="AB212" s="12">
        <v>113</v>
      </c>
    </row>
    <row r="213" ht="14.25" spans="1:28">
      <c r="A213" s="13">
        <v>211</v>
      </c>
      <c r="B213" s="15">
        <v>5</v>
      </c>
      <c r="C213" s="16">
        <v>8</v>
      </c>
      <c r="D213" s="17" t="s">
        <v>435</v>
      </c>
      <c r="E213" s="17" t="s">
        <v>436</v>
      </c>
      <c r="F213" s="17">
        <v>97</v>
      </c>
      <c r="G213" s="17">
        <v>4967</v>
      </c>
      <c r="H213" s="17">
        <v>120.5</v>
      </c>
      <c r="I213" s="17">
        <v>665</v>
      </c>
      <c r="J213" s="17">
        <v>89</v>
      </c>
      <c r="K213" s="17">
        <v>5512</v>
      </c>
      <c r="L213" s="17">
        <v>66.5</v>
      </c>
      <c r="M213" s="17">
        <v>1237</v>
      </c>
      <c r="N213" s="17"/>
      <c r="O213" s="17"/>
      <c r="P213" s="17">
        <v>79</v>
      </c>
      <c r="Q213" s="17">
        <v>2632</v>
      </c>
      <c r="R213" s="17"/>
      <c r="S213" s="17"/>
      <c r="T213" s="17"/>
      <c r="U213" s="17"/>
      <c r="V213" s="17">
        <v>79</v>
      </c>
      <c r="W213" s="17">
        <v>1023</v>
      </c>
      <c r="X213" s="15">
        <v>306.5</v>
      </c>
      <c r="Y213" s="17">
        <v>224</v>
      </c>
      <c r="Z213" s="17">
        <v>531</v>
      </c>
      <c r="AA213" s="17">
        <v>1909</v>
      </c>
      <c r="AB213" s="12">
        <v>167</v>
      </c>
    </row>
    <row r="214" ht="14.25" spans="1:28">
      <c r="A214" s="13">
        <v>212</v>
      </c>
      <c r="B214" s="15">
        <v>5</v>
      </c>
      <c r="C214" s="16">
        <v>9</v>
      </c>
      <c r="D214" s="17" t="s">
        <v>437</v>
      </c>
      <c r="E214" s="17" t="s">
        <v>438</v>
      </c>
      <c r="F214" s="17">
        <v>91.5</v>
      </c>
      <c r="G214" s="17">
        <v>8306</v>
      </c>
      <c r="H214" s="17">
        <v>98</v>
      </c>
      <c r="I214" s="17">
        <v>4147</v>
      </c>
      <c r="J214" s="17">
        <v>100.5</v>
      </c>
      <c r="K214" s="17">
        <v>2946</v>
      </c>
      <c r="L214" s="17">
        <v>35.5</v>
      </c>
      <c r="M214" s="17">
        <v>7589</v>
      </c>
      <c r="N214" s="17"/>
      <c r="O214" s="17"/>
      <c r="P214" s="17">
        <v>83</v>
      </c>
      <c r="Q214" s="17">
        <v>1643</v>
      </c>
      <c r="R214" s="17"/>
      <c r="S214" s="17"/>
      <c r="T214" s="17"/>
      <c r="U214" s="17"/>
      <c r="V214" s="17">
        <v>66</v>
      </c>
      <c r="W214" s="17">
        <v>2820</v>
      </c>
      <c r="X214" s="15">
        <v>290</v>
      </c>
      <c r="Y214" s="17">
        <v>369</v>
      </c>
      <c r="Z214" s="17">
        <v>474.5</v>
      </c>
      <c r="AA214" s="17">
        <v>4571</v>
      </c>
      <c r="AB214" s="12">
        <v>439</v>
      </c>
    </row>
    <row r="215" ht="14.25" spans="1:28">
      <c r="A215" s="13">
        <v>213</v>
      </c>
      <c r="B215" s="15">
        <v>5</v>
      </c>
      <c r="C215" s="16">
        <v>10</v>
      </c>
      <c r="D215" s="17" t="s">
        <v>439</v>
      </c>
      <c r="E215" s="17" t="s">
        <v>440</v>
      </c>
      <c r="F215" s="17">
        <v>107</v>
      </c>
      <c r="G215" s="17">
        <v>945</v>
      </c>
      <c r="H215" s="17">
        <v>112.5</v>
      </c>
      <c r="I215" s="17">
        <v>1543</v>
      </c>
      <c r="J215" s="17">
        <v>90.5</v>
      </c>
      <c r="K215" s="17">
        <v>5135</v>
      </c>
      <c r="L215" s="17">
        <v>47</v>
      </c>
      <c r="M215" s="17">
        <v>4568</v>
      </c>
      <c r="N215" s="17"/>
      <c r="O215" s="17"/>
      <c r="P215" s="17">
        <v>72</v>
      </c>
      <c r="Q215" s="17">
        <v>4881</v>
      </c>
      <c r="R215" s="17"/>
      <c r="S215" s="17"/>
      <c r="T215" s="17"/>
      <c r="U215" s="17"/>
      <c r="V215" s="17">
        <v>91</v>
      </c>
      <c r="W215" s="17">
        <v>15</v>
      </c>
      <c r="X215" s="15">
        <v>310</v>
      </c>
      <c r="Y215" s="17">
        <v>193</v>
      </c>
      <c r="Z215" s="17">
        <v>520</v>
      </c>
      <c r="AA215" s="17">
        <v>2348</v>
      </c>
      <c r="AB215" s="12">
        <v>218</v>
      </c>
    </row>
    <row r="216" ht="14.25" spans="1:28">
      <c r="A216" s="13">
        <v>214</v>
      </c>
      <c r="B216" s="15">
        <v>5</v>
      </c>
      <c r="C216" s="16">
        <v>11</v>
      </c>
      <c r="D216" s="17" t="s">
        <v>441</v>
      </c>
      <c r="E216" s="17" t="s">
        <v>442</v>
      </c>
      <c r="F216" s="17">
        <v>94.5</v>
      </c>
      <c r="G216" s="17">
        <v>6496</v>
      </c>
      <c r="H216" s="17">
        <v>104</v>
      </c>
      <c r="I216" s="17">
        <v>2999</v>
      </c>
      <c r="J216" s="17">
        <v>110</v>
      </c>
      <c r="K216" s="17">
        <v>1448</v>
      </c>
      <c r="L216" s="17">
        <v>40.5</v>
      </c>
      <c r="M216" s="17">
        <v>6131</v>
      </c>
      <c r="N216" s="17"/>
      <c r="O216" s="17"/>
      <c r="P216" s="17">
        <v>60</v>
      </c>
      <c r="Q216" s="17">
        <v>8673</v>
      </c>
      <c r="R216" s="17"/>
      <c r="S216" s="17"/>
      <c r="T216" s="17"/>
      <c r="U216" s="17"/>
      <c r="V216" s="17">
        <v>87</v>
      </c>
      <c r="W216" s="17">
        <v>273</v>
      </c>
      <c r="X216" s="15">
        <v>308.5</v>
      </c>
      <c r="Y216" s="17">
        <v>210</v>
      </c>
      <c r="Z216" s="17">
        <v>496</v>
      </c>
      <c r="AA216" s="17">
        <v>3441</v>
      </c>
      <c r="AB216" s="12">
        <v>351</v>
      </c>
    </row>
    <row r="217" ht="14.25" spans="1:28">
      <c r="A217" s="13">
        <v>215</v>
      </c>
      <c r="B217" s="15">
        <v>5</v>
      </c>
      <c r="C217" s="16">
        <v>12</v>
      </c>
      <c r="D217" s="17" t="s">
        <v>443</v>
      </c>
      <c r="E217" s="17" t="s">
        <v>444</v>
      </c>
      <c r="F217" s="17">
        <v>97.5</v>
      </c>
      <c r="G217" s="17">
        <v>4695</v>
      </c>
      <c r="H217" s="17">
        <v>116</v>
      </c>
      <c r="I217" s="17">
        <v>1095</v>
      </c>
      <c r="J217" s="17">
        <v>74.5</v>
      </c>
      <c r="K217" s="17">
        <v>9227</v>
      </c>
      <c r="L217" s="17">
        <v>47.5</v>
      </c>
      <c r="M217" s="17">
        <v>4470</v>
      </c>
      <c r="N217" s="17"/>
      <c r="O217" s="17"/>
      <c r="P217" s="17">
        <v>73</v>
      </c>
      <c r="Q217" s="17">
        <v>4501</v>
      </c>
      <c r="R217" s="17"/>
      <c r="S217" s="17"/>
      <c r="T217" s="17"/>
      <c r="U217" s="17"/>
      <c r="V217" s="17">
        <v>71</v>
      </c>
      <c r="W217" s="17">
        <v>2172</v>
      </c>
      <c r="X217" s="15">
        <v>288</v>
      </c>
      <c r="Y217" s="17">
        <v>378</v>
      </c>
      <c r="Z217" s="17">
        <v>479.5</v>
      </c>
      <c r="AA217" s="17">
        <v>4305</v>
      </c>
      <c r="AB217" s="12">
        <v>420</v>
      </c>
    </row>
    <row r="218" ht="14.25" spans="1:28">
      <c r="A218" s="13">
        <v>216</v>
      </c>
      <c r="B218" s="15">
        <v>5</v>
      </c>
      <c r="C218" s="16">
        <v>13</v>
      </c>
      <c r="D218" s="17" t="s">
        <v>445</v>
      </c>
      <c r="E218" s="17" t="s">
        <v>446</v>
      </c>
      <c r="F218" s="17">
        <v>104</v>
      </c>
      <c r="G218" s="17">
        <v>1709</v>
      </c>
      <c r="H218" s="17">
        <v>79</v>
      </c>
      <c r="I218" s="17">
        <v>8244</v>
      </c>
      <c r="J218" s="17">
        <v>71.75</v>
      </c>
      <c r="K218" s="17">
        <v>9931</v>
      </c>
      <c r="L218" s="17">
        <v>22</v>
      </c>
      <c r="M218" s="17">
        <v>12994</v>
      </c>
      <c r="N218" s="17"/>
      <c r="O218" s="17"/>
      <c r="P218" s="17">
        <v>58</v>
      </c>
      <c r="Q218" s="17">
        <v>9299</v>
      </c>
      <c r="R218" s="17"/>
      <c r="S218" s="17"/>
      <c r="T218" s="17"/>
      <c r="U218" s="17"/>
      <c r="V218" s="17">
        <v>71</v>
      </c>
      <c r="W218" s="17">
        <v>2172</v>
      </c>
      <c r="X218" s="15">
        <v>254.75</v>
      </c>
      <c r="Y218" s="17">
        <v>597</v>
      </c>
      <c r="Z218" s="17">
        <v>405.75</v>
      </c>
      <c r="AA218" s="17">
        <v>9259</v>
      </c>
      <c r="AB218" s="12">
        <v>638</v>
      </c>
    </row>
    <row r="219" ht="14.25" spans="1:28">
      <c r="A219" s="13">
        <v>217</v>
      </c>
      <c r="B219" s="15">
        <v>5</v>
      </c>
      <c r="C219" s="16">
        <v>14</v>
      </c>
      <c r="D219" s="17" t="s">
        <v>447</v>
      </c>
      <c r="E219" s="17" t="s">
        <v>448</v>
      </c>
      <c r="F219" s="17">
        <v>102</v>
      </c>
      <c r="G219" s="17">
        <v>2480</v>
      </c>
      <c r="H219" s="17">
        <v>99.5</v>
      </c>
      <c r="I219" s="17">
        <v>3847</v>
      </c>
      <c r="J219" s="17">
        <v>101.5</v>
      </c>
      <c r="K219" s="17">
        <v>2779</v>
      </c>
      <c r="L219" s="17">
        <v>41</v>
      </c>
      <c r="M219" s="17">
        <v>5993</v>
      </c>
      <c r="N219" s="17"/>
      <c r="O219" s="17"/>
      <c r="P219" s="17">
        <v>87</v>
      </c>
      <c r="Q219" s="17">
        <v>681</v>
      </c>
      <c r="R219" s="17"/>
      <c r="S219" s="17"/>
      <c r="T219" s="17"/>
      <c r="U219" s="17"/>
      <c r="V219" s="17">
        <v>74</v>
      </c>
      <c r="W219" s="17">
        <v>1732</v>
      </c>
      <c r="X219" s="15">
        <v>303</v>
      </c>
      <c r="Y219" s="17">
        <v>251</v>
      </c>
      <c r="Z219" s="17">
        <v>505</v>
      </c>
      <c r="AA219" s="17">
        <v>3011</v>
      </c>
      <c r="AB219" s="12">
        <v>299</v>
      </c>
    </row>
    <row r="220" ht="14.25" spans="1:28">
      <c r="A220" s="13">
        <v>218</v>
      </c>
      <c r="B220" s="15">
        <v>5</v>
      </c>
      <c r="C220" s="16">
        <v>15</v>
      </c>
      <c r="D220" s="17" t="s">
        <v>449</v>
      </c>
      <c r="E220" s="17" t="s">
        <v>450</v>
      </c>
      <c r="F220" s="17">
        <v>90.5</v>
      </c>
      <c r="G220" s="17">
        <v>8999</v>
      </c>
      <c r="H220" s="17">
        <v>105</v>
      </c>
      <c r="I220" s="17">
        <v>2810</v>
      </c>
      <c r="J220" s="17">
        <v>94</v>
      </c>
      <c r="K220" s="17">
        <v>4318</v>
      </c>
      <c r="L220" s="17">
        <v>60.5</v>
      </c>
      <c r="M220" s="17">
        <v>2106</v>
      </c>
      <c r="N220" s="17"/>
      <c r="O220" s="17"/>
      <c r="P220" s="17">
        <v>87</v>
      </c>
      <c r="Q220" s="17">
        <v>681</v>
      </c>
      <c r="R220" s="17"/>
      <c r="S220" s="17"/>
      <c r="T220" s="17"/>
      <c r="U220" s="17"/>
      <c r="V220" s="17">
        <v>79</v>
      </c>
      <c r="W220" s="17">
        <v>1023</v>
      </c>
      <c r="X220" s="15">
        <v>289.5</v>
      </c>
      <c r="Y220" s="17">
        <v>371</v>
      </c>
      <c r="Z220" s="17">
        <v>516</v>
      </c>
      <c r="AA220" s="17">
        <v>2500</v>
      </c>
      <c r="AB220" s="12">
        <v>240</v>
      </c>
    </row>
    <row r="221" ht="14.25" spans="1:28">
      <c r="A221" s="13">
        <v>219</v>
      </c>
      <c r="B221" s="15">
        <v>5</v>
      </c>
      <c r="C221" s="16">
        <v>16</v>
      </c>
      <c r="D221" s="17" t="s">
        <v>451</v>
      </c>
      <c r="E221" s="17" t="s">
        <v>452</v>
      </c>
      <c r="F221" s="17">
        <v>82</v>
      </c>
      <c r="G221" s="17">
        <v>13863</v>
      </c>
      <c r="H221" s="17">
        <v>114.5</v>
      </c>
      <c r="I221" s="17">
        <v>1277</v>
      </c>
      <c r="J221" s="17">
        <v>92.5</v>
      </c>
      <c r="K221" s="17">
        <v>4660</v>
      </c>
      <c r="L221" s="17">
        <v>63</v>
      </c>
      <c r="M221" s="17">
        <v>1702</v>
      </c>
      <c r="N221" s="17"/>
      <c r="O221" s="17"/>
      <c r="P221" s="17">
        <v>67</v>
      </c>
      <c r="Q221" s="17">
        <v>6384</v>
      </c>
      <c r="R221" s="17"/>
      <c r="S221" s="17"/>
      <c r="T221" s="17"/>
      <c r="U221" s="17"/>
      <c r="V221" s="17">
        <v>74</v>
      </c>
      <c r="W221" s="17">
        <v>1732</v>
      </c>
      <c r="X221" s="15">
        <v>289</v>
      </c>
      <c r="Y221" s="17">
        <v>373</v>
      </c>
      <c r="Z221" s="17">
        <v>493</v>
      </c>
      <c r="AA221" s="17">
        <v>3601</v>
      </c>
      <c r="AB221" s="12">
        <v>360</v>
      </c>
    </row>
    <row r="222" ht="14.25" spans="1:28">
      <c r="A222" s="13">
        <v>220</v>
      </c>
      <c r="B222" s="15">
        <v>5</v>
      </c>
      <c r="C222" s="16">
        <v>17</v>
      </c>
      <c r="D222" s="17" t="s">
        <v>453</v>
      </c>
      <c r="E222" s="17" t="s">
        <v>454</v>
      </c>
      <c r="F222" s="17">
        <v>103.5</v>
      </c>
      <c r="G222" s="17">
        <v>1897</v>
      </c>
      <c r="H222" s="17">
        <v>69</v>
      </c>
      <c r="I222" s="17">
        <v>10159</v>
      </c>
      <c r="J222" s="17">
        <v>78</v>
      </c>
      <c r="K222" s="17">
        <v>8318</v>
      </c>
      <c r="L222" s="17">
        <v>36.5</v>
      </c>
      <c r="M222" s="17">
        <v>7270</v>
      </c>
      <c r="N222" s="17"/>
      <c r="O222" s="17"/>
      <c r="P222" s="17">
        <v>73</v>
      </c>
      <c r="Q222" s="17">
        <v>4501</v>
      </c>
      <c r="R222" s="17"/>
      <c r="S222" s="17"/>
      <c r="T222" s="17"/>
      <c r="U222" s="17"/>
      <c r="V222" s="17">
        <v>65</v>
      </c>
      <c r="W222" s="17">
        <v>2935</v>
      </c>
      <c r="X222" s="15">
        <v>250.5</v>
      </c>
      <c r="Y222" s="17">
        <v>608</v>
      </c>
      <c r="Z222" s="17">
        <v>425</v>
      </c>
      <c r="AA222" s="17">
        <v>7858</v>
      </c>
      <c r="AB222" s="12">
        <v>614</v>
      </c>
    </row>
    <row r="223" ht="14.25" spans="1:28">
      <c r="A223" s="13">
        <v>221</v>
      </c>
      <c r="B223" s="15">
        <v>5</v>
      </c>
      <c r="C223" s="16">
        <v>18</v>
      </c>
      <c r="D223" s="17" t="s">
        <v>455</v>
      </c>
      <c r="E223" s="17" t="s">
        <v>456</v>
      </c>
      <c r="F223" s="17">
        <v>105</v>
      </c>
      <c r="G223" s="17">
        <v>1427</v>
      </c>
      <c r="H223" s="17">
        <v>122.5</v>
      </c>
      <c r="I223" s="17">
        <v>509</v>
      </c>
      <c r="J223" s="17">
        <v>64.5</v>
      </c>
      <c r="K223" s="17">
        <v>11584</v>
      </c>
      <c r="L223" s="17">
        <v>65</v>
      </c>
      <c r="M223" s="17">
        <v>1440</v>
      </c>
      <c r="N223" s="17"/>
      <c r="O223" s="17"/>
      <c r="P223" s="17">
        <v>78</v>
      </c>
      <c r="Q223" s="17">
        <v>2908</v>
      </c>
      <c r="R223" s="17"/>
      <c r="S223" s="17"/>
      <c r="T223" s="17"/>
      <c r="U223" s="17"/>
      <c r="V223" s="17">
        <v>82</v>
      </c>
      <c r="W223" s="17">
        <v>723</v>
      </c>
      <c r="X223" s="15">
        <v>292</v>
      </c>
      <c r="Y223" s="17">
        <v>350</v>
      </c>
      <c r="Z223" s="17">
        <v>517</v>
      </c>
      <c r="AA223" s="17">
        <v>2459</v>
      </c>
      <c r="AB223" s="12">
        <v>236</v>
      </c>
    </row>
    <row r="224" ht="14.25" spans="1:28">
      <c r="A224" s="13">
        <v>222</v>
      </c>
      <c r="B224" s="15">
        <v>5</v>
      </c>
      <c r="C224" s="16">
        <v>19</v>
      </c>
      <c r="D224" s="17" t="s">
        <v>457</v>
      </c>
      <c r="E224" s="17" t="s">
        <v>458</v>
      </c>
      <c r="F224" s="17">
        <v>97.5</v>
      </c>
      <c r="G224" s="17">
        <v>4695</v>
      </c>
      <c r="H224" s="17">
        <v>110.5</v>
      </c>
      <c r="I224" s="17">
        <v>1866</v>
      </c>
      <c r="J224" s="17">
        <v>88.75</v>
      </c>
      <c r="K224" s="17">
        <v>5589</v>
      </c>
      <c r="L224" s="17">
        <v>51.5</v>
      </c>
      <c r="M224" s="17">
        <v>3642</v>
      </c>
      <c r="N224" s="17"/>
      <c r="O224" s="17"/>
      <c r="P224" s="17">
        <v>81</v>
      </c>
      <c r="Q224" s="17">
        <v>2079</v>
      </c>
      <c r="R224" s="17"/>
      <c r="S224" s="17"/>
      <c r="T224" s="17"/>
      <c r="U224" s="17"/>
      <c r="V224" s="17">
        <v>88</v>
      </c>
      <c r="W224" s="17">
        <v>165</v>
      </c>
      <c r="X224" s="15">
        <v>296.75</v>
      </c>
      <c r="Y224" s="17">
        <v>303</v>
      </c>
      <c r="Z224" s="17">
        <v>517.25</v>
      </c>
      <c r="AA224" s="17">
        <v>2449</v>
      </c>
      <c r="AB224" s="12">
        <v>232</v>
      </c>
    </row>
    <row r="225" ht="14.25" spans="1:28">
      <c r="A225" s="13">
        <v>223</v>
      </c>
      <c r="B225" s="15">
        <v>5</v>
      </c>
      <c r="C225" s="16">
        <v>20</v>
      </c>
      <c r="D225" s="17" t="s">
        <v>459</v>
      </c>
      <c r="E225" s="17" t="s">
        <v>460</v>
      </c>
      <c r="F225" s="17">
        <v>109</v>
      </c>
      <c r="G225" s="17">
        <v>567</v>
      </c>
      <c r="H225" s="17">
        <v>109</v>
      </c>
      <c r="I225" s="17">
        <v>2105</v>
      </c>
      <c r="J225" s="17">
        <v>97.5</v>
      </c>
      <c r="K225" s="17">
        <v>3545</v>
      </c>
      <c r="L225" s="17">
        <v>59.5</v>
      </c>
      <c r="M225" s="17">
        <v>2274</v>
      </c>
      <c r="N225" s="17"/>
      <c r="O225" s="17"/>
      <c r="P225" s="17">
        <v>77</v>
      </c>
      <c r="Q225" s="17">
        <v>3207</v>
      </c>
      <c r="R225" s="17"/>
      <c r="S225" s="17"/>
      <c r="T225" s="17"/>
      <c r="U225" s="17"/>
      <c r="V225" s="17">
        <v>78</v>
      </c>
      <c r="W225" s="17">
        <v>1218</v>
      </c>
      <c r="X225" s="15">
        <v>315.5</v>
      </c>
      <c r="Y225" s="17">
        <v>147</v>
      </c>
      <c r="Z225" s="17">
        <v>530</v>
      </c>
      <c r="AA225" s="17">
        <v>1946</v>
      </c>
      <c r="AB225" s="12">
        <v>169</v>
      </c>
    </row>
    <row r="226" ht="14.25" spans="1:28">
      <c r="A226" s="13">
        <v>224</v>
      </c>
      <c r="B226" s="15">
        <v>5</v>
      </c>
      <c r="C226" s="16">
        <v>21</v>
      </c>
      <c r="D226" s="17" t="s">
        <v>461</v>
      </c>
      <c r="E226" s="17" t="s">
        <v>462</v>
      </c>
      <c r="F226" s="17">
        <v>93</v>
      </c>
      <c r="G226" s="17">
        <v>7407</v>
      </c>
      <c r="H226" s="17">
        <v>103.5</v>
      </c>
      <c r="I226" s="17">
        <v>3096</v>
      </c>
      <c r="J226" s="17">
        <v>114.75</v>
      </c>
      <c r="K226" s="17">
        <v>938</v>
      </c>
      <c r="L226" s="17">
        <v>46</v>
      </c>
      <c r="M226" s="17">
        <v>4785</v>
      </c>
      <c r="N226" s="17"/>
      <c r="O226" s="17"/>
      <c r="P226" s="17">
        <v>73</v>
      </c>
      <c r="Q226" s="17">
        <v>4501</v>
      </c>
      <c r="R226" s="17"/>
      <c r="S226" s="17"/>
      <c r="T226" s="17"/>
      <c r="U226" s="17"/>
      <c r="V226" s="17">
        <v>72</v>
      </c>
      <c r="W226" s="17">
        <v>2049</v>
      </c>
      <c r="X226" s="15">
        <v>311.25</v>
      </c>
      <c r="Y226" s="17">
        <v>176</v>
      </c>
      <c r="Z226" s="17">
        <v>502.25</v>
      </c>
      <c r="AA226" s="17">
        <v>3139</v>
      </c>
      <c r="AB226" s="12">
        <v>315</v>
      </c>
    </row>
    <row r="227" ht="14.25" spans="1:28">
      <c r="A227" s="13">
        <v>225</v>
      </c>
      <c r="B227" s="15">
        <v>5</v>
      </c>
      <c r="C227" s="16">
        <v>22</v>
      </c>
      <c r="D227" s="17" t="s">
        <v>463</v>
      </c>
      <c r="E227" s="17" t="s">
        <v>464</v>
      </c>
      <c r="F227" s="17">
        <v>94.5</v>
      </c>
      <c r="G227" s="17">
        <v>6496</v>
      </c>
      <c r="H227" s="17">
        <v>126.5</v>
      </c>
      <c r="I227" s="17">
        <v>273</v>
      </c>
      <c r="J227" s="17">
        <v>98.5</v>
      </c>
      <c r="K227" s="17">
        <v>3338</v>
      </c>
      <c r="L227" s="17">
        <v>58</v>
      </c>
      <c r="M227" s="17">
        <v>2538</v>
      </c>
      <c r="N227" s="17"/>
      <c r="O227" s="17"/>
      <c r="P227" s="17">
        <v>72</v>
      </c>
      <c r="Q227" s="17">
        <v>4881</v>
      </c>
      <c r="R227" s="17"/>
      <c r="S227" s="17"/>
      <c r="T227" s="17"/>
      <c r="U227" s="17"/>
      <c r="V227" s="17">
        <v>88</v>
      </c>
      <c r="W227" s="17">
        <v>165</v>
      </c>
      <c r="X227" s="15">
        <v>319.5</v>
      </c>
      <c r="Y227" s="17">
        <v>121</v>
      </c>
      <c r="Z227" s="17">
        <v>537.5</v>
      </c>
      <c r="AA227" s="17">
        <v>1699</v>
      </c>
      <c r="AB227" s="12">
        <v>140</v>
      </c>
    </row>
    <row r="228" ht="14.25" spans="1:28">
      <c r="A228" s="13">
        <v>226</v>
      </c>
      <c r="B228" s="15">
        <v>5</v>
      </c>
      <c r="C228" s="16">
        <v>23</v>
      </c>
      <c r="D228" s="17" t="s">
        <v>465</v>
      </c>
      <c r="E228" s="17" t="s">
        <v>466</v>
      </c>
      <c r="F228" s="17">
        <v>84</v>
      </c>
      <c r="G228" s="17">
        <v>12898</v>
      </c>
      <c r="H228" s="17">
        <v>104.5</v>
      </c>
      <c r="I228" s="17">
        <v>2895</v>
      </c>
      <c r="J228" s="17">
        <v>84.5</v>
      </c>
      <c r="K228" s="17">
        <v>6614</v>
      </c>
      <c r="L228" s="17">
        <v>43.5</v>
      </c>
      <c r="M228" s="17">
        <v>5353</v>
      </c>
      <c r="N228" s="17"/>
      <c r="O228" s="17"/>
      <c r="P228" s="17">
        <v>68</v>
      </c>
      <c r="Q228" s="17">
        <v>6016</v>
      </c>
      <c r="R228" s="17"/>
      <c r="S228" s="17"/>
      <c r="T228" s="17"/>
      <c r="U228" s="17"/>
      <c r="V228" s="17">
        <v>73</v>
      </c>
      <c r="W228" s="17">
        <v>1853</v>
      </c>
      <c r="X228" s="15">
        <v>273</v>
      </c>
      <c r="Y228" s="17">
        <v>508</v>
      </c>
      <c r="Z228" s="17">
        <v>457.5</v>
      </c>
      <c r="AA228" s="17">
        <v>5634</v>
      </c>
      <c r="AB228" s="12">
        <v>518</v>
      </c>
    </row>
    <row r="229" ht="14.25" spans="1:28">
      <c r="A229" s="13">
        <v>227</v>
      </c>
      <c r="B229" s="15">
        <v>5</v>
      </c>
      <c r="C229" s="16">
        <v>24</v>
      </c>
      <c r="D229" s="17" t="s">
        <v>467</v>
      </c>
      <c r="E229" s="17" t="s">
        <v>468</v>
      </c>
      <c r="F229" s="17">
        <v>105.25</v>
      </c>
      <c r="G229" s="17">
        <v>1418</v>
      </c>
      <c r="H229" s="17">
        <v>122.5</v>
      </c>
      <c r="I229" s="17">
        <v>509</v>
      </c>
      <c r="J229" s="17">
        <v>113</v>
      </c>
      <c r="K229" s="17">
        <v>1110</v>
      </c>
      <c r="L229" s="17">
        <v>76</v>
      </c>
      <c r="M229" s="17">
        <v>367</v>
      </c>
      <c r="N229" s="17"/>
      <c r="O229" s="17"/>
      <c r="P229" s="17">
        <v>80</v>
      </c>
      <c r="Q229" s="17">
        <v>2333</v>
      </c>
      <c r="R229" s="17"/>
      <c r="S229" s="17"/>
      <c r="T229" s="17"/>
      <c r="U229" s="17"/>
      <c r="V229" s="17">
        <v>77</v>
      </c>
      <c r="W229" s="17">
        <v>1318</v>
      </c>
      <c r="X229" s="15">
        <v>340.75</v>
      </c>
      <c r="Y229" s="17">
        <v>27</v>
      </c>
      <c r="Z229" s="17">
        <v>573.75</v>
      </c>
      <c r="AA229" s="17">
        <v>658</v>
      </c>
      <c r="AB229" s="12">
        <v>38</v>
      </c>
    </row>
    <row r="230" ht="14.25" spans="1:28">
      <c r="A230" s="13">
        <v>228</v>
      </c>
      <c r="B230" s="15">
        <v>5</v>
      </c>
      <c r="C230" s="16">
        <v>25</v>
      </c>
      <c r="D230" s="17" t="s">
        <v>469</v>
      </c>
      <c r="E230" s="17" t="s">
        <v>470</v>
      </c>
      <c r="F230" s="17">
        <v>101</v>
      </c>
      <c r="G230" s="17">
        <v>2896</v>
      </c>
      <c r="H230" s="17">
        <v>101.5</v>
      </c>
      <c r="I230" s="17">
        <v>3477</v>
      </c>
      <c r="J230" s="17">
        <v>97</v>
      </c>
      <c r="K230" s="17">
        <v>3649</v>
      </c>
      <c r="L230" s="17">
        <v>50.5</v>
      </c>
      <c r="M230" s="17">
        <v>3830</v>
      </c>
      <c r="N230" s="17"/>
      <c r="O230" s="17"/>
      <c r="P230" s="17">
        <v>76</v>
      </c>
      <c r="Q230" s="17">
        <v>3515</v>
      </c>
      <c r="R230" s="17"/>
      <c r="S230" s="17"/>
      <c r="T230" s="17"/>
      <c r="U230" s="17"/>
      <c r="V230" s="17">
        <v>93</v>
      </c>
      <c r="W230" s="17">
        <v>2</v>
      </c>
      <c r="X230" s="15">
        <v>299.5</v>
      </c>
      <c r="Y230" s="17">
        <v>280</v>
      </c>
      <c r="Z230" s="17">
        <v>519</v>
      </c>
      <c r="AA230" s="17">
        <v>2383</v>
      </c>
      <c r="AB230" s="12">
        <v>223</v>
      </c>
    </row>
    <row r="231" ht="14.25" spans="1:28">
      <c r="A231" s="13">
        <v>229</v>
      </c>
      <c r="B231" s="15">
        <v>5</v>
      </c>
      <c r="C231" s="16">
        <v>26</v>
      </c>
      <c r="D231" s="17" t="s">
        <v>471</v>
      </c>
      <c r="E231" s="17" t="s">
        <v>472</v>
      </c>
      <c r="F231" s="17">
        <v>101</v>
      </c>
      <c r="G231" s="17">
        <v>2896</v>
      </c>
      <c r="H231" s="17">
        <v>109.5</v>
      </c>
      <c r="I231" s="17">
        <v>2023</v>
      </c>
      <c r="J231" s="17">
        <v>113</v>
      </c>
      <c r="K231" s="17">
        <v>1110</v>
      </c>
      <c r="L231" s="17">
        <v>75.5</v>
      </c>
      <c r="M231" s="17">
        <v>413</v>
      </c>
      <c r="N231" s="17"/>
      <c r="O231" s="17"/>
      <c r="P231" s="17">
        <v>81</v>
      </c>
      <c r="Q231" s="17">
        <v>2079</v>
      </c>
      <c r="R231" s="17"/>
      <c r="S231" s="17"/>
      <c r="T231" s="17"/>
      <c r="U231" s="17"/>
      <c r="V231" s="17">
        <v>78</v>
      </c>
      <c r="W231" s="17">
        <v>1218</v>
      </c>
      <c r="X231" s="15">
        <v>323.5</v>
      </c>
      <c r="Y231" s="17">
        <v>95</v>
      </c>
      <c r="Z231" s="17">
        <v>558</v>
      </c>
      <c r="AA231" s="17">
        <v>1043</v>
      </c>
      <c r="AB231" s="12">
        <v>76</v>
      </c>
    </row>
    <row r="232" ht="14.25" spans="1:28">
      <c r="A232" s="13">
        <v>230</v>
      </c>
      <c r="B232" s="15">
        <v>5</v>
      </c>
      <c r="C232" s="16">
        <v>27</v>
      </c>
      <c r="D232" s="17" t="s">
        <v>473</v>
      </c>
      <c r="E232" s="17" t="s">
        <v>474</v>
      </c>
      <c r="F232" s="17">
        <v>98</v>
      </c>
      <c r="G232" s="17">
        <v>4423</v>
      </c>
      <c r="H232" s="17">
        <v>119</v>
      </c>
      <c r="I232" s="17">
        <v>786</v>
      </c>
      <c r="J232" s="17">
        <v>84.25</v>
      </c>
      <c r="K232" s="17">
        <v>6713</v>
      </c>
      <c r="L232" s="17">
        <v>61.5</v>
      </c>
      <c r="M232" s="17">
        <v>1929</v>
      </c>
      <c r="N232" s="17"/>
      <c r="O232" s="17"/>
      <c r="P232" s="17">
        <v>66</v>
      </c>
      <c r="Q232" s="17">
        <v>6766</v>
      </c>
      <c r="R232" s="17"/>
      <c r="S232" s="17"/>
      <c r="T232" s="17"/>
      <c r="U232" s="17"/>
      <c r="V232" s="17">
        <v>80</v>
      </c>
      <c r="W232" s="17">
        <v>938</v>
      </c>
      <c r="X232" s="15">
        <v>301.25</v>
      </c>
      <c r="Y232" s="17">
        <v>268</v>
      </c>
      <c r="Z232" s="17">
        <v>508.75</v>
      </c>
      <c r="AA232" s="17">
        <v>2832</v>
      </c>
      <c r="AB232" s="12">
        <v>278</v>
      </c>
    </row>
    <row r="233" ht="14.25" spans="1:28">
      <c r="A233" s="13">
        <v>231</v>
      </c>
      <c r="B233" s="15">
        <v>5</v>
      </c>
      <c r="C233" s="16">
        <v>28</v>
      </c>
      <c r="D233" s="17" t="s">
        <v>475</v>
      </c>
      <c r="E233" s="17" t="s">
        <v>476</v>
      </c>
      <c r="F233" s="17">
        <v>106.5</v>
      </c>
      <c r="G233" s="17">
        <v>1059</v>
      </c>
      <c r="H233" s="17">
        <v>119.5</v>
      </c>
      <c r="I233" s="17">
        <v>753</v>
      </c>
      <c r="J233" s="17">
        <v>111.5</v>
      </c>
      <c r="K233" s="17">
        <v>1281</v>
      </c>
      <c r="L233" s="17">
        <v>56</v>
      </c>
      <c r="M233" s="17">
        <v>2878</v>
      </c>
      <c r="N233" s="17"/>
      <c r="O233" s="17"/>
      <c r="P233" s="17">
        <v>69</v>
      </c>
      <c r="Q233" s="17">
        <v>5655</v>
      </c>
      <c r="R233" s="17"/>
      <c r="S233" s="17"/>
      <c r="T233" s="17"/>
      <c r="U233" s="17"/>
      <c r="V233" s="17">
        <v>73</v>
      </c>
      <c r="W233" s="17">
        <v>1853</v>
      </c>
      <c r="X233" s="15">
        <v>337.5</v>
      </c>
      <c r="Y233" s="17">
        <v>34</v>
      </c>
      <c r="Z233" s="17">
        <v>535.5</v>
      </c>
      <c r="AA233" s="17">
        <v>1761</v>
      </c>
      <c r="AB233" s="12">
        <v>149</v>
      </c>
    </row>
    <row r="234" ht="14.25" spans="1:28">
      <c r="A234" s="13">
        <v>232</v>
      </c>
      <c r="B234" s="15">
        <v>5</v>
      </c>
      <c r="C234" s="16">
        <v>29</v>
      </c>
      <c r="D234" s="17" t="s">
        <v>477</v>
      </c>
      <c r="E234" s="17" t="s">
        <v>478</v>
      </c>
      <c r="F234" s="17">
        <v>76</v>
      </c>
      <c r="G234" s="17">
        <v>15887</v>
      </c>
      <c r="H234" s="17">
        <v>111</v>
      </c>
      <c r="I234" s="17">
        <v>1774</v>
      </c>
      <c r="J234" s="17">
        <v>82.25</v>
      </c>
      <c r="K234" s="17">
        <v>7208</v>
      </c>
      <c r="L234" s="17">
        <v>29.5</v>
      </c>
      <c r="M234" s="17">
        <v>9688</v>
      </c>
      <c r="N234" s="17"/>
      <c r="O234" s="17"/>
      <c r="P234" s="17">
        <v>56</v>
      </c>
      <c r="Q234" s="17">
        <v>9899</v>
      </c>
      <c r="R234" s="17"/>
      <c r="S234" s="17"/>
      <c r="T234" s="17"/>
      <c r="U234" s="17"/>
      <c r="V234" s="17">
        <v>58</v>
      </c>
      <c r="W234" s="17">
        <v>3948</v>
      </c>
      <c r="X234" s="15">
        <v>269.25</v>
      </c>
      <c r="Y234" s="17">
        <v>537</v>
      </c>
      <c r="Z234" s="17">
        <v>412.75</v>
      </c>
      <c r="AA234" s="17">
        <v>8754</v>
      </c>
      <c r="AB234" s="12">
        <v>628</v>
      </c>
    </row>
    <row r="235" ht="14.25" spans="1:28">
      <c r="A235" s="13">
        <v>233</v>
      </c>
      <c r="B235" s="15">
        <v>5</v>
      </c>
      <c r="C235" s="16">
        <v>30</v>
      </c>
      <c r="D235" s="17" t="s">
        <v>479</v>
      </c>
      <c r="E235" s="17" t="s">
        <v>480</v>
      </c>
      <c r="F235" s="17">
        <v>100.75</v>
      </c>
      <c r="G235" s="17">
        <v>3103</v>
      </c>
      <c r="H235" s="17">
        <v>77.5</v>
      </c>
      <c r="I235" s="17">
        <v>8540</v>
      </c>
      <c r="J235" s="17">
        <v>88</v>
      </c>
      <c r="K235" s="17">
        <v>5738</v>
      </c>
      <c r="L235" s="17">
        <v>43.5</v>
      </c>
      <c r="M235" s="17">
        <v>5353</v>
      </c>
      <c r="N235" s="17"/>
      <c r="O235" s="17"/>
      <c r="P235" s="17">
        <v>86</v>
      </c>
      <c r="Q235" s="17">
        <v>1052</v>
      </c>
      <c r="R235" s="17"/>
      <c r="S235" s="17"/>
      <c r="T235" s="17"/>
      <c r="U235" s="17"/>
      <c r="V235" s="17">
        <v>87</v>
      </c>
      <c r="W235" s="17">
        <v>273</v>
      </c>
      <c r="X235" s="15">
        <v>266.25</v>
      </c>
      <c r="Y235" s="17">
        <v>548</v>
      </c>
      <c r="Z235" s="17">
        <v>482.75</v>
      </c>
      <c r="AA235" s="17">
        <v>4122</v>
      </c>
      <c r="AB235" s="12">
        <v>409</v>
      </c>
    </row>
    <row r="236" ht="14.25" spans="1:28">
      <c r="A236" s="13">
        <v>234</v>
      </c>
      <c r="B236" s="15">
        <v>5</v>
      </c>
      <c r="C236" s="16">
        <v>31</v>
      </c>
      <c r="D236" s="17" t="s">
        <v>481</v>
      </c>
      <c r="E236" s="17" t="s">
        <v>482</v>
      </c>
      <c r="F236" s="17">
        <v>90.75</v>
      </c>
      <c r="G236" s="17">
        <v>8959</v>
      </c>
      <c r="H236" s="17">
        <v>113.5</v>
      </c>
      <c r="I236" s="17">
        <v>1397</v>
      </c>
      <c r="J236" s="17">
        <v>107.5</v>
      </c>
      <c r="K236" s="17">
        <v>1810</v>
      </c>
      <c r="L236" s="17">
        <v>44.5</v>
      </c>
      <c r="M236" s="17">
        <v>5122</v>
      </c>
      <c r="N236" s="17"/>
      <c r="O236" s="17"/>
      <c r="P236" s="17">
        <v>92</v>
      </c>
      <c r="Q236" s="17">
        <v>36</v>
      </c>
      <c r="R236" s="17"/>
      <c r="S236" s="17"/>
      <c r="T236" s="17"/>
      <c r="U236" s="17"/>
      <c r="V236" s="17">
        <v>71</v>
      </c>
      <c r="W236" s="17">
        <v>2172</v>
      </c>
      <c r="X236" s="15">
        <v>311.75</v>
      </c>
      <c r="Y236" s="17">
        <v>172</v>
      </c>
      <c r="Z236" s="17">
        <v>519.25</v>
      </c>
      <c r="AA236" s="17">
        <v>2376</v>
      </c>
      <c r="AB236" s="12">
        <v>221</v>
      </c>
    </row>
    <row r="237" ht="14.25" spans="1:28">
      <c r="A237" s="13">
        <v>235</v>
      </c>
      <c r="B237" s="15">
        <v>5</v>
      </c>
      <c r="C237" s="16">
        <v>32</v>
      </c>
      <c r="D237" s="17" t="s">
        <v>483</v>
      </c>
      <c r="E237" s="17" t="s">
        <v>484</v>
      </c>
      <c r="F237" s="17">
        <v>88</v>
      </c>
      <c r="G237" s="17">
        <v>10604</v>
      </c>
      <c r="H237" s="17">
        <v>117.5</v>
      </c>
      <c r="I237" s="17">
        <v>923</v>
      </c>
      <c r="J237" s="17">
        <v>95.5</v>
      </c>
      <c r="K237" s="17">
        <v>3977</v>
      </c>
      <c r="L237" s="17">
        <v>45</v>
      </c>
      <c r="M237" s="17">
        <v>5014</v>
      </c>
      <c r="N237" s="17"/>
      <c r="O237" s="17"/>
      <c r="P237" s="17">
        <v>73</v>
      </c>
      <c r="Q237" s="17">
        <v>4501</v>
      </c>
      <c r="R237" s="17"/>
      <c r="S237" s="17"/>
      <c r="T237" s="17"/>
      <c r="U237" s="17"/>
      <c r="V237" s="17">
        <v>79</v>
      </c>
      <c r="W237" s="17">
        <v>1023</v>
      </c>
      <c r="X237" s="15">
        <v>301</v>
      </c>
      <c r="Y237" s="17">
        <v>271</v>
      </c>
      <c r="Z237" s="17">
        <v>498</v>
      </c>
      <c r="AA237" s="17">
        <v>3340</v>
      </c>
      <c r="AB237" s="12">
        <v>339</v>
      </c>
    </row>
    <row r="238" ht="14.25" spans="1:28">
      <c r="A238" s="13">
        <v>236</v>
      </c>
      <c r="B238" s="15">
        <v>5</v>
      </c>
      <c r="C238" s="16">
        <v>33</v>
      </c>
      <c r="D238" s="17" t="s">
        <v>485</v>
      </c>
      <c r="E238" s="17" t="s">
        <v>486</v>
      </c>
      <c r="F238" s="17">
        <v>93</v>
      </c>
      <c r="G238" s="17">
        <v>7407</v>
      </c>
      <c r="H238" s="17">
        <v>110</v>
      </c>
      <c r="I238" s="17">
        <v>1931</v>
      </c>
      <c r="J238" s="17">
        <v>79.5</v>
      </c>
      <c r="K238" s="17">
        <v>7930</v>
      </c>
      <c r="L238" s="17">
        <v>34</v>
      </c>
      <c r="M238" s="17">
        <v>8051</v>
      </c>
      <c r="N238" s="17"/>
      <c r="O238" s="17"/>
      <c r="P238" s="17">
        <v>74</v>
      </c>
      <c r="Q238" s="17">
        <v>4168</v>
      </c>
      <c r="R238" s="17"/>
      <c r="S238" s="17"/>
      <c r="T238" s="17"/>
      <c r="U238" s="17"/>
      <c r="V238" s="17">
        <v>76</v>
      </c>
      <c r="W238" s="17">
        <v>1407</v>
      </c>
      <c r="X238" s="15">
        <v>282.5</v>
      </c>
      <c r="Y238" s="17">
        <v>425</v>
      </c>
      <c r="Z238" s="17">
        <v>466.5</v>
      </c>
      <c r="AA238" s="17">
        <v>5061</v>
      </c>
      <c r="AB238" s="12">
        <v>478</v>
      </c>
    </row>
    <row r="239" ht="14.25" spans="1:28">
      <c r="A239" s="13">
        <v>237</v>
      </c>
      <c r="B239" s="15">
        <v>5</v>
      </c>
      <c r="C239" s="16">
        <v>34</v>
      </c>
      <c r="D239" s="17" t="s">
        <v>487</v>
      </c>
      <c r="E239" s="17" t="s">
        <v>488</v>
      </c>
      <c r="F239" s="17">
        <v>100</v>
      </c>
      <c r="G239" s="17">
        <v>3368</v>
      </c>
      <c r="H239" s="17">
        <v>118</v>
      </c>
      <c r="I239" s="17">
        <v>885</v>
      </c>
      <c r="J239" s="17">
        <v>95.75</v>
      </c>
      <c r="K239" s="17">
        <v>3946</v>
      </c>
      <c r="L239" s="17">
        <v>61</v>
      </c>
      <c r="M239" s="17">
        <v>2008</v>
      </c>
      <c r="N239" s="17"/>
      <c r="O239" s="17"/>
      <c r="P239" s="17">
        <v>87</v>
      </c>
      <c r="Q239" s="17">
        <v>681</v>
      </c>
      <c r="R239" s="17"/>
      <c r="S239" s="17"/>
      <c r="T239" s="17"/>
      <c r="U239" s="17"/>
      <c r="V239" s="17">
        <v>82</v>
      </c>
      <c r="W239" s="17">
        <v>723</v>
      </c>
      <c r="X239" s="15">
        <v>313.75</v>
      </c>
      <c r="Y239" s="17">
        <v>161</v>
      </c>
      <c r="Z239" s="17">
        <v>543.75</v>
      </c>
      <c r="AA239" s="17">
        <v>1499</v>
      </c>
      <c r="AB239" s="12">
        <v>120</v>
      </c>
    </row>
    <row r="240" ht="14.25" spans="1:28">
      <c r="A240" s="13">
        <v>238</v>
      </c>
      <c r="B240" s="15">
        <v>5</v>
      </c>
      <c r="C240" s="16">
        <v>35</v>
      </c>
      <c r="D240" s="17" t="s">
        <v>489</v>
      </c>
      <c r="E240" s="17" t="s">
        <v>490</v>
      </c>
      <c r="F240" s="17">
        <v>101</v>
      </c>
      <c r="G240" s="17">
        <v>2896</v>
      </c>
      <c r="H240" s="17">
        <v>104.5</v>
      </c>
      <c r="I240" s="17">
        <v>2895</v>
      </c>
      <c r="J240" s="17">
        <v>96.5</v>
      </c>
      <c r="K240" s="17">
        <v>3746</v>
      </c>
      <c r="L240" s="17">
        <v>54.5</v>
      </c>
      <c r="M240" s="17">
        <v>3126</v>
      </c>
      <c r="N240" s="17"/>
      <c r="O240" s="17"/>
      <c r="P240" s="17">
        <v>64</v>
      </c>
      <c r="Q240" s="17">
        <v>7304</v>
      </c>
      <c r="R240" s="17"/>
      <c r="S240" s="17"/>
      <c r="T240" s="17"/>
      <c r="U240" s="17"/>
      <c r="V240" s="17">
        <v>77</v>
      </c>
      <c r="W240" s="17">
        <v>1318</v>
      </c>
      <c r="X240" s="15">
        <v>302</v>
      </c>
      <c r="Y240" s="17">
        <v>261</v>
      </c>
      <c r="Z240" s="17">
        <v>497.5</v>
      </c>
      <c r="AA240" s="17">
        <v>3359</v>
      </c>
      <c r="AB240" s="12">
        <v>342</v>
      </c>
    </row>
    <row r="241" ht="14.25" spans="1:28">
      <c r="A241" s="13">
        <v>239</v>
      </c>
      <c r="B241" s="15">
        <v>5</v>
      </c>
      <c r="C241" s="16">
        <v>36</v>
      </c>
      <c r="D241" s="17" t="s">
        <v>491</v>
      </c>
      <c r="E241" s="17" t="s">
        <v>492</v>
      </c>
      <c r="F241" s="17">
        <v>94</v>
      </c>
      <c r="G241" s="17">
        <v>6811</v>
      </c>
      <c r="H241" s="17">
        <v>93</v>
      </c>
      <c r="I241" s="17">
        <v>5192</v>
      </c>
      <c r="J241" s="17">
        <v>111.5</v>
      </c>
      <c r="K241" s="17">
        <v>1281</v>
      </c>
      <c r="L241" s="17">
        <v>30</v>
      </c>
      <c r="M241" s="17">
        <v>9441</v>
      </c>
      <c r="N241" s="17"/>
      <c r="O241" s="17"/>
      <c r="P241" s="17">
        <v>66</v>
      </c>
      <c r="Q241" s="17">
        <v>6766</v>
      </c>
      <c r="R241" s="17"/>
      <c r="S241" s="17"/>
      <c r="T241" s="17"/>
      <c r="U241" s="17"/>
      <c r="V241" s="17">
        <v>72</v>
      </c>
      <c r="W241" s="17">
        <v>2049</v>
      </c>
      <c r="X241" s="15">
        <v>298.5</v>
      </c>
      <c r="Y241" s="17">
        <v>289</v>
      </c>
      <c r="Z241" s="17">
        <v>466.5</v>
      </c>
      <c r="AA241" s="17">
        <v>5061</v>
      </c>
      <c r="AB241" s="12">
        <v>478</v>
      </c>
    </row>
    <row r="242" ht="14.25" spans="1:28">
      <c r="A242" s="13">
        <v>240</v>
      </c>
      <c r="B242" s="15">
        <v>5</v>
      </c>
      <c r="C242" s="16">
        <v>37</v>
      </c>
      <c r="D242" s="17" t="s">
        <v>493</v>
      </c>
      <c r="E242" s="17" t="s">
        <v>494</v>
      </c>
      <c r="F242" s="17">
        <v>90.5</v>
      </c>
      <c r="G242" s="17">
        <v>8999</v>
      </c>
      <c r="H242" s="17">
        <v>93.5</v>
      </c>
      <c r="I242" s="17">
        <v>5060</v>
      </c>
      <c r="J242" s="17">
        <v>79</v>
      </c>
      <c r="K242" s="17">
        <v>8048</v>
      </c>
      <c r="L242" s="17">
        <v>38</v>
      </c>
      <c r="M242" s="17">
        <v>6823</v>
      </c>
      <c r="N242" s="17"/>
      <c r="O242" s="17"/>
      <c r="P242" s="17">
        <v>66</v>
      </c>
      <c r="Q242" s="17">
        <v>6766</v>
      </c>
      <c r="R242" s="17"/>
      <c r="S242" s="17"/>
      <c r="T242" s="17"/>
      <c r="U242" s="17"/>
      <c r="V242" s="17">
        <v>72</v>
      </c>
      <c r="W242" s="17">
        <v>2049</v>
      </c>
      <c r="X242" s="15">
        <v>263</v>
      </c>
      <c r="Y242" s="17">
        <v>569</v>
      </c>
      <c r="Z242" s="17">
        <v>439</v>
      </c>
      <c r="AA242" s="17">
        <v>6886</v>
      </c>
      <c r="AB242" s="12">
        <v>572</v>
      </c>
    </row>
    <row r="243" ht="14.25" spans="1:28">
      <c r="A243" s="13">
        <v>241</v>
      </c>
      <c r="B243" s="15">
        <v>5</v>
      </c>
      <c r="C243" s="16">
        <v>38</v>
      </c>
      <c r="D243" s="17" t="s">
        <v>495</v>
      </c>
      <c r="E243" s="17" t="s">
        <v>496</v>
      </c>
      <c r="F243" s="17">
        <v>90.5</v>
      </c>
      <c r="G243" s="17">
        <v>8999</v>
      </c>
      <c r="H243" s="17">
        <v>88</v>
      </c>
      <c r="I243" s="17">
        <v>6299</v>
      </c>
      <c r="J243" s="17">
        <v>93.5</v>
      </c>
      <c r="K243" s="17">
        <v>4431</v>
      </c>
      <c r="L243" s="17">
        <v>49</v>
      </c>
      <c r="M243" s="17">
        <v>4146</v>
      </c>
      <c r="N243" s="17"/>
      <c r="O243" s="17"/>
      <c r="P243" s="17">
        <v>80</v>
      </c>
      <c r="Q243" s="17">
        <v>2333</v>
      </c>
      <c r="R243" s="17"/>
      <c r="S243" s="17"/>
      <c r="T243" s="17"/>
      <c r="U243" s="17"/>
      <c r="V243" s="17">
        <v>86</v>
      </c>
      <c r="W243" s="17">
        <v>439</v>
      </c>
      <c r="X243" s="15">
        <v>272</v>
      </c>
      <c r="Y243" s="17">
        <v>514</v>
      </c>
      <c r="Z243" s="17">
        <v>487</v>
      </c>
      <c r="AA243" s="17">
        <v>3895</v>
      </c>
      <c r="AB243" s="12">
        <v>390</v>
      </c>
    </row>
    <row r="244" ht="14.25" spans="1:28">
      <c r="A244" s="13">
        <v>242</v>
      </c>
      <c r="B244" s="15">
        <v>5</v>
      </c>
      <c r="C244" s="16">
        <v>39</v>
      </c>
      <c r="D244" s="17" t="s">
        <v>497</v>
      </c>
      <c r="E244" s="17" t="s">
        <v>498</v>
      </c>
      <c r="F244" s="17">
        <v>90.5</v>
      </c>
      <c r="G244" s="17">
        <v>8999</v>
      </c>
      <c r="H244" s="17">
        <v>103</v>
      </c>
      <c r="I244" s="17">
        <v>3209</v>
      </c>
      <c r="J244" s="17">
        <v>98</v>
      </c>
      <c r="K244" s="17">
        <v>3454</v>
      </c>
      <c r="L244" s="17">
        <v>81.5</v>
      </c>
      <c r="M244" s="17">
        <v>98</v>
      </c>
      <c r="N244" s="17"/>
      <c r="O244" s="17"/>
      <c r="P244" s="17">
        <v>58</v>
      </c>
      <c r="Q244" s="17">
        <v>9299</v>
      </c>
      <c r="R244" s="17"/>
      <c r="S244" s="17"/>
      <c r="T244" s="17"/>
      <c r="U244" s="17"/>
      <c r="V244" s="17">
        <v>87</v>
      </c>
      <c r="W244" s="17">
        <v>273</v>
      </c>
      <c r="X244" s="15">
        <v>291.5</v>
      </c>
      <c r="Y244" s="17">
        <v>357</v>
      </c>
      <c r="Z244" s="17">
        <v>518</v>
      </c>
      <c r="AA244" s="17">
        <v>2415</v>
      </c>
      <c r="AB244" s="12">
        <v>226</v>
      </c>
    </row>
    <row r="245" ht="14.25" spans="1:28">
      <c r="A245" s="13">
        <v>243</v>
      </c>
      <c r="B245" s="15">
        <v>5</v>
      </c>
      <c r="C245" s="16">
        <v>40</v>
      </c>
      <c r="D245" s="17" t="s">
        <v>499</v>
      </c>
      <c r="E245" s="17" t="s">
        <v>500</v>
      </c>
      <c r="F245" s="17">
        <v>103</v>
      </c>
      <c r="G245" s="17">
        <v>2094</v>
      </c>
      <c r="H245" s="17">
        <v>97.5</v>
      </c>
      <c r="I245" s="17">
        <v>4244</v>
      </c>
      <c r="J245" s="17">
        <v>112</v>
      </c>
      <c r="K245" s="17">
        <v>1229</v>
      </c>
      <c r="L245" s="17">
        <v>44</v>
      </c>
      <c r="M245" s="17">
        <v>5222</v>
      </c>
      <c r="N245" s="17"/>
      <c r="O245" s="17"/>
      <c r="P245" s="17">
        <v>77</v>
      </c>
      <c r="Q245" s="17">
        <v>3207</v>
      </c>
      <c r="R245" s="17"/>
      <c r="S245" s="17"/>
      <c r="T245" s="17"/>
      <c r="U245" s="17"/>
      <c r="V245" s="17">
        <v>82</v>
      </c>
      <c r="W245" s="17">
        <v>723</v>
      </c>
      <c r="X245" s="15">
        <v>312.5</v>
      </c>
      <c r="Y245" s="17">
        <v>168</v>
      </c>
      <c r="Z245" s="17">
        <v>515.5</v>
      </c>
      <c r="AA245" s="17">
        <v>2526</v>
      </c>
      <c r="AB245" s="12">
        <v>243</v>
      </c>
    </row>
    <row r="246" ht="14.25" spans="1:28">
      <c r="A246" s="13">
        <v>244</v>
      </c>
      <c r="B246" s="15">
        <v>5</v>
      </c>
      <c r="C246" s="16">
        <v>41</v>
      </c>
      <c r="D246" s="17" t="s">
        <v>501</v>
      </c>
      <c r="E246" s="17" t="s">
        <v>502</v>
      </c>
      <c r="F246" s="17">
        <v>101</v>
      </c>
      <c r="G246" s="17">
        <v>2896</v>
      </c>
      <c r="H246" s="17">
        <v>91</v>
      </c>
      <c r="I246" s="17">
        <v>5638</v>
      </c>
      <c r="J246" s="17">
        <v>91</v>
      </c>
      <c r="K246" s="17">
        <v>5010</v>
      </c>
      <c r="L246" s="17">
        <v>40.5</v>
      </c>
      <c r="M246" s="17">
        <v>6131</v>
      </c>
      <c r="N246" s="17"/>
      <c r="O246" s="17"/>
      <c r="P246" s="17">
        <v>79</v>
      </c>
      <c r="Q246" s="17">
        <v>2632</v>
      </c>
      <c r="R246" s="17"/>
      <c r="S246" s="17"/>
      <c r="T246" s="17"/>
      <c r="U246" s="17"/>
      <c r="V246" s="17">
        <v>65</v>
      </c>
      <c r="W246" s="17">
        <v>2935</v>
      </c>
      <c r="X246" s="15">
        <v>283</v>
      </c>
      <c r="Y246" s="17">
        <v>420</v>
      </c>
      <c r="Z246" s="17">
        <v>467.5</v>
      </c>
      <c r="AA246" s="17">
        <v>5000</v>
      </c>
      <c r="AB246" s="12">
        <v>470</v>
      </c>
    </row>
    <row r="247" ht="14.25" spans="1:28">
      <c r="A247" s="13">
        <v>245</v>
      </c>
      <c r="B247" s="15">
        <v>5</v>
      </c>
      <c r="C247" s="16">
        <v>42</v>
      </c>
      <c r="D247" s="17" t="s">
        <v>503</v>
      </c>
      <c r="E247" s="17" t="s">
        <v>288</v>
      </c>
      <c r="F247" s="17">
        <v>93.5</v>
      </c>
      <c r="G247" s="17">
        <v>7127</v>
      </c>
      <c r="H247" s="17">
        <v>108.25</v>
      </c>
      <c r="I247" s="17">
        <v>2273</v>
      </c>
      <c r="J247" s="17">
        <v>81.75</v>
      </c>
      <c r="K247" s="17">
        <v>7350</v>
      </c>
      <c r="L247" s="17">
        <v>45.5</v>
      </c>
      <c r="M247" s="17">
        <v>4898</v>
      </c>
      <c r="N247" s="17"/>
      <c r="O247" s="17"/>
      <c r="P247" s="17">
        <v>82</v>
      </c>
      <c r="Q247" s="17">
        <v>1870</v>
      </c>
      <c r="R247" s="17"/>
      <c r="S247" s="17"/>
      <c r="T247" s="17"/>
      <c r="U247" s="17"/>
      <c r="V247" s="17">
        <v>74</v>
      </c>
      <c r="W247" s="17">
        <v>1732</v>
      </c>
      <c r="X247" s="15">
        <v>283.5</v>
      </c>
      <c r="Y247" s="17">
        <v>412</v>
      </c>
      <c r="Z247" s="17">
        <v>485</v>
      </c>
      <c r="AA247" s="17">
        <v>3985</v>
      </c>
      <c r="AB247" s="12">
        <v>398</v>
      </c>
    </row>
    <row r="248" ht="14.25" spans="1:28">
      <c r="A248" s="13">
        <v>246</v>
      </c>
      <c r="B248" s="15">
        <v>5</v>
      </c>
      <c r="C248" s="16">
        <v>43</v>
      </c>
      <c r="D248" s="17" t="s">
        <v>504</v>
      </c>
      <c r="E248" s="17" t="s">
        <v>505</v>
      </c>
      <c r="F248" s="17">
        <v>97</v>
      </c>
      <c r="G248" s="17">
        <v>4967</v>
      </c>
      <c r="H248" s="17">
        <v>112.5</v>
      </c>
      <c r="I248" s="17">
        <v>1543</v>
      </c>
      <c r="J248" s="17">
        <v>96</v>
      </c>
      <c r="K248" s="17">
        <v>3851</v>
      </c>
      <c r="L248" s="17">
        <v>53</v>
      </c>
      <c r="M248" s="17">
        <v>3368</v>
      </c>
      <c r="N248" s="17"/>
      <c r="O248" s="17"/>
      <c r="P248" s="17">
        <v>80</v>
      </c>
      <c r="Q248" s="17">
        <v>2333</v>
      </c>
      <c r="R248" s="17"/>
      <c r="S248" s="17"/>
      <c r="T248" s="17"/>
      <c r="U248" s="17"/>
      <c r="V248" s="17">
        <v>87</v>
      </c>
      <c r="W248" s="17">
        <v>273</v>
      </c>
      <c r="X248" s="15">
        <v>305.5</v>
      </c>
      <c r="Y248" s="17">
        <v>233</v>
      </c>
      <c r="Z248" s="17">
        <v>525.5</v>
      </c>
      <c r="AA248" s="17">
        <v>2118</v>
      </c>
      <c r="AB248" s="12">
        <v>181</v>
      </c>
    </row>
    <row r="249" ht="14.25" spans="1:28">
      <c r="A249" s="13">
        <v>247</v>
      </c>
      <c r="B249" s="15">
        <v>5</v>
      </c>
      <c r="C249" s="16">
        <v>44</v>
      </c>
      <c r="D249" s="17" t="s">
        <v>506</v>
      </c>
      <c r="E249" s="17" t="s">
        <v>507</v>
      </c>
      <c r="F249" s="17">
        <v>101</v>
      </c>
      <c r="G249" s="17">
        <v>2896</v>
      </c>
      <c r="H249" s="17">
        <v>115</v>
      </c>
      <c r="I249" s="17">
        <v>1213</v>
      </c>
      <c r="J249" s="17">
        <v>94.75</v>
      </c>
      <c r="K249" s="17">
        <v>4171</v>
      </c>
      <c r="L249" s="17">
        <v>38.5</v>
      </c>
      <c r="M249" s="17">
        <v>6692</v>
      </c>
      <c r="N249" s="17"/>
      <c r="O249" s="17"/>
      <c r="P249" s="17">
        <v>75</v>
      </c>
      <c r="Q249" s="17">
        <v>3841</v>
      </c>
      <c r="R249" s="17"/>
      <c r="S249" s="17"/>
      <c r="T249" s="17"/>
      <c r="U249" s="17"/>
      <c r="V249" s="17">
        <v>73</v>
      </c>
      <c r="W249" s="17">
        <v>1853</v>
      </c>
      <c r="X249" s="15">
        <v>310.75</v>
      </c>
      <c r="Y249" s="17">
        <v>183</v>
      </c>
      <c r="Z249" s="17">
        <v>497.25</v>
      </c>
      <c r="AA249" s="17">
        <v>3373</v>
      </c>
      <c r="AB249" s="12">
        <v>344</v>
      </c>
    </row>
    <row r="250" ht="14.25" spans="1:28">
      <c r="A250" s="13">
        <v>248</v>
      </c>
      <c r="B250" s="15">
        <v>5</v>
      </c>
      <c r="C250" s="16">
        <v>45</v>
      </c>
      <c r="D250" s="17" t="s">
        <v>508</v>
      </c>
      <c r="E250" s="17" t="s">
        <v>362</v>
      </c>
      <c r="F250" s="17">
        <v>91</v>
      </c>
      <c r="G250" s="17">
        <v>8620</v>
      </c>
      <c r="H250" s="17">
        <v>89.5</v>
      </c>
      <c r="I250" s="17">
        <v>5946</v>
      </c>
      <c r="J250" s="17">
        <v>82.75</v>
      </c>
      <c r="K250" s="17">
        <v>7077</v>
      </c>
      <c r="L250" s="17">
        <v>48</v>
      </c>
      <c r="M250" s="17">
        <v>4355</v>
      </c>
      <c r="N250" s="17"/>
      <c r="O250" s="17"/>
      <c r="P250" s="17">
        <v>62</v>
      </c>
      <c r="Q250" s="17">
        <v>8021</v>
      </c>
      <c r="R250" s="17"/>
      <c r="S250" s="17"/>
      <c r="T250" s="17"/>
      <c r="U250" s="17"/>
      <c r="V250" s="17">
        <v>85</v>
      </c>
      <c r="W250" s="17">
        <v>530</v>
      </c>
      <c r="X250" s="15">
        <v>263.25</v>
      </c>
      <c r="Y250" s="17">
        <v>568</v>
      </c>
      <c r="Z250" s="17">
        <v>458.25</v>
      </c>
      <c r="AA250" s="17">
        <v>5578</v>
      </c>
      <c r="AB250" s="12">
        <v>516</v>
      </c>
    </row>
    <row r="251" ht="14.25" spans="1:28">
      <c r="A251" s="13">
        <v>249</v>
      </c>
      <c r="B251" s="15">
        <v>5</v>
      </c>
      <c r="C251" s="16">
        <v>47</v>
      </c>
      <c r="D251" s="17" t="s">
        <v>509</v>
      </c>
      <c r="E251" s="17" t="s">
        <v>510</v>
      </c>
      <c r="F251" s="17">
        <v>99</v>
      </c>
      <c r="G251" s="17">
        <v>3868</v>
      </c>
      <c r="H251" s="17">
        <v>95.5</v>
      </c>
      <c r="I251" s="17">
        <v>4650</v>
      </c>
      <c r="J251" s="17">
        <v>81.5</v>
      </c>
      <c r="K251" s="17">
        <v>7394</v>
      </c>
      <c r="L251" s="17">
        <v>48</v>
      </c>
      <c r="M251" s="17">
        <v>4355</v>
      </c>
      <c r="N251" s="17"/>
      <c r="O251" s="17"/>
      <c r="P251" s="17">
        <v>80</v>
      </c>
      <c r="Q251" s="17">
        <v>2333</v>
      </c>
      <c r="R251" s="17"/>
      <c r="S251" s="17"/>
      <c r="T251" s="17"/>
      <c r="U251" s="17"/>
      <c r="V251" s="17">
        <v>90</v>
      </c>
      <c r="W251" s="17">
        <v>44</v>
      </c>
      <c r="X251" s="15">
        <v>276</v>
      </c>
      <c r="Y251" s="17">
        <v>490</v>
      </c>
      <c r="Z251" s="17">
        <v>494</v>
      </c>
      <c r="AA251" s="17">
        <v>3564</v>
      </c>
      <c r="AB251" s="12">
        <v>357</v>
      </c>
    </row>
    <row r="252" ht="14.25" spans="1:28">
      <c r="A252" s="13">
        <v>250</v>
      </c>
      <c r="B252" s="15">
        <v>5</v>
      </c>
      <c r="C252" s="16">
        <v>48</v>
      </c>
      <c r="D252" s="17" t="s">
        <v>511</v>
      </c>
      <c r="E252" s="17" t="s">
        <v>512</v>
      </c>
      <c r="F252" s="17">
        <v>86.25</v>
      </c>
      <c r="G252" s="17">
        <v>11768</v>
      </c>
      <c r="H252" s="17">
        <v>104</v>
      </c>
      <c r="I252" s="17">
        <v>2999</v>
      </c>
      <c r="J252" s="17">
        <v>104.25</v>
      </c>
      <c r="K252" s="17">
        <v>2330</v>
      </c>
      <c r="L252" s="17">
        <v>37</v>
      </c>
      <c r="M252" s="17">
        <v>7118</v>
      </c>
      <c r="N252" s="17"/>
      <c r="O252" s="17"/>
      <c r="P252" s="17">
        <v>73</v>
      </c>
      <c r="Q252" s="17">
        <v>4501</v>
      </c>
      <c r="R252" s="17"/>
      <c r="S252" s="17"/>
      <c r="T252" s="17"/>
      <c r="U252" s="17"/>
      <c r="V252" s="17">
        <v>89</v>
      </c>
      <c r="W252" s="17">
        <v>100</v>
      </c>
      <c r="X252" s="15">
        <v>294.5</v>
      </c>
      <c r="Y252" s="17">
        <v>321</v>
      </c>
      <c r="Z252" s="17">
        <v>493.5</v>
      </c>
      <c r="AA252" s="17">
        <v>3583</v>
      </c>
      <c r="AB252" s="12">
        <v>358</v>
      </c>
    </row>
    <row r="253" ht="14.25" spans="1:28">
      <c r="A253" s="13">
        <v>251</v>
      </c>
      <c r="B253" s="15">
        <v>5</v>
      </c>
      <c r="C253" s="16">
        <v>49</v>
      </c>
      <c r="D253" s="17" t="s">
        <v>513</v>
      </c>
      <c r="E253" s="17" t="s">
        <v>514</v>
      </c>
      <c r="F253" s="17">
        <v>102</v>
      </c>
      <c r="G253" s="17">
        <v>2480</v>
      </c>
      <c r="H253" s="17">
        <v>97</v>
      </c>
      <c r="I253" s="17">
        <v>4348</v>
      </c>
      <c r="J253" s="17">
        <v>115.5</v>
      </c>
      <c r="K253" s="17">
        <v>849</v>
      </c>
      <c r="L253" s="17">
        <v>77.5</v>
      </c>
      <c r="M253" s="17">
        <v>279</v>
      </c>
      <c r="N253" s="17"/>
      <c r="O253" s="17"/>
      <c r="P253" s="17">
        <v>80</v>
      </c>
      <c r="Q253" s="17">
        <v>2333</v>
      </c>
      <c r="R253" s="17"/>
      <c r="S253" s="17"/>
      <c r="T253" s="17"/>
      <c r="U253" s="17"/>
      <c r="V253" s="17">
        <v>77</v>
      </c>
      <c r="W253" s="17">
        <v>1318</v>
      </c>
      <c r="X253" s="15">
        <v>314.5</v>
      </c>
      <c r="Y253" s="17">
        <v>152</v>
      </c>
      <c r="Z253" s="17">
        <v>549</v>
      </c>
      <c r="AA253" s="17">
        <v>1327</v>
      </c>
      <c r="AB253" s="12">
        <v>101</v>
      </c>
    </row>
    <row r="254" ht="14.25" spans="1:28">
      <c r="A254" s="13">
        <v>252</v>
      </c>
      <c r="B254" s="15">
        <v>6</v>
      </c>
      <c r="C254" s="16">
        <v>3</v>
      </c>
      <c r="D254" s="17" t="s">
        <v>515</v>
      </c>
      <c r="E254" s="17" t="s">
        <v>516</v>
      </c>
      <c r="F254" s="17">
        <v>100.5</v>
      </c>
      <c r="G254" s="17">
        <v>3131</v>
      </c>
      <c r="H254" s="17">
        <v>82.5</v>
      </c>
      <c r="I254" s="17">
        <v>7529</v>
      </c>
      <c r="J254" s="17">
        <v>73</v>
      </c>
      <c r="K254" s="17">
        <v>9622</v>
      </c>
      <c r="L254" s="17">
        <v>37.5</v>
      </c>
      <c r="M254" s="17">
        <v>6979</v>
      </c>
      <c r="N254" s="17"/>
      <c r="O254" s="17"/>
      <c r="P254" s="17"/>
      <c r="Q254" s="17"/>
      <c r="R254" s="17">
        <v>75</v>
      </c>
      <c r="S254" s="17">
        <v>3790</v>
      </c>
      <c r="T254" s="17"/>
      <c r="U254" s="17"/>
      <c r="V254" s="17">
        <v>84</v>
      </c>
      <c r="W254" s="17">
        <v>588</v>
      </c>
      <c r="X254" s="15">
        <v>256</v>
      </c>
      <c r="Y254" s="17">
        <v>593</v>
      </c>
      <c r="Z254" s="17">
        <v>452.5</v>
      </c>
      <c r="AA254" s="17">
        <v>5957</v>
      </c>
      <c r="AB254" s="12">
        <v>536</v>
      </c>
    </row>
    <row r="255" ht="14.25" spans="1:28">
      <c r="A255" s="13">
        <v>253</v>
      </c>
      <c r="B255" s="15">
        <v>6</v>
      </c>
      <c r="C255" s="16">
        <v>4</v>
      </c>
      <c r="D255" s="17" t="s">
        <v>517</v>
      </c>
      <c r="E255" s="17" t="s">
        <v>518</v>
      </c>
      <c r="F255" s="17">
        <v>86.5</v>
      </c>
      <c r="G255" s="17">
        <v>11527</v>
      </c>
      <c r="H255" s="17">
        <v>87.5</v>
      </c>
      <c r="I255" s="17">
        <v>6415</v>
      </c>
      <c r="J255" s="17">
        <v>104.5</v>
      </c>
      <c r="K255" s="17">
        <v>2265</v>
      </c>
      <c r="L255" s="17">
        <v>40.5</v>
      </c>
      <c r="M255" s="17">
        <v>6131</v>
      </c>
      <c r="N255" s="17"/>
      <c r="O255" s="17"/>
      <c r="P255" s="17"/>
      <c r="Q255" s="17"/>
      <c r="R255" s="17">
        <v>82</v>
      </c>
      <c r="S255" s="17">
        <v>1915</v>
      </c>
      <c r="T255" s="17"/>
      <c r="U255" s="17"/>
      <c r="V255" s="17">
        <v>76</v>
      </c>
      <c r="W255" s="17">
        <v>1407</v>
      </c>
      <c r="X255" s="15">
        <v>278.5</v>
      </c>
      <c r="Y255" s="17">
        <v>462</v>
      </c>
      <c r="Z255" s="17">
        <v>477</v>
      </c>
      <c r="AA255" s="17">
        <v>4436</v>
      </c>
      <c r="AB255" s="12">
        <v>430</v>
      </c>
    </row>
    <row r="256" ht="14.25" spans="1:28">
      <c r="A256" s="13">
        <v>254</v>
      </c>
      <c r="B256" s="15">
        <v>6</v>
      </c>
      <c r="C256" s="16">
        <v>5</v>
      </c>
      <c r="D256" s="17" t="s">
        <v>519</v>
      </c>
      <c r="E256" s="17" t="s">
        <v>520</v>
      </c>
      <c r="F256" s="17">
        <v>100</v>
      </c>
      <c r="G256" s="17">
        <v>3368</v>
      </c>
      <c r="H256" s="17">
        <v>90</v>
      </c>
      <c r="I256" s="17">
        <v>5850</v>
      </c>
      <c r="J256" s="17">
        <v>90.5</v>
      </c>
      <c r="K256" s="17">
        <v>5135</v>
      </c>
      <c r="L256" s="17">
        <v>61</v>
      </c>
      <c r="M256" s="17">
        <v>2008</v>
      </c>
      <c r="N256" s="17"/>
      <c r="O256" s="17"/>
      <c r="P256" s="17"/>
      <c r="Q256" s="17"/>
      <c r="R256" s="17">
        <v>84</v>
      </c>
      <c r="S256" s="17">
        <v>1490</v>
      </c>
      <c r="T256" s="17"/>
      <c r="U256" s="17"/>
      <c r="V256" s="17">
        <v>87</v>
      </c>
      <c r="W256" s="17">
        <v>273</v>
      </c>
      <c r="X256" s="15">
        <v>280.5</v>
      </c>
      <c r="Y256" s="17">
        <v>443</v>
      </c>
      <c r="Z256" s="17">
        <v>512.5</v>
      </c>
      <c r="AA256" s="17">
        <v>2652</v>
      </c>
      <c r="AB256" s="12">
        <v>260</v>
      </c>
    </row>
    <row r="257" ht="14.25" spans="1:28">
      <c r="A257" s="13">
        <v>255</v>
      </c>
      <c r="B257" s="15">
        <v>6</v>
      </c>
      <c r="C257" s="16">
        <v>6</v>
      </c>
      <c r="D257" s="17" t="s">
        <v>521</v>
      </c>
      <c r="E257" s="17" t="s">
        <v>522</v>
      </c>
      <c r="F257" s="17">
        <v>102.5</v>
      </c>
      <c r="G257" s="17">
        <v>2274</v>
      </c>
      <c r="H257" s="17">
        <v>55</v>
      </c>
      <c r="I257" s="17">
        <v>12703</v>
      </c>
      <c r="J257" s="17">
        <v>101.75</v>
      </c>
      <c r="K257" s="17">
        <v>2754</v>
      </c>
      <c r="L257" s="17">
        <v>34</v>
      </c>
      <c r="M257" s="17">
        <v>8051</v>
      </c>
      <c r="N257" s="17"/>
      <c r="O257" s="17"/>
      <c r="P257" s="17"/>
      <c r="Q257" s="17"/>
      <c r="R257" s="17">
        <v>79</v>
      </c>
      <c r="S257" s="17">
        <v>2629</v>
      </c>
      <c r="T257" s="17"/>
      <c r="U257" s="17"/>
      <c r="V257" s="17">
        <v>77</v>
      </c>
      <c r="W257" s="17">
        <v>1318</v>
      </c>
      <c r="X257" s="15">
        <v>259.25</v>
      </c>
      <c r="Y257" s="17">
        <v>584</v>
      </c>
      <c r="Z257" s="17">
        <v>449.25</v>
      </c>
      <c r="AA257" s="17">
        <v>6185</v>
      </c>
      <c r="AB257" s="12">
        <v>542</v>
      </c>
    </row>
    <row r="258" ht="14.25" spans="1:28">
      <c r="A258" s="13">
        <v>256</v>
      </c>
      <c r="B258" s="15">
        <v>6</v>
      </c>
      <c r="C258" s="16">
        <v>7</v>
      </c>
      <c r="D258" s="17" t="s">
        <v>523</v>
      </c>
      <c r="E258" s="17" t="s">
        <v>524</v>
      </c>
      <c r="F258" s="17">
        <v>102.5</v>
      </c>
      <c r="G258" s="17">
        <v>2274</v>
      </c>
      <c r="H258" s="17">
        <v>95</v>
      </c>
      <c r="I258" s="17">
        <v>4735</v>
      </c>
      <c r="J258" s="17">
        <v>105.75</v>
      </c>
      <c r="K258" s="17">
        <v>2077</v>
      </c>
      <c r="L258" s="17">
        <v>33</v>
      </c>
      <c r="M258" s="17">
        <v>8387</v>
      </c>
      <c r="N258" s="17"/>
      <c r="O258" s="17"/>
      <c r="P258" s="17"/>
      <c r="Q258" s="17"/>
      <c r="R258" s="17">
        <v>76</v>
      </c>
      <c r="S258" s="17">
        <v>3491</v>
      </c>
      <c r="T258" s="17"/>
      <c r="U258" s="17"/>
      <c r="V258" s="17">
        <v>76</v>
      </c>
      <c r="W258" s="17">
        <v>1407</v>
      </c>
      <c r="X258" s="15">
        <v>303.25</v>
      </c>
      <c r="Y258" s="17">
        <v>249</v>
      </c>
      <c r="Z258" s="17">
        <v>488.25</v>
      </c>
      <c r="AA258" s="17">
        <v>3834</v>
      </c>
      <c r="AB258" s="12">
        <v>385</v>
      </c>
    </row>
    <row r="259" ht="14.25" spans="1:28">
      <c r="A259" s="13">
        <v>257</v>
      </c>
      <c r="B259" s="15">
        <v>6</v>
      </c>
      <c r="C259" s="16">
        <v>8</v>
      </c>
      <c r="D259" s="17" t="s">
        <v>525</v>
      </c>
      <c r="E259" s="17" t="s">
        <v>526</v>
      </c>
      <c r="F259" s="17">
        <v>83.5</v>
      </c>
      <c r="G259" s="17">
        <v>13160</v>
      </c>
      <c r="H259" s="17">
        <v>80.5</v>
      </c>
      <c r="I259" s="17">
        <v>7938</v>
      </c>
      <c r="J259" s="17">
        <v>101.25</v>
      </c>
      <c r="K259" s="17">
        <v>2839</v>
      </c>
      <c r="L259" s="17">
        <v>28.5</v>
      </c>
      <c r="M259" s="17">
        <v>10084</v>
      </c>
      <c r="N259" s="17"/>
      <c r="O259" s="17"/>
      <c r="P259" s="17"/>
      <c r="Q259" s="17"/>
      <c r="R259" s="17">
        <v>77</v>
      </c>
      <c r="S259" s="17">
        <v>3183</v>
      </c>
      <c r="T259" s="17"/>
      <c r="U259" s="17"/>
      <c r="V259" s="17">
        <v>74</v>
      </c>
      <c r="W259" s="17">
        <v>1732</v>
      </c>
      <c r="X259" s="15">
        <v>265.25</v>
      </c>
      <c r="Y259" s="17">
        <v>553</v>
      </c>
      <c r="Z259" s="17">
        <v>444.75</v>
      </c>
      <c r="AA259" s="17">
        <v>6478</v>
      </c>
      <c r="AB259" s="12">
        <v>554</v>
      </c>
    </row>
    <row r="260" ht="14.25" spans="1:28">
      <c r="A260" s="13">
        <v>258</v>
      </c>
      <c r="B260" s="15">
        <v>6</v>
      </c>
      <c r="C260" s="16">
        <v>9</v>
      </c>
      <c r="D260" s="17" t="s">
        <v>527</v>
      </c>
      <c r="E260" s="17" t="s">
        <v>528</v>
      </c>
      <c r="F260" s="17">
        <v>91.5</v>
      </c>
      <c r="G260" s="17">
        <v>8306</v>
      </c>
      <c r="H260" s="17">
        <v>89.5</v>
      </c>
      <c r="I260" s="17">
        <v>5946</v>
      </c>
      <c r="J260" s="17">
        <v>84.75</v>
      </c>
      <c r="K260" s="17">
        <v>6579</v>
      </c>
      <c r="L260" s="17">
        <v>40.5</v>
      </c>
      <c r="M260" s="17">
        <v>6131</v>
      </c>
      <c r="N260" s="17"/>
      <c r="O260" s="17"/>
      <c r="P260" s="17"/>
      <c r="Q260" s="17"/>
      <c r="R260" s="17">
        <v>67</v>
      </c>
      <c r="S260" s="17">
        <v>6298</v>
      </c>
      <c r="T260" s="17"/>
      <c r="U260" s="17"/>
      <c r="V260" s="17">
        <v>63</v>
      </c>
      <c r="W260" s="17">
        <v>3260</v>
      </c>
      <c r="X260" s="15">
        <v>265.75</v>
      </c>
      <c r="Y260" s="17">
        <v>551</v>
      </c>
      <c r="Z260" s="17">
        <v>436.25</v>
      </c>
      <c r="AA260" s="17">
        <v>7085</v>
      </c>
      <c r="AB260" s="12">
        <v>581</v>
      </c>
    </row>
    <row r="261" ht="14.25" spans="1:28">
      <c r="A261" s="13">
        <v>259</v>
      </c>
      <c r="B261" s="15">
        <v>6</v>
      </c>
      <c r="C261" s="16">
        <v>10</v>
      </c>
      <c r="D261" s="17" t="s">
        <v>529</v>
      </c>
      <c r="E261" s="17" t="s">
        <v>530</v>
      </c>
      <c r="F261" s="17">
        <v>91</v>
      </c>
      <c r="G261" s="17">
        <v>8620</v>
      </c>
      <c r="H261" s="17">
        <v>80</v>
      </c>
      <c r="I261" s="17">
        <v>8038</v>
      </c>
      <c r="J261" s="17">
        <v>56</v>
      </c>
      <c r="K261" s="17">
        <v>13140</v>
      </c>
      <c r="L261" s="17">
        <v>47</v>
      </c>
      <c r="M261" s="17">
        <v>4568</v>
      </c>
      <c r="N261" s="17"/>
      <c r="O261" s="17"/>
      <c r="P261" s="17"/>
      <c r="Q261" s="17"/>
      <c r="R261" s="17">
        <v>72</v>
      </c>
      <c r="S261" s="17">
        <v>4793</v>
      </c>
      <c r="T261" s="17"/>
      <c r="U261" s="17"/>
      <c r="V261" s="17">
        <v>46</v>
      </c>
      <c r="W261" s="17">
        <v>4943</v>
      </c>
      <c r="X261" s="15">
        <v>227</v>
      </c>
      <c r="Y261" s="17">
        <v>649</v>
      </c>
      <c r="Z261" s="17">
        <v>392</v>
      </c>
      <c r="AA261" s="17">
        <v>10200</v>
      </c>
      <c r="AB261" s="12">
        <v>641</v>
      </c>
    </row>
    <row r="262" ht="14.25" spans="1:28">
      <c r="A262" s="13">
        <v>260</v>
      </c>
      <c r="B262" s="15">
        <v>6</v>
      </c>
      <c r="C262" s="16">
        <v>12</v>
      </c>
      <c r="D262" s="17" t="s">
        <v>531</v>
      </c>
      <c r="E262" s="17" t="s">
        <v>532</v>
      </c>
      <c r="F262" s="17">
        <v>101</v>
      </c>
      <c r="G262" s="17">
        <v>2896</v>
      </c>
      <c r="H262" s="17">
        <v>87</v>
      </c>
      <c r="I262" s="17">
        <v>6532</v>
      </c>
      <c r="J262" s="17">
        <v>108.25</v>
      </c>
      <c r="K262" s="17">
        <v>1690</v>
      </c>
      <c r="L262" s="17">
        <v>46.5</v>
      </c>
      <c r="M262" s="17">
        <v>4690</v>
      </c>
      <c r="N262" s="17"/>
      <c r="O262" s="17"/>
      <c r="P262" s="17"/>
      <c r="Q262" s="17"/>
      <c r="R262" s="17">
        <v>76</v>
      </c>
      <c r="S262" s="17">
        <v>3491</v>
      </c>
      <c r="T262" s="17"/>
      <c r="U262" s="17"/>
      <c r="V262" s="17">
        <v>73</v>
      </c>
      <c r="W262" s="17">
        <v>1853</v>
      </c>
      <c r="X262" s="15">
        <v>296.25</v>
      </c>
      <c r="Y262" s="17">
        <v>305</v>
      </c>
      <c r="Z262" s="17">
        <v>491.75</v>
      </c>
      <c r="AA262" s="17">
        <v>3657</v>
      </c>
      <c r="AB262" s="12">
        <v>366</v>
      </c>
    </row>
    <row r="263" ht="14.25" spans="1:28">
      <c r="A263" s="13">
        <v>261</v>
      </c>
      <c r="B263" s="15">
        <v>6</v>
      </c>
      <c r="C263" s="16">
        <v>13</v>
      </c>
      <c r="D263" s="17" t="s">
        <v>533</v>
      </c>
      <c r="E263" s="17" t="s">
        <v>534</v>
      </c>
      <c r="F263" s="17">
        <v>103</v>
      </c>
      <c r="G263" s="17">
        <v>2094</v>
      </c>
      <c r="H263" s="17">
        <v>91</v>
      </c>
      <c r="I263" s="17">
        <v>5638</v>
      </c>
      <c r="J263" s="17">
        <v>115.5</v>
      </c>
      <c r="K263" s="17">
        <v>849</v>
      </c>
      <c r="L263" s="17">
        <v>53.5</v>
      </c>
      <c r="M263" s="17">
        <v>3296</v>
      </c>
      <c r="N263" s="17"/>
      <c r="O263" s="17"/>
      <c r="P263" s="17"/>
      <c r="Q263" s="17"/>
      <c r="R263" s="17">
        <v>76</v>
      </c>
      <c r="S263" s="17">
        <v>3491</v>
      </c>
      <c r="T263" s="17"/>
      <c r="U263" s="17"/>
      <c r="V263" s="17">
        <v>86</v>
      </c>
      <c r="W263" s="17">
        <v>439</v>
      </c>
      <c r="X263" s="15">
        <v>309.5</v>
      </c>
      <c r="Y263" s="17">
        <v>197</v>
      </c>
      <c r="Z263" s="17">
        <v>525</v>
      </c>
      <c r="AA263" s="17">
        <v>2137</v>
      </c>
      <c r="AB263" s="12">
        <v>186</v>
      </c>
    </row>
    <row r="264" ht="14.25" spans="1:28">
      <c r="A264" s="13">
        <v>262</v>
      </c>
      <c r="B264" s="15">
        <v>6</v>
      </c>
      <c r="C264" s="16">
        <v>14</v>
      </c>
      <c r="D264" s="17" t="s">
        <v>535</v>
      </c>
      <c r="E264" s="17" t="s">
        <v>536</v>
      </c>
      <c r="F264" s="17">
        <v>94.5</v>
      </c>
      <c r="G264" s="17">
        <v>6496</v>
      </c>
      <c r="H264" s="17">
        <v>126</v>
      </c>
      <c r="I264" s="17">
        <v>306</v>
      </c>
      <c r="J264" s="17">
        <v>95</v>
      </c>
      <c r="K264" s="17">
        <v>4092</v>
      </c>
      <c r="L264" s="17">
        <v>66.5</v>
      </c>
      <c r="M264" s="17">
        <v>1237</v>
      </c>
      <c r="N264" s="17"/>
      <c r="O264" s="17"/>
      <c r="P264" s="17"/>
      <c r="Q264" s="17"/>
      <c r="R264" s="17">
        <v>84</v>
      </c>
      <c r="S264" s="17">
        <v>1490</v>
      </c>
      <c r="T264" s="17"/>
      <c r="U264" s="17"/>
      <c r="V264" s="17">
        <v>90</v>
      </c>
      <c r="W264" s="17">
        <v>44</v>
      </c>
      <c r="X264" s="15">
        <v>315.5</v>
      </c>
      <c r="Y264" s="17">
        <v>147</v>
      </c>
      <c r="Z264" s="17">
        <v>556</v>
      </c>
      <c r="AA264" s="17">
        <v>1115</v>
      </c>
      <c r="AB264" s="12">
        <v>81</v>
      </c>
    </row>
    <row r="265" ht="14.25" spans="1:28">
      <c r="A265" s="13">
        <v>263</v>
      </c>
      <c r="B265" s="15">
        <v>6</v>
      </c>
      <c r="C265" s="16">
        <v>15</v>
      </c>
      <c r="D265" s="17" t="s">
        <v>537</v>
      </c>
      <c r="E265" s="17" t="s">
        <v>538</v>
      </c>
      <c r="F265" s="17">
        <v>99.5</v>
      </c>
      <c r="G265" s="17">
        <v>3607</v>
      </c>
      <c r="H265" s="17">
        <v>105.5</v>
      </c>
      <c r="I265" s="17">
        <v>2718</v>
      </c>
      <c r="J265" s="17">
        <v>105.25</v>
      </c>
      <c r="K265" s="17">
        <v>2156</v>
      </c>
      <c r="L265" s="17">
        <v>74.5</v>
      </c>
      <c r="M265" s="17">
        <v>487</v>
      </c>
      <c r="N265" s="17"/>
      <c r="O265" s="17"/>
      <c r="P265" s="17"/>
      <c r="Q265" s="17"/>
      <c r="R265" s="17">
        <v>76</v>
      </c>
      <c r="S265" s="17">
        <v>3491</v>
      </c>
      <c r="T265" s="17"/>
      <c r="U265" s="17"/>
      <c r="V265" s="17">
        <v>88</v>
      </c>
      <c r="W265" s="17">
        <v>165</v>
      </c>
      <c r="X265" s="15">
        <v>310.25</v>
      </c>
      <c r="Y265" s="17">
        <v>189</v>
      </c>
      <c r="Z265" s="17">
        <v>548.75</v>
      </c>
      <c r="AA265" s="17">
        <v>1342</v>
      </c>
      <c r="AB265" s="12">
        <v>103</v>
      </c>
    </row>
    <row r="266" ht="14.25" spans="1:28">
      <c r="A266" s="13">
        <v>264</v>
      </c>
      <c r="B266" s="15">
        <v>6</v>
      </c>
      <c r="C266" s="16">
        <v>16</v>
      </c>
      <c r="D266" s="17" t="s">
        <v>539</v>
      </c>
      <c r="E266" s="17" t="s">
        <v>540</v>
      </c>
      <c r="F266" s="17">
        <v>109.25</v>
      </c>
      <c r="G266" s="17">
        <v>555</v>
      </c>
      <c r="H266" s="17">
        <v>104.5</v>
      </c>
      <c r="I266" s="17">
        <v>2895</v>
      </c>
      <c r="J266" s="17">
        <v>110.25</v>
      </c>
      <c r="K266" s="17">
        <v>1435</v>
      </c>
      <c r="L266" s="17">
        <v>62</v>
      </c>
      <c r="M266" s="17">
        <v>1839</v>
      </c>
      <c r="N266" s="17"/>
      <c r="O266" s="17"/>
      <c r="P266" s="17"/>
      <c r="Q266" s="17"/>
      <c r="R266" s="17">
        <v>86</v>
      </c>
      <c r="S266" s="17">
        <v>1176</v>
      </c>
      <c r="T266" s="17"/>
      <c r="U266" s="17"/>
      <c r="V266" s="17">
        <v>72</v>
      </c>
      <c r="W266" s="17">
        <v>2049</v>
      </c>
      <c r="X266" s="15">
        <v>324</v>
      </c>
      <c r="Y266" s="17">
        <v>92</v>
      </c>
      <c r="Z266" s="17">
        <v>544</v>
      </c>
      <c r="AA266" s="17">
        <v>1487</v>
      </c>
      <c r="AB266" s="12">
        <v>117</v>
      </c>
    </row>
    <row r="267" ht="14.25" spans="1:28">
      <c r="A267" s="13">
        <v>265</v>
      </c>
      <c r="B267" s="15">
        <v>6</v>
      </c>
      <c r="C267" s="16">
        <v>17</v>
      </c>
      <c r="D267" s="17" t="s">
        <v>541</v>
      </c>
      <c r="E267" s="17" t="s">
        <v>542</v>
      </c>
      <c r="F267" s="17">
        <v>91</v>
      </c>
      <c r="G267" s="17">
        <v>8620</v>
      </c>
      <c r="H267" s="17">
        <v>97.5</v>
      </c>
      <c r="I267" s="17">
        <v>4244</v>
      </c>
      <c r="J267" s="17">
        <v>89.5</v>
      </c>
      <c r="K267" s="17">
        <v>5383</v>
      </c>
      <c r="L267" s="17">
        <v>80</v>
      </c>
      <c r="M267" s="17">
        <v>151</v>
      </c>
      <c r="N267" s="17"/>
      <c r="O267" s="17"/>
      <c r="P267" s="17"/>
      <c r="Q267" s="17"/>
      <c r="R267" s="17">
        <v>84</v>
      </c>
      <c r="S267" s="17">
        <v>1490</v>
      </c>
      <c r="T267" s="17"/>
      <c r="U267" s="17"/>
      <c r="V267" s="17">
        <v>80</v>
      </c>
      <c r="W267" s="17">
        <v>938</v>
      </c>
      <c r="X267" s="15">
        <v>278</v>
      </c>
      <c r="Y267" s="17">
        <v>469</v>
      </c>
      <c r="Z267" s="17">
        <v>522</v>
      </c>
      <c r="AA267" s="17">
        <v>2281</v>
      </c>
      <c r="AB267" s="12">
        <v>206</v>
      </c>
    </row>
    <row r="268" ht="14.25" spans="1:28">
      <c r="A268" s="13">
        <v>266</v>
      </c>
      <c r="B268" s="15">
        <v>6</v>
      </c>
      <c r="C268" s="16">
        <v>18</v>
      </c>
      <c r="D268" s="17" t="s">
        <v>543</v>
      </c>
      <c r="E268" s="17" t="s">
        <v>544</v>
      </c>
      <c r="F268" s="17">
        <v>104</v>
      </c>
      <c r="G268" s="17">
        <v>1709</v>
      </c>
      <c r="H268" s="17">
        <v>79.5</v>
      </c>
      <c r="I268" s="17">
        <v>8139</v>
      </c>
      <c r="J268" s="17">
        <v>110</v>
      </c>
      <c r="K268" s="17">
        <v>1448</v>
      </c>
      <c r="L268" s="17">
        <v>53</v>
      </c>
      <c r="M268" s="17">
        <v>3368</v>
      </c>
      <c r="N268" s="17"/>
      <c r="O268" s="17"/>
      <c r="P268" s="17"/>
      <c r="Q268" s="17"/>
      <c r="R268" s="17">
        <v>81</v>
      </c>
      <c r="S268" s="17">
        <v>2139</v>
      </c>
      <c r="T268" s="17"/>
      <c r="U268" s="17"/>
      <c r="V268" s="17">
        <v>63</v>
      </c>
      <c r="W268" s="17">
        <v>3260</v>
      </c>
      <c r="X268" s="15">
        <v>293.5</v>
      </c>
      <c r="Y268" s="17">
        <v>330</v>
      </c>
      <c r="Z268" s="17">
        <v>490.5</v>
      </c>
      <c r="AA268" s="17">
        <v>3712</v>
      </c>
      <c r="AB268" s="12">
        <v>370</v>
      </c>
    </row>
    <row r="269" ht="14.25" spans="1:28">
      <c r="A269" s="13">
        <v>267</v>
      </c>
      <c r="B269" s="15">
        <v>6</v>
      </c>
      <c r="C269" s="16">
        <v>19</v>
      </c>
      <c r="D269" s="17" t="s">
        <v>545</v>
      </c>
      <c r="E269" s="17" t="s">
        <v>546</v>
      </c>
      <c r="F269" s="17">
        <v>98</v>
      </c>
      <c r="G269" s="17">
        <v>4423</v>
      </c>
      <c r="H269" s="17">
        <v>106.5</v>
      </c>
      <c r="I269" s="17">
        <v>2542</v>
      </c>
      <c r="J269" s="17">
        <v>105</v>
      </c>
      <c r="K269" s="17">
        <v>2184</v>
      </c>
      <c r="L269" s="17">
        <v>74.5</v>
      </c>
      <c r="M269" s="17">
        <v>487</v>
      </c>
      <c r="N269" s="17"/>
      <c r="O269" s="17"/>
      <c r="P269" s="17"/>
      <c r="Q269" s="17"/>
      <c r="R269" s="17">
        <v>79</v>
      </c>
      <c r="S269" s="17">
        <v>2629</v>
      </c>
      <c r="T269" s="17"/>
      <c r="U269" s="17"/>
      <c r="V269" s="17">
        <v>77</v>
      </c>
      <c r="W269" s="17">
        <v>1318</v>
      </c>
      <c r="X269" s="15">
        <v>309.5</v>
      </c>
      <c r="Y269" s="17">
        <v>197</v>
      </c>
      <c r="Z269" s="17">
        <v>540</v>
      </c>
      <c r="AA269" s="17">
        <v>1622</v>
      </c>
      <c r="AB269" s="12">
        <v>131</v>
      </c>
    </row>
    <row r="270" ht="14.25" spans="1:28">
      <c r="A270" s="13">
        <v>268</v>
      </c>
      <c r="B270" s="15">
        <v>6</v>
      </c>
      <c r="C270" s="16">
        <v>20</v>
      </c>
      <c r="D270" s="17" t="s">
        <v>547</v>
      </c>
      <c r="E270" s="17" t="s">
        <v>548</v>
      </c>
      <c r="F270" s="17">
        <v>90</v>
      </c>
      <c r="G270" s="17">
        <v>9312</v>
      </c>
      <c r="H270" s="17">
        <v>88</v>
      </c>
      <c r="I270" s="17">
        <v>6299</v>
      </c>
      <c r="J270" s="17">
        <v>106.5</v>
      </c>
      <c r="K270" s="17">
        <v>1929</v>
      </c>
      <c r="L270" s="17">
        <v>33.5</v>
      </c>
      <c r="M270" s="17">
        <v>8240</v>
      </c>
      <c r="N270" s="17"/>
      <c r="O270" s="17"/>
      <c r="P270" s="17"/>
      <c r="Q270" s="17"/>
      <c r="R270" s="17">
        <v>74</v>
      </c>
      <c r="S270" s="17">
        <v>4119</v>
      </c>
      <c r="T270" s="17"/>
      <c r="U270" s="17"/>
      <c r="V270" s="17">
        <v>71</v>
      </c>
      <c r="W270" s="17">
        <v>2172</v>
      </c>
      <c r="X270" s="15">
        <v>284.5</v>
      </c>
      <c r="Y270" s="17">
        <v>405</v>
      </c>
      <c r="Z270" s="17">
        <v>463</v>
      </c>
      <c r="AA270" s="17">
        <v>5298</v>
      </c>
      <c r="AB270" s="12">
        <v>498</v>
      </c>
    </row>
    <row r="271" ht="14.25" spans="1:28">
      <c r="A271" s="13">
        <v>269</v>
      </c>
      <c r="B271" s="15">
        <v>6</v>
      </c>
      <c r="C271" s="16">
        <v>21</v>
      </c>
      <c r="D271" s="17" t="s">
        <v>549</v>
      </c>
      <c r="E271" s="17" t="s">
        <v>550</v>
      </c>
      <c r="F271" s="17">
        <v>93</v>
      </c>
      <c r="G271" s="17">
        <v>7407</v>
      </c>
      <c r="H271" s="17">
        <v>86.5</v>
      </c>
      <c r="I271" s="17">
        <v>6657</v>
      </c>
      <c r="J271" s="17">
        <v>81.75</v>
      </c>
      <c r="K271" s="17">
        <v>7350</v>
      </c>
      <c r="L271" s="17">
        <v>55</v>
      </c>
      <c r="M271" s="17">
        <v>3031</v>
      </c>
      <c r="N271" s="17"/>
      <c r="O271" s="17"/>
      <c r="P271" s="17"/>
      <c r="Q271" s="17"/>
      <c r="R271" s="17">
        <v>86</v>
      </c>
      <c r="S271" s="17">
        <v>1176</v>
      </c>
      <c r="T271" s="17"/>
      <c r="U271" s="17"/>
      <c r="V271" s="17">
        <v>88</v>
      </c>
      <c r="W271" s="17">
        <v>165</v>
      </c>
      <c r="X271" s="15">
        <v>261.25</v>
      </c>
      <c r="Y271" s="17">
        <v>576</v>
      </c>
      <c r="Z271" s="17">
        <v>490.25</v>
      </c>
      <c r="AA271" s="17">
        <v>3738</v>
      </c>
      <c r="AB271" s="12">
        <v>372</v>
      </c>
    </row>
    <row r="272" ht="14.25" spans="1:28">
      <c r="A272" s="13">
        <v>270</v>
      </c>
      <c r="B272" s="15">
        <v>6</v>
      </c>
      <c r="C272" s="16">
        <v>22</v>
      </c>
      <c r="D272" s="17" t="s">
        <v>551</v>
      </c>
      <c r="E272" s="17" t="s">
        <v>552</v>
      </c>
      <c r="F272" s="17">
        <v>95</v>
      </c>
      <c r="G272" s="17">
        <v>6168</v>
      </c>
      <c r="H272" s="17">
        <v>74</v>
      </c>
      <c r="I272" s="17">
        <v>9218</v>
      </c>
      <c r="J272" s="17">
        <v>109</v>
      </c>
      <c r="K272" s="17">
        <v>1584</v>
      </c>
      <c r="L272" s="17">
        <v>27.5</v>
      </c>
      <c r="M272" s="17">
        <v>10504</v>
      </c>
      <c r="N272" s="17"/>
      <c r="O272" s="17"/>
      <c r="P272" s="17"/>
      <c r="Q272" s="17"/>
      <c r="R272" s="17">
        <v>73</v>
      </c>
      <c r="S272" s="17">
        <v>4436</v>
      </c>
      <c r="T272" s="17"/>
      <c r="U272" s="17"/>
      <c r="V272" s="17">
        <v>80</v>
      </c>
      <c r="W272" s="17">
        <v>938</v>
      </c>
      <c r="X272" s="15">
        <v>278</v>
      </c>
      <c r="Y272" s="17">
        <v>469</v>
      </c>
      <c r="Z272" s="17">
        <v>458.5</v>
      </c>
      <c r="AA272" s="17">
        <v>5560</v>
      </c>
      <c r="AB272" s="12">
        <v>514</v>
      </c>
    </row>
    <row r="273" ht="14.25" spans="1:28">
      <c r="A273" s="13">
        <v>271</v>
      </c>
      <c r="B273" s="15">
        <v>6</v>
      </c>
      <c r="C273" s="16">
        <v>23</v>
      </c>
      <c r="D273" s="17" t="s">
        <v>553</v>
      </c>
      <c r="E273" s="17" t="s">
        <v>554</v>
      </c>
      <c r="F273" s="17">
        <v>108</v>
      </c>
      <c r="G273" s="17">
        <v>736</v>
      </c>
      <c r="H273" s="17">
        <v>87.5</v>
      </c>
      <c r="I273" s="17">
        <v>6415</v>
      </c>
      <c r="J273" s="17">
        <v>52.5</v>
      </c>
      <c r="K273" s="17">
        <v>13699</v>
      </c>
      <c r="L273" s="17">
        <v>53.5</v>
      </c>
      <c r="M273" s="17">
        <v>3296</v>
      </c>
      <c r="N273" s="17"/>
      <c r="O273" s="17"/>
      <c r="P273" s="17"/>
      <c r="Q273" s="17"/>
      <c r="R273" s="17">
        <v>64</v>
      </c>
      <c r="S273" s="17">
        <v>7440</v>
      </c>
      <c r="T273" s="17"/>
      <c r="U273" s="17"/>
      <c r="V273" s="17">
        <v>63</v>
      </c>
      <c r="W273" s="17">
        <v>3260</v>
      </c>
      <c r="X273" s="15">
        <v>248</v>
      </c>
      <c r="Y273" s="17">
        <v>613</v>
      </c>
      <c r="Z273" s="17">
        <v>428.5</v>
      </c>
      <c r="AA273" s="17">
        <v>7613</v>
      </c>
      <c r="AB273" s="12">
        <v>605</v>
      </c>
    </row>
    <row r="274" ht="14.25" spans="1:28">
      <c r="A274" s="13">
        <v>272</v>
      </c>
      <c r="B274" s="15">
        <v>6</v>
      </c>
      <c r="C274" s="16">
        <v>24</v>
      </c>
      <c r="D274" s="17" t="s">
        <v>555</v>
      </c>
      <c r="E274" s="17" t="s">
        <v>556</v>
      </c>
      <c r="F274" s="17">
        <v>95.75</v>
      </c>
      <c r="G274" s="17">
        <v>5826</v>
      </c>
      <c r="H274" s="17">
        <v>83</v>
      </c>
      <c r="I274" s="17">
        <v>7420</v>
      </c>
      <c r="J274" s="17">
        <v>71</v>
      </c>
      <c r="K274" s="17">
        <v>10072</v>
      </c>
      <c r="L274" s="17">
        <v>43.5</v>
      </c>
      <c r="M274" s="17">
        <v>5353</v>
      </c>
      <c r="N274" s="17"/>
      <c r="O274" s="17"/>
      <c r="P274" s="17"/>
      <c r="Q274" s="17"/>
      <c r="R274" s="17">
        <v>77</v>
      </c>
      <c r="S274" s="17">
        <v>3183</v>
      </c>
      <c r="T274" s="17"/>
      <c r="U274" s="17"/>
      <c r="V274" s="17">
        <v>78</v>
      </c>
      <c r="W274" s="17">
        <v>1218</v>
      </c>
      <c r="X274" s="15">
        <v>249.75</v>
      </c>
      <c r="Y274" s="17">
        <v>610</v>
      </c>
      <c r="Z274" s="17">
        <v>448.25</v>
      </c>
      <c r="AA274" s="17">
        <v>6257</v>
      </c>
      <c r="AB274" s="12">
        <v>547</v>
      </c>
    </row>
    <row r="275" ht="14.25" spans="1:28">
      <c r="A275" s="13">
        <v>273</v>
      </c>
      <c r="B275" s="15">
        <v>6</v>
      </c>
      <c r="C275" s="16">
        <v>25</v>
      </c>
      <c r="D275" s="17" t="s">
        <v>557</v>
      </c>
      <c r="E275" s="17" t="s">
        <v>558</v>
      </c>
      <c r="F275" s="17">
        <v>95</v>
      </c>
      <c r="G275" s="17">
        <v>6168</v>
      </c>
      <c r="H275" s="17">
        <v>78</v>
      </c>
      <c r="I275" s="17">
        <v>8424</v>
      </c>
      <c r="J275" s="17">
        <v>110</v>
      </c>
      <c r="K275" s="17">
        <v>1448</v>
      </c>
      <c r="L275" s="17">
        <v>42.5</v>
      </c>
      <c r="M275" s="17">
        <v>5605</v>
      </c>
      <c r="N275" s="17"/>
      <c r="O275" s="17"/>
      <c r="P275" s="17"/>
      <c r="Q275" s="17"/>
      <c r="R275" s="17">
        <v>74</v>
      </c>
      <c r="S275" s="17">
        <v>4119</v>
      </c>
      <c r="T275" s="17"/>
      <c r="U275" s="17"/>
      <c r="V275" s="17">
        <v>76</v>
      </c>
      <c r="W275" s="17">
        <v>1407</v>
      </c>
      <c r="X275" s="15">
        <v>283</v>
      </c>
      <c r="Y275" s="17">
        <v>420</v>
      </c>
      <c r="Z275" s="17">
        <v>475.5</v>
      </c>
      <c r="AA275" s="17">
        <v>4513</v>
      </c>
      <c r="AB275" s="12">
        <v>434</v>
      </c>
    </row>
    <row r="276" ht="14.25" spans="1:28">
      <c r="A276" s="13">
        <v>274</v>
      </c>
      <c r="B276" s="15">
        <v>6</v>
      </c>
      <c r="C276" s="16">
        <v>26</v>
      </c>
      <c r="D276" s="17" t="s">
        <v>559</v>
      </c>
      <c r="E276" s="17" t="s">
        <v>560</v>
      </c>
      <c r="F276" s="17">
        <v>96</v>
      </c>
      <c r="G276" s="17">
        <v>5544</v>
      </c>
      <c r="H276" s="17">
        <v>95</v>
      </c>
      <c r="I276" s="17">
        <v>4735</v>
      </c>
      <c r="J276" s="17">
        <v>88</v>
      </c>
      <c r="K276" s="17">
        <v>5738</v>
      </c>
      <c r="L276" s="17">
        <v>73.5</v>
      </c>
      <c r="M276" s="17">
        <v>548</v>
      </c>
      <c r="N276" s="17"/>
      <c r="O276" s="17"/>
      <c r="P276" s="17"/>
      <c r="Q276" s="17"/>
      <c r="R276" s="17">
        <v>77</v>
      </c>
      <c r="S276" s="17">
        <v>3183</v>
      </c>
      <c r="T276" s="17"/>
      <c r="U276" s="17"/>
      <c r="V276" s="17">
        <v>79</v>
      </c>
      <c r="W276" s="17">
        <v>1023</v>
      </c>
      <c r="X276" s="15">
        <v>279</v>
      </c>
      <c r="Y276" s="17">
        <v>456</v>
      </c>
      <c r="Z276" s="17">
        <v>508.5</v>
      </c>
      <c r="AA276" s="17">
        <v>2836</v>
      </c>
      <c r="AB276" s="12">
        <v>279</v>
      </c>
    </row>
    <row r="277" ht="14.25" spans="1:28">
      <c r="A277" s="13">
        <v>275</v>
      </c>
      <c r="B277" s="15">
        <v>6</v>
      </c>
      <c r="C277" s="16">
        <v>27</v>
      </c>
      <c r="D277" s="17" t="s">
        <v>561</v>
      </c>
      <c r="E277" s="17" t="s">
        <v>562</v>
      </c>
      <c r="F277" s="17">
        <v>96.25</v>
      </c>
      <c r="G277" s="17">
        <v>5515</v>
      </c>
      <c r="H277" s="17">
        <v>98.5</v>
      </c>
      <c r="I277" s="17">
        <v>4047</v>
      </c>
      <c r="J277" s="17">
        <v>100</v>
      </c>
      <c r="K277" s="17">
        <v>3038</v>
      </c>
      <c r="L277" s="17">
        <v>54</v>
      </c>
      <c r="M277" s="17">
        <v>3208</v>
      </c>
      <c r="N277" s="17"/>
      <c r="O277" s="17"/>
      <c r="P277" s="17"/>
      <c r="Q277" s="17"/>
      <c r="R277" s="17">
        <v>79</v>
      </c>
      <c r="S277" s="17">
        <v>2629</v>
      </c>
      <c r="T277" s="17"/>
      <c r="U277" s="17"/>
      <c r="V277" s="17">
        <v>74</v>
      </c>
      <c r="W277" s="17">
        <v>1732</v>
      </c>
      <c r="X277" s="15">
        <v>294.75</v>
      </c>
      <c r="Y277" s="17">
        <v>319</v>
      </c>
      <c r="Z277" s="17">
        <v>501.75</v>
      </c>
      <c r="AA277" s="17">
        <v>3163</v>
      </c>
      <c r="AB277" s="12">
        <v>318</v>
      </c>
    </row>
    <row r="278" ht="14.25" spans="1:28">
      <c r="A278" s="13">
        <v>276</v>
      </c>
      <c r="B278" s="15">
        <v>6</v>
      </c>
      <c r="C278" s="16">
        <v>28</v>
      </c>
      <c r="D278" s="17" t="s">
        <v>563</v>
      </c>
      <c r="E278" s="17" t="s">
        <v>564</v>
      </c>
      <c r="F278" s="17">
        <v>88.75</v>
      </c>
      <c r="G278" s="17">
        <v>10255</v>
      </c>
      <c r="H278" s="17">
        <v>91</v>
      </c>
      <c r="I278" s="17">
        <v>5638</v>
      </c>
      <c r="J278" s="17">
        <v>80.5</v>
      </c>
      <c r="K278" s="17">
        <v>7667</v>
      </c>
      <c r="L278" s="17">
        <v>55</v>
      </c>
      <c r="M278" s="17">
        <v>3031</v>
      </c>
      <c r="N278" s="17"/>
      <c r="O278" s="17"/>
      <c r="P278" s="17"/>
      <c r="Q278" s="17"/>
      <c r="R278" s="17">
        <v>69</v>
      </c>
      <c r="S278" s="17">
        <v>5677</v>
      </c>
      <c r="T278" s="17"/>
      <c r="U278" s="17"/>
      <c r="V278" s="17">
        <v>74</v>
      </c>
      <c r="W278" s="17">
        <v>1732</v>
      </c>
      <c r="X278" s="15">
        <v>260.25</v>
      </c>
      <c r="Y278" s="17">
        <v>582</v>
      </c>
      <c r="Z278" s="17">
        <v>458.25</v>
      </c>
      <c r="AA278" s="17">
        <v>5578</v>
      </c>
      <c r="AB278" s="12">
        <v>516</v>
      </c>
    </row>
    <row r="279" ht="14.25" spans="1:28">
      <c r="A279" s="13">
        <v>277</v>
      </c>
      <c r="B279" s="15">
        <v>6</v>
      </c>
      <c r="C279" s="16">
        <v>29</v>
      </c>
      <c r="D279" s="17" t="s">
        <v>565</v>
      </c>
      <c r="E279" s="17" t="s">
        <v>566</v>
      </c>
      <c r="F279" s="17">
        <v>100</v>
      </c>
      <c r="G279" s="17">
        <v>3368</v>
      </c>
      <c r="H279" s="17">
        <v>58</v>
      </c>
      <c r="I279" s="17">
        <v>12196</v>
      </c>
      <c r="J279" s="17">
        <v>94</v>
      </c>
      <c r="K279" s="17">
        <v>4318</v>
      </c>
      <c r="L279" s="17">
        <v>45.5</v>
      </c>
      <c r="M279" s="17">
        <v>4898</v>
      </c>
      <c r="N279" s="17"/>
      <c r="O279" s="17"/>
      <c r="P279" s="17"/>
      <c r="Q279" s="17"/>
      <c r="R279" s="17">
        <v>85</v>
      </c>
      <c r="S279" s="17">
        <v>1393</v>
      </c>
      <c r="T279" s="17"/>
      <c r="U279" s="17"/>
      <c r="V279" s="17">
        <v>81</v>
      </c>
      <c r="W279" s="17">
        <v>860</v>
      </c>
      <c r="X279" s="15">
        <v>252</v>
      </c>
      <c r="Y279" s="17">
        <v>607</v>
      </c>
      <c r="Z279" s="17">
        <v>463.5</v>
      </c>
      <c r="AA279" s="17">
        <v>5265</v>
      </c>
      <c r="AB279" s="12">
        <v>494</v>
      </c>
    </row>
    <row r="280" ht="14.25" spans="1:28">
      <c r="A280" s="13">
        <v>278</v>
      </c>
      <c r="B280" s="15">
        <v>6</v>
      </c>
      <c r="C280" s="16">
        <v>30</v>
      </c>
      <c r="D280" s="17" t="s">
        <v>567</v>
      </c>
      <c r="E280" s="17" t="s">
        <v>568</v>
      </c>
      <c r="F280" s="17">
        <v>89.5</v>
      </c>
      <c r="G280" s="17">
        <v>9648</v>
      </c>
      <c r="H280" s="17">
        <v>60</v>
      </c>
      <c r="I280" s="17">
        <v>11839</v>
      </c>
      <c r="J280" s="17">
        <v>82.5</v>
      </c>
      <c r="K280" s="17">
        <v>7120</v>
      </c>
      <c r="L280" s="17">
        <v>26</v>
      </c>
      <c r="M280" s="17">
        <v>11124</v>
      </c>
      <c r="N280" s="17"/>
      <c r="O280" s="17"/>
      <c r="P280" s="17"/>
      <c r="Q280" s="17"/>
      <c r="R280" s="17">
        <v>72</v>
      </c>
      <c r="S280" s="17">
        <v>4793</v>
      </c>
      <c r="T280" s="17"/>
      <c r="U280" s="17"/>
      <c r="V280" s="17">
        <v>62</v>
      </c>
      <c r="W280" s="17">
        <v>3367</v>
      </c>
      <c r="X280" s="15">
        <v>232</v>
      </c>
      <c r="Y280" s="17">
        <v>642</v>
      </c>
      <c r="Z280" s="17">
        <v>392</v>
      </c>
      <c r="AA280" s="17">
        <v>10200</v>
      </c>
      <c r="AB280" s="12">
        <v>641</v>
      </c>
    </row>
    <row r="281" ht="14.25" spans="1:28">
      <c r="A281" s="13">
        <v>279</v>
      </c>
      <c r="B281" s="15">
        <v>6</v>
      </c>
      <c r="C281" s="16">
        <v>31</v>
      </c>
      <c r="D281" s="17" t="s">
        <v>569</v>
      </c>
      <c r="E281" s="17" t="s">
        <v>570</v>
      </c>
      <c r="F281" s="17">
        <v>97</v>
      </c>
      <c r="G281" s="17">
        <v>4967</v>
      </c>
      <c r="H281" s="17">
        <v>99</v>
      </c>
      <c r="I281" s="17">
        <v>3947</v>
      </c>
      <c r="J281" s="17">
        <v>81</v>
      </c>
      <c r="K281" s="17">
        <v>7529</v>
      </c>
      <c r="L281" s="17">
        <v>28.5</v>
      </c>
      <c r="M281" s="17">
        <v>10084</v>
      </c>
      <c r="N281" s="17"/>
      <c r="O281" s="17"/>
      <c r="P281" s="17"/>
      <c r="Q281" s="17"/>
      <c r="R281" s="17">
        <v>53</v>
      </c>
      <c r="S281" s="17">
        <v>10501</v>
      </c>
      <c r="T281" s="17"/>
      <c r="U281" s="17"/>
      <c r="V281" s="17">
        <v>57</v>
      </c>
      <c r="W281" s="17">
        <v>4040</v>
      </c>
      <c r="X281" s="15">
        <v>277</v>
      </c>
      <c r="Y281" s="17">
        <v>485</v>
      </c>
      <c r="Z281" s="17">
        <v>415.5</v>
      </c>
      <c r="AA281" s="17">
        <v>8538</v>
      </c>
      <c r="AB281" s="12">
        <v>626</v>
      </c>
    </row>
    <row r="282" ht="14.25" spans="1:28">
      <c r="A282" s="13">
        <v>280</v>
      </c>
      <c r="B282" s="15">
        <v>6</v>
      </c>
      <c r="C282" s="16">
        <v>32</v>
      </c>
      <c r="D282" s="17" t="s">
        <v>571</v>
      </c>
      <c r="E282" s="17" t="s">
        <v>572</v>
      </c>
      <c r="F282" s="17">
        <v>99</v>
      </c>
      <c r="G282" s="17">
        <v>3868</v>
      </c>
      <c r="H282" s="17">
        <v>101.5</v>
      </c>
      <c r="I282" s="17">
        <v>3477</v>
      </c>
      <c r="J282" s="17">
        <v>78.75</v>
      </c>
      <c r="K282" s="17">
        <v>8143</v>
      </c>
      <c r="L282" s="17">
        <v>61.5</v>
      </c>
      <c r="M282" s="17">
        <v>1929</v>
      </c>
      <c r="N282" s="17"/>
      <c r="O282" s="17"/>
      <c r="P282" s="17"/>
      <c r="Q282" s="17"/>
      <c r="R282" s="17">
        <v>89</v>
      </c>
      <c r="S282" s="17">
        <v>415</v>
      </c>
      <c r="T282" s="17"/>
      <c r="U282" s="17"/>
      <c r="V282" s="17">
        <v>87</v>
      </c>
      <c r="W282" s="17">
        <v>273</v>
      </c>
      <c r="X282" s="15">
        <v>279.25</v>
      </c>
      <c r="Y282" s="17">
        <v>453</v>
      </c>
      <c r="Z282" s="17">
        <v>516.75</v>
      </c>
      <c r="AA282" s="17">
        <v>2470</v>
      </c>
      <c r="AB282" s="12">
        <v>238</v>
      </c>
    </row>
    <row r="283" ht="14.25" spans="1:28">
      <c r="A283" s="13">
        <v>281</v>
      </c>
      <c r="B283" s="15">
        <v>6</v>
      </c>
      <c r="C283" s="16">
        <v>33</v>
      </c>
      <c r="D283" s="17" t="s">
        <v>573</v>
      </c>
      <c r="E283" s="17" t="s">
        <v>574</v>
      </c>
      <c r="F283" s="17">
        <v>95.5</v>
      </c>
      <c r="G283" s="17">
        <v>5877</v>
      </c>
      <c r="H283" s="17">
        <v>88.5</v>
      </c>
      <c r="I283" s="17">
        <v>6176</v>
      </c>
      <c r="J283" s="17">
        <v>92.5</v>
      </c>
      <c r="K283" s="17">
        <v>4660</v>
      </c>
      <c r="L283" s="17">
        <v>35</v>
      </c>
      <c r="M283" s="17">
        <v>7732</v>
      </c>
      <c r="N283" s="17"/>
      <c r="O283" s="17"/>
      <c r="P283" s="17"/>
      <c r="Q283" s="17"/>
      <c r="R283" s="17">
        <v>45</v>
      </c>
      <c r="S283" s="17">
        <v>11991</v>
      </c>
      <c r="T283" s="17"/>
      <c r="U283" s="17"/>
      <c r="V283" s="17">
        <v>67</v>
      </c>
      <c r="W283" s="17">
        <v>2619</v>
      </c>
      <c r="X283" s="15">
        <v>276.5</v>
      </c>
      <c r="Y283" s="17">
        <v>488</v>
      </c>
      <c r="Z283" s="17">
        <v>423.5</v>
      </c>
      <c r="AA283" s="17">
        <v>7960</v>
      </c>
      <c r="AB283" s="12">
        <v>618</v>
      </c>
    </row>
    <row r="284" ht="14.25" spans="1:28">
      <c r="A284" s="13">
        <v>282</v>
      </c>
      <c r="B284" s="15">
        <v>6</v>
      </c>
      <c r="C284" s="16">
        <v>34</v>
      </c>
      <c r="D284" s="17" t="s">
        <v>575</v>
      </c>
      <c r="E284" s="17" t="s">
        <v>576</v>
      </c>
      <c r="F284" s="17">
        <v>97.5</v>
      </c>
      <c r="G284" s="17">
        <v>4695</v>
      </c>
      <c r="H284" s="17">
        <v>103</v>
      </c>
      <c r="I284" s="17">
        <v>3209</v>
      </c>
      <c r="J284" s="17">
        <v>112</v>
      </c>
      <c r="K284" s="17">
        <v>1229</v>
      </c>
      <c r="L284" s="17">
        <v>58.5</v>
      </c>
      <c r="M284" s="17">
        <v>2451</v>
      </c>
      <c r="N284" s="17"/>
      <c r="O284" s="17"/>
      <c r="P284" s="17"/>
      <c r="Q284" s="17"/>
      <c r="R284" s="17">
        <v>83</v>
      </c>
      <c r="S284" s="17">
        <v>1715</v>
      </c>
      <c r="T284" s="17"/>
      <c r="U284" s="17"/>
      <c r="V284" s="17">
        <v>82</v>
      </c>
      <c r="W284" s="17">
        <v>723</v>
      </c>
      <c r="X284" s="15">
        <v>312.5</v>
      </c>
      <c r="Y284" s="17">
        <v>168</v>
      </c>
      <c r="Z284" s="17">
        <v>536</v>
      </c>
      <c r="AA284" s="17">
        <v>1744</v>
      </c>
      <c r="AB284" s="12">
        <v>146</v>
      </c>
    </row>
    <row r="285" ht="14.25" spans="1:28">
      <c r="A285" s="13">
        <v>283</v>
      </c>
      <c r="B285" s="15">
        <v>6</v>
      </c>
      <c r="C285" s="16">
        <v>35</v>
      </c>
      <c r="D285" s="17" t="s">
        <v>577</v>
      </c>
      <c r="E285" s="17" t="s">
        <v>578</v>
      </c>
      <c r="F285" s="17">
        <v>94.5</v>
      </c>
      <c r="G285" s="17">
        <v>6496</v>
      </c>
      <c r="H285" s="17">
        <v>94.5</v>
      </c>
      <c r="I285" s="17">
        <v>4840</v>
      </c>
      <c r="J285" s="17">
        <v>93</v>
      </c>
      <c r="K285" s="17">
        <v>4548</v>
      </c>
      <c r="L285" s="17">
        <v>51</v>
      </c>
      <c r="M285" s="17">
        <v>3730</v>
      </c>
      <c r="N285" s="17"/>
      <c r="O285" s="17"/>
      <c r="P285" s="17"/>
      <c r="Q285" s="17"/>
      <c r="R285" s="17">
        <v>83</v>
      </c>
      <c r="S285" s="17">
        <v>1715</v>
      </c>
      <c r="T285" s="17"/>
      <c r="U285" s="17"/>
      <c r="V285" s="17">
        <v>66</v>
      </c>
      <c r="W285" s="17">
        <v>2820</v>
      </c>
      <c r="X285" s="15">
        <v>282</v>
      </c>
      <c r="Y285" s="17">
        <v>432</v>
      </c>
      <c r="Z285" s="17">
        <v>482</v>
      </c>
      <c r="AA285" s="17">
        <v>4168</v>
      </c>
      <c r="AB285" s="12">
        <v>414</v>
      </c>
    </row>
    <row r="286" ht="14.25" spans="1:28">
      <c r="A286" s="13">
        <v>284</v>
      </c>
      <c r="B286" s="15">
        <v>6</v>
      </c>
      <c r="C286" s="16">
        <v>36</v>
      </c>
      <c r="D286" s="17" t="s">
        <v>579</v>
      </c>
      <c r="E286" s="17" t="s">
        <v>580</v>
      </c>
      <c r="F286" s="17">
        <v>106</v>
      </c>
      <c r="G286" s="17">
        <v>1174</v>
      </c>
      <c r="H286" s="17">
        <v>86</v>
      </c>
      <c r="I286" s="17">
        <v>6759</v>
      </c>
      <c r="J286" s="17">
        <v>80.5</v>
      </c>
      <c r="K286" s="17">
        <v>7667</v>
      </c>
      <c r="L286" s="17">
        <v>39.5</v>
      </c>
      <c r="M286" s="17">
        <v>6404</v>
      </c>
      <c r="N286" s="17"/>
      <c r="O286" s="17"/>
      <c r="P286" s="17"/>
      <c r="Q286" s="17"/>
      <c r="R286" s="17">
        <v>69</v>
      </c>
      <c r="S286" s="17">
        <v>5677</v>
      </c>
      <c r="T286" s="17"/>
      <c r="U286" s="17"/>
      <c r="V286" s="17">
        <v>62</v>
      </c>
      <c r="W286" s="17">
        <v>3367</v>
      </c>
      <c r="X286" s="15">
        <v>272.5</v>
      </c>
      <c r="Y286" s="17">
        <v>510</v>
      </c>
      <c r="Z286" s="17">
        <v>443</v>
      </c>
      <c r="AA286" s="17">
        <v>6599</v>
      </c>
      <c r="AB286" s="12">
        <v>558</v>
      </c>
    </row>
    <row r="287" ht="14.25" spans="1:28">
      <c r="A287" s="13">
        <v>285</v>
      </c>
      <c r="B287" s="15">
        <v>6</v>
      </c>
      <c r="C287" s="16">
        <v>37</v>
      </c>
      <c r="D287" s="17" t="s">
        <v>581</v>
      </c>
      <c r="E287" s="17" t="s">
        <v>582</v>
      </c>
      <c r="F287" s="17">
        <v>105.5</v>
      </c>
      <c r="G287" s="17">
        <v>1281</v>
      </c>
      <c r="H287" s="17">
        <v>93.5</v>
      </c>
      <c r="I287" s="17">
        <v>5060</v>
      </c>
      <c r="J287" s="17">
        <v>99.5</v>
      </c>
      <c r="K287" s="17">
        <v>3134</v>
      </c>
      <c r="L287" s="17">
        <v>55.5</v>
      </c>
      <c r="M287" s="17">
        <v>2964</v>
      </c>
      <c r="N287" s="17"/>
      <c r="O287" s="17"/>
      <c r="P287" s="17"/>
      <c r="Q287" s="17"/>
      <c r="R287" s="17">
        <v>93</v>
      </c>
      <c r="S287" s="17">
        <v>50</v>
      </c>
      <c r="T287" s="17"/>
      <c r="U287" s="17"/>
      <c r="V287" s="17">
        <v>91</v>
      </c>
      <c r="W287" s="17">
        <v>15</v>
      </c>
      <c r="X287" s="15">
        <v>298.5</v>
      </c>
      <c r="Y287" s="17">
        <v>289</v>
      </c>
      <c r="Z287" s="17">
        <v>538</v>
      </c>
      <c r="AA287" s="17">
        <v>1682</v>
      </c>
      <c r="AB287" s="12">
        <v>138</v>
      </c>
    </row>
    <row r="288" ht="14.25" spans="1:28">
      <c r="A288" s="13">
        <v>286</v>
      </c>
      <c r="B288" s="15">
        <v>6</v>
      </c>
      <c r="C288" s="16">
        <v>38</v>
      </c>
      <c r="D288" s="17" t="s">
        <v>583</v>
      </c>
      <c r="E288" s="17" t="s">
        <v>584</v>
      </c>
      <c r="F288" s="17">
        <v>102.5</v>
      </c>
      <c r="G288" s="17">
        <v>2274</v>
      </c>
      <c r="H288" s="17">
        <v>96.5</v>
      </c>
      <c r="I288" s="17">
        <v>4438</v>
      </c>
      <c r="J288" s="17">
        <v>87</v>
      </c>
      <c r="K288" s="17">
        <v>5999</v>
      </c>
      <c r="L288" s="17">
        <v>58</v>
      </c>
      <c r="M288" s="17">
        <v>2538</v>
      </c>
      <c r="N288" s="17"/>
      <c r="O288" s="17"/>
      <c r="P288" s="17"/>
      <c r="Q288" s="17"/>
      <c r="R288" s="17">
        <v>90</v>
      </c>
      <c r="S288" s="17">
        <v>255</v>
      </c>
      <c r="T288" s="17"/>
      <c r="U288" s="17"/>
      <c r="V288" s="17">
        <v>67</v>
      </c>
      <c r="W288" s="17">
        <v>2619</v>
      </c>
      <c r="X288" s="15">
        <v>286</v>
      </c>
      <c r="Y288" s="17">
        <v>392</v>
      </c>
      <c r="Z288" s="17">
        <v>501</v>
      </c>
      <c r="AA288" s="17">
        <v>3195</v>
      </c>
      <c r="AB288" s="12">
        <v>321</v>
      </c>
    </row>
    <row r="289" ht="14.25" spans="1:28">
      <c r="A289" s="13">
        <v>287</v>
      </c>
      <c r="B289" s="15">
        <v>6</v>
      </c>
      <c r="C289" s="16">
        <v>39</v>
      </c>
      <c r="D289" s="17" t="s">
        <v>585</v>
      </c>
      <c r="E289" s="17" t="s">
        <v>586</v>
      </c>
      <c r="F289" s="17">
        <v>88.25</v>
      </c>
      <c r="G289" s="17">
        <v>10576</v>
      </c>
      <c r="H289" s="17">
        <v>95</v>
      </c>
      <c r="I289" s="17">
        <v>4735</v>
      </c>
      <c r="J289" s="17">
        <v>95.5</v>
      </c>
      <c r="K289" s="17">
        <v>3977</v>
      </c>
      <c r="L289" s="17">
        <v>46.5</v>
      </c>
      <c r="M289" s="17">
        <v>4690</v>
      </c>
      <c r="N289" s="17"/>
      <c r="O289" s="17"/>
      <c r="P289" s="17"/>
      <c r="Q289" s="17"/>
      <c r="R289" s="17">
        <v>62</v>
      </c>
      <c r="S289" s="17">
        <v>8006</v>
      </c>
      <c r="T289" s="17"/>
      <c r="U289" s="17"/>
      <c r="V289" s="17">
        <v>62</v>
      </c>
      <c r="W289" s="17">
        <v>3367</v>
      </c>
      <c r="X289" s="15">
        <v>278.75</v>
      </c>
      <c r="Y289" s="17">
        <v>459</v>
      </c>
      <c r="Z289" s="17">
        <v>449.25</v>
      </c>
      <c r="AA289" s="17">
        <v>6185</v>
      </c>
      <c r="AB289" s="12">
        <v>542</v>
      </c>
    </row>
    <row r="290" ht="14.25" spans="1:28">
      <c r="A290" s="13">
        <v>288</v>
      </c>
      <c r="B290" s="15">
        <v>6</v>
      </c>
      <c r="C290" s="16">
        <v>40</v>
      </c>
      <c r="D290" s="17" t="s">
        <v>587</v>
      </c>
      <c r="E290" s="17" t="s">
        <v>588</v>
      </c>
      <c r="F290" s="17">
        <v>100.25</v>
      </c>
      <c r="G290" s="17">
        <v>3338</v>
      </c>
      <c r="H290" s="17">
        <v>87.5</v>
      </c>
      <c r="I290" s="17">
        <v>6415</v>
      </c>
      <c r="J290" s="17">
        <v>91.5</v>
      </c>
      <c r="K290" s="17">
        <v>4916</v>
      </c>
      <c r="L290" s="17">
        <v>25</v>
      </c>
      <c r="M290" s="17">
        <v>11593</v>
      </c>
      <c r="N290" s="17"/>
      <c r="O290" s="17"/>
      <c r="P290" s="17"/>
      <c r="Q290" s="17"/>
      <c r="R290" s="17">
        <v>76</v>
      </c>
      <c r="S290" s="17">
        <v>3491</v>
      </c>
      <c r="T290" s="17"/>
      <c r="U290" s="17"/>
      <c r="V290" s="17">
        <v>69</v>
      </c>
      <c r="W290" s="17">
        <v>2394</v>
      </c>
      <c r="X290" s="15">
        <v>279.25</v>
      </c>
      <c r="Y290" s="17">
        <v>453</v>
      </c>
      <c r="Z290" s="17">
        <v>449.25</v>
      </c>
      <c r="AA290" s="17">
        <v>6185</v>
      </c>
      <c r="AB290" s="12">
        <v>542</v>
      </c>
    </row>
    <row r="291" ht="14.25" spans="1:28">
      <c r="A291" s="13">
        <v>289</v>
      </c>
      <c r="B291" s="15">
        <v>6</v>
      </c>
      <c r="C291" s="16">
        <v>41</v>
      </c>
      <c r="D291" s="17" t="s">
        <v>589</v>
      </c>
      <c r="E291" s="17" t="s">
        <v>590</v>
      </c>
      <c r="F291" s="17">
        <v>86</v>
      </c>
      <c r="G291" s="17">
        <v>11803</v>
      </c>
      <c r="H291" s="17">
        <v>79.5</v>
      </c>
      <c r="I291" s="17">
        <v>8139</v>
      </c>
      <c r="J291" s="17">
        <v>72</v>
      </c>
      <c r="K291" s="17">
        <v>9847</v>
      </c>
      <c r="L291" s="17">
        <v>58</v>
      </c>
      <c r="M291" s="17">
        <v>2538</v>
      </c>
      <c r="N291" s="17"/>
      <c r="O291" s="17"/>
      <c r="P291" s="17"/>
      <c r="Q291" s="17"/>
      <c r="R291" s="17">
        <v>68</v>
      </c>
      <c r="S291" s="17">
        <v>6079</v>
      </c>
      <c r="T291" s="17"/>
      <c r="U291" s="17"/>
      <c r="V291" s="17">
        <v>62</v>
      </c>
      <c r="W291" s="17">
        <v>3367</v>
      </c>
      <c r="X291" s="15">
        <v>237.5</v>
      </c>
      <c r="Y291" s="17">
        <v>635</v>
      </c>
      <c r="Z291" s="17">
        <v>425.5</v>
      </c>
      <c r="AA291" s="17">
        <v>7824</v>
      </c>
      <c r="AB291" s="12">
        <v>613</v>
      </c>
    </row>
    <row r="292" ht="14.25" spans="1:28">
      <c r="A292" s="13">
        <v>290</v>
      </c>
      <c r="B292" s="15">
        <v>6</v>
      </c>
      <c r="C292" s="16">
        <v>42</v>
      </c>
      <c r="D292" s="17" t="s">
        <v>591</v>
      </c>
      <c r="E292" s="17" t="s">
        <v>592</v>
      </c>
      <c r="F292" s="17">
        <v>107.5</v>
      </c>
      <c r="G292" s="17">
        <v>829</v>
      </c>
      <c r="H292" s="17">
        <v>96</v>
      </c>
      <c r="I292" s="17">
        <v>4544</v>
      </c>
      <c r="J292" s="17">
        <v>105.5</v>
      </c>
      <c r="K292" s="17">
        <v>2098</v>
      </c>
      <c r="L292" s="17">
        <v>64</v>
      </c>
      <c r="M292" s="17">
        <v>1577</v>
      </c>
      <c r="N292" s="17"/>
      <c r="O292" s="17"/>
      <c r="P292" s="17"/>
      <c r="Q292" s="17"/>
      <c r="R292" s="17">
        <v>77</v>
      </c>
      <c r="S292" s="17">
        <v>3183</v>
      </c>
      <c r="T292" s="17"/>
      <c r="U292" s="17"/>
      <c r="V292" s="17">
        <v>87</v>
      </c>
      <c r="W292" s="17">
        <v>273</v>
      </c>
      <c r="X292" s="15">
        <v>309</v>
      </c>
      <c r="Y292" s="17">
        <v>203</v>
      </c>
      <c r="Z292" s="17">
        <v>537</v>
      </c>
      <c r="AA292" s="17">
        <v>1718</v>
      </c>
      <c r="AB292" s="12">
        <v>142</v>
      </c>
    </row>
    <row r="293" ht="14.25" spans="1:28">
      <c r="A293" s="13">
        <v>291</v>
      </c>
      <c r="B293" s="15">
        <v>7</v>
      </c>
      <c r="C293" s="16">
        <v>1</v>
      </c>
      <c r="D293" s="17" t="s">
        <v>593</v>
      </c>
      <c r="E293" s="17" t="s">
        <v>594</v>
      </c>
      <c r="F293" s="17">
        <v>96</v>
      </c>
      <c r="G293" s="17">
        <v>5544</v>
      </c>
      <c r="H293" s="17">
        <v>89</v>
      </c>
      <c r="I293" s="17">
        <v>6077</v>
      </c>
      <c r="J293" s="17">
        <v>92.5</v>
      </c>
      <c r="K293" s="17">
        <v>4660</v>
      </c>
      <c r="L293" s="17">
        <v>37.5</v>
      </c>
      <c r="M293" s="17">
        <v>6979</v>
      </c>
      <c r="N293" s="17"/>
      <c r="O293" s="17"/>
      <c r="P293" s="17"/>
      <c r="Q293" s="17"/>
      <c r="R293" s="17">
        <v>71</v>
      </c>
      <c r="S293" s="17">
        <v>5151</v>
      </c>
      <c r="T293" s="17"/>
      <c r="U293" s="17"/>
      <c r="V293" s="17">
        <v>70</v>
      </c>
      <c r="W293" s="17">
        <v>2293</v>
      </c>
      <c r="X293" s="15">
        <v>277.5</v>
      </c>
      <c r="Y293" s="17">
        <v>480</v>
      </c>
      <c r="Z293" s="17">
        <v>456</v>
      </c>
      <c r="AA293" s="17">
        <v>5731</v>
      </c>
      <c r="AB293" s="12">
        <v>524</v>
      </c>
    </row>
    <row r="294" ht="14.25" spans="1:28">
      <c r="A294" s="13">
        <v>292</v>
      </c>
      <c r="B294" s="15">
        <v>7</v>
      </c>
      <c r="C294" s="16">
        <v>2</v>
      </c>
      <c r="D294" s="17" t="s">
        <v>595</v>
      </c>
      <c r="E294" s="17" t="s">
        <v>596</v>
      </c>
      <c r="F294" s="17">
        <v>98.5</v>
      </c>
      <c r="G294" s="17">
        <v>4145</v>
      </c>
      <c r="H294" s="17">
        <v>90</v>
      </c>
      <c r="I294" s="17">
        <v>5850</v>
      </c>
      <c r="J294" s="17">
        <v>85</v>
      </c>
      <c r="K294" s="17">
        <v>6480</v>
      </c>
      <c r="L294" s="17">
        <v>36.5</v>
      </c>
      <c r="M294" s="17">
        <v>7270</v>
      </c>
      <c r="N294" s="17"/>
      <c r="O294" s="17"/>
      <c r="P294" s="17"/>
      <c r="Q294" s="17"/>
      <c r="R294" s="17">
        <v>69</v>
      </c>
      <c r="S294" s="17">
        <v>5677</v>
      </c>
      <c r="T294" s="17"/>
      <c r="U294" s="17"/>
      <c r="V294" s="17">
        <v>64</v>
      </c>
      <c r="W294" s="17">
        <v>3146</v>
      </c>
      <c r="X294" s="15">
        <v>273.5</v>
      </c>
      <c r="Y294" s="17">
        <v>505</v>
      </c>
      <c r="Z294" s="17">
        <v>443</v>
      </c>
      <c r="AA294" s="17">
        <v>6599</v>
      </c>
      <c r="AB294" s="12">
        <v>558</v>
      </c>
    </row>
    <row r="295" ht="14.25" spans="1:28">
      <c r="A295" s="13">
        <v>293</v>
      </c>
      <c r="B295" s="15">
        <v>7</v>
      </c>
      <c r="C295" s="16">
        <v>3</v>
      </c>
      <c r="D295" s="17" t="s">
        <v>597</v>
      </c>
      <c r="E295" s="17" t="s">
        <v>598</v>
      </c>
      <c r="F295" s="17">
        <v>101</v>
      </c>
      <c r="G295" s="17">
        <v>2896</v>
      </c>
      <c r="H295" s="17">
        <v>92</v>
      </c>
      <c r="I295" s="17">
        <v>5417</v>
      </c>
      <c r="J295" s="17">
        <v>78</v>
      </c>
      <c r="K295" s="17">
        <v>8318</v>
      </c>
      <c r="L295" s="17">
        <v>21</v>
      </c>
      <c r="M295" s="17">
        <v>13491</v>
      </c>
      <c r="N295" s="17"/>
      <c r="O295" s="17"/>
      <c r="P295" s="17"/>
      <c r="Q295" s="17"/>
      <c r="R295" s="17">
        <v>79</v>
      </c>
      <c r="S295" s="17">
        <v>2629</v>
      </c>
      <c r="T295" s="17"/>
      <c r="U295" s="17"/>
      <c r="V295" s="17">
        <v>67</v>
      </c>
      <c r="W295" s="17">
        <v>2619</v>
      </c>
      <c r="X295" s="15">
        <v>271</v>
      </c>
      <c r="Y295" s="17">
        <v>522</v>
      </c>
      <c r="Z295" s="17">
        <v>438</v>
      </c>
      <c r="AA295" s="17">
        <v>6959</v>
      </c>
      <c r="AB295" s="12">
        <v>576</v>
      </c>
    </row>
    <row r="296" ht="14.25" spans="1:28">
      <c r="A296" s="13">
        <v>294</v>
      </c>
      <c r="B296" s="15">
        <v>7</v>
      </c>
      <c r="C296" s="16">
        <v>4</v>
      </c>
      <c r="D296" s="17" t="s">
        <v>599</v>
      </c>
      <c r="E296" s="17" t="s">
        <v>600</v>
      </c>
      <c r="F296" s="17">
        <v>91.5</v>
      </c>
      <c r="G296" s="17">
        <v>8306</v>
      </c>
      <c r="H296" s="17">
        <v>106</v>
      </c>
      <c r="I296" s="17">
        <v>2619</v>
      </c>
      <c r="J296" s="17">
        <v>98</v>
      </c>
      <c r="K296" s="17">
        <v>3454</v>
      </c>
      <c r="L296" s="17">
        <v>43</v>
      </c>
      <c r="M296" s="17">
        <v>5463</v>
      </c>
      <c r="N296" s="17"/>
      <c r="O296" s="17"/>
      <c r="P296" s="17"/>
      <c r="Q296" s="17"/>
      <c r="R296" s="17">
        <v>68</v>
      </c>
      <c r="S296" s="17">
        <v>6079</v>
      </c>
      <c r="T296" s="17"/>
      <c r="U296" s="17"/>
      <c r="V296" s="17">
        <v>84</v>
      </c>
      <c r="W296" s="17">
        <v>588</v>
      </c>
      <c r="X296" s="15">
        <v>295.5</v>
      </c>
      <c r="Y296" s="17">
        <v>312</v>
      </c>
      <c r="Z296" s="17">
        <v>490.5</v>
      </c>
      <c r="AA296" s="17">
        <v>3712</v>
      </c>
      <c r="AB296" s="12">
        <v>370</v>
      </c>
    </row>
    <row r="297" ht="14.25" spans="1:28">
      <c r="A297" s="13">
        <v>295</v>
      </c>
      <c r="B297" s="15">
        <v>7</v>
      </c>
      <c r="C297" s="16">
        <v>5</v>
      </c>
      <c r="D297" s="17" t="s">
        <v>601</v>
      </c>
      <c r="E297" s="17" t="s">
        <v>602</v>
      </c>
      <c r="F297" s="17">
        <v>97</v>
      </c>
      <c r="G297" s="17">
        <v>4967</v>
      </c>
      <c r="H297" s="17">
        <v>84.5</v>
      </c>
      <c r="I297" s="17">
        <v>7091</v>
      </c>
      <c r="J297" s="17">
        <v>82.75</v>
      </c>
      <c r="K297" s="17">
        <v>7077</v>
      </c>
      <c r="L297" s="17">
        <v>40.5</v>
      </c>
      <c r="M297" s="17">
        <v>6131</v>
      </c>
      <c r="N297" s="17"/>
      <c r="O297" s="17"/>
      <c r="P297" s="17"/>
      <c r="Q297" s="17"/>
      <c r="R297" s="17">
        <v>73</v>
      </c>
      <c r="S297" s="17">
        <v>4436</v>
      </c>
      <c r="T297" s="17"/>
      <c r="U297" s="17"/>
      <c r="V297" s="17">
        <v>67</v>
      </c>
      <c r="W297" s="17">
        <v>2619</v>
      </c>
      <c r="X297" s="15">
        <v>264.25</v>
      </c>
      <c r="Y297" s="17">
        <v>561</v>
      </c>
      <c r="Z297" s="17">
        <v>444.75</v>
      </c>
      <c r="AA297" s="17">
        <v>6478</v>
      </c>
      <c r="AB297" s="12">
        <v>554</v>
      </c>
    </row>
    <row r="298" ht="14.25" spans="1:28">
      <c r="A298" s="13">
        <v>296</v>
      </c>
      <c r="B298" s="15">
        <v>7</v>
      </c>
      <c r="C298" s="16">
        <v>6</v>
      </c>
      <c r="D298" s="17" t="s">
        <v>603</v>
      </c>
      <c r="E298" s="17" t="s">
        <v>604</v>
      </c>
      <c r="F298" s="17">
        <v>104.25</v>
      </c>
      <c r="G298" s="17">
        <v>1691</v>
      </c>
      <c r="H298" s="17">
        <v>74</v>
      </c>
      <c r="I298" s="17">
        <v>9218</v>
      </c>
      <c r="J298" s="17">
        <v>136</v>
      </c>
      <c r="K298" s="17">
        <v>11</v>
      </c>
      <c r="L298" s="17">
        <v>32.5</v>
      </c>
      <c r="M298" s="17">
        <v>8567</v>
      </c>
      <c r="N298" s="17"/>
      <c r="O298" s="17"/>
      <c r="P298" s="17"/>
      <c r="Q298" s="17"/>
      <c r="R298" s="17">
        <v>79</v>
      </c>
      <c r="S298" s="17">
        <v>2629</v>
      </c>
      <c r="T298" s="17"/>
      <c r="U298" s="17"/>
      <c r="V298" s="17">
        <v>84</v>
      </c>
      <c r="W298" s="17">
        <v>588</v>
      </c>
      <c r="X298" s="15">
        <v>314.25</v>
      </c>
      <c r="Y298" s="17">
        <v>154</v>
      </c>
      <c r="Z298" s="17">
        <v>509.75</v>
      </c>
      <c r="AA298" s="17">
        <v>2790</v>
      </c>
      <c r="AB298" s="12">
        <v>274</v>
      </c>
    </row>
    <row r="299" ht="14.25" spans="1:28">
      <c r="A299" s="13">
        <v>297</v>
      </c>
      <c r="B299" s="15">
        <v>7</v>
      </c>
      <c r="C299" s="16">
        <v>7</v>
      </c>
      <c r="D299" s="17" t="s">
        <v>605</v>
      </c>
      <c r="E299" s="17" t="s">
        <v>606</v>
      </c>
      <c r="F299" s="17">
        <v>107</v>
      </c>
      <c r="G299" s="17">
        <v>945</v>
      </c>
      <c r="H299" s="17">
        <v>95</v>
      </c>
      <c r="I299" s="17">
        <v>4735</v>
      </c>
      <c r="J299" s="17">
        <v>69.5</v>
      </c>
      <c r="K299" s="17">
        <v>10427</v>
      </c>
      <c r="L299" s="17">
        <v>36.5</v>
      </c>
      <c r="M299" s="17">
        <v>7270</v>
      </c>
      <c r="N299" s="17"/>
      <c r="O299" s="17"/>
      <c r="P299" s="17"/>
      <c r="Q299" s="17"/>
      <c r="R299" s="17">
        <v>57</v>
      </c>
      <c r="S299" s="17">
        <v>9659</v>
      </c>
      <c r="T299" s="17"/>
      <c r="U299" s="17"/>
      <c r="V299" s="17">
        <v>77</v>
      </c>
      <c r="W299" s="17">
        <v>1318</v>
      </c>
      <c r="X299" s="15">
        <v>271.5</v>
      </c>
      <c r="Y299" s="17">
        <v>518</v>
      </c>
      <c r="Z299" s="17">
        <v>442</v>
      </c>
      <c r="AA299" s="17">
        <v>6674</v>
      </c>
      <c r="AB299" s="12">
        <v>564</v>
      </c>
    </row>
    <row r="300" ht="14.25" spans="1:28">
      <c r="A300" s="13">
        <v>298</v>
      </c>
      <c r="B300" s="15">
        <v>7</v>
      </c>
      <c r="C300" s="16">
        <v>9</v>
      </c>
      <c r="D300" s="17" t="s">
        <v>607</v>
      </c>
      <c r="E300" s="17" t="s">
        <v>608</v>
      </c>
      <c r="F300" s="17">
        <v>94</v>
      </c>
      <c r="G300" s="17">
        <v>6811</v>
      </c>
      <c r="H300" s="17">
        <v>88</v>
      </c>
      <c r="I300" s="17">
        <v>6299</v>
      </c>
      <c r="J300" s="17">
        <v>81</v>
      </c>
      <c r="K300" s="17">
        <v>7529</v>
      </c>
      <c r="L300" s="17">
        <v>17</v>
      </c>
      <c r="M300" s="17">
        <v>15308</v>
      </c>
      <c r="N300" s="17"/>
      <c r="O300" s="17"/>
      <c r="P300" s="17"/>
      <c r="Q300" s="17"/>
      <c r="R300" s="17">
        <v>64</v>
      </c>
      <c r="S300" s="17">
        <v>7440</v>
      </c>
      <c r="T300" s="17"/>
      <c r="U300" s="17"/>
      <c r="V300" s="17">
        <v>81</v>
      </c>
      <c r="W300" s="17">
        <v>860</v>
      </c>
      <c r="X300" s="15">
        <v>263</v>
      </c>
      <c r="Y300" s="17">
        <v>569</v>
      </c>
      <c r="Z300" s="17">
        <v>425</v>
      </c>
      <c r="AA300" s="17">
        <v>7858</v>
      </c>
      <c r="AB300" s="12">
        <v>614</v>
      </c>
    </row>
    <row r="301" ht="14.25" spans="1:28">
      <c r="A301" s="13">
        <v>299</v>
      </c>
      <c r="B301" s="15">
        <v>7</v>
      </c>
      <c r="C301" s="16">
        <v>10</v>
      </c>
      <c r="D301" s="17" t="s">
        <v>609</v>
      </c>
      <c r="E301" s="17" t="s">
        <v>610</v>
      </c>
      <c r="F301" s="17">
        <v>98.5</v>
      </c>
      <c r="G301" s="17">
        <v>4145</v>
      </c>
      <c r="H301" s="17">
        <v>87.5</v>
      </c>
      <c r="I301" s="17">
        <v>6415</v>
      </c>
      <c r="J301" s="17">
        <v>96.5</v>
      </c>
      <c r="K301" s="17">
        <v>3746</v>
      </c>
      <c r="L301" s="17">
        <v>27.5</v>
      </c>
      <c r="M301" s="17">
        <v>10504</v>
      </c>
      <c r="N301" s="17"/>
      <c r="O301" s="17"/>
      <c r="P301" s="17"/>
      <c r="Q301" s="17"/>
      <c r="R301" s="17">
        <v>72</v>
      </c>
      <c r="S301" s="17">
        <v>4793</v>
      </c>
      <c r="T301" s="17"/>
      <c r="U301" s="17"/>
      <c r="V301" s="17">
        <v>80</v>
      </c>
      <c r="W301" s="17">
        <v>938</v>
      </c>
      <c r="X301" s="15">
        <v>282.5</v>
      </c>
      <c r="Y301" s="17">
        <v>425</v>
      </c>
      <c r="Z301" s="17">
        <v>462</v>
      </c>
      <c r="AA301" s="17">
        <v>5355</v>
      </c>
      <c r="AB301" s="12">
        <v>500</v>
      </c>
    </row>
    <row r="302" ht="14.25" spans="1:28">
      <c r="A302" s="13">
        <v>300</v>
      </c>
      <c r="B302" s="15">
        <v>7</v>
      </c>
      <c r="C302" s="16">
        <v>11</v>
      </c>
      <c r="D302" s="17" t="s">
        <v>611</v>
      </c>
      <c r="E302" s="17" t="s">
        <v>612</v>
      </c>
      <c r="F302" s="17">
        <v>84.5</v>
      </c>
      <c r="G302" s="17">
        <v>12633</v>
      </c>
      <c r="H302" s="17">
        <v>93.5</v>
      </c>
      <c r="I302" s="17">
        <v>5060</v>
      </c>
      <c r="J302" s="17">
        <v>80</v>
      </c>
      <c r="K302" s="17">
        <v>7802</v>
      </c>
      <c r="L302" s="17">
        <v>42</v>
      </c>
      <c r="M302" s="17">
        <v>5731</v>
      </c>
      <c r="N302" s="17"/>
      <c r="O302" s="17"/>
      <c r="P302" s="17"/>
      <c r="Q302" s="17"/>
      <c r="R302" s="17">
        <v>80</v>
      </c>
      <c r="S302" s="17">
        <v>2376</v>
      </c>
      <c r="T302" s="17"/>
      <c r="U302" s="17"/>
      <c r="V302" s="17">
        <v>63</v>
      </c>
      <c r="W302" s="17">
        <v>3260</v>
      </c>
      <c r="X302" s="15">
        <v>258</v>
      </c>
      <c r="Y302" s="17">
        <v>589</v>
      </c>
      <c r="Z302" s="17">
        <v>443</v>
      </c>
      <c r="AA302" s="17">
        <v>6599</v>
      </c>
      <c r="AB302" s="12">
        <v>558</v>
      </c>
    </row>
    <row r="303" ht="14.25" spans="1:28">
      <c r="A303" s="13">
        <v>301</v>
      </c>
      <c r="B303" s="15">
        <v>7</v>
      </c>
      <c r="C303" s="16">
        <v>12</v>
      </c>
      <c r="D303" s="17" t="s">
        <v>613</v>
      </c>
      <c r="E303" s="17" t="s">
        <v>614</v>
      </c>
      <c r="F303" s="17">
        <v>100</v>
      </c>
      <c r="G303" s="17">
        <v>3368</v>
      </c>
      <c r="H303" s="17">
        <v>107.5</v>
      </c>
      <c r="I303" s="17">
        <v>2373</v>
      </c>
      <c r="J303" s="17">
        <v>84.75</v>
      </c>
      <c r="K303" s="17">
        <v>6579</v>
      </c>
      <c r="L303" s="17">
        <v>67</v>
      </c>
      <c r="M303" s="17">
        <v>1188</v>
      </c>
      <c r="N303" s="17"/>
      <c r="O303" s="17"/>
      <c r="P303" s="17"/>
      <c r="Q303" s="17"/>
      <c r="R303" s="17">
        <v>74</v>
      </c>
      <c r="S303" s="17">
        <v>4119</v>
      </c>
      <c r="T303" s="17"/>
      <c r="U303" s="17"/>
      <c r="V303" s="17">
        <v>91</v>
      </c>
      <c r="W303" s="17">
        <v>15</v>
      </c>
      <c r="X303" s="15">
        <v>292.25</v>
      </c>
      <c r="Y303" s="17">
        <v>347</v>
      </c>
      <c r="Z303" s="17">
        <v>524.25</v>
      </c>
      <c r="AA303" s="17">
        <v>2179</v>
      </c>
      <c r="AB303" s="12">
        <v>196</v>
      </c>
    </row>
    <row r="304" ht="14.25" spans="1:28">
      <c r="A304" s="13">
        <v>302</v>
      </c>
      <c r="B304" s="15">
        <v>7</v>
      </c>
      <c r="C304" s="16">
        <v>13</v>
      </c>
      <c r="D304" s="17" t="s">
        <v>615</v>
      </c>
      <c r="E304" s="17" t="s">
        <v>616</v>
      </c>
      <c r="F304" s="17">
        <v>98.5</v>
      </c>
      <c r="G304" s="17">
        <v>4145</v>
      </c>
      <c r="H304" s="17">
        <v>77.5</v>
      </c>
      <c r="I304" s="17">
        <v>8540</v>
      </c>
      <c r="J304" s="17">
        <v>72</v>
      </c>
      <c r="K304" s="17">
        <v>9847</v>
      </c>
      <c r="L304" s="17">
        <v>29</v>
      </c>
      <c r="M304" s="17">
        <v>9872</v>
      </c>
      <c r="N304" s="17"/>
      <c r="O304" s="17"/>
      <c r="P304" s="17"/>
      <c r="Q304" s="17"/>
      <c r="R304" s="17">
        <v>56</v>
      </c>
      <c r="S304" s="17">
        <v>10021</v>
      </c>
      <c r="T304" s="17"/>
      <c r="U304" s="17"/>
      <c r="V304" s="17">
        <v>73</v>
      </c>
      <c r="W304" s="17">
        <v>1853</v>
      </c>
      <c r="X304" s="15">
        <v>248</v>
      </c>
      <c r="Y304" s="17">
        <v>613</v>
      </c>
      <c r="Z304" s="17">
        <v>406</v>
      </c>
      <c r="AA304" s="17">
        <v>9230</v>
      </c>
      <c r="AB304" s="12">
        <v>637</v>
      </c>
    </row>
    <row r="305" ht="14.25" spans="1:28">
      <c r="A305" s="13">
        <v>303</v>
      </c>
      <c r="B305" s="15">
        <v>7</v>
      </c>
      <c r="C305" s="16">
        <v>14</v>
      </c>
      <c r="D305" s="17" t="s">
        <v>617</v>
      </c>
      <c r="E305" s="17" t="s">
        <v>618</v>
      </c>
      <c r="F305" s="17">
        <v>101.5</v>
      </c>
      <c r="G305" s="17">
        <v>2674</v>
      </c>
      <c r="H305" s="17">
        <v>94</v>
      </c>
      <c r="I305" s="17">
        <v>4942</v>
      </c>
      <c r="J305" s="17">
        <v>74.75</v>
      </c>
      <c r="K305" s="17">
        <v>9182</v>
      </c>
      <c r="L305" s="17">
        <v>35.5</v>
      </c>
      <c r="M305" s="17">
        <v>7589</v>
      </c>
      <c r="N305" s="17"/>
      <c r="O305" s="17"/>
      <c r="P305" s="17"/>
      <c r="Q305" s="17"/>
      <c r="R305" s="17">
        <v>62</v>
      </c>
      <c r="S305" s="17">
        <v>8006</v>
      </c>
      <c r="T305" s="17"/>
      <c r="U305" s="17"/>
      <c r="V305" s="17">
        <v>75</v>
      </c>
      <c r="W305" s="17">
        <v>1615</v>
      </c>
      <c r="X305" s="15">
        <v>270.25</v>
      </c>
      <c r="Y305" s="17">
        <v>529</v>
      </c>
      <c r="Z305" s="17">
        <v>442.75</v>
      </c>
      <c r="AA305" s="17">
        <v>6625</v>
      </c>
      <c r="AB305" s="12">
        <v>563</v>
      </c>
    </row>
    <row r="306" ht="14.25" spans="1:28">
      <c r="A306" s="13">
        <v>304</v>
      </c>
      <c r="B306" s="15">
        <v>7</v>
      </c>
      <c r="C306" s="16">
        <v>15</v>
      </c>
      <c r="D306" s="17" t="s">
        <v>619</v>
      </c>
      <c r="E306" s="17" t="s">
        <v>620</v>
      </c>
      <c r="F306" s="17">
        <v>102</v>
      </c>
      <c r="G306" s="17">
        <v>2480</v>
      </c>
      <c r="H306" s="17">
        <v>112.5</v>
      </c>
      <c r="I306" s="17">
        <v>1543</v>
      </c>
      <c r="J306" s="17">
        <v>99.25</v>
      </c>
      <c r="K306" s="17">
        <v>3211</v>
      </c>
      <c r="L306" s="17">
        <v>49.5</v>
      </c>
      <c r="M306" s="17">
        <v>4044</v>
      </c>
      <c r="N306" s="17"/>
      <c r="O306" s="17"/>
      <c r="P306" s="17"/>
      <c r="Q306" s="17"/>
      <c r="R306" s="17">
        <v>81</v>
      </c>
      <c r="S306" s="17">
        <v>2139</v>
      </c>
      <c r="T306" s="17"/>
      <c r="U306" s="17"/>
      <c r="V306" s="17">
        <v>71</v>
      </c>
      <c r="W306" s="17">
        <v>2172</v>
      </c>
      <c r="X306" s="15">
        <v>313.75</v>
      </c>
      <c r="Y306" s="17">
        <v>161</v>
      </c>
      <c r="Z306" s="17">
        <v>515.25</v>
      </c>
      <c r="AA306" s="17">
        <v>2533</v>
      </c>
      <c r="AB306" s="12">
        <v>245</v>
      </c>
    </row>
    <row r="307" ht="14.25" spans="1:28">
      <c r="A307" s="13">
        <v>305</v>
      </c>
      <c r="B307" s="15">
        <v>7</v>
      </c>
      <c r="C307" s="16">
        <v>16</v>
      </c>
      <c r="D307" s="17" t="s">
        <v>621</v>
      </c>
      <c r="E307" s="17" t="s">
        <v>622</v>
      </c>
      <c r="F307" s="17">
        <v>100.5</v>
      </c>
      <c r="G307" s="17">
        <v>3131</v>
      </c>
      <c r="H307" s="17">
        <v>96.5</v>
      </c>
      <c r="I307" s="17">
        <v>4438</v>
      </c>
      <c r="J307" s="17">
        <v>80.75</v>
      </c>
      <c r="K307" s="17">
        <v>7625</v>
      </c>
      <c r="L307" s="17">
        <v>40</v>
      </c>
      <c r="M307" s="17">
        <v>6265</v>
      </c>
      <c r="N307" s="17"/>
      <c r="O307" s="17"/>
      <c r="P307" s="17"/>
      <c r="Q307" s="17"/>
      <c r="R307" s="17">
        <v>79</v>
      </c>
      <c r="S307" s="17">
        <v>2629</v>
      </c>
      <c r="T307" s="17"/>
      <c r="U307" s="17"/>
      <c r="V307" s="17">
        <v>79</v>
      </c>
      <c r="W307" s="17">
        <v>1023</v>
      </c>
      <c r="X307" s="15">
        <v>277.75</v>
      </c>
      <c r="Y307" s="17">
        <v>477</v>
      </c>
      <c r="Z307" s="17">
        <v>475.75</v>
      </c>
      <c r="AA307" s="17">
        <v>4505</v>
      </c>
      <c r="AB307" s="12">
        <v>433</v>
      </c>
    </row>
    <row r="308" ht="14.25" spans="1:28">
      <c r="A308" s="13">
        <v>306</v>
      </c>
      <c r="B308" s="15">
        <v>7</v>
      </c>
      <c r="C308" s="16">
        <v>17</v>
      </c>
      <c r="D308" s="17" t="s">
        <v>623</v>
      </c>
      <c r="E308" s="17" t="s">
        <v>624</v>
      </c>
      <c r="F308" s="17">
        <v>99</v>
      </c>
      <c r="G308" s="17">
        <v>3868</v>
      </c>
      <c r="H308" s="17">
        <v>108</v>
      </c>
      <c r="I308" s="17">
        <v>2274</v>
      </c>
      <c r="J308" s="17">
        <v>90.5</v>
      </c>
      <c r="K308" s="17">
        <v>5135</v>
      </c>
      <c r="L308" s="17">
        <v>45.5</v>
      </c>
      <c r="M308" s="17">
        <v>4898</v>
      </c>
      <c r="N308" s="17"/>
      <c r="O308" s="17"/>
      <c r="P308" s="17"/>
      <c r="Q308" s="17"/>
      <c r="R308" s="17">
        <v>73</v>
      </c>
      <c r="S308" s="17">
        <v>4436</v>
      </c>
      <c r="T308" s="17"/>
      <c r="U308" s="17"/>
      <c r="V308" s="17">
        <v>65</v>
      </c>
      <c r="W308" s="17">
        <v>2935</v>
      </c>
      <c r="X308" s="15">
        <v>297.5</v>
      </c>
      <c r="Y308" s="17">
        <v>299</v>
      </c>
      <c r="Z308" s="17">
        <v>481</v>
      </c>
      <c r="AA308" s="17">
        <v>4224</v>
      </c>
      <c r="AB308" s="12">
        <v>417</v>
      </c>
    </row>
    <row r="309" ht="14.25" spans="1:28">
      <c r="A309" s="13">
        <v>307</v>
      </c>
      <c r="B309" s="15">
        <v>7</v>
      </c>
      <c r="C309" s="16">
        <v>18</v>
      </c>
      <c r="D309" s="17" t="s">
        <v>625</v>
      </c>
      <c r="E309" s="17" t="s">
        <v>626</v>
      </c>
      <c r="F309" s="17">
        <v>106</v>
      </c>
      <c r="G309" s="17">
        <v>1174</v>
      </c>
      <c r="H309" s="17">
        <v>74</v>
      </c>
      <c r="I309" s="17">
        <v>9218</v>
      </c>
      <c r="J309" s="17">
        <v>99</v>
      </c>
      <c r="K309" s="17">
        <v>3244</v>
      </c>
      <c r="L309" s="17">
        <v>39.5</v>
      </c>
      <c r="M309" s="17">
        <v>6404</v>
      </c>
      <c r="N309" s="17"/>
      <c r="O309" s="17"/>
      <c r="P309" s="17"/>
      <c r="Q309" s="17"/>
      <c r="R309" s="17">
        <v>63</v>
      </c>
      <c r="S309" s="17">
        <v>7638</v>
      </c>
      <c r="T309" s="17"/>
      <c r="U309" s="17"/>
      <c r="V309" s="17">
        <v>66</v>
      </c>
      <c r="W309" s="17">
        <v>2820</v>
      </c>
      <c r="X309" s="15">
        <v>279</v>
      </c>
      <c r="Y309" s="17">
        <v>456</v>
      </c>
      <c r="Z309" s="17">
        <v>447.5</v>
      </c>
      <c r="AA309" s="17">
        <v>6298</v>
      </c>
      <c r="AB309" s="12">
        <v>548</v>
      </c>
    </row>
    <row r="310" ht="14.25" spans="1:28">
      <c r="A310" s="13">
        <v>308</v>
      </c>
      <c r="B310" s="15">
        <v>7</v>
      </c>
      <c r="C310" s="16">
        <v>19</v>
      </c>
      <c r="D310" s="17" t="s">
        <v>627</v>
      </c>
      <c r="E310" s="17" t="s">
        <v>628</v>
      </c>
      <c r="F310" s="17">
        <v>107.5</v>
      </c>
      <c r="G310" s="17">
        <v>829</v>
      </c>
      <c r="H310" s="17">
        <v>98.5</v>
      </c>
      <c r="I310" s="17">
        <v>4047</v>
      </c>
      <c r="J310" s="17">
        <v>95.25</v>
      </c>
      <c r="K310" s="17">
        <v>4060</v>
      </c>
      <c r="L310" s="17">
        <v>55</v>
      </c>
      <c r="M310" s="17">
        <v>3031</v>
      </c>
      <c r="N310" s="17"/>
      <c r="O310" s="17"/>
      <c r="P310" s="17"/>
      <c r="Q310" s="17"/>
      <c r="R310" s="17">
        <v>81</v>
      </c>
      <c r="S310" s="17">
        <v>2139</v>
      </c>
      <c r="T310" s="17"/>
      <c r="U310" s="17"/>
      <c r="V310" s="17">
        <v>69</v>
      </c>
      <c r="W310" s="17">
        <v>2394</v>
      </c>
      <c r="X310" s="15">
        <v>301.25</v>
      </c>
      <c r="Y310" s="17">
        <v>268</v>
      </c>
      <c r="Z310" s="17">
        <v>506.25</v>
      </c>
      <c r="AA310" s="17">
        <v>2951</v>
      </c>
      <c r="AB310" s="12">
        <v>290</v>
      </c>
    </row>
    <row r="311" ht="14.25" spans="1:28">
      <c r="A311" s="13">
        <v>309</v>
      </c>
      <c r="B311" s="15">
        <v>7</v>
      </c>
      <c r="C311" s="16">
        <v>20</v>
      </c>
      <c r="D311" s="17" t="s">
        <v>629</v>
      </c>
      <c r="E311" s="17" t="s">
        <v>630</v>
      </c>
      <c r="F311" s="17">
        <v>95</v>
      </c>
      <c r="G311" s="17">
        <v>6168</v>
      </c>
      <c r="H311" s="17">
        <v>113.5</v>
      </c>
      <c r="I311" s="17">
        <v>1397</v>
      </c>
      <c r="J311" s="17">
        <v>84.5</v>
      </c>
      <c r="K311" s="17">
        <v>6614</v>
      </c>
      <c r="L311" s="17">
        <v>57</v>
      </c>
      <c r="M311" s="17">
        <v>2714</v>
      </c>
      <c r="N311" s="17"/>
      <c r="O311" s="17"/>
      <c r="P311" s="17"/>
      <c r="Q311" s="17"/>
      <c r="R311" s="17">
        <v>86</v>
      </c>
      <c r="S311" s="17">
        <v>1176</v>
      </c>
      <c r="T311" s="17"/>
      <c r="U311" s="17"/>
      <c r="V311" s="17">
        <v>71</v>
      </c>
      <c r="W311" s="17">
        <v>2172</v>
      </c>
      <c r="X311" s="15">
        <v>293</v>
      </c>
      <c r="Y311" s="17">
        <v>335</v>
      </c>
      <c r="Z311" s="17">
        <v>507</v>
      </c>
      <c r="AA311" s="17">
        <v>2904</v>
      </c>
      <c r="AB311" s="12">
        <v>286</v>
      </c>
    </row>
    <row r="312" ht="14.25" spans="1:28">
      <c r="A312" s="13">
        <v>310</v>
      </c>
      <c r="B312" s="15">
        <v>7</v>
      </c>
      <c r="C312" s="16">
        <v>21</v>
      </c>
      <c r="D312" s="17" t="s">
        <v>631</v>
      </c>
      <c r="E312" s="17" t="s">
        <v>632</v>
      </c>
      <c r="F312" s="17">
        <v>93.5</v>
      </c>
      <c r="G312" s="17">
        <v>7127</v>
      </c>
      <c r="H312" s="17">
        <v>83.5</v>
      </c>
      <c r="I312" s="17">
        <v>7321</v>
      </c>
      <c r="J312" s="17">
        <v>62.5</v>
      </c>
      <c r="K312" s="17">
        <v>11974</v>
      </c>
      <c r="L312" s="17">
        <v>37.5</v>
      </c>
      <c r="M312" s="17">
        <v>6979</v>
      </c>
      <c r="N312" s="17"/>
      <c r="O312" s="17"/>
      <c r="P312" s="17"/>
      <c r="Q312" s="17"/>
      <c r="R312" s="17">
        <v>73</v>
      </c>
      <c r="S312" s="17">
        <v>4436</v>
      </c>
      <c r="T312" s="17"/>
      <c r="U312" s="17"/>
      <c r="V312" s="17">
        <v>73</v>
      </c>
      <c r="W312" s="17">
        <v>1853</v>
      </c>
      <c r="X312" s="15">
        <v>239.5</v>
      </c>
      <c r="Y312" s="17">
        <v>633</v>
      </c>
      <c r="Z312" s="17">
        <v>423</v>
      </c>
      <c r="AA312" s="17">
        <v>7996</v>
      </c>
      <c r="AB312" s="12">
        <v>620</v>
      </c>
    </row>
    <row r="313" ht="14.25" spans="1:28">
      <c r="A313" s="13">
        <v>311</v>
      </c>
      <c r="B313" s="15">
        <v>7</v>
      </c>
      <c r="C313" s="16">
        <v>22</v>
      </c>
      <c r="D313" s="17" t="s">
        <v>633</v>
      </c>
      <c r="E313" s="17" t="s">
        <v>634</v>
      </c>
      <c r="F313" s="17">
        <v>89</v>
      </c>
      <c r="G313" s="17">
        <v>9959</v>
      </c>
      <c r="H313" s="17">
        <v>84</v>
      </c>
      <c r="I313" s="17">
        <v>7206</v>
      </c>
      <c r="J313" s="17">
        <v>90.5</v>
      </c>
      <c r="K313" s="17">
        <v>5135</v>
      </c>
      <c r="L313" s="17">
        <v>37.5</v>
      </c>
      <c r="M313" s="17">
        <v>6979</v>
      </c>
      <c r="N313" s="17"/>
      <c r="O313" s="17"/>
      <c r="P313" s="17"/>
      <c r="Q313" s="17"/>
      <c r="R313" s="17">
        <v>71</v>
      </c>
      <c r="S313" s="17">
        <v>5151</v>
      </c>
      <c r="T313" s="17"/>
      <c r="U313" s="17"/>
      <c r="V313" s="17">
        <v>87</v>
      </c>
      <c r="W313" s="17">
        <v>273</v>
      </c>
      <c r="X313" s="15">
        <v>263.5</v>
      </c>
      <c r="Y313" s="17">
        <v>563</v>
      </c>
      <c r="Z313" s="17">
        <v>459</v>
      </c>
      <c r="AA313" s="17">
        <v>5533</v>
      </c>
      <c r="AB313" s="12">
        <v>512</v>
      </c>
    </row>
    <row r="314" ht="14.25" spans="1:28">
      <c r="A314" s="13">
        <v>312</v>
      </c>
      <c r="B314" s="15">
        <v>7</v>
      </c>
      <c r="C314" s="16">
        <v>23</v>
      </c>
      <c r="D314" s="17" t="s">
        <v>635</v>
      </c>
      <c r="E314" s="17" t="s">
        <v>636</v>
      </c>
      <c r="F314" s="17">
        <v>94.25</v>
      </c>
      <c r="G314" s="17">
        <v>6778</v>
      </c>
      <c r="H314" s="17">
        <v>85</v>
      </c>
      <c r="I314" s="17">
        <v>6959</v>
      </c>
      <c r="J314" s="17">
        <v>54.25</v>
      </c>
      <c r="K314" s="17">
        <v>13444</v>
      </c>
      <c r="L314" s="17">
        <v>43.5</v>
      </c>
      <c r="M314" s="17">
        <v>5353</v>
      </c>
      <c r="N314" s="17"/>
      <c r="O314" s="17"/>
      <c r="P314" s="17"/>
      <c r="Q314" s="17"/>
      <c r="R314" s="17">
        <v>82</v>
      </c>
      <c r="S314" s="17">
        <v>1915</v>
      </c>
      <c r="T314" s="17"/>
      <c r="U314" s="17"/>
      <c r="V314" s="17">
        <v>71</v>
      </c>
      <c r="W314" s="17">
        <v>2172</v>
      </c>
      <c r="X314" s="15">
        <v>233.5</v>
      </c>
      <c r="Y314" s="17">
        <v>639</v>
      </c>
      <c r="Z314" s="17">
        <v>430</v>
      </c>
      <c r="AA314" s="17">
        <v>7499</v>
      </c>
      <c r="AB314" s="12">
        <v>601</v>
      </c>
    </row>
    <row r="315" ht="14.25" spans="1:28">
      <c r="A315" s="13">
        <v>313</v>
      </c>
      <c r="B315" s="15">
        <v>7</v>
      </c>
      <c r="C315" s="16">
        <v>24</v>
      </c>
      <c r="D315" s="17" t="s">
        <v>637</v>
      </c>
      <c r="E315" s="17" t="s">
        <v>638</v>
      </c>
      <c r="F315" s="17">
        <v>88</v>
      </c>
      <c r="G315" s="17">
        <v>10604</v>
      </c>
      <c r="H315" s="17">
        <v>74.5</v>
      </c>
      <c r="I315" s="17">
        <v>9115</v>
      </c>
      <c r="J315" s="17">
        <v>100</v>
      </c>
      <c r="K315" s="17">
        <v>102</v>
      </c>
      <c r="L315" s="17">
        <v>53</v>
      </c>
      <c r="M315" s="17">
        <v>3368</v>
      </c>
      <c r="N315" s="17"/>
      <c r="O315" s="17"/>
      <c r="P315" s="17"/>
      <c r="Q315" s="17"/>
      <c r="R315" s="17">
        <v>75</v>
      </c>
      <c r="S315" s="17">
        <v>3790</v>
      </c>
      <c r="T315" s="17"/>
      <c r="U315" s="17"/>
      <c r="V315" s="17">
        <v>62</v>
      </c>
      <c r="W315" s="17">
        <v>3367</v>
      </c>
      <c r="X315" s="15">
        <v>262.5</v>
      </c>
      <c r="Y315" s="17">
        <v>573</v>
      </c>
      <c r="Z315" s="17">
        <v>452.5</v>
      </c>
      <c r="AA315" s="17">
        <v>5957</v>
      </c>
      <c r="AB315" s="12">
        <v>536</v>
      </c>
    </row>
    <row r="316" ht="14.25" spans="1:28">
      <c r="A316" s="13">
        <v>314</v>
      </c>
      <c r="B316" s="15">
        <v>7</v>
      </c>
      <c r="C316" s="16">
        <v>25</v>
      </c>
      <c r="D316" s="17" t="s">
        <v>639</v>
      </c>
      <c r="E316" s="17" t="s">
        <v>640</v>
      </c>
      <c r="F316" s="17">
        <v>88.5</v>
      </c>
      <c r="G316" s="17">
        <v>10291</v>
      </c>
      <c r="H316" s="17">
        <v>103.5</v>
      </c>
      <c r="I316" s="17">
        <v>3096</v>
      </c>
      <c r="J316" s="17">
        <v>78.75</v>
      </c>
      <c r="K316" s="17">
        <v>8143</v>
      </c>
      <c r="L316" s="17">
        <v>51</v>
      </c>
      <c r="M316" s="17">
        <v>3730</v>
      </c>
      <c r="N316" s="17"/>
      <c r="O316" s="17"/>
      <c r="P316" s="17"/>
      <c r="Q316" s="17"/>
      <c r="R316" s="17">
        <v>82</v>
      </c>
      <c r="S316" s="17">
        <v>1915</v>
      </c>
      <c r="T316" s="17"/>
      <c r="U316" s="17"/>
      <c r="V316" s="17">
        <v>69</v>
      </c>
      <c r="W316" s="17">
        <v>2394</v>
      </c>
      <c r="X316" s="15">
        <v>270.75</v>
      </c>
      <c r="Y316" s="17">
        <v>525</v>
      </c>
      <c r="Z316" s="17">
        <v>472.75</v>
      </c>
      <c r="AA316" s="17">
        <v>4676</v>
      </c>
      <c r="AB316" s="12">
        <v>447</v>
      </c>
    </row>
    <row r="317" ht="14.25" spans="1:28">
      <c r="A317" s="13">
        <v>315</v>
      </c>
      <c r="B317" s="15">
        <v>7</v>
      </c>
      <c r="C317" s="16">
        <v>28</v>
      </c>
      <c r="D317" s="17" t="s">
        <v>641</v>
      </c>
      <c r="E317" s="17" t="s">
        <v>642</v>
      </c>
      <c r="F317" s="17">
        <v>101</v>
      </c>
      <c r="G317" s="17">
        <v>2896</v>
      </c>
      <c r="H317" s="17">
        <v>73.5</v>
      </c>
      <c r="I317" s="17">
        <v>9309</v>
      </c>
      <c r="J317" s="17">
        <v>80</v>
      </c>
      <c r="K317" s="17">
        <v>7802</v>
      </c>
      <c r="L317" s="17">
        <v>47</v>
      </c>
      <c r="M317" s="17">
        <v>4568</v>
      </c>
      <c r="N317" s="17"/>
      <c r="O317" s="17"/>
      <c r="P317" s="17"/>
      <c r="Q317" s="17"/>
      <c r="R317" s="17">
        <v>68</v>
      </c>
      <c r="S317" s="17">
        <v>6079</v>
      </c>
      <c r="T317" s="17"/>
      <c r="U317" s="17"/>
      <c r="V317" s="17">
        <v>66</v>
      </c>
      <c r="W317" s="17">
        <v>2820</v>
      </c>
      <c r="X317" s="15">
        <v>254.5</v>
      </c>
      <c r="Y317" s="17">
        <v>598</v>
      </c>
      <c r="Z317" s="17">
        <v>435.5</v>
      </c>
      <c r="AA317" s="17">
        <v>7125</v>
      </c>
      <c r="AB317" s="12">
        <v>585</v>
      </c>
    </row>
    <row r="318" ht="14.25" spans="1:28">
      <c r="A318" s="13">
        <v>316</v>
      </c>
      <c r="B318" s="15">
        <v>7</v>
      </c>
      <c r="C318" s="16">
        <v>29</v>
      </c>
      <c r="D318" s="17" t="s">
        <v>643</v>
      </c>
      <c r="E318" s="17" t="s">
        <v>644</v>
      </c>
      <c r="F318" s="17">
        <v>93</v>
      </c>
      <c r="G318" s="17">
        <v>7407</v>
      </c>
      <c r="H318" s="17">
        <v>78.5</v>
      </c>
      <c r="I318" s="17">
        <v>8336</v>
      </c>
      <c r="J318" s="17">
        <v>87.5</v>
      </c>
      <c r="K318" s="17">
        <v>5877</v>
      </c>
      <c r="L318" s="17">
        <v>30.5</v>
      </c>
      <c r="M318" s="17">
        <v>9285</v>
      </c>
      <c r="N318" s="17"/>
      <c r="O318" s="17"/>
      <c r="P318" s="17"/>
      <c r="Q318" s="17"/>
      <c r="R318" s="17">
        <v>56</v>
      </c>
      <c r="S318" s="17">
        <v>10021</v>
      </c>
      <c r="T318" s="17"/>
      <c r="U318" s="17"/>
      <c r="V318" s="17">
        <v>85</v>
      </c>
      <c r="W318" s="17">
        <v>530</v>
      </c>
      <c r="X318" s="15">
        <v>259</v>
      </c>
      <c r="Y318" s="17">
        <v>585</v>
      </c>
      <c r="Z318" s="17">
        <v>430.5</v>
      </c>
      <c r="AA318" s="17">
        <v>7460</v>
      </c>
      <c r="AB318" s="12">
        <v>598</v>
      </c>
    </row>
    <row r="319" ht="14.25" spans="1:28">
      <c r="A319" s="13">
        <v>317</v>
      </c>
      <c r="B319" s="15">
        <v>7</v>
      </c>
      <c r="C319" s="16">
        <v>30</v>
      </c>
      <c r="D319" s="17" t="s">
        <v>645</v>
      </c>
      <c r="E319" s="17" t="s">
        <v>646</v>
      </c>
      <c r="F319" s="17">
        <v>97.5</v>
      </c>
      <c r="G319" s="17">
        <v>4695</v>
      </c>
      <c r="H319" s="17">
        <v>79</v>
      </c>
      <c r="I319" s="17">
        <v>8244</v>
      </c>
      <c r="J319" s="17">
        <v>67</v>
      </c>
      <c r="K319" s="17">
        <v>11015</v>
      </c>
      <c r="L319" s="17">
        <v>29.5</v>
      </c>
      <c r="M319" s="17">
        <v>9688</v>
      </c>
      <c r="N319" s="17"/>
      <c r="O319" s="17"/>
      <c r="P319" s="17"/>
      <c r="Q319" s="17"/>
      <c r="R319" s="17">
        <v>73</v>
      </c>
      <c r="S319" s="17">
        <v>4436</v>
      </c>
      <c r="T319" s="17"/>
      <c r="U319" s="17"/>
      <c r="V319" s="17">
        <v>81</v>
      </c>
      <c r="W319" s="17">
        <v>860</v>
      </c>
      <c r="X319" s="15">
        <v>243.5</v>
      </c>
      <c r="Y319" s="17">
        <v>621</v>
      </c>
      <c r="Z319" s="17">
        <v>427</v>
      </c>
      <c r="AA319" s="17">
        <v>7709</v>
      </c>
      <c r="AB319" s="12">
        <v>609</v>
      </c>
    </row>
    <row r="320" ht="14.25" spans="1:28">
      <c r="A320" s="13">
        <v>318</v>
      </c>
      <c r="B320" s="15">
        <v>7</v>
      </c>
      <c r="C320" s="16">
        <v>31</v>
      </c>
      <c r="D320" s="17" t="s">
        <v>647</v>
      </c>
      <c r="E320" s="17" t="s">
        <v>648</v>
      </c>
      <c r="F320" s="17">
        <v>98</v>
      </c>
      <c r="G320" s="17">
        <v>4423</v>
      </c>
      <c r="H320" s="17">
        <v>104</v>
      </c>
      <c r="I320" s="17">
        <v>2999</v>
      </c>
      <c r="J320" s="17">
        <v>83</v>
      </c>
      <c r="K320" s="17">
        <v>6990</v>
      </c>
      <c r="L320" s="17">
        <v>56.5</v>
      </c>
      <c r="M320" s="17">
        <v>2801</v>
      </c>
      <c r="N320" s="17"/>
      <c r="O320" s="17"/>
      <c r="P320" s="17"/>
      <c r="Q320" s="17"/>
      <c r="R320" s="17">
        <v>90</v>
      </c>
      <c r="S320" s="17">
        <v>255</v>
      </c>
      <c r="T320" s="17"/>
      <c r="U320" s="17"/>
      <c r="V320" s="17">
        <v>75</v>
      </c>
      <c r="W320" s="17">
        <v>1615</v>
      </c>
      <c r="X320" s="15">
        <v>285</v>
      </c>
      <c r="Y320" s="17">
        <v>401</v>
      </c>
      <c r="Z320" s="17">
        <v>506.5</v>
      </c>
      <c r="AA320" s="17">
        <v>2930</v>
      </c>
      <c r="AB320" s="12">
        <v>288</v>
      </c>
    </row>
    <row r="321" ht="14.25" spans="1:28">
      <c r="A321" s="13">
        <v>319</v>
      </c>
      <c r="B321" s="15">
        <v>7</v>
      </c>
      <c r="C321" s="16">
        <v>32</v>
      </c>
      <c r="D321" s="17" t="s">
        <v>649</v>
      </c>
      <c r="E321" s="17" t="s">
        <v>650</v>
      </c>
      <c r="F321" s="17">
        <v>108.5</v>
      </c>
      <c r="G321" s="17">
        <v>650</v>
      </c>
      <c r="H321" s="17">
        <v>108.5</v>
      </c>
      <c r="I321" s="17">
        <v>2198</v>
      </c>
      <c r="J321" s="17">
        <v>102</v>
      </c>
      <c r="K321" s="17">
        <v>2685</v>
      </c>
      <c r="L321" s="17">
        <v>61</v>
      </c>
      <c r="M321" s="17">
        <v>2008</v>
      </c>
      <c r="N321" s="17"/>
      <c r="O321" s="17"/>
      <c r="P321" s="17"/>
      <c r="Q321" s="17"/>
      <c r="R321" s="17">
        <v>80</v>
      </c>
      <c r="S321" s="17">
        <v>2376</v>
      </c>
      <c r="T321" s="17"/>
      <c r="U321" s="17"/>
      <c r="V321" s="17">
        <v>84</v>
      </c>
      <c r="W321" s="17">
        <v>588</v>
      </c>
      <c r="X321" s="15">
        <v>319</v>
      </c>
      <c r="Y321" s="17">
        <v>124</v>
      </c>
      <c r="Z321" s="17">
        <v>544</v>
      </c>
      <c r="AA321" s="17">
        <v>1487</v>
      </c>
      <c r="AB321" s="12">
        <v>117</v>
      </c>
    </row>
    <row r="322" ht="14.25" spans="1:28">
      <c r="A322" s="13">
        <v>320</v>
      </c>
      <c r="B322" s="15">
        <v>7</v>
      </c>
      <c r="C322" s="16">
        <v>33</v>
      </c>
      <c r="D322" s="17" t="s">
        <v>651</v>
      </c>
      <c r="E322" s="17" t="s">
        <v>652</v>
      </c>
      <c r="F322" s="17">
        <v>92.5</v>
      </c>
      <c r="G322" s="17">
        <v>7705</v>
      </c>
      <c r="H322" s="17">
        <v>104</v>
      </c>
      <c r="I322" s="17">
        <v>2999</v>
      </c>
      <c r="J322" s="17">
        <v>101.5</v>
      </c>
      <c r="K322" s="17">
        <v>2779</v>
      </c>
      <c r="L322" s="17">
        <v>38.5</v>
      </c>
      <c r="M322" s="17">
        <v>6692</v>
      </c>
      <c r="N322" s="17"/>
      <c r="O322" s="17"/>
      <c r="P322" s="17"/>
      <c r="Q322" s="17"/>
      <c r="R322" s="17">
        <v>70</v>
      </c>
      <c r="S322" s="17">
        <v>5497</v>
      </c>
      <c r="T322" s="17"/>
      <c r="U322" s="17"/>
      <c r="V322" s="17">
        <v>58</v>
      </c>
      <c r="W322" s="17">
        <v>3948</v>
      </c>
      <c r="X322" s="15">
        <v>298</v>
      </c>
      <c r="Y322" s="17">
        <v>293</v>
      </c>
      <c r="Z322" s="17">
        <v>464.5</v>
      </c>
      <c r="AA322" s="17">
        <v>5196</v>
      </c>
      <c r="AB322" s="12">
        <v>490</v>
      </c>
    </row>
    <row r="323" ht="14.25" spans="1:28">
      <c r="A323" s="13">
        <v>321</v>
      </c>
      <c r="B323" s="15">
        <v>7</v>
      </c>
      <c r="C323" s="16">
        <v>34</v>
      </c>
      <c r="D323" s="17" t="s">
        <v>653</v>
      </c>
      <c r="E323" s="17" t="s">
        <v>654</v>
      </c>
      <c r="F323" s="17">
        <v>89.75</v>
      </c>
      <c r="G323" s="17">
        <v>9608</v>
      </c>
      <c r="H323" s="17">
        <v>109</v>
      </c>
      <c r="I323" s="17">
        <v>2105</v>
      </c>
      <c r="J323" s="17">
        <v>79.5</v>
      </c>
      <c r="K323" s="17">
        <v>7930</v>
      </c>
      <c r="L323" s="17">
        <v>27</v>
      </c>
      <c r="M323" s="17">
        <v>10690</v>
      </c>
      <c r="N323" s="17"/>
      <c r="O323" s="17"/>
      <c r="P323" s="17"/>
      <c r="Q323" s="17"/>
      <c r="R323" s="17">
        <v>58</v>
      </c>
      <c r="S323" s="17">
        <v>9300</v>
      </c>
      <c r="T323" s="17"/>
      <c r="U323" s="17"/>
      <c r="V323" s="17">
        <v>86</v>
      </c>
      <c r="W323" s="17">
        <v>439</v>
      </c>
      <c r="X323" s="15">
        <v>278.25</v>
      </c>
      <c r="Y323" s="17">
        <v>465</v>
      </c>
      <c r="Z323" s="17">
        <v>449.25</v>
      </c>
      <c r="AA323" s="17">
        <v>6185</v>
      </c>
      <c r="AB323" s="12">
        <v>542</v>
      </c>
    </row>
    <row r="324" ht="14.25" spans="1:28">
      <c r="A324" s="13">
        <v>322</v>
      </c>
      <c r="B324" s="15">
        <v>7</v>
      </c>
      <c r="C324" s="16">
        <v>35</v>
      </c>
      <c r="D324" s="17" t="s">
        <v>655</v>
      </c>
      <c r="E324" s="17" t="s">
        <v>656</v>
      </c>
      <c r="F324" s="17">
        <v>101.25</v>
      </c>
      <c r="G324" s="17">
        <v>2875</v>
      </c>
      <c r="H324" s="17">
        <v>83.5</v>
      </c>
      <c r="I324" s="17">
        <v>7321</v>
      </c>
      <c r="J324" s="17">
        <v>103.75</v>
      </c>
      <c r="K324" s="17">
        <v>2416</v>
      </c>
      <c r="L324" s="17">
        <v>48.5</v>
      </c>
      <c r="M324" s="17">
        <v>4255</v>
      </c>
      <c r="N324" s="17"/>
      <c r="O324" s="17"/>
      <c r="P324" s="17"/>
      <c r="Q324" s="17"/>
      <c r="R324" s="17">
        <v>74</v>
      </c>
      <c r="S324" s="17">
        <v>4119</v>
      </c>
      <c r="T324" s="17"/>
      <c r="U324" s="17"/>
      <c r="V324" s="17">
        <v>87</v>
      </c>
      <c r="W324" s="17">
        <v>273</v>
      </c>
      <c r="X324" s="15">
        <v>288.5</v>
      </c>
      <c r="Y324" s="17">
        <v>376</v>
      </c>
      <c r="Z324" s="17">
        <v>498</v>
      </c>
      <c r="AA324" s="17">
        <v>3340</v>
      </c>
      <c r="AB324" s="12">
        <v>339</v>
      </c>
    </row>
    <row r="325" ht="14.25" spans="1:28">
      <c r="A325" s="13">
        <v>323</v>
      </c>
      <c r="B325" s="15">
        <v>7</v>
      </c>
      <c r="C325" s="16">
        <v>36</v>
      </c>
      <c r="D325" s="17" t="s">
        <v>657</v>
      </c>
      <c r="E325" s="17" t="s">
        <v>658</v>
      </c>
      <c r="F325" s="17">
        <v>98.5</v>
      </c>
      <c r="G325" s="17">
        <v>4145</v>
      </c>
      <c r="H325" s="17">
        <v>110</v>
      </c>
      <c r="I325" s="17">
        <v>1931</v>
      </c>
      <c r="J325" s="17">
        <v>99.25</v>
      </c>
      <c r="K325" s="17">
        <v>3211</v>
      </c>
      <c r="L325" s="17">
        <v>50.5</v>
      </c>
      <c r="M325" s="17">
        <v>3830</v>
      </c>
      <c r="N325" s="17"/>
      <c r="O325" s="17"/>
      <c r="P325" s="17"/>
      <c r="Q325" s="17"/>
      <c r="R325" s="17">
        <v>80</v>
      </c>
      <c r="S325" s="17">
        <v>2376</v>
      </c>
      <c r="T325" s="17"/>
      <c r="U325" s="17"/>
      <c r="V325" s="17">
        <v>87</v>
      </c>
      <c r="W325" s="17">
        <v>273</v>
      </c>
      <c r="X325" s="15">
        <v>307.75</v>
      </c>
      <c r="Y325" s="17">
        <v>213</v>
      </c>
      <c r="Z325" s="17">
        <v>525.25</v>
      </c>
      <c r="AA325" s="17">
        <v>2129</v>
      </c>
      <c r="AB325" s="12">
        <v>183</v>
      </c>
    </row>
    <row r="326" ht="14.25" spans="1:28">
      <c r="A326" s="13">
        <v>324</v>
      </c>
      <c r="B326" s="15">
        <v>7</v>
      </c>
      <c r="C326" s="16">
        <v>37</v>
      </c>
      <c r="D326" s="17" t="s">
        <v>659</v>
      </c>
      <c r="E326" s="17" t="s">
        <v>660</v>
      </c>
      <c r="F326" s="17">
        <v>90</v>
      </c>
      <c r="G326" s="17">
        <v>9312</v>
      </c>
      <c r="H326" s="17">
        <v>104.5</v>
      </c>
      <c r="I326" s="17">
        <v>2895</v>
      </c>
      <c r="J326" s="17">
        <v>67.5</v>
      </c>
      <c r="K326" s="17">
        <v>10902</v>
      </c>
      <c r="L326" s="17">
        <v>28.5</v>
      </c>
      <c r="M326" s="17">
        <v>10084</v>
      </c>
      <c r="N326" s="17"/>
      <c r="O326" s="17"/>
      <c r="P326" s="17"/>
      <c r="Q326" s="17"/>
      <c r="R326" s="17">
        <v>82</v>
      </c>
      <c r="S326" s="17">
        <v>1915</v>
      </c>
      <c r="T326" s="17"/>
      <c r="U326" s="17"/>
      <c r="V326" s="17">
        <v>71</v>
      </c>
      <c r="W326" s="17">
        <v>2172</v>
      </c>
      <c r="X326" s="15">
        <v>262</v>
      </c>
      <c r="Y326" s="17">
        <v>574</v>
      </c>
      <c r="Z326" s="17">
        <v>443.5</v>
      </c>
      <c r="AA326" s="17">
        <v>6560</v>
      </c>
      <c r="AB326" s="12">
        <v>557</v>
      </c>
    </row>
    <row r="327" ht="14.25" spans="1:28">
      <c r="A327" s="13">
        <v>325</v>
      </c>
      <c r="B327" s="15">
        <v>7</v>
      </c>
      <c r="C327" s="16">
        <v>38</v>
      </c>
      <c r="D327" s="17" t="s">
        <v>661</v>
      </c>
      <c r="E327" s="17" t="s">
        <v>662</v>
      </c>
      <c r="F327" s="17">
        <v>101.25</v>
      </c>
      <c r="G327" s="17">
        <v>2875</v>
      </c>
      <c r="H327" s="17">
        <v>93</v>
      </c>
      <c r="I327" s="17">
        <v>5192</v>
      </c>
      <c r="J327" s="17">
        <v>76</v>
      </c>
      <c r="K327" s="17">
        <v>8837</v>
      </c>
      <c r="L327" s="17">
        <v>41.5</v>
      </c>
      <c r="M327" s="17">
        <v>5867</v>
      </c>
      <c r="N327" s="17"/>
      <c r="O327" s="17"/>
      <c r="P327" s="17"/>
      <c r="Q327" s="17"/>
      <c r="R327" s="17">
        <v>65</v>
      </c>
      <c r="S327" s="17">
        <v>7060</v>
      </c>
      <c r="T327" s="17"/>
      <c r="U327" s="17"/>
      <c r="V327" s="17">
        <v>76</v>
      </c>
      <c r="W327" s="17">
        <v>1407</v>
      </c>
      <c r="X327" s="15">
        <v>270.25</v>
      </c>
      <c r="Y327" s="17">
        <v>529</v>
      </c>
      <c r="Z327" s="17">
        <v>452.75</v>
      </c>
      <c r="AA327" s="17">
        <v>5946</v>
      </c>
      <c r="AB327" s="12">
        <v>535</v>
      </c>
    </row>
    <row r="328" ht="14.25" spans="1:28">
      <c r="A328" s="13">
        <v>326</v>
      </c>
      <c r="B328" s="15">
        <v>7</v>
      </c>
      <c r="C328" s="16">
        <v>39</v>
      </c>
      <c r="D328" s="17" t="s">
        <v>663</v>
      </c>
      <c r="E328" s="17" t="s">
        <v>664</v>
      </c>
      <c r="F328" s="17">
        <v>98</v>
      </c>
      <c r="G328" s="17">
        <v>4423</v>
      </c>
      <c r="H328" s="17">
        <v>59</v>
      </c>
      <c r="I328" s="17">
        <v>12003</v>
      </c>
      <c r="J328" s="17">
        <v>79</v>
      </c>
      <c r="K328" s="17">
        <v>8048</v>
      </c>
      <c r="L328" s="17">
        <v>27</v>
      </c>
      <c r="M328" s="17">
        <v>10690</v>
      </c>
      <c r="N328" s="17"/>
      <c r="O328" s="17"/>
      <c r="P328" s="17"/>
      <c r="Q328" s="17"/>
      <c r="R328" s="17">
        <v>76</v>
      </c>
      <c r="S328" s="17">
        <v>3491</v>
      </c>
      <c r="T328" s="17"/>
      <c r="U328" s="17"/>
      <c r="V328" s="17">
        <v>88</v>
      </c>
      <c r="W328" s="17">
        <v>165</v>
      </c>
      <c r="X328" s="15">
        <v>236</v>
      </c>
      <c r="Y328" s="17">
        <v>638</v>
      </c>
      <c r="Z328" s="17">
        <v>427</v>
      </c>
      <c r="AA328" s="17">
        <v>7709</v>
      </c>
      <c r="AB328" s="12">
        <v>609</v>
      </c>
    </row>
    <row r="329" ht="14.25" spans="1:28">
      <c r="A329" s="13">
        <v>327</v>
      </c>
      <c r="B329" s="15">
        <v>7</v>
      </c>
      <c r="C329" s="16">
        <v>40</v>
      </c>
      <c r="D329" s="17" t="s">
        <v>665</v>
      </c>
      <c r="E329" s="17" t="s">
        <v>666</v>
      </c>
      <c r="F329" s="17">
        <v>107</v>
      </c>
      <c r="G329" s="17">
        <v>945</v>
      </c>
      <c r="H329" s="17">
        <v>89.5</v>
      </c>
      <c r="I329" s="17">
        <v>5946</v>
      </c>
      <c r="J329" s="17">
        <v>76</v>
      </c>
      <c r="K329" s="17">
        <v>8837</v>
      </c>
      <c r="L329" s="17">
        <v>17.5</v>
      </c>
      <c r="M329" s="17">
        <v>15175</v>
      </c>
      <c r="N329" s="17"/>
      <c r="O329" s="17"/>
      <c r="P329" s="17"/>
      <c r="Q329" s="17"/>
      <c r="R329" s="17">
        <v>57</v>
      </c>
      <c r="S329" s="17">
        <v>9659</v>
      </c>
      <c r="T329" s="17"/>
      <c r="U329" s="17"/>
      <c r="V329" s="17">
        <v>79</v>
      </c>
      <c r="W329" s="17">
        <v>1023</v>
      </c>
      <c r="X329" s="15">
        <v>272.5</v>
      </c>
      <c r="Y329" s="17">
        <v>510</v>
      </c>
      <c r="Z329" s="17">
        <v>426</v>
      </c>
      <c r="AA329" s="17">
        <v>7793</v>
      </c>
      <c r="AB329" s="12">
        <v>612</v>
      </c>
    </row>
    <row r="330" ht="14.25" spans="1:28">
      <c r="A330" s="13">
        <v>328</v>
      </c>
      <c r="B330" s="15">
        <v>7</v>
      </c>
      <c r="C330" s="16">
        <v>41</v>
      </c>
      <c r="D330" s="17" t="s">
        <v>667</v>
      </c>
      <c r="E330" s="17" t="s">
        <v>668</v>
      </c>
      <c r="F330" s="17">
        <v>99.5</v>
      </c>
      <c r="G330" s="17">
        <v>3607</v>
      </c>
      <c r="H330" s="17">
        <v>117</v>
      </c>
      <c r="I330" s="17">
        <v>975</v>
      </c>
      <c r="J330" s="17">
        <v>66.5</v>
      </c>
      <c r="K330" s="17">
        <v>11129</v>
      </c>
      <c r="L330" s="17">
        <v>32</v>
      </c>
      <c r="M330" s="17">
        <v>8723</v>
      </c>
      <c r="N330" s="17"/>
      <c r="O330" s="17"/>
      <c r="P330" s="17"/>
      <c r="Q330" s="17"/>
      <c r="R330" s="17">
        <v>73</v>
      </c>
      <c r="S330" s="17">
        <v>4436</v>
      </c>
      <c r="T330" s="17"/>
      <c r="U330" s="17"/>
      <c r="V330" s="17">
        <v>68</v>
      </c>
      <c r="W330" s="17">
        <v>2512</v>
      </c>
      <c r="X330" s="15">
        <v>283</v>
      </c>
      <c r="Y330" s="17">
        <v>420</v>
      </c>
      <c r="Z330" s="17">
        <v>456</v>
      </c>
      <c r="AA330" s="17">
        <v>5731</v>
      </c>
      <c r="AB330" s="12">
        <v>524</v>
      </c>
    </row>
    <row r="331" ht="14.25" spans="1:28">
      <c r="A331" s="13">
        <v>329</v>
      </c>
      <c r="B331" s="15">
        <v>8</v>
      </c>
      <c r="C331" s="16">
        <v>1</v>
      </c>
      <c r="D331" s="17" t="s">
        <v>669</v>
      </c>
      <c r="E331" s="17" t="s">
        <v>670</v>
      </c>
      <c r="F331" s="17">
        <v>92</v>
      </c>
      <c r="G331" s="17">
        <v>7994</v>
      </c>
      <c r="H331" s="17">
        <v>112</v>
      </c>
      <c r="I331" s="17">
        <v>1617</v>
      </c>
      <c r="J331" s="17">
        <v>74.25</v>
      </c>
      <c r="K331" s="17">
        <v>9307</v>
      </c>
      <c r="L331" s="17">
        <v>49.5</v>
      </c>
      <c r="M331" s="17">
        <v>4044</v>
      </c>
      <c r="N331" s="17"/>
      <c r="O331" s="17"/>
      <c r="P331" s="17">
        <v>75</v>
      </c>
      <c r="Q331" s="17">
        <v>3841</v>
      </c>
      <c r="R331" s="17">
        <v>80</v>
      </c>
      <c r="S331" s="17">
        <v>2376</v>
      </c>
      <c r="T331" s="17"/>
      <c r="U331" s="17"/>
      <c r="V331" s="17"/>
      <c r="W331" s="17"/>
      <c r="X331" s="15">
        <v>278.25</v>
      </c>
      <c r="Y331" s="17">
        <v>465</v>
      </c>
      <c r="Z331" s="17">
        <v>482.75</v>
      </c>
      <c r="AA331" s="17">
        <v>4122</v>
      </c>
      <c r="AB331" s="12">
        <v>409</v>
      </c>
    </row>
    <row r="332" ht="14.25" spans="1:28">
      <c r="A332" s="13">
        <v>330</v>
      </c>
      <c r="B332" s="15">
        <v>8</v>
      </c>
      <c r="C332" s="16">
        <v>2</v>
      </c>
      <c r="D332" s="17" t="s">
        <v>671</v>
      </c>
      <c r="E332" s="17" t="s">
        <v>672</v>
      </c>
      <c r="F332" s="17">
        <v>101.5</v>
      </c>
      <c r="G332" s="17">
        <v>2674</v>
      </c>
      <c r="H332" s="17">
        <v>89</v>
      </c>
      <c r="I332" s="17">
        <v>6077</v>
      </c>
      <c r="J332" s="17">
        <v>99.5</v>
      </c>
      <c r="K332" s="17">
        <v>3134</v>
      </c>
      <c r="L332" s="17">
        <v>25</v>
      </c>
      <c r="M332" s="17">
        <v>11593</v>
      </c>
      <c r="N332" s="17"/>
      <c r="O332" s="17"/>
      <c r="P332" s="17">
        <v>67</v>
      </c>
      <c r="Q332" s="17">
        <v>6384</v>
      </c>
      <c r="R332" s="17">
        <v>57</v>
      </c>
      <c r="S332" s="17">
        <v>9659</v>
      </c>
      <c r="T332" s="17"/>
      <c r="U332" s="17"/>
      <c r="V332" s="17"/>
      <c r="W332" s="17"/>
      <c r="X332" s="15">
        <v>290</v>
      </c>
      <c r="Y332" s="17">
        <v>369</v>
      </c>
      <c r="Z332" s="17">
        <v>439</v>
      </c>
      <c r="AA332" s="17">
        <v>6886</v>
      </c>
      <c r="AB332" s="12">
        <v>572</v>
      </c>
    </row>
    <row r="333" ht="14.25" spans="1:28">
      <c r="A333" s="13">
        <v>331</v>
      </c>
      <c r="B333" s="15">
        <v>8</v>
      </c>
      <c r="C333" s="16">
        <v>3</v>
      </c>
      <c r="D333" s="17" t="s">
        <v>673</v>
      </c>
      <c r="E333" s="17" t="s">
        <v>674</v>
      </c>
      <c r="F333" s="17">
        <v>98</v>
      </c>
      <c r="G333" s="17">
        <v>4423</v>
      </c>
      <c r="H333" s="17">
        <v>92.5</v>
      </c>
      <c r="I333" s="17">
        <v>5299</v>
      </c>
      <c r="J333" s="17">
        <v>103.25</v>
      </c>
      <c r="K333" s="17">
        <v>2503</v>
      </c>
      <c r="L333" s="17">
        <v>38</v>
      </c>
      <c r="M333" s="17">
        <v>6823</v>
      </c>
      <c r="N333" s="17"/>
      <c r="O333" s="17"/>
      <c r="P333" s="17">
        <v>77</v>
      </c>
      <c r="Q333" s="17">
        <v>3207</v>
      </c>
      <c r="R333" s="17">
        <v>80</v>
      </c>
      <c r="S333" s="17">
        <v>2376</v>
      </c>
      <c r="T333" s="17"/>
      <c r="U333" s="17"/>
      <c r="V333" s="17"/>
      <c r="W333" s="17"/>
      <c r="X333" s="15">
        <v>293.75</v>
      </c>
      <c r="Y333" s="17">
        <v>328</v>
      </c>
      <c r="Z333" s="17">
        <v>488.75</v>
      </c>
      <c r="AA333" s="17">
        <v>3814</v>
      </c>
      <c r="AB333" s="12">
        <v>382</v>
      </c>
    </row>
    <row r="334" ht="14.25" spans="1:28">
      <c r="A334" s="13">
        <v>332</v>
      </c>
      <c r="B334" s="15">
        <v>8</v>
      </c>
      <c r="C334" s="16">
        <v>4</v>
      </c>
      <c r="D334" s="17" t="s">
        <v>675</v>
      </c>
      <c r="E334" s="17" t="s">
        <v>676</v>
      </c>
      <c r="F334" s="17">
        <v>103.5</v>
      </c>
      <c r="G334" s="17">
        <v>1897</v>
      </c>
      <c r="H334" s="17">
        <v>98.5</v>
      </c>
      <c r="I334" s="17">
        <v>4047</v>
      </c>
      <c r="J334" s="17">
        <v>98</v>
      </c>
      <c r="K334" s="17">
        <v>3454</v>
      </c>
      <c r="L334" s="17">
        <v>59</v>
      </c>
      <c r="M334" s="17">
        <v>2358</v>
      </c>
      <c r="N334" s="17"/>
      <c r="O334" s="17"/>
      <c r="P334" s="17">
        <v>72</v>
      </c>
      <c r="Q334" s="17">
        <v>4881</v>
      </c>
      <c r="R334" s="17">
        <v>72</v>
      </c>
      <c r="S334" s="17">
        <v>4793</v>
      </c>
      <c r="T334" s="17"/>
      <c r="U334" s="17"/>
      <c r="V334" s="17"/>
      <c r="W334" s="17"/>
      <c r="X334" s="15">
        <v>300</v>
      </c>
      <c r="Y334" s="17">
        <v>276</v>
      </c>
      <c r="Z334" s="17">
        <v>503</v>
      </c>
      <c r="AA334" s="17">
        <v>3099</v>
      </c>
      <c r="AB334" s="12">
        <v>310</v>
      </c>
    </row>
    <row r="335" ht="14.25" spans="1:28">
      <c r="A335" s="13">
        <v>333</v>
      </c>
      <c r="B335" s="15">
        <v>8</v>
      </c>
      <c r="C335" s="16">
        <v>5</v>
      </c>
      <c r="D335" s="17" t="s">
        <v>677</v>
      </c>
      <c r="E335" s="17" t="s">
        <v>678</v>
      </c>
      <c r="F335" s="17">
        <v>84</v>
      </c>
      <c r="G335" s="17">
        <v>12898</v>
      </c>
      <c r="H335" s="17">
        <v>79.5</v>
      </c>
      <c r="I335" s="17">
        <v>8139</v>
      </c>
      <c r="J335" s="17">
        <v>86.5</v>
      </c>
      <c r="K335" s="17">
        <v>6120</v>
      </c>
      <c r="L335" s="17">
        <v>54</v>
      </c>
      <c r="M335" s="17">
        <v>3208</v>
      </c>
      <c r="N335" s="17"/>
      <c r="O335" s="17"/>
      <c r="P335" s="17">
        <v>70</v>
      </c>
      <c r="Q335" s="17">
        <v>5445</v>
      </c>
      <c r="R335" s="17">
        <v>79</v>
      </c>
      <c r="S335" s="17">
        <v>2629</v>
      </c>
      <c r="T335" s="17"/>
      <c r="U335" s="17"/>
      <c r="V335" s="17"/>
      <c r="W335" s="17"/>
      <c r="X335" s="15">
        <v>250</v>
      </c>
      <c r="Y335" s="17">
        <v>609</v>
      </c>
      <c r="Z335" s="17">
        <v>453</v>
      </c>
      <c r="AA335" s="17">
        <v>5915</v>
      </c>
      <c r="AB335" s="12">
        <v>532</v>
      </c>
    </row>
    <row r="336" ht="14.25" spans="1:28">
      <c r="A336" s="13">
        <v>334</v>
      </c>
      <c r="B336" s="15">
        <v>8</v>
      </c>
      <c r="C336" s="16">
        <v>6</v>
      </c>
      <c r="D336" s="17" t="s">
        <v>679</v>
      </c>
      <c r="E336" s="17" t="s">
        <v>680</v>
      </c>
      <c r="F336" s="17">
        <v>96</v>
      </c>
      <c r="G336" s="17">
        <v>5544</v>
      </c>
      <c r="H336" s="17">
        <v>91</v>
      </c>
      <c r="I336" s="17">
        <v>5638</v>
      </c>
      <c r="J336" s="17">
        <v>84.75</v>
      </c>
      <c r="K336" s="17">
        <v>6579</v>
      </c>
      <c r="L336" s="17">
        <v>38.5</v>
      </c>
      <c r="M336" s="17">
        <v>6692</v>
      </c>
      <c r="N336" s="17"/>
      <c r="O336" s="17"/>
      <c r="P336" s="17">
        <v>48</v>
      </c>
      <c r="Q336" s="17">
        <v>11124</v>
      </c>
      <c r="R336" s="17">
        <v>76</v>
      </c>
      <c r="S336" s="17">
        <v>3491</v>
      </c>
      <c r="T336" s="17"/>
      <c r="U336" s="17"/>
      <c r="V336" s="17"/>
      <c r="W336" s="17"/>
      <c r="X336" s="15">
        <v>271.75</v>
      </c>
      <c r="Y336" s="17">
        <v>517</v>
      </c>
      <c r="Z336" s="17">
        <v>434.25</v>
      </c>
      <c r="AA336" s="17">
        <v>7194</v>
      </c>
      <c r="AB336" s="12">
        <v>590</v>
      </c>
    </row>
    <row r="337" ht="14.25" spans="1:28">
      <c r="A337" s="13">
        <v>335</v>
      </c>
      <c r="B337" s="15">
        <v>8</v>
      </c>
      <c r="C337" s="16">
        <v>7</v>
      </c>
      <c r="D337" s="17" t="s">
        <v>681</v>
      </c>
      <c r="E337" s="17" t="s">
        <v>682</v>
      </c>
      <c r="F337" s="17">
        <v>98</v>
      </c>
      <c r="G337" s="17">
        <v>4423</v>
      </c>
      <c r="H337" s="17">
        <v>112</v>
      </c>
      <c r="I337" s="17">
        <v>1617</v>
      </c>
      <c r="J337" s="17">
        <v>71.75</v>
      </c>
      <c r="K337" s="17">
        <v>9931</v>
      </c>
      <c r="L337" s="17">
        <v>76.5</v>
      </c>
      <c r="M337" s="17">
        <v>333</v>
      </c>
      <c r="N337" s="17"/>
      <c r="O337" s="17"/>
      <c r="P337" s="17">
        <v>73</v>
      </c>
      <c r="Q337" s="17">
        <v>4501</v>
      </c>
      <c r="R337" s="17">
        <v>62</v>
      </c>
      <c r="S337" s="17">
        <v>8006</v>
      </c>
      <c r="T337" s="17"/>
      <c r="U337" s="17"/>
      <c r="V337" s="17"/>
      <c r="W337" s="17"/>
      <c r="X337" s="15">
        <v>281.75</v>
      </c>
      <c r="Y337" s="17">
        <v>437</v>
      </c>
      <c r="Z337" s="17">
        <v>493.25</v>
      </c>
      <c r="AA337" s="17">
        <v>3596</v>
      </c>
      <c r="AB337" s="12">
        <v>359</v>
      </c>
    </row>
    <row r="338" ht="14.25" spans="1:28">
      <c r="A338" s="13">
        <v>336</v>
      </c>
      <c r="B338" s="15">
        <v>8</v>
      </c>
      <c r="C338" s="16">
        <v>8</v>
      </c>
      <c r="D338" s="17" t="s">
        <v>683</v>
      </c>
      <c r="E338" s="17" t="s">
        <v>684</v>
      </c>
      <c r="F338" s="17">
        <v>107.5</v>
      </c>
      <c r="G338" s="17">
        <v>829</v>
      </c>
      <c r="H338" s="17">
        <v>110.5</v>
      </c>
      <c r="I338" s="17">
        <v>1866</v>
      </c>
      <c r="J338" s="17">
        <v>75</v>
      </c>
      <c r="K338" s="17">
        <v>9087</v>
      </c>
      <c r="L338" s="17">
        <v>69</v>
      </c>
      <c r="M338" s="17">
        <v>949</v>
      </c>
      <c r="N338" s="17"/>
      <c r="O338" s="17"/>
      <c r="P338" s="17">
        <v>72</v>
      </c>
      <c r="Q338" s="17">
        <v>4881</v>
      </c>
      <c r="R338" s="17">
        <v>79</v>
      </c>
      <c r="S338" s="17">
        <v>2629</v>
      </c>
      <c r="T338" s="17"/>
      <c r="U338" s="17"/>
      <c r="V338" s="17"/>
      <c r="W338" s="17"/>
      <c r="X338" s="15">
        <v>293</v>
      </c>
      <c r="Y338" s="17">
        <v>335</v>
      </c>
      <c r="Z338" s="17">
        <v>513</v>
      </c>
      <c r="AA338" s="17">
        <v>2634</v>
      </c>
      <c r="AB338" s="12">
        <v>259</v>
      </c>
    </row>
    <row r="339" ht="14.25" spans="1:28">
      <c r="A339" s="13">
        <v>337</v>
      </c>
      <c r="B339" s="15">
        <v>8</v>
      </c>
      <c r="C339" s="16">
        <v>9</v>
      </c>
      <c r="D339" s="17" t="s">
        <v>685</v>
      </c>
      <c r="E339" s="17" t="s">
        <v>686</v>
      </c>
      <c r="F339" s="17">
        <v>100.5</v>
      </c>
      <c r="G339" s="17">
        <v>3131</v>
      </c>
      <c r="H339" s="17">
        <v>108.5</v>
      </c>
      <c r="I339" s="17">
        <v>2198</v>
      </c>
      <c r="J339" s="17">
        <v>87.25</v>
      </c>
      <c r="K339" s="17">
        <v>5964</v>
      </c>
      <c r="L339" s="17">
        <v>43.5</v>
      </c>
      <c r="M339" s="17">
        <v>5353</v>
      </c>
      <c r="N339" s="17"/>
      <c r="O339" s="17"/>
      <c r="P339" s="17">
        <v>77</v>
      </c>
      <c r="Q339" s="17">
        <v>3207</v>
      </c>
      <c r="R339" s="17">
        <v>80</v>
      </c>
      <c r="S339" s="17">
        <v>2376</v>
      </c>
      <c r="T339" s="17"/>
      <c r="U339" s="17"/>
      <c r="V339" s="17"/>
      <c r="W339" s="17"/>
      <c r="X339" s="15">
        <v>296.25</v>
      </c>
      <c r="Y339" s="17">
        <v>305</v>
      </c>
      <c r="Z339" s="17">
        <v>496.75</v>
      </c>
      <c r="AA339" s="17">
        <v>3408</v>
      </c>
      <c r="AB339" s="12">
        <v>349</v>
      </c>
    </row>
    <row r="340" ht="14.25" spans="1:28">
      <c r="A340" s="13">
        <v>338</v>
      </c>
      <c r="B340" s="15">
        <v>8</v>
      </c>
      <c r="C340" s="16">
        <v>10</v>
      </c>
      <c r="D340" s="17" t="s">
        <v>687</v>
      </c>
      <c r="E340" s="17" t="s">
        <v>688</v>
      </c>
      <c r="F340" s="17">
        <v>110.5</v>
      </c>
      <c r="G340" s="17">
        <v>372</v>
      </c>
      <c r="H340" s="17">
        <v>106.5</v>
      </c>
      <c r="I340" s="17">
        <v>2542</v>
      </c>
      <c r="J340" s="17">
        <v>76</v>
      </c>
      <c r="K340" s="17">
        <v>8837</v>
      </c>
      <c r="L340" s="17">
        <v>56.5</v>
      </c>
      <c r="M340" s="17">
        <v>2801</v>
      </c>
      <c r="N340" s="17"/>
      <c r="O340" s="17"/>
      <c r="P340" s="17">
        <v>89</v>
      </c>
      <c r="Q340" s="17">
        <v>222</v>
      </c>
      <c r="R340" s="17">
        <v>75</v>
      </c>
      <c r="S340" s="17">
        <v>3790</v>
      </c>
      <c r="T340" s="17"/>
      <c r="U340" s="17"/>
      <c r="V340" s="17"/>
      <c r="W340" s="17"/>
      <c r="X340" s="15">
        <v>293</v>
      </c>
      <c r="Y340" s="17">
        <v>335</v>
      </c>
      <c r="Z340" s="17">
        <v>513.5</v>
      </c>
      <c r="AA340" s="17">
        <v>2612</v>
      </c>
      <c r="AB340" s="12">
        <v>253</v>
      </c>
    </row>
    <row r="341" ht="14.25" spans="1:28">
      <c r="A341" s="13">
        <v>339</v>
      </c>
      <c r="B341" s="15">
        <v>8</v>
      </c>
      <c r="C341" s="16">
        <v>11</v>
      </c>
      <c r="D341" s="17" t="s">
        <v>689</v>
      </c>
      <c r="E341" s="17" t="s">
        <v>690</v>
      </c>
      <c r="F341" s="17">
        <v>90</v>
      </c>
      <c r="G341" s="17">
        <v>9312</v>
      </c>
      <c r="H341" s="17">
        <v>104.5</v>
      </c>
      <c r="I341" s="17">
        <v>2895</v>
      </c>
      <c r="J341" s="17">
        <v>98.5</v>
      </c>
      <c r="K341" s="17">
        <v>3338</v>
      </c>
      <c r="L341" s="17">
        <v>63.5</v>
      </c>
      <c r="M341" s="17">
        <v>1636</v>
      </c>
      <c r="N341" s="17"/>
      <c r="O341" s="17"/>
      <c r="P341" s="17">
        <v>83</v>
      </c>
      <c r="Q341" s="17">
        <v>1643</v>
      </c>
      <c r="R341" s="17">
        <v>78</v>
      </c>
      <c r="S341" s="17">
        <v>2906</v>
      </c>
      <c r="T341" s="17"/>
      <c r="U341" s="17"/>
      <c r="V341" s="17"/>
      <c r="W341" s="17"/>
      <c r="X341" s="15">
        <v>293</v>
      </c>
      <c r="Y341" s="17">
        <v>335</v>
      </c>
      <c r="Z341" s="17">
        <v>517.5</v>
      </c>
      <c r="AA341" s="17">
        <v>2432</v>
      </c>
      <c r="AB341" s="12">
        <v>230</v>
      </c>
    </row>
    <row r="342" ht="14.25" spans="1:28">
      <c r="A342" s="13">
        <v>340</v>
      </c>
      <c r="B342" s="15">
        <v>8</v>
      </c>
      <c r="C342" s="16">
        <v>12</v>
      </c>
      <c r="D342" s="17" t="s">
        <v>691</v>
      </c>
      <c r="E342" s="17" t="s">
        <v>692</v>
      </c>
      <c r="F342" s="17">
        <v>87.5</v>
      </c>
      <c r="G342" s="17">
        <v>10920</v>
      </c>
      <c r="H342" s="17">
        <v>88.5</v>
      </c>
      <c r="I342" s="17">
        <v>6176</v>
      </c>
      <c r="J342" s="17">
        <v>83</v>
      </c>
      <c r="K342" s="17">
        <v>6990</v>
      </c>
      <c r="L342" s="17">
        <v>67</v>
      </c>
      <c r="M342" s="17">
        <v>1188</v>
      </c>
      <c r="N342" s="17"/>
      <c r="O342" s="17"/>
      <c r="P342" s="17">
        <v>73</v>
      </c>
      <c r="Q342" s="17">
        <v>4501</v>
      </c>
      <c r="R342" s="17">
        <v>86</v>
      </c>
      <c r="S342" s="17">
        <v>1176</v>
      </c>
      <c r="T342" s="17"/>
      <c r="U342" s="17"/>
      <c r="V342" s="17"/>
      <c r="W342" s="17"/>
      <c r="X342" s="15">
        <v>259</v>
      </c>
      <c r="Y342" s="17">
        <v>585</v>
      </c>
      <c r="Z342" s="17">
        <v>485</v>
      </c>
      <c r="AA342" s="17">
        <v>3985</v>
      </c>
      <c r="AB342" s="12">
        <v>398</v>
      </c>
    </row>
    <row r="343" ht="14.25" spans="1:28">
      <c r="A343" s="13">
        <v>341</v>
      </c>
      <c r="B343" s="15">
        <v>8</v>
      </c>
      <c r="C343" s="16">
        <v>13</v>
      </c>
      <c r="D343" s="17" t="s">
        <v>693</v>
      </c>
      <c r="E343" s="17" t="s">
        <v>694</v>
      </c>
      <c r="F343" s="17">
        <v>101.5</v>
      </c>
      <c r="G343" s="17">
        <v>2674</v>
      </c>
      <c r="H343" s="17">
        <v>94</v>
      </c>
      <c r="I343" s="17">
        <v>4942</v>
      </c>
      <c r="J343" s="17">
        <v>85.5</v>
      </c>
      <c r="K343" s="17">
        <v>6376</v>
      </c>
      <c r="L343" s="17">
        <v>55</v>
      </c>
      <c r="M343" s="17">
        <v>3031</v>
      </c>
      <c r="N343" s="17"/>
      <c r="O343" s="17"/>
      <c r="P343" s="17">
        <v>76</v>
      </c>
      <c r="Q343" s="17">
        <v>3515</v>
      </c>
      <c r="R343" s="17">
        <v>72</v>
      </c>
      <c r="S343" s="17">
        <v>4793</v>
      </c>
      <c r="T343" s="17"/>
      <c r="U343" s="17"/>
      <c r="V343" s="17"/>
      <c r="W343" s="17"/>
      <c r="X343" s="15">
        <v>281</v>
      </c>
      <c r="Y343" s="17">
        <v>439</v>
      </c>
      <c r="Z343" s="17">
        <v>484</v>
      </c>
      <c r="AA343" s="17">
        <v>4049</v>
      </c>
      <c r="AB343" s="12">
        <v>402</v>
      </c>
    </row>
    <row r="344" ht="14.25" spans="1:28">
      <c r="A344" s="13">
        <v>342</v>
      </c>
      <c r="B344" s="15">
        <v>8</v>
      </c>
      <c r="C344" s="16">
        <v>14</v>
      </c>
      <c r="D344" s="17" t="s">
        <v>695</v>
      </c>
      <c r="E344" s="17" t="s">
        <v>696</v>
      </c>
      <c r="F344" s="17">
        <v>103.5</v>
      </c>
      <c r="G344" s="17">
        <v>1897</v>
      </c>
      <c r="H344" s="17">
        <v>97</v>
      </c>
      <c r="I344" s="17">
        <v>4348</v>
      </c>
      <c r="J344" s="17">
        <v>102.5</v>
      </c>
      <c r="K344" s="17">
        <v>2600</v>
      </c>
      <c r="L344" s="17">
        <v>55</v>
      </c>
      <c r="M344" s="17">
        <v>3031</v>
      </c>
      <c r="N344" s="17"/>
      <c r="O344" s="17"/>
      <c r="P344" s="17">
        <v>66</v>
      </c>
      <c r="Q344" s="17">
        <v>6766</v>
      </c>
      <c r="R344" s="17">
        <v>82</v>
      </c>
      <c r="S344" s="17">
        <v>1915</v>
      </c>
      <c r="T344" s="17"/>
      <c r="U344" s="17"/>
      <c r="V344" s="17"/>
      <c r="W344" s="17"/>
      <c r="X344" s="15">
        <v>303</v>
      </c>
      <c r="Y344" s="17">
        <v>251</v>
      </c>
      <c r="Z344" s="17">
        <v>506</v>
      </c>
      <c r="AA344" s="17">
        <v>2960</v>
      </c>
      <c r="AB344" s="12">
        <v>293</v>
      </c>
    </row>
    <row r="345" ht="14.25" spans="1:28">
      <c r="A345" s="13">
        <v>343</v>
      </c>
      <c r="B345" s="15">
        <v>8</v>
      </c>
      <c r="C345" s="16">
        <v>15</v>
      </c>
      <c r="D345" s="17" t="s">
        <v>697</v>
      </c>
      <c r="E345" s="17" t="s">
        <v>698</v>
      </c>
      <c r="F345" s="17">
        <v>98.5</v>
      </c>
      <c r="G345" s="17">
        <v>4145</v>
      </c>
      <c r="H345" s="17">
        <v>104.5</v>
      </c>
      <c r="I345" s="17">
        <v>2895</v>
      </c>
      <c r="J345" s="17">
        <v>91</v>
      </c>
      <c r="K345" s="17">
        <v>5010</v>
      </c>
      <c r="L345" s="17">
        <v>56</v>
      </c>
      <c r="M345" s="17">
        <v>2878</v>
      </c>
      <c r="N345" s="17"/>
      <c r="O345" s="17"/>
      <c r="P345" s="17">
        <v>63</v>
      </c>
      <c r="Q345" s="17">
        <v>7666</v>
      </c>
      <c r="R345" s="17">
        <v>79</v>
      </c>
      <c r="S345" s="17">
        <v>2629</v>
      </c>
      <c r="T345" s="17"/>
      <c r="U345" s="17"/>
      <c r="V345" s="17"/>
      <c r="W345" s="17"/>
      <c r="X345" s="15">
        <v>294</v>
      </c>
      <c r="Y345" s="17">
        <v>327</v>
      </c>
      <c r="Z345" s="17">
        <v>492</v>
      </c>
      <c r="AA345" s="17">
        <v>3646</v>
      </c>
      <c r="AB345" s="12">
        <v>363</v>
      </c>
    </row>
    <row r="346" ht="14.25" spans="1:28">
      <c r="A346" s="13">
        <v>344</v>
      </c>
      <c r="B346" s="15">
        <v>8</v>
      </c>
      <c r="C346" s="16">
        <v>16</v>
      </c>
      <c r="D346" s="17" t="s">
        <v>699</v>
      </c>
      <c r="E346" s="17" t="s">
        <v>700</v>
      </c>
      <c r="F346" s="17">
        <v>105</v>
      </c>
      <c r="G346" s="17">
        <v>1427</v>
      </c>
      <c r="H346" s="17">
        <v>112.5</v>
      </c>
      <c r="I346" s="17">
        <v>1543</v>
      </c>
      <c r="J346" s="17">
        <v>93.5</v>
      </c>
      <c r="K346" s="17">
        <v>4431</v>
      </c>
      <c r="L346" s="17">
        <v>59.5</v>
      </c>
      <c r="M346" s="17">
        <v>2274</v>
      </c>
      <c r="N346" s="17"/>
      <c r="O346" s="17"/>
      <c r="P346" s="17">
        <v>82</v>
      </c>
      <c r="Q346" s="17">
        <v>1870</v>
      </c>
      <c r="R346" s="17">
        <v>89</v>
      </c>
      <c r="S346" s="17">
        <v>415</v>
      </c>
      <c r="T346" s="17"/>
      <c r="U346" s="17"/>
      <c r="V346" s="17"/>
      <c r="W346" s="17"/>
      <c r="X346" s="15">
        <v>311</v>
      </c>
      <c r="Y346" s="17">
        <v>181</v>
      </c>
      <c r="Z346" s="17">
        <v>541.5</v>
      </c>
      <c r="AA346" s="17">
        <v>1568</v>
      </c>
      <c r="AB346" s="12">
        <v>123</v>
      </c>
    </row>
    <row r="347" ht="14.25" spans="1:28">
      <c r="A347" s="13">
        <v>345</v>
      </c>
      <c r="B347" s="15">
        <v>8</v>
      </c>
      <c r="C347" s="16">
        <v>17</v>
      </c>
      <c r="D347" s="17" t="s">
        <v>701</v>
      </c>
      <c r="E347" s="17" t="s">
        <v>702</v>
      </c>
      <c r="F347" s="17">
        <v>100.25</v>
      </c>
      <c r="G347" s="17">
        <v>3338</v>
      </c>
      <c r="H347" s="17">
        <v>109.5</v>
      </c>
      <c r="I347" s="17">
        <v>2023</v>
      </c>
      <c r="J347" s="17">
        <v>116</v>
      </c>
      <c r="K347" s="17">
        <v>807</v>
      </c>
      <c r="L347" s="17">
        <v>49.5</v>
      </c>
      <c r="M347" s="17">
        <v>4044</v>
      </c>
      <c r="N347" s="17"/>
      <c r="O347" s="17"/>
      <c r="P347" s="17">
        <v>67</v>
      </c>
      <c r="Q347" s="17">
        <v>6384</v>
      </c>
      <c r="R347" s="17">
        <v>78</v>
      </c>
      <c r="S347" s="17">
        <v>2906</v>
      </c>
      <c r="T347" s="17"/>
      <c r="U347" s="17"/>
      <c r="V347" s="17"/>
      <c r="W347" s="17"/>
      <c r="X347" s="15">
        <v>325.75</v>
      </c>
      <c r="Y347" s="17">
        <v>82</v>
      </c>
      <c r="Z347" s="17">
        <v>520.25</v>
      </c>
      <c r="AA347" s="17">
        <v>2344</v>
      </c>
      <c r="AB347" s="12">
        <v>217</v>
      </c>
    </row>
    <row r="348" ht="14.25" spans="1:28">
      <c r="A348" s="13">
        <v>346</v>
      </c>
      <c r="B348" s="15">
        <v>8</v>
      </c>
      <c r="C348" s="16">
        <v>18</v>
      </c>
      <c r="D348" s="17" t="s">
        <v>703</v>
      </c>
      <c r="E348" s="17" t="s">
        <v>704</v>
      </c>
      <c r="F348" s="17">
        <v>97</v>
      </c>
      <c r="G348" s="17">
        <v>4967</v>
      </c>
      <c r="H348" s="17">
        <v>96</v>
      </c>
      <c r="I348" s="17">
        <v>4544</v>
      </c>
      <c r="J348" s="17">
        <v>75</v>
      </c>
      <c r="K348" s="17">
        <v>9087</v>
      </c>
      <c r="L348" s="17">
        <v>40.5</v>
      </c>
      <c r="M348" s="17">
        <v>6131</v>
      </c>
      <c r="N348" s="17"/>
      <c r="O348" s="17"/>
      <c r="P348" s="17">
        <v>59</v>
      </c>
      <c r="Q348" s="17">
        <v>8996</v>
      </c>
      <c r="R348" s="17">
        <v>72</v>
      </c>
      <c r="S348" s="17">
        <v>4793</v>
      </c>
      <c r="T348" s="17"/>
      <c r="U348" s="17"/>
      <c r="V348" s="17"/>
      <c r="W348" s="17"/>
      <c r="X348" s="15">
        <v>268</v>
      </c>
      <c r="Y348" s="17">
        <v>541</v>
      </c>
      <c r="Z348" s="17">
        <v>439.5</v>
      </c>
      <c r="AA348" s="17">
        <v>6846</v>
      </c>
      <c r="AB348" s="12">
        <v>571</v>
      </c>
    </row>
    <row r="349" ht="14.25" spans="1:28">
      <c r="A349" s="13">
        <v>347</v>
      </c>
      <c r="B349" s="15">
        <v>8</v>
      </c>
      <c r="C349" s="16">
        <v>19</v>
      </c>
      <c r="D349" s="17" t="s">
        <v>705</v>
      </c>
      <c r="E349" s="17" t="s">
        <v>706</v>
      </c>
      <c r="F349" s="17">
        <v>104</v>
      </c>
      <c r="G349" s="17">
        <v>1709</v>
      </c>
      <c r="H349" s="17">
        <v>113</v>
      </c>
      <c r="I349" s="17">
        <v>1467</v>
      </c>
      <c r="J349" s="17">
        <v>100</v>
      </c>
      <c r="K349" s="17">
        <v>3038</v>
      </c>
      <c r="L349" s="17">
        <v>63</v>
      </c>
      <c r="M349" s="17">
        <v>1702</v>
      </c>
      <c r="N349" s="17"/>
      <c r="O349" s="17"/>
      <c r="P349" s="17">
        <v>79</v>
      </c>
      <c r="Q349" s="17">
        <v>2632</v>
      </c>
      <c r="R349" s="17">
        <v>73</v>
      </c>
      <c r="S349" s="17">
        <v>4436</v>
      </c>
      <c r="T349" s="17"/>
      <c r="U349" s="17"/>
      <c r="V349" s="17"/>
      <c r="W349" s="17"/>
      <c r="X349" s="15">
        <v>317</v>
      </c>
      <c r="Y349" s="17">
        <v>138</v>
      </c>
      <c r="Z349" s="17">
        <v>532</v>
      </c>
      <c r="AA349" s="17">
        <v>1873</v>
      </c>
      <c r="AB349" s="12">
        <v>158</v>
      </c>
    </row>
    <row r="350" ht="14.25" spans="1:28">
      <c r="A350" s="13">
        <v>348</v>
      </c>
      <c r="B350" s="15">
        <v>8</v>
      </c>
      <c r="C350" s="16">
        <v>20</v>
      </c>
      <c r="D350" s="17" t="s">
        <v>707</v>
      </c>
      <c r="E350" s="17" t="s">
        <v>708</v>
      </c>
      <c r="F350" s="17">
        <v>98.5</v>
      </c>
      <c r="G350" s="17">
        <v>4145</v>
      </c>
      <c r="H350" s="17">
        <v>104</v>
      </c>
      <c r="I350" s="17">
        <v>2999</v>
      </c>
      <c r="J350" s="17">
        <v>77.5</v>
      </c>
      <c r="K350" s="17">
        <v>8422</v>
      </c>
      <c r="L350" s="17">
        <v>36</v>
      </c>
      <c r="M350" s="17">
        <v>7408</v>
      </c>
      <c r="N350" s="17"/>
      <c r="O350" s="17"/>
      <c r="P350" s="17">
        <v>74</v>
      </c>
      <c r="Q350" s="17">
        <v>4168</v>
      </c>
      <c r="R350" s="17">
        <v>72</v>
      </c>
      <c r="S350" s="17">
        <v>4793</v>
      </c>
      <c r="T350" s="17"/>
      <c r="U350" s="17"/>
      <c r="V350" s="17"/>
      <c r="W350" s="17"/>
      <c r="X350" s="15">
        <v>280</v>
      </c>
      <c r="Y350" s="17">
        <v>448</v>
      </c>
      <c r="Z350" s="17">
        <v>462</v>
      </c>
      <c r="AA350" s="17">
        <v>5355</v>
      </c>
      <c r="AB350" s="12">
        <v>500</v>
      </c>
    </row>
    <row r="351" ht="14.25" spans="1:28">
      <c r="A351" s="13">
        <v>349</v>
      </c>
      <c r="B351" s="15">
        <v>8</v>
      </c>
      <c r="C351" s="16">
        <v>21</v>
      </c>
      <c r="D351" s="17" t="s">
        <v>709</v>
      </c>
      <c r="E351" s="17" t="s">
        <v>710</v>
      </c>
      <c r="F351" s="17">
        <v>64</v>
      </c>
      <c r="G351" s="17">
        <v>17227</v>
      </c>
      <c r="H351" s="17">
        <v>12</v>
      </c>
      <c r="I351" s="17">
        <v>17289</v>
      </c>
      <c r="J351" s="17">
        <v>36.25</v>
      </c>
      <c r="K351" s="17">
        <v>15398</v>
      </c>
      <c r="L351" s="17">
        <v>17</v>
      </c>
      <c r="M351" s="17">
        <v>15308</v>
      </c>
      <c r="N351" s="17"/>
      <c r="O351" s="17"/>
      <c r="P351" s="17">
        <v>38</v>
      </c>
      <c r="Q351" s="17">
        <v>12013</v>
      </c>
      <c r="R351" s="17">
        <v>38</v>
      </c>
      <c r="S351" s="17">
        <v>12664</v>
      </c>
      <c r="T351" s="17"/>
      <c r="U351" s="17"/>
      <c r="V351" s="17"/>
      <c r="W351" s="17"/>
      <c r="X351" s="15">
        <v>112.25</v>
      </c>
      <c r="Y351" s="17">
        <v>663</v>
      </c>
      <c r="Z351" s="17">
        <v>205.25</v>
      </c>
      <c r="AA351" s="17">
        <v>17345</v>
      </c>
      <c r="AB351" s="12">
        <v>663</v>
      </c>
    </row>
    <row r="352" ht="14.25" spans="1:28">
      <c r="A352" s="13">
        <v>350</v>
      </c>
      <c r="B352" s="15">
        <v>8</v>
      </c>
      <c r="C352" s="16">
        <v>22</v>
      </c>
      <c r="D352" s="17" t="s">
        <v>711</v>
      </c>
      <c r="E352" s="17" t="s">
        <v>712</v>
      </c>
      <c r="F352" s="17">
        <v>105</v>
      </c>
      <c r="G352" s="17">
        <v>1427</v>
      </c>
      <c r="H352" s="17">
        <v>88.5</v>
      </c>
      <c r="I352" s="17">
        <v>6176</v>
      </c>
      <c r="J352" s="17">
        <v>101.5</v>
      </c>
      <c r="K352" s="17">
        <v>2779</v>
      </c>
      <c r="L352" s="17">
        <v>33.5</v>
      </c>
      <c r="M352" s="17">
        <v>8240</v>
      </c>
      <c r="N352" s="17"/>
      <c r="O352" s="17"/>
      <c r="P352" s="17">
        <v>64</v>
      </c>
      <c r="Q352" s="17">
        <v>7304</v>
      </c>
      <c r="R352" s="17">
        <v>79</v>
      </c>
      <c r="S352" s="17">
        <v>2629</v>
      </c>
      <c r="T352" s="17"/>
      <c r="U352" s="17"/>
      <c r="V352" s="17"/>
      <c r="W352" s="17"/>
      <c r="X352" s="15">
        <v>295</v>
      </c>
      <c r="Y352" s="17">
        <v>314</v>
      </c>
      <c r="Z352" s="17">
        <v>471.5</v>
      </c>
      <c r="AA352" s="17">
        <v>4755</v>
      </c>
      <c r="AB352" s="12">
        <v>453</v>
      </c>
    </row>
    <row r="353" ht="14.25" spans="1:28">
      <c r="A353" s="13">
        <v>351</v>
      </c>
      <c r="B353" s="15">
        <v>8</v>
      </c>
      <c r="C353" s="16">
        <v>23</v>
      </c>
      <c r="D353" s="17" t="s">
        <v>713</v>
      </c>
      <c r="E353" s="17" t="s">
        <v>714</v>
      </c>
      <c r="F353" s="17">
        <v>107.5</v>
      </c>
      <c r="G353" s="17">
        <v>829</v>
      </c>
      <c r="H353" s="17">
        <v>94</v>
      </c>
      <c r="I353" s="17">
        <v>4942</v>
      </c>
      <c r="J353" s="17">
        <v>106</v>
      </c>
      <c r="K353" s="17">
        <v>2012</v>
      </c>
      <c r="L353" s="17">
        <v>41</v>
      </c>
      <c r="M353" s="17">
        <v>5993</v>
      </c>
      <c r="N353" s="17"/>
      <c r="O353" s="17"/>
      <c r="P353" s="17">
        <v>65</v>
      </c>
      <c r="Q353" s="17">
        <v>7113</v>
      </c>
      <c r="R353" s="17">
        <v>81</v>
      </c>
      <c r="S353" s="17">
        <v>2139</v>
      </c>
      <c r="T353" s="17"/>
      <c r="U353" s="17"/>
      <c r="V353" s="17"/>
      <c r="W353" s="17"/>
      <c r="X353" s="15">
        <v>307.5</v>
      </c>
      <c r="Y353" s="17">
        <v>214</v>
      </c>
      <c r="Z353" s="17">
        <v>494.5</v>
      </c>
      <c r="AA353" s="17">
        <v>3529</v>
      </c>
      <c r="AB353" s="12">
        <v>355</v>
      </c>
    </row>
    <row r="354" ht="14.25" spans="1:28">
      <c r="A354" s="13">
        <v>352</v>
      </c>
      <c r="B354" s="15">
        <v>8</v>
      </c>
      <c r="C354" s="16">
        <v>25</v>
      </c>
      <c r="D354" s="17" t="s">
        <v>715</v>
      </c>
      <c r="E354" s="17" t="s">
        <v>716</v>
      </c>
      <c r="F354" s="17">
        <v>100</v>
      </c>
      <c r="G354" s="17">
        <v>3368</v>
      </c>
      <c r="H354" s="17">
        <v>107</v>
      </c>
      <c r="I354" s="17">
        <v>2461</v>
      </c>
      <c r="J354" s="17">
        <v>102.5</v>
      </c>
      <c r="K354" s="17">
        <v>2600</v>
      </c>
      <c r="L354" s="17">
        <v>47.5</v>
      </c>
      <c r="M354" s="17">
        <v>4470</v>
      </c>
      <c r="N354" s="17"/>
      <c r="O354" s="17"/>
      <c r="P354" s="17">
        <v>61</v>
      </c>
      <c r="Q354" s="17">
        <v>8358</v>
      </c>
      <c r="R354" s="17">
        <v>85</v>
      </c>
      <c r="S354" s="17">
        <v>1393</v>
      </c>
      <c r="T354" s="17"/>
      <c r="U354" s="17"/>
      <c r="V354" s="17"/>
      <c r="W354" s="17"/>
      <c r="X354" s="15">
        <v>309.5</v>
      </c>
      <c r="Y354" s="17">
        <v>197</v>
      </c>
      <c r="Z354" s="17">
        <v>503</v>
      </c>
      <c r="AA354" s="17">
        <v>3099</v>
      </c>
      <c r="AB354" s="12">
        <v>310</v>
      </c>
    </row>
    <row r="355" ht="14.25" spans="1:28">
      <c r="A355" s="13">
        <v>353</v>
      </c>
      <c r="B355" s="15">
        <v>8</v>
      </c>
      <c r="C355" s="16">
        <v>26</v>
      </c>
      <c r="D355" s="17" t="s">
        <v>717</v>
      </c>
      <c r="E355" s="17" t="s">
        <v>718</v>
      </c>
      <c r="F355" s="17">
        <v>91</v>
      </c>
      <c r="G355" s="17">
        <v>8620</v>
      </c>
      <c r="H355" s="17">
        <v>107</v>
      </c>
      <c r="I355" s="17">
        <v>2461</v>
      </c>
      <c r="J355" s="17">
        <v>82.75</v>
      </c>
      <c r="K355" s="17">
        <v>7077</v>
      </c>
      <c r="L355" s="17">
        <v>59</v>
      </c>
      <c r="M355" s="17">
        <v>2358</v>
      </c>
      <c r="N355" s="17"/>
      <c r="O355" s="17"/>
      <c r="P355" s="17">
        <v>82</v>
      </c>
      <c r="Q355" s="17">
        <v>1870</v>
      </c>
      <c r="R355" s="17">
        <v>83</v>
      </c>
      <c r="S355" s="17">
        <v>1715</v>
      </c>
      <c r="T355" s="17"/>
      <c r="U355" s="17"/>
      <c r="V355" s="17"/>
      <c r="W355" s="17"/>
      <c r="X355" s="15">
        <v>280.75</v>
      </c>
      <c r="Y355" s="17">
        <v>441</v>
      </c>
      <c r="Z355" s="17">
        <v>504.75</v>
      </c>
      <c r="AA355" s="17">
        <v>3026</v>
      </c>
      <c r="AB355" s="12">
        <v>300</v>
      </c>
    </row>
    <row r="356" ht="14.25" spans="1:28">
      <c r="A356" s="13">
        <v>354</v>
      </c>
      <c r="B356" s="15">
        <v>8</v>
      </c>
      <c r="C356" s="16">
        <v>27</v>
      </c>
      <c r="D356" s="17" t="s">
        <v>719</v>
      </c>
      <c r="E356" s="17" t="s">
        <v>720</v>
      </c>
      <c r="F356" s="17">
        <v>98.75</v>
      </c>
      <c r="G356" s="17">
        <v>4121</v>
      </c>
      <c r="H356" s="17">
        <v>104.5</v>
      </c>
      <c r="I356" s="17">
        <v>2895</v>
      </c>
      <c r="J356" s="17">
        <v>100</v>
      </c>
      <c r="K356" s="17">
        <v>3038</v>
      </c>
      <c r="L356" s="17">
        <v>64</v>
      </c>
      <c r="M356" s="17">
        <v>1577</v>
      </c>
      <c r="N356" s="17"/>
      <c r="O356" s="17"/>
      <c r="P356" s="17">
        <v>73</v>
      </c>
      <c r="Q356" s="17">
        <v>4501</v>
      </c>
      <c r="R356" s="17">
        <v>88</v>
      </c>
      <c r="S356" s="17">
        <v>601</v>
      </c>
      <c r="T356" s="17"/>
      <c r="U356" s="17"/>
      <c r="V356" s="17"/>
      <c r="W356" s="17"/>
      <c r="X356" s="15">
        <v>303.25</v>
      </c>
      <c r="Y356" s="17">
        <v>249</v>
      </c>
      <c r="Z356" s="17">
        <v>528.25</v>
      </c>
      <c r="AA356" s="17">
        <v>2016</v>
      </c>
      <c r="AB356" s="12">
        <v>173</v>
      </c>
    </row>
    <row r="357" ht="14.25" spans="1:28">
      <c r="A357" s="13">
        <v>355</v>
      </c>
      <c r="B357" s="15">
        <v>8</v>
      </c>
      <c r="C357" s="16">
        <v>28</v>
      </c>
      <c r="D357" s="17" t="s">
        <v>721</v>
      </c>
      <c r="E357" s="17" t="s">
        <v>722</v>
      </c>
      <c r="F357" s="17">
        <v>106</v>
      </c>
      <c r="G357" s="17">
        <v>1174</v>
      </c>
      <c r="H357" s="17">
        <v>87.5</v>
      </c>
      <c r="I357" s="17">
        <v>6415</v>
      </c>
      <c r="J357" s="17">
        <v>107</v>
      </c>
      <c r="K357" s="17">
        <v>1871</v>
      </c>
      <c r="L357" s="17">
        <v>69</v>
      </c>
      <c r="M357" s="17">
        <v>949</v>
      </c>
      <c r="N357" s="17"/>
      <c r="O357" s="17"/>
      <c r="P357" s="17">
        <v>77</v>
      </c>
      <c r="Q357" s="17">
        <v>3207</v>
      </c>
      <c r="R357" s="17">
        <v>72</v>
      </c>
      <c r="S357" s="17">
        <v>4793</v>
      </c>
      <c r="T357" s="17"/>
      <c r="U357" s="17"/>
      <c r="V357" s="17"/>
      <c r="W357" s="17"/>
      <c r="X357" s="15">
        <v>300.5</v>
      </c>
      <c r="Y357" s="17">
        <v>273</v>
      </c>
      <c r="Z357" s="17">
        <v>518.5</v>
      </c>
      <c r="AA357" s="17">
        <v>2397</v>
      </c>
      <c r="AB357" s="12">
        <v>225</v>
      </c>
    </row>
    <row r="358" ht="14.25" spans="1:28">
      <c r="A358" s="13">
        <v>356</v>
      </c>
      <c r="B358" s="15">
        <v>8</v>
      </c>
      <c r="C358" s="16">
        <v>29</v>
      </c>
      <c r="D358" s="17" t="s">
        <v>723</v>
      </c>
      <c r="E358" s="17" t="s">
        <v>724</v>
      </c>
      <c r="F358" s="17">
        <v>101</v>
      </c>
      <c r="G358" s="17">
        <v>2896</v>
      </c>
      <c r="H358" s="17">
        <v>107</v>
      </c>
      <c r="I358" s="17">
        <v>2461</v>
      </c>
      <c r="J358" s="17">
        <v>85.5</v>
      </c>
      <c r="K358" s="17">
        <v>6376</v>
      </c>
      <c r="L358" s="17">
        <v>52.5</v>
      </c>
      <c r="M358" s="17">
        <v>3470</v>
      </c>
      <c r="N358" s="17"/>
      <c r="O358" s="17"/>
      <c r="P358" s="17">
        <v>63</v>
      </c>
      <c r="Q358" s="17">
        <v>7666</v>
      </c>
      <c r="R358" s="17">
        <v>82</v>
      </c>
      <c r="S358" s="17">
        <v>1915</v>
      </c>
      <c r="T358" s="17"/>
      <c r="U358" s="17"/>
      <c r="V358" s="17"/>
      <c r="W358" s="17"/>
      <c r="X358" s="15">
        <v>293.5</v>
      </c>
      <c r="Y358" s="17">
        <v>330</v>
      </c>
      <c r="Z358" s="17">
        <v>491</v>
      </c>
      <c r="AA358" s="17">
        <v>3691</v>
      </c>
      <c r="AB358" s="12">
        <v>369</v>
      </c>
    </row>
    <row r="359" ht="14.25" spans="1:28">
      <c r="A359" s="13">
        <v>357</v>
      </c>
      <c r="B359" s="15">
        <v>8</v>
      </c>
      <c r="C359" s="16">
        <v>31</v>
      </c>
      <c r="D359" s="17" t="s">
        <v>725</v>
      </c>
      <c r="E359" s="17" t="s">
        <v>726</v>
      </c>
      <c r="F359" s="17">
        <v>99</v>
      </c>
      <c r="G359" s="17">
        <v>3868</v>
      </c>
      <c r="H359" s="17">
        <v>114.5</v>
      </c>
      <c r="I359" s="17">
        <v>1277</v>
      </c>
      <c r="J359" s="17">
        <v>97.25</v>
      </c>
      <c r="K359" s="17">
        <v>3624</v>
      </c>
      <c r="L359" s="17">
        <v>49</v>
      </c>
      <c r="M359" s="17">
        <v>4146</v>
      </c>
      <c r="N359" s="17"/>
      <c r="O359" s="17"/>
      <c r="P359" s="17">
        <v>76</v>
      </c>
      <c r="Q359" s="17">
        <v>3515</v>
      </c>
      <c r="R359" s="17">
        <v>78</v>
      </c>
      <c r="S359" s="17">
        <v>2906</v>
      </c>
      <c r="T359" s="17"/>
      <c r="U359" s="17"/>
      <c r="V359" s="17"/>
      <c r="W359" s="17"/>
      <c r="X359" s="15">
        <v>310.75</v>
      </c>
      <c r="Y359" s="17">
        <v>183</v>
      </c>
      <c r="Z359" s="17">
        <v>513.75</v>
      </c>
      <c r="AA359" s="17">
        <v>2604</v>
      </c>
      <c r="AB359" s="12">
        <v>251</v>
      </c>
    </row>
    <row r="360" ht="14.25" spans="1:28">
      <c r="A360" s="13">
        <v>358</v>
      </c>
      <c r="B360" s="15">
        <v>8</v>
      </c>
      <c r="C360" s="16">
        <v>32</v>
      </c>
      <c r="D360" s="17" t="s">
        <v>727</v>
      </c>
      <c r="E360" s="17" t="s">
        <v>526</v>
      </c>
      <c r="F360" s="17">
        <v>92.5</v>
      </c>
      <c r="G360" s="17">
        <v>7705</v>
      </c>
      <c r="H360" s="17">
        <v>93.5</v>
      </c>
      <c r="I360" s="17">
        <v>5060</v>
      </c>
      <c r="J360" s="17">
        <v>77.5</v>
      </c>
      <c r="K360" s="17">
        <v>8422</v>
      </c>
      <c r="L360" s="17">
        <v>58.5</v>
      </c>
      <c r="M360" s="17">
        <v>2451</v>
      </c>
      <c r="N360" s="17"/>
      <c r="O360" s="17"/>
      <c r="P360" s="17">
        <v>73</v>
      </c>
      <c r="Q360" s="17">
        <v>4501</v>
      </c>
      <c r="R360" s="17">
        <v>81</v>
      </c>
      <c r="S360" s="17">
        <v>2139</v>
      </c>
      <c r="T360" s="17"/>
      <c r="U360" s="17"/>
      <c r="V360" s="17"/>
      <c r="W360" s="17"/>
      <c r="X360" s="15">
        <v>263.5</v>
      </c>
      <c r="Y360" s="17">
        <v>563</v>
      </c>
      <c r="Z360" s="17">
        <v>476</v>
      </c>
      <c r="AA360" s="17">
        <v>4490</v>
      </c>
      <c r="AB360" s="12">
        <v>432</v>
      </c>
    </row>
    <row r="361" ht="14.25" spans="1:28">
      <c r="A361" s="13">
        <v>359</v>
      </c>
      <c r="B361" s="15">
        <v>8</v>
      </c>
      <c r="C361" s="16">
        <v>33</v>
      </c>
      <c r="D361" s="17" t="s">
        <v>728</v>
      </c>
      <c r="E361" s="17" t="s">
        <v>729</v>
      </c>
      <c r="F361" s="17">
        <v>107.5</v>
      </c>
      <c r="G361" s="17">
        <v>829</v>
      </c>
      <c r="H361" s="17">
        <v>125</v>
      </c>
      <c r="I361" s="17">
        <v>360</v>
      </c>
      <c r="J361" s="17">
        <v>90.5</v>
      </c>
      <c r="K361" s="17">
        <v>5135</v>
      </c>
      <c r="L361" s="17">
        <v>64</v>
      </c>
      <c r="M361" s="17">
        <v>1577</v>
      </c>
      <c r="N361" s="17"/>
      <c r="O361" s="17"/>
      <c r="P361" s="17">
        <v>69</v>
      </c>
      <c r="Q361" s="17">
        <v>5655</v>
      </c>
      <c r="R361" s="17">
        <v>76</v>
      </c>
      <c r="S361" s="17">
        <v>3491</v>
      </c>
      <c r="T361" s="17"/>
      <c r="U361" s="17"/>
      <c r="V361" s="17"/>
      <c r="W361" s="17"/>
      <c r="X361" s="15">
        <v>323</v>
      </c>
      <c r="Y361" s="17">
        <v>99</v>
      </c>
      <c r="Z361" s="17">
        <v>532</v>
      </c>
      <c r="AA361" s="17">
        <v>1873</v>
      </c>
      <c r="AB361" s="12">
        <v>158</v>
      </c>
    </row>
    <row r="362" ht="14.25" spans="1:28">
      <c r="A362" s="13">
        <v>360</v>
      </c>
      <c r="B362" s="15">
        <v>8</v>
      </c>
      <c r="C362" s="16">
        <v>34</v>
      </c>
      <c r="D362" s="17" t="s">
        <v>730</v>
      </c>
      <c r="E362" s="17" t="s">
        <v>731</v>
      </c>
      <c r="F362" s="17">
        <v>73.25</v>
      </c>
      <c r="G362" s="17">
        <v>16463</v>
      </c>
      <c r="H362" s="17">
        <v>88.5</v>
      </c>
      <c r="I362" s="17">
        <v>6176</v>
      </c>
      <c r="J362" s="17">
        <v>81.5</v>
      </c>
      <c r="K362" s="17">
        <v>7394</v>
      </c>
      <c r="L362" s="17">
        <v>48</v>
      </c>
      <c r="M362" s="17">
        <v>4355</v>
      </c>
      <c r="N362" s="17"/>
      <c r="O362" s="17"/>
      <c r="P362" s="17">
        <v>64</v>
      </c>
      <c r="Q362" s="17">
        <v>7304</v>
      </c>
      <c r="R362" s="17">
        <v>78</v>
      </c>
      <c r="S362" s="17">
        <v>2906</v>
      </c>
      <c r="T362" s="17"/>
      <c r="U362" s="17"/>
      <c r="V362" s="17"/>
      <c r="W362" s="17"/>
      <c r="X362" s="15">
        <v>243.25</v>
      </c>
      <c r="Y362" s="17">
        <v>622</v>
      </c>
      <c r="Z362" s="17">
        <v>433.25</v>
      </c>
      <c r="AA362" s="17">
        <v>7277</v>
      </c>
      <c r="AB362" s="12">
        <v>593</v>
      </c>
    </row>
    <row r="363" ht="14.25" spans="1:28">
      <c r="A363" s="13">
        <v>361</v>
      </c>
      <c r="B363" s="15">
        <v>8</v>
      </c>
      <c r="C363" s="16">
        <v>35</v>
      </c>
      <c r="D363" s="17" t="s">
        <v>732</v>
      </c>
      <c r="E363" s="17" t="s">
        <v>733</v>
      </c>
      <c r="F363" s="17">
        <v>108</v>
      </c>
      <c r="G363" s="17">
        <v>736</v>
      </c>
      <c r="H363" s="17">
        <v>95</v>
      </c>
      <c r="I363" s="17">
        <v>4735</v>
      </c>
      <c r="J363" s="17">
        <v>92</v>
      </c>
      <c r="K363" s="17">
        <v>4787</v>
      </c>
      <c r="L363" s="17">
        <v>42</v>
      </c>
      <c r="M363" s="17">
        <v>5731</v>
      </c>
      <c r="N363" s="17"/>
      <c r="O363" s="17"/>
      <c r="P363" s="17">
        <v>81</v>
      </c>
      <c r="Q363" s="17">
        <v>2079</v>
      </c>
      <c r="R363" s="17">
        <v>79</v>
      </c>
      <c r="S363" s="17">
        <v>2629</v>
      </c>
      <c r="T363" s="17"/>
      <c r="U363" s="17"/>
      <c r="V363" s="17"/>
      <c r="W363" s="17"/>
      <c r="X363" s="15">
        <v>295</v>
      </c>
      <c r="Y363" s="17">
        <v>314</v>
      </c>
      <c r="Z363" s="17">
        <v>497</v>
      </c>
      <c r="AA363" s="17">
        <v>3380</v>
      </c>
      <c r="AB363" s="12">
        <v>345</v>
      </c>
    </row>
    <row r="364" ht="14.25" spans="1:28">
      <c r="A364" s="13">
        <v>362</v>
      </c>
      <c r="B364" s="15">
        <v>8</v>
      </c>
      <c r="C364" s="16">
        <v>36</v>
      </c>
      <c r="D364" s="17" t="s">
        <v>734</v>
      </c>
      <c r="E364" s="17" t="s">
        <v>735</v>
      </c>
      <c r="F364" s="17">
        <v>93.5</v>
      </c>
      <c r="G364" s="17">
        <v>7127</v>
      </c>
      <c r="H364" s="17">
        <v>98</v>
      </c>
      <c r="I364" s="17">
        <v>4147</v>
      </c>
      <c r="J364" s="17">
        <v>97.25</v>
      </c>
      <c r="K364" s="17">
        <v>3624</v>
      </c>
      <c r="L364" s="17">
        <v>56</v>
      </c>
      <c r="M364" s="17">
        <v>2878</v>
      </c>
      <c r="N364" s="17"/>
      <c r="O364" s="17"/>
      <c r="P364" s="17">
        <v>68</v>
      </c>
      <c r="Q364" s="17">
        <v>6016</v>
      </c>
      <c r="R364" s="17">
        <v>70</v>
      </c>
      <c r="S364" s="17">
        <v>5497</v>
      </c>
      <c r="T364" s="17"/>
      <c r="U364" s="17"/>
      <c r="V364" s="17"/>
      <c r="W364" s="17"/>
      <c r="X364" s="15">
        <v>288.75</v>
      </c>
      <c r="Y364" s="17">
        <v>375</v>
      </c>
      <c r="Z364" s="17">
        <v>482.75</v>
      </c>
      <c r="AA364" s="17">
        <v>4122</v>
      </c>
      <c r="AB364" s="12">
        <v>409</v>
      </c>
    </row>
    <row r="365" ht="14.25" spans="1:28">
      <c r="A365" s="13">
        <v>363</v>
      </c>
      <c r="B365" s="15">
        <v>8</v>
      </c>
      <c r="C365" s="16">
        <v>37</v>
      </c>
      <c r="D365" s="17" t="s">
        <v>736</v>
      </c>
      <c r="E365" s="17" t="s">
        <v>737</v>
      </c>
      <c r="F365" s="17">
        <v>104</v>
      </c>
      <c r="G365" s="17">
        <v>1709</v>
      </c>
      <c r="H365" s="17">
        <v>70</v>
      </c>
      <c r="I365" s="17">
        <v>9977</v>
      </c>
      <c r="J365" s="17">
        <v>81.5</v>
      </c>
      <c r="K365" s="17">
        <v>7394</v>
      </c>
      <c r="L365" s="17">
        <v>36.5</v>
      </c>
      <c r="M365" s="17">
        <v>7270</v>
      </c>
      <c r="N365" s="17"/>
      <c r="O365" s="17"/>
      <c r="P365" s="17">
        <v>81</v>
      </c>
      <c r="Q365" s="17">
        <v>2079</v>
      </c>
      <c r="R365" s="17">
        <v>62</v>
      </c>
      <c r="S365" s="17">
        <v>8006</v>
      </c>
      <c r="T365" s="17"/>
      <c r="U365" s="17"/>
      <c r="V365" s="17"/>
      <c r="W365" s="17"/>
      <c r="X365" s="15">
        <v>255.5</v>
      </c>
      <c r="Y365" s="17">
        <v>595</v>
      </c>
      <c r="Z365" s="17">
        <v>435</v>
      </c>
      <c r="AA365" s="17">
        <v>7153</v>
      </c>
      <c r="AB365" s="12">
        <v>586</v>
      </c>
    </row>
    <row r="366" ht="14.25" spans="1:28">
      <c r="A366" s="13">
        <v>364</v>
      </c>
      <c r="B366" s="15">
        <v>8</v>
      </c>
      <c r="C366" s="16">
        <v>38</v>
      </c>
      <c r="D366" s="17" t="s">
        <v>738</v>
      </c>
      <c r="E366" s="17" t="s">
        <v>739</v>
      </c>
      <c r="F366" s="17">
        <v>88</v>
      </c>
      <c r="G366" s="17">
        <v>10604</v>
      </c>
      <c r="H366" s="17">
        <v>93</v>
      </c>
      <c r="I366" s="17">
        <v>5192</v>
      </c>
      <c r="J366" s="17">
        <v>79</v>
      </c>
      <c r="K366" s="17">
        <v>8048</v>
      </c>
      <c r="L366" s="17">
        <v>44</v>
      </c>
      <c r="M366" s="17">
        <v>5222</v>
      </c>
      <c r="N366" s="17"/>
      <c r="O366" s="17"/>
      <c r="P366" s="17">
        <v>80</v>
      </c>
      <c r="Q366" s="17">
        <v>2333</v>
      </c>
      <c r="R366" s="17">
        <v>82</v>
      </c>
      <c r="S366" s="17">
        <v>1915</v>
      </c>
      <c r="T366" s="17"/>
      <c r="U366" s="17"/>
      <c r="V366" s="17"/>
      <c r="W366" s="17"/>
      <c r="X366" s="15">
        <v>260</v>
      </c>
      <c r="Y366" s="17">
        <v>583</v>
      </c>
      <c r="Z366" s="17">
        <v>466</v>
      </c>
      <c r="AA366" s="17">
        <v>5096</v>
      </c>
      <c r="AB366" s="12">
        <v>482</v>
      </c>
    </row>
    <row r="367" ht="14.25" spans="1:28">
      <c r="A367" s="13">
        <v>365</v>
      </c>
      <c r="B367" s="15">
        <v>8</v>
      </c>
      <c r="C367" s="16">
        <v>39</v>
      </c>
      <c r="D367" s="17" t="s">
        <v>740</v>
      </c>
      <c r="E367" s="17" t="s">
        <v>741</v>
      </c>
      <c r="F367" s="17">
        <v>103</v>
      </c>
      <c r="G367" s="17">
        <v>2094</v>
      </c>
      <c r="H367" s="17">
        <v>100</v>
      </c>
      <c r="I367" s="17">
        <v>3741</v>
      </c>
      <c r="J367" s="17">
        <v>111</v>
      </c>
      <c r="K367" s="17">
        <v>1337</v>
      </c>
      <c r="L367" s="17">
        <v>61.5</v>
      </c>
      <c r="M367" s="17">
        <v>1929</v>
      </c>
      <c r="N367" s="17"/>
      <c r="O367" s="17"/>
      <c r="P367" s="17">
        <v>76</v>
      </c>
      <c r="Q367" s="17">
        <v>3515</v>
      </c>
      <c r="R367" s="17">
        <v>88</v>
      </c>
      <c r="S367" s="17">
        <v>601</v>
      </c>
      <c r="T367" s="17"/>
      <c r="U367" s="17"/>
      <c r="V367" s="17"/>
      <c r="W367" s="17"/>
      <c r="X367" s="15">
        <v>314</v>
      </c>
      <c r="Y367" s="17">
        <v>157</v>
      </c>
      <c r="Z367" s="17">
        <v>539.5</v>
      </c>
      <c r="AA367" s="17">
        <v>1641</v>
      </c>
      <c r="AB367" s="12">
        <v>134</v>
      </c>
    </row>
    <row r="368" ht="14.25" spans="1:28">
      <c r="A368" s="13">
        <v>366</v>
      </c>
      <c r="B368" s="15">
        <v>8</v>
      </c>
      <c r="C368" s="16">
        <v>40</v>
      </c>
      <c r="D368" s="17" t="s">
        <v>742</v>
      </c>
      <c r="E368" s="17" t="s">
        <v>743</v>
      </c>
      <c r="F368" s="17">
        <v>104.25</v>
      </c>
      <c r="G368" s="17">
        <v>1691</v>
      </c>
      <c r="H368" s="17">
        <v>121</v>
      </c>
      <c r="I368" s="17">
        <v>621</v>
      </c>
      <c r="J368" s="17">
        <v>95.75</v>
      </c>
      <c r="K368" s="17">
        <v>3946</v>
      </c>
      <c r="L368" s="17">
        <v>61.5</v>
      </c>
      <c r="M368" s="17">
        <v>1929</v>
      </c>
      <c r="N368" s="17"/>
      <c r="O368" s="17"/>
      <c r="P368" s="17">
        <v>84</v>
      </c>
      <c r="Q368" s="17">
        <v>1443</v>
      </c>
      <c r="R368" s="17">
        <v>67</v>
      </c>
      <c r="S368" s="17">
        <v>6298</v>
      </c>
      <c r="T368" s="17"/>
      <c r="U368" s="17"/>
      <c r="V368" s="17"/>
      <c r="W368" s="17"/>
      <c r="X368" s="15">
        <v>321</v>
      </c>
      <c r="Y368" s="17">
        <v>108</v>
      </c>
      <c r="Z368" s="17">
        <v>533.5</v>
      </c>
      <c r="AA368" s="17">
        <v>1821</v>
      </c>
      <c r="AB368" s="12">
        <v>154</v>
      </c>
    </row>
    <row r="369" ht="14.25" spans="1:28">
      <c r="A369" s="13">
        <v>367</v>
      </c>
      <c r="B369" s="15">
        <v>8</v>
      </c>
      <c r="C369" s="16">
        <v>41</v>
      </c>
      <c r="D369" s="17" t="s">
        <v>744</v>
      </c>
      <c r="E369" s="17" t="s">
        <v>745</v>
      </c>
      <c r="F369" s="17">
        <v>93</v>
      </c>
      <c r="G369" s="17">
        <v>7407</v>
      </c>
      <c r="H369" s="17">
        <v>77.5</v>
      </c>
      <c r="I369" s="17">
        <v>8540</v>
      </c>
      <c r="J369" s="17">
        <v>88.5</v>
      </c>
      <c r="K369" s="17">
        <v>5628</v>
      </c>
      <c r="L369" s="17">
        <v>44</v>
      </c>
      <c r="M369" s="17">
        <v>5222</v>
      </c>
      <c r="N369" s="17"/>
      <c r="O369" s="17"/>
      <c r="P369" s="17">
        <v>58</v>
      </c>
      <c r="Q369" s="17">
        <v>9299</v>
      </c>
      <c r="R369" s="17">
        <v>63</v>
      </c>
      <c r="S369" s="17">
        <v>7638</v>
      </c>
      <c r="T369" s="17"/>
      <c r="U369" s="17"/>
      <c r="V369" s="17"/>
      <c r="W369" s="17"/>
      <c r="X369" s="15">
        <v>259</v>
      </c>
      <c r="Y369" s="17">
        <v>585</v>
      </c>
      <c r="Z369" s="17">
        <v>424</v>
      </c>
      <c r="AA369" s="17">
        <v>7921</v>
      </c>
      <c r="AB369" s="12">
        <v>616</v>
      </c>
    </row>
    <row r="370" ht="14.25" spans="1:28">
      <c r="A370" s="13">
        <v>368</v>
      </c>
      <c r="B370" s="15">
        <v>8</v>
      </c>
      <c r="C370" s="16">
        <v>42</v>
      </c>
      <c r="D370" s="17" t="s">
        <v>746</v>
      </c>
      <c r="E370" s="17" t="s">
        <v>747</v>
      </c>
      <c r="F370" s="17">
        <v>100.5</v>
      </c>
      <c r="G370" s="17">
        <v>3131</v>
      </c>
      <c r="H370" s="17">
        <v>111.5</v>
      </c>
      <c r="I370" s="17">
        <v>1692</v>
      </c>
      <c r="J370" s="17">
        <v>72</v>
      </c>
      <c r="K370" s="17">
        <v>9847</v>
      </c>
      <c r="L370" s="17">
        <v>67</v>
      </c>
      <c r="M370" s="17">
        <v>1188</v>
      </c>
      <c r="N370" s="17"/>
      <c r="O370" s="17"/>
      <c r="P370" s="17">
        <v>86</v>
      </c>
      <c r="Q370" s="17">
        <v>1052</v>
      </c>
      <c r="R370" s="17">
        <v>88</v>
      </c>
      <c r="S370" s="17">
        <v>601</v>
      </c>
      <c r="T370" s="17"/>
      <c r="U370" s="17"/>
      <c r="V370" s="17"/>
      <c r="W370" s="17"/>
      <c r="X370" s="15">
        <v>284</v>
      </c>
      <c r="Y370" s="17">
        <v>408</v>
      </c>
      <c r="Z370" s="17">
        <v>525</v>
      </c>
      <c r="AA370" s="17">
        <v>2137</v>
      </c>
      <c r="AB370" s="12">
        <v>186</v>
      </c>
    </row>
    <row r="371" ht="14.25" spans="1:28">
      <c r="A371" s="13">
        <v>369</v>
      </c>
      <c r="B371" s="15">
        <v>8</v>
      </c>
      <c r="C371" s="16">
        <v>43</v>
      </c>
      <c r="D371" s="17" t="s">
        <v>748</v>
      </c>
      <c r="E371" s="17" t="s">
        <v>749</v>
      </c>
      <c r="F371" s="17">
        <v>90.5</v>
      </c>
      <c r="G371" s="17">
        <v>8999</v>
      </c>
      <c r="H371" s="17">
        <v>82.5</v>
      </c>
      <c r="I371" s="17">
        <v>7529</v>
      </c>
      <c r="J371" s="17">
        <v>94.5</v>
      </c>
      <c r="K371" s="17">
        <v>4208</v>
      </c>
      <c r="L371" s="17">
        <v>51</v>
      </c>
      <c r="M371" s="17">
        <v>3730</v>
      </c>
      <c r="N371" s="17"/>
      <c r="O371" s="17"/>
      <c r="P371" s="17">
        <v>61</v>
      </c>
      <c r="Q371" s="17">
        <v>8358</v>
      </c>
      <c r="R371" s="17">
        <v>55</v>
      </c>
      <c r="S371" s="17">
        <v>10186</v>
      </c>
      <c r="T371" s="17"/>
      <c r="U371" s="17"/>
      <c r="V371" s="17"/>
      <c r="W371" s="17"/>
      <c r="X371" s="15">
        <v>267.5</v>
      </c>
      <c r="Y371" s="17">
        <v>543</v>
      </c>
      <c r="Z371" s="17">
        <v>434.5</v>
      </c>
      <c r="AA371" s="17">
        <v>7170</v>
      </c>
      <c r="AB371" s="12">
        <v>588</v>
      </c>
    </row>
    <row r="372" ht="14.25" spans="1:28">
      <c r="A372" s="13">
        <v>370</v>
      </c>
      <c r="B372" s="15">
        <v>8</v>
      </c>
      <c r="C372" s="16">
        <v>44</v>
      </c>
      <c r="D372" s="17" t="s">
        <v>750</v>
      </c>
      <c r="E372" s="17" t="s">
        <v>751</v>
      </c>
      <c r="F372" s="17">
        <v>106.25</v>
      </c>
      <c r="G372" s="17">
        <v>1151</v>
      </c>
      <c r="H372" s="17">
        <v>58</v>
      </c>
      <c r="I372" s="17">
        <v>12196</v>
      </c>
      <c r="J372" s="17">
        <v>49.25</v>
      </c>
      <c r="K372" s="17">
        <v>14103</v>
      </c>
      <c r="L372" s="17">
        <v>39</v>
      </c>
      <c r="M372" s="17">
        <v>6535</v>
      </c>
      <c r="N372" s="17"/>
      <c r="O372" s="17"/>
      <c r="P372" s="17">
        <v>60</v>
      </c>
      <c r="Q372" s="17">
        <v>8673</v>
      </c>
      <c r="R372" s="17">
        <v>64</v>
      </c>
      <c r="S372" s="17">
        <v>7440</v>
      </c>
      <c r="T372" s="17"/>
      <c r="U372" s="17"/>
      <c r="V372" s="17"/>
      <c r="W372" s="17"/>
      <c r="X372" s="15">
        <v>213.5</v>
      </c>
      <c r="Y372" s="17">
        <v>658</v>
      </c>
      <c r="Z372" s="17">
        <v>376.5</v>
      </c>
      <c r="AA372" s="17">
        <v>11265</v>
      </c>
      <c r="AB372" s="12">
        <v>654</v>
      </c>
    </row>
    <row r="373" ht="14.25" spans="1:28">
      <c r="A373" s="13">
        <v>371</v>
      </c>
      <c r="B373" s="15">
        <v>8</v>
      </c>
      <c r="C373" s="16">
        <v>45</v>
      </c>
      <c r="D373" s="17" t="s">
        <v>752</v>
      </c>
      <c r="E373" s="17" t="s">
        <v>753</v>
      </c>
      <c r="F373" s="17">
        <v>87</v>
      </c>
      <c r="G373" s="17">
        <v>11216</v>
      </c>
      <c r="H373" s="17">
        <v>83.5</v>
      </c>
      <c r="I373" s="17">
        <v>7321</v>
      </c>
      <c r="J373" s="17">
        <v>61</v>
      </c>
      <c r="K373" s="17">
        <v>12262</v>
      </c>
      <c r="L373" s="17">
        <v>33.5</v>
      </c>
      <c r="M373" s="17">
        <v>8240</v>
      </c>
      <c r="N373" s="17"/>
      <c r="O373" s="17"/>
      <c r="P373" s="17">
        <v>52</v>
      </c>
      <c r="Q373" s="17">
        <v>10512</v>
      </c>
      <c r="R373" s="17">
        <v>71</v>
      </c>
      <c r="S373" s="17">
        <v>5151</v>
      </c>
      <c r="T373" s="17"/>
      <c r="U373" s="17"/>
      <c r="V373" s="17"/>
      <c r="W373" s="17"/>
      <c r="X373" s="15">
        <v>231.5</v>
      </c>
      <c r="Y373" s="17">
        <v>645</v>
      </c>
      <c r="Z373" s="17">
        <v>388</v>
      </c>
      <c r="AA373" s="17">
        <v>10517</v>
      </c>
      <c r="AB373" s="12">
        <v>646</v>
      </c>
    </row>
    <row r="374" ht="14.25" spans="1:28">
      <c r="A374" s="13">
        <v>372</v>
      </c>
      <c r="B374" s="15">
        <v>8</v>
      </c>
      <c r="C374" s="16">
        <v>46</v>
      </c>
      <c r="D374" s="17" t="s">
        <v>754</v>
      </c>
      <c r="E374" s="17" t="s">
        <v>755</v>
      </c>
      <c r="F374" s="17">
        <v>86.5</v>
      </c>
      <c r="G374" s="17">
        <v>11527</v>
      </c>
      <c r="H374" s="17">
        <v>124</v>
      </c>
      <c r="I374" s="17">
        <v>418</v>
      </c>
      <c r="J374" s="17">
        <v>79.75</v>
      </c>
      <c r="K374" s="17">
        <v>7889</v>
      </c>
      <c r="L374" s="17">
        <v>65.5</v>
      </c>
      <c r="M374" s="17">
        <v>1373</v>
      </c>
      <c r="N374" s="17"/>
      <c r="O374" s="17"/>
      <c r="P374" s="17">
        <v>87</v>
      </c>
      <c r="Q374" s="17">
        <v>681</v>
      </c>
      <c r="R374" s="17">
        <v>91</v>
      </c>
      <c r="S374" s="17">
        <v>151</v>
      </c>
      <c r="T374" s="17"/>
      <c r="U374" s="17"/>
      <c r="V374" s="17"/>
      <c r="W374" s="17"/>
      <c r="X374" s="15">
        <v>290.25</v>
      </c>
      <c r="Y374" s="17">
        <v>368</v>
      </c>
      <c r="Z374" s="17">
        <v>533.75</v>
      </c>
      <c r="AA374" s="17">
        <v>1814</v>
      </c>
      <c r="AB374" s="12">
        <v>153</v>
      </c>
    </row>
    <row r="375" ht="14.25" spans="1:28">
      <c r="A375" s="13">
        <v>373</v>
      </c>
      <c r="B375" s="15">
        <v>8</v>
      </c>
      <c r="C375" s="16">
        <v>47</v>
      </c>
      <c r="D375" s="17" t="s">
        <v>756</v>
      </c>
      <c r="E375" s="17" t="s">
        <v>757</v>
      </c>
      <c r="F375" s="17">
        <v>94.5</v>
      </c>
      <c r="G375" s="17">
        <v>6496</v>
      </c>
      <c r="H375" s="17">
        <v>89</v>
      </c>
      <c r="I375" s="17">
        <v>6077</v>
      </c>
      <c r="J375" s="17">
        <v>91.25</v>
      </c>
      <c r="K375" s="17">
        <v>4978</v>
      </c>
      <c r="L375" s="17">
        <v>55.5</v>
      </c>
      <c r="M375" s="17">
        <v>2964</v>
      </c>
      <c r="N375" s="17"/>
      <c r="O375" s="17"/>
      <c r="P375" s="17">
        <v>70</v>
      </c>
      <c r="Q375" s="17">
        <v>5445</v>
      </c>
      <c r="R375" s="17">
        <v>66</v>
      </c>
      <c r="S375" s="17">
        <v>6674</v>
      </c>
      <c r="T375" s="17"/>
      <c r="U375" s="17"/>
      <c r="V375" s="17"/>
      <c r="W375" s="17"/>
      <c r="X375" s="15">
        <v>274.75</v>
      </c>
      <c r="Y375" s="17">
        <v>501</v>
      </c>
      <c r="Z375" s="17">
        <v>466.25</v>
      </c>
      <c r="AA375" s="17">
        <v>5079</v>
      </c>
      <c r="AB375" s="12">
        <v>480</v>
      </c>
    </row>
    <row r="376" ht="14.25" spans="1:28">
      <c r="A376" s="13">
        <v>374</v>
      </c>
      <c r="B376" s="15">
        <v>8</v>
      </c>
      <c r="C376" s="16">
        <v>48</v>
      </c>
      <c r="D376" s="17" t="s">
        <v>758</v>
      </c>
      <c r="E376" s="17" t="s">
        <v>759</v>
      </c>
      <c r="F376" s="17">
        <v>100.5</v>
      </c>
      <c r="G376" s="17">
        <v>3131</v>
      </c>
      <c r="H376" s="17">
        <v>85.5</v>
      </c>
      <c r="I376" s="17">
        <v>6851</v>
      </c>
      <c r="J376" s="17">
        <v>115</v>
      </c>
      <c r="K376" s="17">
        <v>911</v>
      </c>
      <c r="L376" s="17">
        <v>43</v>
      </c>
      <c r="M376" s="17">
        <v>5463</v>
      </c>
      <c r="N376" s="17"/>
      <c r="O376" s="17"/>
      <c r="P376" s="17">
        <v>79</v>
      </c>
      <c r="Q376" s="17">
        <v>2632</v>
      </c>
      <c r="R376" s="17">
        <v>65</v>
      </c>
      <c r="S376" s="17">
        <v>7060</v>
      </c>
      <c r="T376" s="17"/>
      <c r="U376" s="17"/>
      <c r="V376" s="17"/>
      <c r="W376" s="17"/>
      <c r="X376" s="15">
        <v>301</v>
      </c>
      <c r="Y376" s="17">
        <v>271</v>
      </c>
      <c r="Z376" s="17">
        <v>488</v>
      </c>
      <c r="AA376" s="17">
        <v>3842</v>
      </c>
      <c r="AB376" s="12">
        <v>388</v>
      </c>
    </row>
    <row r="377" ht="14.25" spans="1:28">
      <c r="A377" s="13">
        <v>375</v>
      </c>
      <c r="B377" s="15">
        <v>8</v>
      </c>
      <c r="C377" s="16">
        <v>49</v>
      </c>
      <c r="D377" s="17" t="s">
        <v>760</v>
      </c>
      <c r="E377" s="17" t="s">
        <v>761</v>
      </c>
      <c r="F377" s="17">
        <v>108.5</v>
      </c>
      <c r="G377" s="17">
        <v>650</v>
      </c>
      <c r="H377" s="17">
        <v>120</v>
      </c>
      <c r="I377" s="17">
        <v>708</v>
      </c>
      <c r="J377" s="17">
        <v>115.5</v>
      </c>
      <c r="K377" s="17">
        <v>849</v>
      </c>
      <c r="L377" s="17">
        <v>66.5</v>
      </c>
      <c r="M377" s="17">
        <v>1237</v>
      </c>
      <c r="N377" s="17"/>
      <c r="O377" s="17"/>
      <c r="P377" s="17">
        <v>89</v>
      </c>
      <c r="Q377" s="17">
        <v>222</v>
      </c>
      <c r="R377" s="17">
        <v>88</v>
      </c>
      <c r="S377" s="17">
        <v>601</v>
      </c>
      <c r="T377" s="17"/>
      <c r="U377" s="17"/>
      <c r="V377" s="17"/>
      <c r="W377" s="17"/>
      <c r="X377" s="15">
        <v>344</v>
      </c>
      <c r="Y377" s="17">
        <v>20</v>
      </c>
      <c r="Z377" s="17">
        <v>587.5</v>
      </c>
      <c r="AA377" s="17">
        <v>384</v>
      </c>
      <c r="AB377" s="12">
        <v>21</v>
      </c>
    </row>
    <row r="378" ht="14.25" spans="1:28">
      <c r="A378" s="13">
        <v>376</v>
      </c>
      <c r="B378" s="15">
        <v>8</v>
      </c>
      <c r="C378" s="16">
        <v>50</v>
      </c>
      <c r="D378" s="17" t="s">
        <v>762</v>
      </c>
      <c r="E378" s="17" t="s">
        <v>763</v>
      </c>
      <c r="F378" s="17">
        <v>102.5</v>
      </c>
      <c r="G378" s="17">
        <v>2274</v>
      </c>
      <c r="H378" s="17">
        <v>110.5</v>
      </c>
      <c r="I378" s="17">
        <v>1866</v>
      </c>
      <c r="J378" s="17">
        <v>107.25</v>
      </c>
      <c r="K378" s="17">
        <v>1847</v>
      </c>
      <c r="L378" s="17">
        <v>62.5</v>
      </c>
      <c r="M378" s="17">
        <v>1781</v>
      </c>
      <c r="N378" s="17"/>
      <c r="O378" s="17"/>
      <c r="P378" s="17">
        <v>84</v>
      </c>
      <c r="Q378" s="17">
        <v>1443</v>
      </c>
      <c r="R378" s="17">
        <v>73</v>
      </c>
      <c r="S378" s="17">
        <v>4436</v>
      </c>
      <c r="T378" s="17"/>
      <c r="U378" s="17"/>
      <c r="V378" s="17"/>
      <c r="W378" s="17"/>
      <c r="X378" s="15">
        <v>320.25</v>
      </c>
      <c r="Y378" s="17">
        <v>114</v>
      </c>
      <c r="Z378" s="17">
        <v>539.75</v>
      </c>
      <c r="AA378" s="17">
        <v>1628</v>
      </c>
      <c r="AB378" s="12">
        <v>132</v>
      </c>
    </row>
    <row r="379" ht="14.25" spans="1:28">
      <c r="A379" s="13">
        <v>377</v>
      </c>
      <c r="B379" s="15">
        <v>8</v>
      </c>
      <c r="C379" s="16">
        <v>51</v>
      </c>
      <c r="D379" s="17" t="s">
        <v>764</v>
      </c>
      <c r="E379" s="17" t="s">
        <v>765</v>
      </c>
      <c r="F379" s="17">
        <v>110.5</v>
      </c>
      <c r="G379" s="17">
        <v>372</v>
      </c>
      <c r="H379" s="17">
        <v>102.5</v>
      </c>
      <c r="I379" s="17">
        <v>3278</v>
      </c>
      <c r="J379" s="17">
        <v>96.5</v>
      </c>
      <c r="K379" s="17">
        <v>3746</v>
      </c>
      <c r="L379" s="17">
        <v>39.5</v>
      </c>
      <c r="M379" s="17">
        <v>6404</v>
      </c>
      <c r="N379" s="17"/>
      <c r="O379" s="17"/>
      <c r="P379" s="17">
        <v>74</v>
      </c>
      <c r="Q379" s="17">
        <v>4168</v>
      </c>
      <c r="R379" s="17">
        <v>60</v>
      </c>
      <c r="S379" s="17">
        <v>8759</v>
      </c>
      <c r="T379" s="17"/>
      <c r="U379" s="17"/>
      <c r="V379" s="17"/>
      <c r="W379" s="17"/>
      <c r="X379" s="15">
        <v>309.5</v>
      </c>
      <c r="Y379" s="17">
        <v>197</v>
      </c>
      <c r="Z379" s="17">
        <v>483</v>
      </c>
      <c r="AA379" s="17">
        <v>4100</v>
      </c>
      <c r="AB379" s="12">
        <v>407</v>
      </c>
    </row>
    <row r="380" ht="14.25" spans="1:28">
      <c r="A380" s="13">
        <v>378</v>
      </c>
      <c r="B380" s="15">
        <v>8</v>
      </c>
      <c r="C380" s="16">
        <v>52</v>
      </c>
      <c r="D380" s="19" t="s">
        <v>766</v>
      </c>
      <c r="E380" s="17" t="s">
        <v>767</v>
      </c>
      <c r="F380" s="17">
        <v>96</v>
      </c>
      <c r="G380" s="17">
        <v>5544</v>
      </c>
      <c r="H380" s="17">
        <v>98</v>
      </c>
      <c r="I380" s="17">
        <v>4147</v>
      </c>
      <c r="J380" s="17">
        <v>82.75</v>
      </c>
      <c r="K380" s="17">
        <v>7077</v>
      </c>
      <c r="L380" s="17">
        <v>57.5</v>
      </c>
      <c r="M380" s="17">
        <v>2619</v>
      </c>
      <c r="N380" s="17"/>
      <c r="O380" s="17"/>
      <c r="P380" s="17">
        <v>69</v>
      </c>
      <c r="Q380" s="17">
        <v>5655</v>
      </c>
      <c r="R380" s="17">
        <v>72</v>
      </c>
      <c r="S380" s="17">
        <v>4793</v>
      </c>
      <c r="T380" s="17"/>
      <c r="U380" s="17"/>
      <c r="V380" s="17"/>
      <c r="W380" s="17"/>
      <c r="X380" s="15">
        <v>276.75</v>
      </c>
      <c r="Y380" s="17">
        <v>487</v>
      </c>
      <c r="Z380" s="17">
        <v>475.25</v>
      </c>
      <c r="AA380" s="17">
        <v>4533</v>
      </c>
      <c r="AB380" s="12">
        <v>437</v>
      </c>
    </row>
    <row r="381" ht="14.25" spans="1:28">
      <c r="A381" s="13">
        <v>379</v>
      </c>
      <c r="B381" s="15">
        <v>8</v>
      </c>
      <c r="C381" s="16">
        <v>53</v>
      </c>
      <c r="D381" s="17" t="s">
        <v>768</v>
      </c>
      <c r="E381" s="17" t="s">
        <v>769</v>
      </c>
      <c r="F381" s="17">
        <v>101.5</v>
      </c>
      <c r="G381" s="17">
        <v>2674</v>
      </c>
      <c r="H381" s="17">
        <v>101.5</v>
      </c>
      <c r="I381" s="17">
        <v>3477</v>
      </c>
      <c r="J381" s="17">
        <v>96</v>
      </c>
      <c r="K381" s="17">
        <v>3851</v>
      </c>
      <c r="L381" s="17">
        <v>39</v>
      </c>
      <c r="M381" s="17">
        <v>6535</v>
      </c>
      <c r="N381" s="17"/>
      <c r="O381" s="17"/>
      <c r="P381" s="17">
        <v>68</v>
      </c>
      <c r="Q381" s="17">
        <v>6016</v>
      </c>
      <c r="R381" s="17">
        <v>80</v>
      </c>
      <c r="S381" s="17">
        <v>2376</v>
      </c>
      <c r="T381" s="17"/>
      <c r="U381" s="17"/>
      <c r="V381" s="17"/>
      <c r="W381" s="17"/>
      <c r="X381" s="15">
        <v>299</v>
      </c>
      <c r="Y381" s="17">
        <v>284</v>
      </c>
      <c r="Z381" s="17">
        <v>486</v>
      </c>
      <c r="AA381" s="17">
        <v>3940</v>
      </c>
      <c r="AB381" s="12">
        <v>394</v>
      </c>
    </row>
    <row r="382" ht="14.25" spans="1:28">
      <c r="A382" s="13">
        <v>380</v>
      </c>
      <c r="B382" s="15">
        <v>8</v>
      </c>
      <c r="C382" s="16">
        <v>54</v>
      </c>
      <c r="D382" s="17" t="s">
        <v>770</v>
      </c>
      <c r="E382" s="17" t="s">
        <v>771</v>
      </c>
      <c r="F382" s="17">
        <v>107</v>
      </c>
      <c r="G382" s="17">
        <v>945</v>
      </c>
      <c r="H382" s="17">
        <v>101.5</v>
      </c>
      <c r="I382" s="17">
        <v>3477</v>
      </c>
      <c r="J382" s="17">
        <v>110</v>
      </c>
      <c r="K382" s="17">
        <v>1448</v>
      </c>
      <c r="L382" s="17">
        <v>64.5</v>
      </c>
      <c r="M382" s="17">
        <v>1506</v>
      </c>
      <c r="N382" s="17"/>
      <c r="O382" s="17"/>
      <c r="P382" s="17">
        <v>71</v>
      </c>
      <c r="Q382" s="17">
        <v>5258</v>
      </c>
      <c r="R382" s="17">
        <v>78</v>
      </c>
      <c r="S382" s="17">
        <v>2906</v>
      </c>
      <c r="T382" s="17"/>
      <c r="U382" s="17"/>
      <c r="V382" s="17"/>
      <c r="W382" s="17"/>
      <c r="X382" s="15">
        <v>318.5</v>
      </c>
      <c r="Y382" s="17">
        <v>127</v>
      </c>
      <c r="Z382" s="17">
        <v>532</v>
      </c>
      <c r="AA382" s="17">
        <v>1873</v>
      </c>
      <c r="AB382" s="12">
        <v>158</v>
      </c>
    </row>
    <row r="383" ht="14.25" spans="1:28">
      <c r="A383" s="13">
        <v>381</v>
      </c>
      <c r="B383" s="15">
        <v>8</v>
      </c>
      <c r="C383" s="16">
        <v>55</v>
      </c>
      <c r="D383" s="19" t="s">
        <v>772</v>
      </c>
      <c r="E383" s="17" t="s">
        <v>773</v>
      </c>
      <c r="F383" s="17">
        <v>95.5</v>
      </c>
      <c r="G383" s="17">
        <v>5877</v>
      </c>
      <c r="H383" s="17">
        <v>115.5</v>
      </c>
      <c r="I383" s="17">
        <v>1149</v>
      </c>
      <c r="J383" s="17">
        <v>106.5</v>
      </c>
      <c r="K383" s="17">
        <v>1929</v>
      </c>
      <c r="L383" s="17">
        <v>45.5</v>
      </c>
      <c r="M383" s="17">
        <v>4898</v>
      </c>
      <c r="N383" s="17"/>
      <c r="O383" s="17"/>
      <c r="P383" s="17">
        <v>74</v>
      </c>
      <c r="Q383" s="17">
        <v>4168</v>
      </c>
      <c r="R383" s="17">
        <v>77</v>
      </c>
      <c r="S383" s="17">
        <v>3183</v>
      </c>
      <c r="T383" s="17"/>
      <c r="U383" s="17"/>
      <c r="V383" s="17"/>
      <c r="W383" s="17"/>
      <c r="X383" s="15">
        <v>317.5</v>
      </c>
      <c r="Y383" s="17">
        <v>135</v>
      </c>
      <c r="Z383" s="17">
        <v>514</v>
      </c>
      <c r="AA383" s="17">
        <v>2591</v>
      </c>
      <c r="AB383" s="12">
        <v>249</v>
      </c>
    </row>
    <row r="384" ht="14.25" spans="1:28">
      <c r="A384" s="13">
        <v>382</v>
      </c>
      <c r="B384" s="15">
        <v>8</v>
      </c>
      <c r="C384" s="16">
        <v>58</v>
      </c>
      <c r="D384" s="17" t="s">
        <v>774</v>
      </c>
      <c r="E384" s="17" t="s">
        <v>775</v>
      </c>
      <c r="F384" s="17">
        <v>102.5</v>
      </c>
      <c r="G384" s="17">
        <v>2274</v>
      </c>
      <c r="H384" s="17">
        <v>99.5</v>
      </c>
      <c r="I384" s="17">
        <v>3847</v>
      </c>
      <c r="J384" s="17">
        <v>87</v>
      </c>
      <c r="K384" s="17">
        <v>5999</v>
      </c>
      <c r="L384" s="17">
        <v>56</v>
      </c>
      <c r="M384" s="17">
        <v>2878</v>
      </c>
      <c r="N384" s="17"/>
      <c r="O384" s="17"/>
      <c r="P384" s="17">
        <v>64</v>
      </c>
      <c r="Q384" s="17">
        <v>7304</v>
      </c>
      <c r="R384" s="17">
        <v>60</v>
      </c>
      <c r="S384" s="17">
        <v>8759</v>
      </c>
      <c r="T384" s="17"/>
      <c r="U384" s="17"/>
      <c r="V384" s="17"/>
      <c r="W384" s="17"/>
      <c r="X384" s="15">
        <v>289</v>
      </c>
      <c r="Y384" s="17">
        <v>373</v>
      </c>
      <c r="Z384" s="17">
        <v>469</v>
      </c>
      <c r="AA384" s="17">
        <v>4901</v>
      </c>
      <c r="AB384" s="12">
        <v>462</v>
      </c>
    </row>
    <row r="385" ht="14.25" spans="1:28">
      <c r="A385" s="13">
        <v>383</v>
      </c>
      <c r="B385" s="15">
        <v>8</v>
      </c>
      <c r="C385" s="16">
        <v>59</v>
      </c>
      <c r="D385" s="17" t="s">
        <v>776</v>
      </c>
      <c r="E385" s="17" t="s">
        <v>777</v>
      </c>
      <c r="F385" s="17">
        <v>100.5</v>
      </c>
      <c r="G385" s="17">
        <v>3131</v>
      </c>
      <c r="H385" s="17">
        <v>97.5</v>
      </c>
      <c r="I385" s="17">
        <v>4244</v>
      </c>
      <c r="J385" s="17">
        <v>89.75</v>
      </c>
      <c r="K385" s="17">
        <v>5344</v>
      </c>
      <c r="L385" s="17">
        <v>53.5</v>
      </c>
      <c r="M385" s="17">
        <v>3296</v>
      </c>
      <c r="N385" s="17"/>
      <c r="O385" s="17"/>
      <c r="P385" s="17">
        <v>68</v>
      </c>
      <c r="Q385" s="17">
        <v>6016</v>
      </c>
      <c r="R385" s="17">
        <v>73</v>
      </c>
      <c r="S385" s="17">
        <v>4436</v>
      </c>
      <c r="T385" s="17"/>
      <c r="U385" s="17"/>
      <c r="V385" s="17"/>
      <c r="W385" s="17"/>
      <c r="X385" s="15">
        <v>287.75</v>
      </c>
      <c r="Y385" s="17">
        <v>380</v>
      </c>
      <c r="Z385" s="17">
        <v>482.25</v>
      </c>
      <c r="AA385" s="17">
        <v>4150</v>
      </c>
      <c r="AB385" s="12">
        <v>413</v>
      </c>
    </row>
    <row r="386" ht="14.25" spans="1:28">
      <c r="A386" s="13">
        <v>384</v>
      </c>
      <c r="B386" s="15">
        <v>8</v>
      </c>
      <c r="C386" s="16">
        <v>60</v>
      </c>
      <c r="D386" s="17" t="s">
        <v>778</v>
      </c>
      <c r="E386" s="17" t="s">
        <v>779</v>
      </c>
      <c r="F386" s="17">
        <v>106.25</v>
      </c>
      <c r="G386" s="17">
        <v>1151</v>
      </c>
      <c r="H386" s="17">
        <v>123.5</v>
      </c>
      <c r="I386" s="17">
        <v>452</v>
      </c>
      <c r="J386" s="17">
        <v>84.25</v>
      </c>
      <c r="K386" s="17">
        <v>6713</v>
      </c>
      <c r="L386" s="17">
        <v>66</v>
      </c>
      <c r="M386" s="17">
        <v>1304</v>
      </c>
      <c r="N386" s="17"/>
      <c r="O386" s="17"/>
      <c r="P386" s="17">
        <v>88</v>
      </c>
      <c r="Q386" s="17">
        <v>397</v>
      </c>
      <c r="R386" s="17">
        <v>82</v>
      </c>
      <c r="S386" s="17">
        <v>1915</v>
      </c>
      <c r="T386" s="17"/>
      <c r="U386" s="17"/>
      <c r="V386" s="17"/>
      <c r="W386" s="17"/>
      <c r="X386" s="15">
        <v>314</v>
      </c>
      <c r="Y386" s="17">
        <v>157</v>
      </c>
      <c r="Z386" s="17">
        <v>550</v>
      </c>
      <c r="AA386" s="17">
        <v>1284</v>
      </c>
      <c r="AB386" s="12">
        <v>97</v>
      </c>
    </row>
    <row r="387" ht="14.25" spans="1:28">
      <c r="A387" s="13">
        <v>385</v>
      </c>
      <c r="B387" s="15">
        <v>8</v>
      </c>
      <c r="C387" s="16">
        <v>61</v>
      </c>
      <c r="D387" s="17" t="s">
        <v>780</v>
      </c>
      <c r="E387" s="17" t="s">
        <v>781</v>
      </c>
      <c r="F387" s="17">
        <v>109.5</v>
      </c>
      <c r="G387" s="17">
        <v>495</v>
      </c>
      <c r="H387" s="17">
        <v>92.5</v>
      </c>
      <c r="I387" s="17">
        <v>5299</v>
      </c>
      <c r="J387" s="17">
        <v>116</v>
      </c>
      <c r="K387" s="17">
        <v>807</v>
      </c>
      <c r="L387" s="17">
        <v>63.5</v>
      </c>
      <c r="M387" s="17">
        <v>1636</v>
      </c>
      <c r="N387" s="17"/>
      <c r="O387" s="17"/>
      <c r="P387" s="17">
        <v>79</v>
      </c>
      <c r="Q387" s="17">
        <v>2632</v>
      </c>
      <c r="R387" s="17">
        <v>92</v>
      </c>
      <c r="S387" s="17">
        <v>98</v>
      </c>
      <c r="T387" s="17"/>
      <c r="U387" s="17"/>
      <c r="V387" s="17"/>
      <c r="W387" s="17"/>
      <c r="X387" s="15">
        <v>318</v>
      </c>
      <c r="Y387" s="17">
        <v>130</v>
      </c>
      <c r="Z387" s="17">
        <v>552.5</v>
      </c>
      <c r="AA387" s="17">
        <v>1216</v>
      </c>
      <c r="AB387" s="12">
        <v>94</v>
      </c>
    </row>
    <row r="388" ht="14.25" spans="1:28">
      <c r="A388" s="13">
        <v>386</v>
      </c>
      <c r="B388" s="15">
        <v>9</v>
      </c>
      <c r="C388" s="16">
        <v>1</v>
      </c>
      <c r="D388" s="17" t="s">
        <v>782</v>
      </c>
      <c r="E388" s="17" t="s">
        <v>783</v>
      </c>
      <c r="F388" s="17">
        <v>100.5</v>
      </c>
      <c r="G388" s="17">
        <v>3131</v>
      </c>
      <c r="H388" s="17">
        <v>119.5</v>
      </c>
      <c r="I388" s="17">
        <v>753</v>
      </c>
      <c r="J388" s="17">
        <v>104.75</v>
      </c>
      <c r="K388" s="17">
        <v>2246</v>
      </c>
      <c r="L388" s="17">
        <v>79</v>
      </c>
      <c r="M388" s="17">
        <v>206</v>
      </c>
      <c r="N388" s="17"/>
      <c r="O388" s="17"/>
      <c r="P388" s="17">
        <v>90</v>
      </c>
      <c r="Q388" s="17">
        <v>119</v>
      </c>
      <c r="R388" s="17">
        <v>87</v>
      </c>
      <c r="S388" s="17">
        <v>883</v>
      </c>
      <c r="T388" s="17"/>
      <c r="U388" s="17"/>
      <c r="V388" s="17"/>
      <c r="W388" s="17"/>
      <c r="X388" s="15">
        <v>324.75</v>
      </c>
      <c r="Y388" s="17">
        <v>89</v>
      </c>
      <c r="Z388" s="17">
        <v>580.75</v>
      </c>
      <c r="AA388" s="17">
        <v>510</v>
      </c>
      <c r="AB388" s="12">
        <v>27</v>
      </c>
    </row>
    <row r="389" ht="14.25" spans="1:28">
      <c r="A389" s="13">
        <v>387</v>
      </c>
      <c r="B389" s="15">
        <v>9</v>
      </c>
      <c r="C389" s="16">
        <v>2</v>
      </c>
      <c r="D389" s="17" t="s">
        <v>784</v>
      </c>
      <c r="E389" s="17" t="s">
        <v>785</v>
      </c>
      <c r="F389" s="17">
        <v>100.5</v>
      </c>
      <c r="G389" s="17">
        <v>3131</v>
      </c>
      <c r="H389" s="17">
        <v>119.5</v>
      </c>
      <c r="I389" s="17">
        <v>753</v>
      </c>
      <c r="J389" s="17">
        <v>109.25</v>
      </c>
      <c r="K389" s="17">
        <v>1566</v>
      </c>
      <c r="L389" s="17">
        <v>73</v>
      </c>
      <c r="M389" s="17">
        <v>575</v>
      </c>
      <c r="N389" s="17"/>
      <c r="O389" s="17"/>
      <c r="P389" s="17">
        <v>81</v>
      </c>
      <c r="Q389" s="17">
        <v>2079</v>
      </c>
      <c r="R389" s="17">
        <v>89</v>
      </c>
      <c r="S389" s="17">
        <v>415</v>
      </c>
      <c r="T389" s="17"/>
      <c r="U389" s="17"/>
      <c r="V389" s="17"/>
      <c r="W389" s="17"/>
      <c r="X389" s="15">
        <v>329.25</v>
      </c>
      <c r="Y389" s="17">
        <v>72</v>
      </c>
      <c r="Z389" s="17">
        <v>572.25</v>
      </c>
      <c r="AA389" s="17">
        <v>700</v>
      </c>
      <c r="AB389" s="12">
        <v>40</v>
      </c>
    </row>
    <row r="390" ht="14.25" spans="1:28">
      <c r="A390" s="13">
        <v>388</v>
      </c>
      <c r="B390" s="15">
        <v>9</v>
      </c>
      <c r="C390" s="16">
        <v>3</v>
      </c>
      <c r="D390" s="17" t="s">
        <v>786</v>
      </c>
      <c r="E390" s="17" t="s">
        <v>787</v>
      </c>
      <c r="F390" s="17">
        <v>110.5</v>
      </c>
      <c r="G390" s="17">
        <v>372</v>
      </c>
      <c r="H390" s="17">
        <v>112</v>
      </c>
      <c r="I390" s="17">
        <v>1617</v>
      </c>
      <c r="J390" s="17">
        <v>127.5</v>
      </c>
      <c r="K390" s="17">
        <v>142</v>
      </c>
      <c r="L390" s="17">
        <v>70.5</v>
      </c>
      <c r="M390" s="17">
        <v>821</v>
      </c>
      <c r="N390" s="17"/>
      <c r="O390" s="17"/>
      <c r="P390" s="17">
        <v>86</v>
      </c>
      <c r="Q390" s="17">
        <v>1052</v>
      </c>
      <c r="R390" s="17">
        <v>88</v>
      </c>
      <c r="S390" s="17">
        <v>601</v>
      </c>
      <c r="T390" s="17"/>
      <c r="U390" s="17"/>
      <c r="V390" s="17"/>
      <c r="W390" s="17"/>
      <c r="X390" s="15">
        <v>350</v>
      </c>
      <c r="Y390" s="17">
        <v>11</v>
      </c>
      <c r="Z390" s="17">
        <v>594.5</v>
      </c>
      <c r="AA390" s="17">
        <v>287</v>
      </c>
      <c r="AB390" s="12">
        <v>16</v>
      </c>
    </row>
    <row r="391" ht="14.25" spans="1:28">
      <c r="A391" s="13">
        <v>389</v>
      </c>
      <c r="B391" s="15">
        <v>9</v>
      </c>
      <c r="C391" s="16">
        <v>4</v>
      </c>
      <c r="D391" s="17" t="s">
        <v>788</v>
      </c>
      <c r="E391" s="17" t="s">
        <v>789</v>
      </c>
      <c r="F391" s="17">
        <v>105.5</v>
      </c>
      <c r="G391" s="17">
        <v>1281</v>
      </c>
      <c r="H391" s="17">
        <v>112.5</v>
      </c>
      <c r="I391" s="17">
        <v>1543</v>
      </c>
      <c r="J391" s="17">
        <v>119</v>
      </c>
      <c r="K391" s="17">
        <v>560</v>
      </c>
      <c r="L391" s="17">
        <v>71</v>
      </c>
      <c r="M391" s="17">
        <v>762</v>
      </c>
      <c r="N391" s="17"/>
      <c r="O391" s="17"/>
      <c r="P391" s="17">
        <v>74</v>
      </c>
      <c r="Q391" s="17">
        <v>4168</v>
      </c>
      <c r="R391" s="17">
        <v>82</v>
      </c>
      <c r="S391" s="17">
        <v>1915</v>
      </c>
      <c r="T391" s="17"/>
      <c r="U391" s="17"/>
      <c r="V391" s="17"/>
      <c r="W391" s="17"/>
      <c r="X391" s="15">
        <v>337</v>
      </c>
      <c r="Y391" s="17">
        <v>37</v>
      </c>
      <c r="Z391" s="17">
        <v>564</v>
      </c>
      <c r="AA391" s="17">
        <v>894</v>
      </c>
      <c r="AB391" s="12">
        <v>61</v>
      </c>
    </row>
    <row r="392" ht="14.25" spans="1:28">
      <c r="A392" s="13">
        <v>390</v>
      </c>
      <c r="B392" s="15">
        <v>9</v>
      </c>
      <c r="C392" s="16">
        <v>5</v>
      </c>
      <c r="D392" s="17" t="s">
        <v>790</v>
      </c>
      <c r="E392" s="17" t="s">
        <v>791</v>
      </c>
      <c r="F392" s="17">
        <v>109.5</v>
      </c>
      <c r="G392" s="17">
        <v>495</v>
      </c>
      <c r="H392" s="17">
        <v>118.5</v>
      </c>
      <c r="I392" s="17">
        <v>833</v>
      </c>
      <c r="J392" s="17">
        <v>118</v>
      </c>
      <c r="K392" s="17">
        <v>642</v>
      </c>
      <c r="L392" s="17">
        <v>55</v>
      </c>
      <c r="M392" s="17">
        <v>3031</v>
      </c>
      <c r="N392" s="17"/>
      <c r="O392" s="17"/>
      <c r="P392" s="17">
        <v>73</v>
      </c>
      <c r="Q392" s="17">
        <v>4501</v>
      </c>
      <c r="R392" s="17">
        <v>86</v>
      </c>
      <c r="S392" s="17">
        <v>1176</v>
      </c>
      <c r="T392" s="17"/>
      <c r="U392" s="17"/>
      <c r="V392" s="17"/>
      <c r="W392" s="17"/>
      <c r="X392" s="15">
        <v>346</v>
      </c>
      <c r="Y392" s="17">
        <v>17</v>
      </c>
      <c r="Z392" s="17">
        <v>560</v>
      </c>
      <c r="AA392" s="17">
        <v>997</v>
      </c>
      <c r="AB392" s="12">
        <v>73</v>
      </c>
    </row>
    <row r="393" ht="14.25" spans="1:28">
      <c r="A393" s="13">
        <v>391</v>
      </c>
      <c r="B393" s="15">
        <v>9</v>
      </c>
      <c r="C393" s="16">
        <v>6</v>
      </c>
      <c r="D393" s="17" t="s">
        <v>792</v>
      </c>
      <c r="E393" s="17" t="s">
        <v>793</v>
      </c>
      <c r="F393" s="17">
        <v>95</v>
      </c>
      <c r="G393" s="17">
        <v>6168</v>
      </c>
      <c r="H393" s="17">
        <v>130.5</v>
      </c>
      <c r="I393" s="17">
        <v>122</v>
      </c>
      <c r="J393" s="17">
        <v>101</v>
      </c>
      <c r="K393" s="17">
        <v>2859</v>
      </c>
      <c r="L393" s="17">
        <v>74</v>
      </c>
      <c r="M393" s="17">
        <v>514</v>
      </c>
      <c r="N393" s="17"/>
      <c r="O393" s="17"/>
      <c r="P393" s="17">
        <v>82</v>
      </c>
      <c r="Q393" s="17">
        <v>1870</v>
      </c>
      <c r="R393" s="17">
        <v>89</v>
      </c>
      <c r="S393" s="17">
        <v>415</v>
      </c>
      <c r="T393" s="17"/>
      <c r="U393" s="17"/>
      <c r="V393" s="17"/>
      <c r="W393" s="17"/>
      <c r="X393" s="15">
        <v>326.5</v>
      </c>
      <c r="Y393" s="17">
        <v>80</v>
      </c>
      <c r="Z393" s="17">
        <v>571.5</v>
      </c>
      <c r="AA393" s="17">
        <v>713</v>
      </c>
      <c r="AB393" s="12">
        <v>43</v>
      </c>
    </row>
    <row r="394" ht="14.25" spans="1:28">
      <c r="A394" s="13">
        <v>392</v>
      </c>
      <c r="B394" s="15">
        <v>9</v>
      </c>
      <c r="C394" s="16">
        <v>7</v>
      </c>
      <c r="D394" s="17" t="s">
        <v>794</v>
      </c>
      <c r="E394" s="17" t="s">
        <v>795</v>
      </c>
      <c r="F394" s="17">
        <v>105</v>
      </c>
      <c r="G394" s="17">
        <v>1427</v>
      </c>
      <c r="H394" s="17">
        <v>115</v>
      </c>
      <c r="I394" s="17">
        <v>1213</v>
      </c>
      <c r="J394" s="17">
        <v>115.5</v>
      </c>
      <c r="K394" s="17">
        <v>849</v>
      </c>
      <c r="L394" s="17">
        <v>55</v>
      </c>
      <c r="M394" s="17">
        <v>3031</v>
      </c>
      <c r="N394" s="17"/>
      <c r="O394" s="17"/>
      <c r="P394" s="17">
        <v>81</v>
      </c>
      <c r="Q394" s="17">
        <v>2079</v>
      </c>
      <c r="R394" s="17">
        <v>82</v>
      </c>
      <c r="S394" s="17">
        <v>1915</v>
      </c>
      <c r="T394" s="17"/>
      <c r="U394" s="17"/>
      <c r="V394" s="17"/>
      <c r="W394" s="17"/>
      <c r="X394" s="15">
        <v>335.5</v>
      </c>
      <c r="Y394" s="17">
        <v>48</v>
      </c>
      <c r="Z394" s="17">
        <v>553.5</v>
      </c>
      <c r="AA394" s="17">
        <v>1181</v>
      </c>
      <c r="AB394" s="12">
        <v>91</v>
      </c>
    </row>
    <row r="395" ht="14.25" spans="1:28">
      <c r="A395" s="13">
        <v>393</v>
      </c>
      <c r="B395" s="15">
        <v>9</v>
      </c>
      <c r="C395" s="16">
        <v>8</v>
      </c>
      <c r="D395" s="17" t="s">
        <v>796</v>
      </c>
      <c r="E395" s="17" t="s">
        <v>797</v>
      </c>
      <c r="F395" s="17">
        <v>101.5</v>
      </c>
      <c r="G395" s="17">
        <v>2674</v>
      </c>
      <c r="H395" s="17">
        <v>130.5</v>
      </c>
      <c r="I395" s="17">
        <v>122</v>
      </c>
      <c r="J395" s="17">
        <v>124</v>
      </c>
      <c r="K395" s="17">
        <v>269</v>
      </c>
      <c r="L395" s="17">
        <v>76</v>
      </c>
      <c r="M395" s="17">
        <v>367</v>
      </c>
      <c r="N395" s="17"/>
      <c r="O395" s="17"/>
      <c r="P395" s="17">
        <v>89</v>
      </c>
      <c r="Q395" s="17">
        <v>222</v>
      </c>
      <c r="R395" s="17">
        <v>91</v>
      </c>
      <c r="S395" s="17">
        <v>151</v>
      </c>
      <c r="T395" s="17"/>
      <c r="U395" s="17"/>
      <c r="V395" s="17"/>
      <c r="W395" s="17"/>
      <c r="X395" s="15">
        <v>356</v>
      </c>
      <c r="Y395" s="17">
        <v>7</v>
      </c>
      <c r="Z395" s="17">
        <v>612</v>
      </c>
      <c r="AA395" s="17">
        <v>120</v>
      </c>
      <c r="AB395" s="12">
        <v>5</v>
      </c>
    </row>
    <row r="396" ht="14.25" spans="1:28">
      <c r="A396" s="13">
        <v>394</v>
      </c>
      <c r="B396" s="15">
        <v>9</v>
      </c>
      <c r="C396" s="16">
        <v>9</v>
      </c>
      <c r="D396" s="17" t="s">
        <v>798</v>
      </c>
      <c r="E396" s="17" t="s">
        <v>799</v>
      </c>
      <c r="F396" s="17">
        <v>104.5</v>
      </c>
      <c r="G396" s="17">
        <v>1551</v>
      </c>
      <c r="H396" s="17">
        <v>126.5</v>
      </c>
      <c r="I396" s="17">
        <v>273</v>
      </c>
      <c r="J396" s="17">
        <v>106</v>
      </c>
      <c r="K396" s="17">
        <v>2012</v>
      </c>
      <c r="L396" s="17">
        <v>62</v>
      </c>
      <c r="M396" s="17">
        <v>1839</v>
      </c>
      <c r="N396" s="17"/>
      <c r="O396" s="17"/>
      <c r="P396" s="17">
        <v>89</v>
      </c>
      <c r="Q396" s="17">
        <v>222</v>
      </c>
      <c r="R396" s="17">
        <v>89</v>
      </c>
      <c r="S396" s="17">
        <v>415</v>
      </c>
      <c r="T396" s="17"/>
      <c r="U396" s="17"/>
      <c r="V396" s="17"/>
      <c r="W396" s="17"/>
      <c r="X396" s="15">
        <v>337</v>
      </c>
      <c r="Y396" s="17">
        <v>37</v>
      </c>
      <c r="Z396" s="17">
        <v>577</v>
      </c>
      <c r="AA396" s="17">
        <v>583</v>
      </c>
      <c r="AB396" s="12">
        <v>33</v>
      </c>
    </row>
    <row r="397" ht="14.25" spans="1:28">
      <c r="A397" s="13">
        <v>395</v>
      </c>
      <c r="B397" s="15">
        <v>9</v>
      </c>
      <c r="C397" s="16">
        <v>10</v>
      </c>
      <c r="D397" s="17" t="s">
        <v>800</v>
      </c>
      <c r="E397" s="17" t="s">
        <v>801</v>
      </c>
      <c r="F397" s="17">
        <v>101</v>
      </c>
      <c r="G397" s="17">
        <v>2896</v>
      </c>
      <c r="H397" s="17">
        <v>119</v>
      </c>
      <c r="I397" s="17">
        <v>786</v>
      </c>
      <c r="J397" s="17">
        <v>107.25</v>
      </c>
      <c r="K397" s="17">
        <v>1847</v>
      </c>
      <c r="L397" s="17">
        <v>69.5</v>
      </c>
      <c r="M397" s="17">
        <v>899</v>
      </c>
      <c r="N397" s="17"/>
      <c r="O397" s="17"/>
      <c r="P397" s="17">
        <v>82</v>
      </c>
      <c r="Q397" s="17">
        <v>1870</v>
      </c>
      <c r="R397" s="17">
        <v>90</v>
      </c>
      <c r="S397" s="17">
        <v>255</v>
      </c>
      <c r="T397" s="17"/>
      <c r="U397" s="17"/>
      <c r="V397" s="17"/>
      <c r="W397" s="17"/>
      <c r="X397" s="15">
        <v>327.25</v>
      </c>
      <c r="Y397" s="17">
        <v>76</v>
      </c>
      <c r="Z397" s="17">
        <v>568.75</v>
      </c>
      <c r="AA397" s="17">
        <v>786</v>
      </c>
      <c r="AB397" s="12">
        <v>51</v>
      </c>
    </row>
    <row r="398" ht="14.25" spans="1:28">
      <c r="A398" s="13">
        <v>396</v>
      </c>
      <c r="B398" s="15">
        <v>9</v>
      </c>
      <c r="C398" s="16">
        <v>11</v>
      </c>
      <c r="D398" s="17" t="s">
        <v>802</v>
      </c>
      <c r="E398" s="17" t="s">
        <v>803</v>
      </c>
      <c r="F398" s="17">
        <v>104</v>
      </c>
      <c r="G398" s="17">
        <v>1709</v>
      </c>
      <c r="H398" s="17">
        <v>125.5</v>
      </c>
      <c r="I398" s="17">
        <v>333</v>
      </c>
      <c r="J398" s="17">
        <v>107.5</v>
      </c>
      <c r="K398" s="17">
        <v>1810</v>
      </c>
      <c r="L398" s="17">
        <v>76.5</v>
      </c>
      <c r="M398" s="17">
        <v>333</v>
      </c>
      <c r="N398" s="17"/>
      <c r="O398" s="17"/>
      <c r="P398" s="17">
        <v>84</v>
      </c>
      <c r="Q398" s="17">
        <v>1443</v>
      </c>
      <c r="R398" s="17">
        <v>87</v>
      </c>
      <c r="S398" s="17">
        <v>883</v>
      </c>
      <c r="T398" s="17"/>
      <c r="U398" s="17"/>
      <c r="V398" s="17"/>
      <c r="W398" s="17"/>
      <c r="X398" s="15">
        <v>337</v>
      </c>
      <c r="Y398" s="17">
        <v>37</v>
      </c>
      <c r="Z398" s="17">
        <v>584.5</v>
      </c>
      <c r="AA398" s="17">
        <v>437</v>
      </c>
      <c r="AB398" s="12">
        <v>23</v>
      </c>
    </row>
    <row r="399" ht="14.25" spans="1:28">
      <c r="A399" s="13">
        <v>397</v>
      </c>
      <c r="B399" s="15">
        <v>9</v>
      </c>
      <c r="C399" s="16">
        <v>12</v>
      </c>
      <c r="D399" s="17" t="s">
        <v>804</v>
      </c>
      <c r="E399" s="17" t="s">
        <v>805</v>
      </c>
      <c r="F399" s="17">
        <v>94</v>
      </c>
      <c r="G399" s="17">
        <v>6811</v>
      </c>
      <c r="H399" s="17">
        <v>121</v>
      </c>
      <c r="I399" s="17">
        <v>621</v>
      </c>
      <c r="J399" s="17">
        <v>102.75</v>
      </c>
      <c r="K399" s="17">
        <v>2584</v>
      </c>
      <c r="L399" s="17">
        <v>55.5</v>
      </c>
      <c r="M399" s="17">
        <v>2964</v>
      </c>
      <c r="N399" s="17"/>
      <c r="O399" s="17"/>
      <c r="P399" s="17">
        <v>60</v>
      </c>
      <c r="Q399" s="17">
        <v>8673</v>
      </c>
      <c r="R399" s="17">
        <v>91</v>
      </c>
      <c r="S399" s="17">
        <v>151</v>
      </c>
      <c r="T399" s="17"/>
      <c r="U399" s="17"/>
      <c r="V399" s="17"/>
      <c r="W399" s="17"/>
      <c r="X399" s="15">
        <v>317.75</v>
      </c>
      <c r="Y399" s="17">
        <v>133</v>
      </c>
      <c r="Z399" s="17">
        <v>524.25</v>
      </c>
      <c r="AA399" s="17">
        <v>2179</v>
      </c>
      <c r="AB399" s="12">
        <v>196</v>
      </c>
    </row>
    <row r="400" ht="14.25" spans="1:28">
      <c r="A400" s="13">
        <v>398</v>
      </c>
      <c r="B400" s="15">
        <v>9</v>
      </c>
      <c r="C400" s="16">
        <v>13</v>
      </c>
      <c r="D400" s="17" t="s">
        <v>806</v>
      </c>
      <c r="E400" s="17" t="s">
        <v>807</v>
      </c>
      <c r="F400" s="17">
        <v>108</v>
      </c>
      <c r="G400" s="17">
        <v>736</v>
      </c>
      <c r="H400" s="17">
        <v>118.5</v>
      </c>
      <c r="I400" s="17">
        <v>833</v>
      </c>
      <c r="J400" s="17">
        <v>122.5</v>
      </c>
      <c r="K400" s="17">
        <v>340</v>
      </c>
      <c r="L400" s="17">
        <v>76.5</v>
      </c>
      <c r="M400" s="17">
        <v>333</v>
      </c>
      <c r="N400" s="17"/>
      <c r="O400" s="17"/>
      <c r="P400" s="17">
        <v>84</v>
      </c>
      <c r="Q400" s="17">
        <v>1443</v>
      </c>
      <c r="R400" s="17">
        <v>84</v>
      </c>
      <c r="S400" s="17">
        <v>1490</v>
      </c>
      <c r="T400" s="17"/>
      <c r="U400" s="17"/>
      <c r="V400" s="17"/>
      <c r="W400" s="17"/>
      <c r="X400" s="15">
        <v>349</v>
      </c>
      <c r="Y400" s="17">
        <v>13</v>
      </c>
      <c r="Z400" s="17">
        <v>593.5</v>
      </c>
      <c r="AA400" s="17">
        <v>300</v>
      </c>
      <c r="AB400" s="12">
        <v>17</v>
      </c>
    </row>
    <row r="401" ht="14.25" spans="1:28">
      <c r="A401" s="13">
        <v>399</v>
      </c>
      <c r="B401" s="15">
        <v>9</v>
      </c>
      <c r="C401" s="16">
        <v>14</v>
      </c>
      <c r="D401" s="17" t="s">
        <v>808</v>
      </c>
      <c r="E401" s="17" t="s">
        <v>809</v>
      </c>
      <c r="F401" s="17">
        <v>116</v>
      </c>
      <c r="G401" s="17">
        <v>48</v>
      </c>
      <c r="H401" s="17">
        <v>123.5</v>
      </c>
      <c r="I401" s="17">
        <v>452</v>
      </c>
      <c r="J401" s="17">
        <v>117.75</v>
      </c>
      <c r="K401" s="17">
        <v>667</v>
      </c>
      <c r="L401" s="17">
        <v>84</v>
      </c>
      <c r="M401" s="17">
        <v>45</v>
      </c>
      <c r="N401" s="17"/>
      <c r="O401" s="17"/>
      <c r="P401" s="17">
        <v>90</v>
      </c>
      <c r="Q401" s="17">
        <v>119</v>
      </c>
      <c r="R401" s="17">
        <v>92</v>
      </c>
      <c r="S401" s="17">
        <v>98</v>
      </c>
      <c r="T401" s="17"/>
      <c r="U401" s="17"/>
      <c r="V401" s="17"/>
      <c r="W401" s="17"/>
      <c r="X401" s="15">
        <v>357.25</v>
      </c>
      <c r="Y401" s="17">
        <v>4</v>
      </c>
      <c r="Z401" s="17">
        <v>623.25</v>
      </c>
      <c r="AA401" s="17">
        <v>67</v>
      </c>
      <c r="AB401" s="12">
        <v>3</v>
      </c>
    </row>
    <row r="402" ht="14.25" spans="1:28">
      <c r="A402" s="13">
        <v>400</v>
      </c>
      <c r="B402" s="15">
        <v>9</v>
      </c>
      <c r="C402" s="16">
        <v>15</v>
      </c>
      <c r="D402" s="17" t="s">
        <v>810</v>
      </c>
      <c r="E402" s="17" t="s">
        <v>811</v>
      </c>
      <c r="F402" s="17">
        <v>99</v>
      </c>
      <c r="G402" s="17">
        <v>3868</v>
      </c>
      <c r="H402" s="17">
        <v>124.5</v>
      </c>
      <c r="I402" s="17">
        <v>386</v>
      </c>
      <c r="J402" s="17">
        <v>118.75</v>
      </c>
      <c r="K402" s="17">
        <v>599</v>
      </c>
      <c r="L402" s="17">
        <v>71.5</v>
      </c>
      <c r="M402" s="17">
        <v>714</v>
      </c>
      <c r="N402" s="17"/>
      <c r="O402" s="17"/>
      <c r="P402" s="17">
        <v>89</v>
      </c>
      <c r="Q402" s="17">
        <v>222</v>
      </c>
      <c r="R402" s="17">
        <v>88</v>
      </c>
      <c r="S402" s="17">
        <v>601</v>
      </c>
      <c r="T402" s="17"/>
      <c r="U402" s="17"/>
      <c r="V402" s="17"/>
      <c r="W402" s="17"/>
      <c r="X402" s="15">
        <v>342.25</v>
      </c>
      <c r="Y402" s="17">
        <v>24</v>
      </c>
      <c r="Z402" s="17">
        <v>590.75</v>
      </c>
      <c r="AA402" s="17">
        <v>340</v>
      </c>
      <c r="AB402" s="12">
        <v>19</v>
      </c>
    </row>
    <row r="403" ht="14.25" spans="1:28">
      <c r="A403" s="13">
        <v>401</v>
      </c>
      <c r="B403" s="15">
        <v>9</v>
      </c>
      <c r="C403" s="16">
        <v>16</v>
      </c>
      <c r="D403" s="17" t="s">
        <v>812</v>
      </c>
      <c r="E403" s="17" t="s">
        <v>813</v>
      </c>
      <c r="F403" s="17">
        <v>100</v>
      </c>
      <c r="G403" s="17">
        <v>3368</v>
      </c>
      <c r="H403" s="17">
        <v>120</v>
      </c>
      <c r="I403" s="17">
        <v>708</v>
      </c>
      <c r="J403" s="17">
        <v>120.25</v>
      </c>
      <c r="K403" s="17">
        <v>493</v>
      </c>
      <c r="L403" s="17">
        <v>78</v>
      </c>
      <c r="M403" s="17">
        <v>253</v>
      </c>
      <c r="N403" s="17"/>
      <c r="O403" s="17"/>
      <c r="P403" s="17">
        <v>73</v>
      </c>
      <c r="Q403" s="17">
        <v>4501</v>
      </c>
      <c r="R403" s="17">
        <v>87</v>
      </c>
      <c r="S403" s="17">
        <v>883</v>
      </c>
      <c r="T403" s="17"/>
      <c r="U403" s="17"/>
      <c r="V403" s="17"/>
      <c r="W403" s="17"/>
      <c r="X403" s="15">
        <v>340.25</v>
      </c>
      <c r="Y403" s="17">
        <v>28</v>
      </c>
      <c r="Z403" s="17">
        <v>578.25</v>
      </c>
      <c r="AA403" s="17">
        <v>560</v>
      </c>
      <c r="AB403" s="12">
        <v>30</v>
      </c>
    </row>
    <row r="404" ht="14.25" spans="1:28">
      <c r="A404" s="13">
        <v>402</v>
      </c>
      <c r="B404" s="15">
        <v>9</v>
      </c>
      <c r="C404" s="16">
        <v>17</v>
      </c>
      <c r="D404" s="17" t="s">
        <v>814</v>
      </c>
      <c r="E404" s="17" t="s">
        <v>815</v>
      </c>
      <c r="F404" s="17">
        <v>107</v>
      </c>
      <c r="G404" s="17">
        <v>945</v>
      </c>
      <c r="H404" s="17">
        <v>137</v>
      </c>
      <c r="I404" s="17">
        <v>23</v>
      </c>
      <c r="J404" s="17">
        <v>102</v>
      </c>
      <c r="K404" s="17">
        <v>2685</v>
      </c>
      <c r="L404" s="17">
        <v>77</v>
      </c>
      <c r="M404" s="17">
        <v>299</v>
      </c>
      <c r="N404" s="17"/>
      <c r="O404" s="17"/>
      <c r="P404" s="17">
        <v>92</v>
      </c>
      <c r="Q404" s="17">
        <v>36</v>
      </c>
      <c r="R404" s="17">
        <v>87</v>
      </c>
      <c r="S404" s="17">
        <v>883</v>
      </c>
      <c r="T404" s="17"/>
      <c r="U404" s="17"/>
      <c r="V404" s="17"/>
      <c r="W404" s="17"/>
      <c r="X404" s="15">
        <v>346</v>
      </c>
      <c r="Y404" s="17">
        <v>17</v>
      </c>
      <c r="Z404" s="17">
        <v>602</v>
      </c>
      <c r="AA404" s="17">
        <v>209</v>
      </c>
      <c r="AB404" s="12">
        <v>12</v>
      </c>
    </row>
    <row r="405" ht="14.25" spans="1:28">
      <c r="A405" s="13">
        <v>403</v>
      </c>
      <c r="B405" s="15">
        <v>9</v>
      </c>
      <c r="C405" s="16">
        <v>18</v>
      </c>
      <c r="D405" s="17" t="s">
        <v>816</v>
      </c>
      <c r="E405" s="17" t="s">
        <v>817</v>
      </c>
      <c r="F405" s="17">
        <v>104</v>
      </c>
      <c r="G405" s="17">
        <v>1709</v>
      </c>
      <c r="H405" s="17">
        <v>132</v>
      </c>
      <c r="I405" s="17">
        <v>93</v>
      </c>
      <c r="J405" s="17">
        <v>118</v>
      </c>
      <c r="K405" s="17">
        <v>642</v>
      </c>
      <c r="L405" s="17">
        <v>80.5</v>
      </c>
      <c r="M405" s="17">
        <v>137</v>
      </c>
      <c r="N405" s="17"/>
      <c r="O405" s="17"/>
      <c r="P405" s="17">
        <v>87</v>
      </c>
      <c r="Q405" s="17">
        <v>681</v>
      </c>
      <c r="R405" s="17">
        <v>89</v>
      </c>
      <c r="S405" s="17">
        <v>415</v>
      </c>
      <c r="T405" s="17"/>
      <c r="U405" s="17"/>
      <c r="V405" s="17"/>
      <c r="W405" s="17"/>
      <c r="X405" s="15">
        <v>354</v>
      </c>
      <c r="Y405" s="17">
        <v>9</v>
      </c>
      <c r="Z405" s="17">
        <v>610.5</v>
      </c>
      <c r="AA405" s="17">
        <v>134</v>
      </c>
      <c r="AB405" s="12">
        <v>7</v>
      </c>
    </row>
    <row r="406" ht="14.25" spans="1:28">
      <c r="A406" s="13">
        <v>404</v>
      </c>
      <c r="B406" s="15">
        <v>9</v>
      </c>
      <c r="C406" s="16">
        <v>19</v>
      </c>
      <c r="D406" s="17" t="s">
        <v>818</v>
      </c>
      <c r="E406" s="17" t="s">
        <v>819</v>
      </c>
      <c r="F406" s="17">
        <v>103.5</v>
      </c>
      <c r="G406" s="17">
        <v>1897</v>
      </c>
      <c r="H406" s="17">
        <v>117</v>
      </c>
      <c r="I406" s="17">
        <v>975</v>
      </c>
      <c r="J406" s="17">
        <v>105.25</v>
      </c>
      <c r="K406" s="17">
        <v>2156</v>
      </c>
      <c r="L406" s="17">
        <v>55.5</v>
      </c>
      <c r="M406" s="17">
        <v>2964</v>
      </c>
      <c r="N406" s="17"/>
      <c r="O406" s="17"/>
      <c r="P406" s="17">
        <v>82</v>
      </c>
      <c r="Q406" s="17">
        <v>1870</v>
      </c>
      <c r="R406" s="17">
        <v>88</v>
      </c>
      <c r="S406" s="17">
        <v>601</v>
      </c>
      <c r="T406" s="17"/>
      <c r="U406" s="17"/>
      <c r="V406" s="17"/>
      <c r="W406" s="17"/>
      <c r="X406" s="15">
        <v>325.75</v>
      </c>
      <c r="Y406" s="17">
        <v>82</v>
      </c>
      <c r="Z406" s="17">
        <v>551.25</v>
      </c>
      <c r="AA406" s="17">
        <v>1244</v>
      </c>
      <c r="AB406" s="12">
        <v>96</v>
      </c>
    </row>
    <row r="407" ht="14.25" spans="1:28">
      <c r="A407" s="13">
        <v>405</v>
      </c>
      <c r="B407" s="15">
        <v>9</v>
      </c>
      <c r="C407" s="16">
        <v>20</v>
      </c>
      <c r="D407" s="17" t="s">
        <v>820</v>
      </c>
      <c r="E407" s="17" t="s">
        <v>821</v>
      </c>
      <c r="F407" s="17">
        <v>93.5</v>
      </c>
      <c r="G407" s="17">
        <v>7127</v>
      </c>
      <c r="H407" s="17">
        <v>123</v>
      </c>
      <c r="I407" s="17">
        <v>484</v>
      </c>
      <c r="J407" s="17">
        <v>119</v>
      </c>
      <c r="K407" s="17">
        <v>560</v>
      </c>
      <c r="L407" s="17">
        <v>66.5</v>
      </c>
      <c r="M407" s="17">
        <v>1237</v>
      </c>
      <c r="N407" s="17"/>
      <c r="O407" s="17"/>
      <c r="P407" s="17">
        <v>78</v>
      </c>
      <c r="Q407" s="17">
        <v>2908</v>
      </c>
      <c r="R407" s="17">
        <v>84</v>
      </c>
      <c r="S407" s="17">
        <v>1490</v>
      </c>
      <c r="T407" s="17"/>
      <c r="U407" s="17"/>
      <c r="V407" s="17"/>
      <c r="W407" s="17"/>
      <c r="X407" s="15">
        <v>335.5</v>
      </c>
      <c r="Y407" s="17">
        <v>48</v>
      </c>
      <c r="Z407" s="17">
        <v>564</v>
      </c>
      <c r="AA407" s="17">
        <v>894</v>
      </c>
      <c r="AB407" s="12">
        <v>61</v>
      </c>
    </row>
    <row r="408" ht="14.25" spans="1:28">
      <c r="A408" s="13">
        <v>406</v>
      </c>
      <c r="B408" s="15">
        <v>9</v>
      </c>
      <c r="C408" s="16">
        <v>21</v>
      </c>
      <c r="D408" s="17" t="s">
        <v>822</v>
      </c>
      <c r="E408" s="17" t="s">
        <v>823</v>
      </c>
      <c r="F408" s="17">
        <v>103</v>
      </c>
      <c r="G408" s="17">
        <v>2094</v>
      </c>
      <c r="H408" s="17">
        <v>118.5</v>
      </c>
      <c r="I408" s="17">
        <v>833</v>
      </c>
      <c r="J408" s="17">
        <v>112.75</v>
      </c>
      <c r="K408" s="17">
        <v>1155</v>
      </c>
      <c r="L408" s="17">
        <v>59.5</v>
      </c>
      <c r="M408" s="17">
        <v>2274</v>
      </c>
      <c r="N408" s="17"/>
      <c r="O408" s="17"/>
      <c r="P408" s="17">
        <v>64</v>
      </c>
      <c r="Q408" s="17">
        <v>7304</v>
      </c>
      <c r="R408" s="17">
        <v>74</v>
      </c>
      <c r="S408" s="17">
        <v>4119</v>
      </c>
      <c r="T408" s="17"/>
      <c r="U408" s="17"/>
      <c r="V408" s="17"/>
      <c r="W408" s="17"/>
      <c r="X408" s="15">
        <v>334.25</v>
      </c>
      <c r="Y408" s="17">
        <v>52</v>
      </c>
      <c r="Z408" s="17">
        <v>531.75</v>
      </c>
      <c r="AA408" s="17">
        <v>1886</v>
      </c>
      <c r="AB408" s="12">
        <v>162</v>
      </c>
    </row>
    <row r="409" ht="14.25" spans="1:28">
      <c r="A409" s="13">
        <v>407</v>
      </c>
      <c r="B409" s="15">
        <v>9</v>
      </c>
      <c r="C409" s="16">
        <v>22</v>
      </c>
      <c r="D409" s="17" t="s">
        <v>824</v>
      </c>
      <c r="E409" s="17" t="s">
        <v>825</v>
      </c>
      <c r="F409" s="17">
        <v>100.75</v>
      </c>
      <c r="G409" s="17">
        <v>3103</v>
      </c>
      <c r="H409" s="17">
        <v>104</v>
      </c>
      <c r="I409" s="17">
        <v>2999</v>
      </c>
      <c r="J409" s="17">
        <v>117</v>
      </c>
      <c r="K409" s="17">
        <v>727</v>
      </c>
      <c r="L409" s="17">
        <v>72.5</v>
      </c>
      <c r="M409" s="17">
        <v>627</v>
      </c>
      <c r="N409" s="17"/>
      <c r="O409" s="17"/>
      <c r="P409" s="17">
        <v>89</v>
      </c>
      <c r="Q409" s="17">
        <v>222</v>
      </c>
      <c r="R409" s="17">
        <v>89</v>
      </c>
      <c r="S409" s="17">
        <v>415</v>
      </c>
      <c r="T409" s="17"/>
      <c r="U409" s="17"/>
      <c r="V409" s="17"/>
      <c r="W409" s="17"/>
      <c r="X409" s="15">
        <v>321.75</v>
      </c>
      <c r="Y409" s="17">
        <v>106</v>
      </c>
      <c r="Z409" s="17">
        <v>572.25</v>
      </c>
      <c r="AA409" s="17">
        <v>700</v>
      </c>
      <c r="AB409" s="12">
        <v>40</v>
      </c>
    </row>
    <row r="410" ht="14.25" spans="1:28">
      <c r="A410" s="13">
        <v>408</v>
      </c>
      <c r="B410" s="15">
        <v>9</v>
      </c>
      <c r="C410" s="16">
        <v>23</v>
      </c>
      <c r="D410" s="17" t="s">
        <v>826</v>
      </c>
      <c r="E410" s="17" t="s">
        <v>827</v>
      </c>
      <c r="F410" s="17">
        <v>103.25</v>
      </c>
      <c r="G410" s="17">
        <v>2074</v>
      </c>
      <c r="H410" s="17">
        <v>123.5</v>
      </c>
      <c r="I410" s="17">
        <v>452</v>
      </c>
      <c r="J410" s="17">
        <v>111.75</v>
      </c>
      <c r="K410" s="17">
        <v>1270</v>
      </c>
      <c r="L410" s="17">
        <v>77.5</v>
      </c>
      <c r="M410" s="17">
        <v>279</v>
      </c>
      <c r="N410" s="17"/>
      <c r="O410" s="17"/>
      <c r="P410" s="17">
        <v>86</v>
      </c>
      <c r="Q410" s="17">
        <v>1052</v>
      </c>
      <c r="R410" s="17">
        <v>88</v>
      </c>
      <c r="S410" s="17">
        <v>601</v>
      </c>
      <c r="T410" s="17"/>
      <c r="U410" s="17"/>
      <c r="V410" s="17"/>
      <c r="W410" s="17"/>
      <c r="X410" s="15">
        <v>338.5</v>
      </c>
      <c r="Y410" s="17">
        <v>31</v>
      </c>
      <c r="Z410" s="17">
        <v>590</v>
      </c>
      <c r="AA410" s="17">
        <v>348</v>
      </c>
      <c r="AB410" s="12">
        <v>20</v>
      </c>
    </row>
    <row r="411" ht="14.25" spans="1:28">
      <c r="A411" s="13">
        <v>409</v>
      </c>
      <c r="B411" s="15">
        <v>9</v>
      </c>
      <c r="C411" s="16">
        <v>24</v>
      </c>
      <c r="D411" s="17" t="s">
        <v>828</v>
      </c>
      <c r="E411" s="17" t="s">
        <v>829</v>
      </c>
      <c r="F411" s="17">
        <v>103</v>
      </c>
      <c r="G411" s="17">
        <v>2094</v>
      </c>
      <c r="H411" s="17">
        <v>132</v>
      </c>
      <c r="I411" s="17">
        <v>93</v>
      </c>
      <c r="J411" s="17">
        <v>122</v>
      </c>
      <c r="K411" s="17">
        <v>371</v>
      </c>
      <c r="L411" s="17">
        <v>80</v>
      </c>
      <c r="M411" s="17">
        <v>151</v>
      </c>
      <c r="N411" s="17"/>
      <c r="O411" s="17"/>
      <c r="P411" s="17">
        <v>94</v>
      </c>
      <c r="Q411" s="17">
        <v>10</v>
      </c>
      <c r="R411" s="17">
        <v>89</v>
      </c>
      <c r="S411" s="17">
        <v>415</v>
      </c>
      <c r="T411" s="17"/>
      <c r="U411" s="17"/>
      <c r="V411" s="17"/>
      <c r="W411" s="17"/>
      <c r="X411" s="15">
        <v>357</v>
      </c>
      <c r="Y411" s="17">
        <v>5</v>
      </c>
      <c r="Z411" s="17">
        <v>620</v>
      </c>
      <c r="AA411" s="17">
        <v>87</v>
      </c>
      <c r="AB411" s="12">
        <v>4</v>
      </c>
    </row>
    <row r="412" ht="14.25" spans="1:28">
      <c r="A412" s="13">
        <v>410</v>
      </c>
      <c r="B412" s="15">
        <v>9</v>
      </c>
      <c r="C412" s="16">
        <v>26</v>
      </c>
      <c r="D412" s="17" t="s">
        <v>830</v>
      </c>
      <c r="E412" s="17" t="s">
        <v>831</v>
      </c>
      <c r="F412" s="17">
        <v>108.5</v>
      </c>
      <c r="G412" s="17">
        <v>650</v>
      </c>
      <c r="H412" s="17">
        <v>130</v>
      </c>
      <c r="I412" s="17">
        <v>136</v>
      </c>
      <c r="J412" s="17">
        <v>107.5</v>
      </c>
      <c r="K412" s="17">
        <v>1810</v>
      </c>
      <c r="L412" s="17">
        <v>69.5</v>
      </c>
      <c r="M412" s="17">
        <v>899</v>
      </c>
      <c r="N412" s="17"/>
      <c r="O412" s="17"/>
      <c r="P412" s="17">
        <v>88</v>
      </c>
      <c r="Q412" s="17">
        <v>397</v>
      </c>
      <c r="R412" s="17">
        <v>89</v>
      </c>
      <c r="S412" s="17">
        <v>415</v>
      </c>
      <c r="T412" s="17"/>
      <c r="U412" s="17"/>
      <c r="V412" s="17"/>
      <c r="W412" s="17"/>
      <c r="X412" s="15">
        <v>346</v>
      </c>
      <c r="Y412" s="17">
        <v>17</v>
      </c>
      <c r="Z412" s="17">
        <v>592.5</v>
      </c>
      <c r="AA412" s="17">
        <v>316</v>
      </c>
      <c r="AB412" s="12">
        <v>18</v>
      </c>
    </row>
    <row r="413" ht="14.25" spans="1:28">
      <c r="A413" s="13">
        <v>411</v>
      </c>
      <c r="B413" s="15">
        <v>9</v>
      </c>
      <c r="C413" s="16">
        <v>27</v>
      </c>
      <c r="D413" s="17" t="s">
        <v>832</v>
      </c>
      <c r="E413" s="17" t="s">
        <v>833</v>
      </c>
      <c r="F413" s="17">
        <v>103</v>
      </c>
      <c r="G413" s="17">
        <v>2094</v>
      </c>
      <c r="H413" s="17">
        <v>128</v>
      </c>
      <c r="I413" s="17">
        <v>207</v>
      </c>
      <c r="J413" s="17">
        <v>98.5</v>
      </c>
      <c r="K413" s="17">
        <v>3338</v>
      </c>
      <c r="L413" s="17">
        <v>80.5</v>
      </c>
      <c r="M413" s="17">
        <v>137</v>
      </c>
      <c r="N413" s="17"/>
      <c r="O413" s="17"/>
      <c r="P413" s="17">
        <v>68</v>
      </c>
      <c r="Q413" s="17">
        <v>6016</v>
      </c>
      <c r="R413" s="17">
        <v>78</v>
      </c>
      <c r="S413" s="17">
        <v>2906</v>
      </c>
      <c r="T413" s="17"/>
      <c r="U413" s="17"/>
      <c r="V413" s="17"/>
      <c r="W413" s="17"/>
      <c r="X413" s="15">
        <v>329.5</v>
      </c>
      <c r="Y413" s="17">
        <v>69</v>
      </c>
      <c r="Z413" s="17">
        <v>556</v>
      </c>
      <c r="AA413" s="17">
        <v>1115</v>
      </c>
      <c r="AB413" s="12">
        <v>81</v>
      </c>
    </row>
    <row r="414" ht="14.25" spans="1:28">
      <c r="A414" s="13">
        <v>412</v>
      </c>
      <c r="B414" s="15">
        <v>9</v>
      </c>
      <c r="C414" s="16">
        <v>28</v>
      </c>
      <c r="D414" s="17" t="s">
        <v>834</v>
      </c>
      <c r="E414" s="17" t="s">
        <v>835</v>
      </c>
      <c r="F414" s="17">
        <v>102.5</v>
      </c>
      <c r="G414" s="17">
        <v>2274</v>
      </c>
      <c r="H414" s="17">
        <v>87</v>
      </c>
      <c r="I414" s="17">
        <v>6532</v>
      </c>
      <c r="J414" s="17">
        <v>82</v>
      </c>
      <c r="K414" s="17">
        <v>7249</v>
      </c>
      <c r="L414" s="17">
        <v>68.5</v>
      </c>
      <c r="M414" s="17">
        <v>1014</v>
      </c>
      <c r="N414" s="17"/>
      <c r="O414" s="17"/>
      <c r="P414" s="17">
        <v>90</v>
      </c>
      <c r="Q414" s="17">
        <v>119</v>
      </c>
      <c r="R414" s="17">
        <v>93</v>
      </c>
      <c r="S414" s="17">
        <v>50</v>
      </c>
      <c r="T414" s="17"/>
      <c r="U414" s="17"/>
      <c r="V414" s="17"/>
      <c r="W414" s="17"/>
      <c r="X414" s="15">
        <v>271.5</v>
      </c>
      <c r="Y414" s="17">
        <v>518</v>
      </c>
      <c r="Z414" s="17">
        <v>523</v>
      </c>
      <c r="AA414" s="17">
        <v>2242</v>
      </c>
      <c r="AB414" s="12">
        <v>202</v>
      </c>
    </row>
    <row r="415" ht="14.25" spans="1:28">
      <c r="A415" s="13">
        <v>413</v>
      </c>
      <c r="B415" s="15">
        <v>9</v>
      </c>
      <c r="C415" s="16">
        <v>29</v>
      </c>
      <c r="D415" s="17" t="s">
        <v>836</v>
      </c>
      <c r="E415" s="17" t="s">
        <v>837</v>
      </c>
      <c r="F415" s="17">
        <v>93.5</v>
      </c>
      <c r="G415" s="17">
        <v>7127</v>
      </c>
      <c r="H415" s="17">
        <v>116</v>
      </c>
      <c r="I415" s="17">
        <v>1095</v>
      </c>
      <c r="J415" s="17">
        <v>104</v>
      </c>
      <c r="K415" s="17">
        <v>2352</v>
      </c>
      <c r="L415" s="17">
        <v>65.5</v>
      </c>
      <c r="M415" s="17">
        <v>1373</v>
      </c>
      <c r="N415" s="17"/>
      <c r="O415" s="17"/>
      <c r="P415" s="17">
        <v>69</v>
      </c>
      <c r="Q415" s="17">
        <v>5655</v>
      </c>
      <c r="R415" s="17">
        <v>76</v>
      </c>
      <c r="S415" s="17">
        <v>3491</v>
      </c>
      <c r="T415" s="17"/>
      <c r="U415" s="17"/>
      <c r="V415" s="17"/>
      <c r="W415" s="17"/>
      <c r="X415" s="15">
        <v>313.5</v>
      </c>
      <c r="Y415" s="17">
        <v>164</v>
      </c>
      <c r="Z415" s="17">
        <v>524</v>
      </c>
      <c r="AA415" s="17">
        <v>2187</v>
      </c>
      <c r="AB415" s="12">
        <v>199</v>
      </c>
    </row>
    <row r="416" ht="14.25" spans="1:28">
      <c r="A416" s="13">
        <v>414</v>
      </c>
      <c r="B416" s="15">
        <v>9</v>
      </c>
      <c r="C416" s="16">
        <v>30</v>
      </c>
      <c r="D416" s="17" t="s">
        <v>838</v>
      </c>
      <c r="E416" s="17" t="s">
        <v>839</v>
      </c>
      <c r="F416" s="17">
        <v>101.5</v>
      </c>
      <c r="G416" s="17">
        <v>2674</v>
      </c>
      <c r="H416" s="17">
        <v>130.5</v>
      </c>
      <c r="I416" s="17">
        <v>122</v>
      </c>
      <c r="J416" s="17">
        <v>98.5</v>
      </c>
      <c r="K416" s="17">
        <v>3338</v>
      </c>
      <c r="L416" s="17">
        <v>75</v>
      </c>
      <c r="M416" s="17">
        <v>448</v>
      </c>
      <c r="N416" s="17"/>
      <c r="O416" s="17"/>
      <c r="P416" s="17">
        <v>80</v>
      </c>
      <c r="Q416" s="17">
        <v>2333</v>
      </c>
      <c r="R416" s="17">
        <v>89</v>
      </c>
      <c r="S416" s="17">
        <v>415</v>
      </c>
      <c r="T416" s="17"/>
      <c r="U416" s="17"/>
      <c r="V416" s="17"/>
      <c r="W416" s="17"/>
      <c r="X416" s="15">
        <v>330.5</v>
      </c>
      <c r="Y416" s="17">
        <v>63</v>
      </c>
      <c r="Z416" s="17">
        <v>574.5</v>
      </c>
      <c r="AA416" s="17">
        <v>638</v>
      </c>
      <c r="AB416" s="12">
        <v>36</v>
      </c>
    </row>
    <row r="417" ht="14.25" spans="1:28">
      <c r="A417" s="13">
        <v>415</v>
      </c>
      <c r="B417" s="15">
        <v>9</v>
      </c>
      <c r="C417" s="16">
        <v>31</v>
      </c>
      <c r="D417" s="17" t="s">
        <v>840</v>
      </c>
      <c r="E417" s="17" t="s">
        <v>841</v>
      </c>
      <c r="F417" s="17">
        <v>109</v>
      </c>
      <c r="G417" s="17">
        <v>567</v>
      </c>
      <c r="H417" s="17">
        <v>126</v>
      </c>
      <c r="I417" s="17">
        <v>306</v>
      </c>
      <c r="J417" s="17">
        <v>108.5</v>
      </c>
      <c r="K417" s="17">
        <v>1655</v>
      </c>
      <c r="L417" s="17">
        <v>60</v>
      </c>
      <c r="M417" s="17">
        <v>2185</v>
      </c>
      <c r="N417" s="17"/>
      <c r="O417" s="17"/>
      <c r="P417" s="17">
        <v>76</v>
      </c>
      <c r="Q417" s="17">
        <v>3515</v>
      </c>
      <c r="R417" s="17">
        <v>83</v>
      </c>
      <c r="S417" s="17">
        <v>1715</v>
      </c>
      <c r="T417" s="17"/>
      <c r="U417" s="17"/>
      <c r="V417" s="17"/>
      <c r="W417" s="17"/>
      <c r="X417" s="15">
        <v>343.5</v>
      </c>
      <c r="Y417" s="17">
        <v>21</v>
      </c>
      <c r="Z417" s="17">
        <v>562.5</v>
      </c>
      <c r="AA417" s="17">
        <v>937</v>
      </c>
      <c r="AB417" s="12">
        <v>66</v>
      </c>
    </row>
    <row r="418" ht="14.25" spans="1:28">
      <c r="A418" s="13">
        <v>416</v>
      </c>
      <c r="B418" s="15">
        <v>9</v>
      </c>
      <c r="C418" s="16">
        <v>32</v>
      </c>
      <c r="D418" s="17" t="s">
        <v>842</v>
      </c>
      <c r="E418" s="17" t="s">
        <v>843</v>
      </c>
      <c r="F418" s="17">
        <v>105.5</v>
      </c>
      <c r="G418" s="17">
        <v>1281</v>
      </c>
      <c r="H418" s="17">
        <v>130</v>
      </c>
      <c r="I418" s="17">
        <v>136</v>
      </c>
      <c r="J418" s="17">
        <v>121.5</v>
      </c>
      <c r="K418" s="17">
        <v>410</v>
      </c>
      <c r="L418" s="17">
        <v>85</v>
      </c>
      <c r="M418" s="17">
        <v>27</v>
      </c>
      <c r="N418" s="17"/>
      <c r="O418" s="17"/>
      <c r="P418" s="17">
        <v>91</v>
      </c>
      <c r="Q418" s="17">
        <v>69</v>
      </c>
      <c r="R418" s="17">
        <v>93</v>
      </c>
      <c r="S418" s="17">
        <v>50</v>
      </c>
      <c r="T418" s="17"/>
      <c r="U418" s="17"/>
      <c r="V418" s="17"/>
      <c r="W418" s="17"/>
      <c r="X418" s="15">
        <v>357</v>
      </c>
      <c r="Y418" s="17">
        <v>5</v>
      </c>
      <c r="Z418" s="17">
        <v>626</v>
      </c>
      <c r="AA418" s="17">
        <v>50</v>
      </c>
      <c r="AB418" s="12">
        <v>2</v>
      </c>
    </row>
    <row r="419" ht="14.25" spans="1:28">
      <c r="A419" s="13">
        <v>417</v>
      </c>
      <c r="B419" s="15">
        <v>9</v>
      </c>
      <c r="C419" s="16">
        <v>33</v>
      </c>
      <c r="D419" s="17" t="s">
        <v>844</v>
      </c>
      <c r="E419" s="17" t="s">
        <v>845</v>
      </c>
      <c r="F419" s="17">
        <v>98.5</v>
      </c>
      <c r="G419" s="17">
        <v>4145</v>
      </c>
      <c r="H419" s="17">
        <v>117.5</v>
      </c>
      <c r="I419" s="17">
        <v>923</v>
      </c>
      <c r="J419" s="17">
        <v>120</v>
      </c>
      <c r="K419" s="17">
        <v>503</v>
      </c>
      <c r="L419" s="17">
        <v>62</v>
      </c>
      <c r="M419" s="17">
        <v>1839</v>
      </c>
      <c r="N419" s="17"/>
      <c r="O419" s="17"/>
      <c r="P419" s="17">
        <v>87</v>
      </c>
      <c r="Q419" s="17">
        <v>681</v>
      </c>
      <c r="R419" s="17">
        <v>82</v>
      </c>
      <c r="S419" s="17">
        <v>1915</v>
      </c>
      <c r="T419" s="17"/>
      <c r="U419" s="17"/>
      <c r="V419" s="17"/>
      <c r="W419" s="17"/>
      <c r="X419" s="15">
        <v>336</v>
      </c>
      <c r="Y419" s="17">
        <v>45</v>
      </c>
      <c r="Z419" s="17">
        <v>567</v>
      </c>
      <c r="AA419" s="17">
        <v>828</v>
      </c>
      <c r="AB419" s="12">
        <v>55</v>
      </c>
    </row>
    <row r="420" ht="14.25" spans="1:28">
      <c r="A420" s="13">
        <v>418</v>
      </c>
      <c r="B420" s="15">
        <v>9</v>
      </c>
      <c r="C420" s="16">
        <v>34</v>
      </c>
      <c r="D420" s="17" t="s">
        <v>846</v>
      </c>
      <c r="E420" s="17" t="s">
        <v>847</v>
      </c>
      <c r="F420" s="17">
        <v>113.5</v>
      </c>
      <c r="G420" s="17">
        <v>139</v>
      </c>
      <c r="H420" s="17">
        <v>112</v>
      </c>
      <c r="I420" s="17">
        <v>1617</v>
      </c>
      <c r="J420" s="17">
        <v>138.75</v>
      </c>
      <c r="K420" s="17">
        <v>3</v>
      </c>
      <c r="L420" s="17">
        <v>66</v>
      </c>
      <c r="M420" s="17">
        <v>1304</v>
      </c>
      <c r="N420" s="17"/>
      <c r="O420" s="17"/>
      <c r="P420" s="17">
        <v>76</v>
      </c>
      <c r="Q420" s="17">
        <v>3515</v>
      </c>
      <c r="R420" s="17">
        <v>89</v>
      </c>
      <c r="S420" s="17">
        <v>415</v>
      </c>
      <c r="T420" s="17"/>
      <c r="U420" s="17"/>
      <c r="V420" s="17"/>
      <c r="W420" s="17"/>
      <c r="X420" s="15">
        <v>364.25</v>
      </c>
      <c r="Y420" s="17">
        <v>2</v>
      </c>
      <c r="Z420" s="17">
        <v>595.25</v>
      </c>
      <c r="AA420" s="17">
        <v>278</v>
      </c>
      <c r="AB420" s="12">
        <v>14</v>
      </c>
    </row>
    <row r="421" ht="14.25" spans="1:28">
      <c r="A421" s="13">
        <v>419</v>
      </c>
      <c r="B421" s="15">
        <v>9</v>
      </c>
      <c r="C421" s="16">
        <v>35</v>
      </c>
      <c r="D421" s="19" t="s">
        <v>848</v>
      </c>
      <c r="E421" s="17" t="s">
        <v>849</v>
      </c>
      <c r="F421" s="17">
        <v>95.5</v>
      </c>
      <c r="G421" s="17">
        <v>5877</v>
      </c>
      <c r="H421" s="17">
        <v>128</v>
      </c>
      <c r="I421" s="17">
        <v>207</v>
      </c>
      <c r="J421" s="17">
        <v>104</v>
      </c>
      <c r="K421" s="17">
        <v>2352</v>
      </c>
      <c r="L421" s="17">
        <v>69</v>
      </c>
      <c r="M421" s="17">
        <v>949</v>
      </c>
      <c r="N421" s="17"/>
      <c r="O421" s="17"/>
      <c r="P421" s="17">
        <v>86</v>
      </c>
      <c r="Q421" s="17">
        <v>1052</v>
      </c>
      <c r="R421" s="17">
        <v>75</v>
      </c>
      <c r="S421" s="17">
        <v>3790</v>
      </c>
      <c r="T421" s="17"/>
      <c r="U421" s="17"/>
      <c r="V421" s="17"/>
      <c r="W421" s="17"/>
      <c r="X421" s="15">
        <v>327.5</v>
      </c>
      <c r="Y421" s="17">
        <v>75</v>
      </c>
      <c r="Z421" s="17">
        <v>557.5</v>
      </c>
      <c r="AA421" s="17">
        <v>1065</v>
      </c>
      <c r="AB421" s="12">
        <v>78</v>
      </c>
    </row>
    <row r="422" ht="14.25" spans="1:28">
      <c r="A422" s="13">
        <v>420</v>
      </c>
      <c r="B422" s="15">
        <v>9</v>
      </c>
      <c r="C422" s="16">
        <v>36</v>
      </c>
      <c r="D422" s="17" t="s">
        <v>850</v>
      </c>
      <c r="E422" s="17" t="s">
        <v>851</v>
      </c>
      <c r="F422" s="17">
        <v>107.75</v>
      </c>
      <c r="G422" s="17">
        <v>823</v>
      </c>
      <c r="H422" s="17">
        <v>121.5</v>
      </c>
      <c r="I422" s="17">
        <v>581</v>
      </c>
      <c r="J422" s="17">
        <v>96</v>
      </c>
      <c r="K422" s="17">
        <v>3851</v>
      </c>
      <c r="L422" s="17">
        <v>64.5</v>
      </c>
      <c r="M422" s="17">
        <v>1506</v>
      </c>
      <c r="N422" s="17"/>
      <c r="O422" s="17"/>
      <c r="P422" s="17">
        <v>90</v>
      </c>
      <c r="Q422" s="17">
        <v>119</v>
      </c>
      <c r="R422" s="17">
        <v>85</v>
      </c>
      <c r="S422" s="17">
        <v>1393</v>
      </c>
      <c r="T422" s="17"/>
      <c r="U422" s="17"/>
      <c r="V422" s="17"/>
      <c r="W422" s="17"/>
      <c r="X422" s="15">
        <v>325.25</v>
      </c>
      <c r="Y422" s="17">
        <v>87</v>
      </c>
      <c r="Z422" s="17">
        <v>564.75</v>
      </c>
      <c r="AA422" s="17">
        <v>879</v>
      </c>
      <c r="AB422" s="12">
        <v>58</v>
      </c>
    </row>
    <row r="423" ht="14.25" spans="1:28">
      <c r="A423" s="13">
        <v>421</v>
      </c>
      <c r="B423" s="15">
        <v>9</v>
      </c>
      <c r="C423" s="16">
        <v>37</v>
      </c>
      <c r="D423" s="17" t="s">
        <v>852</v>
      </c>
      <c r="E423" s="17" t="s">
        <v>853</v>
      </c>
      <c r="F423" s="17">
        <v>99.5</v>
      </c>
      <c r="G423" s="17">
        <v>3607</v>
      </c>
      <c r="H423" s="17">
        <v>110.5</v>
      </c>
      <c r="I423" s="17">
        <v>1866</v>
      </c>
      <c r="J423" s="17">
        <v>119</v>
      </c>
      <c r="K423" s="17">
        <v>560</v>
      </c>
      <c r="L423" s="17">
        <v>76.5</v>
      </c>
      <c r="M423" s="17">
        <v>333</v>
      </c>
      <c r="N423" s="17"/>
      <c r="O423" s="17"/>
      <c r="P423" s="17">
        <v>78</v>
      </c>
      <c r="Q423" s="17">
        <v>2908</v>
      </c>
      <c r="R423" s="17">
        <v>92</v>
      </c>
      <c r="S423" s="17">
        <v>98</v>
      </c>
      <c r="T423" s="17"/>
      <c r="U423" s="17"/>
      <c r="V423" s="17"/>
      <c r="W423" s="17"/>
      <c r="X423" s="15">
        <v>329</v>
      </c>
      <c r="Y423" s="17">
        <v>73</v>
      </c>
      <c r="Z423" s="17">
        <v>575.5</v>
      </c>
      <c r="AA423" s="17">
        <v>607</v>
      </c>
      <c r="AB423" s="12">
        <v>35</v>
      </c>
    </row>
    <row r="424" ht="14.25" spans="1:28">
      <c r="A424" s="13">
        <v>422</v>
      </c>
      <c r="B424" s="15">
        <v>9</v>
      </c>
      <c r="C424" s="16">
        <v>38</v>
      </c>
      <c r="D424" s="17" t="s">
        <v>854</v>
      </c>
      <c r="E424" s="17" t="s">
        <v>855</v>
      </c>
      <c r="F424" s="17">
        <v>102</v>
      </c>
      <c r="G424" s="17">
        <v>2480</v>
      </c>
      <c r="H424" s="17">
        <v>125</v>
      </c>
      <c r="I424" s="17">
        <v>360</v>
      </c>
      <c r="J424" s="17">
        <v>121.25</v>
      </c>
      <c r="K424" s="17">
        <v>434</v>
      </c>
      <c r="L424" s="17">
        <v>82.5</v>
      </c>
      <c r="M424" s="17">
        <v>75</v>
      </c>
      <c r="N424" s="17"/>
      <c r="O424" s="17"/>
      <c r="P424" s="17">
        <v>80</v>
      </c>
      <c r="Q424" s="17">
        <v>2333</v>
      </c>
      <c r="R424" s="17">
        <v>84</v>
      </c>
      <c r="S424" s="17">
        <v>1490</v>
      </c>
      <c r="T424" s="17"/>
      <c r="U424" s="17"/>
      <c r="V424" s="17"/>
      <c r="W424" s="17"/>
      <c r="X424" s="15">
        <v>348.25</v>
      </c>
      <c r="Y424" s="17">
        <v>15</v>
      </c>
      <c r="Z424" s="17">
        <v>594.75</v>
      </c>
      <c r="AA424" s="17">
        <v>285</v>
      </c>
      <c r="AB424" s="12">
        <v>15</v>
      </c>
    </row>
    <row r="425" ht="14.25" spans="1:28">
      <c r="A425" s="13">
        <v>423</v>
      </c>
      <c r="B425" s="15">
        <v>9</v>
      </c>
      <c r="C425" s="16">
        <v>39</v>
      </c>
      <c r="D425" s="17" t="s">
        <v>856</v>
      </c>
      <c r="E425" s="17" t="s">
        <v>857</v>
      </c>
      <c r="F425" s="17">
        <v>116</v>
      </c>
      <c r="G425" s="17">
        <v>48</v>
      </c>
      <c r="H425" s="17">
        <v>135.5</v>
      </c>
      <c r="I425" s="17">
        <v>35</v>
      </c>
      <c r="J425" s="17">
        <v>121.5</v>
      </c>
      <c r="K425" s="17">
        <v>410</v>
      </c>
      <c r="L425" s="17">
        <v>83.5</v>
      </c>
      <c r="M425" s="17">
        <v>55</v>
      </c>
      <c r="N425" s="17"/>
      <c r="O425" s="17"/>
      <c r="P425" s="17">
        <v>92</v>
      </c>
      <c r="Q425" s="17">
        <v>36</v>
      </c>
      <c r="R425" s="17">
        <v>93</v>
      </c>
      <c r="S425" s="17">
        <v>50</v>
      </c>
      <c r="T425" s="17"/>
      <c r="U425" s="17"/>
      <c r="V425" s="17"/>
      <c r="W425" s="17"/>
      <c r="X425" s="15">
        <v>373</v>
      </c>
      <c r="Y425" s="17">
        <v>1</v>
      </c>
      <c r="Z425" s="17">
        <v>641.5</v>
      </c>
      <c r="AA425" s="17">
        <v>12</v>
      </c>
      <c r="AB425" s="12">
        <v>1</v>
      </c>
    </row>
    <row r="426" ht="14.25" spans="1:28">
      <c r="A426" s="13">
        <v>424</v>
      </c>
      <c r="B426" s="15">
        <v>9</v>
      </c>
      <c r="C426" s="16">
        <v>40</v>
      </c>
      <c r="D426" s="17" t="s">
        <v>858</v>
      </c>
      <c r="E426" s="17" t="s">
        <v>859</v>
      </c>
      <c r="F426" s="17">
        <v>95</v>
      </c>
      <c r="G426" s="17">
        <v>6168</v>
      </c>
      <c r="H426" s="17">
        <v>125.5</v>
      </c>
      <c r="I426" s="17">
        <v>333</v>
      </c>
      <c r="J426" s="17">
        <v>114.75</v>
      </c>
      <c r="K426" s="17">
        <v>938</v>
      </c>
      <c r="L426" s="17">
        <v>51.5</v>
      </c>
      <c r="M426" s="17">
        <v>3642</v>
      </c>
      <c r="N426" s="17"/>
      <c r="O426" s="17"/>
      <c r="P426" s="17">
        <v>87</v>
      </c>
      <c r="Q426" s="17">
        <v>681</v>
      </c>
      <c r="R426" s="17">
        <v>87</v>
      </c>
      <c r="S426" s="17">
        <v>883</v>
      </c>
      <c r="T426" s="17"/>
      <c r="U426" s="17"/>
      <c r="V426" s="17"/>
      <c r="W426" s="17"/>
      <c r="X426" s="15">
        <v>335.25</v>
      </c>
      <c r="Y426" s="17">
        <v>50</v>
      </c>
      <c r="Z426" s="17">
        <v>560.75</v>
      </c>
      <c r="AA426" s="17">
        <v>985</v>
      </c>
      <c r="AB426" s="12">
        <v>70</v>
      </c>
    </row>
    <row r="427" ht="14.25" spans="1:28">
      <c r="A427" s="13">
        <v>425</v>
      </c>
      <c r="B427" s="15">
        <v>9</v>
      </c>
      <c r="C427" s="16">
        <v>41</v>
      </c>
      <c r="D427" s="19" t="s">
        <v>860</v>
      </c>
      <c r="E427" s="17" t="s">
        <v>861</v>
      </c>
      <c r="F427" s="17">
        <v>100.75</v>
      </c>
      <c r="G427" s="17">
        <v>3103</v>
      </c>
      <c r="H427" s="17">
        <v>129.5</v>
      </c>
      <c r="I427" s="17">
        <v>151</v>
      </c>
      <c r="J427" s="17">
        <v>111</v>
      </c>
      <c r="K427" s="17">
        <v>1337</v>
      </c>
      <c r="L427" s="17">
        <v>76.5</v>
      </c>
      <c r="M427" s="17">
        <v>333</v>
      </c>
      <c r="N427" s="17"/>
      <c r="O427" s="17"/>
      <c r="P427" s="17">
        <v>75</v>
      </c>
      <c r="Q427" s="17">
        <v>3841</v>
      </c>
      <c r="R427" s="17">
        <v>81</v>
      </c>
      <c r="S427" s="17">
        <v>2139</v>
      </c>
      <c r="T427" s="17"/>
      <c r="U427" s="17"/>
      <c r="V427" s="17"/>
      <c r="W427" s="17"/>
      <c r="X427" s="15">
        <v>341.25</v>
      </c>
      <c r="Y427" s="17">
        <v>26</v>
      </c>
      <c r="Z427" s="17">
        <v>573.75</v>
      </c>
      <c r="AA427" s="17">
        <v>658</v>
      </c>
      <c r="AB427" s="12">
        <v>38</v>
      </c>
    </row>
    <row r="428" ht="14.25" spans="1:28">
      <c r="A428" s="13">
        <v>426</v>
      </c>
      <c r="B428" s="15">
        <v>9</v>
      </c>
      <c r="C428" s="16">
        <v>42</v>
      </c>
      <c r="D428" s="17" t="s">
        <v>862</v>
      </c>
      <c r="E428" s="17" t="s">
        <v>863</v>
      </c>
      <c r="F428" s="17">
        <v>91</v>
      </c>
      <c r="G428" s="17">
        <v>8620</v>
      </c>
      <c r="H428" s="17">
        <v>109</v>
      </c>
      <c r="I428" s="17">
        <v>2105</v>
      </c>
      <c r="J428" s="17">
        <v>120.25</v>
      </c>
      <c r="K428" s="17">
        <v>493</v>
      </c>
      <c r="L428" s="17">
        <v>66</v>
      </c>
      <c r="M428" s="17">
        <v>1304</v>
      </c>
      <c r="N428" s="17"/>
      <c r="O428" s="17"/>
      <c r="P428" s="17">
        <v>80</v>
      </c>
      <c r="Q428" s="17">
        <v>2333</v>
      </c>
      <c r="R428" s="17">
        <v>88</v>
      </c>
      <c r="S428" s="17">
        <v>601</v>
      </c>
      <c r="T428" s="17"/>
      <c r="U428" s="17"/>
      <c r="V428" s="17"/>
      <c r="W428" s="17"/>
      <c r="X428" s="15">
        <v>320.25</v>
      </c>
      <c r="Y428" s="17">
        <v>114</v>
      </c>
      <c r="Z428" s="17">
        <v>554.25</v>
      </c>
      <c r="AA428" s="17">
        <v>1157</v>
      </c>
      <c r="AB428" s="12">
        <v>87</v>
      </c>
    </row>
    <row r="429" ht="14.25" spans="1:28">
      <c r="A429" s="13">
        <v>427</v>
      </c>
      <c r="B429" s="15">
        <v>9</v>
      </c>
      <c r="C429" s="16">
        <v>43</v>
      </c>
      <c r="D429" s="17" t="s">
        <v>864</v>
      </c>
      <c r="E429" s="17" t="s">
        <v>865</v>
      </c>
      <c r="F429" s="17">
        <v>92.5</v>
      </c>
      <c r="G429" s="17">
        <v>7705</v>
      </c>
      <c r="H429" s="17">
        <v>116</v>
      </c>
      <c r="I429" s="17">
        <v>1095</v>
      </c>
      <c r="J429" s="17">
        <v>114.75</v>
      </c>
      <c r="K429" s="17">
        <v>938</v>
      </c>
      <c r="L429" s="17">
        <v>75.5</v>
      </c>
      <c r="M429" s="17">
        <v>413</v>
      </c>
      <c r="N429" s="17"/>
      <c r="O429" s="17"/>
      <c r="P429" s="17">
        <v>83</v>
      </c>
      <c r="Q429" s="17">
        <v>1643</v>
      </c>
      <c r="R429" s="17">
        <v>86</v>
      </c>
      <c r="S429" s="17">
        <v>1176</v>
      </c>
      <c r="T429" s="17"/>
      <c r="U429" s="17"/>
      <c r="V429" s="17"/>
      <c r="W429" s="17"/>
      <c r="X429" s="15">
        <v>323.25</v>
      </c>
      <c r="Y429" s="17">
        <v>97</v>
      </c>
      <c r="Z429" s="17">
        <v>567.75</v>
      </c>
      <c r="AA429" s="17">
        <v>819</v>
      </c>
      <c r="AB429" s="12">
        <v>54</v>
      </c>
    </row>
    <row r="430" ht="14.25" spans="1:28">
      <c r="A430" s="13">
        <v>428</v>
      </c>
      <c r="B430" s="15">
        <v>9</v>
      </c>
      <c r="C430" s="16">
        <v>44</v>
      </c>
      <c r="D430" s="17" t="s">
        <v>866</v>
      </c>
      <c r="E430" s="17" t="s">
        <v>867</v>
      </c>
      <c r="F430" s="17">
        <v>101</v>
      </c>
      <c r="G430" s="17">
        <v>2896</v>
      </c>
      <c r="H430" s="17">
        <v>124</v>
      </c>
      <c r="I430" s="17">
        <v>418</v>
      </c>
      <c r="J430" s="17">
        <v>98.75</v>
      </c>
      <c r="K430" s="17">
        <v>3309</v>
      </c>
      <c r="L430" s="17">
        <v>76</v>
      </c>
      <c r="M430" s="17">
        <v>367</v>
      </c>
      <c r="N430" s="17"/>
      <c r="O430" s="17"/>
      <c r="P430" s="17">
        <v>91</v>
      </c>
      <c r="Q430" s="17">
        <v>69</v>
      </c>
      <c r="R430" s="17">
        <v>95</v>
      </c>
      <c r="S430" s="17">
        <v>10</v>
      </c>
      <c r="T430" s="17"/>
      <c r="U430" s="17"/>
      <c r="V430" s="17"/>
      <c r="W430" s="17"/>
      <c r="X430" s="15">
        <v>323.75</v>
      </c>
      <c r="Y430" s="17">
        <v>93</v>
      </c>
      <c r="Z430" s="17">
        <v>585.75</v>
      </c>
      <c r="AA430" s="17">
        <v>420</v>
      </c>
      <c r="AB430" s="12">
        <v>22</v>
      </c>
    </row>
    <row r="431" ht="14.25" spans="1:28">
      <c r="A431" s="13">
        <v>429</v>
      </c>
      <c r="B431" s="15">
        <v>9</v>
      </c>
      <c r="C431" s="16">
        <v>45</v>
      </c>
      <c r="D431" s="17" t="s">
        <v>868</v>
      </c>
      <c r="E431" s="17" t="s">
        <v>869</v>
      </c>
      <c r="F431" s="17">
        <v>102.25</v>
      </c>
      <c r="G431" s="17">
        <v>2460</v>
      </c>
      <c r="H431" s="17">
        <v>110.5</v>
      </c>
      <c r="I431" s="17">
        <v>1866</v>
      </c>
      <c r="J431" s="17">
        <v>122</v>
      </c>
      <c r="K431" s="17">
        <v>371</v>
      </c>
      <c r="L431" s="17">
        <v>71.5</v>
      </c>
      <c r="M431" s="17">
        <v>714</v>
      </c>
      <c r="N431" s="17"/>
      <c r="O431" s="17"/>
      <c r="P431" s="17">
        <v>88</v>
      </c>
      <c r="Q431" s="17">
        <v>397</v>
      </c>
      <c r="R431" s="17">
        <v>83</v>
      </c>
      <c r="S431" s="17">
        <v>1715</v>
      </c>
      <c r="T431" s="17"/>
      <c r="U431" s="17"/>
      <c r="V431" s="17"/>
      <c r="W431" s="17"/>
      <c r="X431" s="15">
        <v>334.75</v>
      </c>
      <c r="Y431" s="17">
        <v>51</v>
      </c>
      <c r="Z431" s="17">
        <v>577.25</v>
      </c>
      <c r="AA431" s="17">
        <v>577</v>
      </c>
      <c r="AB431" s="12">
        <v>32</v>
      </c>
    </row>
    <row r="432" ht="14.25" spans="1:28">
      <c r="A432" s="13">
        <v>430</v>
      </c>
      <c r="B432" s="15">
        <v>9</v>
      </c>
      <c r="C432" s="16">
        <v>46</v>
      </c>
      <c r="D432" s="17" t="s">
        <v>870</v>
      </c>
      <c r="E432" s="17" t="s">
        <v>871</v>
      </c>
      <c r="F432" s="17">
        <v>110.25</v>
      </c>
      <c r="G432" s="17">
        <v>422</v>
      </c>
      <c r="H432" s="17">
        <v>134.5</v>
      </c>
      <c r="I432" s="17">
        <v>52</v>
      </c>
      <c r="J432" s="17">
        <v>114</v>
      </c>
      <c r="K432" s="17">
        <v>991</v>
      </c>
      <c r="L432" s="17">
        <v>76</v>
      </c>
      <c r="M432" s="17">
        <v>367</v>
      </c>
      <c r="N432" s="17"/>
      <c r="O432" s="17"/>
      <c r="P432" s="17">
        <v>77</v>
      </c>
      <c r="Q432" s="17">
        <v>3207</v>
      </c>
      <c r="R432" s="17">
        <v>95</v>
      </c>
      <c r="S432" s="17">
        <v>10</v>
      </c>
      <c r="T432" s="17"/>
      <c r="U432" s="17"/>
      <c r="V432" s="17"/>
      <c r="W432" s="17"/>
      <c r="X432" s="15">
        <v>358.75</v>
      </c>
      <c r="Y432" s="17">
        <v>3</v>
      </c>
      <c r="Z432" s="17">
        <v>606.75</v>
      </c>
      <c r="AA432" s="17">
        <v>166</v>
      </c>
      <c r="AB432" s="12">
        <v>9</v>
      </c>
    </row>
    <row r="433" ht="14.25" spans="1:28">
      <c r="A433" s="13">
        <v>431</v>
      </c>
      <c r="B433" s="15">
        <v>9</v>
      </c>
      <c r="C433" s="16">
        <v>47</v>
      </c>
      <c r="D433" s="17" t="s">
        <v>872</v>
      </c>
      <c r="E433" s="17" t="s">
        <v>873</v>
      </c>
      <c r="F433" s="17">
        <v>109.5</v>
      </c>
      <c r="G433" s="17">
        <v>495</v>
      </c>
      <c r="H433" s="17">
        <v>117</v>
      </c>
      <c r="I433" s="17">
        <v>975</v>
      </c>
      <c r="J433" s="17">
        <v>120</v>
      </c>
      <c r="K433" s="17">
        <v>503</v>
      </c>
      <c r="L433" s="17">
        <v>57.5</v>
      </c>
      <c r="M433" s="17">
        <v>2619</v>
      </c>
      <c r="N433" s="17"/>
      <c r="O433" s="17"/>
      <c r="P433" s="17">
        <v>77</v>
      </c>
      <c r="Q433" s="17">
        <v>3207</v>
      </c>
      <c r="R433" s="17">
        <v>88</v>
      </c>
      <c r="S433" s="17">
        <v>601</v>
      </c>
      <c r="T433" s="17"/>
      <c r="U433" s="17"/>
      <c r="V433" s="17"/>
      <c r="W433" s="17"/>
      <c r="X433" s="15">
        <v>346.5</v>
      </c>
      <c r="Y433" s="17">
        <v>16</v>
      </c>
      <c r="Z433" s="17">
        <v>569</v>
      </c>
      <c r="AA433" s="17">
        <v>776</v>
      </c>
      <c r="AB433" s="12">
        <v>50</v>
      </c>
    </row>
    <row r="434" ht="14.25" spans="1:28">
      <c r="A434" s="13">
        <v>432</v>
      </c>
      <c r="B434" s="15">
        <v>9</v>
      </c>
      <c r="C434" s="16">
        <v>48</v>
      </c>
      <c r="D434" s="17" t="s">
        <v>874</v>
      </c>
      <c r="E434" s="17" t="s">
        <v>875</v>
      </c>
      <c r="F434" s="17">
        <v>98.25</v>
      </c>
      <c r="G434" s="17">
        <v>4392</v>
      </c>
      <c r="H434" s="17">
        <v>115.5</v>
      </c>
      <c r="I434" s="17">
        <v>1149</v>
      </c>
      <c r="J434" s="17">
        <v>122</v>
      </c>
      <c r="K434" s="17">
        <v>371</v>
      </c>
      <c r="L434" s="17">
        <v>75.5</v>
      </c>
      <c r="M434" s="17">
        <v>413</v>
      </c>
      <c r="N434" s="17"/>
      <c r="O434" s="17"/>
      <c r="P434" s="17">
        <v>73</v>
      </c>
      <c r="Q434" s="17">
        <v>4501</v>
      </c>
      <c r="R434" s="17">
        <v>95</v>
      </c>
      <c r="S434" s="17">
        <v>10</v>
      </c>
      <c r="T434" s="17"/>
      <c r="U434" s="17"/>
      <c r="V434" s="17"/>
      <c r="W434" s="17"/>
      <c r="X434" s="15">
        <v>335.75</v>
      </c>
      <c r="Y434" s="17">
        <v>47</v>
      </c>
      <c r="Z434" s="17">
        <v>579.25</v>
      </c>
      <c r="AA434" s="17">
        <v>533</v>
      </c>
      <c r="AB434" s="12">
        <v>28</v>
      </c>
    </row>
    <row r="435" ht="14.25" spans="1:28">
      <c r="A435" s="13">
        <v>433</v>
      </c>
      <c r="B435" s="15">
        <v>9</v>
      </c>
      <c r="C435" s="16">
        <v>49</v>
      </c>
      <c r="D435" s="17" t="s">
        <v>876</v>
      </c>
      <c r="E435" s="17" t="s">
        <v>877</v>
      </c>
      <c r="F435" s="17">
        <v>98.5</v>
      </c>
      <c r="G435" s="17">
        <v>4145</v>
      </c>
      <c r="H435" s="17">
        <v>129</v>
      </c>
      <c r="I435" s="17">
        <v>168</v>
      </c>
      <c r="J435" s="17">
        <v>111.5</v>
      </c>
      <c r="K435" s="17">
        <v>1281</v>
      </c>
      <c r="L435" s="17">
        <v>68</v>
      </c>
      <c r="M435" s="17">
        <v>1067</v>
      </c>
      <c r="N435" s="17"/>
      <c r="O435" s="17"/>
      <c r="P435" s="17">
        <v>84</v>
      </c>
      <c r="Q435" s="17">
        <v>1443</v>
      </c>
      <c r="R435" s="17">
        <v>90</v>
      </c>
      <c r="S435" s="17">
        <v>255</v>
      </c>
      <c r="T435" s="17"/>
      <c r="U435" s="17"/>
      <c r="V435" s="17"/>
      <c r="W435" s="17"/>
      <c r="X435" s="15">
        <v>339</v>
      </c>
      <c r="Y435" s="17">
        <v>30</v>
      </c>
      <c r="Z435" s="17">
        <v>581</v>
      </c>
      <c r="AA435" s="17">
        <v>503</v>
      </c>
      <c r="AB435" s="12">
        <v>26</v>
      </c>
    </row>
    <row r="436" ht="14.25" spans="1:28">
      <c r="A436" s="13">
        <v>434</v>
      </c>
      <c r="B436" s="15">
        <v>9</v>
      </c>
      <c r="C436" s="16">
        <v>50</v>
      </c>
      <c r="D436" s="19" t="s">
        <v>878</v>
      </c>
      <c r="E436" s="17" t="s">
        <v>879</v>
      </c>
      <c r="F436" s="17">
        <v>118.5</v>
      </c>
      <c r="G436" s="17">
        <v>19</v>
      </c>
      <c r="H436" s="17">
        <v>108</v>
      </c>
      <c r="I436" s="17">
        <v>2274</v>
      </c>
      <c r="J436" s="17">
        <v>103.25</v>
      </c>
      <c r="K436" s="17">
        <v>2503</v>
      </c>
      <c r="L436" s="17">
        <v>69</v>
      </c>
      <c r="M436" s="17">
        <v>949</v>
      </c>
      <c r="N436" s="17"/>
      <c r="O436" s="17"/>
      <c r="P436" s="17">
        <v>79</v>
      </c>
      <c r="Q436" s="17">
        <v>2632</v>
      </c>
      <c r="R436" s="17">
        <v>87</v>
      </c>
      <c r="S436" s="17">
        <v>883</v>
      </c>
      <c r="T436" s="17"/>
      <c r="U436" s="17"/>
      <c r="V436" s="17"/>
      <c r="W436" s="17"/>
      <c r="X436" s="15">
        <v>329.75</v>
      </c>
      <c r="Y436" s="17">
        <v>68</v>
      </c>
      <c r="Z436" s="17">
        <v>564.75</v>
      </c>
      <c r="AA436" s="17">
        <v>879</v>
      </c>
      <c r="AB436" s="12">
        <v>58</v>
      </c>
    </row>
    <row r="437" ht="14.25" spans="1:28">
      <c r="A437" s="13">
        <v>435</v>
      </c>
      <c r="B437" s="15">
        <v>9</v>
      </c>
      <c r="C437" s="16">
        <v>51</v>
      </c>
      <c r="D437" s="19" t="s">
        <v>880</v>
      </c>
      <c r="E437" s="17" t="s">
        <v>881</v>
      </c>
      <c r="F437" s="17">
        <v>106.25</v>
      </c>
      <c r="G437" s="17">
        <v>1151</v>
      </c>
      <c r="H437" s="17">
        <v>129.5</v>
      </c>
      <c r="I437" s="17">
        <v>151</v>
      </c>
      <c r="J437" s="17">
        <v>118.75</v>
      </c>
      <c r="K437" s="17">
        <v>599</v>
      </c>
      <c r="L437" s="17">
        <v>74.5</v>
      </c>
      <c r="M437" s="17">
        <v>487</v>
      </c>
      <c r="N437" s="17"/>
      <c r="O437" s="17"/>
      <c r="P437" s="17">
        <v>89</v>
      </c>
      <c r="Q437" s="17">
        <v>222</v>
      </c>
      <c r="R437" s="17">
        <v>87</v>
      </c>
      <c r="S437" s="17">
        <v>883</v>
      </c>
      <c r="T437" s="17"/>
      <c r="U437" s="17"/>
      <c r="V437" s="17"/>
      <c r="W437" s="17"/>
      <c r="X437" s="15">
        <v>354.5</v>
      </c>
      <c r="Y437" s="17">
        <v>8</v>
      </c>
      <c r="Z437" s="17">
        <v>605</v>
      </c>
      <c r="AA437" s="17">
        <v>180</v>
      </c>
      <c r="AB437" s="12">
        <v>10</v>
      </c>
    </row>
    <row r="438" ht="14.25" spans="1:28">
      <c r="A438" s="13">
        <v>436</v>
      </c>
      <c r="B438" s="15">
        <v>9</v>
      </c>
      <c r="C438" s="16">
        <v>52</v>
      </c>
      <c r="D438" s="17" t="s">
        <v>882</v>
      </c>
      <c r="E438" s="17" t="s">
        <v>883</v>
      </c>
      <c r="F438" s="17">
        <v>106.25</v>
      </c>
      <c r="G438" s="17">
        <v>1151</v>
      </c>
      <c r="H438" s="17">
        <v>116.25</v>
      </c>
      <c r="I438" s="17">
        <v>1094</v>
      </c>
      <c r="J438" s="17">
        <v>114.25</v>
      </c>
      <c r="K438" s="17">
        <v>986</v>
      </c>
      <c r="L438" s="17">
        <v>54.5</v>
      </c>
      <c r="M438" s="17">
        <v>3126</v>
      </c>
      <c r="N438" s="17"/>
      <c r="O438" s="17"/>
      <c r="P438" s="17">
        <v>65</v>
      </c>
      <c r="Q438" s="17">
        <v>7113</v>
      </c>
      <c r="R438" s="17">
        <v>69</v>
      </c>
      <c r="S438" s="17">
        <v>5677</v>
      </c>
      <c r="T438" s="17"/>
      <c r="U438" s="17"/>
      <c r="V438" s="17"/>
      <c r="W438" s="17"/>
      <c r="X438" s="15">
        <v>336.75</v>
      </c>
      <c r="Y438" s="17">
        <v>42</v>
      </c>
      <c r="Z438" s="17">
        <v>525.25</v>
      </c>
      <c r="AA438" s="17">
        <v>2129</v>
      </c>
      <c r="AB438" s="12">
        <v>183</v>
      </c>
    </row>
    <row r="439" ht="14.25" spans="1:28">
      <c r="A439" s="13">
        <v>437</v>
      </c>
      <c r="B439" s="15">
        <v>9</v>
      </c>
      <c r="C439" s="16">
        <v>53</v>
      </c>
      <c r="D439" s="17" t="s">
        <v>884</v>
      </c>
      <c r="E439" s="17" t="s">
        <v>885</v>
      </c>
      <c r="F439" s="17">
        <v>105.5</v>
      </c>
      <c r="G439" s="17">
        <v>1281</v>
      </c>
      <c r="H439" s="17">
        <v>128</v>
      </c>
      <c r="I439" s="17">
        <v>207</v>
      </c>
      <c r="J439" s="17">
        <v>115.5</v>
      </c>
      <c r="K439" s="17">
        <v>849</v>
      </c>
      <c r="L439" s="17">
        <v>71.5</v>
      </c>
      <c r="M439" s="17">
        <v>714</v>
      </c>
      <c r="N439" s="17"/>
      <c r="O439" s="17"/>
      <c r="P439" s="17">
        <v>88</v>
      </c>
      <c r="Q439" s="17">
        <v>397</v>
      </c>
      <c r="R439" s="17">
        <v>94</v>
      </c>
      <c r="S439" s="17">
        <v>24</v>
      </c>
      <c r="T439" s="17"/>
      <c r="U439" s="17"/>
      <c r="V439" s="17"/>
      <c r="W439" s="17"/>
      <c r="X439" s="15">
        <v>349</v>
      </c>
      <c r="Y439" s="17">
        <v>13</v>
      </c>
      <c r="Z439" s="17">
        <v>602.5</v>
      </c>
      <c r="AA439" s="17">
        <v>206</v>
      </c>
      <c r="AB439" s="12">
        <v>11</v>
      </c>
    </row>
    <row r="440" ht="14.25" spans="1:28">
      <c r="A440" s="13">
        <v>438</v>
      </c>
      <c r="B440" s="15">
        <v>9</v>
      </c>
      <c r="C440" s="16">
        <v>54</v>
      </c>
      <c r="D440" s="17" t="s">
        <v>886</v>
      </c>
      <c r="E440" s="17" t="s">
        <v>887</v>
      </c>
      <c r="F440" s="17">
        <v>93.5</v>
      </c>
      <c r="G440" s="17">
        <v>7127</v>
      </c>
      <c r="H440" s="17">
        <v>127</v>
      </c>
      <c r="I440" s="17">
        <v>247</v>
      </c>
      <c r="J440" s="17">
        <v>118</v>
      </c>
      <c r="K440" s="17">
        <v>642</v>
      </c>
      <c r="L440" s="17">
        <v>79</v>
      </c>
      <c r="M440" s="17">
        <v>206</v>
      </c>
      <c r="N440" s="17"/>
      <c r="O440" s="17"/>
      <c r="P440" s="17">
        <v>77</v>
      </c>
      <c r="Q440" s="17">
        <v>3207</v>
      </c>
      <c r="R440" s="17">
        <v>88</v>
      </c>
      <c r="S440" s="17">
        <v>601</v>
      </c>
      <c r="T440" s="17"/>
      <c r="U440" s="17"/>
      <c r="V440" s="17"/>
      <c r="W440" s="17"/>
      <c r="X440" s="15">
        <v>338.5</v>
      </c>
      <c r="Y440" s="17">
        <v>31</v>
      </c>
      <c r="Z440" s="17">
        <v>582.5</v>
      </c>
      <c r="AA440" s="17">
        <v>470</v>
      </c>
      <c r="AB440" s="12">
        <v>25</v>
      </c>
    </row>
    <row r="441" ht="14.25" spans="1:28">
      <c r="A441" s="13">
        <v>439</v>
      </c>
      <c r="B441" s="15">
        <v>9</v>
      </c>
      <c r="C441" s="16">
        <v>55</v>
      </c>
      <c r="D441" s="17" t="s">
        <v>888</v>
      </c>
      <c r="E441" s="17" t="s">
        <v>889</v>
      </c>
      <c r="F441" s="17">
        <v>95</v>
      </c>
      <c r="G441" s="17">
        <v>6168</v>
      </c>
      <c r="H441" s="17">
        <v>97.5</v>
      </c>
      <c r="I441" s="17">
        <v>4244</v>
      </c>
      <c r="J441" s="17">
        <v>111.75</v>
      </c>
      <c r="K441" s="17">
        <v>1270</v>
      </c>
      <c r="L441" s="17">
        <v>78</v>
      </c>
      <c r="M441" s="17">
        <v>253</v>
      </c>
      <c r="N441" s="17"/>
      <c r="O441" s="17"/>
      <c r="P441" s="17">
        <v>88</v>
      </c>
      <c r="Q441" s="17">
        <v>397</v>
      </c>
      <c r="R441" s="17">
        <v>88</v>
      </c>
      <c r="S441" s="17">
        <v>601</v>
      </c>
      <c r="T441" s="17"/>
      <c r="U441" s="17"/>
      <c r="V441" s="17"/>
      <c r="W441" s="17"/>
      <c r="X441" s="15">
        <v>304.25</v>
      </c>
      <c r="Y441" s="17">
        <v>243</v>
      </c>
      <c r="Z441" s="17">
        <v>558.25</v>
      </c>
      <c r="AA441" s="17">
        <v>1038</v>
      </c>
      <c r="AB441" s="12">
        <v>75</v>
      </c>
    </row>
    <row r="442" ht="14.25" spans="1:28">
      <c r="A442" s="13">
        <v>440</v>
      </c>
      <c r="B442" s="15">
        <v>10</v>
      </c>
      <c r="C442" s="16">
        <v>1</v>
      </c>
      <c r="D442" s="17" t="s">
        <v>890</v>
      </c>
      <c r="E442" s="17" t="s">
        <v>891</v>
      </c>
      <c r="F442" s="17">
        <v>102.5</v>
      </c>
      <c r="G442" s="17">
        <v>2274</v>
      </c>
      <c r="H442" s="17">
        <v>108.5</v>
      </c>
      <c r="I442" s="17">
        <v>2198</v>
      </c>
      <c r="J442" s="17">
        <v>93.5</v>
      </c>
      <c r="K442" s="17">
        <v>4431</v>
      </c>
      <c r="L442" s="17">
        <v>66</v>
      </c>
      <c r="M442" s="17">
        <v>1304</v>
      </c>
      <c r="N442" s="17"/>
      <c r="O442" s="17"/>
      <c r="P442" s="17">
        <v>83</v>
      </c>
      <c r="Q442" s="17">
        <v>1643</v>
      </c>
      <c r="R442" s="17">
        <v>87</v>
      </c>
      <c r="S442" s="17">
        <v>883</v>
      </c>
      <c r="T442" s="17"/>
      <c r="U442" s="17"/>
      <c r="V442" s="17"/>
      <c r="W442" s="17"/>
      <c r="X442" s="15">
        <v>304.5</v>
      </c>
      <c r="Y442" s="17">
        <v>239</v>
      </c>
      <c r="Z442" s="17">
        <v>540.5</v>
      </c>
      <c r="AA442" s="17">
        <v>1602</v>
      </c>
      <c r="AB442" s="12">
        <v>128</v>
      </c>
    </row>
    <row r="443" ht="14.25" spans="1:28">
      <c r="A443" s="13">
        <v>441</v>
      </c>
      <c r="B443" s="15">
        <v>10</v>
      </c>
      <c r="C443" s="16">
        <v>2</v>
      </c>
      <c r="D443" s="17" t="s">
        <v>892</v>
      </c>
      <c r="E443" s="17" t="s">
        <v>893</v>
      </c>
      <c r="F443" s="17">
        <v>109.5</v>
      </c>
      <c r="G443" s="17">
        <v>495</v>
      </c>
      <c r="H443" s="17">
        <v>107</v>
      </c>
      <c r="I443" s="17">
        <v>2461</v>
      </c>
      <c r="J443" s="17">
        <v>89.5</v>
      </c>
      <c r="K443" s="17">
        <v>5383</v>
      </c>
      <c r="L443" s="17">
        <v>57</v>
      </c>
      <c r="M443" s="17">
        <v>2714</v>
      </c>
      <c r="N443" s="17"/>
      <c r="O443" s="17"/>
      <c r="P443" s="17">
        <v>75</v>
      </c>
      <c r="Q443" s="17">
        <v>3841</v>
      </c>
      <c r="R443" s="17">
        <v>84</v>
      </c>
      <c r="S443" s="17">
        <v>1490</v>
      </c>
      <c r="T443" s="17"/>
      <c r="U443" s="17"/>
      <c r="V443" s="17"/>
      <c r="W443" s="17"/>
      <c r="X443" s="15">
        <v>306</v>
      </c>
      <c r="Y443" s="17">
        <v>227</v>
      </c>
      <c r="Z443" s="17">
        <v>522</v>
      </c>
      <c r="AA443" s="17">
        <v>2281</v>
      </c>
      <c r="AB443" s="12">
        <v>206</v>
      </c>
    </row>
    <row r="444" ht="14.25" spans="1:28">
      <c r="A444" s="13">
        <v>442</v>
      </c>
      <c r="B444" s="15">
        <v>10</v>
      </c>
      <c r="C444" s="16">
        <v>3</v>
      </c>
      <c r="D444" s="17" t="s">
        <v>894</v>
      </c>
      <c r="E444" s="17" t="s">
        <v>895</v>
      </c>
      <c r="F444" s="17">
        <v>103</v>
      </c>
      <c r="G444" s="17">
        <v>2094</v>
      </c>
      <c r="H444" s="17">
        <v>86.5</v>
      </c>
      <c r="I444" s="17">
        <v>6657</v>
      </c>
      <c r="J444" s="17">
        <v>106.5</v>
      </c>
      <c r="K444" s="17">
        <v>1929</v>
      </c>
      <c r="L444" s="17">
        <v>44</v>
      </c>
      <c r="M444" s="17">
        <v>5222</v>
      </c>
      <c r="N444" s="17"/>
      <c r="O444" s="17"/>
      <c r="P444" s="17">
        <v>71</v>
      </c>
      <c r="Q444" s="17">
        <v>5258</v>
      </c>
      <c r="R444" s="17">
        <v>91</v>
      </c>
      <c r="S444" s="17">
        <v>151</v>
      </c>
      <c r="T444" s="17"/>
      <c r="U444" s="17"/>
      <c r="V444" s="17"/>
      <c r="W444" s="17"/>
      <c r="X444" s="15">
        <v>296</v>
      </c>
      <c r="Y444" s="17">
        <v>307</v>
      </c>
      <c r="Z444" s="17">
        <v>502</v>
      </c>
      <c r="AA444" s="17">
        <v>3150</v>
      </c>
      <c r="AB444" s="12">
        <v>316</v>
      </c>
    </row>
    <row r="445" ht="14.25" spans="1:28">
      <c r="A445" s="13">
        <v>443</v>
      </c>
      <c r="B445" s="15">
        <v>10</v>
      </c>
      <c r="C445" s="16">
        <v>4</v>
      </c>
      <c r="D445" s="17" t="s">
        <v>896</v>
      </c>
      <c r="E445" s="17" t="s">
        <v>897</v>
      </c>
      <c r="F445" s="17">
        <v>104.5</v>
      </c>
      <c r="G445" s="17">
        <v>1551</v>
      </c>
      <c r="H445" s="17">
        <v>113</v>
      </c>
      <c r="I445" s="17">
        <v>1467</v>
      </c>
      <c r="J445" s="17">
        <v>119</v>
      </c>
      <c r="K445" s="17">
        <v>560</v>
      </c>
      <c r="L445" s="17">
        <v>65.5</v>
      </c>
      <c r="M445" s="17">
        <v>1373</v>
      </c>
      <c r="N445" s="17"/>
      <c r="O445" s="17"/>
      <c r="P445" s="17">
        <v>89</v>
      </c>
      <c r="Q445" s="17">
        <v>222</v>
      </c>
      <c r="R445" s="17">
        <v>87</v>
      </c>
      <c r="S445" s="17">
        <v>883</v>
      </c>
      <c r="T445" s="17"/>
      <c r="U445" s="17"/>
      <c r="V445" s="17"/>
      <c r="W445" s="17"/>
      <c r="X445" s="15">
        <v>336.5</v>
      </c>
      <c r="Y445" s="17">
        <v>43</v>
      </c>
      <c r="Z445" s="17">
        <v>578</v>
      </c>
      <c r="AA445" s="17">
        <v>565</v>
      </c>
      <c r="AB445" s="12">
        <v>31</v>
      </c>
    </row>
    <row r="446" ht="14.25" spans="1:28">
      <c r="A446" s="13">
        <v>444</v>
      </c>
      <c r="B446" s="15">
        <v>10</v>
      </c>
      <c r="C446" s="16">
        <v>5</v>
      </c>
      <c r="D446" s="17" t="s">
        <v>898</v>
      </c>
      <c r="E446" s="17" t="s">
        <v>899</v>
      </c>
      <c r="F446" s="17">
        <v>114</v>
      </c>
      <c r="G446" s="17">
        <v>113</v>
      </c>
      <c r="H446" s="17">
        <v>109</v>
      </c>
      <c r="I446" s="17">
        <v>2105</v>
      </c>
      <c r="J446" s="17">
        <v>107.75</v>
      </c>
      <c r="K446" s="17">
        <v>1777</v>
      </c>
      <c r="L446" s="17">
        <v>53.5</v>
      </c>
      <c r="M446" s="17">
        <v>3296</v>
      </c>
      <c r="N446" s="17"/>
      <c r="O446" s="17"/>
      <c r="P446" s="17">
        <v>89</v>
      </c>
      <c r="Q446" s="17">
        <v>222</v>
      </c>
      <c r="R446" s="17">
        <v>91</v>
      </c>
      <c r="S446" s="17">
        <v>151</v>
      </c>
      <c r="T446" s="17"/>
      <c r="U446" s="17"/>
      <c r="V446" s="17"/>
      <c r="W446" s="17"/>
      <c r="X446" s="15">
        <v>330.75</v>
      </c>
      <c r="Y446" s="17">
        <v>61</v>
      </c>
      <c r="Z446" s="17">
        <v>564.25</v>
      </c>
      <c r="AA446" s="17">
        <v>891</v>
      </c>
      <c r="AB446" s="12">
        <v>60</v>
      </c>
    </row>
    <row r="447" ht="14.25" spans="1:28">
      <c r="A447" s="13">
        <v>445</v>
      </c>
      <c r="B447" s="15">
        <v>10</v>
      </c>
      <c r="C447" s="16">
        <v>6</v>
      </c>
      <c r="D447" s="17" t="s">
        <v>900</v>
      </c>
      <c r="E447" s="17" t="s">
        <v>901</v>
      </c>
      <c r="F447" s="17">
        <v>111.75</v>
      </c>
      <c r="G447" s="17">
        <v>259</v>
      </c>
      <c r="H447" s="17">
        <v>91</v>
      </c>
      <c r="I447" s="17">
        <v>5638</v>
      </c>
      <c r="J447" s="17">
        <v>83</v>
      </c>
      <c r="K447" s="17">
        <v>6990</v>
      </c>
      <c r="L447" s="17">
        <v>60.5</v>
      </c>
      <c r="M447" s="17">
        <v>2106</v>
      </c>
      <c r="N447" s="17"/>
      <c r="O447" s="17"/>
      <c r="P447" s="17">
        <v>76</v>
      </c>
      <c r="Q447" s="17">
        <v>3515</v>
      </c>
      <c r="R447" s="17">
        <v>86</v>
      </c>
      <c r="S447" s="17">
        <v>1176</v>
      </c>
      <c r="T447" s="17"/>
      <c r="U447" s="17"/>
      <c r="V447" s="17"/>
      <c r="W447" s="17"/>
      <c r="X447" s="15">
        <v>285.75</v>
      </c>
      <c r="Y447" s="17">
        <v>396</v>
      </c>
      <c r="Z447" s="17">
        <v>508.25</v>
      </c>
      <c r="AA447" s="17">
        <v>2856</v>
      </c>
      <c r="AB447" s="12">
        <v>282</v>
      </c>
    </row>
    <row r="448" ht="14.25" spans="1:28">
      <c r="A448" s="13">
        <v>446</v>
      </c>
      <c r="B448" s="15">
        <v>10</v>
      </c>
      <c r="C448" s="16">
        <v>7</v>
      </c>
      <c r="D448" s="17" t="s">
        <v>902</v>
      </c>
      <c r="E448" s="17" t="s">
        <v>903</v>
      </c>
      <c r="F448" s="17">
        <v>105.5</v>
      </c>
      <c r="G448" s="17">
        <v>1281</v>
      </c>
      <c r="H448" s="17">
        <v>116.5</v>
      </c>
      <c r="I448" s="17">
        <v>1035</v>
      </c>
      <c r="J448" s="17">
        <v>108</v>
      </c>
      <c r="K448" s="17">
        <v>1721</v>
      </c>
      <c r="L448" s="17">
        <v>71.5</v>
      </c>
      <c r="M448" s="17">
        <v>714</v>
      </c>
      <c r="N448" s="17"/>
      <c r="O448" s="17"/>
      <c r="P448" s="17">
        <v>82</v>
      </c>
      <c r="Q448" s="17">
        <v>1870</v>
      </c>
      <c r="R448" s="17">
        <v>93</v>
      </c>
      <c r="S448" s="17">
        <v>50</v>
      </c>
      <c r="T448" s="17"/>
      <c r="U448" s="17"/>
      <c r="V448" s="17"/>
      <c r="W448" s="17"/>
      <c r="X448" s="15">
        <v>330</v>
      </c>
      <c r="Y448" s="17">
        <v>66</v>
      </c>
      <c r="Z448" s="17">
        <v>576.5</v>
      </c>
      <c r="AA448" s="17">
        <v>594</v>
      </c>
      <c r="AB448" s="12">
        <v>34</v>
      </c>
    </row>
    <row r="449" ht="14.25" spans="1:28">
      <c r="A449" s="13">
        <v>447</v>
      </c>
      <c r="B449" s="15">
        <v>10</v>
      </c>
      <c r="C449" s="16">
        <v>8</v>
      </c>
      <c r="D449" s="17" t="s">
        <v>904</v>
      </c>
      <c r="E449" s="17" t="s">
        <v>905</v>
      </c>
      <c r="F449" s="17">
        <v>101</v>
      </c>
      <c r="G449" s="17">
        <v>2896</v>
      </c>
      <c r="H449" s="17">
        <v>100</v>
      </c>
      <c r="I449" s="17">
        <v>3741</v>
      </c>
      <c r="J449" s="17">
        <v>112.75</v>
      </c>
      <c r="K449" s="17">
        <v>1155</v>
      </c>
      <c r="L449" s="17">
        <v>64</v>
      </c>
      <c r="M449" s="17">
        <v>1577</v>
      </c>
      <c r="N449" s="17"/>
      <c r="O449" s="17"/>
      <c r="P449" s="17">
        <v>75</v>
      </c>
      <c r="Q449" s="17">
        <v>3841</v>
      </c>
      <c r="R449" s="17">
        <v>88</v>
      </c>
      <c r="S449" s="17">
        <v>601</v>
      </c>
      <c r="T449" s="17"/>
      <c r="U449" s="17"/>
      <c r="V449" s="17"/>
      <c r="W449" s="17"/>
      <c r="X449" s="15">
        <v>313.75</v>
      </c>
      <c r="Y449" s="17">
        <v>161</v>
      </c>
      <c r="Z449" s="17">
        <v>540.75</v>
      </c>
      <c r="AA449" s="17">
        <v>1598</v>
      </c>
      <c r="AB449" s="12">
        <v>126</v>
      </c>
    </row>
    <row r="450" ht="14.25" spans="1:28">
      <c r="A450" s="13">
        <v>448</v>
      </c>
      <c r="B450" s="15">
        <v>10</v>
      </c>
      <c r="C450" s="16">
        <v>9</v>
      </c>
      <c r="D450" s="17" t="s">
        <v>906</v>
      </c>
      <c r="E450" s="17" t="s">
        <v>907</v>
      </c>
      <c r="F450" s="17">
        <v>107.5</v>
      </c>
      <c r="G450" s="17">
        <v>829</v>
      </c>
      <c r="H450" s="17">
        <v>116.5</v>
      </c>
      <c r="I450" s="17">
        <v>1035</v>
      </c>
      <c r="J450" s="17">
        <v>85.5</v>
      </c>
      <c r="K450" s="17">
        <v>6376</v>
      </c>
      <c r="L450" s="17">
        <v>64.5</v>
      </c>
      <c r="M450" s="17">
        <v>1506</v>
      </c>
      <c r="N450" s="17"/>
      <c r="O450" s="17"/>
      <c r="P450" s="17">
        <v>80</v>
      </c>
      <c r="Q450" s="17">
        <v>2333</v>
      </c>
      <c r="R450" s="17">
        <v>88</v>
      </c>
      <c r="S450" s="17">
        <v>601</v>
      </c>
      <c r="T450" s="17"/>
      <c r="U450" s="17"/>
      <c r="V450" s="17"/>
      <c r="W450" s="17"/>
      <c r="X450" s="15">
        <v>309.5</v>
      </c>
      <c r="Y450" s="17">
        <v>197</v>
      </c>
      <c r="Z450" s="17">
        <v>542</v>
      </c>
      <c r="AA450" s="17">
        <v>1549</v>
      </c>
      <c r="AB450" s="12">
        <v>122</v>
      </c>
    </row>
    <row r="451" ht="14.25" spans="1:28">
      <c r="A451" s="13">
        <v>449</v>
      </c>
      <c r="B451" s="15">
        <v>10</v>
      </c>
      <c r="C451" s="16">
        <v>10</v>
      </c>
      <c r="D451" s="17" t="s">
        <v>908</v>
      </c>
      <c r="E451" s="17" t="s">
        <v>909</v>
      </c>
      <c r="F451" s="17">
        <v>102</v>
      </c>
      <c r="G451" s="17">
        <v>2480</v>
      </c>
      <c r="H451" s="17">
        <v>119</v>
      </c>
      <c r="I451" s="17">
        <v>786</v>
      </c>
      <c r="J451" s="17">
        <v>102</v>
      </c>
      <c r="K451" s="17">
        <v>2685</v>
      </c>
      <c r="L451" s="17">
        <v>65.5</v>
      </c>
      <c r="M451" s="17">
        <v>1373</v>
      </c>
      <c r="N451" s="17"/>
      <c r="O451" s="17"/>
      <c r="P451" s="17">
        <v>86</v>
      </c>
      <c r="Q451" s="17">
        <v>1052</v>
      </c>
      <c r="R451" s="17">
        <v>81</v>
      </c>
      <c r="S451" s="17">
        <v>2139</v>
      </c>
      <c r="T451" s="17"/>
      <c r="U451" s="17"/>
      <c r="V451" s="17"/>
      <c r="W451" s="17"/>
      <c r="X451" s="15">
        <v>323</v>
      </c>
      <c r="Y451" s="17">
        <v>99</v>
      </c>
      <c r="Z451" s="17">
        <v>555.5</v>
      </c>
      <c r="AA451" s="17">
        <v>1128</v>
      </c>
      <c r="AB451" s="12">
        <v>84</v>
      </c>
    </row>
    <row r="452" ht="14.25" spans="1:28">
      <c r="A452" s="13">
        <v>450</v>
      </c>
      <c r="B452" s="15">
        <v>10</v>
      </c>
      <c r="C452" s="16">
        <v>11</v>
      </c>
      <c r="D452" s="17" t="s">
        <v>910</v>
      </c>
      <c r="E452" s="17" t="s">
        <v>911</v>
      </c>
      <c r="F452" s="17">
        <v>101</v>
      </c>
      <c r="G452" s="17">
        <v>2896</v>
      </c>
      <c r="H452" s="17">
        <v>113</v>
      </c>
      <c r="I452" s="17">
        <v>1467</v>
      </c>
      <c r="J452" s="17">
        <v>109.75</v>
      </c>
      <c r="K452" s="17">
        <v>1503</v>
      </c>
      <c r="L452" s="17">
        <v>43</v>
      </c>
      <c r="M452" s="17">
        <v>5463</v>
      </c>
      <c r="N452" s="17"/>
      <c r="O452" s="17"/>
      <c r="P452" s="17">
        <v>81</v>
      </c>
      <c r="Q452" s="17">
        <v>2079</v>
      </c>
      <c r="R452" s="17">
        <v>62</v>
      </c>
      <c r="S452" s="17">
        <v>8006</v>
      </c>
      <c r="T452" s="17"/>
      <c r="U452" s="17"/>
      <c r="V452" s="17"/>
      <c r="W452" s="17"/>
      <c r="X452" s="15">
        <v>323.75</v>
      </c>
      <c r="Y452" s="17">
        <v>93</v>
      </c>
      <c r="Z452" s="17">
        <v>509.75</v>
      </c>
      <c r="AA452" s="17">
        <v>2790</v>
      </c>
      <c r="AB452" s="12">
        <v>274</v>
      </c>
    </row>
    <row r="453" ht="14.25" spans="1:28">
      <c r="A453" s="13">
        <v>451</v>
      </c>
      <c r="B453" s="15">
        <v>10</v>
      </c>
      <c r="C453" s="16">
        <v>12</v>
      </c>
      <c r="D453" s="17" t="s">
        <v>912</v>
      </c>
      <c r="E453" s="17" t="s">
        <v>913</v>
      </c>
      <c r="F453" s="17">
        <v>106</v>
      </c>
      <c r="G453" s="17">
        <v>1174</v>
      </c>
      <c r="H453" s="17">
        <v>116</v>
      </c>
      <c r="I453" s="17">
        <v>1095</v>
      </c>
      <c r="J453" s="17">
        <v>81</v>
      </c>
      <c r="K453" s="17">
        <v>7529</v>
      </c>
      <c r="L453" s="17">
        <v>61</v>
      </c>
      <c r="M453" s="17">
        <v>2008</v>
      </c>
      <c r="N453" s="17"/>
      <c r="O453" s="17"/>
      <c r="P453" s="17">
        <v>80</v>
      </c>
      <c r="Q453" s="17">
        <v>2333</v>
      </c>
      <c r="R453" s="17">
        <v>83</v>
      </c>
      <c r="S453" s="17">
        <v>1715</v>
      </c>
      <c r="T453" s="17"/>
      <c r="U453" s="17"/>
      <c r="V453" s="17"/>
      <c r="W453" s="17"/>
      <c r="X453" s="15">
        <v>303</v>
      </c>
      <c r="Y453" s="17">
        <v>251</v>
      </c>
      <c r="Z453" s="17">
        <v>527</v>
      </c>
      <c r="AA453" s="17">
        <v>2061</v>
      </c>
      <c r="AB453" s="12">
        <v>176</v>
      </c>
    </row>
    <row r="454" ht="14.25" spans="1:28">
      <c r="A454" s="13">
        <v>452</v>
      </c>
      <c r="B454" s="15">
        <v>10</v>
      </c>
      <c r="C454" s="16">
        <v>13</v>
      </c>
      <c r="D454" s="17" t="s">
        <v>914</v>
      </c>
      <c r="E454" s="17" t="s">
        <v>915</v>
      </c>
      <c r="F454" s="17">
        <v>110</v>
      </c>
      <c r="G454" s="17">
        <v>430</v>
      </c>
      <c r="H454" s="17">
        <v>115.5</v>
      </c>
      <c r="I454" s="17">
        <v>1149</v>
      </c>
      <c r="J454" s="17">
        <v>100</v>
      </c>
      <c r="K454" s="17">
        <v>3038</v>
      </c>
      <c r="L454" s="17">
        <v>57.5</v>
      </c>
      <c r="M454" s="17">
        <v>2619</v>
      </c>
      <c r="N454" s="17"/>
      <c r="O454" s="17"/>
      <c r="P454" s="17">
        <v>86</v>
      </c>
      <c r="Q454" s="17">
        <v>1052</v>
      </c>
      <c r="R454" s="17">
        <v>86</v>
      </c>
      <c r="S454" s="17">
        <v>1176</v>
      </c>
      <c r="T454" s="17"/>
      <c r="U454" s="17"/>
      <c r="V454" s="17"/>
      <c r="W454" s="17"/>
      <c r="X454" s="15">
        <v>325.5</v>
      </c>
      <c r="Y454" s="17">
        <v>85</v>
      </c>
      <c r="Z454" s="17">
        <v>555</v>
      </c>
      <c r="AA454" s="17">
        <v>1141</v>
      </c>
      <c r="AB454" s="12">
        <v>86</v>
      </c>
    </row>
    <row r="455" ht="14.25" spans="1:28">
      <c r="A455" s="13">
        <v>453</v>
      </c>
      <c r="B455" s="15">
        <v>10</v>
      </c>
      <c r="C455" s="16">
        <v>14</v>
      </c>
      <c r="D455" s="19" t="s">
        <v>916</v>
      </c>
      <c r="E455" s="17" t="s">
        <v>917</v>
      </c>
      <c r="F455" s="17">
        <v>99.5</v>
      </c>
      <c r="G455" s="17">
        <v>3607</v>
      </c>
      <c r="H455" s="17">
        <v>108</v>
      </c>
      <c r="I455" s="17">
        <v>2274</v>
      </c>
      <c r="J455" s="17">
        <v>100</v>
      </c>
      <c r="K455" s="17">
        <v>3038</v>
      </c>
      <c r="L455" s="17">
        <v>58</v>
      </c>
      <c r="M455" s="17">
        <v>2538</v>
      </c>
      <c r="N455" s="17"/>
      <c r="O455" s="17"/>
      <c r="P455" s="17">
        <v>93</v>
      </c>
      <c r="Q455" s="17">
        <v>16</v>
      </c>
      <c r="R455" s="17">
        <v>91</v>
      </c>
      <c r="S455" s="17">
        <v>151</v>
      </c>
      <c r="T455" s="17"/>
      <c r="U455" s="17"/>
      <c r="V455" s="17"/>
      <c r="W455" s="17"/>
      <c r="X455" s="15">
        <v>307.5</v>
      </c>
      <c r="Y455" s="17">
        <v>214</v>
      </c>
      <c r="Z455" s="17">
        <v>549.5</v>
      </c>
      <c r="AA455" s="17">
        <v>1300</v>
      </c>
      <c r="AB455" s="12">
        <v>99</v>
      </c>
    </row>
    <row r="456" ht="14.25" spans="1:28">
      <c r="A456" s="13">
        <v>454</v>
      </c>
      <c r="B456" s="15">
        <v>10</v>
      </c>
      <c r="C456" s="16">
        <v>15</v>
      </c>
      <c r="D456" s="17" t="s">
        <v>918</v>
      </c>
      <c r="E456" s="17" t="s">
        <v>919</v>
      </c>
      <c r="F456" s="17">
        <v>105</v>
      </c>
      <c r="G456" s="17">
        <v>1427</v>
      </c>
      <c r="H456" s="17">
        <v>109.5</v>
      </c>
      <c r="I456" s="17">
        <v>2023</v>
      </c>
      <c r="J456" s="17">
        <v>111.75</v>
      </c>
      <c r="K456" s="17">
        <v>1270</v>
      </c>
      <c r="L456" s="17">
        <v>49.5</v>
      </c>
      <c r="M456" s="17">
        <v>4044</v>
      </c>
      <c r="N456" s="17"/>
      <c r="O456" s="17"/>
      <c r="P456" s="17">
        <v>87</v>
      </c>
      <c r="Q456" s="17">
        <v>681</v>
      </c>
      <c r="R456" s="17">
        <v>91</v>
      </c>
      <c r="S456" s="17">
        <v>151</v>
      </c>
      <c r="T456" s="17"/>
      <c r="U456" s="17"/>
      <c r="V456" s="17"/>
      <c r="W456" s="17"/>
      <c r="X456" s="15">
        <v>326.25</v>
      </c>
      <c r="Y456" s="17">
        <v>81</v>
      </c>
      <c r="Z456" s="17">
        <v>553.75</v>
      </c>
      <c r="AA456" s="17">
        <v>1176</v>
      </c>
      <c r="AB456" s="12">
        <v>90</v>
      </c>
    </row>
    <row r="457" ht="14.25" spans="1:28">
      <c r="A457" s="13">
        <v>455</v>
      </c>
      <c r="B457" s="15">
        <v>10</v>
      </c>
      <c r="C457" s="16">
        <v>16</v>
      </c>
      <c r="D457" s="17" t="s">
        <v>920</v>
      </c>
      <c r="E457" s="17" t="s">
        <v>921</v>
      </c>
      <c r="F457" s="17">
        <v>100.5</v>
      </c>
      <c r="G457" s="17">
        <v>3131</v>
      </c>
      <c r="H457" s="17">
        <v>112</v>
      </c>
      <c r="I457" s="17">
        <v>1617</v>
      </c>
      <c r="J457" s="17">
        <v>99.75</v>
      </c>
      <c r="K457" s="17">
        <v>3109</v>
      </c>
      <c r="L457" s="17">
        <v>61</v>
      </c>
      <c r="M457" s="17">
        <v>2008</v>
      </c>
      <c r="N457" s="17"/>
      <c r="O457" s="17"/>
      <c r="P457" s="17">
        <v>61</v>
      </c>
      <c r="Q457" s="17">
        <v>8358</v>
      </c>
      <c r="R457" s="17">
        <v>83</v>
      </c>
      <c r="S457" s="17">
        <v>1715</v>
      </c>
      <c r="T457" s="17"/>
      <c r="U457" s="17"/>
      <c r="V457" s="17"/>
      <c r="W457" s="17"/>
      <c r="X457" s="15">
        <v>312.25</v>
      </c>
      <c r="Y457" s="17">
        <v>170</v>
      </c>
      <c r="Z457" s="17">
        <v>517.25</v>
      </c>
      <c r="AA457" s="17">
        <v>2449</v>
      </c>
      <c r="AB457" s="12">
        <v>232</v>
      </c>
    </row>
    <row r="458" ht="14.25" spans="1:28">
      <c r="A458" s="13">
        <v>456</v>
      </c>
      <c r="B458" s="15">
        <v>10</v>
      </c>
      <c r="C458" s="16">
        <v>17</v>
      </c>
      <c r="D458" s="17" t="s">
        <v>922</v>
      </c>
      <c r="E458" s="17" t="s">
        <v>923</v>
      </c>
      <c r="F458" s="17">
        <v>93.5</v>
      </c>
      <c r="G458" s="17">
        <v>7127</v>
      </c>
      <c r="H458" s="17">
        <v>99</v>
      </c>
      <c r="I458" s="17">
        <v>3947</v>
      </c>
      <c r="J458" s="17">
        <v>91</v>
      </c>
      <c r="K458" s="17">
        <v>5010</v>
      </c>
      <c r="L458" s="17">
        <v>66</v>
      </c>
      <c r="M458" s="17">
        <v>1304</v>
      </c>
      <c r="N458" s="17"/>
      <c r="O458" s="17"/>
      <c r="P458" s="17">
        <v>86</v>
      </c>
      <c r="Q458" s="17">
        <v>1052</v>
      </c>
      <c r="R458" s="17">
        <v>76</v>
      </c>
      <c r="S458" s="17">
        <v>3491</v>
      </c>
      <c r="T458" s="17"/>
      <c r="U458" s="17"/>
      <c r="V458" s="17"/>
      <c r="W458" s="17"/>
      <c r="X458" s="15">
        <v>283.5</v>
      </c>
      <c r="Y458" s="17">
        <v>412</v>
      </c>
      <c r="Z458" s="17">
        <v>511.5</v>
      </c>
      <c r="AA458" s="17">
        <v>2702</v>
      </c>
      <c r="AB458" s="12">
        <v>266</v>
      </c>
    </row>
    <row r="459" ht="14.25" spans="1:28">
      <c r="A459" s="13">
        <v>457</v>
      </c>
      <c r="B459" s="15">
        <v>10</v>
      </c>
      <c r="C459" s="16">
        <v>18</v>
      </c>
      <c r="D459" s="17" t="s">
        <v>924</v>
      </c>
      <c r="E459" s="17" t="s">
        <v>925</v>
      </c>
      <c r="F459" s="17">
        <v>93</v>
      </c>
      <c r="G459" s="17">
        <v>7407</v>
      </c>
      <c r="H459" s="17">
        <v>109</v>
      </c>
      <c r="I459" s="17">
        <v>2105</v>
      </c>
      <c r="J459" s="17">
        <v>114.75</v>
      </c>
      <c r="K459" s="17">
        <v>938</v>
      </c>
      <c r="L459" s="17">
        <v>49.5</v>
      </c>
      <c r="M459" s="17">
        <v>4044</v>
      </c>
      <c r="N459" s="17"/>
      <c r="O459" s="17"/>
      <c r="P459" s="17">
        <v>85</v>
      </c>
      <c r="Q459" s="17">
        <v>1345</v>
      </c>
      <c r="R459" s="17">
        <v>77</v>
      </c>
      <c r="S459" s="17">
        <v>3183</v>
      </c>
      <c r="T459" s="17"/>
      <c r="U459" s="17"/>
      <c r="V459" s="17"/>
      <c r="W459" s="17"/>
      <c r="X459" s="15">
        <v>316.75</v>
      </c>
      <c r="Y459" s="17">
        <v>140</v>
      </c>
      <c r="Z459" s="17">
        <v>528.25</v>
      </c>
      <c r="AA459" s="17">
        <v>2016</v>
      </c>
      <c r="AB459" s="12">
        <v>173</v>
      </c>
    </row>
    <row r="460" ht="14.25" spans="1:28">
      <c r="A460" s="13">
        <v>458</v>
      </c>
      <c r="B460" s="15">
        <v>10</v>
      </c>
      <c r="C460" s="16">
        <v>19</v>
      </c>
      <c r="D460" s="17" t="s">
        <v>926</v>
      </c>
      <c r="E460" s="17" t="s">
        <v>927</v>
      </c>
      <c r="F460" s="17">
        <v>107.5</v>
      </c>
      <c r="G460" s="17">
        <v>829</v>
      </c>
      <c r="H460" s="17">
        <v>115.5</v>
      </c>
      <c r="I460" s="17">
        <v>1149</v>
      </c>
      <c r="J460" s="17">
        <v>88.5</v>
      </c>
      <c r="K460" s="17">
        <v>5628</v>
      </c>
      <c r="L460" s="17">
        <v>62.5</v>
      </c>
      <c r="M460" s="17">
        <v>1781</v>
      </c>
      <c r="N460" s="17"/>
      <c r="O460" s="17"/>
      <c r="P460" s="17">
        <v>74</v>
      </c>
      <c r="Q460" s="17">
        <v>4168</v>
      </c>
      <c r="R460" s="17">
        <v>88</v>
      </c>
      <c r="S460" s="17">
        <v>601</v>
      </c>
      <c r="T460" s="17"/>
      <c r="U460" s="17"/>
      <c r="V460" s="17"/>
      <c r="W460" s="17"/>
      <c r="X460" s="15">
        <v>311.5</v>
      </c>
      <c r="Y460" s="17">
        <v>173</v>
      </c>
      <c r="Z460" s="17">
        <v>536</v>
      </c>
      <c r="AA460" s="17">
        <v>1744</v>
      </c>
      <c r="AB460" s="12">
        <v>146</v>
      </c>
    </row>
    <row r="461" ht="14.25" spans="1:28">
      <c r="A461" s="13">
        <v>459</v>
      </c>
      <c r="B461" s="15">
        <v>10</v>
      </c>
      <c r="C461" s="16">
        <v>20</v>
      </c>
      <c r="D461" s="17" t="s">
        <v>928</v>
      </c>
      <c r="E461" s="17" t="s">
        <v>929</v>
      </c>
      <c r="F461" s="17">
        <v>108</v>
      </c>
      <c r="G461" s="17">
        <v>736</v>
      </c>
      <c r="H461" s="17">
        <v>103.5</v>
      </c>
      <c r="I461" s="17">
        <v>3096</v>
      </c>
      <c r="J461" s="17">
        <v>100</v>
      </c>
      <c r="K461" s="17">
        <v>3038</v>
      </c>
      <c r="L461" s="17">
        <v>58</v>
      </c>
      <c r="M461" s="17">
        <v>2538</v>
      </c>
      <c r="N461" s="17"/>
      <c r="O461" s="17"/>
      <c r="P461" s="17">
        <v>86</v>
      </c>
      <c r="Q461" s="17">
        <v>1052</v>
      </c>
      <c r="R461" s="17">
        <v>80</v>
      </c>
      <c r="S461" s="17">
        <v>2376</v>
      </c>
      <c r="T461" s="17"/>
      <c r="U461" s="17"/>
      <c r="V461" s="17"/>
      <c r="W461" s="17"/>
      <c r="X461" s="15">
        <v>311.5</v>
      </c>
      <c r="Y461" s="17">
        <v>173</v>
      </c>
      <c r="Z461" s="17">
        <v>535.5</v>
      </c>
      <c r="AA461" s="17">
        <v>1761</v>
      </c>
      <c r="AB461" s="12">
        <v>149</v>
      </c>
    </row>
    <row r="462" ht="14.25" spans="1:28">
      <c r="A462" s="13">
        <v>460</v>
      </c>
      <c r="B462" s="15">
        <v>10</v>
      </c>
      <c r="C462" s="16">
        <v>21</v>
      </c>
      <c r="D462" s="17" t="s">
        <v>930</v>
      </c>
      <c r="E462" s="17" t="s">
        <v>931</v>
      </c>
      <c r="F462" s="17">
        <v>100</v>
      </c>
      <c r="G462" s="17">
        <v>3368</v>
      </c>
      <c r="H462" s="17">
        <v>117</v>
      </c>
      <c r="I462" s="17">
        <v>975</v>
      </c>
      <c r="J462" s="17">
        <v>101.5</v>
      </c>
      <c r="K462" s="17">
        <v>2779</v>
      </c>
      <c r="L462" s="17">
        <v>67.5</v>
      </c>
      <c r="M462" s="17">
        <v>1130</v>
      </c>
      <c r="N462" s="17"/>
      <c r="O462" s="17"/>
      <c r="P462" s="17">
        <v>83</v>
      </c>
      <c r="Q462" s="17">
        <v>1643</v>
      </c>
      <c r="R462" s="17">
        <v>88</v>
      </c>
      <c r="S462" s="17">
        <v>601</v>
      </c>
      <c r="T462" s="17"/>
      <c r="U462" s="17"/>
      <c r="V462" s="17"/>
      <c r="W462" s="17"/>
      <c r="X462" s="15">
        <v>318.5</v>
      </c>
      <c r="Y462" s="17">
        <v>127</v>
      </c>
      <c r="Z462" s="17">
        <v>557</v>
      </c>
      <c r="AA462" s="17">
        <v>1086</v>
      </c>
      <c r="AB462" s="12">
        <v>80</v>
      </c>
    </row>
    <row r="463" ht="14.25" spans="1:28">
      <c r="A463" s="13">
        <v>461</v>
      </c>
      <c r="B463" s="15">
        <v>10</v>
      </c>
      <c r="C463" s="16">
        <v>22</v>
      </c>
      <c r="D463" s="17" t="s">
        <v>932</v>
      </c>
      <c r="E463" s="17" t="s">
        <v>933</v>
      </c>
      <c r="F463" s="17">
        <v>100</v>
      </c>
      <c r="G463" s="17">
        <v>3368</v>
      </c>
      <c r="H463" s="17">
        <v>116</v>
      </c>
      <c r="I463" s="17">
        <v>1095</v>
      </c>
      <c r="J463" s="17">
        <v>105.75</v>
      </c>
      <c r="K463" s="17">
        <v>2077</v>
      </c>
      <c r="L463" s="17">
        <v>65.5</v>
      </c>
      <c r="M463" s="17">
        <v>1373</v>
      </c>
      <c r="N463" s="17"/>
      <c r="O463" s="17"/>
      <c r="P463" s="17">
        <v>84</v>
      </c>
      <c r="Q463" s="17">
        <v>1443</v>
      </c>
      <c r="R463" s="17">
        <v>74</v>
      </c>
      <c r="S463" s="17">
        <v>4119</v>
      </c>
      <c r="T463" s="17"/>
      <c r="U463" s="17"/>
      <c r="V463" s="17"/>
      <c r="W463" s="17"/>
      <c r="X463" s="15">
        <v>321.75</v>
      </c>
      <c r="Y463" s="17">
        <v>106</v>
      </c>
      <c r="Z463" s="17">
        <v>545.25</v>
      </c>
      <c r="AA463" s="17">
        <v>1448</v>
      </c>
      <c r="AB463" s="12">
        <v>110</v>
      </c>
    </row>
    <row r="464" ht="14.25" spans="1:28">
      <c r="A464" s="13">
        <v>462</v>
      </c>
      <c r="B464" s="15">
        <v>10</v>
      </c>
      <c r="C464" s="16">
        <v>23</v>
      </c>
      <c r="D464" s="17" t="s">
        <v>934</v>
      </c>
      <c r="E464" s="17" t="s">
        <v>935</v>
      </c>
      <c r="F464" s="17">
        <v>99.5</v>
      </c>
      <c r="G464" s="17">
        <v>3607</v>
      </c>
      <c r="H464" s="17">
        <v>101.5</v>
      </c>
      <c r="I464" s="17">
        <v>3477</v>
      </c>
      <c r="J464" s="17">
        <v>117.75</v>
      </c>
      <c r="K464" s="17">
        <v>667</v>
      </c>
      <c r="L464" s="17">
        <v>60</v>
      </c>
      <c r="M464" s="17">
        <v>2185</v>
      </c>
      <c r="N464" s="17"/>
      <c r="O464" s="17"/>
      <c r="P464" s="17">
        <v>77</v>
      </c>
      <c r="Q464" s="17">
        <v>3207</v>
      </c>
      <c r="R464" s="17">
        <v>76</v>
      </c>
      <c r="S464" s="17">
        <v>3491</v>
      </c>
      <c r="T464" s="17"/>
      <c r="U464" s="17"/>
      <c r="V464" s="17"/>
      <c r="W464" s="17"/>
      <c r="X464" s="15">
        <v>318.75</v>
      </c>
      <c r="Y464" s="17">
        <v>126</v>
      </c>
      <c r="Z464" s="17">
        <v>531.75</v>
      </c>
      <c r="AA464" s="17">
        <v>1886</v>
      </c>
      <c r="AB464" s="12">
        <v>162</v>
      </c>
    </row>
    <row r="465" ht="14.25" spans="1:28">
      <c r="A465" s="13">
        <v>463</v>
      </c>
      <c r="B465" s="15">
        <v>10</v>
      </c>
      <c r="C465" s="16">
        <v>24</v>
      </c>
      <c r="D465" s="17" t="s">
        <v>936</v>
      </c>
      <c r="E465" s="17" t="s">
        <v>937</v>
      </c>
      <c r="F465" s="17">
        <v>97.5</v>
      </c>
      <c r="G465" s="17">
        <v>4695</v>
      </c>
      <c r="H465" s="17">
        <v>100</v>
      </c>
      <c r="I465" s="17">
        <v>3741</v>
      </c>
      <c r="J465" s="17">
        <v>105.5</v>
      </c>
      <c r="K465" s="17">
        <v>2098</v>
      </c>
      <c r="L465" s="17">
        <v>49</v>
      </c>
      <c r="M465" s="17">
        <v>4146</v>
      </c>
      <c r="N465" s="17"/>
      <c r="O465" s="17"/>
      <c r="P465" s="17">
        <v>71</v>
      </c>
      <c r="Q465" s="17">
        <v>5258</v>
      </c>
      <c r="R465" s="17">
        <v>81</v>
      </c>
      <c r="S465" s="17">
        <v>2139</v>
      </c>
      <c r="T465" s="17"/>
      <c r="U465" s="17"/>
      <c r="V465" s="17"/>
      <c r="W465" s="17"/>
      <c r="X465" s="15">
        <v>303</v>
      </c>
      <c r="Y465" s="17">
        <v>251</v>
      </c>
      <c r="Z465" s="17">
        <v>504</v>
      </c>
      <c r="AA465" s="17">
        <v>3061</v>
      </c>
      <c r="AB465" s="12">
        <v>306</v>
      </c>
    </row>
    <row r="466" ht="14.25" spans="1:28">
      <c r="A466" s="13">
        <v>464</v>
      </c>
      <c r="B466" s="15">
        <v>10</v>
      </c>
      <c r="C466" s="16">
        <v>25</v>
      </c>
      <c r="D466" s="17" t="s">
        <v>938</v>
      </c>
      <c r="E466" s="17" t="s">
        <v>939</v>
      </c>
      <c r="F466" s="17">
        <v>94.5</v>
      </c>
      <c r="G466" s="17">
        <v>6496</v>
      </c>
      <c r="H466" s="17">
        <v>95</v>
      </c>
      <c r="I466" s="17">
        <v>4735</v>
      </c>
      <c r="J466" s="17">
        <v>102.75</v>
      </c>
      <c r="K466" s="17">
        <v>2584</v>
      </c>
      <c r="L466" s="17">
        <v>56</v>
      </c>
      <c r="M466" s="17">
        <v>2878</v>
      </c>
      <c r="N466" s="17"/>
      <c r="O466" s="17"/>
      <c r="P466" s="17">
        <v>75</v>
      </c>
      <c r="Q466" s="17">
        <v>3841</v>
      </c>
      <c r="R466" s="17">
        <v>87</v>
      </c>
      <c r="S466" s="17">
        <v>883</v>
      </c>
      <c r="T466" s="17"/>
      <c r="U466" s="17"/>
      <c r="V466" s="17"/>
      <c r="W466" s="17"/>
      <c r="X466" s="15">
        <v>292.25</v>
      </c>
      <c r="Y466" s="17">
        <v>347</v>
      </c>
      <c r="Z466" s="17">
        <v>510.25</v>
      </c>
      <c r="AA466" s="17">
        <v>2771</v>
      </c>
      <c r="AB466" s="12">
        <v>272</v>
      </c>
    </row>
    <row r="467" ht="14.25" spans="1:28">
      <c r="A467" s="13">
        <v>465</v>
      </c>
      <c r="B467" s="15">
        <v>10</v>
      </c>
      <c r="C467" s="16">
        <v>26</v>
      </c>
      <c r="D467" s="17" t="s">
        <v>940</v>
      </c>
      <c r="E467" s="17" t="s">
        <v>941</v>
      </c>
      <c r="F467" s="17">
        <v>101.25</v>
      </c>
      <c r="G467" s="17">
        <v>2875</v>
      </c>
      <c r="H467" s="17">
        <v>114</v>
      </c>
      <c r="I467" s="17">
        <v>1340</v>
      </c>
      <c r="J467" s="17">
        <v>104</v>
      </c>
      <c r="K467" s="17">
        <v>2352</v>
      </c>
      <c r="L467" s="17">
        <v>68</v>
      </c>
      <c r="M467" s="17">
        <v>1067</v>
      </c>
      <c r="N467" s="17"/>
      <c r="O467" s="17"/>
      <c r="P467" s="17">
        <v>66</v>
      </c>
      <c r="Q467" s="17">
        <v>6766</v>
      </c>
      <c r="R467" s="17">
        <v>87</v>
      </c>
      <c r="S467" s="17">
        <v>883</v>
      </c>
      <c r="T467" s="17"/>
      <c r="U467" s="17"/>
      <c r="V467" s="17"/>
      <c r="W467" s="17"/>
      <c r="X467" s="15">
        <v>319.25</v>
      </c>
      <c r="Y467" s="17">
        <v>123</v>
      </c>
      <c r="Z467" s="17">
        <v>540.25</v>
      </c>
      <c r="AA467" s="17">
        <v>1614</v>
      </c>
      <c r="AB467" s="12">
        <v>130</v>
      </c>
    </row>
    <row r="468" ht="14.25" spans="1:28">
      <c r="A468" s="13">
        <v>466</v>
      </c>
      <c r="B468" s="15">
        <v>10</v>
      </c>
      <c r="C468" s="16">
        <v>27</v>
      </c>
      <c r="D468" s="17" t="s">
        <v>942</v>
      </c>
      <c r="E468" s="17" t="s">
        <v>943</v>
      </c>
      <c r="F468" s="17">
        <v>92.75</v>
      </c>
      <c r="G468" s="17">
        <v>7661</v>
      </c>
      <c r="H468" s="17">
        <v>116</v>
      </c>
      <c r="I468" s="17">
        <v>1095</v>
      </c>
      <c r="J468" s="17">
        <v>86</v>
      </c>
      <c r="K468" s="17">
        <v>6253</v>
      </c>
      <c r="L468" s="17">
        <v>73</v>
      </c>
      <c r="M468" s="17">
        <v>575</v>
      </c>
      <c r="N468" s="17"/>
      <c r="O468" s="17"/>
      <c r="P468" s="17">
        <v>89</v>
      </c>
      <c r="Q468" s="17">
        <v>222</v>
      </c>
      <c r="R468" s="17">
        <v>80</v>
      </c>
      <c r="S468" s="17">
        <v>2376</v>
      </c>
      <c r="T468" s="17"/>
      <c r="U468" s="17"/>
      <c r="V468" s="17"/>
      <c r="W468" s="17"/>
      <c r="X468" s="15">
        <v>294.75</v>
      </c>
      <c r="Y468" s="17">
        <v>319</v>
      </c>
      <c r="Z468" s="17">
        <v>536.75</v>
      </c>
      <c r="AA468" s="17">
        <v>1724</v>
      </c>
      <c r="AB468" s="12">
        <v>143</v>
      </c>
    </row>
    <row r="469" ht="14.25" spans="1:28">
      <c r="A469" s="13">
        <v>467</v>
      </c>
      <c r="B469" s="15">
        <v>10</v>
      </c>
      <c r="C469" s="16">
        <v>28</v>
      </c>
      <c r="D469" s="17" t="s">
        <v>944</v>
      </c>
      <c r="E469" s="17" t="s">
        <v>945</v>
      </c>
      <c r="F469" s="17">
        <v>114</v>
      </c>
      <c r="G469" s="17">
        <v>113</v>
      </c>
      <c r="H469" s="17">
        <v>115</v>
      </c>
      <c r="I469" s="17">
        <v>1213</v>
      </c>
      <c r="J469" s="17">
        <v>107</v>
      </c>
      <c r="K469" s="17">
        <v>1871</v>
      </c>
      <c r="L469" s="17">
        <v>55.5</v>
      </c>
      <c r="M469" s="17">
        <v>2964</v>
      </c>
      <c r="N469" s="17"/>
      <c r="O469" s="17"/>
      <c r="P469" s="17">
        <v>73</v>
      </c>
      <c r="Q469" s="17">
        <v>4501</v>
      </c>
      <c r="R469" s="17">
        <v>80</v>
      </c>
      <c r="S469" s="17">
        <v>2376</v>
      </c>
      <c r="T469" s="17"/>
      <c r="U469" s="17"/>
      <c r="V469" s="17"/>
      <c r="W469" s="17"/>
      <c r="X469" s="15">
        <v>336</v>
      </c>
      <c r="Y469" s="17">
        <v>45</v>
      </c>
      <c r="Z469" s="17">
        <v>544.5</v>
      </c>
      <c r="AA469" s="17">
        <v>1470</v>
      </c>
      <c r="AB469" s="12">
        <v>116</v>
      </c>
    </row>
    <row r="470" ht="14.25" spans="1:28">
      <c r="A470" s="13">
        <v>468</v>
      </c>
      <c r="B470" s="15">
        <v>10</v>
      </c>
      <c r="C470" s="16">
        <v>29</v>
      </c>
      <c r="D470" s="17" t="s">
        <v>946</v>
      </c>
      <c r="E470" s="17" t="s">
        <v>947</v>
      </c>
      <c r="F470" s="17">
        <v>102.5</v>
      </c>
      <c r="G470" s="17">
        <v>2274</v>
      </c>
      <c r="H470" s="17">
        <v>130.5</v>
      </c>
      <c r="I470" s="17">
        <v>122</v>
      </c>
      <c r="J470" s="17">
        <v>104.25</v>
      </c>
      <c r="K470" s="17">
        <v>2330</v>
      </c>
      <c r="L470" s="17">
        <v>63.5</v>
      </c>
      <c r="M470" s="17">
        <v>1636</v>
      </c>
      <c r="N470" s="17"/>
      <c r="O470" s="17"/>
      <c r="P470" s="17">
        <v>83</v>
      </c>
      <c r="Q470" s="17">
        <v>1643</v>
      </c>
      <c r="R470" s="17">
        <v>86</v>
      </c>
      <c r="S470" s="17">
        <v>1176</v>
      </c>
      <c r="T470" s="17"/>
      <c r="U470" s="17"/>
      <c r="V470" s="17"/>
      <c r="W470" s="17"/>
      <c r="X470" s="15">
        <v>337.25</v>
      </c>
      <c r="Y470" s="17">
        <v>35</v>
      </c>
      <c r="Z470" s="17">
        <v>569.75</v>
      </c>
      <c r="AA470" s="17">
        <v>753</v>
      </c>
      <c r="AB470" s="12">
        <v>46</v>
      </c>
    </row>
    <row r="471" ht="14.25" spans="1:28">
      <c r="A471" s="13">
        <v>469</v>
      </c>
      <c r="B471" s="15">
        <v>10</v>
      </c>
      <c r="C471" s="16">
        <v>30</v>
      </c>
      <c r="D471" s="17" t="s">
        <v>948</v>
      </c>
      <c r="E471" s="17" t="s">
        <v>949</v>
      </c>
      <c r="F471" s="17">
        <v>99.5</v>
      </c>
      <c r="G471" s="17">
        <v>3607</v>
      </c>
      <c r="H471" s="17">
        <v>111.5</v>
      </c>
      <c r="I471" s="17">
        <v>1692</v>
      </c>
      <c r="J471" s="17">
        <v>93.5</v>
      </c>
      <c r="K471" s="17">
        <v>4431</v>
      </c>
      <c r="L471" s="17">
        <v>45.5</v>
      </c>
      <c r="M471" s="17">
        <v>4898</v>
      </c>
      <c r="N471" s="17"/>
      <c r="O471" s="17"/>
      <c r="P471" s="17">
        <v>58</v>
      </c>
      <c r="Q471" s="17">
        <v>9299</v>
      </c>
      <c r="R471" s="17">
        <v>72</v>
      </c>
      <c r="S471" s="17">
        <v>4793</v>
      </c>
      <c r="T471" s="17"/>
      <c r="U471" s="17"/>
      <c r="V471" s="17"/>
      <c r="W471" s="17"/>
      <c r="X471" s="15">
        <v>304.5</v>
      </c>
      <c r="Y471" s="17">
        <v>239</v>
      </c>
      <c r="Z471" s="17">
        <v>480</v>
      </c>
      <c r="AA471" s="17">
        <v>4277</v>
      </c>
      <c r="AB471" s="12">
        <v>419</v>
      </c>
    </row>
    <row r="472" ht="14.25" spans="1:28">
      <c r="A472" s="13">
        <v>470</v>
      </c>
      <c r="B472" s="15">
        <v>10</v>
      </c>
      <c r="C472" s="16">
        <v>31</v>
      </c>
      <c r="D472" s="17" t="s">
        <v>950</v>
      </c>
      <c r="E472" s="17" t="s">
        <v>951</v>
      </c>
      <c r="F472" s="17">
        <v>107</v>
      </c>
      <c r="G472" s="17">
        <v>945</v>
      </c>
      <c r="H472" s="17">
        <v>107.5</v>
      </c>
      <c r="I472" s="17">
        <v>2373</v>
      </c>
      <c r="J472" s="17">
        <v>96.75</v>
      </c>
      <c r="K472" s="17">
        <v>3707</v>
      </c>
      <c r="L472" s="17">
        <v>65</v>
      </c>
      <c r="M472" s="17">
        <v>1440</v>
      </c>
      <c r="N472" s="17"/>
      <c r="O472" s="17"/>
      <c r="P472" s="17">
        <v>86</v>
      </c>
      <c r="Q472" s="17">
        <v>1052</v>
      </c>
      <c r="R472" s="17">
        <v>79</v>
      </c>
      <c r="S472" s="17">
        <v>2629</v>
      </c>
      <c r="T472" s="17"/>
      <c r="U472" s="17"/>
      <c r="V472" s="17"/>
      <c r="W472" s="17"/>
      <c r="X472" s="15">
        <v>311.25</v>
      </c>
      <c r="Y472" s="17">
        <v>176</v>
      </c>
      <c r="Z472" s="17">
        <v>541.25</v>
      </c>
      <c r="AA472" s="17">
        <v>1581</v>
      </c>
      <c r="AB472" s="12">
        <v>124</v>
      </c>
    </row>
    <row r="473" ht="14.25" spans="1:28">
      <c r="A473" s="13">
        <v>471</v>
      </c>
      <c r="B473" s="15">
        <v>10</v>
      </c>
      <c r="C473" s="16">
        <v>32</v>
      </c>
      <c r="D473" s="17" t="s">
        <v>952</v>
      </c>
      <c r="E473" s="17" t="s">
        <v>953</v>
      </c>
      <c r="F473" s="17">
        <v>95</v>
      </c>
      <c r="G473" s="17">
        <v>6168</v>
      </c>
      <c r="H473" s="17">
        <v>114.5</v>
      </c>
      <c r="I473" s="17">
        <v>1277</v>
      </c>
      <c r="J473" s="17">
        <v>103.5</v>
      </c>
      <c r="K473" s="17">
        <v>2441</v>
      </c>
      <c r="L473" s="17">
        <v>71.5</v>
      </c>
      <c r="M473" s="17">
        <v>714</v>
      </c>
      <c r="N473" s="17"/>
      <c r="O473" s="17"/>
      <c r="P473" s="17">
        <v>85</v>
      </c>
      <c r="Q473" s="17">
        <v>1345</v>
      </c>
      <c r="R473" s="17">
        <v>88</v>
      </c>
      <c r="S473" s="17">
        <v>601</v>
      </c>
      <c r="T473" s="17"/>
      <c r="U473" s="17"/>
      <c r="V473" s="17"/>
      <c r="W473" s="17"/>
      <c r="X473" s="15">
        <v>313</v>
      </c>
      <c r="Y473" s="17">
        <v>167</v>
      </c>
      <c r="Z473" s="17">
        <v>557.5</v>
      </c>
      <c r="AA473" s="17">
        <v>1065</v>
      </c>
      <c r="AB473" s="12">
        <v>78</v>
      </c>
    </row>
    <row r="474" ht="14.25" spans="1:28">
      <c r="A474" s="13">
        <v>472</v>
      </c>
      <c r="B474" s="15">
        <v>10</v>
      </c>
      <c r="C474" s="16">
        <v>33</v>
      </c>
      <c r="D474" s="17" t="s">
        <v>954</v>
      </c>
      <c r="E474" s="17" t="s">
        <v>955</v>
      </c>
      <c r="F474" s="17">
        <v>106</v>
      </c>
      <c r="G474" s="17">
        <v>1174</v>
      </c>
      <c r="H474" s="17">
        <v>112.5</v>
      </c>
      <c r="I474" s="17">
        <v>1543</v>
      </c>
      <c r="J474" s="17">
        <v>100</v>
      </c>
      <c r="K474" s="17">
        <v>3038</v>
      </c>
      <c r="L474" s="17">
        <v>65</v>
      </c>
      <c r="M474" s="17">
        <v>1440</v>
      </c>
      <c r="N474" s="17"/>
      <c r="O474" s="17"/>
      <c r="P474" s="17">
        <v>76</v>
      </c>
      <c r="Q474" s="17">
        <v>3515</v>
      </c>
      <c r="R474" s="17">
        <v>80</v>
      </c>
      <c r="S474" s="17">
        <v>2376</v>
      </c>
      <c r="T474" s="17"/>
      <c r="U474" s="17"/>
      <c r="V474" s="17"/>
      <c r="W474" s="17"/>
      <c r="X474" s="15">
        <v>318.5</v>
      </c>
      <c r="Y474" s="17">
        <v>127</v>
      </c>
      <c r="Z474" s="17">
        <v>539.5</v>
      </c>
      <c r="AA474" s="17">
        <v>1641</v>
      </c>
      <c r="AB474" s="12">
        <v>134</v>
      </c>
    </row>
    <row r="475" ht="14.25" spans="1:28">
      <c r="A475" s="13">
        <v>473</v>
      </c>
      <c r="B475" s="15">
        <v>10</v>
      </c>
      <c r="C475" s="16">
        <v>34</v>
      </c>
      <c r="D475" s="17" t="s">
        <v>956</v>
      </c>
      <c r="E475" s="17" t="s">
        <v>957</v>
      </c>
      <c r="F475" s="17">
        <v>88.5</v>
      </c>
      <c r="G475" s="17">
        <v>10291</v>
      </c>
      <c r="H475" s="17">
        <v>100.5</v>
      </c>
      <c r="I475" s="17">
        <v>3650</v>
      </c>
      <c r="J475" s="17">
        <v>98</v>
      </c>
      <c r="K475" s="17">
        <v>3454</v>
      </c>
      <c r="L475" s="17">
        <v>61</v>
      </c>
      <c r="M475" s="17">
        <v>2008</v>
      </c>
      <c r="N475" s="17"/>
      <c r="O475" s="17"/>
      <c r="P475" s="17">
        <v>75</v>
      </c>
      <c r="Q475" s="17">
        <v>3841</v>
      </c>
      <c r="R475" s="17">
        <v>74</v>
      </c>
      <c r="S475" s="17">
        <v>4119</v>
      </c>
      <c r="T475" s="17"/>
      <c r="U475" s="17"/>
      <c r="V475" s="17"/>
      <c r="W475" s="17"/>
      <c r="X475" s="15">
        <v>287</v>
      </c>
      <c r="Y475" s="17">
        <v>386</v>
      </c>
      <c r="Z475" s="17">
        <v>497</v>
      </c>
      <c r="AA475" s="17">
        <v>3380</v>
      </c>
      <c r="AB475" s="12">
        <v>345</v>
      </c>
    </row>
    <row r="476" ht="14.25" spans="1:28">
      <c r="A476" s="13">
        <v>474</v>
      </c>
      <c r="B476" s="15">
        <v>10</v>
      </c>
      <c r="C476" s="16">
        <v>35</v>
      </c>
      <c r="D476" s="17" t="s">
        <v>958</v>
      </c>
      <c r="E476" s="17" t="s">
        <v>959</v>
      </c>
      <c r="F476" s="17">
        <v>104.5</v>
      </c>
      <c r="G476" s="17">
        <v>1551</v>
      </c>
      <c r="H476" s="17">
        <v>92</v>
      </c>
      <c r="I476" s="17">
        <v>5417</v>
      </c>
      <c r="J476" s="17">
        <v>107.5</v>
      </c>
      <c r="K476" s="17">
        <v>1810</v>
      </c>
      <c r="L476" s="17">
        <v>42.5</v>
      </c>
      <c r="M476" s="17">
        <v>5605</v>
      </c>
      <c r="N476" s="17"/>
      <c r="O476" s="17"/>
      <c r="P476" s="17">
        <v>70</v>
      </c>
      <c r="Q476" s="17">
        <v>5445</v>
      </c>
      <c r="R476" s="17">
        <v>88</v>
      </c>
      <c r="S476" s="17">
        <v>601</v>
      </c>
      <c r="T476" s="17"/>
      <c r="U476" s="17"/>
      <c r="V476" s="17"/>
      <c r="W476" s="17"/>
      <c r="X476" s="15">
        <v>304</v>
      </c>
      <c r="Y476" s="17">
        <v>245</v>
      </c>
      <c r="Z476" s="17">
        <v>504.5</v>
      </c>
      <c r="AA476" s="17">
        <v>3031</v>
      </c>
      <c r="AB476" s="12">
        <v>301</v>
      </c>
    </row>
    <row r="477" ht="14.25" spans="1:28">
      <c r="A477" s="13">
        <v>475</v>
      </c>
      <c r="B477" s="15">
        <v>10</v>
      </c>
      <c r="C477" s="16">
        <v>36</v>
      </c>
      <c r="D477" s="17" t="s">
        <v>960</v>
      </c>
      <c r="E477" s="17" t="s">
        <v>961</v>
      </c>
      <c r="F477" s="17">
        <v>102.75</v>
      </c>
      <c r="G477" s="17">
        <v>2250</v>
      </c>
      <c r="H477" s="17">
        <v>107.5</v>
      </c>
      <c r="I477" s="17">
        <v>2373</v>
      </c>
      <c r="J477" s="17">
        <v>101</v>
      </c>
      <c r="K477" s="17">
        <v>2859</v>
      </c>
      <c r="L477" s="17">
        <v>65.5</v>
      </c>
      <c r="M477" s="17">
        <v>1373</v>
      </c>
      <c r="N477" s="17"/>
      <c r="O477" s="17"/>
      <c r="P477" s="17">
        <v>78</v>
      </c>
      <c r="Q477" s="17">
        <v>2908</v>
      </c>
      <c r="R477" s="17">
        <v>86</v>
      </c>
      <c r="S477" s="17">
        <v>1176</v>
      </c>
      <c r="T477" s="17"/>
      <c r="U477" s="17"/>
      <c r="V477" s="17"/>
      <c r="W477" s="17"/>
      <c r="X477" s="15">
        <v>311.25</v>
      </c>
      <c r="Y477" s="17">
        <v>176</v>
      </c>
      <c r="Z477" s="17">
        <v>540.75</v>
      </c>
      <c r="AA477" s="17">
        <v>1598</v>
      </c>
      <c r="AB477" s="12">
        <v>126</v>
      </c>
    </row>
    <row r="478" ht="14.25" spans="1:28">
      <c r="A478" s="13">
        <v>476</v>
      </c>
      <c r="B478" s="15">
        <v>10</v>
      </c>
      <c r="C478" s="16">
        <v>37</v>
      </c>
      <c r="D478" s="17" t="s">
        <v>962</v>
      </c>
      <c r="E478" s="17" t="s">
        <v>963</v>
      </c>
      <c r="F478" s="17">
        <v>93.5</v>
      </c>
      <c r="G478" s="17">
        <v>7127</v>
      </c>
      <c r="H478" s="17">
        <v>106</v>
      </c>
      <c r="I478" s="17">
        <v>2619</v>
      </c>
      <c r="J478" s="17">
        <v>91.25</v>
      </c>
      <c r="K478" s="17">
        <v>4978</v>
      </c>
      <c r="L478" s="17">
        <v>59.5</v>
      </c>
      <c r="M478" s="17">
        <v>2274</v>
      </c>
      <c r="N478" s="17"/>
      <c r="O478" s="17"/>
      <c r="P478" s="17">
        <v>83</v>
      </c>
      <c r="Q478" s="17">
        <v>1643</v>
      </c>
      <c r="R478" s="17">
        <v>90</v>
      </c>
      <c r="S478" s="17">
        <v>255</v>
      </c>
      <c r="T478" s="17"/>
      <c r="U478" s="17"/>
      <c r="V478" s="17"/>
      <c r="W478" s="17"/>
      <c r="X478" s="15">
        <v>290.75</v>
      </c>
      <c r="Y478" s="17">
        <v>361</v>
      </c>
      <c r="Z478" s="17">
        <v>523.25</v>
      </c>
      <c r="AA478" s="17">
        <v>2235</v>
      </c>
      <c r="AB478" s="12">
        <v>201</v>
      </c>
    </row>
    <row r="479" ht="14.25" spans="1:28">
      <c r="A479" s="13">
        <v>477</v>
      </c>
      <c r="B479" s="15">
        <v>10</v>
      </c>
      <c r="C479" s="16">
        <v>38</v>
      </c>
      <c r="D479" s="17" t="s">
        <v>964</v>
      </c>
      <c r="E479" s="17" t="s">
        <v>965</v>
      </c>
      <c r="F479" s="17">
        <v>109</v>
      </c>
      <c r="G479" s="17">
        <v>567</v>
      </c>
      <c r="H479" s="17">
        <v>113</v>
      </c>
      <c r="I479" s="17">
        <v>1467</v>
      </c>
      <c r="J479" s="17">
        <v>109.5</v>
      </c>
      <c r="K479" s="17">
        <v>1527</v>
      </c>
      <c r="L479" s="17">
        <v>66.5</v>
      </c>
      <c r="M479" s="17">
        <v>1237</v>
      </c>
      <c r="N479" s="17"/>
      <c r="O479" s="17"/>
      <c r="P479" s="17">
        <v>80</v>
      </c>
      <c r="Q479" s="17">
        <v>2333</v>
      </c>
      <c r="R479" s="17">
        <v>90</v>
      </c>
      <c r="S479" s="17">
        <v>255</v>
      </c>
      <c r="T479" s="17"/>
      <c r="U479" s="17"/>
      <c r="V479" s="17"/>
      <c r="W479" s="17"/>
      <c r="X479" s="15">
        <v>331.5</v>
      </c>
      <c r="Y479" s="17">
        <v>59</v>
      </c>
      <c r="Z479" s="17">
        <v>568</v>
      </c>
      <c r="AA479" s="17">
        <v>808</v>
      </c>
      <c r="AB479" s="12">
        <v>53</v>
      </c>
    </row>
    <row r="480" ht="14.25" spans="1:28">
      <c r="A480" s="13">
        <v>478</v>
      </c>
      <c r="B480" s="15">
        <v>10</v>
      </c>
      <c r="C480" s="16">
        <v>39</v>
      </c>
      <c r="D480" s="17" t="s">
        <v>966</v>
      </c>
      <c r="E480" s="17" t="s">
        <v>967</v>
      </c>
      <c r="F480" s="17">
        <v>95</v>
      </c>
      <c r="G480" s="17">
        <v>6168</v>
      </c>
      <c r="H480" s="17">
        <v>112.5</v>
      </c>
      <c r="I480" s="17">
        <v>1543</v>
      </c>
      <c r="J480" s="17">
        <v>108.75</v>
      </c>
      <c r="K480" s="17">
        <v>1628</v>
      </c>
      <c r="L480" s="17">
        <v>64</v>
      </c>
      <c r="M480" s="17">
        <v>1577</v>
      </c>
      <c r="N480" s="17"/>
      <c r="O480" s="17"/>
      <c r="P480" s="17">
        <v>77</v>
      </c>
      <c r="Q480" s="17">
        <v>3207</v>
      </c>
      <c r="R480" s="17">
        <v>79</v>
      </c>
      <c r="S480" s="17">
        <v>2629</v>
      </c>
      <c r="T480" s="17"/>
      <c r="U480" s="17"/>
      <c r="V480" s="17"/>
      <c r="W480" s="17"/>
      <c r="X480" s="15">
        <v>316.25</v>
      </c>
      <c r="Y480" s="17">
        <v>143</v>
      </c>
      <c r="Z480" s="17">
        <v>536.25</v>
      </c>
      <c r="AA480" s="17">
        <v>1737</v>
      </c>
      <c r="AB480" s="12">
        <v>144</v>
      </c>
    </row>
    <row r="481" ht="14.25" spans="1:28">
      <c r="A481" s="13">
        <v>479</v>
      </c>
      <c r="B481" s="15">
        <v>10</v>
      </c>
      <c r="C481" s="16">
        <v>40</v>
      </c>
      <c r="D481" s="17" t="s">
        <v>968</v>
      </c>
      <c r="E481" s="17" t="s">
        <v>969</v>
      </c>
      <c r="F481" s="17">
        <v>115</v>
      </c>
      <c r="G481" s="17">
        <v>77</v>
      </c>
      <c r="H481" s="17">
        <v>103</v>
      </c>
      <c r="I481" s="17">
        <v>3209</v>
      </c>
      <c r="J481" s="17">
        <v>112.75</v>
      </c>
      <c r="K481" s="17">
        <v>1155</v>
      </c>
      <c r="L481" s="17">
        <v>66</v>
      </c>
      <c r="M481" s="17">
        <v>1304</v>
      </c>
      <c r="N481" s="17"/>
      <c r="O481" s="17"/>
      <c r="P481" s="17">
        <v>89</v>
      </c>
      <c r="Q481" s="17">
        <v>222</v>
      </c>
      <c r="R481" s="17">
        <v>76</v>
      </c>
      <c r="S481" s="17">
        <v>3491</v>
      </c>
      <c r="T481" s="17"/>
      <c r="U481" s="17"/>
      <c r="V481" s="17"/>
      <c r="W481" s="17"/>
      <c r="X481" s="15">
        <v>330.75</v>
      </c>
      <c r="Y481" s="17">
        <v>61</v>
      </c>
      <c r="Z481" s="17">
        <v>561.75</v>
      </c>
      <c r="AA481" s="17">
        <v>953</v>
      </c>
      <c r="AB481" s="12">
        <v>68</v>
      </c>
    </row>
    <row r="482" ht="14.25" spans="1:28">
      <c r="A482" s="13">
        <v>480</v>
      </c>
      <c r="B482" s="15">
        <v>10</v>
      </c>
      <c r="C482" s="16">
        <v>41</v>
      </c>
      <c r="D482" s="17" t="s">
        <v>970</v>
      </c>
      <c r="E482" s="17" t="s">
        <v>971</v>
      </c>
      <c r="F482" s="17">
        <v>103.5</v>
      </c>
      <c r="G482" s="17">
        <v>1897</v>
      </c>
      <c r="H482" s="17">
        <v>111</v>
      </c>
      <c r="I482" s="17">
        <v>1774</v>
      </c>
      <c r="J482" s="17">
        <v>94.25</v>
      </c>
      <c r="K482" s="17">
        <v>4296</v>
      </c>
      <c r="L482" s="17">
        <v>75.5</v>
      </c>
      <c r="M482" s="17">
        <v>413</v>
      </c>
      <c r="N482" s="17"/>
      <c r="O482" s="17"/>
      <c r="P482" s="17">
        <v>72</v>
      </c>
      <c r="Q482" s="17">
        <v>4881</v>
      </c>
      <c r="R482" s="17">
        <v>77</v>
      </c>
      <c r="S482" s="17">
        <v>3183</v>
      </c>
      <c r="T482" s="17"/>
      <c r="U482" s="17"/>
      <c r="V482" s="17"/>
      <c r="W482" s="17"/>
      <c r="X482" s="15">
        <v>308.75</v>
      </c>
      <c r="Y482" s="17">
        <v>206</v>
      </c>
      <c r="Z482" s="17">
        <v>533.25</v>
      </c>
      <c r="AA482" s="17">
        <v>1832</v>
      </c>
      <c r="AB482" s="12">
        <v>156</v>
      </c>
    </row>
    <row r="483" ht="14.25" spans="1:28">
      <c r="A483" s="13">
        <v>481</v>
      </c>
      <c r="B483" s="15">
        <v>10</v>
      </c>
      <c r="C483" s="16">
        <v>42</v>
      </c>
      <c r="D483" s="17" t="s">
        <v>972</v>
      </c>
      <c r="E483" s="17" t="s">
        <v>973</v>
      </c>
      <c r="F483" s="17">
        <v>98.5</v>
      </c>
      <c r="G483" s="17">
        <v>4145</v>
      </c>
      <c r="H483" s="17">
        <v>116.5</v>
      </c>
      <c r="I483" s="17">
        <v>1035</v>
      </c>
      <c r="J483" s="17">
        <v>99.75</v>
      </c>
      <c r="K483" s="17">
        <v>3109</v>
      </c>
      <c r="L483" s="17">
        <v>74.5</v>
      </c>
      <c r="M483" s="17">
        <v>487</v>
      </c>
      <c r="N483" s="17"/>
      <c r="O483" s="17"/>
      <c r="P483" s="17">
        <v>81</v>
      </c>
      <c r="Q483" s="17">
        <v>2079</v>
      </c>
      <c r="R483" s="17">
        <v>90</v>
      </c>
      <c r="S483" s="17">
        <v>255</v>
      </c>
      <c r="T483" s="17"/>
      <c r="U483" s="17"/>
      <c r="V483" s="17"/>
      <c r="W483" s="17"/>
      <c r="X483" s="15">
        <v>314.75</v>
      </c>
      <c r="Y483" s="17">
        <v>151</v>
      </c>
      <c r="Z483" s="17">
        <v>560.25</v>
      </c>
      <c r="AA483" s="17">
        <v>994</v>
      </c>
      <c r="AB483" s="12">
        <v>72</v>
      </c>
    </row>
    <row r="484" ht="14.25" spans="1:28">
      <c r="A484" s="13">
        <v>482</v>
      </c>
      <c r="B484" s="15">
        <v>10</v>
      </c>
      <c r="C484" s="16">
        <v>43</v>
      </c>
      <c r="D484" s="17" t="s">
        <v>974</v>
      </c>
      <c r="E484" s="17" t="s">
        <v>975</v>
      </c>
      <c r="F484" s="17">
        <v>96.5</v>
      </c>
      <c r="G484" s="17">
        <v>5262</v>
      </c>
      <c r="H484" s="17">
        <v>100.5</v>
      </c>
      <c r="I484" s="17">
        <v>3650</v>
      </c>
      <c r="J484" s="17">
        <v>99</v>
      </c>
      <c r="K484" s="17">
        <v>3244</v>
      </c>
      <c r="L484" s="17">
        <v>73</v>
      </c>
      <c r="M484" s="17">
        <v>575</v>
      </c>
      <c r="N484" s="17"/>
      <c r="O484" s="17"/>
      <c r="P484" s="17">
        <v>87</v>
      </c>
      <c r="Q484" s="17">
        <v>681</v>
      </c>
      <c r="R484" s="17">
        <v>82</v>
      </c>
      <c r="S484" s="17">
        <v>1915</v>
      </c>
      <c r="T484" s="17"/>
      <c r="U484" s="17"/>
      <c r="V484" s="17"/>
      <c r="W484" s="17"/>
      <c r="X484" s="15">
        <v>296</v>
      </c>
      <c r="Y484" s="17">
        <v>307</v>
      </c>
      <c r="Z484" s="17">
        <v>538</v>
      </c>
      <c r="AA484" s="17">
        <v>1682</v>
      </c>
      <c r="AB484" s="12">
        <v>138</v>
      </c>
    </row>
    <row r="485" ht="14.25" spans="1:28">
      <c r="A485" s="13">
        <v>483</v>
      </c>
      <c r="B485" s="15">
        <v>10</v>
      </c>
      <c r="C485" s="16">
        <v>44</v>
      </c>
      <c r="D485" s="17" t="s">
        <v>976</v>
      </c>
      <c r="E485" s="17" t="s">
        <v>977</v>
      </c>
      <c r="F485" s="17">
        <v>94</v>
      </c>
      <c r="G485" s="17">
        <v>6811</v>
      </c>
      <c r="H485" s="17">
        <v>109.5</v>
      </c>
      <c r="I485" s="17">
        <v>2023</v>
      </c>
      <c r="J485" s="17">
        <v>114.25</v>
      </c>
      <c r="K485" s="17">
        <v>986</v>
      </c>
      <c r="L485" s="17">
        <v>58</v>
      </c>
      <c r="M485" s="17">
        <v>2538</v>
      </c>
      <c r="N485" s="17"/>
      <c r="O485" s="17"/>
      <c r="P485" s="17">
        <v>86</v>
      </c>
      <c r="Q485" s="17">
        <v>1052</v>
      </c>
      <c r="R485" s="17">
        <v>85</v>
      </c>
      <c r="S485" s="17">
        <v>1393</v>
      </c>
      <c r="T485" s="17"/>
      <c r="U485" s="17"/>
      <c r="V485" s="17"/>
      <c r="W485" s="17"/>
      <c r="X485" s="15">
        <v>317.75</v>
      </c>
      <c r="Y485" s="17">
        <v>133</v>
      </c>
      <c r="Z485" s="17">
        <v>546.75</v>
      </c>
      <c r="AA485" s="17">
        <v>1400</v>
      </c>
      <c r="AB485" s="12">
        <v>106</v>
      </c>
    </row>
    <row r="486" ht="14.25" spans="1:28">
      <c r="A486" s="13">
        <v>484</v>
      </c>
      <c r="B486" s="15">
        <v>10</v>
      </c>
      <c r="C486" s="16">
        <v>45</v>
      </c>
      <c r="D486" s="17" t="s">
        <v>978</v>
      </c>
      <c r="E486" s="17" t="s">
        <v>979</v>
      </c>
      <c r="F486" s="17">
        <v>90.5</v>
      </c>
      <c r="G486" s="17">
        <v>8999</v>
      </c>
      <c r="H486" s="17">
        <v>113.5</v>
      </c>
      <c r="I486" s="17">
        <v>1397</v>
      </c>
      <c r="J486" s="17">
        <v>89</v>
      </c>
      <c r="K486" s="17">
        <v>5512</v>
      </c>
      <c r="L486" s="17">
        <v>73.5</v>
      </c>
      <c r="M486" s="17">
        <v>548</v>
      </c>
      <c r="N486" s="17"/>
      <c r="O486" s="17"/>
      <c r="P486" s="17">
        <v>83</v>
      </c>
      <c r="Q486" s="17">
        <v>1643</v>
      </c>
      <c r="R486" s="17">
        <v>91</v>
      </c>
      <c r="S486" s="17">
        <v>151</v>
      </c>
      <c r="T486" s="17"/>
      <c r="U486" s="17"/>
      <c r="V486" s="17"/>
      <c r="W486" s="17"/>
      <c r="X486" s="15">
        <v>293</v>
      </c>
      <c r="Y486" s="17">
        <v>335</v>
      </c>
      <c r="Z486" s="17">
        <v>540.5</v>
      </c>
      <c r="AA486" s="17">
        <v>1602</v>
      </c>
      <c r="AB486" s="12">
        <v>128</v>
      </c>
    </row>
    <row r="487" ht="14.25" spans="1:28">
      <c r="A487" s="13">
        <v>485</v>
      </c>
      <c r="B487" s="15">
        <v>10</v>
      </c>
      <c r="C487" s="16">
        <v>46</v>
      </c>
      <c r="D487" s="17" t="s">
        <v>980</v>
      </c>
      <c r="E487" s="17" t="s">
        <v>981</v>
      </c>
      <c r="F487" s="17">
        <v>108</v>
      </c>
      <c r="G487" s="17">
        <v>736</v>
      </c>
      <c r="H487" s="17">
        <v>111.5</v>
      </c>
      <c r="I487" s="17">
        <v>1692</v>
      </c>
      <c r="J487" s="17">
        <v>86.25</v>
      </c>
      <c r="K487" s="17">
        <v>6223</v>
      </c>
      <c r="L487" s="17">
        <v>73</v>
      </c>
      <c r="M487" s="17">
        <v>575</v>
      </c>
      <c r="N487" s="17"/>
      <c r="O487" s="17"/>
      <c r="P487" s="17">
        <v>88</v>
      </c>
      <c r="Q487" s="17">
        <v>397</v>
      </c>
      <c r="R487" s="17">
        <v>91</v>
      </c>
      <c r="S487" s="17">
        <v>151</v>
      </c>
      <c r="T487" s="17"/>
      <c r="U487" s="17"/>
      <c r="V487" s="17"/>
      <c r="W487" s="17"/>
      <c r="X487" s="15">
        <v>305.75</v>
      </c>
      <c r="Y487" s="17">
        <v>229</v>
      </c>
      <c r="Z487" s="17">
        <v>557.75</v>
      </c>
      <c r="AA487" s="17">
        <v>1057</v>
      </c>
      <c r="AB487" s="12">
        <v>77</v>
      </c>
    </row>
    <row r="488" ht="14.25" spans="1:28">
      <c r="A488" s="13">
        <v>486</v>
      </c>
      <c r="B488" s="15">
        <v>10</v>
      </c>
      <c r="C488" s="16">
        <v>47</v>
      </c>
      <c r="D488" s="17" t="s">
        <v>982</v>
      </c>
      <c r="E488" s="17" t="s">
        <v>983</v>
      </c>
      <c r="F488" s="17">
        <v>104.5</v>
      </c>
      <c r="G488" s="17">
        <v>1551</v>
      </c>
      <c r="H488" s="17">
        <v>120.5</v>
      </c>
      <c r="I488" s="17">
        <v>665</v>
      </c>
      <c r="J488" s="17">
        <v>108</v>
      </c>
      <c r="K488" s="17">
        <v>1721</v>
      </c>
      <c r="L488" s="17">
        <v>74.5</v>
      </c>
      <c r="M488" s="17">
        <v>487</v>
      </c>
      <c r="N488" s="17"/>
      <c r="O488" s="17"/>
      <c r="P488" s="17">
        <v>87</v>
      </c>
      <c r="Q488" s="17">
        <v>681</v>
      </c>
      <c r="R488" s="17">
        <v>89</v>
      </c>
      <c r="S488" s="17">
        <v>415</v>
      </c>
      <c r="T488" s="17"/>
      <c r="U488" s="17"/>
      <c r="V488" s="17"/>
      <c r="W488" s="17"/>
      <c r="X488" s="15">
        <v>333</v>
      </c>
      <c r="Y488" s="17">
        <v>56</v>
      </c>
      <c r="Z488" s="17">
        <v>583.5</v>
      </c>
      <c r="AA488" s="17">
        <v>451</v>
      </c>
      <c r="AB488" s="12">
        <v>24</v>
      </c>
    </row>
    <row r="489" ht="14.25" spans="1:28">
      <c r="A489" s="13">
        <v>487</v>
      </c>
      <c r="B489" s="15">
        <v>10</v>
      </c>
      <c r="C489" s="16">
        <v>48</v>
      </c>
      <c r="D489" s="19" t="s">
        <v>984</v>
      </c>
      <c r="E489" s="17" t="s">
        <v>985</v>
      </c>
      <c r="F489" s="17">
        <v>98.75</v>
      </c>
      <c r="G489" s="17">
        <v>4121</v>
      </c>
      <c r="H489" s="17">
        <v>106</v>
      </c>
      <c r="I489" s="17">
        <v>2619</v>
      </c>
      <c r="J489" s="17">
        <v>112.5</v>
      </c>
      <c r="K489" s="17">
        <v>1174</v>
      </c>
      <c r="L489" s="17">
        <v>61</v>
      </c>
      <c r="M489" s="17">
        <v>2008</v>
      </c>
      <c r="N489" s="17"/>
      <c r="O489" s="17"/>
      <c r="P489" s="17">
        <v>88</v>
      </c>
      <c r="Q489" s="17">
        <v>397</v>
      </c>
      <c r="R489" s="17">
        <v>87</v>
      </c>
      <c r="S489" s="17">
        <v>883</v>
      </c>
      <c r="T489" s="17"/>
      <c r="U489" s="17"/>
      <c r="V489" s="17"/>
      <c r="W489" s="17"/>
      <c r="X489" s="15">
        <v>317.25</v>
      </c>
      <c r="Y489" s="17">
        <v>137</v>
      </c>
      <c r="Z489" s="17">
        <v>553.25</v>
      </c>
      <c r="AA489" s="17">
        <v>1194</v>
      </c>
      <c r="AB489" s="12">
        <v>92</v>
      </c>
    </row>
    <row r="490" ht="14.25" spans="1:28">
      <c r="A490" s="13">
        <v>488</v>
      </c>
      <c r="B490" s="15">
        <v>10</v>
      </c>
      <c r="C490" s="16">
        <v>49</v>
      </c>
      <c r="D490" s="17" t="s">
        <v>986</v>
      </c>
      <c r="E490" s="17" t="s">
        <v>987</v>
      </c>
      <c r="F490" s="17">
        <v>98</v>
      </c>
      <c r="G490" s="17">
        <v>4423</v>
      </c>
      <c r="H490" s="17">
        <v>115</v>
      </c>
      <c r="I490" s="17">
        <v>1213</v>
      </c>
      <c r="J490" s="17">
        <v>92</v>
      </c>
      <c r="K490" s="17">
        <v>4787</v>
      </c>
      <c r="L490" s="17">
        <v>63.5</v>
      </c>
      <c r="M490" s="17">
        <v>1636</v>
      </c>
      <c r="N490" s="17"/>
      <c r="O490" s="17"/>
      <c r="P490" s="17">
        <v>77</v>
      </c>
      <c r="Q490" s="17">
        <v>3207</v>
      </c>
      <c r="R490" s="17">
        <v>86</v>
      </c>
      <c r="S490" s="17">
        <v>1176</v>
      </c>
      <c r="T490" s="17"/>
      <c r="U490" s="17"/>
      <c r="V490" s="17"/>
      <c r="W490" s="17"/>
      <c r="X490" s="15">
        <v>305</v>
      </c>
      <c r="Y490" s="17">
        <v>236</v>
      </c>
      <c r="Z490" s="17">
        <v>531.5</v>
      </c>
      <c r="AA490" s="17">
        <v>1892</v>
      </c>
      <c r="AB490" s="12">
        <v>165</v>
      </c>
    </row>
    <row r="491" ht="14.25" spans="1:28">
      <c r="A491" s="13">
        <v>489</v>
      </c>
      <c r="B491" s="15">
        <v>10</v>
      </c>
      <c r="C491" s="16">
        <v>50</v>
      </c>
      <c r="D491" s="17" t="s">
        <v>988</v>
      </c>
      <c r="E491" s="17" t="s">
        <v>989</v>
      </c>
      <c r="F491" s="17">
        <v>107</v>
      </c>
      <c r="G491" s="17">
        <v>945</v>
      </c>
      <c r="H491" s="17">
        <v>119.5</v>
      </c>
      <c r="I491" s="17">
        <v>753</v>
      </c>
      <c r="J491" s="17">
        <v>100.5</v>
      </c>
      <c r="K491" s="17">
        <v>2946</v>
      </c>
      <c r="L491" s="17">
        <v>63</v>
      </c>
      <c r="M491" s="17">
        <v>1702</v>
      </c>
      <c r="N491" s="17"/>
      <c r="O491" s="17"/>
      <c r="P491" s="17">
        <v>92</v>
      </c>
      <c r="Q491" s="17">
        <v>36</v>
      </c>
      <c r="R491" s="17">
        <v>83</v>
      </c>
      <c r="S491" s="17">
        <v>1715</v>
      </c>
      <c r="T491" s="17"/>
      <c r="U491" s="17"/>
      <c r="V491" s="17"/>
      <c r="W491" s="17"/>
      <c r="X491" s="15">
        <v>327</v>
      </c>
      <c r="Y491" s="17">
        <v>77</v>
      </c>
      <c r="Z491" s="17">
        <v>565</v>
      </c>
      <c r="AA491" s="17">
        <v>866</v>
      </c>
      <c r="AB491" s="12">
        <v>57</v>
      </c>
    </row>
    <row r="492" ht="14.25" spans="1:28">
      <c r="A492" s="13">
        <v>490</v>
      </c>
      <c r="B492" s="15">
        <v>10</v>
      </c>
      <c r="C492" s="16">
        <v>51</v>
      </c>
      <c r="D492" s="17" t="s">
        <v>990</v>
      </c>
      <c r="E492" s="17" t="s">
        <v>991</v>
      </c>
      <c r="F492" s="17">
        <v>106</v>
      </c>
      <c r="G492" s="17">
        <v>1174</v>
      </c>
      <c r="H492" s="17">
        <v>112</v>
      </c>
      <c r="I492" s="17">
        <v>1617</v>
      </c>
      <c r="J492" s="17">
        <v>112.5</v>
      </c>
      <c r="K492" s="17">
        <v>1174</v>
      </c>
      <c r="L492" s="17">
        <v>63.5</v>
      </c>
      <c r="M492" s="17">
        <v>1636</v>
      </c>
      <c r="N492" s="17"/>
      <c r="O492" s="17"/>
      <c r="P492" s="17">
        <v>78</v>
      </c>
      <c r="Q492" s="17">
        <v>2908</v>
      </c>
      <c r="R492" s="17">
        <v>82</v>
      </c>
      <c r="S492" s="17">
        <v>1915</v>
      </c>
      <c r="T492" s="17"/>
      <c r="U492" s="17"/>
      <c r="V492" s="17"/>
      <c r="W492" s="17"/>
      <c r="X492" s="15">
        <v>330.5</v>
      </c>
      <c r="Y492" s="17">
        <v>63</v>
      </c>
      <c r="Z492" s="17">
        <v>554</v>
      </c>
      <c r="AA492" s="17">
        <v>1167</v>
      </c>
      <c r="AB492" s="12">
        <v>89</v>
      </c>
    </row>
    <row r="493" ht="14.25" spans="1:28">
      <c r="A493" s="13">
        <v>491</v>
      </c>
      <c r="B493" s="15">
        <v>10</v>
      </c>
      <c r="C493" s="16">
        <v>52</v>
      </c>
      <c r="D493" s="17" t="s">
        <v>992</v>
      </c>
      <c r="E493" s="17" t="s">
        <v>993</v>
      </c>
      <c r="F493" s="17">
        <v>98.5</v>
      </c>
      <c r="G493" s="17">
        <v>4145</v>
      </c>
      <c r="H493" s="17">
        <v>105</v>
      </c>
      <c r="I493" s="17">
        <v>2810</v>
      </c>
      <c r="J493" s="17">
        <v>96.75</v>
      </c>
      <c r="K493" s="17">
        <v>3707</v>
      </c>
      <c r="L493" s="17">
        <v>72.5</v>
      </c>
      <c r="M493" s="17">
        <v>627</v>
      </c>
      <c r="N493" s="17"/>
      <c r="O493" s="17"/>
      <c r="P493" s="17">
        <v>79</v>
      </c>
      <c r="Q493" s="17">
        <v>2632</v>
      </c>
      <c r="R493" s="17">
        <v>80</v>
      </c>
      <c r="S493" s="17">
        <v>2376</v>
      </c>
      <c r="T493" s="17"/>
      <c r="U493" s="17"/>
      <c r="V493" s="17"/>
      <c r="W493" s="17"/>
      <c r="X493" s="15">
        <v>300.25</v>
      </c>
      <c r="Y493" s="17">
        <v>274</v>
      </c>
      <c r="Z493" s="17">
        <v>531.75</v>
      </c>
      <c r="AA493" s="17">
        <v>1886</v>
      </c>
      <c r="AB493" s="12">
        <v>162</v>
      </c>
    </row>
    <row r="494" ht="14.25" spans="1:28">
      <c r="A494" s="13">
        <v>492</v>
      </c>
      <c r="B494" s="15">
        <v>10</v>
      </c>
      <c r="C494" s="16">
        <v>53</v>
      </c>
      <c r="D494" s="17" t="s">
        <v>994</v>
      </c>
      <c r="E494" s="17" t="s">
        <v>995</v>
      </c>
      <c r="F494" s="17">
        <v>102.5</v>
      </c>
      <c r="G494" s="17">
        <v>2274</v>
      </c>
      <c r="H494" s="17">
        <v>116.5</v>
      </c>
      <c r="I494" s="17">
        <v>1035</v>
      </c>
      <c r="J494" s="17">
        <v>114.75</v>
      </c>
      <c r="K494" s="17">
        <v>938</v>
      </c>
      <c r="L494" s="17">
        <v>83</v>
      </c>
      <c r="M494" s="17">
        <v>65</v>
      </c>
      <c r="N494" s="17"/>
      <c r="O494" s="17"/>
      <c r="P494" s="17">
        <v>88</v>
      </c>
      <c r="Q494" s="17">
        <v>397</v>
      </c>
      <c r="R494" s="17">
        <v>93</v>
      </c>
      <c r="S494" s="17">
        <v>50</v>
      </c>
      <c r="T494" s="17"/>
      <c r="U494" s="17"/>
      <c r="V494" s="17"/>
      <c r="W494" s="17"/>
      <c r="X494" s="15">
        <v>333.75</v>
      </c>
      <c r="Y494" s="17">
        <v>54</v>
      </c>
      <c r="Z494" s="17">
        <v>597.75</v>
      </c>
      <c r="AA494" s="17">
        <v>253</v>
      </c>
      <c r="AB494" s="12">
        <v>13</v>
      </c>
    </row>
    <row r="495" ht="14.25" spans="1:28">
      <c r="A495" s="13">
        <v>493</v>
      </c>
      <c r="B495" s="15">
        <v>10</v>
      </c>
      <c r="C495" s="16">
        <v>54</v>
      </c>
      <c r="D495" s="17" t="s">
        <v>996</v>
      </c>
      <c r="E495" s="17" t="s">
        <v>997</v>
      </c>
      <c r="F495" s="17">
        <v>108.5</v>
      </c>
      <c r="G495" s="17">
        <v>650</v>
      </c>
      <c r="H495" s="17">
        <v>121.5</v>
      </c>
      <c r="I495" s="17">
        <v>581</v>
      </c>
      <c r="J495" s="17">
        <v>121.75</v>
      </c>
      <c r="K495" s="17">
        <v>398</v>
      </c>
      <c r="L495" s="17">
        <v>84.5</v>
      </c>
      <c r="M495" s="17">
        <v>36</v>
      </c>
      <c r="N495" s="17"/>
      <c r="O495" s="17"/>
      <c r="P495" s="17">
        <v>88</v>
      </c>
      <c r="Q495" s="17">
        <v>397</v>
      </c>
      <c r="R495" s="17">
        <v>87</v>
      </c>
      <c r="S495" s="17">
        <v>883</v>
      </c>
      <c r="T495" s="17"/>
      <c r="U495" s="17"/>
      <c r="V495" s="17"/>
      <c r="W495" s="17"/>
      <c r="X495" s="15">
        <v>351.75</v>
      </c>
      <c r="Y495" s="17">
        <v>10</v>
      </c>
      <c r="Z495" s="17">
        <v>611.25</v>
      </c>
      <c r="AA495" s="17">
        <v>126</v>
      </c>
      <c r="AB495" s="12">
        <v>6</v>
      </c>
    </row>
    <row r="496" ht="14.25" spans="1:28">
      <c r="A496" s="13">
        <v>494</v>
      </c>
      <c r="B496" s="15">
        <v>10</v>
      </c>
      <c r="C496" s="16">
        <v>55</v>
      </c>
      <c r="D496" s="17" t="s">
        <v>998</v>
      </c>
      <c r="E496" s="17" t="s">
        <v>999</v>
      </c>
      <c r="F496" s="17">
        <v>108.75</v>
      </c>
      <c r="G496" s="17">
        <v>640</v>
      </c>
      <c r="H496" s="17">
        <v>98.5</v>
      </c>
      <c r="I496" s="17">
        <v>4047</v>
      </c>
      <c r="J496" s="17">
        <v>117.25</v>
      </c>
      <c r="K496" s="17">
        <v>714</v>
      </c>
      <c r="L496" s="17">
        <v>55</v>
      </c>
      <c r="M496" s="17">
        <v>3031</v>
      </c>
      <c r="N496" s="17"/>
      <c r="O496" s="17"/>
      <c r="P496" s="17">
        <v>86</v>
      </c>
      <c r="Q496" s="17">
        <v>1052</v>
      </c>
      <c r="R496" s="17">
        <v>84</v>
      </c>
      <c r="S496" s="17">
        <v>1490</v>
      </c>
      <c r="T496" s="17"/>
      <c r="U496" s="17"/>
      <c r="V496" s="17"/>
      <c r="W496" s="17"/>
      <c r="X496" s="15">
        <v>324.5</v>
      </c>
      <c r="Y496" s="17">
        <v>91</v>
      </c>
      <c r="Z496" s="17">
        <v>549.5</v>
      </c>
      <c r="AA496" s="17">
        <v>1300</v>
      </c>
      <c r="AB496" s="12">
        <v>99</v>
      </c>
    </row>
    <row r="497" ht="14.25" spans="1:28">
      <c r="A497" s="13">
        <v>495</v>
      </c>
      <c r="B497" s="15">
        <v>10</v>
      </c>
      <c r="C497" s="16">
        <v>56</v>
      </c>
      <c r="D497" s="17" t="s">
        <v>1000</v>
      </c>
      <c r="E497" s="17" t="s">
        <v>1001</v>
      </c>
      <c r="F497" s="17">
        <v>99</v>
      </c>
      <c r="G497" s="17">
        <v>3868</v>
      </c>
      <c r="H497" s="17">
        <v>136</v>
      </c>
      <c r="I497" s="17">
        <v>30</v>
      </c>
      <c r="J497" s="17">
        <v>107</v>
      </c>
      <c r="K497" s="17">
        <v>1871</v>
      </c>
      <c r="L497" s="17">
        <v>89</v>
      </c>
      <c r="M497" s="17">
        <v>10</v>
      </c>
      <c r="N497" s="17"/>
      <c r="O497" s="17"/>
      <c r="P497" s="17">
        <v>89</v>
      </c>
      <c r="Q497" s="17">
        <v>222</v>
      </c>
      <c r="R497" s="17">
        <v>87</v>
      </c>
      <c r="S497" s="17">
        <v>883</v>
      </c>
      <c r="T497" s="17"/>
      <c r="U497" s="17"/>
      <c r="V497" s="17"/>
      <c r="W497" s="17"/>
      <c r="X497" s="15">
        <v>342</v>
      </c>
      <c r="Y497" s="17">
        <v>25</v>
      </c>
      <c r="Z497" s="17">
        <v>607</v>
      </c>
      <c r="AA497" s="17">
        <v>160</v>
      </c>
      <c r="AB497" s="12">
        <v>8</v>
      </c>
    </row>
    <row r="498" ht="14.25" spans="1:28">
      <c r="A498" s="13">
        <v>496</v>
      </c>
      <c r="B498" s="15">
        <v>10</v>
      </c>
      <c r="C498" s="16">
        <v>57</v>
      </c>
      <c r="D498" s="17" t="s">
        <v>1002</v>
      </c>
      <c r="E498" s="17" t="s">
        <v>1003</v>
      </c>
      <c r="F498" s="17">
        <v>98.25</v>
      </c>
      <c r="G498" s="17">
        <v>4392</v>
      </c>
      <c r="H498" s="17">
        <v>118.5</v>
      </c>
      <c r="I498" s="17">
        <v>833</v>
      </c>
      <c r="J498" s="17">
        <v>110</v>
      </c>
      <c r="K498" s="17">
        <v>1448</v>
      </c>
      <c r="L498" s="17">
        <v>63</v>
      </c>
      <c r="M498" s="17">
        <v>1702</v>
      </c>
      <c r="N498" s="17"/>
      <c r="O498" s="17"/>
      <c r="P498" s="17">
        <v>83</v>
      </c>
      <c r="Q498" s="17">
        <v>1643</v>
      </c>
      <c r="R498" s="17">
        <v>89</v>
      </c>
      <c r="S498" s="17">
        <v>415</v>
      </c>
      <c r="T498" s="17"/>
      <c r="U498" s="17"/>
      <c r="V498" s="17"/>
      <c r="W498" s="17"/>
      <c r="X498" s="15">
        <v>326.75</v>
      </c>
      <c r="Y498" s="17">
        <v>79</v>
      </c>
      <c r="Z498" s="17">
        <v>561.75</v>
      </c>
      <c r="AA498" s="17">
        <v>953</v>
      </c>
      <c r="AB498" s="12">
        <v>68</v>
      </c>
    </row>
    <row r="499" ht="14.25" spans="1:28">
      <c r="A499" s="13">
        <v>497</v>
      </c>
      <c r="B499" s="15">
        <v>11</v>
      </c>
      <c r="C499" s="16">
        <v>1</v>
      </c>
      <c r="D499" s="17" t="s">
        <v>1004</v>
      </c>
      <c r="E499" s="17" t="s">
        <v>1005</v>
      </c>
      <c r="F499" s="17">
        <v>93</v>
      </c>
      <c r="G499" s="17">
        <v>7407</v>
      </c>
      <c r="H499" s="17">
        <v>110</v>
      </c>
      <c r="I499" s="17">
        <v>1931</v>
      </c>
      <c r="J499" s="17">
        <v>105.75</v>
      </c>
      <c r="K499" s="17">
        <v>2077</v>
      </c>
      <c r="L499" s="17">
        <v>58.5</v>
      </c>
      <c r="M499" s="17">
        <v>2451</v>
      </c>
      <c r="N499" s="17"/>
      <c r="O499" s="17"/>
      <c r="P499" s="17">
        <v>82</v>
      </c>
      <c r="Q499" s="17">
        <v>1870</v>
      </c>
      <c r="R499" s="17">
        <v>84</v>
      </c>
      <c r="S499" s="17">
        <v>1490</v>
      </c>
      <c r="T499" s="17"/>
      <c r="U499" s="17"/>
      <c r="V499" s="17"/>
      <c r="W499" s="17"/>
      <c r="X499" s="15">
        <v>308.75</v>
      </c>
      <c r="Y499" s="17">
        <v>206</v>
      </c>
      <c r="Z499" s="17">
        <v>533.25</v>
      </c>
      <c r="AA499" s="17">
        <v>1832</v>
      </c>
      <c r="AB499" s="12">
        <v>156</v>
      </c>
    </row>
    <row r="500" ht="14.25" spans="1:28">
      <c r="A500" s="13">
        <v>498</v>
      </c>
      <c r="B500" s="15">
        <v>11</v>
      </c>
      <c r="C500" s="16">
        <v>2</v>
      </c>
      <c r="D500" s="17" t="s">
        <v>1006</v>
      </c>
      <c r="E500" s="17" t="s">
        <v>1007</v>
      </c>
      <c r="F500" s="17">
        <v>103.5</v>
      </c>
      <c r="G500" s="17">
        <v>1897</v>
      </c>
      <c r="H500" s="17">
        <v>105.5</v>
      </c>
      <c r="I500" s="17">
        <v>2718</v>
      </c>
      <c r="J500" s="17">
        <v>92.5</v>
      </c>
      <c r="K500" s="17">
        <v>4660</v>
      </c>
      <c r="L500" s="17">
        <v>37.5</v>
      </c>
      <c r="M500" s="17">
        <v>6979</v>
      </c>
      <c r="N500" s="17"/>
      <c r="O500" s="17"/>
      <c r="P500" s="17">
        <v>77</v>
      </c>
      <c r="Q500" s="17">
        <v>3207</v>
      </c>
      <c r="R500" s="17">
        <v>76</v>
      </c>
      <c r="S500" s="17">
        <v>3491</v>
      </c>
      <c r="T500" s="17"/>
      <c r="U500" s="17"/>
      <c r="V500" s="17"/>
      <c r="W500" s="17"/>
      <c r="X500" s="15">
        <v>301.5</v>
      </c>
      <c r="Y500" s="17">
        <v>265</v>
      </c>
      <c r="Z500" s="17">
        <v>492</v>
      </c>
      <c r="AA500" s="17">
        <v>3646</v>
      </c>
      <c r="AB500" s="12">
        <v>363</v>
      </c>
    </row>
    <row r="501" ht="14.25" spans="1:28">
      <c r="A501" s="13">
        <v>499</v>
      </c>
      <c r="B501" s="15">
        <v>11</v>
      </c>
      <c r="C501" s="16">
        <v>3</v>
      </c>
      <c r="D501" s="17" t="s">
        <v>1008</v>
      </c>
      <c r="E501" s="17" t="s">
        <v>1009</v>
      </c>
      <c r="F501" s="17">
        <v>90.5</v>
      </c>
      <c r="G501" s="17">
        <v>8999</v>
      </c>
      <c r="H501" s="17">
        <v>81.5</v>
      </c>
      <c r="I501" s="17">
        <v>7740</v>
      </c>
      <c r="J501" s="17">
        <v>77.5</v>
      </c>
      <c r="K501" s="17">
        <v>8422</v>
      </c>
      <c r="L501" s="17">
        <v>32</v>
      </c>
      <c r="M501" s="17">
        <v>8723</v>
      </c>
      <c r="N501" s="17"/>
      <c r="O501" s="17"/>
      <c r="P501" s="17">
        <v>81</v>
      </c>
      <c r="Q501" s="17">
        <v>2079</v>
      </c>
      <c r="R501" s="17">
        <v>79</v>
      </c>
      <c r="S501" s="17">
        <v>2629</v>
      </c>
      <c r="T501" s="17"/>
      <c r="U501" s="17"/>
      <c r="V501" s="17"/>
      <c r="W501" s="17"/>
      <c r="X501" s="15">
        <v>249.5</v>
      </c>
      <c r="Y501" s="17">
        <v>611</v>
      </c>
      <c r="Z501" s="17">
        <v>441.5</v>
      </c>
      <c r="AA501" s="17">
        <v>6712</v>
      </c>
      <c r="AB501" s="12">
        <v>565</v>
      </c>
    </row>
    <row r="502" ht="14.25" spans="1:28">
      <c r="A502" s="13">
        <v>500</v>
      </c>
      <c r="B502" s="15">
        <v>11</v>
      </c>
      <c r="C502" s="16">
        <v>4</v>
      </c>
      <c r="D502" s="17" t="s">
        <v>1010</v>
      </c>
      <c r="E502" s="17" t="s">
        <v>1011</v>
      </c>
      <c r="F502" s="17">
        <v>99.5</v>
      </c>
      <c r="G502" s="17">
        <v>3607</v>
      </c>
      <c r="H502" s="17">
        <v>83.5</v>
      </c>
      <c r="I502" s="17">
        <v>7321</v>
      </c>
      <c r="J502" s="17">
        <v>86</v>
      </c>
      <c r="K502" s="17">
        <v>6253</v>
      </c>
      <c r="L502" s="17">
        <v>47</v>
      </c>
      <c r="M502" s="17">
        <v>4568</v>
      </c>
      <c r="N502" s="17"/>
      <c r="O502" s="17"/>
      <c r="P502" s="17">
        <v>86</v>
      </c>
      <c r="Q502" s="17">
        <v>1052</v>
      </c>
      <c r="R502" s="17">
        <v>67</v>
      </c>
      <c r="S502" s="17">
        <v>6298</v>
      </c>
      <c r="T502" s="17"/>
      <c r="U502" s="17"/>
      <c r="V502" s="17"/>
      <c r="W502" s="17"/>
      <c r="X502" s="15">
        <v>269</v>
      </c>
      <c r="Y502" s="17">
        <v>538</v>
      </c>
      <c r="Z502" s="17">
        <v>469</v>
      </c>
      <c r="AA502" s="17">
        <v>4901</v>
      </c>
      <c r="AB502" s="12">
        <v>462</v>
      </c>
    </row>
    <row r="503" ht="14.25" spans="1:28">
      <c r="A503" s="13">
        <v>501</v>
      </c>
      <c r="B503" s="15">
        <v>11</v>
      </c>
      <c r="C503" s="16">
        <v>5</v>
      </c>
      <c r="D503" s="17" t="s">
        <v>1012</v>
      </c>
      <c r="E503" s="17" t="s">
        <v>1013</v>
      </c>
      <c r="F503" s="17">
        <v>90</v>
      </c>
      <c r="G503" s="17">
        <v>9312</v>
      </c>
      <c r="H503" s="17">
        <v>75</v>
      </c>
      <c r="I503" s="17">
        <v>9019</v>
      </c>
      <c r="J503" s="17">
        <v>76.5</v>
      </c>
      <c r="K503" s="17">
        <v>8698</v>
      </c>
      <c r="L503" s="17">
        <v>51.5</v>
      </c>
      <c r="M503" s="17">
        <v>3642</v>
      </c>
      <c r="N503" s="17"/>
      <c r="O503" s="17"/>
      <c r="P503" s="17">
        <v>62</v>
      </c>
      <c r="Q503" s="17">
        <v>8021</v>
      </c>
      <c r="R503" s="17">
        <v>67</v>
      </c>
      <c r="S503" s="17">
        <v>6298</v>
      </c>
      <c r="T503" s="17"/>
      <c r="U503" s="17"/>
      <c r="V503" s="17"/>
      <c r="W503" s="17"/>
      <c r="X503" s="15">
        <v>241.5</v>
      </c>
      <c r="Y503" s="17">
        <v>628</v>
      </c>
      <c r="Z503" s="17">
        <v>422</v>
      </c>
      <c r="AA503" s="17">
        <v>8072</v>
      </c>
      <c r="AB503" s="12">
        <v>621</v>
      </c>
    </row>
    <row r="504" ht="14.25" spans="1:28">
      <c r="A504" s="13">
        <v>502</v>
      </c>
      <c r="B504" s="15">
        <v>11</v>
      </c>
      <c r="C504" s="16">
        <v>6</v>
      </c>
      <c r="D504" s="17" t="s">
        <v>1014</v>
      </c>
      <c r="E504" s="17" t="s">
        <v>1015</v>
      </c>
      <c r="F504" s="17">
        <v>92.75</v>
      </c>
      <c r="G504" s="17">
        <v>7661</v>
      </c>
      <c r="H504" s="17">
        <v>107.5</v>
      </c>
      <c r="I504" s="17">
        <v>2373</v>
      </c>
      <c r="J504" s="17">
        <v>83.5</v>
      </c>
      <c r="K504" s="17">
        <v>6874</v>
      </c>
      <c r="L504" s="17">
        <v>64.5</v>
      </c>
      <c r="M504" s="17">
        <v>1506</v>
      </c>
      <c r="N504" s="17"/>
      <c r="O504" s="17"/>
      <c r="P504" s="17">
        <v>78</v>
      </c>
      <c r="Q504" s="17">
        <v>2908</v>
      </c>
      <c r="R504" s="17">
        <v>89</v>
      </c>
      <c r="S504" s="17">
        <v>415</v>
      </c>
      <c r="T504" s="17"/>
      <c r="U504" s="17"/>
      <c r="V504" s="17"/>
      <c r="W504" s="17"/>
      <c r="X504" s="15">
        <v>283.75</v>
      </c>
      <c r="Y504" s="17">
        <v>411</v>
      </c>
      <c r="Z504" s="17">
        <v>515.25</v>
      </c>
      <c r="AA504" s="17">
        <v>2533</v>
      </c>
      <c r="AB504" s="12">
        <v>245</v>
      </c>
    </row>
    <row r="505" ht="14.25" spans="1:28">
      <c r="A505" s="13">
        <v>503</v>
      </c>
      <c r="B505" s="15">
        <v>11</v>
      </c>
      <c r="C505" s="16">
        <v>7</v>
      </c>
      <c r="D505" s="17" t="s">
        <v>1016</v>
      </c>
      <c r="E505" s="17" t="s">
        <v>1017</v>
      </c>
      <c r="F505" s="17">
        <v>101</v>
      </c>
      <c r="G505" s="17">
        <v>2896</v>
      </c>
      <c r="H505" s="17">
        <v>21.5</v>
      </c>
      <c r="I505" s="17">
        <v>16816</v>
      </c>
      <c r="J505" s="17">
        <v>38</v>
      </c>
      <c r="K505" s="17">
        <v>15249</v>
      </c>
      <c r="L505" s="17">
        <v>14</v>
      </c>
      <c r="M505" s="17">
        <v>16299</v>
      </c>
      <c r="N505" s="17"/>
      <c r="O505" s="17"/>
      <c r="P505" s="17">
        <v>44</v>
      </c>
      <c r="Q505" s="17">
        <v>11531</v>
      </c>
      <c r="R505" s="17">
        <v>52</v>
      </c>
      <c r="S505" s="17">
        <v>10788</v>
      </c>
      <c r="T505" s="17"/>
      <c r="U505" s="17"/>
      <c r="V505" s="17"/>
      <c r="W505" s="17"/>
      <c r="X505" s="15">
        <v>160.5</v>
      </c>
      <c r="Y505" s="17">
        <v>662</v>
      </c>
      <c r="Z505" s="17">
        <v>270.5</v>
      </c>
      <c r="AA505" s="17">
        <v>16435</v>
      </c>
      <c r="AB505" s="12">
        <v>662</v>
      </c>
    </row>
    <row r="506" ht="14.25" spans="1:28">
      <c r="A506" s="13">
        <v>504</v>
      </c>
      <c r="B506" s="15">
        <v>11</v>
      </c>
      <c r="C506" s="16">
        <v>8</v>
      </c>
      <c r="D506" s="17" t="s">
        <v>1018</v>
      </c>
      <c r="E506" s="17" t="s">
        <v>1019</v>
      </c>
      <c r="F506" s="17">
        <v>93</v>
      </c>
      <c r="G506" s="17">
        <v>7407</v>
      </c>
      <c r="H506" s="17">
        <v>100</v>
      </c>
      <c r="I506" s="17">
        <v>3741</v>
      </c>
      <c r="J506" s="17">
        <v>80.75</v>
      </c>
      <c r="K506" s="17">
        <v>7625</v>
      </c>
      <c r="L506" s="17">
        <v>57.5</v>
      </c>
      <c r="M506" s="17">
        <v>2619</v>
      </c>
      <c r="N506" s="17"/>
      <c r="O506" s="17"/>
      <c r="P506" s="17">
        <v>83</v>
      </c>
      <c r="Q506" s="17">
        <v>1643</v>
      </c>
      <c r="R506" s="17">
        <v>91</v>
      </c>
      <c r="S506" s="17">
        <v>151</v>
      </c>
      <c r="T506" s="17"/>
      <c r="U506" s="17"/>
      <c r="V506" s="17"/>
      <c r="W506" s="17"/>
      <c r="X506" s="15">
        <v>273.75</v>
      </c>
      <c r="Y506" s="17">
        <v>504</v>
      </c>
      <c r="Z506" s="17">
        <v>505.25</v>
      </c>
      <c r="AA506" s="17">
        <v>3001</v>
      </c>
      <c r="AB506" s="12">
        <v>298</v>
      </c>
    </row>
    <row r="507" ht="14.25" spans="1:28">
      <c r="A507" s="13">
        <v>505</v>
      </c>
      <c r="B507" s="15">
        <v>11</v>
      </c>
      <c r="C507" s="16">
        <v>9</v>
      </c>
      <c r="D507" s="17" t="s">
        <v>1020</v>
      </c>
      <c r="E507" s="17" t="s">
        <v>1021</v>
      </c>
      <c r="F507" s="17">
        <v>92.5</v>
      </c>
      <c r="G507" s="17">
        <v>7705</v>
      </c>
      <c r="H507" s="17">
        <v>100</v>
      </c>
      <c r="I507" s="17">
        <v>3741</v>
      </c>
      <c r="J507" s="17">
        <v>100</v>
      </c>
      <c r="K507" s="17">
        <v>3038</v>
      </c>
      <c r="L507" s="17">
        <v>49.5</v>
      </c>
      <c r="M507" s="17">
        <v>4044</v>
      </c>
      <c r="N507" s="17"/>
      <c r="O507" s="17"/>
      <c r="P507" s="17">
        <v>82</v>
      </c>
      <c r="Q507" s="17">
        <v>1870</v>
      </c>
      <c r="R507" s="17">
        <v>82</v>
      </c>
      <c r="S507" s="17">
        <v>1915</v>
      </c>
      <c r="T507" s="17"/>
      <c r="U507" s="17"/>
      <c r="V507" s="17"/>
      <c r="W507" s="17"/>
      <c r="X507" s="15">
        <v>292.5</v>
      </c>
      <c r="Y507" s="17">
        <v>345</v>
      </c>
      <c r="Z507" s="17">
        <v>506</v>
      </c>
      <c r="AA507" s="17">
        <v>2960</v>
      </c>
      <c r="AB507" s="12">
        <v>293</v>
      </c>
    </row>
    <row r="508" ht="14.25" spans="1:28">
      <c r="A508" s="13">
        <v>506</v>
      </c>
      <c r="B508" s="15">
        <v>11</v>
      </c>
      <c r="C508" s="16">
        <v>10</v>
      </c>
      <c r="D508" s="17" t="s">
        <v>1022</v>
      </c>
      <c r="E508" s="17" t="s">
        <v>1023</v>
      </c>
      <c r="F508" s="17">
        <v>98.5</v>
      </c>
      <c r="G508" s="17">
        <v>4145</v>
      </c>
      <c r="H508" s="17">
        <v>82</v>
      </c>
      <c r="I508" s="17">
        <v>7634</v>
      </c>
      <c r="J508" s="17">
        <v>99.5</v>
      </c>
      <c r="K508" s="17">
        <v>3134</v>
      </c>
      <c r="L508" s="17">
        <v>48.5</v>
      </c>
      <c r="M508" s="17">
        <v>4255</v>
      </c>
      <c r="N508" s="17"/>
      <c r="O508" s="17"/>
      <c r="P508" s="17">
        <v>62</v>
      </c>
      <c r="Q508" s="17">
        <v>8021</v>
      </c>
      <c r="R508" s="17">
        <v>74</v>
      </c>
      <c r="S508" s="17">
        <v>4119</v>
      </c>
      <c r="T508" s="17"/>
      <c r="U508" s="17"/>
      <c r="V508" s="17"/>
      <c r="W508" s="17"/>
      <c r="X508" s="15">
        <v>280</v>
      </c>
      <c r="Y508" s="17">
        <v>448</v>
      </c>
      <c r="Z508" s="17">
        <v>464.5</v>
      </c>
      <c r="AA508" s="17">
        <v>5196</v>
      </c>
      <c r="AB508" s="12">
        <v>490</v>
      </c>
    </row>
    <row r="509" ht="14.25" spans="1:28">
      <c r="A509" s="13">
        <v>507</v>
      </c>
      <c r="B509" s="15">
        <v>11</v>
      </c>
      <c r="C509" s="16">
        <v>11</v>
      </c>
      <c r="D509" s="17" t="s">
        <v>1024</v>
      </c>
      <c r="E509" s="17" t="s">
        <v>1025</v>
      </c>
      <c r="F509" s="17">
        <v>95</v>
      </c>
      <c r="G509" s="17">
        <v>6168</v>
      </c>
      <c r="H509" s="17">
        <v>118</v>
      </c>
      <c r="I509" s="17">
        <v>885</v>
      </c>
      <c r="J509" s="17">
        <v>101.5</v>
      </c>
      <c r="K509" s="17">
        <v>2779</v>
      </c>
      <c r="L509" s="17">
        <v>45</v>
      </c>
      <c r="M509" s="17">
        <v>5014</v>
      </c>
      <c r="N509" s="17"/>
      <c r="O509" s="17"/>
      <c r="P509" s="17">
        <v>75</v>
      </c>
      <c r="Q509" s="17">
        <v>3841</v>
      </c>
      <c r="R509" s="17">
        <v>79</v>
      </c>
      <c r="S509" s="17">
        <v>2629</v>
      </c>
      <c r="T509" s="17"/>
      <c r="U509" s="17"/>
      <c r="V509" s="17"/>
      <c r="W509" s="17"/>
      <c r="X509" s="15">
        <v>314.5</v>
      </c>
      <c r="Y509" s="17">
        <v>152</v>
      </c>
      <c r="Z509" s="17">
        <v>513.5</v>
      </c>
      <c r="AA509" s="17">
        <v>2612</v>
      </c>
      <c r="AB509" s="12">
        <v>253</v>
      </c>
    </row>
    <row r="510" ht="14.25" spans="1:28">
      <c r="A510" s="13">
        <v>508</v>
      </c>
      <c r="B510" s="15">
        <v>11</v>
      </c>
      <c r="C510" s="16">
        <v>12</v>
      </c>
      <c r="D510" s="17" t="s">
        <v>1026</v>
      </c>
      <c r="E510" s="17" t="s">
        <v>1027</v>
      </c>
      <c r="F510" s="17">
        <v>94</v>
      </c>
      <c r="G510" s="17">
        <v>6811</v>
      </c>
      <c r="H510" s="17">
        <v>124</v>
      </c>
      <c r="I510" s="17">
        <v>418</v>
      </c>
      <c r="J510" s="17">
        <v>103</v>
      </c>
      <c r="K510" s="17">
        <v>2527</v>
      </c>
      <c r="L510" s="17">
        <v>62.5</v>
      </c>
      <c r="M510" s="17">
        <v>1781</v>
      </c>
      <c r="N510" s="17"/>
      <c r="O510" s="17"/>
      <c r="P510" s="17">
        <v>80</v>
      </c>
      <c r="Q510" s="17">
        <v>2333</v>
      </c>
      <c r="R510" s="17">
        <v>74</v>
      </c>
      <c r="S510" s="17">
        <v>4119</v>
      </c>
      <c r="T510" s="17"/>
      <c r="U510" s="17"/>
      <c r="V510" s="17"/>
      <c r="W510" s="17"/>
      <c r="X510" s="15">
        <v>321</v>
      </c>
      <c r="Y510" s="17">
        <v>108</v>
      </c>
      <c r="Z510" s="17">
        <v>537.5</v>
      </c>
      <c r="AA510" s="17">
        <v>1699</v>
      </c>
      <c r="AB510" s="12">
        <v>140</v>
      </c>
    </row>
    <row r="511" ht="14.25" spans="1:28">
      <c r="A511" s="13">
        <v>509</v>
      </c>
      <c r="B511" s="15">
        <v>11</v>
      </c>
      <c r="C511" s="16">
        <v>13</v>
      </c>
      <c r="D511" s="17" t="s">
        <v>1028</v>
      </c>
      <c r="E511" s="17" t="s">
        <v>1029</v>
      </c>
      <c r="F511" s="17">
        <v>99.5</v>
      </c>
      <c r="G511" s="17">
        <v>3607</v>
      </c>
      <c r="H511" s="17">
        <v>92.5</v>
      </c>
      <c r="I511" s="17">
        <v>5299</v>
      </c>
      <c r="J511" s="17">
        <v>86.75</v>
      </c>
      <c r="K511" s="17">
        <v>6087</v>
      </c>
      <c r="L511" s="17">
        <v>40</v>
      </c>
      <c r="M511" s="17">
        <v>6265</v>
      </c>
      <c r="N511" s="17"/>
      <c r="O511" s="17"/>
      <c r="P511" s="17">
        <v>62</v>
      </c>
      <c r="Q511" s="17">
        <v>8021</v>
      </c>
      <c r="R511" s="17">
        <v>83</v>
      </c>
      <c r="S511" s="17">
        <v>1715</v>
      </c>
      <c r="T511" s="17"/>
      <c r="U511" s="17"/>
      <c r="V511" s="17"/>
      <c r="W511" s="17"/>
      <c r="X511" s="15">
        <v>278.75</v>
      </c>
      <c r="Y511" s="17">
        <v>459</v>
      </c>
      <c r="Z511" s="17">
        <v>463.75</v>
      </c>
      <c r="AA511" s="17">
        <v>5255</v>
      </c>
      <c r="AB511" s="12">
        <v>493</v>
      </c>
    </row>
    <row r="512" ht="14.25" spans="1:28">
      <c r="A512" s="13">
        <v>510</v>
      </c>
      <c r="B512" s="15">
        <v>11</v>
      </c>
      <c r="C512" s="16">
        <v>14</v>
      </c>
      <c r="D512" s="17" t="s">
        <v>1030</v>
      </c>
      <c r="E512" s="17" t="s">
        <v>1031</v>
      </c>
      <c r="F512" s="17">
        <v>101.5</v>
      </c>
      <c r="G512" s="17">
        <v>2674</v>
      </c>
      <c r="H512" s="17">
        <v>94.5</v>
      </c>
      <c r="I512" s="17">
        <v>4840</v>
      </c>
      <c r="J512" s="17">
        <v>94.75</v>
      </c>
      <c r="K512" s="17">
        <v>4171</v>
      </c>
      <c r="L512" s="17">
        <v>56</v>
      </c>
      <c r="M512" s="17">
        <v>2878</v>
      </c>
      <c r="N512" s="17"/>
      <c r="O512" s="17"/>
      <c r="P512" s="17">
        <v>79</v>
      </c>
      <c r="Q512" s="17">
        <v>2632</v>
      </c>
      <c r="R512" s="17">
        <v>86</v>
      </c>
      <c r="S512" s="17">
        <v>1176</v>
      </c>
      <c r="T512" s="17"/>
      <c r="U512" s="17"/>
      <c r="V512" s="17"/>
      <c r="W512" s="17"/>
      <c r="X512" s="15">
        <v>290.75</v>
      </c>
      <c r="Y512" s="17">
        <v>361</v>
      </c>
      <c r="Z512" s="17">
        <v>511.75</v>
      </c>
      <c r="AA512" s="17">
        <v>2690</v>
      </c>
      <c r="AB512" s="12">
        <v>264</v>
      </c>
    </row>
    <row r="513" ht="14.25" spans="1:28">
      <c r="A513" s="13">
        <v>511</v>
      </c>
      <c r="B513" s="15">
        <v>11</v>
      </c>
      <c r="C513" s="16">
        <v>15</v>
      </c>
      <c r="D513" s="17" t="s">
        <v>1032</v>
      </c>
      <c r="E513" s="17" t="s">
        <v>1033</v>
      </c>
      <c r="F513" s="17">
        <v>96</v>
      </c>
      <c r="G513" s="17">
        <v>5544</v>
      </c>
      <c r="H513" s="17">
        <v>87.5</v>
      </c>
      <c r="I513" s="17">
        <v>6415</v>
      </c>
      <c r="J513" s="17">
        <v>96.25</v>
      </c>
      <c r="K513" s="17">
        <v>3820</v>
      </c>
      <c r="L513" s="17">
        <v>40.5</v>
      </c>
      <c r="M513" s="17">
        <v>6131</v>
      </c>
      <c r="N513" s="17"/>
      <c r="O513" s="17"/>
      <c r="P513" s="17">
        <v>74</v>
      </c>
      <c r="Q513" s="17">
        <v>4168</v>
      </c>
      <c r="R513" s="17">
        <v>77</v>
      </c>
      <c r="S513" s="17">
        <v>3183</v>
      </c>
      <c r="T513" s="17"/>
      <c r="U513" s="17"/>
      <c r="V513" s="17"/>
      <c r="W513" s="17"/>
      <c r="X513" s="15">
        <v>279.75</v>
      </c>
      <c r="Y513" s="17">
        <v>450</v>
      </c>
      <c r="Z513" s="17">
        <v>471.25</v>
      </c>
      <c r="AA513" s="17">
        <v>4775</v>
      </c>
      <c r="AB513" s="12">
        <v>455</v>
      </c>
    </row>
    <row r="514" ht="14.25" spans="1:28">
      <c r="A514" s="13">
        <v>512</v>
      </c>
      <c r="B514" s="15">
        <v>11</v>
      </c>
      <c r="C514" s="16">
        <v>16</v>
      </c>
      <c r="D514" s="17" t="s">
        <v>1034</v>
      </c>
      <c r="E514" s="17" t="s">
        <v>1035</v>
      </c>
      <c r="F514" s="17">
        <v>85.5</v>
      </c>
      <c r="G514" s="17">
        <v>12079</v>
      </c>
      <c r="H514" s="17">
        <v>70</v>
      </c>
      <c r="I514" s="17">
        <v>9977</v>
      </c>
      <c r="J514" s="17">
        <v>64</v>
      </c>
      <c r="K514" s="17">
        <v>11677</v>
      </c>
      <c r="L514" s="17">
        <v>35</v>
      </c>
      <c r="M514" s="17">
        <v>7732</v>
      </c>
      <c r="N514" s="17"/>
      <c r="O514" s="17"/>
      <c r="P514" s="17">
        <v>51</v>
      </c>
      <c r="Q514" s="17">
        <v>10643</v>
      </c>
      <c r="R514" s="17">
        <v>60</v>
      </c>
      <c r="S514" s="17">
        <v>8759</v>
      </c>
      <c r="T514" s="17"/>
      <c r="U514" s="17"/>
      <c r="V514" s="17"/>
      <c r="W514" s="17"/>
      <c r="X514" s="15">
        <v>219.5</v>
      </c>
      <c r="Y514" s="17">
        <v>655</v>
      </c>
      <c r="Z514" s="17">
        <v>365.5</v>
      </c>
      <c r="AA514" s="17">
        <v>11953</v>
      </c>
      <c r="AB514" s="12">
        <v>655</v>
      </c>
    </row>
    <row r="515" ht="14.25" spans="1:28">
      <c r="A515" s="13">
        <v>513</v>
      </c>
      <c r="B515" s="15">
        <v>11</v>
      </c>
      <c r="C515" s="16">
        <v>17</v>
      </c>
      <c r="D515" s="17" t="s">
        <v>1036</v>
      </c>
      <c r="E515" s="17" t="s">
        <v>1037</v>
      </c>
      <c r="F515" s="17">
        <v>102</v>
      </c>
      <c r="G515" s="17">
        <v>2480</v>
      </c>
      <c r="H515" s="17">
        <v>104</v>
      </c>
      <c r="I515" s="17">
        <v>2999</v>
      </c>
      <c r="J515" s="17">
        <v>113</v>
      </c>
      <c r="K515" s="17">
        <v>1110</v>
      </c>
      <c r="L515" s="17">
        <v>24</v>
      </c>
      <c r="M515" s="17">
        <v>12052</v>
      </c>
      <c r="N515" s="17"/>
      <c r="O515" s="17"/>
      <c r="P515" s="17">
        <v>80</v>
      </c>
      <c r="Q515" s="17">
        <v>2333</v>
      </c>
      <c r="R515" s="17">
        <v>74</v>
      </c>
      <c r="S515" s="17">
        <v>4119</v>
      </c>
      <c r="T515" s="17"/>
      <c r="U515" s="17"/>
      <c r="V515" s="17"/>
      <c r="W515" s="17"/>
      <c r="X515" s="15">
        <v>319</v>
      </c>
      <c r="Y515" s="17">
        <v>124</v>
      </c>
      <c r="Z515" s="17">
        <v>497</v>
      </c>
      <c r="AA515" s="17">
        <v>3380</v>
      </c>
      <c r="AB515" s="12">
        <v>345</v>
      </c>
    </row>
    <row r="516" ht="14.25" spans="1:28">
      <c r="A516" s="13">
        <v>514</v>
      </c>
      <c r="B516" s="15">
        <v>11</v>
      </c>
      <c r="C516" s="16">
        <v>18</v>
      </c>
      <c r="D516" s="19" t="s">
        <v>1038</v>
      </c>
      <c r="E516" s="17" t="s">
        <v>1039</v>
      </c>
      <c r="F516" s="17">
        <v>103.5</v>
      </c>
      <c r="G516" s="17">
        <v>1897</v>
      </c>
      <c r="H516" s="17">
        <v>128</v>
      </c>
      <c r="I516" s="17">
        <v>207</v>
      </c>
      <c r="J516" s="17">
        <v>118</v>
      </c>
      <c r="K516" s="17">
        <v>642</v>
      </c>
      <c r="L516" s="17">
        <v>63</v>
      </c>
      <c r="M516" s="17">
        <v>1702</v>
      </c>
      <c r="N516" s="17"/>
      <c r="O516" s="17"/>
      <c r="P516" s="17">
        <v>67</v>
      </c>
      <c r="Q516" s="17">
        <v>6384</v>
      </c>
      <c r="R516" s="17">
        <v>80</v>
      </c>
      <c r="S516" s="17">
        <v>2376</v>
      </c>
      <c r="T516" s="17"/>
      <c r="U516" s="17"/>
      <c r="V516" s="17"/>
      <c r="W516" s="17"/>
      <c r="X516" s="15">
        <v>349.5</v>
      </c>
      <c r="Y516" s="17">
        <v>12</v>
      </c>
      <c r="Z516" s="17">
        <v>559.5</v>
      </c>
      <c r="AA516" s="17">
        <v>1011</v>
      </c>
      <c r="AB516" s="12">
        <v>74</v>
      </c>
    </row>
    <row r="517" ht="14.25" spans="1:28">
      <c r="A517" s="13">
        <v>515</v>
      </c>
      <c r="B517" s="15">
        <v>11</v>
      </c>
      <c r="C517" s="16">
        <v>19</v>
      </c>
      <c r="D517" s="17" t="s">
        <v>1040</v>
      </c>
      <c r="E517" s="17" t="s">
        <v>1041</v>
      </c>
      <c r="F517" s="17">
        <v>107.5</v>
      </c>
      <c r="G517" s="17">
        <v>829</v>
      </c>
      <c r="H517" s="17">
        <v>115.5</v>
      </c>
      <c r="I517" s="17">
        <v>1149</v>
      </c>
      <c r="J517" s="17">
        <v>99.5</v>
      </c>
      <c r="K517" s="17">
        <v>3134</v>
      </c>
      <c r="L517" s="17">
        <v>41.5</v>
      </c>
      <c r="M517" s="17">
        <v>5867</v>
      </c>
      <c r="N517" s="17"/>
      <c r="O517" s="17"/>
      <c r="P517" s="17">
        <v>81</v>
      </c>
      <c r="Q517" s="17">
        <v>2079</v>
      </c>
      <c r="R517" s="17">
        <v>90</v>
      </c>
      <c r="S517" s="17">
        <v>255</v>
      </c>
      <c r="T517" s="17"/>
      <c r="U517" s="17"/>
      <c r="V517" s="17"/>
      <c r="W517" s="17"/>
      <c r="X517" s="15">
        <v>322.5</v>
      </c>
      <c r="Y517" s="17">
        <v>102</v>
      </c>
      <c r="Z517" s="17">
        <v>535</v>
      </c>
      <c r="AA517" s="17">
        <v>1780</v>
      </c>
      <c r="AB517" s="12">
        <v>152</v>
      </c>
    </row>
    <row r="518" ht="14.25" spans="1:28">
      <c r="A518" s="13">
        <v>516</v>
      </c>
      <c r="B518" s="15">
        <v>11</v>
      </c>
      <c r="C518" s="16">
        <v>20</v>
      </c>
      <c r="D518" s="17" t="s">
        <v>1042</v>
      </c>
      <c r="E518" s="17" t="s">
        <v>1043</v>
      </c>
      <c r="F518" s="17">
        <v>92.5</v>
      </c>
      <c r="G518" s="17">
        <v>7705</v>
      </c>
      <c r="H518" s="17">
        <v>121</v>
      </c>
      <c r="I518" s="17">
        <v>621</v>
      </c>
      <c r="J518" s="17">
        <v>113.5</v>
      </c>
      <c r="K518" s="17">
        <v>1049</v>
      </c>
      <c r="L518" s="17">
        <v>60</v>
      </c>
      <c r="M518" s="17">
        <v>2185</v>
      </c>
      <c r="N518" s="17"/>
      <c r="O518" s="17"/>
      <c r="P518" s="17">
        <v>81</v>
      </c>
      <c r="Q518" s="17">
        <v>2079</v>
      </c>
      <c r="R518" s="17">
        <v>82</v>
      </c>
      <c r="S518" s="17">
        <v>1915</v>
      </c>
      <c r="T518" s="17"/>
      <c r="U518" s="17"/>
      <c r="V518" s="17"/>
      <c r="W518" s="17"/>
      <c r="X518" s="15">
        <v>327</v>
      </c>
      <c r="Y518" s="17">
        <v>77</v>
      </c>
      <c r="Z518" s="17">
        <v>550</v>
      </c>
      <c r="AA518" s="17">
        <v>1284</v>
      </c>
      <c r="AB518" s="12">
        <v>97</v>
      </c>
    </row>
    <row r="519" ht="14.25" spans="1:28">
      <c r="A519" s="13">
        <v>517</v>
      </c>
      <c r="B519" s="15">
        <v>11</v>
      </c>
      <c r="C519" s="16">
        <v>21</v>
      </c>
      <c r="D519" s="17" t="s">
        <v>1044</v>
      </c>
      <c r="E519" s="17" t="s">
        <v>1045</v>
      </c>
      <c r="F519" s="17">
        <v>105</v>
      </c>
      <c r="G519" s="17">
        <v>1427</v>
      </c>
      <c r="H519" s="17">
        <v>98</v>
      </c>
      <c r="I519" s="17">
        <v>4147</v>
      </c>
      <c r="J519" s="17">
        <v>95</v>
      </c>
      <c r="K519" s="17">
        <v>4092</v>
      </c>
      <c r="L519" s="17">
        <v>50</v>
      </c>
      <c r="M519" s="17">
        <v>3933</v>
      </c>
      <c r="N519" s="17"/>
      <c r="O519" s="17"/>
      <c r="P519" s="17">
        <v>81</v>
      </c>
      <c r="Q519" s="17">
        <v>2079</v>
      </c>
      <c r="R519" s="17">
        <v>82</v>
      </c>
      <c r="S519" s="17">
        <v>1915</v>
      </c>
      <c r="T519" s="17"/>
      <c r="U519" s="17"/>
      <c r="V519" s="17"/>
      <c r="W519" s="17"/>
      <c r="X519" s="15">
        <v>298</v>
      </c>
      <c r="Y519" s="17">
        <v>293</v>
      </c>
      <c r="Z519" s="17">
        <v>511</v>
      </c>
      <c r="AA519" s="17">
        <v>2723</v>
      </c>
      <c r="AB519" s="12">
        <v>268</v>
      </c>
    </row>
    <row r="520" ht="14.25" spans="1:28">
      <c r="A520" s="13">
        <v>518</v>
      </c>
      <c r="B520" s="15">
        <v>11</v>
      </c>
      <c r="C520" s="16">
        <v>22</v>
      </c>
      <c r="D520" s="17" t="s">
        <v>1046</v>
      </c>
      <c r="E520" s="17" t="s">
        <v>1047</v>
      </c>
      <c r="F520" s="17">
        <v>94.5</v>
      </c>
      <c r="G520" s="17">
        <v>6496</v>
      </c>
      <c r="H520" s="17">
        <v>84</v>
      </c>
      <c r="I520" s="17">
        <v>7206</v>
      </c>
      <c r="J520" s="17">
        <v>99.5</v>
      </c>
      <c r="K520" s="17">
        <v>3134</v>
      </c>
      <c r="L520" s="17">
        <v>62.5</v>
      </c>
      <c r="M520" s="17">
        <v>1781</v>
      </c>
      <c r="N520" s="17"/>
      <c r="O520" s="17"/>
      <c r="P520" s="17">
        <v>83</v>
      </c>
      <c r="Q520" s="17">
        <v>1643</v>
      </c>
      <c r="R520" s="17">
        <v>85</v>
      </c>
      <c r="S520" s="17">
        <v>1393</v>
      </c>
      <c r="T520" s="17"/>
      <c r="U520" s="17"/>
      <c r="V520" s="17"/>
      <c r="W520" s="17"/>
      <c r="X520" s="15">
        <v>278</v>
      </c>
      <c r="Y520" s="17">
        <v>469</v>
      </c>
      <c r="Z520" s="17">
        <v>508.5</v>
      </c>
      <c r="AA520" s="17">
        <v>2836</v>
      </c>
      <c r="AB520" s="12">
        <v>279</v>
      </c>
    </row>
    <row r="521" ht="14.25" spans="1:28">
      <c r="A521" s="13">
        <v>519</v>
      </c>
      <c r="B521" s="15">
        <v>11</v>
      </c>
      <c r="C521" s="16">
        <v>24</v>
      </c>
      <c r="D521" s="17" t="s">
        <v>1048</v>
      </c>
      <c r="E521" s="17" t="s">
        <v>1049</v>
      </c>
      <c r="F521" s="17">
        <v>99.5</v>
      </c>
      <c r="G521" s="17">
        <v>3607</v>
      </c>
      <c r="H521" s="17">
        <v>108</v>
      </c>
      <c r="I521" s="17">
        <v>2274</v>
      </c>
      <c r="J521" s="17">
        <v>103</v>
      </c>
      <c r="K521" s="17">
        <v>2527</v>
      </c>
      <c r="L521" s="17">
        <v>51</v>
      </c>
      <c r="M521" s="17">
        <v>3730</v>
      </c>
      <c r="N521" s="17"/>
      <c r="O521" s="17"/>
      <c r="P521" s="17">
        <v>84</v>
      </c>
      <c r="Q521" s="17">
        <v>1443</v>
      </c>
      <c r="R521" s="17">
        <v>77</v>
      </c>
      <c r="S521" s="17">
        <v>3183</v>
      </c>
      <c r="T521" s="17"/>
      <c r="U521" s="17"/>
      <c r="V521" s="17"/>
      <c r="W521" s="17"/>
      <c r="X521" s="15">
        <v>310.5</v>
      </c>
      <c r="Y521" s="17">
        <v>187</v>
      </c>
      <c r="Z521" s="17">
        <v>522.5</v>
      </c>
      <c r="AA521" s="17">
        <v>2264</v>
      </c>
      <c r="AB521" s="12">
        <v>205</v>
      </c>
    </row>
    <row r="522" ht="14.25" spans="1:28">
      <c r="A522" s="13">
        <v>520</v>
      </c>
      <c r="B522" s="15">
        <v>11</v>
      </c>
      <c r="C522" s="16">
        <v>25</v>
      </c>
      <c r="D522" s="17" t="s">
        <v>1050</v>
      </c>
      <c r="E522" s="17" t="s">
        <v>1051</v>
      </c>
      <c r="F522" s="17">
        <v>99</v>
      </c>
      <c r="G522" s="17">
        <v>3868</v>
      </c>
      <c r="H522" s="17">
        <v>102.5</v>
      </c>
      <c r="I522" s="17">
        <v>3278</v>
      </c>
      <c r="J522" s="17">
        <v>101.25</v>
      </c>
      <c r="K522" s="17">
        <v>2839</v>
      </c>
      <c r="L522" s="17">
        <v>23</v>
      </c>
      <c r="M522" s="17">
        <v>12526</v>
      </c>
      <c r="N522" s="17"/>
      <c r="O522" s="17"/>
      <c r="P522" s="17">
        <v>68</v>
      </c>
      <c r="Q522" s="17">
        <v>6016</v>
      </c>
      <c r="R522" s="17">
        <v>72</v>
      </c>
      <c r="S522" s="17">
        <v>4793</v>
      </c>
      <c r="T522" s="17"/>
      <c r="U522" s="17"/>
      <c r="V522" s="17"/>
      <c r="W522" s="17"/>
      <c r="X522" s="15">
        <v>302.75</v>
      </c>
      <c r="Y522" s="17">
        <v>259</v>
      </c>
      <c r="Z522" s="17">
        <v>465.75</v>
      </c>
      <c r="AA522" s="17">
        <v>5115</v>
      </c>
      <c r="AB522" s="12">
        <v>483</v>
      </c>
    </row>
    <row r="523" ht="14.25" spans="1:28">
      <c r="A523" s="13">
        <v>521</v>
      </c>
      <c r="B523" s="15">
        <v>11</v>
      </c>
      <c r="C523" s="16">
        <v>26</v>
      </c>
      <c r="D523" s="17" t="s">
        <v>1052</v>
      </c>
      <c r="E523" s="17" t="s">
        <v>1053</v>
      </c>
      <c r="F523" s="17">
        <v>98.5</v>
      </c>
      <c r="G523" s="17">
        <v>4145</v>
      </c>
      <c r="H523" s="17">
        <v>96</v>
      </c>
      <c r="I523" s="17">
        <v>4544</v>
      </c>
      <c r="J523" s="17">
        <v>87.5</v>
      </c>
      <c r="K523" s="17">
        <v>5877</v>
      </c>
      <c r="L523" s="17">
        <v>31</v>
      </c>
      <c r="M523" s="17">
        <v>9078</v>
      </c>
      <c r="N523" s="17"/>
      <c r="O523" s="17"/>
      <c r="P523" s="17">
        <v>52</v>
      </c>
      <c r="Q523" s="17">
        <v>10512</v>
      </c>
      <c r="R523" s="17">
        <v>70</v>
      </c>
      <c r="S523" s="17">
        <v>5497</v>
      </c>
      <c r="T523" s="17"/>
      <c r="U523" s="17"/>
      <c r="V523" s="17"/>
      <c r="W523" s="17"/>
      <c r="X523" s="15">
        <v>282</v>
      </c>
      <c r="Y523" s="17">
        <v>432</v>
      </c>
      <c r="Z523" s="17">
        <v>435</v>
      </c>
      <c r="AA523" s="17">
        <v>7153</v>
      </c>
      <c r="AB523" s="12">
        <v>586</v>
      </c>
    </row>
    <row r="524" ht="14.25" spans="1:28">
      <c r="A524" s="13">
        <v>522</v>
      </c>
      <c r="B524" s="15">
        <v>11</v>
      </c>
      <c r="C524" s="16">
        <v>27</v>
      </c>
      <c r="D524" s="17" t="s">
        <v>1054</v>
      </c>
      <c r="E524" s="17" t="s">
        <v>1055</v>
      </c>
      <c r="F524" s="17">
        <v>116</v>
      </c>
      <c r="G524" s="17">
        <v>48</v>
      </c>
      <c r="H524" s="17">
        <v>101</v>
      </c>
      <c r="I524" s="17">
        <v>3563</v>
      </c>
      <c r="J524" s="17">
        <v>99.5</v>
      </c>
      <c r="K524" s="17">
        <v>3134</v>
      </c>
      <c r="L524" s="17">
        <v>35.5</v>
      </c>
      <c r="M524" s="17">
        <v>7589</v>
      </c>
      <c r="N524" s="17"/>
      <c r="O524" s="17"/>
      <c r="P524" s="17">
        <v>87</v>
      </c>
      <c r="Q524" s="17">
        <v>681</v>
      </c>
      <c r="R524" s="17">
        <v>86</v>
      </c>
      <c r="S524" s="17">
        <v>1176</v>
      </c>
      <c r="T524" s="17"/>
      <c r="U524" s="17"/>
      <c r="V524" s="17"/>
      <c r="W524" s="17"/>
      <c r="X524" s="15">
        <v>316.5</v>
      </c>
      <c r="Y524" s="17">
        <v>142</v>
      </c>
      <c r="Z524" s="17">
        <v>525</v>
      </c>
      <c r="AA524" s="17">
        <v>2137</v>
      </c>
      <c r="AB524" s="12">
        <v>186</v>
      </c>
    </row>
    <row r="525" ht="14.25" spans="1:28">
      <c r="A525" s="13">
        <v>523</v>
      </c>
      <c r="B525" s="15">
        <v>11</v>
      </c>
      <c r="C525" s="16">
        <v>28</v>
      </c>
      <c r="D525" s="17" t="s">
        <v>1056</v>
      </c>
      <c r="E525" s="17" t="s">
        <v>1057</v>
      </c>
      <c r="F525" s="17">
        <v>99</v>
      </c>
      <c r="G525" s="17">
        <v>3868</v>
      </c>
      <c r="H525" s="17">
        <v>86.5</v>
      </c>
      <c r="I525" s="17">
        <v>6657</v>
      </c>
      <c r="J525" s="17">
        <v>106.25</v>
      </c>
      <c r="K525" s="17">
        <v>1993</v>
      </c>
      <c r="L525" s="17">
        <v>51.5</v>
      </c>
      <c r="M525" s="17">
        <v>3642</v>
      </c>
      <c r="N525" s="17"/>
      <c r="O525" s="17"/>
      <c r="P525" s="17">
        <v>65</v>
      </c>
      <c r="Q525" s="17">
        <v>7113</v>
      </c>
      <c r="R525" s="17">
        <v>62</v>
      </c>
      <c r="S525" s="17">
        <v>8006</v>
      </c>
      <c r="T525" s="17"/>
      <c r="U525" s="17"/>
      <c r="V525" s="17"/>
      <c r="W525" s="17"/>
      <c r="X525" s="15">
        <v>291.75</v>
      </c>
      <c r="Y525" s="17">
        <v>355</v>
      </c>
      <c r="Z525" s="17">
        <v>470.25</v>
      </c>
      <c r="AA525" s="17">
        <v>4826</v>
      </c>
      <c r="AB525" s="12">
        <v>459</v>
      </c>
    </row>
    <row r="526" ht="14.25" spans="1:28">
      <c r="A526" s="13">
        <v>524</v>
      </c>
      <c r="B526" s="15">
        <v>11</v>
      </c>
      <c r="C526" s="16">
        <v>29</v>
      </c>
      <c r="D526" s="17" t="s">
        <v>1058</v>
      </c>
      <c r="E526" s="17" t="s">
        <v>1059</v>
      </c>
      <c r="F526" s="17">
        <v>103</v>
      </c>
      <c r="G526" s="17">
        <v>2094</v>
      </c>
      <c r="H526" s="17">
        <v>102.5</v>
      </c>
      <c r="I526" s="17">
        <v>3278</v>
      </c>
      <c r="J526" s="17">
        <v>100.75</v>
      </c>
      <c r="K526" s="17">
        <v>2915</v>
      </c>
      <c r="L526" s="17">
        <v>57.5</v>
      </c>
      <c r="M526" s="17">
        <v>2619</v>
      </c>
      <c r="N526" s="17"/>
      <c r="O526" s="17"/>
      <c r="P526" s="17">
        <v>73</v>
      </c>
      <c r="Q526" s="17">
        <v>4501</v>
      </c>
      <c r="R526" s="17">
        <v>77</v>
      </c>
      <c r="S526" s="17">
        <v>3183</v>
      </c>
      <c r="T526" s="17"/>
      <c r="U526" s="17"/>
      <c r="V526" s="17"/>
      <c r="W526" s="17"/>
      <c r="X526" s="15">
        <v>306.25</v>
      </c>
      <c r="Y526" s="17">
        <v>225</v>
      </c>
      <c r="Z526" s="17">
        <v>513.75</v>
      </c>
      <c r="AA526" s="17">
        <v>2604</v>
      </c>
      <c r="AB526" s="12">
        <v>251</v>
      </c>
    </row>
    <row r="527" ht="14.25" spans="1:28">
      <c r="A527" s="13">
        <v>525</v>
      </c>
      <c r="B527" s="15">
        <v>11</v>
      </c>
      <c r="C527" s="16">
        <v>30</v>
      </c>
      <c r="D527" s="17" t="s">
        <v>1060</v>
      </c>
      <c r="E527" s="17" t="s">
        <v>1061</v>
      </c>
      <c r="F527" s="17">
        <v>95.5</v>
      </c>
      <c r="G527" s="17">
        <v>5877</v>
      </c>
      <c r="H527" s="17">
        <v>93.5</v>
      </c>
      <c r="I527" s="17">
        <v>5060</v>
      </c>
      <c r="J527" s="17">
        <v>110.25</v>
      </c>
      <c r="K527" s="17">
        <v>1435</v>
      </c>
      <c r="L527" s="17">
        <v>55.5</v>
      </c>
      <c r="M527" s="17">
        <v>2964</v>
      </c>
      <c r="N527" s="17"/>
      <c r="O527" s="17"/>
      <c r="P527" s="17">
        <v>80</v>
      </c>
      <c r="Q527" s="17">
        <v>2333</v>
      </c>
      <c r="R527" s="17">
        <v>71</v>
      </c>
      <c r="S527" s="17">
        <v>5151</v>
      </c>
      <c r="T527" s="17"/>
      <c r="U527" s="17"/>
      <c r="V527" s="17"/>
      <c r="W527" s="17"/>
      <c r="X527" s="15">
        <v>299.25</v>
      </c>
      <c r="Y527" s="17">
        <v>281</v>
      </c>
      <c r="Z527" s="17">
        <v>505.75</v>
      </c>
      <c r="AA527" s="17">
        <v>2981</v>
      </c>
      <c r="AB527" s="12">
        <v>297</v>
      </c>
    </row>
    <row r="528" ht="14.25" spans="1:28">
      <c r="A528" s="13">
        <v>526</v>
      </c>
      <c r="B528" s="15">
        <v>11</v>
      </c>
      <c r="C528" s="16">
        <v>31</v>
      </c>
      <c r="D528" s="17" t="s">
        <v>1062</v>
      </c>
      <c r="E528" s="17" t="s">
        <v>630</v>
      </c>
      <c r="F528" s="17">
        <v>88.5</v>
      </c>
      <c r="G528" s="17">
        <v>10291</v>
      </c>
      <c r="H528" s="17">
        <v>101</v>
      </c>
      <c r="I528" s="17">
        <v>3563</v>
      </c>
      <c r="J528" s="17">
        <v>54.5</v>
      </c>
      <c r="K528" s="17">
        <v>13373</v>
      </c>
      <c r="L528" s="17">
        <v>57</v>
      </c>
      <c r="M528" s="17">
        <v>2714</v>
      </c>
      <c r="N528" s="17"/>
      <c r="O528" s="17"/>
      <c r="P528" s="17">
        <v>82</v>
      </c>
      <c r="Q528" s="17">
        <v>1870</v>
      </c>
      <c r="R528" s="17">
        <v>79</v>
      </c>
      <c r="S528" s="17">
        <v>2629</v>
      </c>
      <c r="T528" s="17"/>
      <c r="U528" s="17"/>
      <c r="V528" s="17"/>
      <c r="W528" s="17"/>
      <c r="X528" s="15">
        <v>244</v>
      </c>
      <c r="Y528" s="17">
        <v>620</v>
      </c>
      <c r="Z528" s="17">
        <v>462</v>
      </c>
      <c r="AA528" s="17">
        <v>5355</v>
      </c>
      <c r="AB528" s="12">
        <v>500</v>
      </c>
    </row>
    <row r="529" ht="14.25" spans="1:28">
      <c r="A529" s="13">
        <v>527</v>
      </c>
      <c r="B529" s="15">
        <v>11</v>
      </c>
      <c r="C529" s="16">
        <v>32</v>
      </c>
      <c r="D529" s="17" t="s">
        <v>1063</v>
      </c>
      <c r="E529" s="17" t="s">
        <v>1064</v>
      </c>
      <c r="F529" s="17">
        <v>97</v>
      </c>
      <c r="G529" s="17">
        <v>4967</v>
      </c>
      <c r="H529" s="17">
        <v>122</v>
      </c>
      <c r="I529" s="17">
        <v>549</v>
      </c>
      <c r="J529" s="17">
        <v>99</v>
      </c>
      <c r="K529" s="17">
        <v>3244</v>
      </c>
      <c r="L529" s="17">
        <v>47</v>
      </c>
      <c r="M529" s="17">
        <v>4568</v>
      </c>
      <c r="N529" s="17"/>
      <c r="O529" s="17"/>
      <c r="P529" s="17">
        <v>75</v>
      </c>
      <c r="Q529" s="17">
        <v>3841</v>
      </c>
      <c r="R529" s="17">
        <v>80</v>
      </c>
      <c r="S529" s="17">
        <v>2376</v>
      </c>
      <c r="T529" s="17"/>
      <c r="U529" s="17"/>
      <c r="V529" s="17"/>
      <c r="W529" s="17"/>
      <c r="X529" s="15">
        <v>318</v>
      </c>
      <c r="Y529" s="17">
        <v>130</v>
      </c>
      <c r="Z529" s="17">
        <v>520</v>
      </c>
      <c r="AA529" s="17">
        <v>2348</v>
      </c>
      <c r="AB529" s="12">
        <v>218</v>
      </c>
    </row>
    <row r="530" ht="14.25" spans="1:28">
      <c r="A530" s="13">
        <v>528</v>
      </c>
      <c r="B530" s="15">
        <v>11</v>
      </c>
      <c r="C530" s="16">
        <v>33</v>
      </c>
      <c r="D530" s="17" t="s">
        <v>1065</v>
      </c>
      <c r="E530" s="17" t="s">
        <v>1066</v>
      </c>
      <c r="F530" s="17">
        <v>95</v>
      </c>
      <c r="G530" s="17">
        <v>6168</v>
      </c>
      <c r="H530" s="17">
        <v>117</v>
      </c>
      <c r="I530" s="17">
        <v>975</v>
      </c>
      <c r="J530" s="17">
        <v>93</v>
      </c>
      <c r="K530" s="17">
        <v>4548</v>
      </c>
      <c r="L530" s="17">
        <v>49.5</v>
      </c>
      <c r="M530" s="17">
        <v>4044</v>
      </c>
      <c r="N530" s="17"/>
      <c r="O530" s="17"/>
      <c r="P530" s="17">
        <v>83</v>
      </c>
      <c r="Q530" s="17">
        <v>1643</v>
      </c>
      <c r="R530" s="17">
        <v>83</v>
      </c>
      <c r="S530" s="17">
        <v>1715</v>
      </c>
      <c r="T530" s="17"/>
      <c r="U530" s="17"/>
      <c r="V530" s="17"/>
      <c r="W530" s="17"/>
      <c r="X530" s="15">
        <v>305</v>
      </c>
      <c r="Y530" s="17">
        <v>236</v>
      </c>
      <c r="Z530" s="17">
        <v>520.5</v>
      </c>
      <c r="AA530" s="17">
        <v>2332</v>
      </c>
      <c r="AB530" s="12">
        <v>214</v>
      </c>
    </row>
    <row r="531" ht="14.25" spans="1:28">
      <c r="A531" s="13">
        <v>529</v>
      </c>
      <c r="B531" s="15">
        <v>11</v>
      </c>
      <c r="C531" s="16">
        <v>34</v>
      </c>
      <c r="D531" s="17" t="s">
        <v>1067</v>
      </c>
      <c r="E531" s="17" t="s">
        <v>1068</v>
      </c>
      <c r="F531" s="17">
        <v>91</v>
      </c>
      <c r="G531" s="17">
        <v>8620</v>
      </c>
      <c r="H531" s="17">
        <v>91</v>
      </c>
      <c r="I531" s="17">
        <v>5638</v>
      </c>
      <c r="J531" s="17">
        <v>84</v>
      </c>
      <c r="K531" s="17">
        <v>6761</v>
      </c>
      <c r="L531" s="17">
        <v>42.5</v>
      </c>
      <c r="M531" s="17">
        <v>5605</v>
      </c>
      <c r="N531" s="17"/>
      <c r="O531" s="17"/>
      <c r="P531" s="17">
        <v>77</v>
      </c>
      <c r="Q531" s="17">
        <v>3207</v>
      </c>
      <c r="R531" s="17">
        <v>77</v>
      </c>
      <c r="S531" s="17">
        <v>3183</v>
      </c>
      <c r="T531" s="17"/>
      <c r="U531" s="17"/>
      <c r="V531" s="17"/>
      <c r="W531" s="17"/>
      <c r="X531" s="15">
        <v>266</v>
      </c>
      <c r="Y531" s="17">
        <v>549</v>
      </c>
      <c r="Z531" s="17">
        <v>462.5</v>
      </c>
      <c r="AA531" s="17">
        <v>5320</v>
      </c>
      <c r="AB531" s="12">
        <v>499</v>
      </c>
    </row>
    <row r="532" ht="14.25" spans="1:28">
      <c r="A532" s="13">
        <v>530</v>
      </c>
      <c r="B532" s="15">
        <v>11</v>
      </c>
      <c r="C532" s="16">
        <v>36</v>
      </c>
      <c r="D532" s="17" t="s">
        <v>1069</v>
      </c>
      <c r="E532" s="17" t="s">
        <v>1070</v>
      </c>
      <c r="F532" s="17">
        <v>91</v>
      </c>
      <c r="G532" s="17">
        <v>8620</v>
      </c>
      <c r="H532" s="17">
        <v>113.5</v>
      </c>
      <c r="I532" s="17">
        <v>1397</v>
      </c>
      <c r="J532" s="17">
        <v>95.25</v>
      </c>
      <c r="K532" s="17">
        <v>4060</v>
      </c>
      <c r="L532" s="17">
        <v>64</v>
      </c>
      <c r="M532" s="17">
        <v>1577</v>
      </c>
      <c r="N532" s="17"/>
      <c r="O532" s="17"/>
      <c r="P532" s="17">
        <v>87</v>
      </c>
      <c r="Q532" s="17">
        <v>681</v>
      </c>
      <c r="R532" s="17">
        <v>80</v>
      </c>
      <c r="S532" s="17">
        <v>2376</v>
      </c>
      <c r="T532" s="17"/>
      <c r="U532" s="17"/>
      <c r="V532" s="17"/>
      <c r="W532" s="17"/>
      <c r="X532" s="15">
        <v>299.75</v>
      </c>
      <c r="Y532" s="17">
        <v>279</v>
      </c>
      <c r="Z532" s="17">
        <v>530.75</v>
      </c>
      <c r="AA532" s="17">
        <v>1925</v>
      </c>
      <c r="AB532" s="12">
        <v>168</v>
      </c>
    </row>
    <row r="533" ht="14.25" spans="1:28">
      <c r="A533" s="13">
        <v>531</v>
      </c>
      <c r="B533" s="15">
        <v>11</v>
      </c>
      <c r="C533" s="16">
        <v>37</v>
      </c>
      <c r="D533" s="17" t="s">
        <v>1071</v>
      </c>
      <c r="E533" s="17" t="s">
        <v>1072</v>
      </c>
      <c r="F533" s="17">
        <v>95.5</v>
      </c>
      <c r="G533" s="17">
        <v>5877</v>
      </c>
      <c r="H533" s="17">
        <v>109</v>
      </c>
      <c r="I533" s="17">
        <v>2105</v>
      </c>
      <c r="J533" s="17">
        <v>117.5</v>
      </c>
      <c r="K533" s="17">
        <v>682</v>
      </c>
      <c r="L533" s="17">
        <v>60</v>
      </c>
      <c r="M533" s="17">
        <v>2185</v>
      </c>
      <c r="N533" s="17"/>
      <c r="O533" s="17"/>
      <c r="P533" s="17">
        <v>82</v>
      </c>
      <c r="Q533" s="17">
        <v>1870</v>
      </c>
      <c r="R533" s="17">
        <v>88</v>
      </c>
      <c r="S533" s="17">
        <v>601</v>
      </c>
      <c r="T533" s="17"/>
      <c r="U533" s="17"/>
      <c r="V533" s="17"/>
      <c r="W533" s="17"/>
      <c r="X533" s="15">
        <v>322</v>
      </c>
      <c r="Y533" s="17">
        <v>104</v>
      </c>
      <c r="Z533" s="17">
        <v>552</v>
      </c>
      <c r="AA533" s="17">
        <v>1226</v>
      </c>
      <c r="AB533" s="12">
        <v>95</v>
      </c>
    </row>
    <row r="534" ht="14.25" spans="1:28">
      <c r="A534" s="13">
        <v>532</v>
      </c>
      <c r="B534" s="15">
        <v>11</v>
      </c>
      <c r="C534" s="16">
        <v>38</v>
      </c>
      <c r="D534" s="17" t="s">
        <v>1073</v>
      </c>
      <c r="E534" s="17" t="s">
        <v>1074</v>
      </c>
      <c r="F534" s="17">
        <v>105</v>
      </c>
      <c r="G534" s="17">
        <v>1427</v>
      </c>
      <c r="H534" s="17">
        <v>111</v>
      </c>
      <c r="I534" s="17">
        <v>1774</v>
      </c>
      <c r="J534" s="17">
        <v>98.25</v>
      </c>
      <c r="K534" s="17">
        <v>3423</v>
      </c>
      <c r="L534" s="17">
        <v>59.5</v>
      </c>
      <c r="M534" s="17">
        <v>2274</v>
      </c>
      <c r="N534" s="17"/>
      <c r="O534" s="17"/>
      <c r="P534" s="17">
        <v>86</v>
      </c>
      <c r="Q534" s="17">
        <v>1052</v>
      </c>
      <c r="R534" s="17">
        <v>83</v>
      </c>
      <c r="S534" s="17">
        <v>1715</v>
      </c>
      <c r="T534" s="17"/>
      <c r="U534" s="17"/>
      <c r="V534" s="17"/>
      <c r="W534" s="17"/>
      <c r="X534" s="15">
        <v>314.25</v>
      </c>
      <c r="Y534" s="17">
        <v>154</v>
      </c>
      <c r="Z534" s="17">
        <v>542.75</v>
      </c>
      <c r="AA534" s="17">
        <v>1520</v>
      </c>
      <c r="AB534" s="12">
        <v>121</v>
      </c>
    </row>
    <row r="535" ht="14.25" spans="1:28">
      <c r="A535" s="13">
        <v>533</v>
      </c>
      <c r="B535" s="15">
        <v>11</v>
      </c>
      <c r="C535" s="16">
        <v>39</v>
      </c>
      <c r="D535" s="17" t="s">
        <v>1075</v>
      </c>
      <c r="E535" s="17" t="s">
        <v>1076</v>
      </c>
      <c r="F535" s="17">
        <v>101</v>
      </c>
      <c r="G535" s="17">
        <v>2896</v>
      </c>
      <c r="H535" s="17">
        <v>53</v>
      </c>
      <c r="I535" s="17">
        <v>12991</v>
      </c>
      <c r="J535" s="17">
        <v>76.75</v>
      </c>
      <c r="K535" s="17">
        <v>8663</v>
      </c>
      <c r="L535" s="17">
        <v>41</v>
      </c>
      <c r="M535" s="17">
        <v>5993</v>
      </c>
      <c r="N535" s="17"/>
      <c r="O535" s="17"/>
      <c r="P535" s="17">
        <v>70</v>
      </c>
      <c r="Q535" s="17">
        <v>5445</v>
      </c>
      <c r="R535" s="17">
        <v>88</v>
      </c>
      <c r="S535" s="17">
        <v>601</v>
      </c>
      <c r="T535" s="17"/>
      <c r="U535" s="17"/>
      <c r="V535" s="17"/>
      <c r="W535" s="17"/>
      <c r="X535" s="15">
        <v>230.75</v>
      </c>
      <c r="Y535" s="17">
        <v>646</v>
      </c>
      <c r="Z535" s="17">
        <v>429.75</v>
      </c>
      <c r="AA535" s="17">
        <v>7516</v>
      </c>
      <c r="AB535" s="12">
        <v>602</v>
      </c>
    </row>
    <row r="536" ht="14.25" spans="1:28">
      <c r="A536" s="13">
        <v>534</v>
      </c>
      <c r="B536" s="15">
        <v>11</v>
      </c>
      <c r="C536" s="16">
        <v>40</v>
      </c>
      <c r="D536" s="17" t="s">
        <v>1077</v>
      </c>
      <c r="E536" s="17" t="s">
        <v>1078</v>
      </c>
      <c r="F536" s="17">
        <v>97.5</v>
      </c>
      <c r="G536" s="17">
        <v>4695</v>
      </c>
      <c r="H536" s="17">
        <v>113</v>
      </c>
      <c r="I536" s="17">
        <v>1467</v>
      </c>
      <c r="J536" s="17">
        <v>96.5</v>
      </c>
      <c r="K536" s="17">
        <v>3746</v>
      </c>
      <c r="L536" s="17">
        <v>71.5</v>
      </c>
      <c r="M536" s="17">
        <v>714</v>
      </c>
      <c r="N536" s="17"/>
      <c r="O536" s="17"/>
      <c r="P536" s="17">
        <v>80</v>
      </c>
      <c r="Q536" s="17">
        <v>2333</v>
      </c>
      <c r="R536" s="17">
        <v>66</v>
      </c>
      <c r="S536" s="17">
        <v>6674</v>
      </c>
      <c r="T536" s="17"/>
      <c r="U536" s="17"/>
      <c r="V536" s="17"/>
      <c r="W536" s="17"/>
      <c r="X536" s="15">
        <v>307</v>
      </c>
      <c r="Y536" s="17">
        <v>221</v>
      </c>
      <c r="Z536" s="17">
        <v>524.5</v>
      </c>
      <c r="AA536" s="17">
        <v>2164</v>
      </c>
      <c r="AB536" s="12">
        <v>192</v>
      </c>
    </row>
    <row r="537" ht="14.25" spans="1:28">
      <c r="A537" s="13">
        <v>535</v>
      </c>
      <c r="B537" s="15">
        <v>11</v>
      </c>
      <c r="C537" s="16">
        <v>41</v>
      </c>
      <c r="D537" s="17" t="s">
        <v>1079</v>
      </c>
      <c r="E537" s="17" t="s">
        <v>1080</v>
      </c>
      <c r="F537" s="17">
        <v>101</v>
      </c>
      <c r="G537" s="17">
        <v>2896</v>
      </c>
      <c r="H537" s="17">
        <v>91</v>
      </c>
      <c r="I537" s="17">
        <v>5638</v>
      </c>
      <c r="J537" s="17">
        <v>88.5</v>
      </c>
      <c r="K537" s="17">
        <v>5628</v>
      </c>
      <c r="L537" s="17">
        <v>44</v>
      </c>
      <c r="M537" s="17">
        <v>5222</v>
      </c>
      <c r="N537" s="17"/>
      <c r="O537" s="17"/>
      <c r="P537" s="17">
        <v>64</v>
      </c>
      <c r="Q537" s="17">
        <v>7304</v>
      </c>
      <c r="R537" s="17">
        <v>71</v>
      </c>
      <c r="S537" s="17">
        <v>5151</v>
      </c>
      <c r="T537" s="17"/>
      <c r="U537" s="17"/>
      <c r="V537" s="17"/>
      <c r="W537" s="17"/>
      <c r="X537" s="15">
        <v>280.5</v>
      </c>
      <c r="Y537" s="17">
        <v>443</v>
      </c>
      <c r="Z537" s="17">
        <v>459.5</v>
      </c>
      <c r="AA537" s="17">
        <v>5507</v>
      </c>
      <c r="AB537" s="12">
        <v>509</v>
      </c>
    </row>
    <row r="538" ht="14.25" spans="1:28">
      <c r="A538" s="13">
        <v>536</v>
      </c>
      <c r="B538" s="15">
        <v>11</v>
      </c>
      <c r="C538" s="16">
        <v>42</v>
      </c>
      <c r="D538" s="17" t="s">
        <v>1081</v>
      </c>
      <c r="E538" s="17" t="s">
        <v>1082</v>
      </c>
      <c r="F538" s="17">
        <v>94.5</v>
      </c>
      <c r="G538" s="17">
        <v>6496</v>
      </c>
      <c r="H538" s="17">
        <v>100.5</v>
      </c>
      <c r="I538" s="17">
        <v>3650</v>
      </c>
      <c r="J538" s="17">
        <v>37.75</v>
      </c>
      <c r="K538" s="17">
        <v>15283</v>
      </c>
      <c r="L538" s="17">
        <v>54.5</v>
      </c>
      <c r="M538" s="17">
        <v>3126</v>
      </c>
      <c r="N538" s="17"/>
      <c r="O538" s="17"/>
      <c r="P538" s="17">
        <v>61</v>
      </c>
      <c r="Q538" s="17">
        <v>8358</v>
      </c>
      <c r="R538" s="17">
        <v>78</v>
      </c>
      <c r="S538" s="17">
        <v>2906</v>
      </c>
      <c r="T538" s="17"/>
      <c r="U538" s="17"/>
      <c r="V538" s="17"/>
      <c r="W538" s="17"/>
      <c r="X538" s="15">
        <v>232.75</v>
      </c>
      <c r="Y538" s="17">
        <v>641</v>
      </c>
      <c r="Z538" s="17">
        <v>426.25</v>
      </c>
      <c r="AA538" s="17">
        <v>7778</v>
      </c>
      <c r="AB538" s="12">
        <v>611</v>
      </c>
    </row>
    <row r="539" ht="14.25" spans="1:28">
      <c r="A539" s="13">
        <v>537</v>
      </c>
      <c r="B539" s="15">
        <v>11</v>
      </c>
      <c r="C539" s="16">
        <v>43</v>
      </c>
      <c r="D539" s="17" t="s">
        <v>1083</v>
      </c>
      <c r="E539" s="17" t="s">
        <v>1084</v>
      </c>
      <c r="F539" s="17">
        <v>86.75</v>
      </c>
      <c r="G539" s="17">
        <v>11488</v>
      </c>
      <c r="H539" s="17">
        <v>105.5</v>
      </c>
      <c r="I539" s="17">
        <v>2718</v>
      </c>
      <c r="J539" s="17">
        <v>72.5</v>
      </c>
      <c r="K539" s="17">
        <v>9729</v>
      </c>
      <c r="L539" s="17">
        <v>38.5</v>
      </c>
      <c r="M539" s="17">
        <v>6692</v>
      </c>
      <c r="N539" s="17"/>
      <c r="O539" s="17"/>
      <c r="P539" s="17">
        <v>76</v>
      </c>
      <c r="Q539" s="17">
        <v>3515</v>
      </c>
      <c r="R539" s="17">
        <v>62</v>
      </c>
      <c r="S539" s="17">
        <v>8006</v>
      </c>
      <c r="T539" s="17"/>
      <c r="U539" s="17"/>
      <c r="V539" s="17"/>
      <c r="W539" s="17"/>
      <c r="X539" s="15">
        <v>264.75</v>
      </c>
      <c r="Y539" s="17">
        <v>557</v>
      </c>
      <c r="Z539" s="17">
        <v>441.25</v>
      </c>
      <c r="AA539" s="17">
        <v>6734</v>
      </c>
      <c r="AB539" s="12">
        <v>567</v>
      </c>
    </row>
    <row r="540" ht="14.25" spans="1:28">
      <c r="A540" s="13">
        <v>538</v>
      </c>
      <c r="B540" s="15">
        <v>11</v>
      </c>
      <c r="C540" s="16">
        <v>44</v>
      </c>
      <c r="D540" s="17" t="s">
        <v>1085</v>
      </c>
      <c r="E540" s="17" t="s">
        <v>1029</v>
      </c>
      <c r="F540" s="17">
        <v>105</v>
      </c>
      <c r="G540" s="17">
        <v>1427</v>
      </c>
      <c r="H540" s="17">
        <v>97</v>
      </c>
      <c r="I540" s="17">
        <v>4348</v>
      </c>
      <c r="J540" s="17">
        <v>105.5</v>
      </c>
      <c r="K540" s="17">
        <v>2098</v>
      </c>
      <c r="L540" s="17">
        <v>23</v>
      </c>
      <c r="M540" s="17">
        <v>12526</v>
      </c>
      <c r="N540" s="17"/>
      <c r="O540" s="17"/>
      <c r="P540" s="17">
        <v>86</v>
      </c>
      <c r="Q540" s="17">
        <v>1052</v>
      </c>
      <c r="R540" s="17">
        <v>80</v>
      </c>
      <c r="S540" s="17">
        <v>2376</v>
      </c>
      <c r="T540" s="17"/>
      <c r="U540" s="17"/>
      <c r="V540" s="17"/>
      <c r="W540" s="17"/>
      <c r="X540" s="15">
        <v>307.5</v>
      </c>
      <c r="Y540" s="17">
        <v>214</v>
      </c>
      <c r="Z540" s="17">
        <v>496.5</v>
      </c>
      <c r="AA540" s="17">
        <v>3420</v>
      </c>
      <c r="AB540" s="12">
        <v>350</v>
      </c>
    </row>
    <row r="541" ht="14.25" spans="1:28">
      <c r="A541" s="13">
        <v>539</v>
      </c>
      <c r="B541" s="15">
        <v>11</v>
      </c>
      <c r="C541" s="16">
        <v>45</v>
      </c>
      <c r="D541" s="17" t="s">
        <v>1086</v>
      </c>
      <c r="E541" s="17" t="s">
        <v>1087</v>
      </c>
      <c r="F541" s="17">
        <v>87</v>
      </c>
      <c r="G541" s="17">
        <v>11216</v>
      </c>
      <c r="H541" s="17">
        <v>102</v>
      </c>
      <c r="I541" s="17">
        <v>3381</v>
      </c>
      <c r="J541" s="17">
        <v>105.25</v>
      </c>
      <c r="K541" s="17">
        <v>2156</v>
      </c>
      <c r="L541" s="17">
        <v>47</v>
      </c>
      <c r="M541" s="17">
        <v>4568</v>
      </c>
      <c r="N541" s="17"/>
      <c r="O541" s="17"/>
      <c r="P541" s="17">
        <v>79</v>
      </c>
      <c r="Q541" s="17">
        <v>2632</v>
      </c>
      <c r="R541" s="17">
        <v>80</v>
      </c>
      <c r="S541" s="17">
        <v>2376</v>
      </c>
      <c r="T541" s="17"/>
      <c r="U541" s="17"/>
      <c r="V541" s="17"/>
      <c r="W541" s="17"/>
      <c r="X541" s="15">
        <v>294.25</v>
      </c>
      <c r="Y541" s="17">
        <v>324</v>
      </c>
      <c r="Z541" s="17">
        <v>500.25</v>
      </c>
      <c r="AA541" s="17">
        <v>3240</v>
      </c>
      <c r="AB541" s="12">
        <v>324</v>
      </c>
    </row>
    <row r="542" ht="14.25" spans="1:28">
      <c r="A542" s="13">
        <v>540</v>
      </c>
      <c r="B542" s="15">
        <v>11</v>
      </c>
      <c r="C542" s="16">
        <v>46</v>
      </c>
      <c r="D542" s="17" t="s">
        <v>1088</v>
      </c>
      <c r="E542" s="17" t="s">
        <v>1089</v>
      </c>
      <c r="F542" s="17">
        <v>107</v>
      </c>
      <c r="G542" s="17">
        <v>945</v>
      </c>
      <c r="H542" s="17">
        <v>86.5</v>
      </c>
      <c r="I542" s="17">
        <v>6657</v>
      </c>
      <c r="J542" s="17">
        <v>92.5</v>
      </c>
      <c r="K542" s="17">
        <v>4660</v>
      </c>
      <c r="L542" s="17">
        <v>50.5</v>
      </c>
      <c r="M542" s="17">
        <v>3830</v>
      </c>
      <c r="N542" s="17"/>
      <c r="O542" s="17"/>
      <c r="P542" s="17">
        <v>78</v>
      </c>
      <c r="Q542" s="17">
        <v>2908</v>
      </c>
      <c r="R542" s="17">
        <v>85</v>
      </c>
      <c r="S542" s="17">
        <v>1393</v>
      </c>
      <c r="T542" s="17"/>
      <c r="U542" s="17"/>
      <c r="V542" s="17"/>
      <c r="W542" s="17"/>
      <c r="X542" s="15">
        <v>286</v>
      </c>
      <c r="Y542" s="17">
        <v>392</v>
      </c>
      <c r="Z542" s="17">
        <v>499.5</v>
      </c>
      <c r="AA542" s="17">
        <v>3259</v>
      </c>
      <c r="AB542" s="12">
        <v>328</v>
      </c>
    </row>
    <row r="543" ht="14.25" spans="1:28">
      <c r="A543" s="13">
        <v>541</v>
      </c>
      <c r="B543" s="15">
        <v>11</v>
      </c>
      <c r="C543" s="16">
        <v>47</v>
      </c>
      <c r="D543" s="17" t="s">
        <v>1090</v>
      </c>
      <c r="E543" s="17" t="s">
        <v>1091</v>
      </c>
      <c r="F543" s="17">
        <v>94</v>
      </c>
      <c r="G543" s="17">
        <v>6811</v>
      </c>
      <c r="H543" s="17">
        <v>102</v>
      </c>
      <c r="I543" s="17">
        <v>3381</v>
      </c>
      <c r="J543" s="17">
        <v>101.25</v>
      </c>
      <c r="K543" s="17">
        <v>2839</v>
      </c>
      <c r="L543" s="17">
        <v>61</v>
      </c>
      <c r="M543" s="17">
        <v>2008</v>
      </c>
      <c r="N543" s="17"/>
      <c r="O543" s="17"/>
      <c r="P543" s="17">
        <v>82</v>
      </c>
      <c r="Q543" s="17">
        <v>1870</v>
      </c>
      <c r="R543" s="17">
        <v>81</v>
      </c>
      <c r="S543" s="17">
        <v>2139</v>
      </c>
      <c r="T543" s="17"/>
      <c r="U543" s="17"/>
      <c r="V543" s="17"/>
      <c r="W543" s="17"/>
      <c r="X543" s="15">
        <v>297.25</v>
      </c>
      <c r="Y543" s="17">
        <v>301</v>
      </c>
      <c r="Z543" s="17">
        <v>521.25</v>
      </c>
      <c r="AA543" s="17">
        <v>2313</v>
      </c>
      <c r="AB543" s="12">
        <v>211</v>
      </c>
    </row>
    <row r="544" ht="14.25" spans="1:28">
      <c r="A544" s="13">
        <v>542</v>
      </c>
      <c r="B544" s="15">
        <v>11</v>
      </c>
      <c r="C544" s="16">
        <v>48</v>
      </c>
      <c r="D544" s="17" t="s">
        <v>1092</v>
      </c>
      <c r="E544" s="17" t="s">
        <v>1093</v>
      </c>
      <c r="F544" s="17">
        <v>109</v>
      </c>
      <c r="G544" s="17">
        <v>567</v>
      </c>
      <c r="H544" s="17">
        <v>85</v>
      </c>
      <c r="I544" s="17">
        <v>6959</v>
      </c>
      <c r="J544" s="17">
        <v>47.5</v>
      </c>
      <c r="K544" s="17">
        <v>14303</v>
      </c>
      <c r="L544" s="17">
        <v>49.5</v>
      </c>
      <c r="M544" s="17">
        <v>4044</v>
      </c>
      <c r="N544" s="17"/>
      <c r="O544" s="17"/>
      <c r="P544" s="17">
        <v>65</v>
      </c>
      <c r="Q544" s="17">
        <v>7113</v>
      </c>
      <c r="R544" s="17">
        <v>66</v>
      </c>
      <c r="S544" s="17">
        <v>6674</v>
      </c>
      <c r="T544" s="17"/>
      <c r="U544" s="17"/>
      <c r="V544" s="17"/>
      <c r="W544" s="17"/>
      <c r="X544" s="15">
        <v>241.5</v>
      </c>
      <c r="Y544" s="17">
        <v>628</v>
      </c>
      <c r="Z544" s="17">
        <v>422</v>
      </c>
      <c r="AA544" s="17">
        <v>8072</v>
      </c>
      <c r="AB544" s="12">
        <v>621</v>
      </c>
    </row>
    <row r="545" ht="14.25" spans="1:28">
      <c r="A545" s="13">
        <v>543</v>
      </c>
      <c r="B545" s="15">
        <v>11</v>
      </c>
      <c r="C545" s="16">
        <v>49</v>
      </c>
      <c r="D545" s="17" t="s">
        <v>1094</v>
      </c>
      <c r="E545" s="17" t="s">
        <v>1095</v>
      </c>
      <c r="F545" s="17">
        <v>107</v>
      </c>
      <c r="G545" s="17">
        <v>945</v>
      </c>
      <c r="H545" s="17">
        <v>103.5</v>
      </c>
      <c r="I545" s="17">
        <v>3096</v>
      </c>
      <c r="J545" s="17">
        <v>112</v>
      </c>
      <c r="K545" s="17">
        <v>1229</v>
      </c>
      <c r="L545" s="17">
        <v>32</v>
      </c>
      <c r="M545" s="17">
        <v>8723</v>
      </c>
      <c r="N545" s="17"/>
      <c r="O545" s="17"/>
      <c r="P545" s="17">
        <v>73</v>
      </c>
      <c r="Q545" s="17">
        <v>4501</v>
      </c>
      <c r="R545" s="17">
        <v>84</v>
      </c>
      <c r="S545" s="17">
        <v>1490</v>
      </c>
      <c r="T545" s="17"/>
      <c r="U545" s="17"/>
      <c r="V545" s="17"/>
      <c r="W545" s="17"/>
      <c r="X545" s="15">
        <v>322.5</v>
      </c>
      <c r="Y545" s="17">
        <v>102</v>
      </c>
      <c r="Z545" s="17">
        <v>511.5</v>
      </c>
      <c r="AA545" s="17">
        <v>2702</v>
      </c>
      <c r="AB545" s="12">
        <v>266</v>
      </c>
    </row>
    <row r="546" ht="14.25" spans="1:28">
      <c r="A546" s="13">
        <v>544</v>
      </c>
      <c r="B546" s="15">
        <v>11</v>
      </c>
      <c r="C546" s="16">
        <v>50</v>
      </c>
      <c r="D546" s="17" t="s">
        <v>1096</v>
      </c>
      <c r="E546" s="17" t="s">
        <v>1097</v>
      </c>
      <c r="F546" s="17">
        <v>94.75</v>
      </c>
      <c r="G546" s="17">
        <v>6456</v>
      </c>
      <c r="H546" s="17">
        <v>66.5</v>
      </c>
      <c r="I546" s="17">
        <v>10595</v>
      </c>
      <c r="J546" s="17">
        <v>55</v>
      </c>
      <c r="K546" s="17">
        <v>13286</v>
      </c>
      <c r="L546" s="17">
        <v>38.5</v>
      </c>
      <c r="M546" s="17">
        <v>6692</v>
      </c>
      <c r="N546" s="17"/>
      <c r="O546" s="17"/>
      <c r="P546" s="17">
        <v>69</v>
      </c>
      <c r="Q546" s="17">
        <v>5655</v>
      </c>
      <c r="R546" s="17">
        <v>75</v>
      </c>
      <c r="S546" s="17">
        <v>3790</v>
      </c>
      <c r="T546" s="17"/>
      <c r="U546" s="17"/>
      <c r="V546" s="17"/>
      <c r="W546" s="17"/>
      <c r="X546" s="15">
        <v>216.25</v>
      </c>
      <c r="Y546" s="17">
        <v>656</v>
      </c>
      <c r="Z546" s="17">
        <v>398.75</v>
      </c>
      <c r="AA546" s="17">
        <v>9720</v>
      </c>
      <c r="AB546" s="12">
        <v>640</v>
      </c>
    </row>
    <row r="547" ht="14.25" spans="1:28">
      <c r="A547" s="13">
        <v>545</v>
      </c>
      <c r="B547" s="15">
        <v>11</v>
      </c>
      <c r="C547" s="16">
        <v>51</v>
      </c>
      <c r="D547" s="17" t="s">
        <v>1098</v>
      </c>
      <c r="E547" s="17" t="s">
        <v>1099</v>
      </c>
      <c r="F547" s="17">
        <v>93.5</v>
      </c>
      <c r="G547" s="17">
        <v>7127</v>
      </c>
      <c r="H547" s="17">
        <v>80.5</v>
      </c>
      <c r="I547" s="17">
        <v>7938</v>
      </c>
      <c r="J547" s="17">
        <v>79.75</v>
      </c>
      <c r="K547" s="17">
        <v>7889</v>
      </c>
      <c r="L547" s="17">
        <v>23.5</v>
      </c>
      <c r="M547" s="17">
        <v>12312</v>
      </c>
      <c r="N547" s="17"/>
      <c r="O547" s="17"/>
      <c r="P547" s="17">
        <v>70</v>
      </c>
      <c r="Q547" s="17">
        <v>5445</v>
      </c>
      <c r="R547" s="17">
        <v>60</v>
      </c>
      <c r="S547" s="17">
        <v>8759</v>
      </c>
      <c r="T547" s="17"/>
      <c r="U547" s="17"/>
      <c r="V547" s="17"/>
      <c r="W547" s="17"/>
      <c r="X547" s="15">
        <v>253.75</v>
      </c>
      <c r="Y547" s="17">
        <v>601</v>
      </c>
      <c r="Z547" s="17">
        <v>407.25</v>
      </c>
      <c r="AA547" s="17">
        <v>9147</v>
      </c>
      <c r="AB547" s="12">
        <v>635</v>
      </c>
    </row>
    <row r="548" ht="14.25" spans="1:28">
      <c r="A548" s="13">
        <v>546</v>
      </c>
      <c r="B548" s="15">
        <v>11</v>
      </c>
      <c r="C548" s="16">
        <v>52</v>
      </c>
      <c r="D548" s="17" t="s">
        <v>1100</v>
      </c>
      <c r="E548" s="17" t="s">
        <v>1101</v>
      </c>
      <c r="F548" s="17">
        <v>95.5</v>
      </c>
      <c r="G548" s="17">
        <v>5877</v>
      </c>
      <c r="H548" s="17">
        <v>99.5</v>
      </c>
      <c r="I548" s="17">
        <v>3847</v>
      </c>
      <c r="J548" s="17">
        <v>75</v>
      </c>
      <c r="K548" s="17">
        <v>9087</v>
      </c>
      <c r="L548" s="17">
        <v>40.5</v>
      </c>
      <c r="M548" s="17">
        <v>6131</v>
      </c>
      <c r="N548" s="17"/>
      <c r="O548" s="17"/>
      <c r="P548" s="17">
        <v>58</v>
      </c>
      <c r="Q548" s="17">
        <v>9299</v>
      </c>
      <c r="R548" s="17">
        <v>72</v>
      </c>
      <c r="S548" s="17">
        <v>4793</v>
      </c>
      <c r="T548" s="17"/>
      <c r="U548" s="17"/>
      <c r="V548" s="17"/>
      <c r="W548" s="17"/>
      <c r="X548" s="15">
        <v>270</v>
      </c>
      <c r="Y548" s="17">
        <v>531</v>
      </c>
      <c r="Z548" s="17">
        <v>440.5</v>
      </c>
      <c r="AA548" s="17">
        <v>6781</v>
      </c>
      <c r="AB548" s="12">
        <v>569</v>
      </c>
    </row>
    <row r="549" ht="14.25" spans="1:28">
      <c r="A549" s="13">
        <v>547</v>
      </c>
      <c r="B549" s="15">
        <v>11</v>
      </c>
      <c r="C549" s="16">
        <v>53</v>
      </c>
      <c r="D549" s="17" t="s">
        <v>1102</v>
      </c>
      <c r="E549" s="17" t="s">
        <v>1103</v>
      </c>
      <c r="F549" s="17">
        <v>97.5</v>
      </c>
      <c r="G549" s="17">
        <v>4695</v>
      </c>
      <c r="H549" s="17">
        <v>78</v>
      </c>
      <c r="I549" s="17">
        <v>8424</v>
      </c>
      <c r="J549" s="17">
        <v>87.25</v>
      </c>
      <c r="K549" s="17">
        <v>5964</v>
      </c>
      <c r="L549" s="17">
        <v>32.5</v>
      </c>
      <c r="M549" s="17">
        <v>8567</v>
      </c>
      <c r="N549" s="17"/>
      <c r="O549" s="17"/>
      <c r="P549" s="17">
        <v>59</v>
      </c>
      <c r="Q549" s="17">
        <v>8996</v>
      </c>
      <c r="R549" s="17">
        <v>76</v>
      </c>
      <c r="S549" s="17">
        <v>3491</v>
      </c>
      <c r="T549" s="17"/>
      <c r="U549" s="17"/>
      <c r="V549" s="17"/>
      <c r="W549" s="17"/>
      <c r="X549" s="15">
        <v>262.75</v>
      </c>
      <c r="Y549" s="17">
        <v>571</v>
      </c>
      <c r="Z549" s="17">
        <v>430.25</v>
      </c>
      <c r="AA549" s="17">
        <v>7488</v>
      </c>
      <c r="AB549" s="12">
        <v>600</v>
      </c>
    </row>
    <row r="550" ht="14.25" spans="1:28">
      <c r="A550" s="13">
        <v>548</v>
      </c>
      <c r="B550" s="15">
        <v>11</v>
      </c>
      <c r="C550" s="16">
        <v>54</v>
      </c>
      <c r="D550" s="17" t="s">
        <v>1104</v>
      </c>
      <c r="E550" s="17" t="s">
        <v>1105</v>
      </c>
      <c r="F550" s="17">
        <v>91.5</v>
      </c>
      <c r="G550" s="17">
        <v>8306</v>
      </c>
      <c r="H550" s="17">
        <v>109.5</v>
      </c>
      <c r="I550" s="17">
        <v>2023</v>
      </c>
      <c r="J550" s="17">
        <v>87</v>
      </c>
      <c r="K550" s="17">
        <v>5999</v>
      </c>
      <c r="L550" s="17">
        <v>55</v>
      </c>
      <c r="M550" s="17">
        <v>3031</v>
      </c>
      <c r="N550" s="17"/>
      <c r="O550" s="17"/>
      <c r="P550" s="17">
        <v>67</v>
      </c>
      <c r="Q550" s="17">
        <v>6384</v>
      </c>
      <c r="R550" s="17">
        <v>80</v>
      </c>
      <c r="S550" s="17">
        <v>2376</v>
      </c>
      <c r="T550" s="17"/>
      <c r="U550" s="17"/>
      <c r="V550" s="17"/>
      <c r="W550" s="17"/>
      <c r="X550" s="15">
        <v>288</v>
      </c>
      <c r="Y550" s="17">
        <v>378</v>
      </c>
      <c r="Z550" s="17">
        <v>490</v>
      </c>
      <c r="AA550" s="17">
        <v>3746</v>
      </c>
      <c r="AB550" s="12">
        <v>373</v>
      </c>
    </row>
    <row r="551" ht="14.25" spans="1:28">
      <c r="A551" s="13">
        <v>549</v>
      </c>
      <c r="B551" s="15">
        <v>11</v>
      </c>
      <c r="C551" s="16">
        <v>55</v>
      </c>
      <c r="D551" s="17" t="s">
        <v>1106</v>
      </c>
      <c r="E551" s="17" t="s">
        <v>1107</v>
      </c>
      <c r="F551" s="17">
        <v>86</v>
      </c>
      <c r="G551" s="17">
        <v>11803</v>
      </c>
      <c r="H551" s="17">
        <v>73</v>
      </c>
      <c r="I551" s="17">
        <v>9411</v>
      </c>
      <c r="J551" s="17">
        <v>63.5</v>
      </c>
      <c r="K551" s="17">
        <v>11774</v>
      </c>
      <c r="L551" s="17">
        <v>17</v>
      </c>
      <c r="M551" s="17">
        <v>15308</v>
      </c>
      <c r="N551" s="17"/>
      <c r="O551" s="17"/>
      <c r="P551" s="17">
        <v>57</v>
      </c>
      <c r="Q551" s="17">
        <v>9600</v>
      </c>
      <c r="R551" s="17">
        <v>61</v>
      </c>
      <c r="S551" s="17">
        <v>8408</v>
      </c>
      <c r="T551" s="17"/>
      <c r="U551" s="17"/>
      <c r="V551" s="17"/>
      <c r="W551" s="17"/>
      <c r="X551" s="15">
        <v>222.5</v>
      </c>
      <c r="Y551" s="17">
        <v>651</v>
      </c>
      <c r="Z551" s="17">
        <v>357.5</v>
      </c>
      <c r="AA551" s="17">
        <v>12443</v>
      </c>
      <c r="AB551" s="12">
        <v>658</v>
      </c>
    </row>
    <row r="552" ht="14.25" spans="1:28">
      <c r="A552" s="13">
        <v>550</v>
      </c>
      <c r="B552" s="15">
        <v>11</v>
      </c>
      <c r="C552" s="16">
        <v>56</v>
      </c>
      <c r="D552" s="17" t="s">
        <v>1108</v>
      </c>
      <c r="E552" s="17" t="s">
        <v>1109</v>
      </c>
      <c r="F552" s="17">
        <v>98</v>
      </c>
      <c r="G552" s="17">
        <v>4423</v>
      </c>
      <c r="H552" s="17">
        <v>96</v>
      </c>
      <c r="I552" s="17">
        <v>4544</v>
      </c>
      <c r="J552" s="17">
        <v>71.25</v>
      </c>
      <c r="K552" s="17">
        <v>10042</v>
      </c>
      <c r="L552" s="17">
        <v>41.5</v>
      </c>
      <c r="M552" s="17">
        <v>5867</v>
      </c>
      <c r="N552" s="17"/>
      <c r="O552" s="17"/>
      <c r="P552" s="17">
        <v>86</v>
      </c>
      <c r="Q552" s="17">
        <v>1052</v>
      </c>
      <c r="R552" s="17">
        <v>81</v>
      </c>
      <c r="S552" s="17">
        <v>2139</v>
      </c>
      <c r="T552" s="17"/>
      <c r="U552" s="17"/>
      <c r="V552" s="17"/>
      <c r="W552" s="17"/>
      <c r="X552" s="15">
        <v>265.25</v>
      </c>
      <c r="Y552" s="17">
        <v>553</v>
      </c>
      <c r="Z552" s="17">
        <v>473.75</v>
      </c>
      <c r="AA552" s="17">
        <v>4617</v>
      </c>
      <c r="AB552" s="12">
        <v>445</v>
      </c>
    </row>
    <row r="553" ht="14.25" spans="1:28">
      <c r="A553" s="13">
        <v>551</v>
      </c>
      <c r="B553" s="15">
        <v>11</v>
      </c>
      <c r="C553" s="16">
        <v>57</v>
      </c>
      <c r="D553" s="17" t="s">
        <v>1110</v>
      </c>
      <c r="E553" s="17" t="s">
        <v>1111</v>
      </c>
      <c r="F553" s="17">
        <v>92.5</v>
      </c>
      <c r="G553" s="17">
        <v>7705</v>
      </c>
      <c r="H553" s="17">
        <v>87.5</v>
      </c>
      <c r="I553" s="17">
        <v>6415</v>
      </c>
      <c r="J553" s="17">
        <v>81.5</v>
      </c>
      <c r="K553" s="17">
        <v>7394</v>
      </c>
      <c r="L553" s="17">
        <v>41</v>
      </c>
      <c r="M553" s="17">
        <v>5993</v>
      </c>
      <c r="N553" s="17"/>
      <c r="O553" s="17"/>
      <c r="P553" s="17">
        <v>75</v>
      </c>
      <c r="Q553" s="17">
        <v>3841</v>
      </c>
      <c r="R553" s="17">
        <v>68</v>
      </c>
      <c r="S553" s="17">
        <v>6079</v>
      </c>
      <c r="T553" s="17"/>
      <c r="U553" s="17"/>
      <c r="V553" s="17"/>
      <c r="W553" s="17"/>
      <c r="X553" s="15">
        <v>261.5</v>
      </c>
      <c r="Y553" s="17">
        <v>575</v>
      </c>
      <c r="Z553" s="17">
        <v>445.5</v>
      </c>
      <c r="AA553" s="17">
        <v>6425</v>
      </c>
      <c r="AB553" s="12">
        <v>553</v>
      </c>
    </row>
    <row r="554" ht="14.25" spans="1:28">
      <c r="A554" s="13">
        <v>552</v>
      </c>
      <c r="B554" s="15">
        <v>11</v>
      </c>
      <c r="C554" s="16">
        <v>58</v>
      </c>
      <c r="D554" s="17" t="s">
        <v>1112</v>
      </c>
      <c r="E554" s="17" t="s">
        <v>1113</v>
      </c>
      <c r="F554" s="17">
        <v>87</v>
      </c>
      <c r="G554" s="17">
        <v>11216</v>
      </c>
      <c r="H554" s="17">
        <v>126.5</v>
      </c>
      <c r="I554" s="17">
        <v>273</v>
      </c>
      <c r="J554" s="17">
        <v>80</v>
      </c>
      <c r="K554" s="17">
        <v>7802</v>
      </c>
      <c r="L554" s="17">
        <v>51.5</v>
      </c>
      <c r="M554" s="17">
        <v>3642</v>
      </c>
      <c r="N554" s="17"/>
      <c r="O554" s="17"/>
      <c r="P554" s="17">
        <v>75</v>
      </c>
      <c r="Q554" s="17">
        <v>3841</v>
      </c>
      <c r="R554" s="17">
        <v>77</v>
      </c>
      <c r="S554" s="17">
        <v>3183</v>
      </c>
      <c r="T554" s="17"/>
      <c r="U554" s="17"/>
      <c r="V554" s="17"/>
      <c r="W554" s="17"/>
      <c r="X554" s="15">
        <v>293.5</v>
      </c>
      <c r="Y554" s="17">
        <v>330</v>
      </c>
      <c r="Z554" s="17">
        <v>497</v>
      </c>
      <c r="AA554" s="17">
        <v>3380</v>
      </c>
      <c r="AB554" s="12">
        <v>345</v>
      </c>
    </row>
    <row r="555" ht="14.25" spans="1:28">
      <c r="A555" s="13">
        <v>553</v>
      </c>
      <c r="B555" s="15">
        <v>11</v>
      </c>
      <c r="C555" s="16">
        <v>59</v>
      </c>
      <c r="D555" s="17" t="s">
        <v>1114</v>
      </c>
      <c r="E555" s="17" t="s">
        <v>1115</v>
      </c>
      <c r="F555" s="17">
        <v>91</v>
      </c>
      <c r="G555" s="17">
        <v>8620</v>
      </c>
      <c r="H555" s="17">
        <v>98</v>
      </c>
      <c r="I555" s="17">
        <v>4147</v>
      </c>
      <c r="J555" s="17">
        <v>96</v>
      </c>
      <c r="K555" s="17">
        <v>3851</v>
      </c>
      <c r="L555" s="17">
        <v>37.5</v>
      </c>
      <c r="M555" s="17">
        <v>6979</v>
      </c>
      <c r="N555" s="17"/>
      <c r="O555" s="17"/>
      <c r="P555" s="17">
        <v>60</v>
      </c>
      <c r="Q555" s="17">
        <v>8673</v>
      </c>
      <c r="R555" s="17">
        <v>88</v>
      </c>
      <c r="S555" s="17">
        <v>601</v>
      </c>
      <c r="T555" s="17"/>
      <c r="U555" s="17"/>
      <c r="V555" s="17"/>
      <c r="W555" s="17"/>
      <c r="X555" s="15">
        <v>285</v>
      </c>
      <c r="Y555" s="17">
        <v>401</v>
      </c>
      <c r="Z555" s="17">
        <v>470.5</v>
      </c>
      <c r="AA555" s="17">
        <v>4810</v>
      </c>
      <c r="AB555" s="12">
        <v>456</v>
      </c>
    </row>
    <row r="556" ht="14.25" spans="1:28">
      <c r="A556" s="13">
        <v>554</v>
      </c>
      <c r="B556" s="15">
        <v>12</v>
      </c>
      <c r="C556" s="16">
        <v>1</v>
      </c>
      <c r="D556" s="17" t="s">
        <v>1116</v>
      </c>
      <c r="E556" s="17" t="s">
        <v>1117</v>
      </c>
      <c r="F556" s="17">
        <v>98</v>
      </c>
      <c r="G556" s="17">
        <v>4423</v>
      </c>
      <c r="H556" s="17">
        <v>95</v>
      </c>
      <c r="I556" s="17">
        <v>4735</v>
      </c>
      <c r="J556" s="17">
        <v>111.5</v>
      </c>
      <c r="K556" s="17">
        <v>1281</v>
      </c>
      <c r="L556" s="17">
        <v>44.5</v>
      </c>
      <c r="M556" s="17">
        <v>5122</v>
      </c>
      <c r="N556" s="17"/>
      <c r="O556" s="17"/>
      <c r="P556" s="17">
        <v>60</v>
      </c>
      <c r="Q556" s="17">
        <v>8673</v>
      </c>
      <c r="R556" s="17">
        <v>75</v>
      </c>
      <c r="S556" s="17">
        <v>3790</v>
      </c>
      <c r="T556" s="17"/>
      <c r="U556" s="17"/>
      <c r="V556" s="17"/>
      <c r="W556" s="17"/>
      <c r="X556" s="15">
        <v>304.5</v>
      </c>
      <c r="Y556" s="17">
        <v>239</v>
      </c>
      <c r="Z556" s="17">
        <v>484</v>
      </c>
      <c r="AA556" s="17">
        <v>4049</v>
      </c>
      <c r="AB556" s="12">
        <v>402</v>
      </c>
    </row>
    <row r="557" ht="14.25" spans="1:28">
      <c r="A557" s="13">
        <v>555</v>
      </c>
      <c r="B557" s="15">
        <v>12</v>
      </c>
      <c r="C557" s="16">
        <v>2</v>
      </c>
      <c r="D557" s="17" t="s">
        <v>1118</v>
      </c>
      <c r="E557" s="17" t="s">
        <v>1119</v>
      </c>
      <c r="F557" s="17">
        <v>88</v>
      </c>
      <c r="G557" s="17">
        <v>10604</v>
      </c>
      <c r="H557" s="17">
        <v>96</v>
      </c>
      <c r="I557" s="17">
        <v>4544</v>
      </c>
      <c r="J557" s="17">
        <v>94</v>
      </c>
      <c r="K557" s="17">
        <v>4318</v>
      </c>
      <c r="L557" s="17">
        <v>39</v>
      </c>
      <c r="M557" s="17">
        <v>6535</v>
      </c>
      <c r="N557" s="17"/>
      <c r="O557" s="17"/>
      <c r="P557" s="17">
        <v>68</v>
      </c>
      <c r="Q557" s="17">
        <v>6016</v>
      </c>
      <c r="R557" s="17">
        <v>72</v>
      </c>
      <c r="S557" s="17">
        <v>4793</v>
      </c>
      <c r="T557" s="17"/>
      <c r="U557" s="17"/>
      <c r="V557" s="17"/>
      <c r="W557" s="17"/>
      <c r="X557" s="15">
        <v>278</v>
      </c>
      <c r="Y557" s="17">
        <v>469</v>
      </c>
      <c r="Z557" s="17">
        <v>457</v>
      </c>
      <c r="AA557" s="17">
        <v>5673</v>
      </c>
      <c r="AB557" s="12">
        <v>521</v>
      </c>
    </row>
    <row r="558" ht="14.25" spans="1:28">
      <c r="A558" s="13">
        <v>556</v>
      </c>
      <c r="B558" s="15">
        <v>12</v>
      </c>
      <c r="C558" s="16">
        <v>3</v>
      </c>
      <c r="D558" s="17" t="s">
        <v>1120</v>
      </c>
      <c r="E558" s="17" t="s">
        <v>1121</v>
      </c>
      <c r="F558" s="17">
        <v>108</v>
      </c>
      <c r="G558" s="17">
        <v>736</v>
      </c>
      <c r="H558" s="17">
        <v>85</v>
      </c>
      <c r="I558" s="17">
        <v>6959</v>
      </c>
      <c r="J558" s="17">
        <v>100</v>
      </c>
      <c r="K558" s="17">
        <v>3038</v>
      </c>
      <c r="L558" s="17">
        <v>49</v>
      </c>
      <c r="M558" s="17">
        <v>4146</v>
      </c>
      <c r="N558" s="17"/>
      <c r="O558" s="17"/>
      <c r="P558" s="17">
        <v>84</v>
      </c>
      <c r="Q558" s="17">
        <v>1443</v>
      </c>
      <c r="R558" s="17">
        <v>78</v>
      </c>
      <c r="S558" s="17">
        <v>2906</v>
      </c>
      <c r="T558" s="17"/>
      <c r="U558" s="17"/>
      <c r="V558" s="17"/>
      <c r="W558" s="17"/>
      <c r="X558" s="15">
        <v>293</v>
      </c>
      <c r="Y558" s="17">
        <v>335</v>
      </c>
      <c r="Z558" s="17">
        <v>504</v>
      </c>
      <c r="AA558" s="17">
        <v>3061</v>
      </c>
      <c r="AB558" s="12">
        <v>306</v>
      </c>
    </row>
    <row r="559" ht="14.25" spans="1:28">
      <c r="A559" s="13">
        <v>557</v>
      </c>
      <c r="B559" s="15">
        <v>12</v>
      </c>
      <c r="C559" s="16">
        <v>4</v>
      </c>
      <c r="D559" s="17" t="s">
        <v>1122</v>
      </c>
      <c r="E559" s="17" t="s">
        <v>1123</v>
      </c>
      <c r="F559" s="17">
        <v>102</v>
      </c>
      <c r="G559" s="17">
        <v>2480</v>
      </c>
      <c r="H559" s="17">
        <v>104.5</v>
      </c>
      <c r="I559" s="17">
        <v>2895</v>
      </c>
      <c r="J559" s="17">
        <v>125.5</v>
      </c>
      <c r="K559" s="17">
        <v>199</v>
      </c>
      <c r="L559" s="17">
        <v>72.5</v>
      </c>
      <c r="M559" s="17">
        <v>627</v>
      </c>
      <c r="N559" s="17"/>
      <c r="O559" s="17"/>
      <c r="P559" s="17">
        <v>74</v>
      </c>
      <c r="Q559" s="17">
        <v>4168</v>
      </c>
      <c r="R559" s="17">
        <v>88</v>
      </c>
      <c r="S559" s="17">
        <v>601</v>
      </c>
      <c r="T559" s="17"/>
      <c r="U559" s="17"/>
      <c r="V559" s="17"/>
      <c r="W559" s="17"/>
      <c r="X559" s="15">
        <v>332</v>
      </c>
      <c r="Y559" s="17">
        <v>58</v>
      </c>
      <c r="Z559" s="17">
        <v>566.5</v>
      </c>
      <c r="AA559" s="17">
        <v>840</v>
      </c>
      <c r="AB559" s="12">
        <v>56</v>
      </c>
    </row>
    <row r="560" ht="14.25" spans="1:28">
      <c r="A560" s="13">
        <v>558</v>
      </c>
      <c r="B560" s="15">
        <v>12</v>
      </c>
      <c r="C560" s="16">
        <v>5</v>
      </c>
      <c r="D560" s="17" t="s">
        <v>1124</v>
      </c>
      <c r="E560" s="17" t="s">
        <v>1125</v>
      </c>
      <c r="F560" s="17">
        <v>100</v>
      </c>
      <c r="G560" s="17">
        <v>3368</v>
      </c>
      <c r="H560" s="17">
        <v>101.5</v>
      </c>
      <c r="I560" s="17">
        <v>3477</v>
      </c>
      <c r="J560" s="17">
        <v>75.5</v>
      </c>
      <c r="K560" s="17">
        <v>8958</v>
      </c>
      <c r="L560" s="17">
        <v>62</v>
      </c>
      <c r="M560" s="17">
        <v>1839</v>
      </c>
      <c r="N560" s="17"/>
      <c r="O560" s="17"/>
      <c r="P560" s="17">
        <v>80</v>
      </c>
      <c r="Q560" s="17">
        <v>2333</v>
      </c>
      <c r="R560" s="17">
        <v>87</v>
      </c>
      <c r="S560" s="17">
        <v>883</v>
      </c>
      <c r="T560" s="17"/>
      <c r="U560" s="17"/>
      <c r="V560" s="17"/>
      <c r="W560" s="17"/>
      <c r="X560" s="15">
        <v>277</v>
      </c>
      <c r="Y560" s="17">
        <v>485</v>
      </c>
      <c r="Z560" s="17">
        <v>506</v>
      </c>
      <c r="AA560" s="17">
        <v>2960</v>
      </c>
      <c r="AB560" s="12">
        <v>293</v>
      </c>
    </row>
    <row r="561" ht="14.25" spans="1:28">
      <c r="A561" s="13">
        <v>559</v>
      </c>
      <c r="B561" s="15">
        <v>12</v>
      </c>
      <c r="C561" s="16">
        <v>6</v>
      </c>
      <c r="D561" s="17" t="s">
        <v>1126</v>
      </c>
      <c r="E561" s="17" t="s">
        <v>1127</v>
      </c>
      <c r="F561" s="17">
        <v>85.5</v>
      </c>
      <c r="G561" s="17">
        <v>12079</v>
      </c>
      <c r="H561" s="17">
        <v>113</v>
      </c>
      <c r="I561" s="17">
        <v>1467</v>
      </c>
      <c r="J561" s="17">
        <v>64.25</v>
      </c>
      <c r="K561" s="17">
        <v>11649</v>
      </c>
      <c r="L561" s="17">
        <v>51</v>
      </c>
      <c r="M561" s="17">
        <v>3730</v>
      </c>
      <c r="N561" s="17"/>
      <c r="O561" s="17"/>
      <c r="P561" s="17">
        <v>56</v>
      </c>
      <c r="Q561" s="17">
        <v>9899</v>
      </c>
      <c r="R561" s="17">
        <v>58</v>
      </c>
      <c r="S561" s="17">
        <v>9300</v>
      </c>
      <c r="T561" s="17"/>
      <c r="U561" s="17"/>
      <c r="V561" s="17"/>
      <c r="W561" s="17"/>
      <c r="X561" s="15">
        <v>262.75</v>
      </c>
      <c r="Y561" s="17">
        <v>571</v>
      </c>
      <c r="Z561" s="17">
        <v>427.75</v>
      </c>
      <c r="AA561" s="17">
        <v>7663</v>
      </c>
      <c r="AB561" s="12">
        <v>607</v>
      </c>
    </row>
    <row r="562" ht="14.25" spans="1:28">
      <c r="A562" s="13">
        <v>560</v>
      </c>
      <c r="B562" s="15">
        <v>12</v>
      </c>
      <c r="C562" s="16">
        <v>7</v>
      </c>
      <c r="D562" s="17" t="s">
        <v>1128</v>
      </c>
      <c r="E562" s="17" t="s">
        <v>1129</v>
      </c>
      <c r="F562" s="17">
        <v>99</v>
      </c>
      <c r="G562" s="17">
        <v>3868</v>
      </c>
      <c r="H562" s="17">
        <v>92.5</v>
      </c>
      <c r="I562" s="17">
        <v>5299</v>
      </c>
      <c r="J562" s="17">
        <v>75.5</v>
      </c>
      <c r="K562" s="17">
        <v>8958</v>
      </c>
      <c r="L562" s="17">
        <v>40</v>
      </c>
      <c r="M562" s="17">
        <v>6265</v>
      </c>
      <c r="N562" s="17"/>
      <c r="O562" s="17"/>
      <c r="P562" s="17">
        <v>62</v>
      </c>
      <c r="Q562" s="17">
        <v>8021</v>
      </c>
      <c r="R562" s="17">
        <v>62</v>
      </c>
      <c r="S562" s="17">
        <v>8006</v>
      </c>
      <c r="T562" s="17"/>
      <c r="U562" s="17"/>
      <c r="V562" s="17"/>
      <c r="W562" s="17"/>
      <c r="X562" s="15">
        <v>267</v>
      </c>
      <c r="Y562" s="17">
        <v>545</v>
      </c>
      <c r="Z562" s="17">
        <v>431</v>
      </c>
      <c r="AA562" s="17">
        <v>7418</v>
      </c>
      <c r="AB562" s="12">
        <v>595</v>
      </c>
    </row>
    <row r="563" ht="14.25" spans="1:28">
      <c r="A563" s="13">
        <v>561</v>
      </c>
      <c r="B563" s="15">
        <v>12</v>
      </c>
      <c r="C563" s="16">
        <v>8</v>
      </c>
      <c r="D563" s="17" t="s">
        <v>1130</v>
      </c>
      <c r="E563" s="17" t="s">
        <v>1131</v>
      </c>
      <c r="F563" s="17">
        <v>102.5</v>
      </c>
      <c r="G563" s="17">
        <v>2274</v>
      </c>
      <c r="H563" s="17">
        <v>108</v>
      </c>
      <c r="I563" s="17">
        <v>2274</v>
      </c>
      <c r="J563" s="17">
        <v>64.5</v>
      </c>
      <c r="K563" s="17">
        <v>11584</v>
      </c>
      <c r="L563" s="17">
        <v>52.5</v>
      </c>
      <c r="M563" s="17">
        <v>3470</v>
      </c>
      <c r="N563" s="17"/>
      <c r="O563" s="17"/>
      <c r="P563" s="17">
        <v>69</v>
      </c>
      <c r="Q563" s="17">
        <v>5655</v>
      </c>
      <c r="R563" s="17">
        <v>78</v>
      </c>
      <c r="S563" s="17">
        <v>2906</v>
      </c>
      <c r="T563" s="17"/>
      <c r="U563" s="17"/>
      <c r="V563" s="17"/>
      <c r="W563" s="17"/>
      <c r="X563" s="15">
        <v>275</v>
      </c>
      <c r="Y563" s="17">
        <v>497</v>
      </c>
      <c r="Z563" s="17">
        <v>474.5</v>
      </c>
      <c r="AA563" s="17">
        <v>4571</v>
      </c>
      <c r="AB563" s="12">
        <v>439</v>
      </c>
    </row>
    <row r="564" ht="14.25" spans="1:28">
      <c r="A564" s="13">
        <v>562</v>
      </c>
      <c r="B564" s="15">
        <v>12</v>
      </c>
      <c r="C564" s="16">
        <v>9</v>
      </c>
      <c r="D564" s="17" t="s">
        <v>1132</v>
      </c>
      <c r="E564" s="17" t="s">
        <v>1133</v>
      </c>
      <c r="F564" s="17">
        <v>107.5</v>
      </c>
      <c r="G564" s="17">
        <v>829</v>
      </c>
      <c r="H564" s="17">
        <v>99</v>
      </c>
      <c r="I564" s="17">
        <v>3947</v>
      </c>
      <c r="J564" s="17">
        <v>103.75</v>
      </c>
      <c r="K564" s="17">
        <v>2416</v>
      </c>
      <c r="L564" s="17">
        <v>44.5</v>
      </c>
      <c r="M564" s="17">
        <v>5122</v>
      </c>
      <c r="N564" s="17"/>
      <c r="O564" s="17"/>
      <c r="P564" s="17">
        <v>75</v>
      </c>
      <c r="Q564" s="17">
        <v>3841</v>
      </c>
      <c r="R564" s="17">
        <v>77</v>
      </c>
      <c r="S564" s="17">
        <v>3183</v>
      </c>
      <c r="T564" s="17"/>
      <c r="U564" s="17"/>
      <c r="V564" s="17"/>
      <c r="W564" s="17"/>
      <c r="X564" s="15">
        <v>310.25</v>
      </c>
      <c r="Y564" s="17">
        <v>189</v>
      </c>
      <c r="Z564" s="17">
        <v>506.75</v>
      </c>
      <c r="AA564" s="17">
        <v>2921</v>
      </c>
      <c r="AB564" s="12">
        <v>287</v>
      </c>
    </row>
    <row r="565" ht="14.25" spans="1:28">
      <c r="A565" s="13">
        <v>563</v>
      </c>
      <c r="B565" s="15">
        <v>12</v>
      </c>
      <c r="C565" s="16">
        <v>10</v>
      </c>
      <c r="D565" s="17" t="s">
        <v>1134</v>
      </c>
      <c r="E565" s="17" t="s">
        <v>1135</v>
      </c>
      <c r="F565" s="17">
        <v>91</v>
      </c>
      <c r="G565" s="17">
        <v>8620</v>
      </c>
      <c r="H565" s="17">
        <v>111</v>
      </c>
      <c r="I565" s="17">
        <v>1774</v>
      </c>
      <c r="J565" s="17">
        <v>73.5</v>
      </c>
      <c r="K565" s="17">
        <v>9484</v>
      </c>
      <c r="L565" s="17">
        <v>48.5</v>
      </c>
      <c r="M565" s="17">
        <v>4255</v>
      </c>
      <c r="N565" s="17"/>
      <c r="O565" s="17"/>
      <c r="P565" s="17">
        <v>86</v>
      </c>
      <c r="Q565" s="17">
        <v>1052</v>
      </c>
      <c r="R565" s="17">
        <v>79</v>
      </c>
      <c r="S565" s="17">
        <v>2629</v>
      </c>
      <c r="T565" s="17"/>
      <c r="U565" s="17"/>
      <c r="V565" s="17"/>
      <c r="W565" s="17"/>
      <c r="X565" s="15">
        <v>275.5</v>
      </c>
      <c r="Y565" s="17">
        <v>494</v>
      </c>
      <c r="Z565" s="17">
        <v>489</v>
      </c>
      <c r="AA565" s="17">
        <v>3796</v>
      </c>
      <c r="AB565" s="12">
        <v>380</v>
      </c>
    </row>
    <row r="566" ht="14.25" spans="1:28">
      <c r="A566" s="13">
        <v>564</v>
      </c>
      <c r="B566" s="20">
        <v>12</v>
      </c>
      <c r="C566" s="16">
        <v>11</v>
      </c>
      <c r="D566" s="19" t="s">
        <v>1136</v>
      </c>
      <c r="E566" s="17" t="s">
        <v>1137</v>
      </c>
      <c r="F566" s="17">
        <v>82.5</v>
      </c>
      <c r="G566" s="17">
        <v>13630</v>
      </c>
      <c r="H566" s="17">
        <v>55.5</v>
      </c>
      <c r="I566" s="17">
        <v>12624</v>
      </c>
      <c r="J566" s="17">
        <v>70.75</v>
      </c>
      <c r="K566" s="17">
        <v>10151</v>
      </c>
      <c r="L566" s="17">
        <v>23</v>
      </c>
      <c r="M566" s="17">
        <v>12526</v>
      </c>
      <c r="N566" s="17"/>
      <c r="O566" s="17"/>
      <c r="P566" s="17">
        <v>55</v>
      </c>
      <c r="Q566" s="17">
        <v>10022</v>
      </c>
      <c r="R566" s="17">
        <v>58</v>
      </c>
      <c r="S566" s="17">
        <v>9300</v>
      </c>
      <c r="T566" s="17"/>
      <c r="U566" s="17"/>
      <c r="V566" s="17"/>
      <c r="W566" s="17"/>
      <c r="X566" s="15">
        <v>208.75</v>
      </c>
      <c r="Y566" s="17">
        <v>661</v>
      </c>
      <c r="Z566" s="17">
        <v>344.75</v>
      </c>
      <c r="AA566" s="17">
        <v>13231</v>
      </c>
      <c r="AB566" s="12">
        <v>660</v>
      </c>
    </row>
    <row r="567" ht="14.25" spans="1:28">
      <c r="A567" s="13">
        <v>565</v>
      </c>
      <c r="B567" s="15">
        <v>12</v>
      </c>
      <c r="C567" s="16">
        <v>12</v>
      </c>
      <c r="D567" s="17" t="s">
        <v>1138</v>
      </c>
      <c r="E567" s="17" t="s">
        <v>1139</v>
      </c>
      <c r="F567" s="17">
        <v>98.5</v>
      </c>
      <c r="G567" s="17">
        <v>4145</v>
      </c>
      <c r="H567" s="17">
        <v>91.5</v>
      </c>
      <c r="I567" s="17">
        <v>5528</v>
      </c>
      <c r="J567" s="17">
        <v>93.5</v>
      </c>
      <c r="K567" s="17">
        <v>4431</v>
      </c>
      <c r="L567" s="17">
        <v>57.5</v>
      </c>
      <c r="M567" s="17">
        <v>2619</v>
      </c>
      <c r="N567" s="17"/>
      <c r="O567" s="17"/>
      <c r="P567" s="17">
        <v>83</v>
      </c>
      <c r="Q567" s="17">
        <v>1643</v>
      </c>
      <c r="R567" s="17">
        <v>82</v>
      </c>
      <c r="S567" s="17">
        <v>1915</v>
      </c>
      <c r="T567" s="17"/>
      <c r="U567" s="17"/>
      <c r="V567" s="17"/>
      <c r="W567" s="17"/>
      <c r="X567" s="15">
        <v>283.5</v>
      </c>
      <c r="Y567" s="17">
        <v>412</v>
      </c>
      <c r="Z567" s="17">
        <v>506</v>
      </c>
      <c r="AA567" s="17">
        <v>2960</v>
      </c>
      <c r="AB567" s="12">
        <v>293</v>
      </c>
    </row>
    <row r="568" ht="14.25" spans="1:28">
      <c r="A568" s="13">
        <v>566</v>
      </c>
      <c r="B568" s="15">
        <v>12</v>
      </c>
      <c r="C568" s="16">
        <v>13</v>
      </c>
      <c r="D568" s="17" t="s">
        <v>1140</v>
      </c>
      <c r="E568" s="17" t="s">
        <v>1141</v>
      </c>
      <c r="F568" s="17">
        <v>96</v>
      </c>
      <c r="G568" s="17">
        <v>5544</v>
      </c>
      <c r="H568" s="17">
        <v>108</v>
      </c>
      <c r="I568" s="17">
        <v>2274</v>
      </c>
      <c r="J568" s="17">
        <v>26</v>
      </c>
      <c r="K568" s="17">
        <v>15980</v>
      </c>
      <c r="L568" s="17">
        <v>43.5</v>
      </c>
      <c r="M568" s="17">
        <v>5353</v>
      </c>
      <c r="N568" s="17"/>
      <c r="O568" s="17"/>
      <c r="P568" s="17">
        <v>77</v>
      </c>
      <c r="Q568" s="17">
        <v>3207</v>
      </c>
      <c r="R568" s="17">
        <v>82</v>
      </c>
      <c r="S568" s="17">
        <v>1915</v>
      </c>
      <c r="T568" s="17"/>
      <c r="U568" s="17"/>
      <c r="V568" s="17"/>
      <c r="W568" s="17"/>
      <c r="X568" s="15">
        <v>230</v>
      </c>
      <c r="Y568" s="17">
        <v>648</v>
      </c>
      <c r="Z568" s="17">
        <v>432.5</v>
      </c>
      <c r="AA568" s="17">
        <v>7322</v>
      </c>
      <c r="AB568" s="12">
        <v>594</v>
      </c>
    </row>
    <row r="569" ht="14.25" spans="1:28">
      <c r="A569" s="13">
        <v>567</v>
      </c>
      <c r="B569" s="15">
        <v>12</v>
      </c>
      <c r="C569" s="16">
        <v>14</v>
      </c>
      <c r="D569" s="17" t="s">
        <v>1142</v>
      </c>
      <c r="E569" s="17" t="s">
        <v>1143</v>
      </c>
      <c r="F569" s="17">
        <v>99.5</v>
      </c>
      <c r="G569" s="17">
        <v>3607</v>
      </c>
      <c r="H569" s="17">
        <v>97</v>
      </c>
      <c r="I569" s="17">
        <v>4348</v>
      </c>
      <c r="J569" s="17">
        <v>111</v>
      </c>
      <c r="K569" s="17">
        <v>1337</v>
      </c>
      <c r="L569" s="17">
        <v>54</v>
      </c>
      <c r="M569" s="17">
        <v>3208</v>
      </c>
      <c r="N569" s="17"/>
      <c r="O569" s="17"/>
      <c r="P569" s="17">
        <v>66</v>
      </c>
      <c r="Q569" s="17">
        <v>6766</v>
      </c>
      <c r="R569" s="17">
        <v>75</v>
      </c>
      <c r="S569" s="17">
        <v>3790</v>
      </c>
      <c r="T569" s="17"/>
      <c r="U569" s="17"/>
      <c r="V569" s="17"/>
      <c r="W569" s="17"/>
      <c r="X569" s="15">
        <v>307.5</v>
      </c>
      <c r="Y569" s="17">
        <v>214</v>
      </c>
      <c r="Z569" s="17">
        <v>502.5</v>
      </c>
      <c r="AA569" s="17">
        <v>3122</v>
      </c>
      <c r="AB569" s="12">
        <v>312</v>
      </c>
    </row>
    <row r="570" ht="14.25" spans="1:28">
      <c r="A570" s="13">
        <v>568</v>
      </c>
      <c r="B570" s="15">
        <v>12</v>
      </c>
      <c r="C570" s="16">
        <v>15</v>
      </c>
      <c r="D570" s="17" t="s">
        <v>1144</v>
      </c>
      <c r="E570" s="17" t="s">
        <v>1145</v>
      </c>
      <c r="F570" s="17">
        <v>103</v>
      </c>
      <c r="G570" s="17">
        <v>2094</v>
      </c>
      <c r="H570" s="17">
        <v>115.5</v>
      </c>
      <c r="I570" s="17">
        <v>1149</v>
      </c>
      <c r="J570" s="17">
        <v>92.5</v>
      </c>
      <c r="K570" s="17">
        <v>4660</v>
      </c>
      <c r="L570" s="17">
        <v>73</v>
      </c>
      <c r="M570" s="17">
        <v>575</v>
      </c>
      <c r="N570" s="17"/>
      <c r="O570" s="17"/>
      <c r="P570" s="17">
        <v>81</v>
      </c>
      <c r="Q570" s="17">
        <v>2079</v>
      </c>
      <c r="R570" s="17">
        <v>84</v>
      </c>
      <c r="S570" s="17">
        <v>1490</v>
      </c>
      <c r="T570" s="17"/>
      <c r="U570" s="17"/>
      <c r="V570" s="17"/>
      <c r="W570" s="17"/>
      <c r="X570" s="15">
        <v>311</v>
      </c>
      <c r="Y570" s="17">
        <v>181</v>
      </c>
      <c r="Z570" s="17">
        <v>549</v>
      </c>
      <c r="AA570" s="17">
        <v>1327</v>
      </c>
      <c r="AB570" s="12">
        <v>101</v>
      </c>
    </row>
    <row r="571" ht="14.25" spans="1:28">
      <c r="A571" s="13">
        <v>569</v>
      </c>
      <c r="B571" s="15">
        <v>12</v>
      </c>
      <c r="C571" s="16">
        <v>16</v>
      </c>
      <c r="D571" s="17" t="s">
        <v>1146</v>
      </c>
      <c r="E571" s="17" t="s">
        <v>1147</v>
      </c>
      <c r="F571" s="17">
        <v>103.5</v>
      </c>
      <c r="G571" s="17">
        <v>1897</v>
      </c>
      <c r="H571" s="17">
        <v>119</v>
      </c>
      <c r="I571" s="17">
        <v>786</v>
      </c>
      <c r="J571" s="17">
        <v>98.25</v>
      </c>
      <c r="K571" s="17">
        <v>3423</v>
      </c>
      <c r="L571" s="17">
        <v>69</v>
      </c>
      <c r="M571" s="17">
        <v>949</v>
      </c>
      <c r="N571" s="17"/>
      <c r="O571" s="17"/>
      <c r="P571" s="17">
        <v>91</v>
      </c>
      <c r="Q571" s="17">
        <v>69</v>
      </c>
      <c r="R571" s="17">
        <v>89</v>
      </c>
      <c r="S571" s="17">
        <v>415</v>
      </c>
      <c r="T571" s="17"/>
      <c r="U571" s="17"/>
      <c r="V571" s="17"/>
      <c r="W571" s="17"/>
      <c r="X571" s="15">
        <v>320.75</v>
      </c>
      <c r="Y571" s="17">
        <v>110</v>
      </c>
      <c r="Z571" s="17">
        <v>569.75</v>
      </c>
      <c r="AA571" s="17">
        <v>753</v>
      </c>
      <c r="AB571" s="12">
        <v>46</v>
      </c>
    </row>
    <row r="572" ht="14.25" spans="1:28">
      <c r="A572" s="13">
        <v>570</v>
      </c>
      <c r="B572" s="15">
        <v>12</v>
      </c>
      <c r="C572" s="16">
        <v>17</v>
      </c>
      <c r="D572" s="17" t="s">
        <v>1148</v>
      </c>
      <c r="E572" s="17" t="s">
        <v>1149</v>
      </c>
      <c r="F572" s="17">
        <v>97.25</v>
      </c>
      <c r="G572" s="17">
        <v>4934</v>
      </c>
      <c r="H572" s="17">
        <v>111.5</v>
      </c>
      <c r="I572" s="17">
        <v>1692</v>
      </c>
      <c r="J572" s="17">
        <v>116.5</v>
      </c>
      <c r="K572" s="17">
        <v>765</v>
      </c>
      <c r="L572" s="17">
        <v>59</v>
      </c>
      <c r="M572" s="17">
        <v>2358</v>
      </c>
      <c r="N572" s="17"/>
      <c r="O572" s="17"/>
      <c r="P572" s="17">
        <v>83</v>
      </c>
      <c r="Q572" s="17">
        <v>1643</v>
      </c>
      <c r="R572" s="17">
        <v>87</v>
      </c>
      <c r="S572" s="17">
        <v>883</v>
      </c>
      <c r="T572" s="17"/>
      <c r="U572" s="17"/>
      <c r="V572" s="17"/>
      <c r="W572" s="17"/>
      <c r="X572" s="15">
        <v>325.25</v>
      </c>
      <c r="Y572" s="17">
        <v>87</v>
      </c>
      <c r="Z572" s="17">
        <v>554.25</v>
      </c>
      <c r="AA572" s="17">
        <v>1157</v>
      </c>
      <c r="AB572" s="12">
        <v>87</v>
      </c>
    </row>
    <row r="573" ht="14.25" spans="1:28">
      <c r="A573" s="13">
        <v>571</v>
      </c>
      <c r="B573" s="15">
        <v>12</v>
      </c>
      <c r="C573" s="16">
        <v>18</v>
      </c>
      <c r="D573" s="17" t="s">
        <v>1150</v>
      </c>
      <c r="E573" s="17" t="s">
        <v>1151</v>
      </c>
      <c r="F573" s="17">
        <v>109.5</v>
      </c>
      <c r="G573" s="17">
        <v>495</v>
      </c>
      <c r="H573" s="17">
        <v>91</v>
      </c>
      <c r="I573" s="17">
        <v>5638</v>
      </c>
      <c r="J573" s="17">
        <v>101</v>
      </c>
      <c r="K573" s="17">
        <v>2859</v>
      </c>
      <c r="L573" s="17">
        <v>49.5</v>
      </c>
      <c r="M573" s="17">
        <v>4044</v>
      </c>
      <c r="N573" s="17"/>
      <c r="O573" s="17"/>
      <c r="P573" s="17">
        <v>76</v>
      </c>
      <c r="Q573" s="17">
        <v>3515</v>
      </c>
      <c r="R573" s="17">
        <v>72</v>
      </c>
      <c r="S573" s="17">
        <v>4793</v>
      </c>
      <c r="T573" s="17"/>
      <c r="U573" s="17"/>
      <c r="V573" s="17"/>
      <c r="W573" s="17"/>
      <c r="X573" s="15">
        <v>301.5</v>
      </c>
      <c r="Y573" s="17">
        <v>265</v>
      </c>
      <c r="Z573" s="17">
        <v>499</v>
      </c>
      <c r="AA573" s="17">
        <v>3285</v>
      </c>
      <c r="AB573" s="12">
        <v>332</v>
      </c>
    </row>
    <row r="574" ht="14.25" spans="1:28">
      <c r="A574" s="13">
        <v>572</v>
      </c>
      <c r="B574" s="15">
        <v>12</v>
      </c>
      <c r="C574" s="16">
        <v>19</v>
      </c>
      <c r="D574" s="17" t="s">
        <v>1152</v>
      </c>
      <c r="E574" s="17" t="s">
        <v>1153</v>
      </c>
      <c r="F574" s="17">
        <v>99</v>
      </c>
      <c r="G574" s="17">
        <v>3868</v>
      </c>
      <c r="H574" s="17">
        <v>99.5</v>
      </c>
      <c r="I574" s="17">
        <v>3847</v>
      </c>
      <c r="J574" s="17">
        <v>107.5</v>
      </c>
      <c r="K574" s="17">
        <v>1810</v>
      </c>
      <c r="L574" s="17">
        <v>48</v>
      </c>
      <c r="M574" s="17">
        <v>4355</v>
      </c>
      <c r="N574" s="17"/>
      <c r="O574" s="17"/>
      <c r="P574" s="17">
        <v>79</v>
      </c>
      <c r="Q574" s="17">
        <v>2632</v>
      </c>
      <c r="R574" s="17">
        <v>75</v>
      </c>
      <c r="S574" s="17">
        <v>3790</v>
      </c>
      <c r="T574" s="17"/>
      <c r="U574" s="17"/>
      <c r="V574" s="17"/>
      <c r="W574" s="17"/>
      <c r="X574" s="15">
        <v>306</v>
      </c>
      <c r="Y574" s="17">
        <v>227</v>
      </c>
      <c r="Z574" s="17">
        <v>508</v>
      </c>
      <c r="AA574" s="17">
        <v>2863</v>
      </c>
      <c r="AB574" s="12">
        <v>284</v>
      </c>
    </row>
    <row r="575" ht="14.25" spans="1:28">
      <c r="A575" s="13">
        <v>573</v>
      </c>
      <c r="B575" s="15">
        <v>12</v>
      </c>
      <c r="C575" s="16">
        <v>20</v>
      </c>
      <c r="D575" s="17" t="s">
        <v>1154</v>
      </c>
      <c r="E575" s="17" t="s">
        <v>1155</v>
      </c>
      <c r="F575" s="17">
        <v>75.25</v>
      </c>
      <c r="G575" s="17">
        <v>16090</v>
      </c>
      <c r="H575" s="17">
        <v>41.5</v>
      </c>
      <c r="I575" s="17">
        <v>14695</v>
      </c>
      <c r="J575" s="17">
        <v>93.75</v>
      </c>
      <c r="K575" s="17">
        <v>4401</v>
      </c>
      <c r="L575" s="17">
        <v>21</v>
      </c>
      <c r="M575" s="17">
        <v>13491</v>
      </c>
      <c r="N575" s="17"/>
      <c r="O575" s="17"/>
      <c r="P575" s="17">
        <v>50</v>
      </c>
      <c r="Q575" s="17">
        <v>10845</v>
      </c>
      <c r="R575" s="17">
        <v>57</v>
      </c>
      <c r="S575" s="17">
        <v>9659</v>
      </c>
      <c r="T575" s="17"/>
      <c r="U575" s="17"/>
      <c r="V575" s="17"/>
      <c r="W575" s="17"/>
      <c r="X575" s="15">
        <v>210.5</v>
      </c>
      <c r="Y575" s="17">
        <v>659</v>
      </c>
      <c r="Z575" s="17">
        <v>338.5</v>
      </c>
      <c r="AA575" s="17">
        <v>13549</v>
      </c>
      <c r="AB575" s="12">
        <v>661</v>
      </c>
    </row>
    <row r="576" ht="14.25" spans="1:28">
      <c r="A576" s="13">
        <v>574</v>
      </c>
      <c r="B576" s="15">
        <v>12</v>
      </c>
      <c r="C576" s="16">
        <v>21</v>
      </c>
      <c r="D576" s="17" t="s">
        <v>1156</v>
      </c>
      <c r="E576" s="17" t="s">
        <v>1157</v>
      </c>
      <c r="F576" s="17">
        <v>105</v>
      </c>
      <c r="G576" s="17">
        <v>1427</v>
      </c>
      <c r="H576" s="17">
        <v>94.5</v>
      </c>
      <c r="I576" s="17">
        <v>4840</v>
      </c>
      <c r="J576" s="17">
        <v>104.75</v>
      </c>
      <c r="K576" s="17">
        <v>2246</v>
      </c>
      <c r="L576" s="17">
        <v>48.5</v>
      </c>
      <c r="M576" s="17">
        <v>4255</v>
      </c>
      <c r="N576" s="17"/>
      <c r="O576" s="17"/>
      <c r="P576" s="17">
        <v>80</v>
      </c>
      <c r="Q576" s="17">
        <v>2333</v>
      </c>
      <c r="R576" s="17">
        <v>79</v>
      </c>
      <c r="S576" s="17">
        <v>2629</v>
      </c>
      <c r="T576" s="17"/>
      <c r="U576" s="17"/>
      <c r="V576" s="17"/>
      <c r="W576" s="17"/>
      <c r="X576" s="15">
        <v>304.25</v>
      </c>
      <c r="Y576" s="17">
        <v>243</v>
      </c>
      <c r="Z576" s="17">
        <v>511.75</v>
      </c>
      <c r="AA576" s="17">
        <v>2690</v>
      </c>
      <c r="AB576" s="12">
        <v>264</v>
      </c>
    </row>
    <row r="577" ht="14.25" spans="1:28">
      <c r="A577" s="13">
        <v>575</v>
      </c>
      <c r="B577" s="15">
        <v>12</v>
      </c>
      <c r="C577" s="16">
        <v>22</v>
      </c>
      <c r="D577" s="17" t="s">
        <v>1158</v>
      </c>
      <c r="E577" s="17" t="s">
        <v>1159</v>
      </c>
      <c r="F577" s="17">
        <v>78</v>
      </c>
      <c r="G577" s="17">
        <v>15316</v>
      </c>
      <c r="H577" s="17">
        <v>63</v>
      </c>
      <c r="I577" s="17">
        <v>11279</v>
      </c>
      <c r="J577" s="17">
        <v>68.5</v>
      </c>
      <c r="K577" s="17">
        <v>10662</v>
      </c>
      <c r="L577" s="17">
        <v>34.5</v>
      </c>
      <c r="M577" s="17">
        <v>7899</v>
      </c>
      <c r="N577" s="17"/>
      <c r="O577" s="17"/>
      <c r="P577" s="17">
        <v>39</v>
      </c>
      <c r="Q577" s="17">
        <v>11920</v>
      </c>
      <c r="R577" s="17">
        <v>71</v>
      </c>
      <c r="S577" s="17">
        <v>5151</v>
      </c>
      <c r="T577" s="17"/>
      <c r="U577" s="17"/>
      <c r="V577" s="17"/>
      <c r="W577" s="17"/>
      <c r="X577" s="15">
        <v>209.5</v>
      </c>
      <c r="Y577" s="17">
        <v>660</v>
      </c>
      <c r="Z577" s="17">
        <v>354</v>
      </c>
      <c r="AA577" s="17">
        <v>12660</v>
      </c>
      <c r="AB577" s="12">
        <v>659</v>
      </c>
    </row>
    <row r="578" ht="14.25" spans="1:28">
      <c r="A578" s="13">
        <v>576</v>
      </c>
      <c r="B578" s="15">
        <v>12</v>
      </c>
      <c r="C578" s="16">
        <v>23</v>
      </c>
      <c r="D578" s="17" t="s">
        <v>1160</v>
      </c>
      <c r="E578" s="17" t="s">
        <v>1161</v>
      </c>
      <c r="F578" s="17">
        <v>92</v>
      </c>
      <c r="G578" s="17">
        <v>7994</v>
      </c>
      <c r="H578" s="17">
        <v>93.5</v>
      </c>
      <c r="I578" s="17">
        <v>5060</v>
      </c>
      <c r="J578" s="17">
        <v>78</v>
      </c>
      <c r="K578" s="17">
        <v>8318</v>
      </c>
      <c r="L578" s="17">
        <v>63.5</v>
      </c>
      <c r="M578" s="17">
        <v>1636</v>
      </c>
      <c r="N578" s="17"/>
      <c r="O578" s="17"/>
      <c r="P578" s="17">
        <v>56</v>
      </c>
      <c r="Q578" s="17">
        <v>9899</v>
      </c>
      <c r="R578" s="17">
        <v>73</v>
      </c>
      <c r="S578" s="17">
        <v>4436</v>
      </c>
      <c r="T578" s="17"/>
      <c r="U578" s="17"/>
      <c r="V578" s="17"/>
      <c r="W578" s="17"/>
      <c r="X578" s="15">
        <v>263.5</v>
      </c>
      <c r="Y578" s="17">
        <v>563</v>
      </c>
      <c r="Z578" s="17">
        <v>456</v>
      </c>
      <c r="AA578" s="17">
        <v>5731</v>
      </c>
      <c r="AB578" s="12">
        <v>524</v>
      </c>
    </row>
    <row r="579" ht="14.25" spans="1:28">
      <c r="A579" s="13">
        <v>577</v>
      </c>
      <c r="B579" s="15">
        <v>12</v>
      </c>
      <c r="C579" s="16">
        <v>25</v>
      </c>
      <c r="D579" s="17" t="s">
        <v>1162</v>
      </c>
      <c r="E579" s="17" t="s">
        <v>1163</v>
      </c>
      <c r="F579" s="17">
        <v>103</v>
      </c>
      <c r="G579" s="17">
        <v>2094</v>
      </c>
      <c r="H579" s="17">
        <v>97.5</v>
      </c>
      <c r="I579" s="17">
        <v>4244</v>
      </c>
      <c r="J579" s="17">
        <v>82</v>
      </c>
      <c r="K579" s="17">
        <v>7249</v>
      </c>
      <c r="L579" s="17">
        <v>48</v>
      </c>
      <c r="M579" s="17">
        <v>4355</v>
      </c>
      <c r="N579" s="17"/>
      <c r="O579" s="17"/>
      <c r="P579" s="17">
        <v>51</v>
      </c>
      <c r="Q579" s="17">
        <v>10643</v>
      </c>
      <c r="R579" s="17">
        <v>75</v>
      </c>
      <c r="S579" s="17">
        <v>3790</v>
      </c>
      <c r="T579" s="17"/>
      <c r="U579" s="17"/>
      <c r="V579" s="17"/>
      <c r="W579" s="17"/>
      <c r="X579" s="15">
        <v>282.5</v>
      </c>
      <c r="Y579" s="17">
        <v>425</v>
      </c>
      <c r="Z579" s="17">
        <v>456.5</v>
      </c>
      <c r="AA579" s="17">
        <v>5705</v>
      </c>
      <c r="AB579" s="12">
        <v>522</v>
      </c>
    </row>
    <row r="580" ht="14.25" spans="1:28">
      <c r="A580" s="13">
        <v>578</v>
      </c>
      <c r="B580" s="15">
        <v>12</v>
      </c>
      <c r="C580" s="16">
        <v>26</v>
      </c>
      <c r="D580" s="17" t="s">
        <v>1164</v>
      </c>
      <c r="E580" s="17" t="s">
        <v>1165</v>
      </c>
      <c r="F580" s="17">
        <v>91.25</v>
      </c>
      <c r="G580" s="17">
        <v>8581</v>
      </c>
      <c r="H580" s="17">
        <v>101</v>
      </c>
      <c r="I580" s="17">
        <v>3563</v>
      </c>
      <c r="J580" s="17">
        <v>92</v>
      </c>
      <c r="K580" s="17">
        <v>4787</v>
      </c>
      <c r="L580" s="17">
        <v>58.5</v>
      </c>
      <c r="M580" s="17">
        <v>2451</v>
      </c>
      <c r="N580" s="17"/>
      <c r="O580" s="17"/>
      <c r="P580" s="17">
        <v>78</v>
      </c>
      <c r="Q580" s="17">
        <v>2908</v>
      </c>
      <c r="R580" s="17">
        <v>69</v>
      </c>
      <c r="S580" s="17">
        <v>5677</v>
      </c>
      <c r="T580" s="17"/>
      <c r="U580" s="17"/>
      <c r="V580" s="17"/>
      <c r="W580" s="17"/>
      <c r="X580" s="15">
        <v>284.25</v>
      </c>
      <c r="Y580" s="17">
        <v>407</v>
      </c>
      <c r="Z580" s="17">
        <v>489.75</v>
      </c>
      <c r="AA580" s="17">
        <v>3763</v>
      </c>
      <c r="AB580" s="12">
        <v>375</v>
      </c>
    </row>
    <row r="581" ht="14.25" spans="1:28">
      <c r="A581" s="13">
        <v>579</v>
      </c>
      <c r="B581" s="15">
        <v>12</v>
      </c>
      <c r="C581" s="16">
        <v>27</v>
      </c>
      <c r="D581" s="17" t="s">
        <v>1166</v>
      </c>
      <c r="E581" s="17" t="s">
        <v>1167</v>
      </c>
      <c r="F581" s="17">
        <v>93</v>
      </c>
      <c r="G581" s="17">
        <v>7407</v>
      </c>
      <c r="H581" s="17">
        <v>84.5</v>
      </c>
      <c r="I581" s="17">
        <v>7091</v>
      </c>
      <c r="J581" s="17">
        <v>83</v>
      </c>
      <c r="K581" s="17">
        <v>6990</v>
      </c>
      <c r="L581" s="17">
        <v>26</v>
      </c>
      <c r="M581" s="17">
        <v>11124</v>
      </c>
      <c r="N581" s="17"/>
      <c r="O581" s="17"/>
      <c r="P581" s="17">
        <v>55</v>
      </c>
      <c r="Q581" s="17">
        <v>10022</v>
      </c>
      <c r="R581" s="17">
        <v>50</v>
      </c>
      <c r="S581" s="17">
        <v>11165</v>
      </c>
      <c r="T581" s="17"/>
      <c r="U581" s="17"/>
      <c r="V581" s="17"/>
      <c r="W581" s="17"/>
      <c r="X581" s="15">
        <v>260.5</v>
      </c>
      <c r="Y581" s="17">
        <v>581</v>
      </c>
      <c r="Z581" s="17">
        <v>391.5</v>
      </c>
      <c r="AA581" s="17">
        <v>10244</v>
      </c>
      <c r="AB581" s="12">
        <v>644</v>
      </c>
    </row>
    <row r="582" ht="14.25" spans="1:28">
      <c r="A582" s="13">
        <v>580</v>
      </c>
      <c r="B582" s="15">
        <v>12</v>
      </c>
      <c r="C582" s="16">
        <v>28</v>
      </c>
      <c r="D582" s="17" t="s">
        <v>1168</v>
      </c>
      <c r="E582" s="17" t="s">
        <v>1169</v>
      </c>
      <c r="F582" s="17">
        <v>88.75</v>
      </c>
      <c r="G582" s="17">
        <v>10255</v>
      </c>
      <c r="H582" s="17">
        <v>98.5</v>
      </c>
      <c r="I582" s="17">
        <v>4047</v>
      </c>
      <c r="J582" s="17">
        <v>82.25</v>
      </c>
      <c r="K582" s="17">
        <v>7208</v>
      </c>
      <c r="L582" s="17">
        <v>38.5</v>
      </c>
      <c r="M582" s="17">
        <v>6692</v>
      </c>
      <c r="N582" s="17"/>
      <c r="O582" s="17"/>
      <c r="P582" s="17">
        <v>58</v>
      </c>
      <c r="Q582" s="17">
        <v>9299</v>
      </c>
      <c r="R582" s="17">
        <v>37</v>
      </c>
      <c r="S582" s="17">
        <v>12748</v>
      </c>
      <c r="T582" s="17"/>
      <c r="U582" s="17"/>
      <c r="V582" s="17"/>
      <c r="W582" s="17"/>
      <c r="X582" s="15">
        <v>269.5</v>
      </c>
      <c r="Y582" s="17">
        <v>536</v>
      </c>
      <c r="Z582" s="17">
        <v>403</v>
      </c>
      <c r="AA582" s="17">
        <v>9452</v>
      </c>
      <c r="AB582" s="12">
        <v>639</v>
      </c>
    </row>
    <row r="583" ht="14.25" spans="1:28">
      <c r="A583" s="13">
        <v>581</v>
      </c>
      <c r="B583" s="15">
        <v>12</v>
      </c>
      <c r="C583" s="16">
        <v>29</v>
      </c>
      <c r="D583" s="17" t="s">
        <v>1170</v>
      </c>
      <c r="E583" s="17" t="s">
        <v>1171</v>
      </c>
      <c r="F583" s="17">
        <v>90</v>
      </c>
      <c r="G583" s="17">
        <v>9312</v>
      </c>
      <c r="H583" s="17">
        <v>63.5</v>
      </c>
      <c r="I583" s="17">
        <v>11189</v>
      </c>
      <c r="J583" s="17">
        <v>88.5</v>
      </c>
      <c r="K583" s="17">
        <v>5628</v>
      </c>
      <c r="L583" s="17">
        <v>21</v>
      </c>
      <c r="M583" s="17">
        <v>13491</v>
      </c>
      <c r="N583" s="17"/>
      <c r="O583" s="17"/>
      <c r="P583" s="17">
        <v>55</v>
      </c>
      <c r="Q583" s="17">
        <v>10022</v>
      </c>
      <c r="R583" s="17">
        <v>70</v>
      </c>
      <c r="S583" s="17">
        <v>5497</v>
      </c>
      <c r="T583" s="17"/>
      <c r="U583" s="17"/>
      <c r="V583" s="17"/>
      <c r="W583" s="17"/>
      <c r="X583" s="15">
        <v>242</v>
      </c>
      <c r="Y583" s="17">
        <v>626</v>
      </c>
      <c r="Z583" s="17">
        <v>388</v>
      </c>
      <c r="AA583" s="17">
        <v>10517</v>
      </c>
      <c r="AB583" s="12">
        <v>646</v>
      </c>
    </row>
    <row r="584" ht="14.25" spans="1:28">
      <c r="A584" s="13">
        <v>582</v>
      </c>
      <c r="B584" s="15">
        <v>12</v>
      </c>
      <c r="C584" s="16">
        <v>30</v>
      </c>
      <c r="D584" s="17" t="s">
        <v>1172</v>
      </c>
      <c r="E584" s="17" t="s">
        <v>1173</v>
      </c>
      <c r="F584" s="17">
        <v>93</v>
      </c>
      <c r="G584" s="17">
        <v>7407</v>
      </c>
      <c r="H584" s="17">
        <v>73.5</v>
      </c>
      <c r="I584" s="17">
        <v>9309</v>
      </c>
      <c r="J584" s="17">
        <v>65.25</v>
      </c>
      <c r="K584" s="17">
        <v>11436</v>
      </c>
      <c r="L584" s="17">
        <v>36.5</v>
      </c>
      <c r="M584" s="17">
        <v>7270</v>
      </c>
      <c r="N584" s="17"/>
      <c r="O584" s="17"/>
      <c r="P584" s="17">
        <v>75</v>
      </c>
      <c r="Q584" s="17">
        <v>3841</v>
      </c>
      <c r="R584" s="17">
        <v>71</v>
      </c>
      <c r="S584" s="17">
        <v>5151</v>
      </c>
      <c r="T584" s="17"/>
      <c r="U584" s="17"/>
      <c r="V584" s="17"/>
      <c r="W584" s="17"/>
      <c r="X584" s="15">
        <v>231.75</v>
      </c>
      <c r="Y584" s="17">
        <v>644</v>
      </c>
      <c r="Z584" s="17">
        <v>414.25</v>
      </c>
      <c r="AA584" s="17">
        <v>8636</v>
      </c>
      <c r="AB584" s="12">
        <v>627</v>
      </c>
    </row>
    <row r="585" ht="14.25" spans="1:28">
      <c r="A585" s="13">
        <v>583</v>
      </c>
      <c r="B585" s="15">
        <v>12</v>
      </c>
      <c r="C585" s="16">
        <v>31</v>
      </c>
      <c r="D585" s="17" t="s">
        <v>1174</v>
      </c>
      <c r="E585" s="17" t="s">
        <v>1175</v>
      </c>
      <c r="F585" s="17">
        <v>103</v>
      </c>
      <c r="G585" s="17">
        <v>2094</v>
      </c>
      <c r="H585" s="17">
        <v>97</v>
      </c>
      <c r="I585" s="17">
        <v>4348</v>
      </c>
      <c r="J585" s="17">
        <v>92</v>
      </c>
      <c r="K585" s="17">
        <v>4787</v>
      </c>
      <c r="L585" s="17">
        <v>40</v>
      </c>
      <c r="M585" s="17">
        <v>6265</v>
      </c>
      <c r="N585" s="17"/>
      <c r="O585" s="17"/>
      <c r="P585" s="17">
        <v>51</v>
      </c>
      <c r="Q585" s="17">
        <v>10643</v>
      </c>
      <c r="R585" s="17">
        <v>86</v>
      </c>
      <c r="S585" s="17">
        <v>1176</v>
      </c>
      <c r="T585" s="17"/>
      <c r="U585" s="17"/>
      <c r="V585" s="17"/>
      <c r="W585" s="17"/>
      <c r="X585" s="15">
        <v>292</v>
      </c>
      <c r="Y585" s="17">
        <v>350</v>
      </c>
      <c r="Z585" s="17">
        <v>469</v>
      </c>
      <c r="AA585" s="17">
        <v>4901</v>
      </c>
      <c r="AB585" s="12">
        <v>462</v>
      </c>
    </row>
    <row r="586" ht="14.25" spans="1:28">
      <c r="A586" s="13">
        <v>584</v>
      </c>
      <c r="B586" s="15">
        <v>12</v>
      </c>
      <c r="C586" s="16">
        <v>33</v>
      </c>
      <c r="D586" s="17" t="s">
        <v>1176</v>
      </c>
      <c r="E586" s="17" t="s">
        <v>1177</v>
      </c>
      <c r="F586" s="17">
        <v>78.5</v>
      </c>
      <c r="G586" s="17">
        <v>15156</v>
      </c>
      <c r="H586" s="17">
        <v>98.5</v>
      </c>
      <c r="I586" s="17">
        <v>4047</v>
      </c>
      <c r="J586" s="17">
        <v>61</v>
      </c>
      <c r="K586" s="17">
        <v>12262</v>
      </c>
      <c r="L586" s="17">
        <v>29</v>
      </c>
      <c r="M586" s="17">
        <v>9872</v>
      </c>
      <c r="N586" s="17"/>
      <c r="O586" s="17"/>
      <c r="P586" s="17">
        <v>46</v>
      </c>
      <c r="Q586" s="17">
        <v>11292</v>
      </c>
      <c r="R586" s="17">
        <v>50</v>
      </c>
      <c r="S586" s="17">
        <v>11165</v>
      </c>
      <c r="T586" s="17"/>
      <c r="U586" s="17"/>
      <c r="V586" s="17"/>
      <c r="W586" s="17"/>
      <c r="X586" s="15">
        <v>238</v>
      </c>
      <c r="Y586" s="17">
        <v>634</v>
      </c>
      <c r="Z586" s="17">
        <v>363</v>
      </c>
      <c r="AA586" s="17">
        <v>12102</v>
      </c>
      <c r="AB586" s="12">
        <v>656</v>
      </c>
    </row>
    <row r="587" ht="14.25" spans="1:28">
      <c r="A587" s="13">
        <v>585</v>
      </c>
      <c r="B587" s="15">
        <v>12</v>
      </c>
      <c r="C587" s="16">
        <v>34</v>
      </c>
      <c r="D587" s="17" t="s">
        <v>1178</v>
      </c>
      <c r="E587" s="17" t="s">
        <v>1179</v>
      </c>
      <c r="F587" s="17">
        <v>91.5</v>
      </c>
      <c r="G587" s="17">
        <v>8306</v>
      </c>
      <c r="H587" s="17">
        <v>115.5</v>
      </c>
      <c r="I587" s="17">
        <v>1149</v>
      </c>
      <c r="J587" s="17">
        <v>92</v>
      </c>
      <c r="K587" s="17">
        <v>4787</v>
      </c>
      <c r="L587" s="17">
        <v>58.5</v>
      </c>
      <c r="M587" s="17">
        <v>2451</v>
      </c>
      <c r="N587" s="17"/>
      <c r="O587" s="17"/>
      <c r="P587" s="17">
        <v>88</v>
      </c>
      <c r="Q587" s="17">
        <v>397</v>
      </c>
      <c r="R587" s="17">
        <v>75</v>
      </c>
      <c r="S587" s="17">
        <v>3790</v>
      </c>
      <c r="T587" s="17"/>
      <c r="U587" s="17"/>
      <c r="V587" s="17"/>
      <c r="W587" s="17"/>
      <c r="X587" s="15">
        <v>299</v>
      </c>
      <c r="Y587" s="17">
        <v>284</v>
      </c>
      <c r="Z587" s="17">
        <v>520.5</v>
      </c>
      <c r="AA587" s="17">
        <v>2332</v>
      </c>
      <c r="AB587" s="12">
        <v>214</v>
      </c>
    </row>
    <row r="588" ht="14.25" spans="1:28">
      <c r="A588" s="13">
        <v>586</v>
      </c>
      <c r="B588" s="15">
        <v>12</v>
      </c>
      <c r="C588" s="16">
        <v>35</v>
      </c>
      <c r="D588" s="17" t="s">
        <v>1180</v>
      </c>
      <c r="E588" s="17" t="s">
        <v>1181</v>
      </c>
      <c r="F588" s="17">
        <v>86.75</v>
      </c>
      <c r="G588" s="17">
        <v>11488</v>
      </c>
      <c r="H588" s="17">
        <v>106.5</v>
      </c>
      <c r="I588" s="17">
        <v>2542</v>
      </c>
      <c r="J588" s="17">
        <v>65</v>
      </c>
      <c r="K588" s="17">
        <v>11480</v>
      </c>
      <c r="L588" s="17">
        <v>47</v>
      </c>
      <c r="M588" s="17">
        <v>4568</v>
      </c>
      <c r="N588" s="17"/>
      <c r="O588" s="17"/>
      <c r="P588" s="17">
        <v>54</v>
      </c>
      <c r="Q588" s="17">
        <v>10153</v>
      </c>
      <c r="R588" s="17">
        <v>50</v>
      </c>
      <c r="S588" s="17">
        <v>11165</v>
      </c>
      <c r="T588" s="17"/>
      <c r="U588" s="17"/>
      <c r="V588" s="17"/>
      <c r="W588" s="17"/>
      <c r="X588" s="15">
        <v>258.25</v>
      </c>
      <c r="Y588" s="17">
        <v>588</v>
      </c>
      <c r="Z588" s="17">
        <v>409.25</v>
      </c>
      <c r="AA588" s="17">
        <v>8999</v>
      </c>
      <c r="AB588" s="12">
        <v>633</v>
      </c>
    </row>
    <row r="589" ht="14.25" spans="1:28">
      <c r="A589" s="13">
        <v>587</v>
      </c>
      <c r="B589" s="15">
        <v>12</v>
      </c>
      <c r="C589" s="16">
        <v>37</v>
      </c>
      <c r="D589" s="17" t="s">
        <v>1182</v>
      </c>
      <c r="E589" s="17" t="s">
        <v>1183</v>
      </c>
      <c r="F589" s="17">
        <v>91.5</v>
      </c>
      <c r="G589" s="17">
        <v>8306</v>
      </c>
      <c r="H589" s="17">
        <v>98.5</v>
      </c>
      <c r="I589" s="17">
        <v>4047</v>
      </c>
      <c r="J589" s="17">
        <v>105</v>
      </c>
      <c r="K589" s="17">
        <v>2184</v>
      </c>
      <c r="L589" s="17">
        <v>33</v>
      </c>
      <c r="M589" s="17">
        <v>8387</v>
      </c>
      <c r="N589" s="17"/>
      <c r="O589" s="17"/>
      <c r="P589" s="17">
        <v>75</v>
      </c>
      <c r="Q589" s="17">
        <v>3841</v>
      </c>
      <c r="R589" s="17">
        <v>65</v>
      </c>
      <c r="S589" s="17">
        <v>7060</v>
      </c>
      <c r="T589" s="17"/>
      <c r="U589" s="17"/>
      <c r="V589" s="17"/>
      <c r="W589" s="17"/>
      <c r="X589" s="15">
        <v>295</v>
      </c>
      <c r="Y589" s="17">
        <v>314</v>
      </c>
      <c r="Z589" s="17">
        <v>468</v>
      </c>
      <c r="AA589" s="17">
        <v>4971</v>
      </c>
      <c r="AB589" s="12">
        <v>467</v>
      </c>
    </row>
    <row r="590" ht="14.25" spans="1:28">
      <c r="A590" s="13">
        <v>588</v>
      </c>
      <c r="B590" s="15">
        <v>12</v>
      </c>
      <c r="C590" s="16">
        <v>38</v>
      </c>
      <c r="D590" s="17" t="s">
        <v>1184</v>
      </c>
      <c r="E590" s="17" t="s">
        <v>1185</v>
      </c>
      <c r="F590" s="17">
        <v>93</v>
      </c>
      <c r="G590" s="17">
        <v>7407</v>
      </c>
      <c r="H590" s="17">
        <v>89.5</v>
      </c>
      <c r="I590" s="17">
        <v>5946</v>
      </c>
      <c r="J590" s="17">
        <v>95</v>
      </c>
      <c r="K590" s="17">
        <v>4092</v>
      </c>
      <c r="L590" s="17">
        <v>64.5</v>
      </c>
      <c r="M590" s="17">
        <v>1506</v>
      </c>
      <c r="N590" s="17"/>
      <c r="O590" s="17"/>
      <c r="P590" s="17">
        <v>64</v>
      </c>
      <c r="Q590" s="17">
        <v>7304</v>
      </c>
      <c r="R590" s="17">
        <v>75</v>
      </c>
      <c r="S590" s="17">
        <v>3790</v>
      </c>
      <c r="T590" s="17"/>
      <c r="U590" s="17"/>
      <c r="V590" s="17"/>
      <c r="W590" s="17"/>
      <c r="X590" s="15">
        <v>277.5</v>
      </c>
      <c r="Y590" s="17">
        <v>480</v>
      </c>
      <c r="Z590" s="17">
        <v>481</v>
      </c>
      <c r="AA590" s="17">
        <v>4224</v>
      </c>
      <c r="AB590" s="12">
        <v>417</v>
      </c>
    </row>
    <row r="591" ht="14.25" spans="1:28">
      <c r="A591" s="13">
        <v>589</v>
      </c>
      <c r="B591" s="15">
        <v>12</v>
      </c>
      <c r="C591" s="16">
        <v>39</v>
      </c>
      <c r="D591" s="17" t="s">
        <v>1186</v>
      </c>
      <c r="E591" s="17" t="s">
        <v>1187</v>
      </c>
      <c r="F591" s="17">
        <v>98</v>
      </c>
      <c r="G591" s="17">
        <v>4423</v>
      </c>
      <c r="H591" s="17">
        <v>116</v>
      </c>
      <c r="I591" s="17">
        <v>1095</v>
      </c>
      <c r="J591" s="17">
        <v>73.25</v>
      </c>
      <c r="K591" s="17">
        <v>9584</v>
      </c>
      <c r="L591" s="17">
        <v>65</v>
      </c>
      <c r="M591" s="17">
        <v>1440</v>
      </c>
      <c r="N591" s="17"/>
      <c r="O591" s="17"/>
      <c r="P591" s="17">
        <v>73</v>
      </c>
      <c r="Q591" s="17">
        <v>4501</v>
      </c>
      <c r="R591" s="17">
        <v>81</v>
      </c>
      <c r="S591" s="17">
        <v>2139</v>
      </c>
      <c r="T591" s="17"/>
      <c r="U591" s="17"/>
      <c r="V591" s="17"/>
      <c r="W591" s="17"/>
      <c r="X591" s="15">
        <v>287.25</v>
      </c>
      <c r="Y591" s="17">
        <v>384</v>
      </c>
      <c r="Z591" s="17">
        <v>506.25</v>
      </c>
      <c r="AA591" s="17">
        <v>2951</v>
      </c>
      <c r="AB591" s="12">
        <v>290</v>
      </c>
    </row>
    <row r="592" ht="14.25" spans="1:28">
      <c r="A592" s="13">
        <v>590</v>
      </c>
      <c r="B592" s="15">
        <v>12</v>
      </c>
      <c r="C592" s="16">
        <v>40</v>
      </c>
      <c r="D592" s="17" t="s">
        <v>1188</v>
      </c>
      <c r="E592" s="17" t="s">
        <v>1189</v>
      </c>
      <c r="F592" s="17">
        <v>105</v>
      </c>
      <c r="G592" s="17">
        <v>1427</v>
      </c>
      <c r="H592" s="17">
        <v>89.5</v>
      </c>
      <c r="I592" s="17">
        <v>5946</v>
      </c>
      <c r="J592" s="17">
        <v>105.5</v>
      </c>
      <c r="K592" s="17">
        <v>2098</v>
      </c>
      <c r="L592" s="17">
        <v>48.5</v>
      </c>
      <c r="M592" s="17">
        <v>4255</v>
      </c>
      <c r="N592" s="17"/>
      <c r="O592" s="17"/>
      <c r="P592" s="17">
        <v>74</v>
      </c>
      <c r="Q592" s="17">
        <v>4168</v>
      </c>
      <c r="R592" s="17">
        <v>67</v>
      </c>
      <c r="S592" s="17">
        <v>6298</v>
      </c>
      <c r="T592" s="17"/>
      <c r="U592" s="17"/>
      <c r="V592" s="17"/>
      <c r="W592" s="17"/>
      <c r="X592" s="15">
        <v>300</v>
      </c>
      <c r="Y592" s="17">
        <v>276</v>
      </c>
      <c r="Z592" s="17">
        <v>489.5</v>
      </c>
      <c r="AA592" s="17">
        <v>3772</v>
      </c>
      <c r="AB592" s="12">
        <v>377</v>
      </c>
    </row>
    <row r="593" ht="14.25" spans="1:28">
      <c r="A593" s="13">
        <v>591</v>
      </c>
      <c r="B593" s="15">
        <v>12</v>
      </c>
      <c r="C593" s="16">
        <v>41</v>
      </c>
      <c r="D593" s="17" t="s">
        <v>1190</v>
      </c>
      <c r="E593" s="17" t="s">
        <v>1191</v>
      </c>
      <c r="F593" s="17">
        <v>91.75</v>
      </c>
      <c r="G593" s="17">
        <v>8279</v>
      </c>
      <c r="H593" s="17">
        <v>91.5</v>
      </c>
      <c r="I593" s="17">
        <v>5528</v>
      </c>
      <c r="J593" s="17">
        <v>94.75</v>
      </c>
      <c r="K593" s="17">
        <v>4171</v>
      </c>
      <c r="L593" s="17">
        <v>35</v>
      </c>
      <c r="M593" s="17">
        <v>7732</v>
      </c>
      <c r="N593" s="17"/>
      <c r="O593" s="17"/>
      <c r="P593" s="17">
        <v>69</v>
      </c>
      <c r="Q593" s="17">
        <v>5655</v>
      </c>
      <c r="R593" s="17">
        <v>87</v>
      </c>
      <c r="S593" s="17">
        <v>883</v>
      </c>
      <c r="T593" s="17"/>
      <c r="U593" s="17"/>
      <c r="V593" s="17"/>
      <c r="W593" s="17"/>
      <c r="X593" s="15">
        <v>278</v>
      </c>
      <c r="Y593" s="17">
        <v>469</v>
      </c>
      <c r="Z593" s="17">
        <v>469</v>
      </c>
      <c r="AA593" s="17">
        <v>4901</v>
      </c>
      <c r="AB593" s="12">
        <v>462</v>
      </c>
    </row>
    <row r="594" ht="14.25" spans="1:28">
      <c r="A594" s="13">
        <v>592</v>
      </c>
      <c r="B594" s="15">
        <v>12</v>
      </c>
      <c r="C594" s="16">
        <v>42</v>
      </c>
      <c r="D594" s="17" t="s">
        <v>1192</v>
      </c>
      <c r="E594" s="17" t="s">
        <v>1193</v>
      </c>
      <c r="F594" s="17">
        <v>103</v>
      </c>
      <c r="G594" s="17">
        <v>2094</v>
      </c>
      <c r="H594" s="17">
        <v>98</v>
      </c>
      <c r="I594" s="17">
        <v>4147</v>
      </c>
      <c r="J594" s="17">
        <v>97.5</v>
      </c>
      <c r="K594" s="17">
        <v>3545</v>
      </c>
      <c r="L594" s="17">
        <v>57</v>
      </c>
      <c r="M594" s="17">
        <v>2714</v>
      </c>
      <c r="N594" s="17"/>
      <c r="O594" s="17"/>
      <c r="P594" s="17">
        <v>77</v>
      </c>
      <c r="Q594" s="17">
        <v>3207</v>
      </c>
      <c r="R594" s="17">
        <v>89</v>
      </c>
      <c r="S594" s="17">
        <v>415</v>
      </c>
      <c r="T594" s="17"/>
      <c r="U594" s="17"/>
      <c r="V594" s="17"/>
      <c r="W594" s="17"/>
      <c r="X594" s="15">
        <v>298.5</v>
      </c>
      <c r="Y594" s="17">
        <v>289</v>
      </c>
      <c r="Z594" s="17">
        <v>521.5</v>
      </c>
      <c r="AA594" s="17">
        <v>2298</v>
      </c>
      <c r="AB594" s="12">
        <v>209</v>
      </c>
    </row>
    <row r="595" ht="14.25" spans="1:28">
      <c r="A595" s="13">
        <v>593</v>
      </c>
      <c r="B595" s="15">
        <v>12</v>
      </c>
      <c r="C595" s="16">
        <v>43</v>
      </c>
      <c r="D595" s="17" t="s">
        <v>1194</v>
      </c>
      <c r="E595" s="17" t="s">
        <v>1195</v>
      </c>
      <c r="F595" s="17">
        <v>82</v>
      </c>
      <c r="G595" s="17">
        <v>13863</v>
      </c>
      <c r="H595" s="17">
        <v>109</v>
      </c>
      <c r="I595" s="17">
        <v>2105</v>
      </c>
      <c r="J595" s="17">
        <v>73.5</v>
      </c>
      <c r="K595" s="17">
        <v>9484</v>
      </c>
      <c r="L595" s="17">
        <v>43.5</v>
      </c>
      <c r="M595" s="17">
        <v>5353</v>
      </c>
      <c r="N595" s="17"/>
      <c r="O595" s="17"/>
      <c r="P595" s="17">
        <v>72</v>
      </c>
      <c r="Q595" s="17">
        <v>4881</v>
      </c>
      <c r="R595" s="17">
        <v>73</v>
      </c>
      <c r="S595" s="17">
        <v>4436</v>
      </c>
      <c r="T595" s="17"/>
      <c r="U595" s="17"/>
      <c r="V595" s="17"/>
      <c r="W595" s="17"/>
      <c r="X595" s="15">
        <v>264.5</v>
      </c>
      <c r="Y595" s="17">
        <v>560</v>
      </c>
      <c r="Z595" s="17">
        <v>453</v>
      </c>
      <c r="AA595" s="17">
        <v>5915</v>
      </c>
      <c r="AB595" s="12">
        <v>532</v>
      </c>
    </row>
    <row r="596" ht="14.25" spans="1:28">
      <c r="A596" s="13">
        <v>594</v>
      </c>
      <c r="B596" s="15">
        <v>12</v>
      </c>
      <c r="C596" s="16">
        <v>44</v>
      </c>
      <c r="D596" s="17" t="s">
        <v>1196</v>
      </c>
      <c r="E596" s="17" t="s">
        <v>1197</v>
      </c>
      <c r="F596" s="17">
        <v>103.5</v>
      </c>
      <c r="G596" s="17">
        <v>1897</v>
      </c>
      <c r="H596" s="17">
        <v>115.5</v>
      </c>
      <c r="I596" s="17">
        <v>1149</v>
      </c>
      <c r="J596" s="17">
        <v>75.25</v>
      </c>
      <c r="K596" s="17">
        <v>9049</v>
      </c>
      <c r="L596" s="17">
        <v>69</v>
      </c>
      <c r="M596" s="17">
        <v>949</v>
      </c>
      <c r="N596" s="17"/>
      <c r="O596" s="17"/>
      <c r="P596" s="17">
        <v>73</v>
      </c>
      <c r="Q596" s="17">
        <v>4501</v>
      </c>
      <c r="R596" s="17">
        <v>81</v>
      </c>
      <c r="S596" s="17">
        <v>2139</v>
      </c>
      <c r="T596" s="17"/>
      <c r="U596" s="17"/>
      <c r="V596" s="17"/>
      <c r="W596" s="17"/>
      <c r="X596" s="15">
        <v>294.25</v>
      </c>
      <c r="Y596" s="17">
        <v>324</v>
      </c>
      <c r="Z596" s="17">
        <v>517.25</v>
      </c>
      <c r="AA596" s="17">
        <v>2449</v>
      </c>
      <c r="AB596" s="12">
        <v>232</v>
      </c>
    </row>
    <row r="597" ht="14.25" spans="1:28">
      <c r="A597" s="13">
        <v>595</v>
      </c>
      <c r="B597" s="15">
        <v>12</v>
      </c>
      <c r="C597" s="16">
        <v>45</v>
      </c>
      <c r="D597" s="17" t="s">
        <v>1198</v>
      </c>
      <c r="E597" s="17" t="s">
        <v>1199</v>
      </c>
      <c r="F597" s="17">
        <v>98</v>
      </c>
      <c r="G597" s="17">
        <v>4423</v>
      </c>
      <c r="H597" s="17">
        <v>110</v>
      </c>
      <c r="I597" s="17">
        <v>1931</v>
      </c>
      <c r="J597" s="17">
        <v>99.25</v>
      </c>
      <c r="K597" s="17">
        <v>3211</v>
      </c>
      <c r="L597" s="17">
        <v>39.5</v>
      </c>
      <c r="M597" s="17">
        <v>6404</v>
      </c>
      <c r="N597" s="17"/>
      <c r="O597" s="17"/>
      <c r="P597" s="17">
        <v>67</v>
      </c>
      <c r="Q597" s="17">
        <v>6384</v>
      </c>
      <c r="R597" s="17">
        <v>69</v>
      </c>
      <c r="S597" s="17">
        <v>5677</v>
      </c>
      <c r="T597" s="17"/>
      <c r="U597" s="17"/>
      <c r="V597" s="17"/>
      <c r="W597" s="17"/>
      <c r="X597" s="15">
        <v>307.25</v>
      </c>
      <c r="Y597" s="17">
        <v>219</v>
      </c>
      <c r="Z597" s="17">
        <v>482.75</v>
      </c>
      <c r="AA597" s="17">
        <v>4122</v>
      </c>
      <c r="AB597" s="12">
        <v>409</v>
      </c>
    </row>
    <row r="598" ht="14.25" spans="1:28">
      <c r="A598" s="13">
        <v>596</v>
      </c>
      <c r="B598" s="15">
        <v>12</v>
      </c>
      <c r="C598" s="16">
        <v>46</v>
      </c>
      <c r="D598" s="17" t="s">
        <v>1200</v>
      </c>
      <c r="E598" s="17" t="s">
        <v>1201</v>
      </c>
      <c r="F598" s="17">
        <v>97</v>
      </c>
      <c r="G598" s="17">
        <v>4967</v>
      </c>
      <c r="H598" s="17">
        <v>90</v>
      </c>
      <c r="I598" s="17">
        <v>5850</v>
      </c>
      <c r="J598" s="17">
        <v>105.75</v>
      </c>
      <c r="K598" s="17">
        <v>2077</v>
      </c>
      <c r="L598" s="17">
        <v>34</v>
      </c>
      <c r="M598" s="17">
        <v>8051</v>
      </c>
      <c r="N598" s="17"/>
      <c r="O598" s="17"/>
      <c r="P598" s="17">
        <v>75</v>
      </c>
      <c r="Q598" s="17">
        <v>3841</v>
      </c>
      <c r="R598" s="17">
        <v>72</v>
      </c>
      <c r="S598" s="17">
        <v>4793</v>
      </c>
      <c r="T598" s="17"/>
      <c r="U598" s="17"/>
      <c r="V598" s="17"/>
      <c r="W598" s="17"/>
      <c r="X598" s="15">
        <v>292.75</v>
      </c>
      <c r="Y598" s="17">
        <v>343</v>
      </c>
      <c r="Z598" s="17">
        <v>473.75</v>
      </c>
      <c r="AA598" s="17">
        <v>4617</v>
      </c>
      <c r="AB598" s="12">
        <v>445</v>
      </c>
    </row>
    <row r="599" ht="14.25" spans="1:28">
      <c r="A599" s="13">
        <v>597</v>
      </c>
      <c r="B599" s="15">
        <v>12</v>
      </c>
      <c r="C599" s="16">
        <v>47</v>
      </c>
      <c r="D599" s="17" t="s">
        <v>1202</v>
      </c>
      <c r="E599" s="17" t="s">
        <v>1203</v>
      </c>
      <c r="F599" s="17">
        <v>100.5</v>
      </c>
      <c r="G599" s="17">
        <v>3131</v>
      </c>
      <c r="H599" s="17">
        <v>91</v>
      </c>
      <c r="I599" s="17">
        <v>5638</v>
      </c>
      <c r="J599" s="17">
        <v>94.5</v>
      </c>
      <c r="K599" s="17">
        <v>4208</v>
      </c>
      <c r="L599" s="17">
        <v>39</v>
      </c>
      <c r="M599" s="17">
        <v>6535</v>
      </c>
      <c r="N599" s="17"/>
      <c r="O599" s="17"/>
      <c r="P599" s="17">
        <v>73</v>
      </c>
      <c r="Q599" s="17">
        <v>4501</v>
      </c>
      <c r="R599" s="17">
        <v>74</v>
      </c>
      <c r="S599" s="17">
        <v>4119</v>
      </c>
      <c r="T599" s="17"/>
      <c r="U599" s="17"/>
      <c r="V599" s="17"/>
      <c r="W599" s="17"/>
      <c r="X599" s="15">
        <v>286</v>
      </c>
      <c r="Y599" s="17">
        <v>392</v>
      </c>
      <c r="Z599" s="17">
        <v>472</v>
      </c>
      <c r="AA599" s="17">
        <v>4725</v>
      </c>
      <c r="AB599" s="12">
        <v>451</v>
      </c>
    </row>
    <row r="600" ht="14.25" spans="1:28">
      <c r="A600" s="13">
        <v>598</v>
      </c>
      <c r="B600" s="15">
        <v>12</v>
      </c>
      <c r="C600" s="16">
        <v>48</v>
      </c>
      <c r="D600" s="17" t="s">
        <v>1204</v>
      </c>
      <c r="E600" s="17" t="s">
        <v>1205</v>
      </c>
      <c r="F600" s="17">
        <v>97.5</v>
      </c>
      <c r="G600" s="17">
        <v>4695</v>
      </c>
      <c r="H600" s="17">
        <v>104</v>
      </c>
      <c r="I600" s="17">
        <v>2999</v>
      </c>
      <c r="J600" s="17">
        <v>76</v>
      </c>
      <c r="K600" s="17">
        <v>8837</v>
      </c>
      <c r="L600" s="17">
        <v>58.5</v>
      </c>
      <c r="M600" s="17">
        <v>2451</v>
      </c>
      <c r="N600" s="17"/>
      <c r="O600" s="17"/>
      <c r="P600" s="17">
        <v>75</v>
      </c>
      <c r="Q600" s="17">
        <v>3841</v>
      </c>
      <c r="R600" s="17">
        <v>73</v>
      </c>
      <c r="S600" s="17">
        <v>4436</v>
      </c>
      <c r="T600" s="17"/>
      <c r="U600" s="17"/>
      <c r="V600" s="17"/>
      <c r="W600" s="17"/>
      <c r="X600" s="15">
        <v>277.5</v>
      </c>
      <c r="Y600" s="17">
        <v>480</v>
      </c>
      <c r="Z600" s="17">
        <v>484</v>
      </c>
      <c r="AA600" s="17">
        <v>4049</v>
      </c>
      <c r="AB600" s="12">
        <v>402</v>
      </c>
    </row>
    <row r="601" ht="14.25" spans="1:28">
      <c r="A601" s="13">
        <v>599</v>
      </c>
      <c r="B601" s="15">
        <v>12</v>
      </c>
      <c r="C601" s="16">
        <v>49</v>
      </c>
      <c r="D601" s="17" t="s">
        <v>1206</v>
      </c>
      <c r="E601" s="17" t="s">
        <v>1207</v>
      </c>
      <c r="F601" s="17">
        <v>100.5</v>
      </c>
      <c r="G601" s="17">
        <v>3131</v>
      </c>
      <c r="H601" s="17">
        <v>93.5</v>
      </c>
      <c r="I601" s="17">
        <v>5060</v>
      </c>
      <c r="J601" s="17">
        <v>85.25</v>
      </c>
      <c r="K601" s="17">
        <v>6452</v>
      </c>
      <c r="L601" s="17">
        <v>43</v>
      </c>
      <c r="M601" s="17">
        <v>5463</v>
      </c>
      <c r="N601" s="17"/>
      <c r="O601" s="17"/>
      <c r="P601" s="17">
        <v>65</v>
      </c>
      <c r="Q601" s="17">
        <v>7113</v>
      </c>
      <c r="R601" s="17">
        <v>72</v>
      </c>
      <c r="S601" s="17">
        <v>4793</v>
      </c>
      <c r="T601" s="17"/>
      <c r="U601" s="17"/>
      <c r="V601" s="17"/>
      <c r="W601" s="17"/>
      <c r="X601" s="15">
        <v>279.25</v>
      </c>
      <c r="Y601" s="17">
        <v>453</v>
      </c>
      <c r="Z601" s="17">
        <v>459.25</v>
      </c>
      <c r="AA601" s="17">
        <v>5521</v>
      </c>
      <c r="AB601" s="12">
        <v>511</v>
      </c>
    </row>
    <row r="602" ht="14.25" spans="1:28">
      <c r="A602" s="13">
        <v>600</v>
      </c>
      <c r="B602" s="15">
        <v>12</v>
      </c>
      <c r="C602" s="16">
        <v>50</v>
      </c>
      <c r="D602" s="17" t="s">
        <v>1208</v>
      </c>
      <c r="E602" s="17" t="s">
        <v>1209</v>
      </c>
      <c r="F602" s="17">
        <v>103.5</v>
      </c>
      <c r="G602" s="17">
        <v>1897</v>
      </c>
      <c r="H602" s="17">
        <v>115</v>
      </c>
      <c r="I602" s="17">
        <v>1213</v>
      </c>
      <c r="J602" s="17">
        <v>87.75</v>
      </c>
      <c r="K602" s="17">
        <v>5835</v>
      </c>
      <c r="L602" s="17">
        <v>77</v>
      </c>
      <c r="M602" s="17">
        <v>299</v>
      </c>
      <c r="N602" s="17"/>
      <c r="O602" s="17"/>
      <c r="P602" s="17">
        <v>72</v>
      </c>
      <c r="Q602" s="17">
        <v>4881</v>
      </c>
      <c r="R602" s="17">
        <v>83</v>
      </c>
      <c r="S602" s="17">
        <v>1715</v>
      </c>
      <c r="T602" s="17"/>
      <c r="U602" s="17"/>
      <c r="V602" s="17"/>
      <c r="W602" s="17"/>
      <c r="X602" s="15">
        <v>306.25</v>
      </c>
      <c r="Y602" s="17">
        <v>225</v>
      </c>
      <c r="Z602" s="17">
        <v>538.25</v>
      </c>
      <c r="AA602" s="17">
        <v>1678</v>
      </c>
      <c r="AB602" s="12">
        <v>137</v>
      </c>
    </row>
    <row r="603" ht="14.25" spans="1:28">
      <c r="A603" s="13">
        <v>601</v>
      </c>
      <c r="B603" s="15">
        <v>12</v>
      </c>
      <c r="C603" s="16">
        <v>51</v>
      </c>
      <c r="D603" s="17" t="s">
        <v>1210</v>
      </c>
      <c r="E603" s="17" t="s">
        <v>1211</v>
      </c>
      <c r="F603" s="17">
        <v>92</v>
      </c>
      <c r="G603" s="17">
        <v>7994</v>
      </c>
      <c r="H603" s="17">
        <v>65</v>
      </c>
      <c r="I603" s="17">
        <v>10886</v>
      </c>
      <c r="J603" s="17">
        <v>75</v>
      </c>
      <c r="K603" s="17">
        <v>9087</v>
      </c>
      <c r="L603" s="17">
        <v>26.5</v>
      </c>
      <c r="M603" s="17">
        <v>10911</v>
      </c>
      <c r="N603" s="17"/>
      <c r="O603" s="17"/>
      <c r="P603" s="17">
        <v>60</v>
      </c>
      <c r="Q603" s="17">
        <v>8673</v>
      </c>
      <c r="R603" s="17">
        <v>60</v>
      </c>
      <c r="S603" s="17">
        <v>8759</v>
      </c>
      <c r="T603" s="17"/>
      <c r="U603" s="17"/>
      <c r="V603" s="17"/>
      <c r="W603" s="17"/>
      <c r="X603" s="15">
        <v>232</v>
      </c>
      <c r="Y603" s="17">
        <v>642</v>
      </c>
      <c r="Z603" s="17">
        <v>378.5</v>
      </c>
      <c r="AA603" s="17">
        <v>11140</v>
      </c>
      <c r="AB603" s="12">
        <v>653</v>
      </c>
    </row>
    <row r="604" ht="14.25" spans="1:28">
      <c r="A604" s="13">
        <v>602</v>
      </c>
      <c r="B604" s="15">
        <v>12</v>
      </c>
      <c r="C604" s="16">
        <v>52</v>
      </c>
      <c r="D604" s="17" t="s">
        <v>1212</v>
      </c>
      <c r="E604" s="17" t="s">
        <v>1213</v>
      </c>
      <c r="F604" s="17">
        <v>99</v>
      </c>
      <c r="G604" s="17">
        <v>3868</v>
      </c>
      <c r="H604" s="17">
        <v>105.5</v>
      </c>
      <c r="I604" s="17">
        <v>2718</v>
      </c>
      <c r="J604" s="17">
        <v>59.5</v>
      </c>
      <c r="K604" s="17">
        <v>12535</v>
      </c>
      <c r="L604" s="17">
        <v>45</v>
      </c>
      <c r="M604" s="17">
        <v>5014</v>
      </c>
      <c r="N604" s="17"/>
      <c r="O604" s="17"/>
      <c r="P604" s="17">
        <v>58</v>
      </c>
      <c r="Q604" s="17">
        <v>9299</v>
      </c>
      <c r="R604" s="17">
        <v>72</v>
      </c>
      <c r="S604" s="17">
        <v>4793</v>
      </c>
      <c r="T604" s="17"/>
      <c r="U604" s="17"/>
      <c r="V604" s="17"/>
      <c r="W604" s="17"/>
      <c r="X604" s="15">
        <v>264</v>
      </c>
      <c r="Y604" s="17">
        <v>562</v>
      </c>
      <c r="Z604" s="17">
        <v>439</v>
      </c>
      <c r="AA604" s="17">
        <v>6886</v>
      </c>
      <c r="AB604" s="12">
        <v>572</v>
      </c>
    </row>
    <row r="605" ht="14.25" spans="1:28">
      <c r="A605" s="13">
        <v>603</v>
      </c>
      <c r="B605" s="15">
        <v>12</v>
      </c>
      <c r="C605" s="16">
        <v>53</v>
      </c>
      <c r="D605" s="17" t="s">
        <v>1214</v>
      </c>
      <c r="E605" s="17" t="s">
        <v>1215</v>
      </c>
      <c r="F605" s="17">
        <v>94</v>
      </c>
      <c r="G605" s="17">
        <v>6811</v>
      </c>
      <c r="H605" s="17">
        <v>104.5</v>
      </c>
      <c r="I605" s="17">
        <v>2895</v>
      </c>
      <c r="J605" s="17">
        <v>82.25</v>
      </c>
      <c r="K605" s="17">
        <v>7208</v>
      </c>
      <c r="L605" s="17">
        <v>59.5</v>
      </c>
      <c r="M605" s="17">
        <v>2274</v>
      </c>
      <c r="N605" s="17"/>
      <c r="O605" s="17"/>
      <c r="P605" s="17">
        <v>73</v>
      </c>
      <c r="Q605" s="17">
        <v>4501</v>
      </c>
      <c r="R605" s="17">
        <v>62</v>
      </c>
      <c r="S605" s="17">
        <v>8006</v>
      </c>
      <c r="T605" s="17"/>
      <c r="U605" s="17"/>
      <c r="V605" s="17"/>
      <c r="W605" s="17"/>
      <c r="X605" s="15">
        <v>280.75</v>
      </c>
      <c r="Y605" s="17">
        <v>441</v>
      </c>
      <c r="Z605" s="17">
        <v>475.25</v>
      </c>
      <c r="AA605" s="17">
        <v>4533</v>
      </c>
      <c r="AB605" s="12">
        <v>437</v>
      </c>
    </row>
    <row r="606" ht="14.25" spans="1:28">
      <c r="A606" s="13">
        <v>604</v>
      </c>
      <c r="B606" s="15">
        <v>12</v>
      </c>
      <c r="C606" s="16">
        <v>54</v>
      </c>
      <c r="D606" s="17" t="s">
        <v>1216</v>
      </c>
      <c r="E606" s="17" t="s">
        <v>1217</v>
      </c>
      <c r="F606" s="17">
        <v>85.5</v>
      </c>
      <c r="G606" s="17">
        <v>12079</v>
      </c>
      <c r="H606" s="17">
        <v>94.5</v>
      </c>
      <c r="I606" s="17">
        <v>4840</v>
      </c>
      <c r="J606" s="17">
        <v>67</v>
      </c>
      <c r="K606" s="17">
        <v>11015</v>
      </c>
      <c r="L606" s="17">
        <v>44</v>
      </c>
      <c r="M606" s="17">
        <v>5222</v>
      </c>
      <c r="N606" s="17"/>
      <c r="O606" s="17"/>
      <c r="P606" s="17">
        <v>64</v>
      </c>
      <c r="Q606" s="17">
        <v>7304</v>
      </c>
      <c r="R606" s="17">
        <v>73</v>
      </c>
      <c r="S606" s="17">
        <v>4436</v>
      </c>
      <c r="T606" s="17"/>
      <c r="U606" s="17"/>
      <c r="V606" s="17"/>
      <c r="W606" s="17"/>
      <c r="X606" s="15">
        <v>247</v>
      </c>
      <c r="Y606" s="17">
        <v>616</v>
      </c>
      <c r="Z606" s="17">
        <v>428</v>
      </c>
      <c r="AA606" s="17">
        <v>7643</v>
      </c>
      <c r="AB606" s="12">
        <v>606</v>
      </c>
    </row>
    <row r="607" ht="14.25" spans="1:28">
      <c r="A607" s="13">
        <v>605</v>
      </c>
      <c r="B607" s="15">
        <v>12</v>
      </c>
      <c r="C607" s="16">
        <v>55</v>
      </c>
      <c r="D607" s="17" t="s">
        <v>1218</v>
      </c>
      <c r="E607" s="17" t="s">
        <v>1219</v>
      </c>
      <c r="F607" s="17">
        <v>103.5</v>
      </c>
      <c r="G607" s="17">
        <v>1897</v>
      </c>
      <c r="H607" s="17">
        <v>82</v>
      </c>
      <c r="I607" s="17">
        <v>7634</v>
      </c>
      <c r="J607" s="17">
        <v>120</v>
      </c>
      <c r="K607" s="17">
        <v>503</v>
      </c>
      <c r="L607" s="17">
        <v>17.5</v>
      </c>
      <c r="M607" s="17">
        <v>15175</v>
      </c>
      <c r="N607" s="17"/>
      <c r="O607" s="17"/>
      <c r="P607" s="17">
        <v>56</v>
      </c>
      <c r="Q607" s="17">
        <v>9899</v>
      </c>
      <c r="R607" s="17">
        <v>65</v>
      </c>
      <c r="S607" s="17">
        <v>7060</v>
      </c>
      <c r="T607" s="17"/>
      <c r="U607" s="17"/>
      <c r="V607" s="17"/>
      <c r="W607" s="17"/>
      <c r="X607" s="15">
        <v>305.5</v>
      </c>
      <c r="Y607" s="17">
        <v>233</v>
      </c>
      <c r="Z607" s="17">
        <v>444</v>
      </c>
      <c r="AA607" s="17">
        <v>6525</v>
      </c>
      <c r="AB607" s="12">
        <v>556</v>
      </c>
    </row>
    <row r="608" ht="14.25" spans="1:28">
      <c r="A608" s="13">
        <v>606</v>
      </c>
      <c r="B608" s="15">
        <v>12</v>
      </c>
      <c r="C608" s="16">
        <v>56</v>
      </c>
      <c r="D608" s="17" t="s">
        <v>1220</v>
      </c>
      <c r="E608" s="17" t="s">
        <v>1221</v>
      </c>
      <c r="F608" s="17">
        <v>95</v>
      </c>
      <c r="G608" s="17">
        <v>6168</v>
      </c>
      <c r="H608" s="17">
        <v>88</v>
      </c>
      <c r="I608" s="17">
        <v>6299</v>
      </c>
      <c r="J608" s="17">
        <v>93</v>
      </c>
      <c r="K608" s="17">
        <v>4548</v>
      </c>
      <c r="L608" s="17">
        <v>46</v>
      </c>
      <c r="M608" s="17">
        <v>4785</v>
      </c>
      <c r="N608" s="17"/>
      <c r="O608" s="17"/>
      <c r="P608" s="17">
        <v>60</v>
      </c>
      <c r="Q608" s="17">
        <v>8673</v>
      </c>
      <c r="R608" s="17">
        <v>74</v>
      </c>
      <c r="S608" s="17">
        <v>4119</v>
      </c>
      <c r="T608" s="17"/>
      <c r="U608" s="17"/>
      <c r="V608" s="17"/>
      <c r="W608" s="17"/>
      <c r="X608" s="15">
        <v>276</v>
      </c>
      <c r="Y608" s="17">
        <v>490</v>
      </c>
      <c r="Z608" s="17">
        <v>456</v>
      </c>
      <c r="AA608" s="17">
        <v>5731</v>
      </c>
      <c r="AB608" s="12">
        <v>524</v>
      </c>
    </row>
    <row r="609" ht="14.25" spans="1:28">
      <c r="A609" s="13">
        <v>607</v>
      </c>
      <c r="B609" s="15">
        <v>12</v>
      </c>
      <c r="C609" s="16">
        <v>57</v>
      </c>
      <c r="D609" s="17" t="s">
        <v>1222</v>
      </c>
      <c r="E609" s="17" t="s">
        <v>1223</v>
      </c>
      <c r="F609" s="17">
        <v>83.5</v>
      </c>
      <c r="G609" s="17">
        <v>13160</v>
      </c>
      <c r="H609" s="17">
        <v>89.5</v>
      </c>
      <c r="I609" s="17">
        <v>5946</v>
      </c>
      <c r="J609" s="17">
        <v>80</v>
      </c>
      <c r="K609" s="17">
        <v>7802</v>
      </c>
      <c r="L609" s="17">
        <v>35.5</v>
      </c>
      <c r="M609" s="17">
        <v>7589</v>
      </c>
      <c r="N609" s="17"/>
      <c r="O609" s="17"/>
      <c r="P609" s="17">
        <v>82</v>
      </c>
      <c r="Q609" s="17">
        <v>1870</v>
      </c>
      <c r="R609" s="17">
        <v>71</v>
      </c>
      <c r="S609" s="17">
        <v>5151</v>
      </c>
      <c r="T609" s="17"/>
      <c r="U609" s="17"/>
      <c r="V609" s="17"/>
      <c r="W609" s="17"/>
      <c r="X609" s="15">
        <v>253</v>
      </c>
      <c r="Y609" s="17">
        <v>603</v>
      </c>
      <c r="Z609" s="17">
        <v>441.5</v>
      </c>
      <c r="AA609" s="17">
        <v>6712</v>
      </c>
      <c r="AB609" s="12">
        <v>565</v>
      </c>
    </row>
    <row r="610" ht="14.25" spans="1:28">
      <c r="A610" s="13">
        <v>608</v>
      </c>
      <c r="B610" s="15">
        <v>12</v>
      </c>
      <c r="C610" s="16">
        <v>58</v>
      </c>
      <c r="D610" s="17" t="s">
        <v>1224</v>
      </c>
      <c r="E610" s="17" t="s">
        <v>1225</v>
      </c>
      <c r="F610" s="17">
        <v>97</v>
      </c>
      <c r="G610" s="17">
        <v>4967</v>
      </c>
      <c r="H610" s="17">
        <v>93.5</v>
      </c>
      <c r="I610" s="17">
        <v>5060</v>
      </c>
      <c r="J610" s="17">
        <v>106.75</v>
      </c>
      <c r="K610" s="17">
        <v>1917</v>
      </c>
      <c r="L610" s="17">
        <v>61</v>
      </c>
      <c r="M610" s="17">
        <v>2008</v>
      </c>
      <c r="N610" s="17"/>
      <c r="O610" s="17"/>
      <c r="P610" s="17">
        <v>79</v>
      </c>
      <c r="Q610" s="17">
        <v>2632</v>
      </c>
      <c r="R610" s="17">
        <v>82</v>
      </c>
      <c r="S610" s="17">
        <v>1915</v>
      </c>
      <c r="T610" s="17"/>
      <c r="U610" s="17"/>
      <c r="V610" s="17"/>
      <c r="W610" s="17"/>
      <c r="X610" s="15">
        <v>297.25</v>
      </c>
      <c r="Y610" s="17">
        <v>301</v>
      </c>
      <c r="Z610" s="17">
        <v>519.25</v>
      </c>
      <c r="AA610" s="17">
        <v>2376</v>
      </c>
      <c r="AB610" s="12">
        <v>221</v>
      </c>
    </row>
    <row r="611" ht="14.25" spans="1:28">
      <c r="A611" s="13">
        <v>609</v>
      </c>
      <c r="B611" s="20">
        <v>12</v>
      </c>
      <c r="C611" s="16">
        <v>59</v>
      </c>
      <c r="D611" s="19" t="s">
        <v>1226</v>
      </c>
      <c r="E611" s="17" t="s">
        <v>1227</v>
      </c>
      <c r="F611" s="17">
        <v>96.25</v>
      </c>
      <c r="G611" s="17">
        <v>5515</v>
      </c>
      <c r="H611" s="17">
        <v>110</v>
      </c>
      <c r="I611" s="17">
        <v>1931</v>
      </c>
      <c r="J611" s="17">
        <v>93</v>
      </c>
      <c r="K611" s="17">
        <v>4548</v>
      </c>
      <c r="L611" s="17">
        <v>36</v>
      </c>
      <c r="M611" s="17">
        <v>7408</v>
      </c>
      <c r="N611" s="17"/>
      <c r="O611" s="17"/>
      <c r="P611" s="17">
        <v>86</v>
      </c>
      <c r="Q611" s="17">
        <v>1052</v>
      </c>
      <c r="R611" s="17">
        <v>68</v>
      </c>
      <c r="S611" s="17">
        <v>6079</v>
      </c>
      <c r="T611" s="17"/>
      <c r="U611" s="17"/>
      <c r="V611" s="17"/>
      <c r="W611" s="17"/>
      <c r="X611" s="15">
        <v>299.25</v>
      </c>
      <c r="Y611" s="17">
        <v>281</v>
      </c>
      <c r="Z611" s="17">
        <v>489.25</v>
      </c>
      <c r="AA611" s="17">
        <v>3787</v>
      </c>
      <c r="AB611" s="12">
        <v>379</v>
      </c>
    </row>
    <row r="612" ht="14.25" spans="1:28">
      <c r="A612" s="13">
        <v>610</v>
      </c>
      <c r="B612" s="15">
        <v>13</v>
      </c>
      <c r="C612" s="16">
        <v>1</v>
      </c>
      <c r="D612" s="17" t="s">
        <v>1228</v>
      </c>
      <c r="E612" s="17" t="s">
        <v>1229</v>
      </c>
      <c r="F612" s="17">
        <v>104</v>
      </c>
      <c r="G612" s="17">
        <v>1709</v>
      </c>
      <c r="H612" s="17">
        <v>94.5</v>
      </c>
      <c r="I612" s="17">
        <v>4840</v>
      </c>
      <c r="J612" s="17">
        <v>87</v>
      </c>
      <c r="K612" s="17">
        <v>5999</v>
      </c>
      <c r="L612" s="17">
        <v>44.5</v>
      </c>
      <c r="M612" s="17">
        <v>5122</v>
      </c>
      <c r="N612" s="17"/>
      <c r="O612" s="17"/>
      <c r="P612" s="17">
        <v>65</v>
      </c>
      <c r="Q612" s="17">
        <v>7113</v>
      </c>
      <c r="R612" s="17">
        <v>75</v>
      </c>
      <c r="S612" s="17">
        <v>3790</v>
      </c>
      <c r="T612" s="17"/>
      <c r="U612" s="17"/>
      <c r="V612" s="17"/>
      <c r="W612" s="17"/>
      <c r="X612" s="15">
        <v>285.5</v>
      </c>
      <c r="Y612" s="17">
        <v>397</v>
      </c>
      <c r="Z612" s="17">
        <v>470</v>
      </c>
      <c r="AA612" s="17">
        <v>4837</v>
      </c>
      <c r="AB612" s="12">
        <v>460</v>
      </c>
    </row>
    <row r="613" ht="14.25" spans="1:28">
      <c r="A613" s="13">
        <v>611</v>
      </c>
      <c r="B613" s="15">
        <v>13</v>
      </c>
      <c r="C613" s="16">
        <v>2</v>
      </c>
      <c r="D613" s="17" t="s">
        <v>1230</v>
      </c>
      <c r="E613" s="17" t="s">
        <v>1231</v>
      </c>
      <c r="F613" s="17">
        <v>99</v>
      </c>
      <c r="G613" s="17">
        <v>3868</v>
      </c>
      <c r="H613" s="17">
        <v>113.5</v>
      </c>
      <c r="I613" s="17">
        <v>1397</v>
      </c>
      <c r="J613" s="17">
        <v>85</v>
      </c>
      <c r="K613" s="17">
        <v>6480</v>
      </c>
      <c r="L613" s="17">
        <v>54.5</v>
      </c>
      <c r="M613" s="17">
        <v>3126</v>
      </c>
      <c r="N613" s="17"/>
      <c r="O613" s="17"/>
      <c r="P613" s="17">
        <v>82</v>
      </c>
      <c r="Q613" s="17">
        <v>1870</v>
      </c>
      <c r="R613" s="17">
        <v>82</v>
      </c>
      <c r="S613" s="17">
        <v>1915</v>
      </c>
      <c r="T613" s="17"/>
      <c r="U613" s="17"/>
      <c r="V613" s="17"/>
      <c r="W613" s="17"/>
      <c r="X613" s="15">
        <v>297.5</v>
      </c>
      <c r="Y613" s="17">
        <v>299</v>
      </c>
      <c r="Z613" s="17">
        <v>516</v>
      </c>
      <c r="AA613" s="17">
        <v>2500</v>
      </c>
      <c r="AB613" s="12">
        <v>240</v>
      </c>
    </row>
    <row r="614" ht="14.25" spans="1:28">
      <c r="A614" s="13">
        <v>612</v>
      </c>
      <c r="B614" s="15">
        <v>13</v>
      </c>
      <c r="C614" s="16">
        <v>3</v>
      </c>
      <c r="D614" s="17" t="s">
        <v>1232</v>
      </c>
      <c r="E614" s="17" t="s">
        <v>1233</v>
      </c>
      <c r="F614" s="17">
        <v>95</v>
      </c>
      <c r="G614" s="17">
        <v>6168</v>
      </c>
      <c r="H614" s="17">
        <v>117</v>
      </c>
      <c r="I614" s="17">
        <v>975</v>
      </c>
      <c r="J614" s="17">
        <v>87</v>
      </c>
      <c r="K614" s="17">
        <v>5999</v>
      </c>
      <c r="L614" s="17">
        <v>66.5</v>
      </c>
      <c r="M614" s="17">
        <v>1237</v>
      </c>
      <c r="N614" s="17"/>
      <c r="O614" s="17"/>
      <c r="P614" s="17">
        <v>73</v>
      </c>
      <c r="Q614" s="17">
        <v>4501</v>
      </c>
      <c r="R614" s="17">
        <v>86</v>
      </c>
      <c r="S614" s="17">
        <v>1176</v>
      </c>
      <c r="T614" s="17"/>
      <c r="U614" s="17"/>
      <c r="V614" s="17"/>
      <c r="W614" s="17"/>
      <c r="X614" s="15">
        <v>299</v>
      </c>
      <c r="Y614" s="17">
        <v>284</v>
      </c>
      <c r="Z614" s="17">
        <v>524.5</v>
      </c>
      <c r="AA614" s="17">
        <v>2164</v>
      </c>
      <c r="AB614" s="12">
        <v>192</v>
      </c>
    </row>
    <row r="615" ht="14.25" spans="1:28">
      <c r="A615" s="13">
        <v>613</v>
      </c>
      <c r="B615" s="15">
        <v>13</v>
      </c>
      <c r="C615" s="16">
        <v>4</v>
      </c>
      <c r="D615" s="17" t="s">
        <v>1234</v>
      </c>
      <c r="E615" s="17" t="s">
        <v>1235</v>
      </c>
      <c r="F615" s="17">
        <v>97</v>
      </c>
      <c r="G615" s="17">
        <v>4967</v>
      </c>
      <c r="H615" s="17">
        <v>88</v>
      </c>
      <c r="I615" s="17">
        <v>6299</v>
      </c>
      <c r="J615" s="17">
        <v>85.5</v>
      </c>
      <c r="K615" s="17">
        <v>6376</v>
      </c>
      <c r="L615" s="17">
        <v>50</v>
      </c>
      <c r="M615" s="17">
        <v>3933</v>
      </c>
      <c r="N615" s="17"/>
      <c r="O615" s="17"/>
      <c r="P615" s="17">
        <v>61</v>
      </c>
      <c r="Q615" s="17">
        <v>8358</v>
      </c>
      <c r="R615" s="17">
        <v>80</v>
      </c>
      <c r="S615" s="17">
        <v>2376</v>
      </c>
      <c r="T615" s="17"/>
      <c r="U615" s="17"/>
      <c r="V615" s="17"/>
      <c r="W615" s="17"/>
      <c r="X615" s="15">
        <v>270.5</v>
      </c>
      <c r="Y615" s="17">
        <v>526</v>
      </c>
      <c r="Z615" s="17">
        <v>461.5</v>
      </c>
      <c r="AA615" s="17">
        <v>5381</v>
      </c>
      <c r="AB615" s="12">
        <v>503</v>
      </c>
    </row>
    <row r="616" ht="14.25" spans="1:28">
      <c r="A616" s="13">
        <v>614</v>
      </c>
      <c r="B616" s="15">
        <v>13</v>
      </c>
      <c r="C616" s="16">
        <v>5</v>
      </c>
      <c r="D616" s="17" t="s">
        <v>1236</v>
      </c>
      <c r="E616" s="17" t="s">
        <v>1237</v>
      </c>
      <c r="F616" s="17">
        <v>103.5</v>
      </c>
      <c r="G616" s="17">
        <v>1897</v>
      </c>
      <c r="H616" s="17">
        <v>62.5</v>
      </c>
      <c r="I616" s="17">
        <v>11385</v>
      </c>
      <c r="J616" s="17">
        <v>106.5</v>
      </c>
      <c r="K616" s="17">
        <v>1929</v>
      </c>
      <c r="L616" s="17">
        <v>29.5</v>
      </c>
      <c r="M616" s="17">
        <v>9688</v>
      </c>
      <c r="N616" s="17"/>
      <c r="O616" s="17"/>
      <c r="P616" s="17">
        <v>66</v>
      </c>
      <c r="Q616" s="17">
        <v>6766</v>
      </c>
      <c r="R616" s="17">
        <v>70</v>
      </c>
      <c r="S616" s="17">
        <v>5497</v>
      </c>
      <c r="T616" s="17"/>
      <c r="U616" s="17"/>
      <c r="V616" s="17"/>
      <c r="W616" s="17"/>
      <c r="X616" s="15">
        <v>272.5</v>
      </c>
      <c r="Y616" s="17">
        <v>510</v>
      </c>
      <c r="Z616" s="17">
        <v>438</v>
      </c>
      <c r="AA616" s="17">
        <v>6959</v>
      </c>
      <c r="AB616" s="12">
        <v>576</v>
      </c>
    </row>
    <row r="617" ht="14.25" spans="1:28">
      <c r="A617" s="13">
        <v>615</v>
      </c>
      <c r="B617" s="15">
        <v>13</v>
      </c>
      <c r="C617" s="16">
        <v>6</v>
      </c>
      <c r="D617" s="17" t="s">
        <v>1238</v>
      </c>
      <c r="E617" s="17" t="s">
        <v>1239</v>
      </c>
      <c r="F617" s="17">
        <v>91</v>
      </c>
      <c r="G617" s="17">
        <v>8620</v>
      </c>
      <c r="H617" s="17">
        <v>114</v>
      </c>
      <c r="I617" s="17">
        <v>1340</v>
      </c>
      <c r="J617" s="17">
        <v>81.25</v>
      </c>
      <c r="K617" s="17">
        <v>7494</v>
      </c>
      <c r="L617" s="17">
        <v>51.5</v>
      </c>
      <c r="M617" s="17">
        <v>3642</v>
      </c>
      <c r="N617" s="17"/>
      <c r="O617" s="17"/>
      <c r="P617" s="17">
        <v>62</v>
      </c>
      <c r="Q617" s="17">
        <v>8021</v>
      </c>
      <c r="R617" s="17">
        <v>66</v>
      </c>
      <c r="S617" s="17">
        <v>6674</v>
      </c>
      <c r="T617" s="17"/>
      <c r="U617" s="17"/>
      <c r="V617" s="17"/>
      <c r="W617" s="17"/>
      <c r="X617" s="15">
        <v>286.25</v>
      </c>
      <c r="Y617" s="17">
        <v>390</v>
      </c>
      <c r="Z617" s="17">
        <v>465.75</v>
      </c>
      <c r="AA617" s="17">
        <v>5115</v>
      </c>
      <c r="AB617" s="12">
        <v>483</v>
      </c>
    </row>
    <row r="618" ht="14.25" spans="1:28">
      <c r="A618" s="13">
        <v>616</v>
      </c>
      <c r="B618" s="15">
        <v>13</v>
      </c>
      <c r="C618" s="16">
        <v>7</v>
      </c>
      <c r="D618" s="17" t="s">
        <v>1240</v>
      </c>
      <c r="E618" s="17" t="s">
        <v>1241</v>
      </c>
      <c r="F618" s="17">
        <v>71.5</v>
      </c>
      <c r="G618" s="17">
        <v>16688</v>
      </c>
      <c r="H618" s="17">
        <v>91.5</v>
      </c>
      <c r="I618" s="17">
        <v>5528</v>
      </c>
      <c r="J618" s="17">
        <v>103.75</v>
      </c>
      <c r="K618" s="17">
        <v>2416</v>
      </c>
      <c r="L618" s="17">
        <v>56.5</v>
      </c>
      <c r="M618" s="17">
        <v>2801</v>
      </c>
      <c r="N618" s="17"/>
      <c r="O618" s="17"/>
      <c r="P618" s="17">
        <v>80</v>
      </c>
      <c r="Q618" s="17">
        <v>2333</v>
      </c>
      <c r="R618" s="17">
        <v>78</v>
      </c>
      <c r="S618" s="17">
        <v>2906</v>
      </c>
      <c r="T618" s="17"/>
      <c r="U618" s="17"/>
      <c r="V618" s="17"/>
      <c r="W618" s="17"/>
      <c r="X618" s="15">
        <v>266.75</v>
      </c>
      <c r="Y618" s="17">
        <v>547</v>
      </c>
      <c r="Z618" s="17">
        <v>481.25</v>
      </c>
      <c r="AA618" s="17">
        <v>4215</v>
      </c>
      <c r="AB618" s="12">
        <v>416</v>
      </c>
    </row>
    <row r="619" ht="14.25" spans="1:28">
      <c r="A619" s="13">
        <v>617</v>
      </c>
      <c r="B619" s="15">
        <v>13</v>
      </c>
      <c r="C619" s="16">
        <v>8</v>
      </c>
      <c r="D619" s="17" t="s">
        <v>1242</v>
      </c>
      <c r="E619" s="17" t="s">
        <v>1243</v>
      </c>
      <c r="F619" s="17">
        <v>86.5</v>
      </c>
      <c r="G619" s="17">
        <v>11527</v>
      </c>
      <c r="H619" s="17">
        <v>93</v>
      </c>
      <c r="I619" s="17">
        <v>5192</v>
      </c>
      <c r="J619" s="17">
        <v>45.5</v>
      </c>
      <c r="K619" s="17">
        <v>14548</v>
      </c>
      <c r="L619" s="17">
        <v>30</v>
      </c>
      <c r="M619" s="17">
        <v>9441</v>
      </c>
      <c r="N619" s="17"/>
      <c r="O619" s="17"/>
      <c r="P619" s="17">
        <v>51</v>
      </c>
      <c r="Q619" s="17">
        <v>10643</v>
      </c>
      <c r="R619" s="17">
        <v>73</v>
      </c>
      <c r="S619" s="17">
        <v>4436</v>
      </c>
      <c r="T619" s="17"/>
      <c r="U619" s="17"/>
      <c r="V619" s="17"/>
      <c r="W619" s="17"/>
      <c r="X619" s="15">
        <v>225</v>
      </c>
      <c r="Y619" s="17">
        <v>650</v>
      </c>
      <c r="Z619" s="17">
        <v>379</v>
      </c>
      <c r="AA619" s="17">
        <v>11109</v>
      </c>
      <c r="AB619" s="12">
        <v>652</v>
      </c>
    </row>
    <row r="620" ht="14.25" spans="1:28">
      <c r="A620" s="13">
        <v>618</v>
      </c>
      <c r="B620" s="15">
        <v>13</v>
      </c>
      <c r="C620" s="16">
        <v>9</v>
      </c>
      <c r="D620" s="17" t="s">
        <v>1244</v>
      </c>
      <c r="E620" s="17" t="s">
        <v>1245</v>
      </c>
      <c r="F620" s="17">
        <v>112</v>
      </c>
      <c r="G620" s="17">
        <v>223</v>
      </c>
      <c r="H620" s="17">
        <v>105</v>
      </c>
      <c r="I620" s="17">
        <v>2810</v>
      </c>
      <c r="J620" s="17">
        <v>107.75</v>
      </c>
      <c r="K620" s="17">
        <v>1777</v>
      </c>
      <c r="L620" s="17">
        <v>60</v>
      </c>
      <c r="M620" s="17">
        <v>2185</v>
      </c>
      <c r="N620" s="17"/>
      <c r="O620" s="17"/>
      <c r="P620" s="17">
        <v>73</v>
      </c>
      <c r="Q620" s="17">
        <v>4501</v>
      </c>
      <c r="R620" s="17">
        <v>90</v>
      </c>
      <c r="S620" s="17">
        <v>255</v>
      </c>
      <c r="T620" s="17"/>
      <c r="U620" s="17"/>
      <c r="V620" s="17"/>
      <c r="W620" s="17"/>
      <c r="X620" s="15">
        <v>324.75</v>
      </c>
      <c r="Y620" s="17">
        <v>89</v>
      </c>
      <c r="Z620" s="17">
        <v>547.75</v>
      </c>
      <c r="AA620" s="17">
        <v>1371</v>
      </c>
      <c r="AB620" s="12">
        <v>105</v>
      </c>
    </row>
    <row r="621" ht="14.25" spans="1:28">
      <c r="A621" s="13">
        <v>619</v>
      </c>
      <c r="B621" s="15">
        <v>13</v>
      </c>
      <c r="C621" s="16">
        <v>10</v>
      </c>
      <c r="D621" s="17" t="s">
        <v>1246</v>
      </c>
      <c r="E621" s="17" t="s">
        <v>1247</v>
      </c>
      <c r="F621" s="17">
        <v>98</v>
      </c>
      <c r="G621" s="17">
        <v>4423</v>
      </c>
      <c r="H621" s="17">
        <v>103.5</v>
      </c>
      <c r="I621" s="17">
        <v>3096</v>
      </c>
      <c r="J621" s="17">
        <v>69.5</v>
      </c>
      <c r="K621" s="17">
        <v>10427</v>
      </c>
      <c r="L621" s="17">
        <v>45.5</v>
      </c>
      <c r="M621" s="17">
        <v>4898</v>
      </c>
      <c r="N621" s="17"/>
      <c r="O621" s="17"/>
      <c r="P621" s="17">
        <v>74</v>
      </c>
      <c r="Q621" s="17">
        <v>4168</v>
      </c>
      <c r="R621" s="17">
        <v>75</v>
      </c>
      <c r="S621" s="17">
        <v>3790</v>
      </c>
      <c r="T621" s="17"/>
      <c r="U621" s="17"/>
      <c r="V621" s="17"/>
      <c r="W621" s="17"/>
      <c r="X621" s="15">
        <v>271</v>
      </c>
      <c r="Y621" s="17">
        <v>522</v>
      </c>
      <c r="Z621" s="17">
        <v>465.5</v>
      </c>
      <c r="AA621" s="17">
        <v>5127</v>
      </c>
      <c r="AB621" s="12">
        <v>485</v>
      </c>
    </row>
    <row r="622" ht="14.25" spans="1:28">
      <c r="A622" s="13">
        <v>620</v>
      </c>
      <c r="B622" s="15">
        <v>13</v>
      </c>
      <c r="C622" s="16">
        <v>12</v>
      </c>
      <c r="D622" s="17" t="s">
        <v>1248</v>
      </c>
      <c r="E622" s="17" t="s">
        <v>1249</v>
      </c>
      <c r="F622" s="17">
        <v>98.25</v>
      </c>
      <c r="G622" s="17">
        <v>4392</v>
      </c>
      <c r="H622" s="17">
        <v>113.5</v>
      </c>
      <c r="I622" s="17">
        <v>1397</v>
      </c>
      <c r="J622" s="17">
        <v>82.5</v>
      </c>
      <c r="K622" s="17">
        <v>7120</v>
      </c>
      <c r="L622" s="17">
        <v>39.5</v>
      </c>
      <c r="M622" s="17">
        <v>6404</v>
      </c>
      <c r="N622" s="17"/>
      <c r="O622" s="17"/>
      <c r="P622" s="17">
        <v>83</v>
      </c>
      <c r="Q622" s="17">
        <v>1643</v>
      </c>
      <c r="R622" s="17">
        <v>68</v>
      </c>
      <c r="S622" s="17">
        <v>6079</v>
      </c>
      <c r="T622" s="17"/>
      <c r="U622" s="17"/>
      <c r="V622" s="17"/>
      <c r="W622" s="17"/>
      <c r="X622" s="15">
        <v>294.25</v>
      </c>
      <c r="Y622" s="17">
        <v>324</v>
      </c>
      <c r="Z622" s="17">
        <v>484.75</v>
      </c>
      <c r="AA622" s="17">
        <v>4013</v>
      </c>
      <c r="AB622" s="12">
        <v>400</v>
      </c>
    </row>
    <row r="623" ht="14.25" spans="1:28">
      <c r="A623" s="13">
        <v>621</v>
      </c>
      <c r="B623" s="15">
        <v>13</v>
      </c>
      <c r="C623" s="16">
        <v>13</v>
      </c>
      <c r="D623" s="17" t="s">
        <v>1250</v>
      </c>
      <c r="E623" s="17" t="s">
        <v>1251</v>
      </c>
      <c r="F623" s="17">
        <v>88</v>
      </c>
      <c r="G623" s="17">
        <v>10604</v>
      </c>
      <c r="H623" s="17">
        <v>80</v>
      </c>
      <c r="I623" s="17">
        <v>8038</v>
      </c>
      <c r="J623" s="17">
        <v>84.75</v>
      </c>
      <c r="K623" s="17">
        <v>6579</v>
      </c>
      <c r="L623" s="17">
        <v>35</v>
      </c>
      <c r="M623" s="17">
        <v>7732</v>
      </c>
      <c r="N623" s="17"/>
      <c r="O623" s="17"/>
      <c r="P623" s="17">
        <v>63</v>
      </c>
      <c r="Q623" s="17">
        <v>7666</v>
      </c>
      <c r="R623" s="17">
        <v>61</v>
      </c>
      <c r="S623" s="17">
        <v>8408</v>
      </c>
      <c r="T623" s="17"/>
      <c r="U623" s="17"/>
      <c r="V623" s="17"/>
      <c r="W623" s="17"/>
      <c r="X623" s="15">
        <v>252.75</v>
      </c>
      <c r="Y623" s="17">
        <v>604</v>
      </c>
      <c r="Z623" s="17">
        <v>411.75</v>
      </c>
      <c r="AA623" s="17">
        <v>8824</v>
      </c>
      <c r="AB623" s="12">
        <v>629</v>
      </c>
    </row>
    <row r="624" ht="14.25" spans="1:28">
      <c r="A624" s="13">
        <v>622</v>
      </c>
      <c r="B624" s="15">
        <v>13</v>
      </c>
      <c r="C624" s="16">
        <v>15</v>
      </c>
      <c r="D624" s="17" t="s">
        <v>1252</v>
      </c>
      <c r="E624" s="17" t="s">
        <v>1253</v>
      </c>
      <c r="F624" s="17">
        <v>90.5</v>
      </c>
      <c r="G624" s="17">
        <v>8999</v>
      </c>
      <c r="H624" s="17">
        <v>104.5</v>
      </c>
      <c r="I624" s="17">
        <v>2895</v>
      </c>
      <c r="J624" s="17">
        <v>96</v>
      </c>
      <c r="K624" s="17">
        <v>3851</v>
      </c>
      <c r="L624" s="17">
        <v>48.5</v>
      </c>
      <c r="M624" s="17">
        <v>4255</v>
      </c>
      <c r="N624" s="17"/>
      <c r="O624" s="17"/>
      <c r="P624" s="17">
        <v>89</v>
      </c>
      <c r="Q624" s="17">
        <v>222</v>
      </c>
      <c r="R624" s="17">
        <v>73</v>
      </c>
      <c r="S624" s="17">
        <v>4436</v>
      </c>
      <c r="T624" s="17"/>
      <c r="U624" s="17"/>
      <c r="V624" s="17"/>
      <c r="W624" s="17"/>
      <c r="X624" s="15">
        <v>291</v>
      </c>
      <c r="Y624" s="17">
        <v>359</v>
      </c>
      <c r="Z624" s="17">
        <v>501.5</v>
      </c>
      <c r="AA624" s="17">
        <v>3169</v>
      </c>
      <c r="AB624" s="12">
        <v>319</v>
      </c>
    </row>
    <row r="625" ht="14.25" spans="1:28">
      <c r="A625" s="13">
        <v>623</v>
      </c>
      <c r="B625" s="15">
        <v>13</v>
      </c>
      <c r="C625" s="16">
        <v>16</v>
      </c>
      <c r="D625" s="17" t="s">
        <v>1254</v>
      </c>
      <c r="E625" s="17" t="s">
        <v>1255</v>
      </c>
      <c r="F625" s="17">
        <v>95</v>
      </c>
      <c r="G625" s="17">
        <v>6168</v>
      </c>
      <c r="H625" s="17">
        <v>93.5</v>
      </c>
      <c r="I625" s="17">
        <v>5060</v>
      </c>
      <c r="J625" s="17">
        <v>100</v>
      </c>
      <c r="K625" s="17">
        <v>3038</v>
      </c>
      <c r="L625" s="17">
        <v>45</v>
      </c>
      <c r="M625" s="17">
        <v>5014</v>
      </c>
      <c r="N625" s="17"/>
      <c r="O625" s="17"/>
      <c r="P625" s="17">
        <v>73</v>
      </c>
      <c r="Q625" s="17">
        <v>4501</v>
      </c>
      <c r="R625" s="17">
        <v>73</v>
      </c>
      <c r="S625" s="17">
        <v>4436</v>
      </c>
      <c r="T625" s="17"/>
      <c r="U625" s="17"/>
      <c r="V625" s="17"/>
      <c r="W625" s="17"/>
      <c r="X625" s="15">
        <v>288.5</v>
      </c>
      <c r="Y625" s="17">
        <v>376</v>
      </c>
      <c r="Z625" s="17">
        <v>479.5</v>
      </c>
      <c r="AA625" s="17">
        <v>4305</v>
      </c>
      <c r="AB625" s="12">
        <v>420</v>
      </c>
    </row>
    <row r="626" ht="14.25" spans="1:28">
      <c r="A626" s="13">
        <v>624</v>
      </c>
      <c r="B626" s="15">
        <v>13</v>
      </c>
      <c r="C626" s="16">
        <v>17</v>
      </c>
      <c r="D626" s="17" t="s">
        <v>1256</v>
      </c>
      <c r="E626" s="17" t="s">
        <v>1257</v>
      </c>
      <c r="F626" s="17">
        <v>97.5</v>
      </c>
      <c r="G626" s="17">
        <v>4695</v>
      </c>
      <c r="H626" s="17">
        <v>106</v>
      </c>
      <c r="I626" s="17">
        <v>2619</v>
      </c>
      <c r="J626" s="17">
        <v>82.75</v>
      </c>
      <c r="K626" s="17">
        <v>7077</v>
      </c>
      <c r="L626" s="17">
        <v>40.5</v>
      </c>
      <c r="M626" s="17">
        <v>6131</v>
      </c>
      <c r="N626" s="17"/>
      <c r="O626" s="17"/>
      <c r="P626" s="17">
        <v>62</v>
      </c>
      <c r="Q626" s="17">
        <v>8021</v>
      </c>
      <c r="R626" s="17">
        <v>83</v>
      </c>
      <c r="S626" s="17">
        <v>1715</v>
      </c>
      <c r="T626" s="17"/>
      <c r="U626" s="17"/>
      <c r="V626" s="17"/>
      <c r="W626" s="17"/>
      <c r="X626" s="15">
        <v>286.25</v>
      </c>
      <c r="Y626" s="17">
        <v>390</v>
      </c>
      <c r="Z626" s="17">
        <v>471.75</v>
      </c>
      <c r="AA626" s="17">
        <v>4740</v>
      </c>
      <c r="AB626" s="12">
        <v>452</v>
      </c>
    </row>
    <row r="627" ht="14.25" spans="1:28">
      <c r="A627" s="13">
        <v>625</v>
      </c>
      <c r="B627" s="15">
        <v>13</v>
      </c>
      <c r="C627" s="16">
        <v>18</v>
      </c>
      <c r="D627" s="17" t="s">
        <v>1258</v>
      </c>
      <c r="E627" s="17" t="s">
        <v>1259</v>
      </c>
      <c r="F627" s="17">
        <v>104</v>
      </c>
      <c r="G627" s="17">
        <v>1709</v>
      </c>
      <c r="H627" s="17">
        <v>92</v>
      </c>
      <c r="I627" s="17">
        <v>5417</v>
      </c>
      <c r="J627" s="17">
        <v>114.5</v>
      </c>
      <c r="K627" s="17">
        <v>951</v>
      </c>
      <c r="L627" s="17">
        <v>60.5</v>
      </c>
      <c r="M627" s="17">
        <v>2106</v>
      </c>
      <c r="N627" s="17"/>
      <c r="O627" s="17"/>
      <c r="P627" s="17">
        <v>71</v>
      </c>
      <c r="Q627" s="17">
        <v>5258</v>
      </c>
      <c r="R627" s="17">
        <v>75</v>
      </c>
      <c r="S627" s="17">
        <v>3790</v>
      </c>
      <c r="T627" s="17"/>
      <c r="U627" s="17"/>
      <c r="V627" s="17"/>
      <c r="W627" s="17"/>
      <c r="X627" s="15">
        <v>310.5</v>
      </c>
      <c r="Y627" s="17">
        <v>187</v>
      </c>
      <c r="Z627" s="17">
        <v>517</v>
      </c>
      <c r="AA627" s="17">
        <v>2459</v>
      </c>
      <c r="AB627" s="12">
        <v>236</v>
      </c>
    </row>
    <row r="628" ht="14.25" spans="1:28">
      <c r="A628" s="13">
        <v>626</v>
      </c>
      <c r="B628" s="15">
        <v>13</v>
      </c>
      <c r="C628" s="16">
        <v>19</v>
      </c>
      <c r="D628" s="17" t="s">
        <v>1260</v>
      </c>
      <c r="E628" s="17" t="s">
        <v>1261</v>
      </c>
      <c r="F628" s="17">
        <v>104.25</v>
      </c>
      <c r="G628" s="17">
        <v>1691</v>
      </c>
      <c r="H628" s="17">
        <v>104</v>
      </c>
      <c r="I628" s="17">
        <v>2999</v>
      </c>
      <c r="J628" s="17">
        <v>99</v>
      </c>
      <c r="K628" s="17">
        <v>3244</v>
      </c>
      <c r="L628" s="17">
        <v>53</v>
      </c>
      <c r="M628" s="17">
        <v>3368</v>
      </c>
      <c r="N628" s="17"/>
      <c r="O628" s="17"/>
      <c r="P628" s="17">
        <v>79</v>
      </c>
      <c r="Q628" s="17">
        <v>2632</v>
      </c>
      <c r="R628" s="17">
        <v>74</v>
      </c>
      <c r="S628" s="17">
        <v>4119</v>
      </c>
      <c r="T628" s="17"/>
      <c r="U628" s="17"/>
      <c r="V628" s="17"/>
      <c r="W628" s="17"/>
      <c r="X628" s="15">
        <v>307.25</v>
      </c>
      <c r="Y628" s="17">
        <v>219</v>
      </c>
      <c r="Z628" s="17">
        <v>513.25</v>
      </c>
      <c r="AA628" s="17">
        <v>2629</v>
      </c>
      <c r="AB628" s="12">
        <v>256</v>
      </c>
    </row>
    <row r="629" ht="14.25" spans="1:28">
      <c r="A629" s="13">
        <v>627</v>
      </c>
      <c r="B629" s="15">
        <v>13</v>
      </c>
      <c r="C629" s="16">
        <v>20</v>
      </c>
      <c r="D629" s="17" t="s">
        <v>1262</v>
      </c>
      <c r="E629" s="17" t="s">
        <v>1263</v>
      </c>
      <c r="F629" s="17">
        <v>96</v>
      </c>
      <c r="G629" s="17">
        <v>5544</v>
      </c>
      <c r="H629" s="17">
        <v>109.5</v>
      </c>
      <c r="I629" s="17">
        <v>2023</v>
      </c>
      <c r="J629" s="17">
        <v>104.25</v>
      </c>
      <c r="K629" s="17">
        <v>2330</v>
      </c>
      <c r="L629" s="17">
        <v>42</v>
      </c>
      <c r="M629" s="17">
        <v>5731</v>
      </c>
      <c r="N629" s="17"/>
      <c r="O629" s="17"/>
      <c r="P629" s="17">
        <v>83</v>
      </c>
      <c r="Q629" s="17">
        <v>1643</v>
      </c>
      <c r="R629" s="17">
        <v>81</v>
      </c>
      <c r="S629" s="17">
        <v>2139</v>
      </c>
      <c r="T629" s="17"/>
      <c r="U629" s="17"/>
      <c r="V629" s="17"/>
      <c r="W629" s="17"/>
      <c r="X629" s="15">
        <v>309.75</v>
      </c>
      <c r="Y629" s="17">
        <v>196</v>
      </c>
      <c r="Z629" s="17">
        <v>515.75</v>
      </c>
      <c r="AA629" s="17">
        <v>2519</v>
      </c>
      <c r="AB629" s="12">
        <v>242</v>
      </c>
    </row>
    <row r="630" ht="14.25" spans="1:28">
      <c r="A630" s="13">
        <v>628</v>
      </c>
      <c r="B630" s="15">
        <v>13</v>
      </c>
      <c r="C630" s="16">
        <v>21</v>
      </c>
      <c r="D630" s="17" t="s">
        <v>1264</v>
      </c>
      <c r="E630" s="17" t="s">
        <v>1265</v>
      </c>
      <c r="F630" s="17">
        <v>100.5</v>
      </c>
      <c r="G630" s="17">
        <v>3131</v>
      </c>
      <c r="H630" s="17">
        <v>104</v>
      </c>
      <c r="I630" s="17">
        <v>2999</v>
      </c>
      <c r="J630" s="17">
        <v>105.75</v>
      </c>
      <c r="K630" s="17">
        <v>2077</v>
      </c>
      <c r="L630" s="17">
        <v>46</v>
      </c>
      <c r="M630" s="17">
        <v>4785</v>
      </c>
      <c r="N630" s="17"/>
      <c r="O630" s="17"/>
      <c r="P630" s="17">
        <v>79</v>
      </c>
      <c r="Q630" s="17">
        <v>2632</v>
      </c>
      <c r="R630" s="17">
        <v>81</v>
      </c>
      <c r="S630" s="17">
        <v>2139</v>
      </c>
      <c r="T630" s="17"/>
      <c r="U630" s="17"/>
      <c r="V630" s="17"/>
      <c r="W630" s="17"/>
      <c r="X630" s="15">
        <v>310.25</v>
      </c>
      <c r="Y630" s="17">
        <v>189</v>
      </c>
      <c r="Z630" s="17">
        <v>516.25</v>
      </c>
      <c r="AA630" s="17">
        <v>2490</v>
      </c>
      <c r="AB630" s="12">
        <v>239</v>
      </c>
    </row>
    <row r="631" ht="14.25" spans="1:28">
      <c r="A631" s="13">
        <v>629</v>
      </c>
      <c r="B631" s="15">
        <v>13</v>
      </c>
      <c r="C631" s="16">
        <v>22</v>
      </c>
      <c r="D631" s="17" t="s">
        <v>1266</v>
      </c>
      <c r="E631" s="17" t="s">
        <v>1267</v>
      </c>
      <c r="F631" s="17">
        <v>101.5</v>
      </c>
      <c r="G631" s="17">
        <v>2674</v>
      </c>
      <c r="H631" s="17">
        <v>84.5</v>
      </c>
      <c r="I631" s="17">
        <v>7091</v>
      </c>
      <c r="J631" s="17">
        <v>92</v>
      </c>
      <c r="K631" s="17">
        <v>4787</v>
      </c>
      <c r="L631" s="17">
        <v>42.5</v>
      </c>
      <c r="M631" s="17">
        <v>5605</v>
      </c>
      <c r="N631" s="17"/>
      <c r="O631" s="17"/>
      <c r="P631" s="17">
        <v>74</v>
      </c>
      <c r="Q631" s="17">
        <v>4168</v>
      </c>
      <c r="R631" s="17">
        <v>76</v>
      </c>
      <c r="S631" s="17">
        <v>3491</v>
      </c>
      <c r="T631" s="17"/>
      <c r="U631" s="17"/>
      <c r="V631" s="17"/>
      <c r="W631" s="17"/>
      <c r="X631" s="15">
        <v>278</v>
      </c>
      <c r="Y631" s="17">
        <v>469</v>
      </c>
      <c r="Z631" s="17">
        <v>470.5</v>
      </c>
      <c r="AA631" s="17">
        <v>4810</v>
      </c>
      <c r="AB631" s="12">
        <v>456</v>
      </c>
    </row>
    <row r="632" ht="14.25" spans="1:28">
      <c r="A632" s="13">
        <v>630</v>
      </c>
      <c r="B632" s="15">
        <v>13</v>
      </c>
      <c r="C632" s="16">
        <v>23</v>
      </c>
      <c r="D632" s="17" t="s">
        <v>1268</v>
      </c>
      <c r="E632" s="17" t="s">
        <v>1269</v>
      </c>
      <c r="F632" s="17">
        <v>102.25</v>
      </c>
      <c r="G632" s="17">
        <v>2460</v>
      </c>
      <c r="H632" s="17">
        <v>88.5</v>
      </c>
      <c r="I632" s="17">
        <v>6176</v>
      </c>
      <c r="J632" s="17">
        <v>87</v>
      </c>
      <c r="K632" s="17">
        <v>5999</v>
      </c>
      <c r="L632" s="17">
        <v>35.5</v>
      </c>
      <c r="M632" s="17">
        <v>7589</v>
      </c>
      <c r="N632" s="17"/>
      <c r="O632" s="17"/>
      <c r="P632" s="17">
        <v>68</v>
      </c>
      <c r="Q632" s="17">
        <v>6016</v>
      </c>
      <c r="R632" s="17">
        <v>80</v>
      </c>
      <c r="S632" s="17">
        <v>2376</v>
      </c>
      <c r="T632" s="17"/>
      <c r="U632" s="17"/>
      <c r="V632" s="17"/>
      <c r="W632" s="17"/>
      <c r="X632" s="15">
        <v>277.75</v>
      </c>
      <c r="Y632" s="17">
        <v>477</v>
      </c>
      <c r="Z632" s="17">
        <v>461.25</v>
      </c>
      <c r="AA632" s="17">
        <v>5398</v>
      </c>
      <c r="AB632" s="12">
        <v>505</v>
      </c>
    </row>
    <row r="633" ht="14.25" spans="1:28">
      <c r="A633" s="13">
        <v>631</v>
      </c>
      <c r="B633" s="15">
        <v>13</v>
      </c>
      <c r="C633" s="16">
        <v>24</v>
      </c>
      <c r="D633" s="17" t="s">
        <v>1270</v>
      </c>
      <c r="E633" s="17" t="s">
        <v>1271</v>
      </c>
      <c r="F633" s="17">
        <v>108</v>
      </c>
      <c r="G633" s="17">
        <v>736</v>
      </c>
      <c r="H633" s="17">
        <v>82</v>
      </c>
      <c r="I633" s="17">
        <v>7634</v>
      </c>
      <c r="J633" s="17">
        <v>95</v>
      </c>
      <c r="K633" s="17">
        <v>4092</v>
      </c>
      <c r="L633" s="17">
        <v>34</v>
      </c>
      <c r="M633" s="17">
        <v>8051</v>
      </c>
      <c r="N633" s="17"/>
      <c r="O633" s="17"/>
      <c r="P633" s="17">
        <v>64</v>
      </c>
      <c r="Q633" s="17">
        <v>7304</v>
      </c>
      <c r="R633" s="17">
        <v>84</v>
      </c>
      <c r="S633" s="17">
        <v>1490</v>
      </c>
      <c r="T633" s="17"/>
      <c r="U633" s="17"/>
      <c r="V633" s="17"/>
      <c r="W633" s="17"/>
      <c r="X633" s="15">
        <v>285</v>
      </c>
      <c r="Y633" s="17">
        <v>401</v>
      </c>
      <c r="Z633" s="17">
        <v>467</v>
      </c>
      <c r="AA633" s="17">
        <v>5030</v>
      </c>
      <c r="AB633" s="12">
        <v>476</v>
      </c>
    </row>
    <row r="634" ht="14.25" spans="1:28">
      <c r="A634" s="13">
        <v>632</v>
      </c>
      <c r="B634" s="15">
        <v>13</v>
      </c>
      <c r="C634" s="16">
        <v>25</v>
      </c>
      <c r="D634" s="17" t="s">
        <v>1272</v>
      </c>
      <c r="E634" s="17" t="s">
        <v>1273</v>
      </c>
      <c r="F634" s="17">
        <v>95</v>
      </c>
      <c r="G634" s="17">
        <v>6168</v>
      </c>
      <c r="H634" s="17">
        <v>91</v>
      </c>
      <c r="I634" s="17">
        <v>5638</v>
      </c>
      <c r="J634" s="17">
        <v>79</v>
      </c>
      <c r="K634" s="17">
        <v>8048</v>
      </c>
      <c r="L634" s="17">
        <v>61</v>
      </c>
      <c r="M634" s="17">
        <v>2008</v>
      </c>
      <c r="N634" s="17"/>
      <c r="O634" s="17"/>
      <c r="P634" s="17">
        <v>88</v>
      </c>
      <c r="Q634" s="17">
        <v>397</v>
      </c>
      <c r="R634" s="17">
        <v>81</v>
      </c>
      <c r="S634" s="17">
        <v>2139</v>
      </c>
      <c r="T634" s="17"/>
      <c r="U634" s="17"/>
      <c r="V634" s="17"/>
      <c r="W634" s="17"/>
      <c r="X634" s="15">
        <v>265</v>
      </c>
      <c r="Y634" s="17">
        <v>556</v>
      </c>
      <c r="Z634" s="17">
        <v>495</v>
      </c>
      <c r="AA634" s="17">
        <v>3492</v>
      </c>
      <c r="AB634" s="12">
        <v>353</v>
      </c>
    </row>
    <row r="635" ht="14.25" spans="1:28">
      <c r="A635" s="13">
        <v>633</v>
      </c>
      <c r="B635" s="15">
        <v>13</v>
      </c>
      <c r="C635" s="16">
        <v>26</v>
      </c>
      <c r="D635" s="17" t="s">
        <v>1274</v>
      </c>
      <c r="E635" s="17" t="s">
        <v>1275</v>
      </c>
      <c r="F635" s="17">
        <v>84.5</v>
      </c>
      <c r="G635" s="17">
        <v>12633</v>
      </c>
      <c r="H635" s="17">
        <v>83</v>
      </c>
      <c r="I635" s="17">
        <v>7420</v>
      </c>
      <c r="J635" s="17">
        <v>88.25</v>
      </c>
      <c r="K635" s="17">
        <v>5710</v>
      </c>
      <c r="L635" s="17">
        <v>42</v>
      </c>
      <c r="M635" s="17">
        <v>5731</v>
      </c>
      <c r="N635" s="17"/>
      <c r="O635" s="17"/>
      <c r="P635" s="17">
        <v>64</v>
      </c>
      <c r="Q635" s="17">
        <v>7304</v>
      </c>
      <c r="R635" s="17">
        <v>75</v>
      </c>
      <c r="S635" s="17">
        <v>3790</v>
      </c>
      <c r="T635" s="17"/>
      <c r="U635" s="17"/>
      <c r="V635" s="17"/>
      <c r="W635" s="17"/>
      <c r="X635" s="15">
        <v>255.75</v>
      </c>
      <c r="Y635" s="17">
        <v>594</v>
      </c>
      <c r="Z635" s="17">
        <v>436.75</v>
      </c>
      <c r="AA635" s="17">
        <v>7056</v>
      </c>
      <c r="AB635" s="12">
        <v>579</v>
      </c>
    </row>
    <row r="636" ht="14.25" spans="1:28">
      <c r="A636" s="13">
        <v>634</v>
      </c>
      <c r="B636" s="15">
        <v>13</v>
      </c>
      <c r="C636" s="16">
        <v>27</v>
      </c>
      <c r="D636" s="17" t="s">
        <v>1276</v>
      </c>
      <c r="E636" s="17" t="s">
        <v>1277</v>
      </c>
      <c r="F636" s="17">
        <v>94.75</v>
      </c>
      <c r="G636" s="17">
        <v>6456</v>
      </c>
      <c r="H636" s="17">
        <v>118.5</v>
      </c>
      <c r="I636" s="17">
        <v>833</v>
      </c>
      <c r="J636" s="17">
        <v>93.75</v>
      </c>
      <c r="K636" s="17">
        <v>4401</v>
      </c>
      <c r="L636" s="17">
        <v>53.5</v>
      </c>
      <c r="M636" s="17">
        <v>3296</v>
      </c>
      <c r="N636" s="17"/>
      <c r="O636" s="17"/>
      <c r="P636" s="17">
        <v>77</v>
      </c>
      <c r="Q636" s="17">
        <v>3207</v>
      </c>
      <c r="R636" s="17">
        <v>76</v>
      </c>
      <c r="S636" s="17">
        <v>3491</v>
      </c>
      <c r="T636" s="17"/>
      <c r="U636" s="17"/>
      <c r="V636" s="17"/>
      <c r="W636" s="17"/>
      <c r="X636" s="15">
        <v>307</v>
      </c>
      <c r="Y636" s="17">
        <v>221</v>
      </c>
      <c r="Z636" s="17">
        <v>513.5</v>
      </c>
      <c r="AA636" s="17">
        <v>2612</v>
      </c>
      <c r="AB636" s="12">
        <v>253</v>
      </c>
    </row>
    <row r="637" ht="14.25" spans="1:28">
      <c r="A637" s="13">
        <v>635</v>
      </c>
      <c r="B637" s="15">
        <v>13</v>
      </c>
      <c r="C637" s="16">
        <v>28</v>
      </c>
      <c r="D637" s="17" t="s">
        <v>1278</v>
      </c>
      <c r="E637" s="17" t="s">
        <v>1279</v>
      </c>
      <c r="F637" s="17">
        <v>101</v>
      </c>
      <c r="G637" s="17">
        <v>2896</v>
      </c>
      <c r="H637" s="17">
        <v>112</v>
      </c>
      <c r="I637" s="17">
        <v>1617</v>
      </c>
      <c r="J637" s="17">
        <v>103.75</v>
      </c>
      <c r="K637" s="17">
        <v>2416</v>
      </c>
      <c r="L637" s="17">
        <v>56</v>
      </c>
      <c r="M637" s="17">
        <v>2878</v>
      </c>
      <c r="N637" s="17"/>
      <c r="O637" s="17"/>
      <c r="P637" s="17">
        <v>89</v>
      </c>
      <c r="Q637" s="17">
        <v>222</v>
      </c>
      <c r="R637" s="17">
        <v>91</v>
      </c>
      <c r="S637" s="17">
        <v>151</v>
      </c>
      <c r="T637" s="17"/>
      <c r="U637" s="17"/>
      <c r="V637" s="17"/>
      <c r="W637" s="17"/>
      <c r="X637" s="15">
        <v>316.75</v>
      </c>
      <c r="Y637" s="17">
        <v>140</v>
      </c>
      <c r="Z637" s="17">
        <v>552.75</v>
      </c>
      <c r="AA637" s="17">
        <v>1211</v>
      </c>
      <c r="AB637" s="12">
        <v>93</v>
      </c>
    </row>
    <row r="638" ht="14.25" spans="1:28">
      <c r="A638" s="13">
        <v>636</v>
      </c>
      <c r="B638" s="15">
        <v>13</v>
      </c>
      <c r="C638" s="16">
        <v>29</v>
      </c>
      <c r="D638" s="17" t="s">
        <v>1280</v>
      </c>
      <c r="E638" s="17" t="s">
        <v>1281</v>
      </c>
      <c r="F638" s="17">
        <v>91</v>
      </c>
      <c r="G638" s="17">
        <v>8620</v>
      </c>
      <c r="H638" s="17">
        <v>87.5</v>
      </c>
      <c r="I638" s="17">
        <v>6415</v>
      </c>
      <c r="J638" s="17">
        <v>82.75</v>
      </c>
      <c r="K638" s="17">
        <v>7077</v>
      </c>
      <c r="L638" s="17">
        <v>45</v>
      </c>
      <c r="M638" s="17">
        <v>5014</v>
      </c>
      <c r="N638" s="17"/>
      <c r="O638" s="17"/>
      <c r="P638" s="17">
        <v>70</v>
      </c>
      <c r="Q638" s="17">
        <v>5445</v>
      </c>
      <c r="R638" s="17">
        <v>87</v>
      </c>
      <c r="S638" s="17">
        <v>883</v>
      </c>
      <c r="T638" s="17"/>
      <c r="U638" s="17"/>
      <c r="V638" s="17"/>
      <c r="W638" s="17"/>
      <c r="X638" s="15">
        <v>261.25</v>
      </c>
      <c r="Y638" s="17">
        <v>576</v>
      </c>
      <c r="Z638" s="17">
        <v>463.25</v>
      </c>
      <c r="AA638" s="17">
        <v>5288</v>
      </c>
      <c r="AB638" s="12">
        <v>497</v>
      </c>
    </row>
    <row r="639" ht="14.25" spans="1:28">
      <c r="A639" s="13">
        <v>637</v>
      </c>
      <c r="B639" s="15">
        <v>13</v>
      </c>
      <c r="C639" s="16">
        <v>30</v>
      </c>
      <c r="D639" s="17" t="s">
        <v>1282</v>
      </c>
      <c r="E639" s="17" t="s">
        <v>1283</v>
      </c>
      <c r="F639" s="17">
        <v>104</v>
      </c>
      <c r="G639" s="17">
        <v>1709</v>
      </c>
      <c r="H639" s="17">
        <v>92.5</v>
      </c>
      <c r="I639" s="17">
        <v>5299</v>
      </c>
      <c r="J639" s="17">
        <v>79.5</v>
      </c>
      <c r="K639" s="17">
        <v>7930</v>
      </c>
      <c r="L639" s="17">
        <v>47.5</v>
      </c>
      <c r="M639" s="17">
        <v>4470</v>
      </c>
      <c r="N639" s="17"/>
      <c r="O639" s="17"/>
      <c r="P639" s="17">
        <v>64</v>
      </c>
      <c r="Q639" s="17">
        <v>7304</v>
      </c>
      <c r="R639" s="17">
        <v>80</v>
      </c>
      <c r="S639" s="17">
        <v>2376</v>
      </c>
      <c r="T639" s="17"/>
      <c r="U639" s="17"/>
      <c r="V639" s="17"/>
      <c r="W639" s="17"/>
      <c r="X639" s="15">
        <v>276</v>
      </c>
      <c r="Y639" s="17">
        <v>490</v>
      </c>
      <c r="Z639" s="17">
        <v>467.5</v>
      </c>
      <c r="AA639" s="17">
        <v>5000</v>
      </c>
      <c r="AB639" s="12">
        <v>470</v>
      </c>
    </row>
    <row r="640" ht="14.25" spans="1:28">
      <c r="A640" s="13">
        <v>638</v>
      </c>
      <c r="B640" s="15">
        <v>13</v>
      </c>
      <c r="C640" s="16">
        <v>31</v>
      </c>
      <c r="D640" s="19" t="s">
        <v>1284</v>
      </c>
      <c r="E640" s="17" t="s">
        <v>847</v>
      </c>
      <c r="F640" s="17">
        <v>95.5</v>
      </c>
      <c r="G640" s="17">
        <v>5877</v>
      </c>
      <c r="H640" s="17">
        <v>104.5</v>
      </c>
      <c r="I640" s="17">
        <v>2895</v>
      </c>
      <c r="J640" s="17">
        <v>95.75</v>
      </c>
      <c r="K640" s="17">
        <v>3946</v>
      </c>
      <c r="L640" s="17">
        <v>64.5</v>
      </c>
      <c r="M640" s="17">
        <v>1506</v>
      </c>
      <c r="N640" s="17"/>
      <c r="O640" s="17"/>
      <c r="P640" s="17">
        <v>88</v>
      </c>
      <c r="Q640" s="17">
        <v>397</v>
      </c>
      <c r="R640" s="17">
        <v>77</v>
      </c>
      <c r="S640" s="17">
        <v>3183</v>
      </c>
      <c r="T640" s="17"/>
      <c r="U640" s="17"/>
      <c r="V640" s="17"/>
      <c r="W640" s="17"/>
      <c r="X640" s="15">
        <v>295.75</v>
      </c>
      <c r="Y640" s="17">
        <v>310</v>
      </c>
      <c r="Z640" s="17">
        <v>525.25</v>
      </c>
      <c r="AA640" s="17">
        <v>2129</v>
      </c>
      <c r="AB640" s="12">
        <v>183</v>
      </c>
    </row>
    <row r="641" ht="14.25" spans="1:28">
      <c r="A641" s="13">
        <v>639</v>
      </c>
      <c r="B641" s="15">
        <v>13</v>
      </c>
      <c r="C641" s="16">
        <v>32</v>
      </c>
      <c r="D641" s="17" t="s">
        <v>1285</v>
      </c>
      <c r="E641" s="17" t="s">
        <v>1286</v>
      </c>
      <c r="F641" s="17">
        <v>106.5</v>
      </c>
      <c r="G641" s="17">
        <v>1059</v>
      </c>
      <c r="H641" s="17">
        <v>133.5</v>
      </c>
      <c r="I641" s="17">
        <v>67</v>
      </c>
      <c r="J641" s="17">
        <v>93</v>
      </c>
      <c r="K641" s="17">
        <v>4548</v>
      </c>
      <c r="L641" s="17">
        <v>75.5</v>
      </c>
      <c r="M641" s="17">
        <v>413</v>
      </c>
      <c r="N641" s="17"/>
      <c r="O641" s="17"/>
      <c r="P641" s="17">
        <v>77</v>
      </c>
      <c r="Q641" s="17">
        <v>3207</v>
      </c>
      <c r="R641" s="17">
        <v>83</v>
      </c>
      <c r="S641" s="17">
        <v>1715</v>
      </c>
      <c r="T641" s="17"/>
      <c r="U641" s="17"/>
      <c r="V641" s="17"/>
      <c r="W641" s="17"/>
      <c r="X641" s="15">
        <v>333</v>
      </c>
      <c r="Y641" s="17">
        <v>56</v>
      </c>
      <c r="Z641" s="17">
        <v>568.5</v>
      </c>
      <c r="AA641" s="17">
        <v>794</v>
      </c>
      <c r="AB641" s="12">
        <v>52</v>
      </c>
    </row>
    <row r="642" ht="14.25" spans="1:28">
      <c r="A642" s="13">
        <v>640</v>
      </c>
      <c r="B642" s="15">
        <v>13</v>
      </c>
      <c r="C642" s="16">
        <v>33</v>
      </c>
      <c r="D642" s="17" t="s">
        <v>1287</v>
      </c>
      <c r="E642" s="17" t="s">
        <v>1288</v>
      </c>
      <c r="F642" s="17">
        <v>101</v>
      </c>
      <c r="G642" s="17">
        <v>2896</v>
      </c>
      <c r="H642" s="17">
        <v>87.5</v>
      </c>
      <c r="I642" s="17">
        <v>6415</v>
      </c>
      <c r="J642" s="17">
        <v>89</v>
      </c>
      <c r="K642" s="17">
        <v>5512</v>
      </c>
      <c r="L642" s="17">
        <v>45</v>
      </c>
      <c r="M642" s="17">
        <v>5014</v>
      </c>
      <c r="N642" s="17"/>
      <c r="O642" s="17"/>
      <c r="P642" s="17">
        <v>57</v>
      </c>
      <c r="Q642" s="17">
        <v>9600</v>
      </c>
      <c r="R642" s="17">
        <v>74</v>
      </c>
      <c r="S642" s="17">
        <v>4119</v>
      </c>
      <c r="T642" s="17"/>
      <c r="U642" s="17"/>
      <c r="V642" s="17"/>
      <c r="W642" s="17"/>
      <c r="X642" s="15">
        <v>277.5</v>
      </c>
      <c r="Y642" s="17">
        <v>480</v>
      </c>
      <c r="Z642" s="17">
        <v>453.5</v>
      </c>
      <c r="AA642" s="17">
        <v>5886</v>
      </c>
      <c r="AB642" s="12">
        <v>531</v>
      </c>
    </row>
    <row r="643" ht="14.25" spans="1:28">
      <c r="A643" s="13">
        <v>641</v>
      </c>
      <c r="B643" s="15">
        <v>13</v>
      </c>
      <c r="C643" s="16">
        <v>34</v>
      </c>
      <c r="D643" s="17" t="s">
        <v>1289</v>
      </c>
      <c r="E643" s="17" t="s">
        <v>1290</v>
      </c>
      <c r="F643" s="17">
        <v>90.5</v>
      </c>
      <c r="G643" s="17">
        <v>8999</v>
      </c>
      <c r="H643" s="17">
        <v>110</v>
      </c>
      <c r="I643" s="17">
        <v>1931</v>
      </c>
      <c r="J643" s="17">
        <v>80</v>
      </c>
      <c r="K643" s="17">
        <v>7802</v>
      </c>
      <c r="L643" s="17">
        <v>42</v>
      </c>
      <c r="M643" s="17">
        <v>5731</v>
      </c>
      <c r="N643" s="17"/>
      <c r="O643" s="17"/>
      <c r="P643" s="17">
        <v>67</v>
      </c>
      <c r="Q643" s="17">
        <v>6384</v>
      </c>
      <c r="R643" s="17">
        <v>86</v>
      </c>
      <c r="S643" s="17">
        <v>1176</v>
      </c>
      <c r="T643" s="17"/>
      <c r="U643" s="17"/>
      <c r="V643" s="17"/>
      <c r="W643" s="17"/>
      <c r="X643" s="15">
        <v>280.5</v>
      </c>
      <c r="Y643" s="17">
        <v>443</v>
      </c>
      <c r="Z643" s="17">
        <v>475.5</v>
      </c>
      <c r="AA643" s="17">
        <v>4513</v>
      </c>
      <c r="AB643" s="12">
        <v>434</v>
      </c>
    </row>
    <row r="644" ht="14.25" spans="1:28">
      <c r="A644" s="13">
        <v>642</v>
      </c>
      <c r="B644" s="15">
        <v>13</v>
      </c>
      <c r="C644" s="16">
        <v>35</v>
      </c>
      <c r="D644" s="17" t="s">
        <v>1291</v>
      </c>
      <c r="E644" s="17" t="s">
        <v>1292</v>
      </c>
      <c r="F644" s="17">
        <v>114.25</v>
      </c>
      <c r="G644" s="17">
        <v>109</v>
      </c>
      <c r="H644" s="17">
        <v>110</v>
      </c>
      <c r="I644" s="17">
        <v>1931</v>
      </c>
      <c r="J644" s="17">
        <v>109.25</v>
      </c>
      <c r="K644" s="17">
        <v>1566</v>
      </c>
      <c r="L644" s="17">
        <v>62.5</v>
      </c>
      <c r="M644" s="17">
        <v>1781</v>
      </c>
      <c r="N644" s="17"/>
      <c r="O644" s="17"/>
      <c r="P644" s="17">
        <v>81</v>
      </c>
      <c r="Q644" s="17">
        <v>2079</v>
      </c>
      <c r="R644" s="17">
        <v>93</v>
      </c>
      <c r="S644" s="17">
        <v>50</v>
      </c>
      <c r="T644" s="17"/>
      <c r="U644" s="17"/>
      <c r="V644" s="17"/>
      <c r="W644" s="17"/>
      <c r="X644" s="15">
        <v>333.5</v>
      </c>
      <c r="Y644" s="17">
        <v>55</v>
      </c>
      <c r="Z644" s="17">
        <v>570</v>
      </c>
      <c r="AA644" s="17">
        <v>744</v>
      </c>
      <c r="AB644" s="12">
        <v>45</v>
      </c>
    </row>
    <row r="645" ht="14.25" spans="1:28">
      <c r="A645" s="13">
        <v>643</v>
      </c>
      <c r="B645" s="15">
        <v>13</v>
      </c>
      <c r="C645" s="16">
        <v>36</v>
      </c>
      <c r="D645" s="17" t="s">
        <v>1293</v>
      </c>
      <c r="E645" s="17" t="s">
        <v>1294</v>
      </c>
      <c r="F645" s="17">
        <v>99.5</v>
      </c>
      <c r="G645" s="17">
        <v>3607</v>
      </c>
      <c r="H645" s="17">
        <v>89</v>
      </c>
      <c r="I645" s="17">
        <v>6077</v>
      </c>
      <c r="J645" s="17">
        <v>86.75</v>
      </c>
      <c r="K645" s="17">
        <v>6087</v>
      </c>
      <c r="L645" s="17">
        <v>49</v>
      </c>
      <c r="M645" s="17">
        <v>4146</v>
      </c>
      <c r="N645" s="17"/>
      <c r="O645" s="17"/>
      <c r="P645" s="17">
        <v>74</v>
      </c>
      <c r="Q645" s="17">
        <v>4168</v>
      </c>
      <c r="R645" s="17">
        <v>74</v>
      </c>
      <c r="S645" s="17">
        <v>4119</v>
      </c>
      <c r="T645" s="17"/>
      <c r="U645" s="17"/>
      <c r="V645" s="17"/>
      <c r="W645" s="17"/>
      <c r="X645" s="15">
        <v>275.25</v>
      </c>
      <c r="Y645" s="17">
        <v>495</v>
      </c>
      <c r="Z645" s="17">
        <v>472.25</v>
      </c>
      <c r="AA645" s="17">
        <v>4710</v>
      </c>
      <c r="AB645" s="12">
        <v>449</v>
      </c>
    </row>
    <row r="646" ht="14.25" spans="1:28">
      <c r="A646" s="13">
        <v>644</v>
      </c>
      <c r="B646" s="15">
        <v>13</v>
      </c>
      <c r="C646" s="16">
        <v>37</v>
      </c>
      <c r="D646" s="17" t="s">
        <v>1295</v>
      </c>
      <c r="E646" s="17" t="s">
        <v>1296</v>
      </c>
      <c r="F646" s="17">
        <v>96.5</v>
      </c>
      <c r="G646" s="17">
        <v>5262</v>
      </c>
      <c r="H646" s="17">
        <v>88</v>
      </c>
      <c r="I646" s="17">
        <v>6299</v>
      </c>
      <c r="J646" s="17">
        <v>91.5</v>
      </c>
      <c r="K646" s="17">
        <v>4916</v>
      </c>
      <c r="L646" s="17">
        <v>59.5</v>
      </c>
      <c r="M646" s="17">
        <v>2274</v>
      </c>
      <c r="N646" s="17"/>
      <c r="O646" s="17"/>
      <c r="P646" s="17">
        <v>75</v>
      </c>
      <c r="Q646" s="17">
        <v>3841</v>
      </c>
      <c r="R646" s="17">
        <v>79</v>
      </c>
      <c r="S646" s="17">
        <v>2629</v>
      </c>
      <c r="T646" s="17"/>
      <c r="U646" s="17"/>
      <c r="V646" s="17"/>
      <c r="W646" s="17"/>
      <c r="X646" s="15">
        <v>276</v>
      </c>
      <c r="Y646" s="17">
        <v>490</v>
      </c>
      <c r="Z646" s="17">
        <v>489.5</v>
      </c>
      <c r="AA646" s="17">
        <v>3772</v>
      </c>
      <c r="AB646" s="12">
        <v>377</v>
      </c>
    </row>
    <row r="647" ht="14.25" spans="1:28">
      <c r="A647" s="13">
        <v>645</v>
      </c>
      <c r="B647" s="15">
        <v>13</v>
      </c>
      <c r="C647" s="16">
        <v>38</v>
      </c>
      <c r="D647" s="17" t="s">
        <v>1297</v>
      </c>
      <c r="E647" s="17" t="s">
        <v>1298</v>
      </c>
      <c r="F647" s="17">
        <v>95.5</v>
      </c>
      <c r="G647" s="17">
        <v>5877</v>
      </c>
      <c r="H647" s="17">
        <v>86.5</v>
      </c>
      <c r="I647" s="17">
        <v>6657</v>
      </c>
      <c r="J647" s="17">
        <v>102</v>
      </c>
      <c r="K647" s="17">
        <v>2685</v>
      </c>
      <c r="L647" s="17">
        <v>57.5</v>
      </c>
      <c r="M647" s="17">
        <v>2619</v>
      </c>
      <c r="N647" s="17"/>
      <c r="O647" s="17"/>
      <c r="P647" s="17">
        <v>84</v>
      </c>
      <c r="Q647" s="17">
        <v>1443</v>
      </c>
      <c r="R647" s="17">
        <v>78</v>
      </c>
      <c r="S647" s="17">
        <v>2906</v>
      </c>
      <c r="T647" s="17"/>
      <c r="U647" s="17"/>
      <c r="V647" s="17"/>
      <c r="W647" s="17"/>
      <c r="X647" s="15">
        <v>284</v>
      </c>
      <c r="Y647" s="17">
        <v>408</v>
      </c>
      <c r="Z647" s="17">
        <v>503.5</v>
      </c>
      <c r="AA647" s="17">
        <v>3078</v>
      </c>
      <c r="AB647" s="12">
        <v>308</v>
      </c>
    </row>
    <row r="648" ht="14.25" spans="1:28">
      <c r="A648" s="13">
        <v>646</v>
      </c>
      <c r="B648" s="15">
        <v>13</v>
      </c>
      <c r="C648" s="16">
        <v>40</v>
      </c>
      <c r="D648" s="17" t="s">
        <v>1299</v>
      </c>
      <c r="E648" s="17" t="s">
        <v>1300</v>
      </c>
      <c r="F648" s="17">
        <v>94</v>
      </c>
      <c r="G648" s="17">
        <v>6811</v>
      </c>
      <c r="H648" s="17">
        <v>108.5</v>
      </c>
      <c r="I648" s="17">
        <v>2198</v>
      </c>
      <c r="J648" s="17">
        <v>76</v>
      </c>
      <c r="K648" s="17">
        <v>8837</v>
      </c>
      <c r="L648" s="17">
        <v>64.5</v>
      </c>
      <c r="M648" s="17">
        <v>1506</v>
      </c>
      <c r="N648" s="17"/>
      <c r="O648" s="17"/>
      <c r="P648" s="17">
        <v>79</v>
      </c>
      <c r="Q648" s="17">
        <v>2632</v>
      </c>
      <c r="R648" s="17">
        <v>90</v>
      </c>
      <c r="S648" s="17">
        <v>255</v>
      </c>
      <c r="T648" s="17"/>
      <c r="U648" s="17"/>
      <c r="V648" s="17"/>
      <c r="W648" s="17"/>
      <c r="X648" s="15">
        <v>278.5</v>
      </c>
      <c r="Y648" s="17">
        <v>462</v>
      </c>
      <c r="Z648" s="17">
        <v>512</v>
      </c>
      <c r="AA648" s="17">
        <v>2673</v>
      </c>
      <c r="AB648" s="12">
        <v>261</v>
      </c>
    </row>
    <row r="649" ht="14.25" spans="1:28">
      <c r="A649" s="13">
        <v>647</v>
      </c>
      <c r="B649" s="15">
        <v>13</v>
      </c>
      <c r="C649" s="16">
        <v>41</v>
      </c>
      <c r="D649" s="17" t="s">
        <v>1301</v>
      </c>
      <c r="E649" s="17" t="s">
        <v>1302</v>
      </c>
      <c r="F649" s="17">
        <v>104</v>
      </c>
      <c r="G649" s="17">
        <v>1709</v>
      </c>
      <c r="H649" s="17">
        <v>94.5</v>
      </c>
      <c r="I649" s="17">
        <v>4840</v>
      </c>
      <c r="J649" s="17">
        <v>70.5</v>
      </c>
      <c r="K649" s="17">
        <v>10192</v>
      </c>
      <c r="L649" s="17">
        <v>49</v>
      </c>
      <c r="M649" s="17">
        <v>4146</v>
      </c>
      <c r="N649" s="17"/>
      <c r="O649" s="17"/>
      <c r="P649" s="17">
        <v>72</v>
      </c>
      <c r="Q649" s="17">
        <v>4881</v>
      </c>
      <c r="R649" s="17">
        <v>78</v>
      </c>
      <c r="S649" s="17">
        <v>2906</v>
      </c>
      <c r="T649" s="17"/>
      <c r="U649" s="17"/>
      <c r="V649" s="17"/>
      <c r="W649" s="17"/>
      <c r="X649" s="15">
        <v>269</v>
      </c>
      <c r="Y649" s="17">
        <v>538</v>
      </c>
      <c r="Z649" s="17">
        <v>468</v>
      </c>
      <c r="AA649" s="17">
        <v>4971</v>
      </c>
      <c r="AB649" s="12">
        <v>467</v>
      </c>
    </row>
    <row r="650" ht="14.25" spans="1:28">
      <c r="A650" s="13">
        <v>648</v>
      </c>
      <c r="B650" s="15">
        <v>13</v>
      </c>
      <c r="C650" s="16">
        <v>42</v>
      </c>
      <c r="D650" s="17" t="s">
        <v>1303</v>
      </c>
      <c r="E650" s="17" t="s">
        <v>1304</v>
      </c>
      <c r="F650" s="17">
        <v>89</v>
      </c>
      <c r="G650" s="17">
        <v>9959</v>
      </c>
      <c r="H650" s="17">
        <v>81</v>
      </c>
      <c r="I650" s="17">
        <v>7859</v>
      </c>
      <c r="J650" s="17">
        <v>72.25</v>
      </c>
      <c r="K650" s="17">
        <v>9814</v>
      </c>
      <c r="L650" s="17">
        <v>34.5</v>
      </c>
      <c r="M650" s="17">
        <v>7899</v>
      </c>
      <c r="N650" s="17"/>
      <c r="O650" s="17"/>
      <c r="P650" s="17">
        <v>64</v>
      </c>
      <c r="Q650" s="17">
        <v>7304</v>
      </c>
      <c r="R650" s="17">
        <v>71</v>
      </c>
      <c r="S650" s="17">
        <v>5151</v>
      </c>
      <c r="T650" s="17"/>
      <c r="U650" s="17"/>
      <c r="V650" s="17"/>
      <c r="W650" s="17"/>
      <c r="X650" s="15">
        <v>242.25</v>
      </c>
      <c r="Y650" s="17">
        <v>625</v>
      </c>
      <c r="Z650" s="17">
        <v>411.75</v>
      </c>
      <c r="AA650" s="17">
        <v>8824</v>
      </c>
      <c r="AB650" s="12">
        <v>629</v>
      </c>
    </row>
    <row r="651" ht="14.25" spans="1:28">
      <c r="A651" s="13">
        <v>649</v>
      </c>
      <c r="B651" s="15">
        <v>13</v>
      </c>
      <c r="C651" s="16">
        <v>43</v>
      </c>
      <c r="D651" s="17" t="s">
        <v>1305</v>
      </c>
      <c r="E651" s="17" t="s">
        <v>1306</v>
      </c>
      <c r="F651" s="17">
        <v>93.5</v>
      </c>
      <c r="G651" s="17">
        <v>7127</v>
      </c>
      <c r="H651" s="17">
        <v>102</v>
      </c>
      <c r="I651" s="17">
        <v>3381</v>
      </c>
      <c r="J651" s="17">
        <v>84</v>
      </c>
      <c r="K651" s="17">
        <v>6761</v>
      </c>
      <c r="L651" s="17">
        <v>32.5</v>
      </c>
      <c r="M651" s="17">
        <v>8567</v>
      </c>
      <c r="N651" s="17"/>
      <c r="O651" s="17"/>
      <c r="P651" s="17">
        <v>64</v>
      </c>
      <c r="Q651" s="17">
        <v>7304</v>
      </c>
      <c r="R651" s="17">
        <v>71</v>
      </c>
      <c r="S651" s="17">
        <v>5151</v>
      </c>
      <c r="T651" s="17"/>
      <c r="U651" s="17"/>
      <c r="V651" s="17"/>
      <c r="W651" s="17"/>
      <c r="X651" s="15">
        <v>279.5</v>
      </c>
      <c r="Y651" s="17">
        <v>451</v>
      </c>
      <c r="Z651" s="17">
        <v>447</v>
      </c>
      <c r="AA651" s="17">
        <v>6327</v>
      </c>
      <c r="AB651" s="12">
        <v>549</v>
      </c>
    </row>
    <row r="652" ht="14.25" spans="1:28">
      <c r="A652" s="13">
        <v>650</v>
      </c>
      <c r="B652" s="15">
        <v>13</v>
      </c>
      <c r="C652" s="16">
        <v>44</v>
      </c>
      <c r="D652" s="17" t="s">
        <v>1307</v>
      </c>
      <c r="E652" s="17" t="s">
        <v>1308</v>
      </c>
      <c r="F652" s="17">
        <v>95.5</v>
      </c>
      <c r="G652" s="17">
        <v>5877</v>
      </c>
      <c r="H652" s="17">
        <v>120.5</v>
      </c>
      <c r="I652" s="17">
        <v>665</v>
      </c>
      <c r="J652" s="17">
        <v>88</v>
      </c>
      <c r="K652" s="17">
        <v>5738</v>
      </c>
      <c r="L652" s="17">
        <v>66.5</v>
      </c>
      <c r="M652" s="17">
        <v>1237</v>
      </c>
      <c r="N652" s="17"/>
      <c r="O652" s="17"/>
      <c r="P652" s="17">
        <v>61</v>
      </c>
      <c r="Q652" s="17">
        <v>8358</v>
      </c>
      <c r="R652" s="17">
        <v>73</v>
      </c>
      <c r="S652" s="17">
        <v>4436</v>
      </c>
      <c r="T652" s="17"/>
      <c r="U652" s="17"/>
      <c r="V652" s="17"/>
      <c r="W652" s="17"/>
      <c r="X652" s="15">
        <v>304</v>
      </c>
      <c r="Y652" s="17">
        <v>245</v>
      </c>
      <c r="Z652" s="17">
        <v>504.5</v>
      </c>
      <c r="AA652" s="17">
        <v>3031</v>
      </c>
      <c r="AB652" s="12">
        <v>301</v>
      </c>
    </row>
    <row r="653" ht="14.25" spans="1:28">
      <c r="A653" s="13">
        <v>651</v>
      </c>
      <c r="B653" s="15">
        <v>13</v>
      </c>
      <c r="C653" s="16">
        <v>45</v>
      </c>
      <c r="D653" s="17" t="s">
        <v>1309</v>
      </c>
      <c r="E653" s="17" t="s">
        <v>1310</v>
      </c>
      <c r="F653" s="17">
        <v>96.5</v>
      </c>
      <c r="G653" s="17">
        <v>5262</v>
      </c>
      <c r="H653" s="17">
        <v>97.5</v>
      </c>
      <c r="I653" s="17">
        <v>4244</v>
      </c>
      <c r="J653" s="17">
        <v>98</v>
      </c>
      <c r="K653" s="17">
        <v>3454</v>
      </c>
      <c r="L653" s="17">
        <v>60.5</v>
      </c>
      <c r="M653" s="17">
        <v>2106</v>
      </c>
      <c r="N653" s="17"/>
      <c r="O653" s="17"/>
      <c r="P653" s="17">
        <v>74</v>
      </c>
      <c r="Q653" s="17">
        <v>4168</v>
      </c>
      <c r="R653" s="17">
        <v>80</v>
      </c>
      <c r="S653" s="17">
        <v>2376</v>
      </c>
      <c r="T653" s="17"/>
      <c r="U653" s="17"/>
      <c r="V653" s="17"/>
      <c r="W653" s="17"/>
      <c r="X653" s="15">
        <v>292</v>
      </c>
      <c r="Y653" s="17">
        <v>350</v>
      </c>
      <c r="Z653" s="17">
        <v>506.5</v>
      </c>
      <c r="AA653" s="17">
        <v>2930</v>
      </c>
      <c r="AB653" s="12">
        <v>288</v>
      </c>
    </row>
    <row r="654" ht="14.25" spans="1:28">
      <c r="A654" s="13">
        <v>652</v>
      </c>
      <c r="B654" s="15">
        <v>13</v>
      </c>
      <c r="C654" s="16">
        <v>46</v>
      </c>
      <c r="D654" s="17" t="s">
        <v>1311</v>
      </c>
      <c r="E654" s="17" t="s">
        <v>1312</v>
      </c>
      <c r="F654" s="17">
        <v>98.25</v>
      </c>
      <c r="G654" s="17">
        <v>4392</v>
      </c>
      <c r="H654" s="17">
        <v>84</v>
      </c>
      <c r="I654" s="17">
        <v>7206</v>
      </c>
      <c r="J654" s="17">
        <v>90</v>
      </c>
      <c r="K654" s="17">
        <v>5256</v>
      </c>
      <c r="L654" s="17">
        <v>56</v>
      </c>
      <c r="M654" s="17">
        <v>2878</v>
      </c>
      <c r="N654" s="17"/>
      <c r="O654" s="17"/>
      <c r="P654" s="17">
        <v>82</v>
      </c>
      <c r="Q654" s="17">
        <v>1870</v>
      </c>
      <c r="R654" s="17">
        <v>78</v>
      </c>
      <c r="S654" s="17">
        <v>2906</v>
      </c>
      <c r="T654" s="17"/>
      <c r="U654" s="17"/>
      <c r="V654" s="17"/>
      <c r="W654" s="17"/>
      <c r="X654" s="15">
        <v>272.25</v>
      </c>
      <c r="Y654" s="17">
        <v>513</v>
      </c>
      <c r="Z654" s="17">
        <v>488.25</v>
      </c>
      <c r="AA654" s="17">
        <v>3834</v>
      </c>
      <c r="AB654" s="12">
        <v>385</v>
      </c>
    </row>
    <row r="655" ht="14.25" spans="1:28">
      <c r="A655" s="13">
        <v>653</v>
      </c>
      <c r="B655" s="15">
        <v>13</v>
      </c>
      <c r="C655" s="16">
        <v>47</v>
      </c>
      <c r="D655" s="17" t="s">
        <v>1313</v>
      </c>
      <c r="E655" s="17" t="s">
        <v>1314</v>
      </c>
      <c r="F655" s="17">
        <v>99.5</v>
      </c>
      <c r="G655" s="17">
        <v>3607</v>
      </c>
      <c r="H655" s="17">
        <v>107.5</v>
      </c>
      <c r="I655" s="17">
        <v>2373</v>
      </c>
      <c r="J655" s="17">
        <v>85.5</v>
      </c>
      <c r="K655" s="17">
        <v>6376</v>
      </c>
      <c r="L655" s="17">
        <v>47</v>
      </c>
      <c r="M655" s="17">
        <v>4568</v>
      </c>
      <c r="N655" s="17"/>
      <c r="O655" s="17"/>
      <c r="P655" s="17">
        <v>74</v>
      </c>
      <c r="Q655" s="17">
        <v>4168</v>
      </c>
      <c r="R655" s="17">
        <v>75</v>
      </c>
      <c r="S655" s="17">
        <v>3790</v>
      </c>
      <c r="T655" s="17"/>
      <c r="U655" s="17"/>
      <c r="V655" s="17"/>
      <c r="W655" s="17"/>
      <c r="X655" s="15">
        <v>292.5</v>
      </c>
      <c r="Y655" s="17">
        <v>345</v>
      </c>
      <c r="Z655" s="17">
        <v>488.5</v>
      </c>
      <c r="AA655" s="17">
        <v>3823</v>
      </c>
      <c r="AB655" s="12">
        <v>383</v>
      </c>
    </row>
    <row r="656" ht="14.25" spans="1:28">
      <c r="A656" s="13">
        <v>654</v>
      </c>
      <c r="B656" s="15">
        <v>13</v>
      </c>
      <c r="C656" s="16">
        <v>48</v>
      </c>
      <c r="D656" s="17" t="s">
        <v>1315</v>
      </c>
      <c r="E656" s="17" t="s">
        <v>1316</v>
      </c>
      <c r="F656" s="17">
        <v>110</v>
      </c>
      <c r="G656" s="17">
        <v>430</v>
      </c>
      <c r="H656" s="17">
        <v>121</v>
      </c>
      <c r="I656" s="17">
        <v>621</v>
      </c>
      <c r="J656" s="17">
        <v>99.25</v>
      </c>
      <c r="K656" s="17">
        <v>3211</v>
      </c>
      <c r="L656" s="17">
        <v>67</v>
      </c>
      <c r="M656" s="17">
        <v>1188</v>
      </c>
      <c r="N656" s="17"/>
      <c r="O656" s="17"/>
      <c r="P656" s="17">
        <v>87</v>
      </c>
      <c r="Q656" s="17">
        <v>681</v>
      </c>
      <c r="R656" s="17">
        <v>88</v>
      </c>
      <c r="S656" s="17">
        <v>601</v>
      </c>
      <c r="T656" s="17"/>
      <c r="U656" s="17"/>
      <c r="V656" s="17"/>
      <c r="W656" s="17"/>
      <c r="X656" s="15">
        <v>330.25</v>
      </c>
      <c r="Y656" s="17">
        <v>65</v>
      </c>
      <c r="Z656" s="17">
        <v>572.25</v>
      </c>
      <c r="AA656" s="17">
        <v>700</v>
      </c>
      <c r="AB656" s="12">
        <v>40</v>
      </c>
    </row>
    <row r="657" ht="14.25" spans="1:28">
      <c r="A657" s="13">
        <v>655</v>
      </c>
      <c r="B657" s="15">
        <v>13</v>
      </c>
      <c r="C657" s="16">
        <v>49</v>
      </c>
      <c r="D657" s="17" t="s">
        <v>1317</v>
      </c>
      <c r="E657" s="17" t="s">
        <v>1318</v>
      </c>
      <c r="F657" s="17">
        <v>91.5</v>
      </c>
      <c r="G657" s="17">
        <v>8306</v>
      </c>
      <c r="H657" s="17">
        <v>114.5</v>
      </c>
      <c r="I657" s="17">
        <v>1277</v>
      </c>
      <c r="J657" s="17">
        <v>88.5</v>
      </c>
      <c r="K657" s="17">
        <v>5628</v>
      </c>
      <c r="L657" s="17">
        <v>33</v>
      </c>
      <c r="M657" s="17">
        <v>8387</v>
      </c>
      <c r="N657" s="17"/>
      <c r="O657" s="17"/>
      <c r="P657" s="17">
        <v>87</v>
      </c>
      <c r="Q657" s="17">
        <v>681</v>
      </c>
      <c r="R657" s="17">
        <v>71</v>
      </c>
      <c r="S657" s="17">
        <v>5151</v>
      </c>
      <c r="T657" s="17"/>
      <c r="U657" s="17"/>
      <c r="V657" s="17"/>
      <c r="W657" s="17"/>
      <c r="X657" s="15">
        <v>294.5</v>
      </c>
      <c r="Y657" s="17">
        <v>321</v>
      </c>
      <c r="Z657" s="17">
        <v>485.5</v>
      </c>
      <c r="AA657" s="17">
        <v>3956</v>
      </c>
      <c r="AB657" s="12">
        <v>395</v>
      </c>
    </row>
    <row r="658" ht="14.25" spans="1:28">
      <c r="A658" s="13">
        <v>656</v>
      </c>
      <c r="B658" s="15">
        <v>13</v>
      </c>
      <c r="C658" s="16">
        <v>50</v>
      </c>
      <c r="D658" s="17" t="s">
        <v>1319</v>
      </c>
      <c r="E658" s="17" t="s">
        <v>1320</v>
      </c>
      <c r="F658" s="17">
        <v>99.5</v>
      </c>
      <c r="G658" s="17">
        <v>3607</v>
      </c>
      <c r="H658" s="17">
        <v>78</v>
      </c>
      <c r="I658" s="17">
        <v>8424</v>
      </c>
      <c r="J658" s="17">
        <v>59.75</v>
      </c>
      <c r="K658" s="17">
        <v>12508</v>
      </c>
      <c r="L658" s="17">
        <v>37.5</v>
      </c>
      <c r="M658" s="17">
        <v>6979</v>
      </c>
      <c r="N658" s="17"/>
      <c r="O658" s="17"/>
      <c r="P658" s="17">
        <v>72</v>
      </c>
      <c r="Q658" s="17">
        <v>4881</v>
      </c>
      <c r="R658" s="17">
        <v>87</v>
      </c>
      <c r="S658" s="17">
        <v>883</v>
      </c>
      <c r="T658" s="17"/>
      <c r="U658" s="17"/>
      <c r="V658" s="17"/>
      <c r="W658" s="17"/>
      <c r="X658" s="15">
        <v>237.25</v>
      </c>
      <c r="Y658" s="17">
        <v>636</v>
      </c>
      <c r="Z658" s="17">
        <v>433.75</v>
      </c>
      <c r="AA658" s="17">
        <v>7239</v>
      </c>
      <c r="AB658" s="12">
        <v>591</v>
      </c>
    </row>
    <row r="659" ht="14.25" spans="1:28">
      <c r="A659" s="13">
        <v>657</v>
      </c>
      <c r="B659" s="15">
        <v>13</v>
      </c>
      <c r="C659" s="16">
        <v>51</v>
      </c>
      <c r="D659" s="17" t="s">
        <v>1321</v>
      </c>
      <c r="E659" s="17" t="s">
        <v>1322</v>
      </c>
      <c r="F659" s="17">
        <v>93</v>
      </c>
      <c r="G659" s="17">
        <v>7407</v>
      </c>
      <c r="H659" s="17">
        <v>101.5</v>
      </c>
      <c r="I659" s="17">
        <v>3477</v>
      </c>
      <c r="J659" s="17">
        <v>97.5</v>
      </c>
      <c r="K659" s="17">
        <v>3545</v>
      </c>
      <c r="L659" s="17">
        <v>62</v>
      </c>
      <c r="M659" s="17">
        <v>1839</v>
      </c>
      <c r="N659" s="17"/>
      <c r="O659" s="17"/>
      <c r="P659" s="17">
        <v>67</v>
      </c>
      <c r="Q659" s="17">
        <v>6384</v>
      </c>
      <c r="R659" s="17">
        <v>81</v>
      </c>
      <c r="S659" s="17">
        <v>2139</v>
      </c>
      <c r="T659" s="17"/>
      <c r="U659" s="17"/>
      <c r="V659" s="17"/>
      <c r="W659" s="17"/>
      <c r="X659" s="15">
        <v>292</v>
      </c>
      <c r="Y659" s="17">
        <v>350</v>
      </c>
      <c r="Z659" s="17">
        <v>502</v>
      </c>
      <c r="AA659" s="17">
        <v>3150</v>
      </c>
      <c r="AB659" s="12">
        <v>316</v>
      </c>
    </row>
    <row r="660" ht="14.25" spans="1:28">
      <c r="A660" s="13">
        <v>658</v>
      </c>
      <c r="B660" s="15">
        <v>13</v>
      </c>
      <c r="C660" s="16">
        <v>52</v>
      </c>
      <c r="D660" s="17" t="s">
        <v>1323</v>
      </c>
      <c r="E660" s="17" t="s">
        <v>1324</v>
      </c>
      <c r="F660" s="17">
        <v>103</v>
      </c>
      <c r="G660" s="17">
        <v>2094</v>
      </c>
      <c r="H660" s="17">
        <v>101.5</v>
      </c>
      <c r="I660" s="17">
        <v>3477</v>
      </c>
      <c r="J660" s="17">
        <v>93.5</v>
      </c>
      <c r="K660" s="17">
        <v>4431</v>
      </c>
      <c r="L660" s="17">
        <v>66</v>
      </c>
      <c r="M660" s="17">
        <v>1304</v>
      </c>
      <c r="N660" s="17"/>
      <c r="O660" s="17"/>
      <c r="P660" s="17">
        <v>74</v>
      </c>
      <c r="Q660" s="17">
        <v>4168</v>
      </c>
      <c r="R660" s="17">
        <v>87</v>
      </c>
      <c r="S660" s="17">
        <v>883</v>
      </c>
      <c r="T660" s="17"/>
      <c r="U660" s="17"/>
      <c r="V660" s="17"/>
      <c r="W660" s="17"/>
      <c r="X660" s="15">
        <v>298</v>
      </c>
      <c r="Y660" s="17">
        <v>293</v>
      </c>
      <c r="Z660" s="17">
        <v>525</v>
      </c>
      <c r="AA660" s="17">
        <v>2137</v>
      </c>
      <c r="AB660" s="12">
        <v>186</v>
      </c>
    </row>
    <row r="661" ht="14.25" spans="1:28">
      <c r="A661" s="13">
        <v>659</v>
      </c>
      <c r="B661" s="15">
        <v>13</v>
      </c>
      <c r="C661" s="16">
        <v>53</v>
      </c>
      <c r="D661" s="17" t="s">
        <v>1325</v>
      </c>
      <c r="E661" s="17" t="s">
        <v>49</v>
      </c>
      <c r="F661" s="17">
        <v>83</v>
      </c>
      <c r="G661" s="17">
        <v>13396</v>
      </c>
      <c r="H661" s="17">
        <v>104</v>
      </c>
      <c r="I661" s="17">
        <v>2999</v>
      </c>
      <c r="J661" s="17">
        <v>70.5</v>
      </c>
      <c r="K661" s="17">
        <v>10192</v>
      </c>
      <c r="L661" s="17">
        <v>60</v>
      </c>
      <c r="M661" s="17">
        <v>2185</v>
      </c>
      <c r="N661" s="17"/>
      <c r="O661" s="17"/>
      <c r="P661" s="17">
        <v>74</v>
      </c>
      <c r="Q661" s="17">
        <v>4168</v>
      </c>
      <c r="R661" s="17">
        <v>80</v>
      </c>
      <c r="S661" s="17">
        <v>2376</v>
      </c>
      <c r="T661" s="17"/>
      <c r="U661" s="17"/>
      <c r="V661" s="17"/>
      <c r="W661" s="17"/>
      <c r="X661" s="15">
        <v>257.5</v>
      </c>
      <c r="Y661" s="17">
        <v>590</v>
      </c>
      <c r="Z661" s="17">
        <v>471.5</v>
      </c>
      <c r="AA661" s="17">
        <v>4755</v>
      </c>
      <c r="AB661" s="12">
        <v>453</v>
      </c>
    </row>
    <row r="662" ht="14.25" spans="1:28">
      <c r="A662" s="13">
        <v>660</v>
      </c>
      <c r="B662" s="15">
        <v>13</v>
      </c>
      <c r="C662" s="16">
        <v>54</v>
      </c>
      <c r="D662" s="17" t="s">
        <v>1326</v>
      </c>
      <c r="E662" s="17" t="s">
        <v>1327</v>
      </c>
      <c r="F662" s="17">
        <v>97</v>
      </c>
      <c r="G662" s="17">
        <v>4967</v>
      </c>
      <c r="H662" s="17">
        <v>113.5</v>
      </c>
      <c r="I662" s="17">
        <v>1397</v>
      </c>
      <c r="J662" s="17">
        <v>94.25</v>
      </c>
      <c r="K662" s="17">
        <v>4296</v>
      </c>
      <c r="L662" s="17">
        <v>55</v>
      </c>
      <c r="M662" s="17">
        <v>3031</v>
      </c>
      <c r="N662" s="17"/>
      <c r="O662" s="17"/>
      <c r="P662" s="17">
        <v>80</v>
      </c>
      <c r="Q662" s="17">
        <v>2333</v>
      </c>
      <c r="R662" s="17">
        <v>83</v>
      </c>
      <c r="S662" s="17">
        <v>1715</v>
      </c>
      <c r="T662" s="17"/>
      <c r="U662" s="17"/>
      <c r="V662" s="17"/>
      <c r="W662" s="17"/>
      <c r="X662" s="15">
        <v>304.75</v>
      </c>
      <c r="Y662" s="17">
        <v>238</v>
      </c>
      <c r="Z662" s="17">
        <v>522.75</v>
      </c>
      <c r="AA662" s="17">
        <v>2255</v>
      </c>
      <c r="AB662" s="12">
        <v>204</v>
      </c>
    </row>
    <row r="663" ht="14.25" spans="1:28">
      <c r="A663" s="13">
        <v>661</v>
      </c>
      <c r="B663" s="15">
        <v>13</v>
      </c>
      <c r="C663" s="16">
        <v>55</v>
      </c>
      <c r="D663" s="17" t="s">
        <v>1328</v>
      </c>
      <c r="E663" s="17" t="s">
        <v>1329</v>
      </c>
      <c r="F663" s="17">
        <v>97.5</v>
      </c>
      <c r="G663" s="17">
        <v>4695</v>
      </c>
      <c r="H663" s="17">
        <v>103.5</v>
      </c>
      <c r="I663" s="17">
        <v>3096</v>
      </c>
      <c r="J663" s="17">
        <v>72</v>
      </c>
      <c r="K663" s="17">
        <v>9847</v>
      </c>
      <c r="L663" s="17">
        <v>49.5</v>
      </c>
      <c r="M663" s="17">
        <v>4044</v>
      </c>
      <c r="N663" s="17"/>
      <c r="O663" s="17"/>
      <c r="P663" s="17">
        <v>68</v>
      </c>
      <c r="Q663" s="17">
        <v>6016</v>
      </c>
      <c r="R663" s="17">
        <v>77</v>
      </c>
      <c r="S663" s="17">
        <v>3183</v>
      </c>
      <c r="T663" s="17"/>
      <c r="U663" s="17"/>
      <c r="V663" s="17"/>
      <c r="W663" s="17"/>
      <c r="X663" s="15">
        <v>273</v>
      </c>
      <c r="Y663" s="17">
        <v>508</v>
      </c>
      <c r="Z663" s="17">
        <v>467.5</v>
      </c>
      <c r="AA663" s="17">
        <v>5000</v>
      </c>
      <c r="AB663" s="12">
        <v>470</v>
      </c>
    </row>
    <row r="664" ht="14.25" spans="1:28">
      <c r="A664" s="13">
        <v>662</v>
      </c>
      <c r="B664" s="15">
        <v>13</v>
      </c>
      <c r="C664" s="16">
        <v>56</v>
      </c>
      <c r="D664" s="17" t="s">
        <v>1330</v>
      </c>
      <c r="E664" s="17" t="s">
        <v>1331</v>
      </c>
      <c r="F664" s="17">
        <v>103.5</v>
      </c>
      <c r="G664" s="17">
        <v>1897</v>
      </c>
      <c r="H664" s="17">
        <v>73</v>
      </c>
      <c r="I664" s="17">
        <v>9411</v>
      </c>
      <c r="J664" s="17">
        <v>87</v>
      </c>
      <c r="K664" s="17">
        <v>5999</v>
      </c>
      <c r="L664" s="17">
        <v>27.5</v>
      </c>
      <c r="M664" s="17">
        <v>10504</v>
      </c>
      <c r="N664" s="17"/>
      <c r="O664" s="17"/>
      <c r="P664" s="17">
        <v>68</v>
      </c>
      <c r="Q664" s="17">
        <v>6016</v>
      </c>
      <c r="R664" s="17">
        <v>72</v>
      </c>
      <c r="S664" s="17">
        <v>4793</v>
      </c>
      <c r="T664" s="17"/>
      <c r="U664" s="17"/>
      <c r="V664" s="17"/>
      <c r="W664" s="17"/>
      <c r="X664" s="15">
        <v>263.5</v>
      </c>
      <c r="Y664" s="17">
        <v>563</v>
      </c>
      <c r="Z664" s="17">
        <v>431</v>
      </c>
      <c r="AA664" s="17">
        <v>7418</v>
      </c>
      <c r="AB664" s="12">
        <v>595</v>
      </c>
    </row>
    <row r="665" ht="14.25" spans="1:28">
      <c r="A665" s="13">
        <v>663</v>
      </c>
      <c r="B665" s="15">
        <v>13</v>
      </c>
      <c r="C665" s="16">
        <v>58</v>
      </c>
      <c r="D665" s="17" t="s">
        <v>1332</v>
      </c>
      <c r="E665" s="17" t="s">
        <v>1333</v>
      </c>
      <c r="F665" s="17">
        <v>94.5</v>
      </c>
      <c r="G665" s="17">
        <v>6496</v>
      </c>
      <c r="H665" s="17">
        <v>67.5</v>
      </c>
      <c r="I665" s="17">
        <v>10411</v>
      </c>
      <c r="J665" s="17">
        <v>82.5</v>
      </c>
      <c r="K665" s="17">
        <v>7120</v>
      </c>
      <c r="L665" s="17">
        <v>42.5</v>
      </c>
      <c r="M665" s="17">
        <v>5605</v>
      </c>
      <c r="N665" s="17"/>
      <c r="O665" s="17"/>
      <c r="P665" s="17">
        <v>69</v>
      </c>
      <c r="Q665" s="17">
        <v>5655</v>
      </c>
      <c r="R665" s="17">
        <v>75</v>
      </c>
      <c r="S665" s="17">
        <v>3790</v>
      </c>
      <c r="T665" s="17"/>
      <c r="U665" s="17"/>
      <c r="V665" s="17"/>
      <c r="W665" s="17"/>
      <c r="X665" s="15">
        <v>244.5</v>
      </c>
      <c r="Y665" s="17">
        <v>618</v>
      </c>
      <c r="Z665" s="17">
        <v>431</v>
      </c>
      <c r="AA665" s="17">
        <v>7418</v>
      </c>
      <c r="AB665" s="12">
        <v>595</v>
      </c>
    </row>
    <row r="666" ht="14.25" spans="1:28">
      <c r="A666" s="13">
        <v>664</v>
      </c>
      <c r="B666" s="15">
        <v>14</v>
      </c>
      <c r="C666" s="16">
        <v>1</v>
      </c>
      <c r="D666" s="15" t="s">
        <v>1334</v>
      </c>
      <c r="E666" s="15" t="s">
        <v>1335</v>
      </c>
      <c r="F666" s="21">
        <v>98</v>
      </c>
      <c r="G666" s="21">
        <v>1207</v>
      </c>
      <c r="H666" s="21">
        <v>79.5</v>
      </c>
      <c r="I666" s="21">
        <v>762</v>
      </c>
      <c r="J666" s="21">
        <v>95.75</v>
      </c>
      <c r="K666" s="21">
        <v>897</v>
      </c>
      <c r="L666" s="21"/>
      <c r="M666" s="21"/>
      <c r="N666" s="21">
        <v>68.5</v>
      </c>
      <c r="O666" s="21">
        <v>82</v>
      </c>
      <c r="P666" s="21"/>
      <c r="Q666" s="21"/>
      <c r="R666" s="21"/>
      <c r="S666" s="21"/>
      <c r="T666" s="21">
        <v>85</v>
      </c>
      <c r="U666" s="21">
        <v>537</v>
      </c>
      <c r="V666" s="21">
        <v>62</v>
      </c>
      <c r="W666" s="21">
        <v>766</v>
      </c>
      <c r="X666" s="21">
        <v>273.25</v>
      </c>
      <c r="Y666" s="21">
        <v>160</v>
      </c>
      <c r="Z666" s="21">
        <v>488.75</v>
      </c>
      <c r="AA666" s="21">
        <v>685</v>
      </c>
      <c r="AB666" s="12">
        <v>153</v>
      </c>
    </row>
    <row r="667" ht="14.25" spans="1:28">
      <c r="A667" s="13">
        <v>665</v>
      </c>
      <c r="B667" s="15">
        <v>14</v>
      </c>
      <c r="C667" s="16">
        <v>2</v>
      </c>
      <c r="D667" s="15" t="s">
        <v>1336</v>
      </c>
      <c r="E667" s="15" t="s">
        <v>1337</v>
      </c>
      <c r="F667" s="21">
        <v>98</v>
      </c>
      <c r="G667" s="21">
        <v>1207</v>
      </c>
      <c r="H667" s="21">
        <v>94.5</v>
      </c>
      <c r="I667" s="21">
        <v>381</v>
      </c>
      <c r="J667" s="21">
        <v>106</v>
      </c>
      <c r="K667" s="21">
        <v>510</v>
      </c>
      <c r="L667" s="21"/>
      <c r="M667" s="21"/>
      <c r="N667" s="21">
        <v>70</v>
      </c>
      <c r="O667" s="21">
        <v>52</v>
      </c>
      <c r="P667" s="21"/>
      <c r="Q667" s="21"/>
      <c r="R667" s="21"/>
      <c r="S667" s="21"/>
      <c r="T667" s="21">
        <v>75</v>
      </c>
      <c r="U667" s="21">
        <v>1272</v>
      </c>
      <c r="V667" s="21">
        <v>65</v>
      </c>
      <c r="W667" s="21">
        <v>652</v>
      </c>
      <c r="X667" s="21">
        <v>298.5</v>
      </c>
      <c r="Y667" s="21">
        <v>102</v>
      </c>
      <c r="Z667" s="21">
        <v>508.5</v>
      </c>
      <c r="AA667" s="21">
        <v>501</v>
      </c>
      <c r="AB667" s="12">
        <v>120</v>
      </c>
    </row>
    <row r="668" ht="14.25" spans="1:28">
      <c r="A668" s="13">
        <v>666</v>
      </c>
      <c r="B668" s="15">
        <v>14</v>
      </c>
      <c r="C668" s="16">
        <v>3</v>
      </c>
      <c r="D668" s="15" t="s">
        <v>1338</v>
      </c>
      <c r="E668" s="15" t="s">
        <v>1339</v>
      </c>
      <c r="F668" s="21">
        <v>102.5</v>
      </c>
      <c r="G668" s="21">
        <v>686</v>
      </c>
      <c r="H668" s="21">
        <v>117.5</v>
      </c>
      <c r="I668" s="21">
        <v>50</v>
      </c>
      <c r="J668" s="21">
        <v>108</v>
      </c>
      <c r="K668" s="21">
        <v>449</v>
      </c>
      <c r="L668" s="21"/>
      <c r="M668" s="21"/>
      <c r="N668" s="21">
        <v>46</v>
      </c>
      <c r="O668" s="21">
        <v>2109</v>
      </c>
      <c r="P668" s="21"/>
      <c r="Q668" s="21"/>
      <c r="R668" s="21"/>
      <c r="S668" s="21"/>
      <c r="T668" s="21">
        <v>90</v>
      </c>
      <c r="U668" s="21">
        <v>80</v>
      </c>
      <c r="V668" s="21">
        <v>71</v>
      </c>
      <c r="W668" s="21">
        <v>422</v>
      </c>
      <c r="X668" s="21">
        <v>328</v>
      </c>
      <c r="Y668" s="21">
        <v>27</v>
      </c>
      <c r="Z668" s="21">
        <v>535</v>
      </c>
      <c r="AA668" s="21">
        <v>312</v>
      </c>
      <c r="AB668" s="12">
        <v>67</v>
      </c>
    </row>
    <row r="669" ht="14.25" spans="1:28">
      <c r="A669" s="13">
        <v>667</v>
      </c>
      <c r="B669" s="15">
        <v>14</v>
      </c>
      <c r="C669" s="16">
        <v>4</v>
      </c>
      <c r="D669" s="15" t="s">
        <v>1340</v>
      </c>
      <c r="E669" s="15" t="s">
        <v>1341</v>
      </c>
      <c r="F669" s="21">
        <v>100.75</v>
      </c>
      <c r="G669" s="21">
        <v>893</v>
      </c>
      <c r="H669" s="21">
        <v>110</v>
      </c>
      <c r="I669" s="21">
        <v>132</v>
      </c>
      <c r="J669" s="21">
        <v>115.75</v>
      </c>
      <c r="K669" s="21">
        <v>253</v>
      </c>
      <c r="L669" s="21"/>
      <c r="M669" s="21"/>
      <c r="N669" s="21">
        <v>56</v>
      </c>
      <c r="O669" s="21">
        <v>804</v>
      </c>
      <c r="P669" s="21"/>
      <c r="Q669" s="21"/>
      <c r="R669" s="21"/>
      <c r="S669" s="21"/>
      <c r="T669" s="21">
        <v>85</v>
      </c>
      <c r="U669" s="21">
        <v>537</v>
      </c>
      <c r="V669" s="21">
        <v>73</v>
      </c>
      <c r="W669" s="21">
        <v>356</v>
      </c>
      <c r="X669" s="22">
        <v>326.5</v>
      </c>
      <c r="Y669" s="22">
        <v>31</v>
      </c>
      <c r="Z669" s="21">
        <v>540.5</v>
      </c>
      <c r="AA669" s="21">
        <v>286</v>
      </c>
      <c r="AB669" s="12">
        <v>57</v>
      </c>
    </row>
    <row r="670" ht="14.25" spans="1:28">
      <c r="A670" s="13">
        <v>668</v>
      </c>
      <c r="B670" s="15">
        <v>14</v>
      </c>
      <c r="C670" s="16">
        <v>6</v>
      </c>
      <c r="D670" s="15" t="s">
        <v>1342</v>
      </c>
      <c r="E670" s="15" t="s">
        <v>1343</v>
      </c>
      <c r="F670" s="21">
        <v>109.5</v>
      </c>
      <c r="G670" s="21">
        <v>183</v>
      </c>
      <c r="H670" s="21">
        <v>95.5</v>
      </c>
      <c r="I670" s="21">
        <v>360</v>
      </c>
      <c r="J670" s="21">
        <v>108.25</v>
      </c>
      <c r="K670" s="21">
        <v>445</v>
      </c>
      <c r="L670" s="21"/>
      <c r="M670" s="21"/>
      <c r="N670" s="21">
        <v>53.5</v>
      </c>
      <c r="O670" s="21">
        <v>1111</v>
      </c>
      <c r="P670" s="21"/>
      <c r="Q670" s="21"/>
      <c r="R670" s="21"/>
      <c r="S670" s="21"/>
      <c r="T670" s="21">
        <v>88</v>
      </c>
      <c r="U670" s="21">
        <v>227</v>
      </c>
      <c r="V670" s="21">
        <v>80</v>
      </c>
      <c r="W670" s="21">
        <v>158</v>
      </c>
      <c r="X670" s="22">
        <v>313.25</v>
      </c>
      <c r="Y670" s="22">
        <v>61</v>
      </c>
      <c r="Z670" s="21">
        <v>534.75</v>
      </c>
      <c r="AA670" s="21">
        <v>314</v>
      </c>
      <c r="AB670" s="12">
        <v>68</v>
      </c>
    </row>
    <row r="671" ht="14.25" spans="1:28">
      <c r="A671" s="13">
        <v>669</v>
      </c>
      <c r="B671" s="15">
        <v>14</v>
      </c>
      <c r="C671" s="16">
        <v>8</v>
      </c>
      <c r="D671" s="15" t="s">
        <v>1344</v>
      </c>
      <c r="E671" s="15" t="s">
        <v>1345</v>
      </c>
      <c r="F671" s="21">
        <v>88.5</v>
      </c>
      <c r="G671" s="21">
        <v>2571</v>
      </c>
      <c r="H671" s="21">
        <v>69.5</v>
      </c>
      <c r="I671" s="21">
        <v>1066</v>
      </c>
      <c r="J671" s="21">
        <v>88.5</v>
      </c>
      <c r="K671" s="21">
        <v>1209</v>
      </c>
      <c r="L671" s="21"/>
      <c r="M671" s="21"/>
      <c r="N671" s="21">
        <v>61</v>
      </c>
      <c r="O671" s="21">
        <v>392</v>
      </c>
      <c r="P671" s="21"/>
      <c r="Q671" s="21"/>
      <c r="R671" s="21"/>
      <c r="S671" s="21"/>
      <c r="T671" s="21">
        <v>82</v>
      </c>
      <c r="U671" s="21">
        <v>702</v>
      </c>
      <c r="V671" s="21">
        <v>66</v>
      </c>
      <c r="W671" s="21">
        <v>594</v>
      </c>
      <c r="X671" s="22">
        <v>246.5</v>
      </c>
      <c r="Y671" s="22">
        <v>197</v>
      </c>
      <c r="Z671" s="21">
        <v>455.5</v>
      </c>
      <c r="AA671" s="21">
        <v>1073</v>
      </c>
      <c r="AB671" s="12">
        <v>189</v>
      </c>
    </row>
    <row r="672" ht="14.25" spans="1:28">
      <c r="A672" s="13">
        <v>670</v>
      </c>
      <c r="B672" s="15">
        <v>14</v>
      </c>
      <c r="C672" s="16">
        <v>9</v>
      </c>
      <c r="D672" s="15" t="s">
        <v>1346</v>
      </c>
      <c r="E672" s="15" t="s">
        <v>1347</v>
      </c>
      <c r="F672" s="21">
        <v>108</v>
      </c>
      <c r="G672" s="21">
        <v>247</v>
      </c>
      <c r="H672" s="21">
        <v>82</v>
      </c>
      <c r="I672" s="21">
        <v>685</v>
      </c>
      <c r="J672" s="21">
        <v>104.5</v>
      </c>
      <c r="K672" s="21">
        <v>556</v>
      </c>
      <c r="L672" s="21"/>
      <c r="M672" s="21"/>
      <c r="N672" s="21">
        <v>56</v>
      </c>
      <c r="O672" s="21">
        <v>804</v>
      </c>
      <c r="P672" s="21"/>
      <c r="Q672" s="21"/>
      <c r="R672" s="21"/>
      <c r="S672" s="21"/>
      <c r="T672" s="21">
        <v>88</v>
      </c>
      <c r="U672" s="21">
        <v>227</v>
      </c>
      <c r="V672" s="21">
        <v>66</v>
      </c>
      <c r="W672" s="21">
        <v>594</v>
      </c>
      <c r="X672" s="22">
        <v>294.5</v>
      </c>
      <c r="Y672" s="22">
        <v>116</v>
      </c>
      <c r="Z672" s="21">
        <v>504.5</v>
      </c>
      <c r="AA672" s="21">
        <v>529</v>
      </c>
      <c r="AB672" s="12">
        <v>129</v>
      </c>
    </row>
    <row r="673" ht="14.25" spans="1:28">
      <c r="A673" s="13">
        <v>671</v>
      </c>
      <c r="B673" s="15">
        <v>14</v>
      </c>
      <c r="C673" s="16">
        <v>11</v>
      </c>
      <c r="D673" s="15" t="s">
        <v>1348</v>
      </c>
      <c r="E673" s="15" t="s">
        <v>1349</v>
      </c>
      <c r="F673" s="21">
        <v>93.25</v>
      </c>
      <c r="G673" s="21">
        <v>1909</v>
      </c>
      <c r="H673" s="21">
        <v>89</v>
      </c>
      <c r="I673" s="21">
        <v>515</v>
      </c>
      <c r="J673" s="21">
        <v>113</v>
      </c>
      <c r="K673" s="21">
        <v>307</v>
      </c>
      <c r="L673" s="21"/>
      <c r="M673" s="21"/>
      <c r="N673" s="21">
        <v>55.5</v>
      </c>
      <c r="O673" s="21">
        <v>860</v>
      </c>
      <c r="P673" s="21"/>
      <c r="Q673" s="21"/>
      <c r="R673" s="21"/>
      <c r="S673" s="21"/>
      <c r="T673" s="21">
        <v>81</v>
      </c>
      <c r="U673" s="21">
        <v>808</v>
      </c>
      <c r="V673" s="21">
        <v>77</v>
      </c>
      <c r="W673" s="21">
        <v>235</v>
      </c>
      <c r="X673" s="22">
        <v>295.25</v>
      </c>
      <c r="Y673" s="22">
        <v>113</v>
      </c>
      <c r="Z673" s="21">
        <v>508.75</v>
      </c>
      <c r="AA673" s="21">
        <v>498</v>
      </c>
      <c r="AB673" s="12">
        <v>118</v>
      </c>
    </row>
    <row r="674" ht="14.25" spans="1:28">
      <c r="A674" s="13">
        <v>672</v>
      </c>
      <c r="B674" s="15">
        <v>14</v>
      </c>
      <c r="C674" s="16">
        <v>12</v>
      </c>
      <c r="D674" s="15" t="s">
        <v>1350</v>
      </c>
      <c r="E674" s="15" t="s">
        <v>1351</v>
      </c>
      <c r="F674" s="21">
        <v>97</v>
      </c>
      <c r="G674" s="21">
        <v>1332</v>
      </c>
      <c r="H674" s="21">
        <v>74.5</v>
      </c>
      <c r="I674" s="21">
        <v>903</v>
      </c>
      <c r="J674" s="21">
        <v>94</v>
      </c>
      <c r="K674" s="21">
        <v>963</v>
      </c>
      <c r="L674" s="21"/>
      <c r="M674" s="21"/>
      <c r="N674" s="21">
        <v>58.5</v>
      </c>
      <c r="O674" s="21">
        <v>550</v>
      </c>
      <c r="P674" s="21"/>
      <c r="Q674" s="21"/>
      <c r="R674" s="21"/>
      <c r="S674" s="21"/>
      <c r="T674" s="21">
        <v>65</v>
      </c>
      <c r="U674" s="21">
        <v>2190</v>
      </c>
      <c r="V674" s="21">
        <v>74</v>
      </c>
      <c r="W674" s="21">
        <v>320</v>
      </c>
      <c r="X674" s="22">
        <v>265.5</v>
      </c>
      <c r="Y674" s="22">
        <v>186</v>
      </c>
      <c r="Z674" s="21">
        <v>463</v>
      </c>
      <c r="AA674" s="21">
        <v>961</v>
      </c>
      <c r="AB674" s="12">
        <v>183</v>
      </c>
    </row>
    <row r="675" ht="14.25" spans="1:28">
      <c r="A675" s="13">
        <v>673</v>
      </c>
      <c r="B675" s="15">
        <v>14</v>
      </c>
      <c r="C675" s="16">
        <v>13</v>
      </c>
      <c r="D675" s="15" t="s">
        <v>1352</v>
      </c>
      <c r="E675" s="15" t="s">
        <v>1353</v>
      </c>
      <c r="F675" s="21">
        <v>103</v>
      </c>
      <c r="G675" s="21">
        <v>626</v>
      </c>
      <c r="H675" s="21">
        <v>105</v>
      </c>
      <c r="I675" s="21">
        <v>189</v>
      </c>
      <c r="J675" s="21">
        <v>88.5</v>
      </c>
      <c r="K675" s="21">
        <v>1209</v>
      </c>
      <c r="L675" s="21"/>
      <c r="M675" s="21"/>
      <c r="N675" s="21">
        <v>64.5</v>
      </c>
      <c r="O675" s="21">
        <v>210</v>
      </c>
      <c r="P675" s="21"/>
      <c r="Q675" s="21"/>
      <c r="R675" s="21"/>
      <c r="S675" s="21"/>
      <c r="T675" s="21">
        <v>65</v>
      </c>
      <c r="U675" s="21">
        <v>2190</v>
      </c>
      <c r="V675" s="21">
        <v>73</v>
      </c>
      <c r="W675" s="21">
        <v>356</v>
      </c>
      <c r="X675" s="22">
        <v>296.5</v>
      </c>
      <c r="Y675" s="22">
        <v>108</v>
      </c>
      <c r="Z675" s="21">
        <v>499</v>
      </c>
      <c r="AA675" s="21">
        <v>585</v>
      </c>
      <c r="AB675" s="12">
        <v>136</v>
      </c>
    </row>
    <row r="676" ht="14.25" spans="1:28">
      <c r="A676" s="13">
        <v>674</v>
      </c>
      <c r="B676" s="15">
        <v>14</v>
      </c>
      <c r="C676" s="16">
        <v>14</v>
      </c>
      <c r="D676" s="15" t="s">
        <v>1354</v>
      </c>
      <c r="E676" s="15" t="s">
        <v>1355</v>
      </c>
      <c r="F676" s="21">
        <v>116</v>
      </c>
      <c r="G676" s="21">
        <v>34</v>
      </c>
      <c r="H676" s="21">
        <v>98</v>
      </c>
      <c r="I676" s="21">
        <v>314</v>
      </c>
      <c r="J676" s="21">
        <v>103.75</v>
      </c>
      <c r="K676" s="21">
        <v>574</v>
      </c>
      <c r="L676" s="21"/>
      <c r="M676" s="21"/>
      <c r="N676" s="21">
        <v>69</v>
      </c>
      <c r="O676" s="21">
        <v>71</v>
      </c>
      <c r="P676" s="21"/>
      <c r="Q676" s="21"/>
      <c r="R676" s="21"/>
      <c r="S676" s="21"/>
      <c r="T676" s="21">
        <v>92</v>
      </c>
      <c r="U676" s="21">
        <v>30</v>
      </c>
      <c r="V676" s="21">
        <v>84</v>
      </c>
      <c r="W676" s="21">
        <v>104</v>
      </c>
      <c r="X676" s="22">
        <v>317.75</v>
      </c>
      <c r="Y676" s="22">
        <v>48</v>
      </c>
      <c r="Z676" s="21">
        <v>562.75</v>
      </c>
      <c r="AA676" s="21">
        <v>166</v>
      </c>
      <c r="AB676" s="12">
        <v>28</v>
      </c>
    </row>
    <row r="677" ht="14.25" spans="1:28">
      <c r="A677" s="13">
        <v>675</v>
      </c>
      <c r="B677" s="15">
        <v>14</v>
      </c>
      <c r="C677" s="16">
        <v>15</v>
      </c>
      <c r="D677" s="15" t="s">
        <v>1356</v>
      </c>
      <c r="E677" s="15" t="s">
        <v>1357</v>
      </c>
      <c r="F677" s="21">
        <v>99.5</v>
      </c>
      <c r="G677" s="21">
        <v>1010</v>
      </c>
      <c r="H677" s="21">
        <v>78</v>
      </c>
      <c r="I677" s="21">
        <v>802</v>
      </c>
      <c r="J677" s="21">
        <v>95</v>
      </c>
      <c r="K677" s="21">
        <v>926</v>
      </c>
      <c r="L677" s="21"/>
      <c r="M677" s="21"/>
      <c r="N677" s="21">
        <v>44</v>
      </c>
      <c r="O677" s="21">
        <v>2371</v>
      </c>
      <c r="P677" s="21"/>
      <c r="Q677" s="21"/>
      <c r="R677" s="21"/>
      <c r="S677" s="21"/>
      <c r="T677" s="21">
        <v>69</v>
      </c>
      <c r="U677" s="21">
        <v>1773</v>
      </c>
      <c r="V677" s="21">
        <v>58</v>
      </c>
      <c r="W677" s="21">
        <v>927</v>
      </c>
      <c r="X677" s="22">
        <v>272.5</v>
      </c>
      <c r="Y677" s="22">
        <v>162</v>
      </c>
      <c r="Z677" s="21">
        <v>443.5</v>
      </c>
      <c r="AA677" s="21">
        <v>1248</v>
      </c>
      <c r="AB677" s="12">
        <v>194</v>
      </c>
    </row>
    <row r="678" ht="14.25" spans="1:28">
      <c r="A678" s="13">
        <v>676</v>
      </c>
      <c r="B678" s="15">
        <v>14</v>
      </c>
      <c r="C678" s="16">
        <v>16</v>
      </c>
      <c r="D678" s="15" t="s">
        <v>1358</v>
      </c>
      <c r="E678" s="15" t="s">
        <v>1359</v>
      </c>
      <c r="F678" s="21">
        <v>93.5</v>
      </c>
      <c r="G678" s="21">
        <v>1834</v>
      </c>
      <c r="H678" s="21">
        <v>60</v>
      </c>
      <c r="I678" s="21">
        <v>1405</v>
      </c>
      <c r="J678" s="21">
        <v>56.5</v>
      </c>
      <c r="K678" s="21">
        <v>2893</v>
      </c>
      <c r="L678" s="21"/>
      <c r="M678" s="21"/>
      <c r="N678" s="21">
        <v>39.5</v>
      </c>
      <c r="O678" s="21">
        <v>3024</v>
      </c>
      <c r="P678" s="21"/>
      <c r="Q678" s="21"/>
      <c r="R678" s="21"/>
      <c r="S678" s="21"/>
      <c r="T678" s="21">
        <v>62</v>
      </c>
      <c r="U678" s="21">
        <v>2464</v>
      </c>
      <c r="V678" s="21">
        <v>39</v>
      </c>
      <c r="W678" s="21">
        <v>1501</v>
      </c>
      <c r="X678" s="22">
        <v>210</v>
      </c>
      <c r="Y678" s="22">
        <v>206</v>
      </c>
      <c r="Z678" s="21">
        <v>350.5</v>
      </c>
      <c r="AA678" s="21">
        <v>2730</v>
      </c>
      <c r="AB678" s="12">
        <v>206</v>
      </c>
    </row>
    <row r="679" ht="14.25" spans="1:28">
      <c r="A679" s="13">
        <v>677</v>
      </c>
      <c r="B679" s="15">
        <v>14</v>
      </c>
      <c r="C679" s="16">
        <v>18</v>
      </c>
      <c r="D679" s="15" t="s">
        <v>1360</v>
      </c>
      <c r="E679" s="15" t="s">
        <v>1361</v>
      </c>
      <c r="F679" s="21">
        <v>91.5</v>
      </c>
      <c r="G679" s="21">
        <v>2123</v>
      </c>
      <c r="H679" s="21">
        <v>114</v>
      </c>
      <c r="I679" s="21">
        <v>77</v>
      </c>
      <c r="J679" s="21">
        <v>105.25</v>
      </c>
      <c r="K679" s="21">
        <v>535</v>
      </c>
      <c r="L679" s="21"/>
      <c r="M679" s="21"/>
      <c r="N679" s="21">
        <v>55.25</v>
      </c>
      <c r="O679" s="21">
        <v>913</v>
      </c>
      <c r="P679" s="21"/>
      <c r="Q679" s="21"/>
      <c r="R679" s="21"/>
      <c r="S679" s="21"/>
      <c r="T679" s="21">
        <v>83</v>
      </c>
      <c r="U679" s="21">
        <v>616</v>
      </c>
      <c r="V679" s="21">
        <v>78</v>
      </c>
      <c r="W679" s="21">
        <v>215</v>
      </c>
      <c r="X679" s="22">
        <v>310.75</v>
      </c>
      <c r="Y679" s="22">
        <v>70</v>
      </c>
      <c r="Z679" s="21">
        <v>527</v>
      </c>
      <c r="AA679" s="21">
        <v>370</v>
      </c>
      <c r="AB679" s="12">
        <v>84</v>
      </c>
    </row>
    <row r="680" ht="14.25" spans="1:28">
      <c r="A680" s="13">
        <v>678</v>
      </c>
      <c r="B680" s="15">
        <v>14</v>
      </c>
      <c r="C680" s="16">
        <v>19</v>
      </c>
      <c r="D680" s="15" t="s">
        <v>1362</v>
      </c>
      <c r="E680" s="15" t="s">
        <v>1363</v>
      </c>
      <c r="F680" s="21">
        <v>107</v>
      </c>
      <c r="G680" s="21">
        <v>307</v>
      </c>
      <c r="H680" s="21">
        <v>98.5</v>
      </c>
      <c r="I680" s="21">
        <v>305</v>
      </c>
      <c r="J680" s="21">
        <v>105.5</v>
      </c>
      <c r="K680" s="21">
        <v>523</v>
      </c>
      <c r="L680" s="21"/>
      <c r="M680" s="21"/>
      <c r="N680" s="21">
        <v>70</v>
      </c>
      <c r="O680" s="21">
        <v>52</v>
      </c>
      <c r="P680" s="21"/>
      <c r="Q680" s="21"/>
      <c r="R680" s="21"/>
      <c r="S680" s="21"/>
      <c r="T680" s="21">
        <v>87</v>
      </c>
      <c r="U680" s="21">
        <v>333</v>
      </c>
      <c r="V680" s="21">
        <v>88</v>
      </c>
      <c r="W680" s="21">
        <v>30</v>
      </c>
      <c r="X680" s="22">
        <v>311</v>
      </c>
      <c r="Y680" s="22">
        <v>69</v>
      </c>
      <c r="Z680" s="21">
        <v>556</v>
      </c>
      <c r="AA680" s="21">
        <v>199</v>
      </c>
      <c r="AB680" s="12">
        <v>34</v>
      </c>
    </row>
    <row r="681" ht="14.25" spans="1:28">
      <c r="A681" s="13">
        <v>679</v>
      </c>
      <c r="B681" s="15">
        <v>14</v>
      </c>
      <c r="C681" s="16">
        <v>20</v>
      </c>
      <c r="D681" s="15" t="s">
        <v>1364</v>
      </c>
      <c r="E681" s="15" t="s">
        <v>1365</v>
      </c>
      <c r="F681" s="21">
        <v>107.5</v>
      </c>
      <c r="G681" s="21">
        <v>270</v>
      </c>
      <c r="H681" s="21">
        <v>101</v>
      </c>
      <c r="I681" s="21">
        <v>253</v>
      </c>
      <c r="J681" s="21">
        <v>118.25</v>
      </c>
      <c r="K681" s="21">
        <v>196</v>
      </c>
      <c r="L681" s="21"/>
      <c r="M681" s="21"/>
      <c r="N681" s="21">
        <v>43.5</v>
      </c>
      <c r="O681" s="21">
        <v>2443</v>
      </c>
      <c r="P681" s="21"/>
      <c r="Q681" s="21"/>
      <c r="R681" s="21"/>
      <c r="S681" s="21"/>
      <c r="T681" s="21">
        <v>82</v>
      </c>
      <c r="U681" s="21">
        <v>702</v>
      </c>
      <c r="V681" s="21">
        <v>71</v>
      </c>
      <c r="W681" s="21">
        <v>422</v>
      </c>
      <c r="X681" s="22">
        <v>326.75</v>
      </c>
      <c r="Y681" s="22">
        <v>28</v>
      </c>
      <c r="Z681" s="21">
        <v>523.25</v>
      </c>
      <c r="AA681" s="21">
        <v>388</v>
      </c>
      <c r="AB681" s="12">
        <v>88</v>
      </c>
    </row>
    <row r="682" ht="14.25" spans="1:28">
      <c r="A682" s="13">
        <v>680</v>
      </c>
      <c r="B682" s="15">
        <v>14</v>
      </c>
      <c r="C682" s="16">
        <v>21</v>
      </c>
      <c r="D682" s="15" t="s">
        <v>1366</v>
      </c>
      <c r="E682" s="15" t="s">
        <v>1367</v>
      </c>
      <c r="F682" s="21">
        <v>84.5</v>
      </c>
      <c r="G682" s="21">
        <v>3102</v>
      </c>
      <c r="H682" s="21">
        <v>99.5</v>
      </c>
      <c r="I682" s="21">
        <v>281</v>
      </c>
      <c r="J682" s="21">
        <v>115</v>
      </c>
      <c r="K682" s="21">
        <v>262</v>
      </c>
      <c r="L682" s="21"/>
      <c r="M682" s="21"/>
      <c r="N682" s="21">
        <v>57.5</v>
      </c>
      <c r="O682" s="21">
        <v>638</v>
      </c>
      <c r="P682" s="21"/>
      <c r="Q682" s="21"/>
      <c r="R682" s="21"/>
      <c r="S682" s="21"/>
      <c r="T682" s="21">
        <v>73</v>
      </c>
      <c r="U682" s="21">
        <v>1447</v>
      </c>
      <c r="V682" s="21">
        <v>86</v>
      </c>
      <c r="W682" s="21">
        <v>73</v>
      </c>
      <c r="X682" s="22">
        <v>299</v>
      </c>
      <c r="Y682" s="22">
        <v>100</v>
      </c>
      <c r="Z682" s="21">
        <v>515.5</v>
      </c>
      <c r="AA682" s="21">
        <v>445</v>
      </c>
      <c r="AB682" s="12">
        <v>105</v>
      </c>
    </row>
    <row r="683" ht="14.25" spans="1:28">
      <c r="A683" s="13">
        <v>681</v>
      </c>
      <c r="B683" s="15">
        <v>14</v>
      </c>
      <c r="C683" s="16">
        <v>22</v>
      </c>
      <c r="D683" s="15" t="s">
        <v>1368</v>
      </c>
      <c r="E683" s="15" t="s">
        <v>1369</v>
      </c>
      <c r="F683" s="21">
        <v>102</v>
      </c>
      <c r="G683" s="21">
        <v>747</v>
      </c>
      <c r="H683" s="21">
        <v>93</v>
      </c>
      <c r="I683" s="21">
        <v>412</v>
      </c>
      <c r="J683" s="21">
        <v>108</v>
      </c>
      <c r="K683" s="21">
        <v>449</v>
      </c>
      <c r="L683" s="21"/>
      <c r="M683" s="21"/>
      <c r="N683" s="21">
        <v>48.5</v>
      </c>
      <c r="O683" s="21">
        <v>1763</v>
      </c>
      <c r="P683" s="21"/>
      <c r="Q683" s="21"/>
      <c r="R683" s="21"/>
      <c r="S683" s="21"/>
      <c r="T683" s="21">
        <v>78</v>
      </c>
      <c r="U683" s="21">
        <v>1003</v>
      </c>
      <c r="V683" s="21">
        <v>76</v>
      </c>
      <c r="W683" s="21">
        <v>263</v>
      </c>
      <c r="X683" s="22">
        <v>303</v>
      </c>
      <c r="Y683" s="22">
        <v>85</v>
      </c>
      <c r="Z683" s="21">
        <v>505.5</v>
      </c>
      <c r="AA683" s="21">
        <v>524</v>
      </c>
      <c r="AB683" s="12">
        <v>127</v>
      </c>
    </row>
    <row r="684" ht="14.25" spans="1:28">
      <c r="A684" s="13">
        <v>682</v>
      </c>
      <c r="B684" s="15">
        <v>14</v>
      </c>
      <c r="C684" s="16">
        <v>23</v>
      </c>
      <c r="D684" s="15" t="s">
        <v>1370</v>
      </c>
      <c r="E684" s="15" t="s">
        <v>1371</v>
      </c>
      <c r="F684" s="21">
        <v>107.5</v>
      </c>
      <c r="G684" s="21">
        <v>270</v>
      </c>
      <c r="H684" s="21">
        <v>91.5</v>
      </c>
      <c r="I684" s="21">
        <v>450</v>
      </c>
      <c r="J684" s="21">
        <v>102.5</v>
      </c>
      <c r="K684" s="21">
        <v>612</v>
      </c>
      <c r="L684" s="21"/>
      <c r="M684" s="21"/>
      <c r="N684" s="21">
        <v>60.5</v>
      </c>
      <c r="O684" s="21">
        <v>424</v>
      </c>
      <c r="P684" s="21"/>
      <c r="Q684" s="21"/>
      <c r="R684" s="21"/>
      <c r="S684" s="21"/>
      <c r="T684" s="21">
        <v>89</v>
      </c>
      <c r="U684" s="21">
        <v>137</v>
      </c>
      <c r="V684" s="21">
        <v>83</v>
      </c>
      <c r="W684" s="21">
        <v>115</v>
      </c>
      <c r="X684" s="22">
        <v>301.5</v>
      </c>
      <c r="Y684" s="22">
        <v>93</v>
      </c>
      <c r="Z684" s="21">
        <v>534</v>
      </c>
      <c r="AA684" s="21">
        <v>319</v>
      </c>
      <c r="AB684" s="12">
        <v>70</v>
      </c>
    </row>
    <row r="685" ht="14.25" spans="1:28">
      <c r="A685" s="13">
        <v>683</v>
      </c>
      <c r="B685" s="15">
        <v>14</v>
      </c>
      <c r="C685" s="16">
        <v>24</v>
      </c>
      <c r="D685" s="15" t="s">
        <v>1372</v>
      </c>
      <c r="E685" s="15" t="s">
        <v>1373</v>
      </c>
      <c r="F685" s="21">
        <v>98.5</v>
      </c>
      <c r="G685" s="21">
        <v>1145</v>
      </c>
      <c r="H685" s="21">
        <v>102.5</v>
      </c>
      <c r="I685" s="21">
        <v>229</v>
      </c>
      <c r="J685" s="21">
        <v>101</v>
      </c>
      <c r="K685" s="21">
        <v>667</v>
      </c>
      <c r="L685" s="21"/>
      <c r="M685" s="21"/>
      <c r="N685" s="21">
        <v>62.5</v>
      </c>
      <c r="O685" s="21">
        <v>292</v>
      </c>
      <c r="P685" s="21"/>
      <c r="Q685" s="21"/>
      <c r="R685" s="21"/>
      <c r="S685" s="21"/>
      <c r="T685" s="21">
        <v>87</v>
      </c>
      <c r="U685" s="21">
        <v>333</v>
      </c>
      <c r="V685" s="21">
        <v>87</v>
      </c>
      <c r="W685" s="21">
        <v>54</v>
      </c>
      <c r="X685" s="22">
        <v>302</v>
      </c>
      <c r="Y685" s="22">
        <v>88</v>
      </c>
      <c r="Z685" s="21">
        <v>538.5</v>
      </c>
      <c r="AA685" s="21">
        <v>293</v>
      </c>
      <c r="AB685" s="12">
        <v>59</v>
      </c>
    </row>
    <row r="686" ht="14.25" spans="1:28">
      <c r="A686" s="13">
        <v>684</v>
      </c>
      <c r="B686" s="15">
        <v>14</v>
      </c>
      <c r="C686" s="16">
        <v>25</v>
      </c>
      <c r="D686" s="15" t="s">
        <v>1374</v>
      </c>
      <c r="E686" s="15" t="s">
        <v>1375</v>
      </c>
      <c r="F686" s="21">
        <v>107</v>
      </c>
      <c r="G686" s="21">
        <v>307</v>
      </c>
      <c r="H686" s="21">
        <v>95</v>
      </c>
      <c r="I686" s="21">
        <v>372</v>
      </c>
      <c r="J686" s="21">
        <v>113.25</v>
      </c>
      <c r="K686" s="21">
        <v>304</v>
      </c>
      <c r="L686" s="21"/>
      <c r="M686" s="21"/>
      <c r="N686" s="21">
        <v>66</v>
      </c>
      <c r="O686" s="21">
        <v>163</v>
      </c>
      <c r="P686" s="21"/>
      <c r="Q686" s="21"/>
      <c r="R686" s="21"/>
      <c r="S686" s="21"/>
      <c r="T686" s="21">
        <v>88</v>
      </c>
      <c r="U686" s="21">
        <v>227</v>
      </c>
      <c r="V686" s="21">
        <v>80</v>
      </c>
      <c r="W686" s="21">
        <v>158</v>
      </c>
      <c r="X686" s="22">
        <v>315.25</v>
      </c>
      <c r="Y686" s="22">
        <v>54</v>
      </c>
      <c r="Z686" s="21">
        <v>549.25</v>
      </c>
      <c r="AA686" s="21">
        <v>233</v>
      </c>
      <c r="AB686" s="12">
        <v>43</v>
      </c>
    </row>
    <row r="687" ht="14.25" spans="1:28">
      <c r="A687" s="13">
        <v>685</v>
      </c>
      <c r="B687" s="15">
        <v>14</v>
      </c>
      <c r="C687" s="16">
        <v>26</v>
      </c>
      <c r="D687" s="15" t="s">
        <v>1376</v>
      </c>
      <c r="E687" s="15" t="s">
        <v>1377</v>
      </c>
      <c r="F687" s="21">
        <v>90.5</v>
      </c>
      <c r="G687" s="21">
        <v>2252</v>
      </c>
      <c r="H687" s="21">
        <v>86</v>
      </c>
      <c r="I687" s="21">
        <v>584</v>
      </c>
      <c r="J687" s="21">
        <v>106.5</v>
      </c>
      <c r="K687" s="21">
        <v>490</v>
      </c>
      <c r="L687" s="21"/>
      <c r="M687" s="21"/>
      <c r="N687" s="21">
        <v>70.5</v>
      </c>
      <c r="O687" s="21">
        <v>40</v>
      </c>
      <c r="P687" s="21"/>
      <c r="Q687" s="21"/>
      <c r="R687" s="21"/>
      <c r="S687" s="21"/>
      <c r="T687" s="21">
        <v>73</v>
      </c>
      <c r="U687" s="21">
        <v>1447</v>
      </c>
      <c r="V687" s="21">
        <v>73</v>
      </c>
      <c r="W687" s="21">
        <v>356</v>
      </c>
      <c r="X687" s="22">
        <v>283</v>
      </c>
      <c r="Y687" s="22">
        <v>145</v>
      </c>
      <c r="Z687" s="21">
        <v>499.5</v>
      </c>
      <c r="AA687" s="21">
        <v>581</v>
      </c>
      <c r="AB687" s="12">
        <v>135</v>
      </c>
    </row>
    <row r="688" ht="14.25" spans="1:28">
      <c r="A688" s="13">
        <v>686</v>
      </c>
      <c r="B688" s="15">
        <v>14</v>
      </c>
      <c r="C688" s="16">
        <v>27</v>
      </c>
      <c r="D688" s="15" t="s">
        <v>1378</v>
      </c>
      <c r="E688" s="15" t="s">
        <v>1379</v>
      </c>
      <c r="F688" s="21">
        <v>98.5</v>
      </c>
      <c r="G688" s="21">
        <v>1145</v>
      </c>
      <c r="H688" s="21">
        <v>106</v>
      </c>
      <c r="I688" s="21">
        <v>175</v>
      </c>
      <c r="J688" s="21">
        <v>78</v>
      </c>
      <c r="K688" s="21">
        <v>1799</v>
      </c>
      <c r="L688" s="21"/>
      <c r="M688" s="21"/>
      <c r="N688" s="21">
        <v>51.5</v>
      </c>
      <c r="O688" s="21">
        <v>1342</v>
      </c>
      <c r="P688" s="21"/>
      <c r="Q688" s="21"/>
      <c r="R688" s="21"/>
      <c r="S688" s="21"/>
      <c r="T688" s="21">
        <v>72</v>
      </c>
      <c r="U688" s="21">
        <v>1556</v>
      </c>
      <c r="V688" s="21">
        <v>64</v>
      </c>
      <c r="W688" s="21">
        <v>690</v>
      </c>
      <c r="X688" s="22">
        <v>282.5</v>
      </c>
      <c r="Y688" s="22">
        <v>147</v>
      </c>
      <c r="Z688" s="21">
        <v>470</v>
      </c>
      <c r="AA688" s="21">
        <v>888</v>
      </c>
      <c r="AB688" s="12">
        <v>178</v>
      </c>
    </row>
    <row r="689" ht="14.25" spans="1:28">
      <c r="A689" s="13">
        <v>687</v>
      </c>
      <c r="B689" s="15">
        <v>14</v>
      </c>
      <c r="C689" s="16">
        <v>28</v>
      </c>
      <c r="D689" s="15" t="s">
        <v>1380</v>
      </c>
      <c r="E689" s="15" t="s">
        <v>1381</v>
      </c>
      <c r="F689" s="21">
        <v>102.5</v>
      </c>
      <c r="G689" s="21">
        <v>686</v>
      </c>
      <c r="H689" s="21">
        <v>92</v>
      </c>
      <c r="I689" s="21">
        <v>436</v>
      </c>
      <c r="J689" s="21">
        <v>101</v>
      </c>
      <c r="K689" s="21">
        <v>667</v>
      </c>
      <c r="L689" s="21"/>
      <c r="M689" s="21"/>
      <c r="N689" s="21">
        <v>59.5</v>
      </c>
      <c r="O689" s="21">
        <v>483</v>
      </c>
      <c r="P689" s="21"/>
      <c r="Q689" s="21"/>
      <c r="R689" s="21"/>
      <c r="S689" s="21"/>
      <c r="T689" s="21">
        <v>78</v>
      </c>
      <c r="U689" s="21">
        <v>1003</v>
      </c>
      <c r="V689" s="21">
        <v>77</v>
      </c>
      <c r="W689" s="21">
        <v>235</v>
      </c>
      <c r="X689" s="22">
        <v>295.5</v>
      </c>
      <c r="Y689" s="22">
        <v>112</v>
      </c>
      <c r="Z689" s="21">
        <v>510</v>
      </c>
      <c r="AA689" s="21">
        <v>478</v>
      </c>
      <c r="AB689" s="12">
        <v>111</v>
      </c>
    </row>
    <row r="690" ht="14.25" spans="1:28">
      <c r="A690" s="13">
        <v>688</v>
      </c>
      <c r="B690" s="15">
        <v>14</v>
      </c>
      <c r="C690" s="16">
        <v>29</v>
      </c>
      <c r="D690" s="15" t="s">
        <v>1382</v>
      </c>
      <c r="E690" s="15" t="s">
        <v>1383</v>
      </c>
      <c r="F690" s="21">
        <v>89.5</v>
      </c>
      <c r="G690" s="21">
        <v>2413</v>
      </c>
      <c r="H690" s="21">
        <v>97.5</v>
      </c>
      <c r="I690" s="21">
        <v>318</v>
      </c>
      <c r="J690" s="21">
        <v>74</v>
      </c>
      <c r="K690" s="21">
        <v>1999</v>
      </c>
      <c r="L690" s="21"/>
      <c r="M690" s="21"/>
      <c r="N690" s="21">
        <v>45</v>
      </c>
      <c r="O690" s="21">
        <v>2241</v>
      </c>
      <c r="P690" s="21"/>
      <c r="Q690" s="21"/>
      <c r="R690" s="21"/>
      <c r="S690" s="21"/>
      <c r="T690" s="21">
        <v>70</v>
      </c>
      <c r="U690" s="21">
        <v>1710</v>
      </c>
      <c r="V690" s="21">
        <v>74</v>
      </c>
      <c r="W690" s="21">
        <v>320</v>
      </c>
      <c r="X690" s="22">
        <v>261</v>
      </c>
      <c r="Y690" s="22">
        <v>190</v>
      </c>
      <c r="Z690" s="21">
        <v>450</v>
      </c>
      <c r="AA690" s="21">
        <v>1161</v>
      </c>
      <c r="AB690" s="12">
        <v>191</v>
      </c>
    </row>
    <row r="691" ht="14.25" spans="1:28">
      <c r="A691" s="13">
        <v>689</v>
      </c>
      <c r="B691" s="15">
        <v>14</v>
      </c>
      <c r="C691" s="16">
        <v>30</v>
      </c>
      <c r="D691" s="15" t="s">
        <v>1384</v>
      </c>
      <c r="E691" s="15" t="s">
        <v>1385</v>
      </c>
      <c r="F691" s="21">
        <v>92</v>
      </c>
      <c r="G691" s="21">
        <v>2049</v>
      </c>
      <c r="H691" s="21">
        <v>79</v>
      </c>
      <c r="I691" s="21">
        <v>781</v>
      </c>
      <c r="J691" s="21">
        <v>72.5</v>
      </c>
      <c r="K691" s="21">
        <v>2085</v>
      </c>
      <c r="L691" s="21"/>
      <c r="M691" s="21"/>
      <c r="N691" s="21">
        <v>45</v>
      </c>
      <c r="O691" s="21">
        <v>2241</v>
      </c>
      <c r="P691" s="21"/>
      <c r="Q691" s="21"/>
      <c r="R691" s="21"/>
      <c r="S691" s="21"/>
      <c r="T691" s="21">
        <v>68</v>
      </c>
      <c r="U691" s="21">
        <v>1886</v>
      </c>
      <c r="V691" s="21">
        <v>86</v>
      </c>
      <c r="W691" s="21">
        <v>73</v>
      </c>
      <c r="X691" s="22">
        <v>243.5</v>
      </c>
      <c r="Y691" s="22">
        <v>201</v>
      </c>
      <c r="Z691" s="21">
        <v>442.5</v>
      </c>
      <c r="AA691" s="21">
        <v>1265</v>
      </c>
      <c r="AB691" s="12">
        <v>196</v>
      </c>
    </row>
    <row r="692" ht="14.25" spans="1:28">
      <c r="A692" s="13">
        <v>690</v>
      </c>
      <c r="B692" s="15">
        <v>14</v>
      </c>
      <c r="C692" s="16">
        <v>31</v>
      </c>
      <c r="D692" s="15" t="s">
        <v>1386</v>
      </c>
      <c r="E692" s="15" t="s">
        <v>1387</v>
      </c>
      <c r="F692" s="21">
        <v>91.5</v>
      </c>
      <c r="G692" s="21">
        <v>2123</v>
      </c>
      <c r="H692" s="21">
        <v>106.5</v>
      </c>
      <c r="I692" s="21">
        <v>173</v>
      </c>
      <c r="J692" s="21">
        <v>110</v>
      </c>
      <c r="K692" s="21">
        <v>386</v>
      </c>
      <c r="L692" s="21"/>
      <c r="M692" s="21"/>
      <c r="N692" s="21">
        <v>55</v>
      </c>
      <c r="O692" s="21">
        <v>914</v>
      </c>
      <c r="P692" s="21"/>
      <c r="Q692" s="21"/>
      <c r="R692" s="21"/>
      <c r="S692" s="21"/>
      <c r="T692" s="21">
        <v>88</v>
      </c>
      <c r="U692" s="21">
        <v>227</v>
      </c>
      <c r="V692" s="21">
        <v>79</v>
      </c>
      <c r="W692" s="21">
        <v>194</v>
      </c>
      <c r="X692" s="22">
        <v>308</v>
      </c>
      <c r="Y692" s="22">
        <v>77</v>
      </c>
      <c r="Z692" s="21">
        <v>530</v>
      </c>
      <c r="AA692" s="21">
        <v>350</v>
      </c>
      <c r="AB692" s="12">
        <v>78</v>
      </c>
    </row>
    <row r="693" ht="14.25" spans="1:28">
      <c r="A693" s="13">
        <v>691</v>
      </c>
      <c r="B693" s="15">
        <v>14</v>
      </c>
      <c r="C693" s="16">
        <v>33</v>
      </c>
      <c r="D693" s="15" t="s">
        <v>1388</v>
      </c>
      <c r="E693" s="15" t="s">
        <v>1389</v>
      </c>
      <c r="F693" s="21">
        <v>100.5</v>
      </c>
      <c r="G693" s="21">
        <v>901</v>
      </c>
      <c r="H693" s="21">
        <v>112</v>
      </c>
      <c r="I693" s="21">
        <v>96</v>
      </c>
      <c r="J693" s="21">
        <v>90.5</v>
      </c>
      <c r="K693" s="21">
        <v>1116</v>
      </c>
      <c r="L693" s="21"/>
      <c r="M693" s="21"/>
      <c r="N693" s="21">
        <v>56</v>
      </c>
      <c r="O693" s="21">
        <v>804</v>
      </c>
      <c r="P693" s="21"/>
      <c r="Q693" s="21"/>
      <c r="R693" s="21"/>
      <c r="S693" s="21"/>
      <c r="T693" s="21">
        <v>88</v>
      </c>
      <c r="U693" s="21">
        <v>227</v>
      </c>
      <c r="V693" s="21">
        <v>74</v>
      </c>
      <c r="W693" s="21">
        <v>320</v>
      </c>
      <c r="X693" s="22">
        <v>303</v>
      </c>
      <c r="Y693" s="22">
        <v>85</v>
      </c>
      <c r="Z693" s="21">
        <v>521</v>
      </c>
      <c r="AA693" s="21">
        <v>402</v>
      </c>
      <c r="AB693" s="12">
        <v>93</v>
      </c>
    </row>
    <row r="694" ht="14.25" spans="1:28">
      <c r="A694" s="13">
        <v>692</v>
      </c>
      <c r="B694" s="15">
        <v>14</v>
      </c>
      <c r="C694" s="16">
        <v>34</v>
      </c>
      <c r="D694" s="15" t="s">
        <v>1390</v>
      </c>
      <c r="E694" s="15" t="s">
        <v>1115</v>
      </c>
      <c r="F694" s="21">
        <v>104</v>
      </c>
      <c r="G694" s="21">
        <v>526</v>
      </c>
      <c r="H694" s="21">
        <v>94</v>
      </c>
      <c r="I694" s="21">
        <v>391</v>
      </c>
      <c r="J694" s="21">
        <v>114</v>
      </c>
      <c r="K694" s="21">
        <v>281</v>
      </c>
      <c r="L694" s="21"/>
      <c r="M694" s="21"/>
      <c r="N694" s="21">
        <v>60</v>
      </c>
      <c r="O694" s="21">
        <v>457</v>
      </c>
      <c r="P694" s="21"/>
      <c r="Q694" s="21"/>
      <c r="R694" s="21"/>
      <c r="S694" s="21"/>
      <c r="T694" s="21">
        <v>82</v>
      </c>
      <c r="U694" s="21">
        <v>702</v>
      </c>
      <c r="V694" s="21">
        <v>73</v>
      </c>
      <c r="W694" s="21">
        <v>356</v>
      </c>
      <c r="X694" s="22">
        <v>312</v>
      </c>
      <c r="Y694" s="22">
        <v>65</v>
      </c>
      <c r="Z694" s="21">
        <v>527</v>
      </c>
      <c r="AA694" s="21">
        <v>370</v>
      </c>
      <c r="AB694" s="12">
        <v>84</v>
      </c>
    </row>
    <row r="695" ht="14.25" spans="1:28">
      <c r="A695" s="13">
        <v>693</v>
      </c>
      <c r="B695" s="15">
        <v>14</v>
      </c>
      <c r="C695" s="16">
        <v>35</v>
      </c>
      <c r="D695" s="15" t="s">
        <v>1391</v>
      </c>
      <c r="E695" s="15" t="s">
        <v>1392</v>
      </c>
      <c r="F695" s="21">
        <v>100</v>
      </c>
      <c r="G695" s="21">
        <v>958</v>
      </c>
      <c r="H695" s="21">
        <v>100</v>
      </c>
      <c r="I695" s="21">
        <v>272</v>
      </c>
      <c r="J695" s="21">
        <v>92</v>
      </c>
      <c r="K695" s="21">
        <v>1049</v>
      </c>
      <c r="L695" s="21"/>
      <c r="M695" s="21"/>
      <c r="N695" s="21">
        <v>62.5</v>
      </c>
      <c r="O695" s="21">
        <v>292</v>
      </c>
      <c r="P695" s="21"/>
      <c r="Q695" s="21"/>
      <c r="R695" s="21"/>
      <c r="S695" s="21"/>
      <c r="T695" s="21">
        <v>69</v>
      </c>
      <c r="U695" s="21">
        <v>1773</v>
      </c>
      <c r="V695" s="21">
        <v>74</v>
      </c>
      <c r="W695" s="21">
        <v>320</v>
      </c>
      <c r="X695" s="22">
        <v>292</v>
      </c>
      <c r="Y695" s="22">
        <v>123</v>
      </c>
      <c r="Z695" s="21">
        <v>497.5</v>
      </c>
      <c r="AA695" s="21">
        <v>598</v>
      </c>
      <c r="AB695" s="12">
        <v>137</v>
      </c>
    </row>
    <row r="696" ht="14.25" spans="1:28">
      <c r="A696" s="13">
        <v>694</v>
      </c>
      <c r="B696" s="15">
        <v>14</v>
      </c>
      <c r="C696" s="16">
        <v>36</v>
      </c>
      <c r="D696" s="15" t="s">
        <v>1393</v>
      </c>
      <c r="E696" s="15" t="s">
        <v>1394</v>
      </c>
      <c r="F696" s="21">
        <v>103</v>
      </c>
      <c r="G696" s="21">
        <v>626</v>
      </c>
      <c r="H696" s="21">
        <v>88.5</v>
      </c>
      <c r="I696" s="21">
        <v>526</v>
      </c>
      <c r="J696" s="21">
        <v>98.5</v>
      </c>
      <c r="K696" s="21">
        <v>774</v>
      </c>
      <c r="L696" s="21"/>
      <c r="M696" s="21"/>
      <c r="N696" s="21">
        <v>53.5</v>
      </c>
      <c r="O696" s="21">
        <v>1111</v>
      </c>
      <c r="P696" s="21"/>
      <c r="Q696" s="21"/>
      <c r="R696" s="21"/>
      <c r="S696" s="21"/>
      <c r="T696" s="21">
        <v>85</v>
      </c>
      <c r="U696" s="21">
        <v>537</v>
      </c>
      <c r="V696" s="21">
        <v>81</v>
      </c>
      <c r="W696" s="21">
        <v>135</v>
      </c>
      <c r="X696" s="22">
        <v>290</v>
      </c>
      <c r="Y696" s="22">
        <v>130</v>
      </c>
      <c r="Z696" s="21">
        <v>509.5</v>
      </c>
      <c r="AA696" s="21">
        <v>483</v>
      </c>
      <c r="AB696" s="12">
        <v>112</v>
      </c>
    </row>
    <row r="697" ht="14.25" spans="1:28">
      <c r="A697" s="13">
        <v>695</v>
      </c>
      <c r="B697" s="15">
        <v>14</v>
      </c>
      <c r="C697" s="16">
        <v>37</v>
      </c>
      <c r="D697" s="15" t="s">
        <v>1395</v>
      </c>
      <c r="E697" s="15" t="s">
        <v>1396</v>
      </c>
      <c r="F697" s="21">
        <v>102.5</v>
      </c>
      <c r="G697" s="21">
        <v>686</v>
      </c>
      <c r="H697" s="21">
        <v>91</v>
      </c>
      <c r="I697" s="21">
        <v>467</v>
      </c>
      <c r="J697" s="21">
        <v>97</v>
      </c>
      <c r="K697" s="21">
        <v>837</v>
      </c>
      <c r="L697" s="21"/>
      <c r="M697" s="21"/>
      <c r="N697" s="21">
        <v>59.5</v>
      </c>
      <c r="O697" s="21">
        <v>483</v>
      </c>
      <c r="P697" s="21"/>
      <c r="Q697" s="21"/>
      <c r="R697" s="21"/>
      <c r="S697" s="21"/>
      <c r="T697" s="21">
        <v>82</v>
      </c>
      <c r="U697" s="21">
        <v>702</v>
      </c>
      <c r="V697" s="21">
        <v>71</v>
      </c>
      <c r="W697" s="21">
        <v>422</v>
      </c>
      <c r="X697" s="22">
        <v>290.5</v>
      </c>
      <c r="Y697" s="22">
        <v>127</v>
      </c>
      <c r="Z697" s="21">
        <v>503</v>
      </c>
      <c r="AA697" s="21">
        <v>544</v>
      </c>
      <c r="AB697" s="12">
        <v>131</v>
      </c>
    </row>
    <row r="698" ht="14.25" spans="1:28">
      <c r="A698" s="13">
        <v>696</v>
      </c>
      <c r="B698" s="15">
        <v>14</v>
      </c>
      <c r="C698" s="16">
        <v>38</v>
      </c>
      <c r="D698" s="15" t="s">
        <v>1397</v>
      </c>
      <c r="E698" s="15" t="s">
        <v>95</v>
      </c>
      <c r="F698" s="21">
        <v>106</v>
      </c>
      <c r="G698" s="21">
        <v>367</v>
      </c>
      <c r="H698" s="21">
        <v>90.5</v>
      </c>
      <c r="I698" s="21">
        <v>484</v>
      </c>
      <c r="J698" s="21">
        <v>82</v>
      </c>
      <c r="K698" s="21">
        <v>1576</v>
      </c>
      <c r="L698" s="21"/>
      <c r="M698" s="21"/>
      <c r="N698" s="21">
        <v>54.5</v>
      </c>
      <c r="O698" s="21">
        <v>986</v>
      </c>
      <c r="P698" s="21"/>
      <c r="Q698" s="21"/>
      <c r="R698" s="21"/>
      <c r="S698" s="21"/>
      <c r="T698" s="21">
        <v>61</v>
      </c>
      <c r="U698" s="21">
        <v>2565</v>
      </c>
      <c r="V698" s="21">
        <v>62</v>
      </c>
      <c r="W698" s="21">
        <v>766</v>
      </c>
      <c r="X698" s="22">
        <v>278.5</v>
      </c>
      <c r="Y698" s="22">
        <v>152</v>
      </c>
      <c r="Z698" s="21">
        <v>456</v>
      </c>
      <c r="AA698" s="21">
        <v>1067</v>
      </c>
      <c r="AB698" s="12">
        <v>188</v>
      </c>
    </row>
    <row r="699" ht="14.25" spans="1:28">
      <c r="A699" s="13">
        <v>697</v>
      </c>
      <c r="B699" s="15">
        <v>14</v>
      </c>
      <c r="C699" s="16">
        <v>39</v>
      </c>
      <c r="D699" s="15" t="s">
        <v>1398</v>
      </c>
      <c r="E699" s="15" t="s">
        <v>1399</v>
      </c>
      <c r="F699" s="21">
        <v>108.25</v>
      </c>
      <c r="G699" s="21">
        <v>241</v>
      </c>
      <c r="H699" s="21">
        <v>57</v>
      </c>
      <c r="I699" s="21">
        <v>1510</v>
      </c>
      <c r="J699" s="21">
        <v>104.5</v>
      </c>
      <c r="K699" s="21">
        <v>556</v>
      </c>
      <c r="L699" s="21"/>
      <c r="M699" s="21"/>
      <c r="N699" s="21">
        <v>52</v>
      </c>
      <c r="O699" s="21">
        <v>1281</v>
      </c>
      <c r="P699" s="21"/>
      <c r="Q699" s="21"/>
      <c r="R699" s="21"/>
      <c r="S699" s="21"/>
      <c r="T699" s="21">
        <v>80</v>
      </c>
      <c r="U699" s="21">
        <v>854</v>
      </c>
      <c r="V699" s="21">
        <v>70</v>
      </c>
      <c r="W699" s="21">
        <v>457</v>
      </c>
      <c r="X699" s="22">
        <v>269.75</v>
      </c>
      <c r="Y699" s="22">
        <v>173</v>
      </c>
      <c r="Z699" s="21">
        <v>471.75</v>
      </c>
      <c r="AA699" s="21">
        <v>872</v>
      </c>
      <c r="AB699" s="12">
        <v>176</v>
      </c>
    </row>
    <row r="700" ht="14.25" spans="1:28">
      <c r="A700" s="13">
        <v>698</v>
      </c>
      <c r="B700" s="15">
        <v>14</v>
      </c>
      <c r="C700" s="16">
        <v>40</v>
      </c>
      <c r="D700" s="15" t="s">
        <v>1400</v>
      </c>
      <c r="E700" s="15" t="s">
        <v>1401</v>
      </c>
      <c r="F700" s="21">
        <v>101</v>
      </c>
      <c r="G700" s="21">
        <v>861</v>
      </c>
      <c r="H700" s="21">
        <v>89.5</v>
      </c>
      <c r="I700" s="21">
        <v>503</v>
      </c>
      <c r="J700" s="21">
        <v>100.5</v>
      </c>
      <c r="K700" s="21">
        <v>683</v>
      </c>
      <c r="L700" s="21"/>
      <c r="M700" s="21"/>
      <c r="N700" s="21">
        <v>58</v>
      </c>
      <c r="O700" s="21">
        <v>588</v>
      </c>
      <c r="P700" s="21"/>
      <c r="Q700" s="21"/>
      <c r="R700" s="21"/>
      <c r="S700" s="21"/>
      <c r="T700" s="21">
        <v>87</v>
      </c>
      <c r="U700" s="21">
        <v>333</v>
      </c>
      <c r="V700" s="21">
        <v>76</v>
      </c>
      <c r="W700" s="21">
        <v>263</v>
      </c>
      <c r="X700" s="22">
        <v>291</v>
      </c>
      <c r="Y700" s="22">
        <v>126</v>
      </c>
      <c r="Z700" s="21">
        <v>512</v>
      </c>
      <c r="AA700" s="21">
        <v>464</v>
      </c>
      <c r="AB700" s="12">
        <v>109</v>
      </c>
    </row>
    <row r="701" ht="14.25" spans="1:28">
      <c r="A701" s="13">
        <v>699</v>
      </c>
      <c r="B701" s="15">
        <v>14</v>
      </c>
      <c r="C701" s="16">
        <v>41</v>
      </c>
      <c r="D701" s="15" t="s">
        <v>1402</v>
      </c>
      <c r="E701" s="15" t="s">
        <v>1403</v>
      </c>
      <c r="F701" s="21">
        <v>95.25</v>
      </c>
      <c r="G701" s="21">
        <v>1603</v>
      </c>
      <c r="H701" s="21">
        <v>77</v>
      </c>
      <c r="I701" s="21">
        <v>829</v>
      </c>
      <c r="J701" s="21">
        <v>105.25</v>
      </c>
      <c r="K701" s="21">
        <v>535</v>
      </c>
      <c r="L701" s="21"/>
      <c r="M701" s="21"/>
      <c r="N701" s="21">
        <v>52</v>
      </c>
      <c r="O701" s="21">
        <v>1281</v>
      </c>
      <c r="P701" s="21"/>
      <c r="Q701" s="21"/>
      <c r="R701" s="21"/>
      <c r="S701" s="21"/>
      <c r="T701" s="21">
        <v>82</v>
      </c>
      <c r="U701" s="21">
        <v>702</v>
      </c>
      <c r="V701" s="21">
        <v>68</v>
      </c>
      <c r="W701" s="21">
        <v>527</v>
      </c>
      <c r="X701" s="22">
        <v>277.5</v>
      </c>
      <c r="Y701" s="22">
        <v>153</v>
      </c>
      <c r="Z701" s="21">
        <v>479.5</v>
      </c>
      <c r="AA701" s="21">
        <v>781</v>
      </c>
      <c r="AB701" s="12">
        <v>169</v>
      </c>
    </row>
    <row r="702" ht="14.25" spans="1:28">
      <c r="A702" s="13">
        <v>700</v>
      </c>
      <c r="B702" s="15">
        <v>14</v>
      </c>
      <c r="C702" s="16">
        <v>42</v>
      </c>
      <c r="D702" s="15" t="s">
        <v>1404</v>
      </c>
      <c r="E702" s="15" t="s">
        <v>1405</v>
      </c>
      <c r="F702" s="21">
        <v>97.25</v>
      </c>
      <c r="G702" s="21">
        <v>1323</v>
      </c>
      <c r="H702" s="21">
        <v>84.5</v>
      </c>
      <c r="I702" s="21">
        <v>620</v>
      </c>
      <c r="J702" s="21">
        <v>104.5</v>
      </c>
      <c r="K702" s="21">
        <v>556</v>
      </c>
      <c r="L702" s="21"/>
      <c r="M702" s="21"/>
      <c r="N702" s="21">
        <v>60.5</v>
      </c>
      <c r="O702" s="21">
        <v>424</v>
      </c>
      <c r="P702" s="21"/>
      <c r="Q702" s="21"/>
      <c r="R702" s="21"/>
      <c r="S702" s="21"/>
      <c r="T702" s="21">
        <v>88</v>
      </c>
      <c r="U702" s="21">
        <v>227</v>
      </c>
      <c r="V702" s="21">
        <v>82</v>
      </c>
      <c r="W702" s="21">
        <v>124</v>
      </c>
      <c r="X702" s="22">
        <v>286.25</v>
      </c>
      <c r="Y702" s="22">
        <v>141</v>
      </c>
      <c r="Z702" s="21">
        <v>516.75</v>
      </c>
      <c r="AA702" s="21">
        <v>438</v>
      </c>
      <c r="AB702" s="12">
        <v>102</v>
      </c>
    </row>
    <row r="703" ht="14.25" spans="1:28">
      <c r="A703" s="13">
        <v>701</v>
      </c>
      <c r="B703" s="15">
        <v>14</v>
      </c>
      <c r="C703" s="16">
        <v>43</v>
      </c>
      <c r="D703" s="15" t="s">
        <v>1406</v>
      </c>
      <c r="E703" s="15" t="s">
        <v>1407</v>
      </c>
      <c r="F703" s="21">
        <v>98</v>
      </c>
      <c r="G703" s="21">
        <v>1207</v>
      </c>
      <c r="H703" s="21">
        <v>69</v>
      </c>
      <c r="I703" s="21">
        <v>1084</v>
      </c>
      <c r="J703" s="21">
        <v>105.5</v>
      </c>
      <c r="K703" s="21">
        <v>523</v>
      </c>
      <c r="L703" s="21"/>
      <c r="M703" s="21"/>
      <c r="N703" s="21">
        <v>54.5</v>
      </c>
      <c r="O703" s="21">
        <v>986</v>
      </c>
      <c r="P703" s="21"/>
      <c r="Q703" s="21"/>
      <c r="R703" s="21"/>
      <c r="S703" s="21"/>
      <c r="T703" s="21">
        <v>78</v>
      </c>
      <c r="U703" s="21">
        <v>1003</v>
      </c>
      <c r="V703" s="21">
        <v>79</v>
      </c>
      <c r="W703" s="21">
        <v>194</v>
      </c>
      <c r="X703" s="22">
        <v>272.5</v>
      </c>
      <c r="Y703" s="22">
        <v>162</v>
      </c>
      <c r="Z703" s="21">
        <v>484</v>
      </c>
      <c r="AA703" s="21">
        <v>731</v>
      </c>
      <c r="AB703" s="12">
        <v>160</v>
      </c>
    </row>
    <row r="704" ht="14.25" spans="1:28">
      <c r="A704" s="13">
        <v>702</v>
      </c>
      <c r="B704" s="15">
        <v>14</v>
      </c>
      <c r="C704" s="16">
        <v>44</v>
      </c>
      <c r="D704" s="15" t="s">
        <v>1408</v>
      </c>
      <c r="E704" s="15" t="s">
        <v>1409</v>
      </c>
      <c r="F704" s="21">
        <v>104.5</v>
      </c>
      <c r="G704" s="21">
        <v>475</v>
      </c>
      <c r="H704" s="21">
        <v>74.5</v>
      </c>
      <c r="I704" s="21">
        <v>903</v>
      </c>
      <c r="J704" s="21">
        <v>117.5</v>
      </c>
      <c r="K704" s="21">
        <v>211</v>
      </c>
      <c r="L704" s="21"/>
      <c r="M704" s="21"/>
      <c r="N704" s="21">
        <v>51.5</v>
      </c>
      <c r="O704" s="21">
        <v>1342</v>
      </c>
      <c r="P704" s="21"/>
      <c r="Q704" s="21"/>
      <c r="R704" s="21"/>
      <c r="S704" s="21"/>
      <c r="T704" s="21">
        <v>90</v>
      </c>
      <c r="U704" s="21">
        <v>80</v>
      </c>
      <c r="V704" s="21">
        <v>80</v>
      </c>
      <c r="W704" s="21">
        <v>158</v>
      </c>
      <c r="X704" s="22">
        <v>296.5</v>
      </c>
      <c r="Y704" s="22">
        <v>108</v>
      </c>
      <c r="Z704" s="21">
        <v>518</v>
      </c>
      <c r="AA704" s="21">
        <v>427</v>
      </c>
      <c r="AB704" s="12">
        <v>100</v>
      </c>
    </row>
    <row r="705" ht="14.25" spans="1:28">
      <c r="A705" s="13">
        <v>703</v>
      </c>
      <c r="B705" s="15">
        <v>14</v>
      </c>
      <c r="C705" s="16">
        <v>45</v>
      </c>
      <c r="D705" s="15" t="s">
        <v>1410</v>
      </c>
      <c r="E705" s="15" t="s">
        <v>1411</v>
      </c>
      <c r="F705" s="21">
        <v>102.5</v>
      </c>
      <c r="G705" s="21">
        <v>686</v>
      </c>
      <c r="H705" s="21">
        <v>102.5</v>
      </c>
      <c r="I705" s="21">
        <v>229</v>
      </c>
      <c r="J705" s="21">
        <v>84.5</v>
      </c>
      <c r="K705" s="21">
        <v>1438</v>
      </c>
      <c r="L705" s="21"/>
      <c r="M705" s="21"/>
      <c r="N705" s="21">
        <v>47</v>
      </c>
      <c r="O705" s="21">
        <v>1983</v>
      </c>
      <c r="P705" s="21"/>
      <c r="Q705" s="21"/>
      <c r="R705" s="21"/>
      <c r="S705" s="21"/>
      <c r="T705" s="21">
        <v>86</v>
      </c>
      <c r="U705" s="21">
        <v>465</v>
      </c>
      <c r="V705" s="21">
        <v>84</v>
      </c>
      <c r="W705" s="21">
        <v>104</v>
      </c>
      <c r="X705" s="22">
        <v>289.5</v>
      </c>
      <c r="Y705" s="22">
        <v>131</v>
      </c>
      <c r="Z705" s="21">
        <v>506.5</v>
      </c>
      <c r="AA705" s="21">
        <v>518</v>
      </c>
      <c r="AB705" s="12">
        <v>126</v>
      </c>
    </row>
    <row r="706" ht="14.25" spans="1:28">
      <c r="A706" s="13">
        <v>704</v>
      </c>
      <c r="B706" s="15">
        <v>15</v>
      </c>
      <c r="C706" s="16">
        <v>1</v>
      </c>
      <c r="D706" s="15" t="s">
        <v>1412</v>
      </c>
      <c r="E706" s="15" t="s">
        <v>1413</v>
      </c>
      <c r="F706" s="21">
        <v>97.5</v>
      </c>
      <c r="G706" s="21">
        <v>1268</v>
      </c>
      <c r="H706" s="21">
        <v>89</v>
      </c>
      <c r="I706" s="21">
        <v>515</v>
      </c>
      <c r="J706" s="21">
        <v>109.5</v>
      </c>
      <c r="K706" s="21">
        <v>405</v>
      </c>
      <c r="L706" s="21"/>
      <c r="M706" s="21"/>
      <c r="N706" s="21">
        <v>51.5</v>
      </c>
      <c r="O706" s="21">
        <v>1342</v>
      </c>
      <c r="P706" s="21"/>
      <c r="Q706" s="21"/>
      <c r="R706" s="21"/>
      <c r="S706" s="21"/>
      <c r="T706" s="21">
        <v>86</v>
      </c>
      <c r="U706" s="21">
        <v>465</v>
      </c>
      <c r="V706" s="21">
        <v>76</v>
      </c>
      <c r="W706" s="21">
        <v>263</v>
      </c>
      <c r="X706" s="22">
        <v>296</v>
      </c>
      <c r="Y706" s="22">
        <v>111</v>
      </c>
      <c r="Z706" s="21">
        <v>509.5</v>
      </c>
      <c r="AA706" s="21">
        <v>483</v>
      </c>
      <c r="AB706" s="12">
        <v>112</v>
      </c>
    </row>
    <row r="707" ht="14.25" spans="1:28">
      <c r="A707" s="13">
        <v>705</v>
      </c>
      <c r="B707" s="15">
        <v>15</v>
      </c>
      <c r="C707" s="16">
        <v>2</v>
      </c>
      <c r="D707" s="15" t="s">
        <v>1414</v>
      </c>
      <c r="E707" s="15" t="s">
        <v>1415</v>
      </c>
      <c r="F707" s="21">
        <v>110.5</v>
      </c>
      <c r="G707" s="21">
        <v>151</v>
      </c>
      <c r="H707" s="21">
        <v>114</v>
      </c>
      <c r="I707" s="21">
        <v>77</v>
      </c>
      <c r="J707" s="21">
        <v>93</v>
      </c>
      <c r="K707" s="21">
        <v>1008</v>
      </c>
      <c r="L707" s="21"/>
      <c r="M707" s="21"/>
      <c r="N707" s="21">
        <v>62.5</v>
      </c>
      <c r="O707" s="21">
        <v>292</v>
      </c>
      <c r="P707" s="21"/>
      <c r="Q707" s="21"/>
      <c r="R707" s="21"/>
      <c r="S707" s="21"/>
      <c r="T707" s="21">
        <v>87</v>
      </c>
      <c r="U707" s="21">
        <v>333</v>
      </c>
      <c r="V707" s="21">
        <v>87</v>
      </c>
      <c r="W707" s="21">
        <v>54</v>
      </c>
      <c r="X707" s="22">
        <v>317.5</v>
      </c>
      <c r="Y707" s="22">
        <v>50</v>
      </c>
      <c r="Z707" s="21">
        <v>554</v>
      </c>
      <c r="AA707" s="21">
        <v>205</v>
      </c>
      <c r="AB707" s="12">
        <v>36</v>
      </c>
    </row>
    <row r="708" ht="14.25" spans="1:28">
      <c r="A708" s="13">
        <v>706</v>
      </c>
      <c r="B708" s="15">
        <v>15</v>
      </c>
      <c r="C708" s="16">
        <v>3</v>
      </c>
      <c r="D708" s="15" t="s">
        <v>1416</v>
      </c>
      <c r="E708" s="15" t="s">
        <v>1417</v>
      </c>
      <c r="F708" s="21">
        <v>99.5</v>
      </c>
      <c r="G708" s="21">
        <v>1010</v>
      </c>
      <c r="H708" s="21">
        <v>63</v>
      </c>
      <c r="I708" s="21">
        <v>1301</v>
      </c>
      <c r="J708" s="21">
        <v>105</v>
      </c>
      <c r="K708" s="21">
        <v>543</v>
      </c>
      <c r="L708" s="21"/>
      <c r="M708" s="21"/>
      <c r="N708" s="21">
        <v>51.5</v>
      </c>
      <c r="O708" s="21">
        <v>1342</v>
      </c>
      <c r="P708" s="21"/>
      <c r="Q708" s="21"/>
      <c r="R708" s="21"/>
      <c r="S708" s="21"/>
      <c r="T708" s="21">
        <v>75</v>
      </c>
      <c r="U708" s="21">
        <v>1272</v>
      </c>
      <c r="V708" s="21">
        <v>56</v>
      </c>
      <c r="W708" s="21">
        <v>1022</v>
      </c>
      <c r="X708" s="22">
        <v>267.5</v>
      </c>
      <c r="Y708" s="22">
        <v>179</v>
      </c>
      <c r="Z708" s="21">
        <v>450</v>
      </c>
      <c r="AA708" s="21">
        <v>1161</v>
      </c>
      <c r="AB708" s="12">
        <v>191</v>
      </c>
    </row>
    <row r="709" ht="14.25" spans="1:28">
      <c r="A709" s="13">
        <v>707</v>
      </c>
      <c r="B709" s="15">
        <v>15</v>
      </c>
      <c r="C709" s="16">
        <v>5</v>
      </c>
      <c r="D709" s="15" t="s">
        <v>1418</v>
      </c>
      <c r="E709" s="15" t="s">
        <v>1363</v>
      </c>
      <c r="F709" s="21">
        <v>105</v>
      </c>
      <c r="G709" s="21">
        <v>437</v>
      </c>
      <c r="H709" s="21">
        <v>86</v>
      </c>
      <c r="I709" s="21">
        <v>584</v>
      </c>
      <c r="J709" s="21">
        <v>94.5</v>
      </c>
      <c r="K709" s="21">
        <v>945</v>
      </c>
      <c r="L709" s="21"/>
      <c r="M709" s="21"/>
      <c r="N709" s="21">
        <v>55</v>
      </c>
      <c r="O709" s="21">
        <v>914</v>
      </c>
      <c r="P709" s="21"/>
      <c r="Q709" s="21"/>
      <c r="R709" s="21"/>
      <c r="S709" s="21"/>
      <c r="T709" s="21">
        <v>92</v>
      </c>
      <c r="U709" s="21">
        <v>30</v>
      </c>
      <c r="V709" s="21">
        <v>77</v>
      </c>
      <c r="W709" s="21">
        <v>235</v>
      </c>
      <c r="X709" s="22">
        <v>285.5</v>
      </c>
      <c r="Y709" s="22">
        <v>142</v>
      </c>
      <c r="Z709" s="21">
        <v>509.5</v>
      </c>
      <c r="AA709" s="21">
        <v>483</v>
      </c>
      <c r="AB709" s="12">
        <v>112</v>
      </c>
    </row>
    <row r="710" ht="14.25" spans="1:28">
      <c r="A710" s="13">
        <v>708</v>
      </c>
      <c r="B710" s="15">
        <v>15</v>
      </c>
      <c r="C710" s="16">
        <v>6</v>
      </c>
      <c r="D710" s="15" t="s">
        <v>1419</v>
      </c>
      <c r="E710" s="15" t="s">
        <v>1420</v>
      </c>
      <c r="F710" s="21">
        <v>100.5</v>
      </c>
      <c r="G710" s="21">
        <v>901</v>
      </c>
      <c r="H710" s="21">
        <v>112.5</v>
      </c>
      <c r="I710" s="21">
        <v>91</v>
      </c>
      <c r="J710" s="21">
        <v>93.5</v>
      </c>
      <c r="K710" s="21">
        <v>991</v>
      </c>
      <c r="L710" s="21"/>
      <c r="M710" s="21"/>
      <c r="N710" s="21">
        <v>62.5</v>
      </c>
      <c r="O710" s="21">
        <v>292</v>
      </c>
      <c r="P710" s="21"/>
      <c r="Q710" s="21"/>
      <c r="R710" s="21"/>
      <c r="S710" s="21"/>
      <c r="T710" s="21">
        <v>90</v>
      </c>
      <c r="U710" s="21">
        <v>80</v>
      </c>
      <c r="V710" s="21">
        <v>72</v>
      </c>
      <c r="W710" s="21">
        <v>395</v>
      </c>
      <c r="X710" s="22">
        <v>306.5</v>
      </c>
      <c r="Y710" s="22">
        <v>80</v>
      </c>
      <c r="Z710" s="21">
        <v>531</v>
      </c>
      <c r="AA710" s="21">
        <v>343</v>
      </c>
      <c r="AB710" s="12">
        <v>76</v>
      </c>
    </row>
    <row r="711" ht="14.25" spans="1:28">
      <c r="A711" s="13">
        <v>709</v>
      </c>
      <c r="B711" s="15">
        <v>15</v>
      </c>
      <c r="C711" s="16">
        <v>7</v>
      </c>
      <c r="D711" s="15" t="s">
        <v>1421</v>
      </c>
      <c r="E711" s="15" t="s">
        <v>1422</v>
      </c>
      <c r="F711" s="21">
        <v>99</v>
      </c>
      <c r="G711" s="21">
        <v>1072</v>
      </c>
      <c r="H711" s="21">
        <v>85.5</v>
      </c>
      <c r="I711" s="21">
        <v>598</v>
      </c>
      <c r="J711" s="21">
        <v>109.25</v>
      </c>
      <c r="K711" s="21">
        <v>417</v>
      </c>
      <c r="L711" s="21"/>
      <c r="M711" s="21"/>
      <c r="N711" s="21">
        <v>57.5</v>
      </c>
      <c r="O711" s="21">
        <v>638</v>
      </c>
      <c r="P711" s="21"/>
      <c r="Q711" s="21"/>
      <c r="R711" s="21"/>
      <c r="S711" s="21"/>
      <c r="T711" s="21">
        <v>80</v>
      </c>
      <c r="U711" s="21">
        <v>854</v>
      </c>
      <c r="V711" s="21">
        <v>87</v>
      </c>
      <c r="W711" s="21">
        <v>54</v>
      </c>
      <c r="X711" s="22">
        <v>293.75</v>
      </c>
      <c r="Y711" s="22">
        <v>120</v>
      </c>
      <c r="Z711" s="21">
        <v>518.25</v>
      </c>
      <c r="AA711" s="21">
        <v>426</v>
      </c>
      <c r="AB711" s="12">
        <v>99</v>
      </c>
    </row>
    <row r="712" ht="14.25" spans="1:28">
      <c r="A712" s="13">
        <v>710</v>
      </c>
      <c r="B712" s="15">
        <v>15</v>
      </c>
      <c r="C712" s="16">
        <v>8</v>
      </c>
      <c r="D712" s="15" t="s">
        <v>1423</v>
      </c>
      <c r="E712" s="15" t="s">
        <v>1424</v>
      </c>
      <c r="F712" s="21">
        <v>87.25</v>
      </c>
      <c r="G712" s="21">
        <v>2774</v>
      </c>
      <c r="H712" s="21">
        <v>74.5</v>
      </c>
      <c r="I712" s="21">
        <v>903</v>
      </c>
      <c r="J712" s="21">
        <v>89</v>
      </c>
      <c r="K712" s="21">
        <v>1186</v>
      </c>
      <c r="L712" s="21"/>
      <c r="M712" s="21"/>
      <c r="N712" s="21">
        <v>48.5</v>
      </c>
      <c r="O712" s="21">
        <v>1763</v>
      </c>
      <c r="P712" s="21"/>
      <c r="Q712" s="21"/>
      <c r="R712" s="21"/>
      <c r="S712" s="21"/>
      <c r="T712" s="21">
        <v>82</v>
      </c>
      <c r="U712" s="21">
        <v>702</v>
      </c>
      <c r="V712" s="21">
        <v>60</v>
      </c>
      <c r="W712" s="21">
        <v>871</v>
      </c>
      <c r="X712" s="22">
        <v>250.75</v>
      </c>
      <c r="Y712" s="22">
        <v>194</v>
      </c>
      <c r="Z712" s="21">
        <v>441.25</v>
      </c>
      <c r="AA712" s="21">
        <v>1277</v>
      </c>
      <c r="AB712" s="12">
        <v>198</v>
      </c>
    </row>
    <row r="713" ht="14.25" spans="1:28">
      <c r="A713" s="13">
        <v>711</v>
      </c>
      <c r="B713" s="15">
        <v>15</v>
      </c>
      <c r="C713" s="16">
        <v>9</v>
      </c>
      <c r="D713" s="15" t="s">
        <v>1425</v>
      </c>
      <c r="E713" s="15" t="s">
        <v>1426</v>
      </c>
      <c r="F713" s="21">
        <v>98</v>
      </c>
      <c r="G713" s="21">
        <v>1207</v>
      </c>
      <c r="H713" s="21">
        <v>76.5</v>
      </c>
      <c r="I713" s="21">
        <v>846</v>
      </c>
      <c r="J713" s="21">
        <v>85.5</v>
      </c>
      <c r="K713" s="21">
        <v>1377</v>
      </c>
      <c r="L713" s="21"/>
      <c r="M713" s="21"/>
      <c r="N713" s="21">
        <v>56.5</v>
      </c>
      <c r="O713" s="21">
        <v>750</v>
      </c>
      <c r="P713" s="21"/>
      <c r="Q713" s="21"/>
      <c r="R713" s="21"/>
      <c r="S713" s="21"/>
      <c r="T713" s="21">
        <v>83</v>
      </c>
      <c r="U713" s="21">
        <v>616</v>
      </c>
      <c r="V713" s="21">
        <v>81</v>
      </c>
      <c r="W713" s="21">
        <v>135</v>
      </c>
      <c r="X713" s="22">
        <v>260</v>
      </c>
      <c r="Y713" s="22">
        <v>191</v>
      </c>
      <c r="Z713" s="21">
        <v>480.5</v>
      </c>
      <c r="AA713" s="21">
        <v>771</v>
      </c>
      <c r="AB713" s="12">
        <v>168</v>
      </c>
    </row>
    <row r="714" ht="14.25" spans="1:28">
      <c r="A714" s="13">
        <v>712</v>
      </c>
      <c r="B714" s="15">
        <v>15</v>
      </c>
      <c r="C714" s="16">
        <v>11</v>
      </c>
      <c r="D714" s="15" t="s">
        <v>1427</v>
      </c>
      <c r="E714" s="15" t="s">
        <v>1428</v>
      </c>
      <c r="F714" s="21">
        <v>90</v>
      </c>
      <c r="G714" s="21">
        <v>2340</v>
      </c>
      <c r="H714" s="21">
        <v>118</v>
      </c>
      <c r="I714" s="21">
        <v>47</v>
      </c>
      <c r="J714" s="21">
        <v>81.5</v>
      </c>
      <c r="K714" s="21">
        <v>1600</v>
      </c>
      <c r="L714" s="21"/>
      <c r="M714" s="21"/>
      <c r="N714" s="21">
        <v>51.5</v>
      </c>
      <c r="O714" s="21">
        <v>1342</v>
      </c>
      <c r="P714" s="21"/>
      <c r="Q714" s="21"/>
      <c r="R714" s="21"/>
      <c r="S714" s="21"/>
      <c r="T714" s="21">
        <v>88</v>
      </c>
      <c r="U714" s="21">
        <v>227</v>
      </c>
      <c r="V714" s="21">
        <v>87</v>
      </c>
      <c r="W714" s="21">
        <v>54</v>
      </c>
      <c r="X714" s="22">
        <v>289.5</v>
      </c>
      <c r="Y714" s="22">
        <v>131</v>
      </c>
      <c r="Z714" s="21">
        <v>516</v>
      </c>
      <c r="AA714" s="21">
        <v>442</v>
      </c>
      <c r="AB714" s="12">
        <v>104</v>
      </c>
    </row>
    <row r="715" ht="14.25" spans="1:28">
      <c r="A715" s="13">
        <v>713</v>
      </c>
      <c r="B715" s="15">
        <v>15</v>
      </c>
      <c r="C715" s="16">
        <v>12</v>
      </c>
      <c r="D715" s="15" t="s">
        <v>1429</v>
      </c>
      <c r="E715" s="15" t="s">
        <v>1430</v>
      </c>
      <c r="F715" s="21">
        <v>109</v>
      </c>
      <c r="G715" s="21">
        <v>201</v>
      </c>
      <c r="H715" s="21">
        <v>90.5</v>
      </c>
      <c r="I715" s="21">
        <v>484</v>
      </c>
      <c r="J715" s="21">
        <v>87.25</v>
      </c>
      <c r="K715" s="21">
        <v>1282</v>
      </c>
      <c r="L715" s="21"/>
      <c r="M715" s="21"/>
      <c r="N715" s="21">
        <v>50.25</v>
      </c>
      <c r="O715" s="21">
        <v>1559</v>
      </c>
      <c r="P715" s="21"/>
      <c r="Q715" s="21"/>
      <c r="R715" s="21"/>
      <c r="S715" s="21"/>
      <c r="T715" s="21">
        <v>80</v>
      </c>
      <c r="U715" s="21">
        <v>854</v>
      </c>
      <c r="V715" s="21">
        <v>79</v>
      </c>
      <c r="W715" s="21">
        <v>194</v>
      </c>
      <c r="X715" s="22">
        <v>286.75</v>
      </c>
      <c r="Y715" s="22">
        <v>139</v>
      </c>
      <c r="Z715" s="21">
        <v>496</v>
      </c>
      <c r="AA715" s="21">
        <v>619</v>
      </c>
      <c r="AB715" s="12">
        <v>142</v>
      </c>
    </row>
    <row r="716" ht="14.25" spans="1:28">
      <c r="A716" s="13">
        <v>714</v>
      </c>
      <c r="B716" s="15">
        <v>15</v>
      </c>
      <c r="C716" s="16">
        <v>13</v>
      </c>
      <c r="D716" s="15" t="s">
        <v>1431</v>
      </c>
      <c r="E716" s="15" t="s">
        <v>1432</v>
      </c>
      <c r="F716" s="21">
        <v>113</v>
      </c>
      <c r="G716" s="21">
        <v>78</v>
      </c>
      <c r="H716" s="21">
        <v>111</v>
      </c>
      <c r="I716" s="21">
        <v>115</v>
      </c>
      <c r="J716" s="21">
        <v>110.75</v>
      </c>
      <c r="K716" s="21">
        <v>369</v>
      </c>
      <c r="L716" s="21"/>
      <c r="M716" s="21"/>
      <c r="N716" s="21">
        <v>64.5</v>
      </c>
      <c r="O716" s="21">
        <v>210</v>
      </c>
      <c r="P716" s="21"/>
      <c r="Q716" s="21"/>
      <c r="R716" s="21"/>
      <c r="S716" s="21"/>
      <c r="T716" s="21">
        <v>82</v>
      </c>
      <c r="U716" s="21">
        <v>702</v>
      </c>
      <c r="V716" s="21">
        <v>87</v>
      </c>
      <c r="W716" s="21">
        <v>54</v>
      </c>
      <c r="X716" s="22">
        <v>334.75</v>
      </c>
      <c r="Y716" s="22">
        <v>18</v>
      </c>
      <c r="Z716" s="21">
        <v>568.25</v>
      </c>
      <c r="AA716" s="21">
        <v>139</v>
      </c>
      <c r="AB716" s="12">
        <v>20</v>
      </c>
    </row>
    <row r="717" ht="14.25" spans="1:28">
      <c r="A717" s="13">
        <v>715</v>
      </c>
      <c r="B717" s="15">
        <v>15</v>
      </c>
      <c r="C717" s="16">
        <v>14</v>
      </c>
      <c r="D717" s="15" t="s">
        <v>1433</v>
      </c>
      <c r="E717" s="15" t="s">
        <v>1434</v>
      </c>
      <c r="F717" s="21">
        <v>98.5</v>
      </c>
      <c r="G717" s="21">
        <v>1145</v>
      </c>
      <c r="H717" s="21">
        <v>110.5</v>
      </c>
      <c r="I717" s="21">
        <v>121</v>
      </c>
      <c r="J717" s="21">
        <v>102.5</v>
      </c>
      <c r="K717" s="21">
        <v>612</v>
      </c>
      <c r="L717" s="21"/>
      <c r="M717" s="21"/>
      <c r="N717" s="21">
        <v>56.5</v>
      </c>
      <c r="O717" s="21">
        <v>750</v>
      </c>
      <c r="P717" s="21"/>
      <c r="Q717" s="21"/>
      <c r="R717" s="21"/>
      <c r="S717" s="21"/>
      <c r="T717" s="21">
        <v>71</v>
      </c>
      <c r="U717" s="21">
        <v>1653</v>
      </c>
      <c r="V717" s="21">
        <v>88</v>
      </c>
      <c r="W717" s="21">
        <v>30</v>
      </c>
      <c r="X717" s="22">
        <v>311.5</v>
      </c>
      <c r="Y717" s="22">
        <v>67</v>
      </c>
      <c r="Z717" s="21">
        <v>527</v>
      </c>
      <c r="AA717" s="21">
        <v>370</v>
      </c>
      <c r="AB717" s="12">
        <v>84</v>
      </c>
    </row>
    <row r="718" ht="14.25" spans="1:28">
      <c r="A718" s="13">
        <v>716</v>
      </c>
      <c r="B718" s="15">
        <v>15</v>
      </c>
      <c r="C718" s="16">
        <v>15</v>
      </c>
      <c r="D718" s="15" t="s">
        <v>1435</v>
      </c>
      <c r="E718" s="15" t="s">
        <v>1436</v>
      </c>
      <c r="F718" s="21">
        <v>93</v>
      </c>
      <c r="G718" s="21">
        <v>1912</v>
      </c>
      <c r="H718" s="21">
        <v>87.5</v>
      </c>
      <c r="I718" s="21">
        <v>551</v>
      </c>
      <c r="J718" s="21">
        <v>121.25</v>
      </c>
      <c r="K718" s="21">
        <v>139</v>
      </c>
      <c r="L718" s="21"/>
      <c r="M718" s="21"/>
      <c r="N718" s="21">
        <v>52</v>
      </c>
      <c r="O718" s="21">
        <v>1281</v>
      </c>
      <c r="P718" s="21"/>
      <c r="Q718" s="21"/>
      <c r="R718" s="21"/>
      <c r="S718" s="21"/>
      <c r="T718" s="21">
        <v>69</v>
      </c>
      <c r="U718" s="21">
        <v>1773</v>
      </c>
      <c r="V718" s="21">
        <v>86</v>
      </c>
      <c r="W718" s="21">
        <v>73</v>
      </c>
      <c r="X718" s="22">
        <v>301.75</v>
      </c>
      <c r="Y718" s="22">
        <v>91</v>
      </c>
      <c r="Z718" s="21">
        <v>508.75</v>
      </c>
      <c r="AA718" s="21">
        <v>498</v>
      </c>
      <c r="AB718" s="12">
        <v>118</v>
      </c>
    </row>
    <row r="719" ht="14.25" spans="1:28">
      <c r="A719" s="13">
        <v>717</v>
      </c>
      <c r="B719" s="15">
        <v>15</v>
      </c>
      <c r="C719" s="16">
        <v>16</v>
      </c>
      <c r="D719" s="15" t="s">
        <v>1437</v>
      </c>
      <c r="E719" s="15" t="s">
        <v>1438</v>
      </c>
      <c r="F719" s="21">
        <v>107.5</v>
      </c>
      <c r="G719" s="21">
        <v>270</v>
      </c>
      <c r="H719" s="21">
        <v>88.5</v>
      </c>
      <c r="I719" s="21">
        <v>526</v>
      </c>
      <c r="J719" s="21">
        <v>129</v>
      </c>
      <c r="K719" s="21">
        <v>40</v>
      </c>
      <c r="L719" s="21"/>
      <c r="M719" s="21"/>
      <c r="N719" s="21">
        <v>52</v>
      </c>
      <c r="O719" s="21">
        <v>1281</v>
      </c>
      <c r="P719" s="21"/>
      <c r="Q719" s="21"/>
      <c r="R719" s="21"/>
      <c r="S719" s="21"/>
      <c r="T719" s="21">
        <v>81</v>
      </c>
      <c r="U719" s="21">
        <v>808</v>
      </c>
      <c r="V719" s="21">
        <v>89</v>
      </c>
      <c r="W719" s="21">
        <v>23</v>
      </c>
      <c r="X719" s="22">
        <v>325</v>
      </c>
      <c r="Y719" s="22">
        <v>34</v>
      </c>
      <c r="Z719" s="21">
        <v>547</v>
      </c>
      <c r="AA719" s="21">
        <v>249</v>
      </c>
      <c r="AB719" s="12">
        <v>48</v>
      </c>
    </row>
    <row r="720" ht="14.25" spans="1:28">
      <c r="A720" s="13">
        <v>718</v>
      </c>
      <c r="B720" s="15">
        <v>15</v>
      </c>
      <c r="C720" s="16">
        <v>17</v>
      </c>
      <c r="D720" s="15" t="s">
        <v>1439</v>
      </c>
      <c r="E720" s="15" t="s">
        <v>1440</v>
      </c>
      <c r="F720" s="21">
        <v>96</v>
      </c>
      <c r="G720" s="21">
        <v>1475</v>
      </c>
      <c r="H720" s="21">
        <v>102</v>
      </c>
      <c r="I720" s="21">
        <v>241</v>
      </c>
      <c r="J720" s="21">
        <v>88.5</v>
      </c>
      <c r="K720" s="21">
        <v>1209</v>
      </c>
      <c r="L720" s="21"/>
      <c r="M720" s="21"/>
      <c r="N720" s="21">
        <v>57.5</v>
      </c>
      <c r="O720" s="21">
        <v>638</v>
      </c>
      <c r="P720" s="21"/>
      <c r="Q720" s="21"/>
      <c r="R720" s="21"/>
      <c r="S720" s="21"/>
      <c r="T720" s="21">
        <v>89</v>
      </c>
      <c r="U720" s="21">
        <v>137</v>
      </c>
      <c r="V720" s="21">
        <v>87</v>
      </c>
      <c r="W720" s="21">
        <v>54</v>
      </c>
      <c r="X720" s="22">
        <v>286.5</v>
      </c>
      <c r="Y720" s="22">
        <v>140</v>
      </c>
      <c r="Z720" s="21">
        <v>520</v>
      </c>
      <c r="AA720" s="21">
        <v>413</v>
      </c>
      <c r="AB720" s="12">
        <v>96</v>
      </c>
    </row>
    <row r="721" ht="14.25" spans="1:28">
      <c r="A721" s="13">
        <v>719</v>
      </c>
      <c r="B721" s="15">
        <v>15</v>
      </c>
      <c r="C721" s="16">
        <v>18</v>
      </c>
      <c r="D721" s="15" t="s">
        <v>1441</v>
      </c>
      <c r="E721" s="15" t="s">
        <v>1442</v>
      </c>
      <c r="F721" s="21">
        <v>105.5</v>
      </c>
      <c r="G721" s="21">
        <v>406</v>
      </c>
      <c r="H721" s="21">
        <v>91</v>
      </c>
      <c r="I721" s="21">
        <v>467</v>
      </c>
      <c r="J721" s="21">
        <v>116.25</v>
      </c>
      <c r="K721" s="21">
        <v>236</v>
      </c>
      <c r="L721" s="21"/>
      <c r="M721" s="21"/>
      <c r="N721" s="21">
        <v>58</v>
      </c>
      <c r="O721" s="21">
        <v>588</v>
      </c>
      <c r="P721" s="21"/>
      <c r="Q721" s="21"/>
      <c r="R721" s="21"/>
      <c r="S721" s="21"/>
      <c r="T721" s="21">
        <v>76</v>
      </c>
      <c r="U721" s="21">
        <v>1218</v>
      </c>
      <c r="V721" s="21">
        <v>86</v>
      </c>
      <c r="W721" s="21">
        <v>73</v>
      </c>
      <c r="X721" s="22">
        <v>312.75</v>
      </c>
      <c r="Y721" s="22">
        <v>62</v>
      </c>
      <c r="Z721" s="21">
        <v>532.75</v>
      </c>
      <c r="AA721" s="21">
        <v>328</v>
      </c>
      <c r="AB721" s="12">
        <v>72</v>
      </c>
    </row>
    <row r="722" ht="14.25" spans="1:28">
      <c r="A722" s="13">
        <v>720</v>
      </c>
      <c r="B722" s="15">
        <v>15</v>
      </c>
      <c r="C722" s="16">
        <v>19</v>
      </c>
      <c r="D722" s="15" t="s">
        <v>1443</v>
      </c>
      <c r="E722" s="15" t="s">
        <v>1444</v>
      </c>
      <c r="F722" s="21">
        <v>95.25</v>
      </c>
      <c r="G722" s="21">
        <v>1603</v>
      </c>
      <c r="H722" s="21">
        <v>63</v>
      </c>
      <c r="I722" s="21">
        <v>1301</v>
      </c>
      <c r="J722" s="21">
        <v>92.75</v>
      </c>
      <c r="K722" s="21">
        <v>1021</v>
      </c>
      <c r="L722" s="21"/>
      <c r="M722" s="21"/>
      <c r="N722" s="21">
        <v>41</v>
      </c>
      <c r="O722" s="21">
        <v>2816</v>
      </c>
      <c r="P722" s="21"/>
      <c r="Q722" s="21"/>
      <c r="R722" s="21"/>
      <c r="S722" s="21"/>
      <c r="T722" s="21">
        <v>89</v>
      </c>
      <c r="U722" s="21">
        <v>137</v>
      </c>
      <c r="V722" s="21">
        <v>91</v>
      </c>
      <c r="W722" s="21">
        <v>9</v>
      </c>
      <c r="X722" s="22">
        <v>251</v>
      </c>
      <c r="Y722" s="22">
        <v>193</v>
      </c>
      <c r="Z722" s="21">
        <v>472</v>
      </c>
      <c r="AA722" s="21">
        <v>870</v>
      </c>
      <c r="AB722" s="12">
        <v>175</v>
      </c>
    </row>
    <row r="723" ht="14.25" spans="1:28">
      <c r="A723" s="13">
        <v>721</v>
      </c>
      <c r="B723" s="15">
        <v>15</v>
      </c>
      <c r="C723" s="16">
        <v>20</v>
      </c>
      <c r="D723" s="15" t="s">
        <v>1445</v>
      </c>
      <c r="E723" s="15" t="s">
        <v>1446</v>
      </c>
      <c r="F723" s="21">
        <v>94.5</v>
      </c>
      <c r="G723" s="21">
        <v>1687</v>
      </c>
      <c r="H723" s="21">
        <v>110.5</v>
      </c>
      <c r="I723" s="21">
        <v>121</v>
      </c>
      <c r="J723" s="21">
        <v>110</v>
      </c>
      <c r="K723" s="21">
        <v>386</v>
      </c>
      <c r="L723" s="21"/>
      <c r="M723" s="21"/>
      <c r="N723" s="21">
        <v>63</v>
      </c>
      <c r="O723" s="21">
        <v>270</v>
      </c>
      <c r="P723" s="21"/>
      <c r="Q723" s="21"/>
      <c r="R723" s="21"/>
      <c r="S723" s="21"/>
      <c r="T723" s="21">
        <v>87</v>
      </c>
      <c r="U723" s="21">
        <v>333</v>
      </c>
      <c r="V723" s="21">
        <v>78</v>
      </c>
      <c r="W723" s="21">
        <v>215</v>
      </c>
      <c r="X723" s="22">
        <v>315</v>
      </c>
      <c r="Y723" s="22">
        <v>56</v>
      </c>
      <c r="Z723" s="21">
        <v>543</v>
      </c>
      <c r="AA723" s="21">
        <v>272</v>
      </c>
      <c r="AB723" s="12">
        <v>53</v>
      </c>
    </row>
    <row r="724" ht="14.25" spans="1:28">
      <c r="A724" s="13">
        <v>722</v>
      </c>
      <c r="B724" s="15">
        <v>15</v>
      </c>
      <c r="C724" s="16">
        <v>21</v>
      </c>
      <c r="D724" s="15" t="s">
        <v>1447</v>
      </c>
      <c r="E724" s="15" t="s">
        <v>1448</v>
      </c>
      <c r="F724" s="21">
        <v>101.75</v>
      </c>
      <c r="G724" s="21">
        <v>799</v>
      </c>
      <c r="H724" s="21">
        <v>120.5</v>
      </c>
      <c r="I724" s="21">
        <v>31</v>
      </c>
      <c r="J724" s="21">
        <v>95.5</v>
      </c>
      <c r="K724" s="21">
        <v>902</v>
      </c>
      <c r="L724" s="21"/>
      <c r="M724" s="21"/>
      <c r="N724" s="21">
        <v>59.5</v>
      </c>
      <c r="O724" s="21">
        <v>483</v>
      </c>
      <c r="P724" s="21"/>
      <c r="Q724" s="21"/>
      <c r="R724" s="21"/>
      <c r="S724" s="21"/>
      <c r="T724" s="21">
        <v>83</v>
      </c>
      <c r="U724" s="21">
        <v>616</v>
      </c>
      <c r="V724" s="21">
        <v>78</v>
      </c>
      <c r="W724" s="21">
        <v>215</v>
      </c>
      <c r="X724" s="22">
        <v>317.75</v>
      </c>
      <c r="Y724" s="22">
        <v>48</v>
      </c>
      <c r="Z724" s="21">
        <v>538.25</v>
      </c>
      <c r="AA724" s="21">
        <v>294</v>
      </c>
      <c r="AB724" s="12">
        <v>60</v>
      </c>
    </row>
    <row r="725" ht="14.25" spans="1:28">
      <c r="A725" s="13">
        <v>723</v>
      </c>
      <c r="B725" s="15">
        <v>15</v>
      </c>
      <c r="C725" s="16">
        <v>22</v>
      </c>
      <c r="D725" s="15" t="s">
        <v>1449</v>
      </c>
      <c r="E725" s="15" t="s">
        <v>1450</v>
      </c>
      <c r="F725" s="21">
        <v>98</v>
      </c>
      <c r="G725" s="21">
        <v>1207</v>
      </c>
      <c r="H725" s="21">
        <v>107.5</v>
      </c>
      <c r="I725" s="21">
        <v>160</v>
      </c>
      <c r="J725" s="21">
        <v>121.25</v>
      </c>
      <c r="K725" s="21">
        <v>139</v>
      </c>
      <c r="L725" s="21"/>
      <c r="M725" s="21"/>
      <c r="N725" s="21">
        <v>56</v>
      </c>
      <c r="O725" s="21">
        <v>804</v>
      </c>
      <c r="P725" s="21"/>
      <c r="Q725" s="21"/>
      <c r="R725" s="21"/>
      <c r="S725" s="21"/>
      <c r="T725" s="21">
        <v>78</v>
      </c>
      <c r="U725" s="21">
        <v>1003</v>
      </c>
      <c r="V725" s="21">
        <v>62</v>
      </c>
      <c r="W725" s="21">
        <v>766</v>
      </c>
      <c r="X725" s="22">
        <v>326.75</v>
      </c>
      <c r="Y725" s="22">
        <v>28</v>
      </c>
      <c r="Z725" s="21">
        <v>522.75</v>
      </c>
      <c r="AA725" s="21">
        <v>391</v>
      </c>
      <c r="AB725" s="12">
        <v>90</v>
      </c>
    </row>
    <row r="726" ht="14.25" spans="1:28">
      <c r="A726" s="13">
        <v>724</v>
      </c>
      <c r="B726" s="15">
        <v>15</v>
      </c>
      <c r="C726" s="16">
        <v>23</v>
      </c>
      <c r="D726" s="15" t="s">
        <v>1451</v>
      </c>
      <c r="E726" s="15" t="s">
        <v>1452</v>
      </c>
      <c r="F726" s="21">
        <v>98</v>
      </c>
      <c r="G726" s="21">
        <v>1207</v>
      </c>
      <c r="H726" s="21">
        <v>106</v>
      </c>
      <c r="I726" s="21">
        <v>175</v>
      </c>
      <c r="J726" s="21">
        <v>117.5</v>
      </c>
      <c r="K726" s="21">
        <v>211</v>
      </c>
      <c r="L726" s="21"/>
      <c r="M726" s="21"/>
      <c r="N726" s="21">
        <v>49</v>
      </c>
      <c r="O726" s="21">
        <v>1682</v>
      </c>
      <c r="P726" s="21"/>
      <c r="Q726" s="21"/>
      <c r="R726" s="21"/>
      <c r="S726" s="21"/>
      <c r="T726" s="21">
        <v>66</v>
      </c>
      <c r="U726" s="21">
        <v>2082</v>
      </c>
      <c r="V726" s="21">
        <v>81</v>
      </c>
      <c r="W726" s="21">
        <v>135</v>
      </c>
      <c r="X726" s="22">
        <v>321.5</v>
      </c>
      <c r="Y726" s="22">
        <v>40</v>
      </c>
      <c r="Z726" s="21">
        <v>517.5</v>
      </c>
      <c r="AA726" s="21">
        <v>430</v>
      </c>
      <c r="AB726" s="12">
        <v>101</v>
      </c>
    </row>
    <row r="727" ht="14.25" spans="1:28">
      <c r="A727" s="13">
        <v>725</v>
      </c>
      <c r="B727" s="15">
        <v>15</v>
      </c>
      <c r="C727" s="16">
        <v>24</v>
      </c>
      <c r="D727" s="15" t="s">
        <v>1453</v>
      </c>
      <c r="E727" s="15" t="s">
        <v>1454</v>
      </c>
      <c r="F727" s="21">
        <v>99.5</v>
      </c>
      <c r="G727" s="21">
        <v>1010</v>
      </c>
      <c r="H727" s="21">
        <v>102</v>
      </c>
      <c r="I727" s="21">
        <v>241</v>
      </c>
      <c r="J727" s="21">
        <v>92.75</v>
      </c>
      <c r="K727" s="21">
        <v>1021</v>
      </c>
      <c r="L727" s="21"/>
      <c r="M727" s="21"/>
      <c r="N727" s="21">
        <v>51</v>
      </c>
      <c r="O727" s="21">
        <v>1415</v>
      </c>
      <c r="P727" s="21"/>
      <c r="Q727" s="21"/>
      <c r="R727" s="21"/>
      <c r="S727" s="21"/>
      <c r="T727" s="21">
        <v>75</v>
      </c>
      <c r="U727" s="21">
        <v>1272</v>
      </c>
      <c r="V727" s="21">
        <v>76</v>
      </c>
      <c r="W727" s="21">
        <v>263</v>
      </c>
      <c r="X727" s="22">
        <v>294.25</v>
      </c>
      <c r="Y727" s="22">
        <v>118</v>
      </c>
      <c r="Z727" s="21">
        <v>496.25</v>
      </c>
      <c r="AA727" s="21">
        <v>617</v>
      </c>
      <c r="AB727" s="12">
        <v>141</v>
      </c>
    </row>
    <row r="728" ht="14.25" spans="1:28">
      <c r="A728" s="13">
        <v>726</v>
      </c>
      <c r="B728" s="15">
        <v>15</v>
      </c>
      <c r="C728" s="16">
        <v>25</v>
      </c>
      <c r="D728" s="15" t="s">
        <v>1455</v>
      </c>
      <c r="E728" s="15" t="s">
        <v>712</v>
      </c>
      <c r="F728" s="21">
        <v>99.5</v>
      </c>
      <c r="G728" s="21">
        <v>1010</v>
      </c>
      <c r="H728" s="21">
        <v>104.5</v>
      </c>
      <c r="I728" s="21">
        <v>197</v>
      </c>
      <c r="J728" s="21">
        <v>97.75</v>
      </c>
      <c r="K728" s="21">
        <v>808</v>
      </c>
      <c r="L728" s="21"/>
      <c r="M728" s="21"/>
      <c r="N728" s="21">
        <v>46.5</v>
      </c>
      <c r="O728" s="21">
        <v>2050</v>
      </c>
      <c r="P728" s="21"/>
      <c r="Q728" s="21"/>
      <c r="R728" s="21"/>
      <c r="S728" s="21"/>
      <c r="T728" s="21">
        <v>77</v>
      </c>
      <c r="U728" s="21">
        <v>1108</v>
      </c>
      <c r="V728" s="21">
        <v>83</v>
      </c>
      <c r="W728" s="21">
        <v>115</v>
      </c>
      <c r="X728" s="22">
        <v>301.75</v>
      </c>
      <c r="Y728" s="22">
        <v>91</v>
      </c>
      <c r="Z728" s="21">
        <v>508.25</v>
      </c>
      <c r="AA728" s="21">
        <v>502</v>
      </c>
      <c r="AB728" s="12">
        <v>121</v>
      </c>
    </row>
    <row r="729" ht="14.25" spans="1:28">
      <c r="A729" s="13">
        <v>727</v>
      </c>
      <c r="B729" s="15">
        <v>15</v>
      </c>
      <c r="C729" s="16">
        <v>26</v>
      </c>
      <c r="D729" s="15" t="s">
        <v>1456</v>
      </c>
      <c r="E729" s="15" t="s">
        <v>1457</v>
      </c>
      <c r="F729" s="21">
        <v>80.5</v>
      </c>
      <c r="G729" s="21">
        <v>3556</v>
      </c>
      <c r="H729" s="21">
        <v>87</v>
      </c>
      <c r="I729" s="21">
        <v>563</v>
      </c>
      <c r="J729" s="21">
        <v>99.25</v>
      </c>
      <c r="K729" s="21">
        <v>742</v>
      </c>
      <c r="L729" s="21"/>
      <c r="M729" s="21"/>
      <c r="N729" s="21">
        <v>59.5</v>
      </c>
      <c r="O729" s="21">
        <v>483</v>
      </c>
      <c r="P729" s="21"/>
      <c r="Q729" s="21"/>
      <c r="R729" s="21"/>
      <c r="S729" s="21"/>
      <c r="T729" s="21">
        <v>77</v>
      </c>
      <c r="U729" s="21">
        <v>1108</v>
      </c>
      <c r="V729" s="21">
        <v>78</v>
      </c>
      <c r="W729" s="21">
        <v>215</v>
      </c>
      <c r="X729" s="22">
        <v>266.75</v>
      </c>
      <c r="Y729" s="22">
        <v>183</v>
      </c>
      <c r="Z729" s="21">
        <v>481.25</v>
      </c>
      <c r="AA729" s="21">
        <v>762</v>
      </c>
      <c r="AB729" s="12">
        <v>167</v>
      </c>
    </row>
    <row r="730" ht="14.25" spans="1:28">
      <c r="A730" s="13">
        <v>728</v>
      </c>
      <c r="B730" s="15">
        <v>15</v>
      </c>
      <c r="C730" s="16">
        <v>28</v>
      </c>
      <c r="D730" s="15" t="s">
        <v>1458</v>
      </c>
      <c r="E730" s="15" t="s">
        <v>1459</v>
      </c>
      <c r="F730" s="21">
        <v>98</v>
      </c>
      <c r="G730" s="21">
        <v>1207</v>
      </c>
      <c r="H730" s="21">
        <v>97</v>
      </c>
      <c r="I730" s="21">
        <v>331</v>
      </c>
      <c r="J730" s="21">
        <v>93.5</v>
      </c>
      <c r="K730" s="21">
        <v>991</v>
      </c>
      <c r="L730" s="21"/>
      <c r="M730" s="21"/>
      <c r="N730" s="21">
        <v>63.5</v>
      </c>
      <c r="O730" s="21">
        <v>253</v>
      </c>
      <c r="P730" s="21"/>
      <c r="Q730" s="21"/>
      <c r="R730" s="21"/>
      <c r="S730" s="21"/>
      <c r="T730" s="21">
        <v>82</v>
      </c>
      <c r="U730" s="21">
        <v>702</v>
      </c>
      <c r="V730" s="21">
        <v>87</v>
      </c>
      <c r="W730" s="21">
        <v>54</v>
      </c>
      <c r="X730" s="22">
        <v>288.5</v>
      </c>
      <c r="Y730" s="22">
        <v>135</v>
      </c>
      <c r="Z730" s="21">
        <v>521</v>
      </c>
      <c r="AA730" s="21">
        <v>402</v>
      </c>
      <c r="AB730" s="12">
        <v>93</v>
      </c>
    </row>
    <row r="731" ht="14.25" spans="1:28">
      <c r="A731" s="13">
        <v>729</v>
      </c>
      <c r="B731" s="15">
        <v>15</v>
      </c>
      <c r="C731" s="16">
        <v>29</v>
      </c>
      <c r="D731" s="15" t="s">
        <v>1460</v>
      </c>
      <c r="E731" s="15" t="s">
        <v>1461</v>
      </c>
      <c r="F731" s="21">
        <v>107.5</v>
      </c>
      <c r="G731" s="21">
        <v>270</v>
      </c>
      <c r="H731" s="21">
        <v>91</v>
      </c>
      <c r="I731" s="21">
        <v>467</v>
      </c>
      <c r="J731" s="21">
        <v>84.5</v>
      </c>
      <c r="K731" s="21">
        <v>1438</v>
      </c>
      <c r="L731" s="21"/>
      <c r="M731" s="21"/>
      <c r="N731" s="21">
        <v>42.5</v>
      </c>
      <c r="O731" s="21">
        <v>2603</v>
      </c>
      <c r="P731" s="21"/>
      <c r="Q731" s="21"/>
      <c r="R731" s="21"/>
      <c r="S731" s="21"/>
      <c r="T731" s="21">
        <v>83</v>
      </c>
      <c r="U731" s="21">
        <v>616</v>
      </c>
      <c r="V731" s="21">
        <v>74</v>
      </c>
      <c r="W731" s="21">
        <v>320</v>
      </c>
      <c r="X731" s="22">
        <v>283</v>
      </c>
      <c r="Y731" s="22">
        <v>145</v>
      </c>
      <c r="Z731" s="21">
        <v>482.5</v>
      </c>
      <c r="AA731" s="21">
        <v>747</v>
      </c>
      <c r="AB731" s="12">
        <v>163</v>
      </c>
    </row>
    <row r="732" ht="14.25" spans="1:28">
      <c r="A732" s="13">
        <v>730</v>
      </c>
      <c r="B732" s="15">
        <v>15</v>
      </c>
      <c r="C732" s="16">
        <v>30</v>
      </c>
      <c r="D732" s="15" t="s">
        <v>1462</v>
      </c>
      <c r="E732" s="15" t="s">
        <v>1463</v>
      </c>
      <c r="F732" s="21">
        <v>104.5</v>
      </c>
      <c r="G732" s="21">
        <v>475</v>
      </c>
      <c r="H732" s="21">
        <v>101</v>
      </c>
      <c r="I732" s="21">
        <v>253</v>
      </c>
      <c r="J732" s="21">
        <v>109</v>
      </c>
      <c r="K732" s="21">
        <v>423</v>
      </c>
      <c r="L732" s="21"/>
      <c r="M732" s="21"/>
      <c r="N732" s="21">
        <v>67</v>
      </c>
      <c r="O732" s="21">
        <v>119</v>
      </c>
      <c r="P732" s="21"/>
      <c r="Q732" s="21"/>
      <c r="R732" s="21"/>
      <c r="S732" s="21"/>
      <c r="T732" s="21">
        <v>87</v>
      </c>
      <c r="U732" s="21">
        <v>333</v>
      </c>
      <c r="V732" s="21">
        <v>74</v>
      </c>
      <c r="W732" s="21">
        <v>320</v>
      </c>
      <c r="X732" s="22">
        <v>314.5</v>
      </c>
      <c r="Y732" s="22">
        <v>58</v>
      </c>
      <c r="Z732" s="21">
        <v>542.5</v>
      </c>
      <c r="AA732" s="21">
        <v>275</v>
      </c>
      <c r="AB732" s="12">
        <v>54</v>
      </c>
    </row>
    <row r="733" ht="14.25" spans="1:28">
      <c r="A733" s="13">
        <v>731</v>
      </c>
      <c r="B733" s="15">
        <v>15</v>
      </c>
      <c r="C733" s="16">
        <v>31</v>
      </c>
      <c r="D733" s="15" t="s">
        <v>1464</v>
      </c>
      <c r="E733" s="15" t="s">
        <v>1465</v>
      </c>
      <c r="F733" s="21">
        <v>101.5</v>
      </c>
      <c r="G733" s="21">
        <v>805</v>
      </c>
      <c r="H733" s="21">
        <v>65.5</v>
      </c>
      <c r="I733" s="21">
        <v>1198</v>
      </c>
      <c r="J733" s="21">
        <v>109.25</v>
      </c>
      <c r="K733" s="21">
        <v>417</v>
      </c>
      <c r="L733" s="21"/>
      <c r="M733" s="21"/>
      <c r="N733" s="21">
        <v>57.5</v>
      </c>
      <c r="O733" s="21">
        <v>638</v>
      </c>
      <c r="P733" s="21"/>
      <c r="Q733" s="21"/>
      <c r="R733" s="21"/>
      <c r="S733" s="21"/>
      <c r="T733" s="21">
        <v>68</v>
      </c>
      <c r="U733" s="21">
        <v>1886</v>
      </c>
      <c r="V733" s="21">
        <v>69</v>
      </c>
      <c r="W733" s="21">
        <v>478</v>
      </c>
      <c r="X733" s="22">
        <v>276.25</v>
      </c>
      <c r="Y733" s="22">
        <v>156</v>
      </c>
      <c r="Z733" s="21">
        <v>470.75</v>
      </c>
      <c r="AA733" s="21">
        <v>881</v>
      </c>
      <c r="AB733" s="12">
        <v>177</v>
      </c>
    </row>
    <row r="734" ht="14.25" spans="1:28">
      <c r="A734" s="13">
        <v>732</v>
      </c>
      <c r="B734" s="15">
        <v>15</v>
      </c>
      <c r="C734" s="16">
        <v>32</v>
      </c>
      <c r="D734" s="15" t="s">
        <v>1466</v>
      </c>
      <c r="E734" s="15" t="s">
        <v>1467</v>
      </c>
      <c r="F734" s="21">
        <v>92</v>
      </c>
      <c r="G734" s="21">
        <v>2049</v>
      </c>
      <c r="H734" s="21">
        <v>93</v>
      </c>
      <c r="I734" s="21">
        <v>412</v>
      </c>
      <c r="J734" s="21">
        <v>64</v>
      </c>
      <c r="K734" s="21">
        <v>2544</v>
      </c>
      <c r="L734" s="21"/>
      <c r="M734" s="21"/>
      <c r="N734" s="21">
        <v>56.5</v>
      </c>
      <c r="O734" s="21">
        <v>750</v>
      </c>
      <c r="P734" s="21"/>
      <c r="Q734" s="21"/>
      <c r="R734" s="21"/>
      <c r="S734" s="21"/>
      <c r="T734" s="21">
        <v>89</v>
      </c>
      <c r="U734" s="21">
        <v>137</v>
      </c>
      <c r="V734" s="21">
        <v>88</v>
      </c>
      <c r="W734" s="21">
        <v>30</v>
      </c>
      <c r="X734" s="22">
        <v>249</v>
      </c>
      <c r="Y734" s="22">
        <v>195</v>
      </c>
      <c r="Z734" s="21">
        <v>482.5</v>
      </c>
      <c r="AA734" s="21">
        <v>747</v>
      </c>
      <c r="AB734" s="12">
        <v>163</v>
      </c>
    </row>
    <row r="735" ht="14.25" spans="1:28">
      <c r="A735" s="13">
        <v>733</v>
      </c>
      <c r="B735" s="15">
        <v>15</v>
      </c>
      <c r="C735" s="16">
        <v>33</v>
      </c>
      <c r="D735" s="15" t="s">
        <v>1468</v>
      </c>
      <c r="E735" s="15" t="s">
        <v>1469</v>
      </c>
      <c r="F735" s="21">
        <v>109.5</v>
      </c>
      <c r="G735" s="21">
        <v>183</v>
      </c>
      <c r="H735" s="21">
        <v>74</v>
      </c>
      <c r="I735" s="21">
        <v>917</v>
      </c>
      <c r="J735" s="21">
        <v>83.75</v>
      </c>
      <c r="K735" s="21">
        <v>1480</v>
      </c>
      <c r="L735" s="21"/>
      <c r="M735" s="21"/>
      <c r="N735" s="21">
        <v>56.5</v>
      </c>
      <c r="O735" s="21">
        <v>750</v>
      </c>
      <c r="P735" s="21"/>
      <c r="Q735" s="21"/>
      <c r="R735" s="21"/>
      <c r="S735" s="21"/>
      <c r="T735" s="21">
        <v>83</v>
      </c>
      <c r="U735" s="21">
        <v>616</v>
      </c>
      <c r="V735" s="21">
        <v>76</v>
      </c>
      <c r="W735" s="21">
        <v>263</v>
      </c>
      <c r="X735" s="22">
        <v>267.25</v>
      </c>
      <c r="Y735" s="22">
        <v>181</v>
      </c>
      <c r="Z735" s="21">
        <v>482.75</v>
      </c>
      <c r="AA735" s="21">
        <v>746</v>
      </c>
      <c r="AB735" s="12">
        <v>162</v>
      </c>
    </row>
    <row r="736" ht="14.25" spans="1:28">
      <c r="A736" s="13">
        <v>734</v>
      </c>
      <c r="B736" s="15">
        <v>15</v>
      </c>
      <c r="C736" s="16">
        <v>34</v>
      </c>
      <c r="D736" s="15" t="s">
        <v>1470</v>
      </c>
      <c r="E736" s="15" t="s">
        <v>1471</v>
      </c>
      <c r="F736" s="21">
        <v>99</v>
      </c>
      <c r="G736" s="21">
        <v>1072</v>
      </c>
      <c r="H736" s="21">
        <v>75</v>
      </c>
      <c r="I736" s="21">
        <v>883</v>
      </c>
      <c r="J736" s="21">
        <v>96</v>
      </c>
      <c r="K736" s="21">
        <v>882</v>
      </c>
      <c r="L736" s="21"/>
      <c r="M736" s="21"/>
      <c r="N736" s="21">
        <v>62</v>
      </c>
      <c r="O736" s="21">
        <v>315</v>
      </c>
      <c r="P736" s="21"/>
      <c r="Q736" s="21"/>
      <c r="R736" s="21"/>
      <c r="S736" s="21"/>
      <c r="T736" s="21">
        <v>73</v>
      </c>
      <c r="U736" s="21">
        <v>1447</v>
      </c>
      <c r="V736" s="21">
        <v>74</v>
      </c>
      <c r="W736" s="21">
        <v>320</v>
      </c>
      <c r="X736" s="22">
        <v>270</v>
      </c>
      <c r="Y736" s="22">
        <v>170</v>
      </c>
      <c r="Z736" s="21">
        <v>479</v>
      </c>
      <c r="AA736" s="21">
        <v>784</v>
      </c>
      <c r="AB736" s="12">
        <v>170</v>
      </c>
    </row>
    <row r="737" ht="14.25" spans="1:28">
      <c r="A737" s="13">
        <v>735</v>
      </c>
      <c r="B737" s="15">
        <v>15</v>
      </c>
      <c r="C737" s="16">
        <v>35</v>
      </c>
      <c r="D737" s="15" t="s">
        <v>1472</v>
      </c>
      <c r="E737" s="15" t="s">
        <v>1473</v>
      </c>
      <c r="F737" s="21">
        <v>108</v>
      </c>
      <c r="G737" s="21">
        <v>247</v>
      </c>
      <c r="H737" s="21">
        <v>87</v>
      </c>
      <c r="I737" s="21">
        <v>563</v>
      </c>
      <c r="J737" s="21">
        <v>92</v>
      </c>
      <c r="K737" s="21">
        <v>1049</v>
      </c>
      <c r="L737" s="21"/>
      <c r="M737" s="21"/>
      <c r="N737" s="21">
        <v>58</v>
      </c>
      <c r="O737" s="21">
        <v>588</v>
      </c>
      <c r="P737" s="21"/>
      <c r="Q737" s="21"/>
      <c r="R737" s="21"/>
      <c r="S737" s="21"/>
      <c r="T737" s="21">
        <v>79</v>
      </c>
      <c r="U737" s="21">
        <v>952</v>
      </c>
      <c r="V737" s="21">
        <v>76</v>
      </c>
      <c r="W737" s="21">
        <v>263</v>
      </c>
      <c r="X737" s="22">
        <v>287</v>
      </c>
      <c r="Y737" s="22">
        <v>137</v>
      </c>
      <c r="Z737" s="21">
        <v>500</v>
      </c>
      <c r="AA737" s="21">
        <v>574</v>
      </c>
      <c r="AB737" s="12">
        <v>133</v>
      </c>
    </row>
    <row r="738" ht="14.25" spans="1:28">
      <c r="A738" s="13">
        <v>736</v>
      </c>
      <c r="B738" s="15">
        <v>15</v>
      </c>
      <c r="C738" s="16">
        <v>36</v>
      </c>
      <c r="D738" s="15" t="s">
        <v>1474</v>
      </c>
      <c r="E738" s="15" t="s">
        <v>1475</v>
      </c>
      <c r="F738" s="21">
        <v>95</v>
      </c>
      <c r="G738" s="21">
        <v>1611</v>
      </c>
      <c r="H738" s="21">
        <v>69.5</v>
      </c>
      <c r="I738" s="21">
        <v>1066</v>
      </c>
      <c r="J738" s="21">
        <v>102.75</v>
      </c>
      <c r="K738" s="21">
        <v>605</v>
      </c>
      <c r="L738" s="21"/>
      <c r="M738" s="21"/>
      <c r="N738" s="21">
        <v>64.5</v>
      </c>
      <c r="O738" s="21">
        <v>210</v>
      </c>
      <c r="P738" s="21"/>
      <c r="Q738" s="21"/>
      <c r="R738" s="21"/>
      <c r="S738" s="21"/>
      <c r="T738" s="21">
        <v>82</v>
      </c>
      <c r="U738" s="21">
        <v>702</v>
      </c>
      <c r="V738" s="21">
        <v>78</v>
      </c>
      <c r="W738" s="21">
        <v>215</v>
      </c>
      <c r="X738" s="22">
        <v>267.25</v>
      </c>
      <c r="Y738" s="22">
        <v>181</v>
      </c>
      <c r="Z738" s="21">
        <v>491.75</v>
      </c>
      <c r="AA738" s="21">
        <v>657</v>
      </c>
      <c r="AB738" s="12">
        <v>147</v>
      </c>
    </row>
    <row r="739" ht="14.25" spans="1:28">
      <c r="A739" s="13">
        <v>737</v>
      </c>
      <c r="B739" s="15">
        <v>15</v>
      </c>
      <c r="C739" s="16">
        <v>37</v>
      </c>
      <c r="D739" s="15" t="s">
        <v>1476</v>
      </c>
      <c r="E739" s="15" t="s">
        <v>1477</v>
      </c>
      <c r="F739" s="21">
        <v>94.75</v>
      </c>
      <c r="G739" s="21">
        <v>1683</v>
      </c>
      <c r="H739" s="21">
        <v>111</v>
      </c>
      <c r="I739" s="21">
        <v>115</v>
      </c>
      <c r="J739" s="21">
        <v>108</v>
      </c>
      <c r="K739" s="21">
        <v>449</v>
      </c>
      <c r="L739" s="21"/>
      <c r="M739" s="21"/>
      <c r="N739" s="21">
        <v>57.5</v>
      </c>
      <c r="O739" s="21">
        <v>638</v>
      </c>
      <c r="P739" s="21"/>
      <c r="Q739" s="21"/>
      <c r="R739" s="21"/>
      <c r="S739" s="21"/>
      <c r="T739" s="21">
        <v>75</v>
      </c>
      <c r="U739" s="21">
        <v>1272</v>
      </c>
      <c r="V739" s="21">
        <v>82</v>
      </c>
      <c r="W739" s="21">
        <v>124</v>
      </c>
      <c r="X739" s="22">
        <v>313.75</v>
      </c>
      <c r="Y739" s="22">
        <v>60</v>
      </c>
      <c r="Z739" s="21">
        <v>528.25</v>
      </c>
      <c r="AA739" s="21">
        <v>364</v>
      </c>
      <c r="AB739" s="12">
        <v>81</v>
      </c>
    </row>
    <row r="740" ht="14.25" spans="1:28">
      <c r="A740" s="13">
        <v>738</v>
      </c>
      <c r="B740" s="15">
        <v>15</v>
      </c>
      <c r="C740" s="16">
        <v>38</v>
      </c>
      <c r="D740" s="15" t="s">
        <v>1478</v>
      </c>
      <c r="E740" s="15" t="s">
        <v>1479</v>
      </c>
      <c r="F740" s="21">
        <v>96.5</v>
      </c>
      <c r="G740" s="21">
        <v>1406</v>
      </c>
      <c r="H740" s="21">
        <v>100</v>
      </c>
      <c r="I740" s="21">
        <v>272</v>
      </c>
      <c r="J740" s="21">
        <v>92.75</v>
      </c>
      <c r="K740" s="21">
        <v>1021</v>
      </c>
      <c r="L740" s="21"/>
      <c r="M740" s="21"/>
      <c r="N740" s="21">
        <v>58</v>
      </c>
      <c r="O740" s="21">
        <v>588</v>
      </c>
      <c r="P740" s="21"/>
      <c r="Q740" s="21"/>
      <c r="R740" s="21"/>
      <c r="S740" s="21"/>
      <c r="T740" s="21">
        <v>77</v>
      </c>
      <c r="U740" s="21">
        <v>1108</v>
      </c>
      <c r="V740" s="21">
        <v>71</v>
      </c>
      <c r="W740" s="21">
        <v>422</v>
      </c>
      <c r="X740" s="22">
        <v>289.25</v>
      </c>
      <c r="Y740" s="22">
        <v>134</v>
      </c>
      <c r="Z740" s="21">
        <v>495.25</v>
      </c>
      <c r="AA740" s="21">
        <v>625</v>
      </c>
      <c r="AB740" s="12">
        <v>143</v>
      </c>
    </row>
    <row r="741" ht="14.25" spans="1:28">
      <c r="A741" s="13">
        <v>739</v>
      </c>
      <c r="B741" s="15">
        <v>15</v>
      </c>
      <c r="C741" s="16">
        <v>39</v>
      </c>
      <c r="D741" s="15" t="s">
        <v>1480</v>
      </c>
      <c r="E741" s="15" t="s">
        <v>1481</v>
      </c>
      <c r="F741" s="21">
        <v>102.25</v>
      </c>
      <c r="G741" s="21">
        <v>743</v>
      </c>
      <c r="H741" s="21">
        <v>82</v>
      </c>
      <c r="I741" s="21">
        <v>685</v>
      </c>
      <c r="J741" s="21">
        <v>113.75</v>
      </c>
      <c r="K741" s="21">
        <v>293</v>
      </c>
      <c r="L741" s="21"/>
      <c r="M741" s="21"/>
      <c r="N741" s="21">
        <v>52</v>
      </c>
      <c r="O741" s="21">
        <v>1281</v>
      </c>
      <c r="P741" s="21"/>
      <c r="Q741" s="21"/>
      <c r="R741" s="21"/>
      <c r="S741" s="21"/>
      <c r="T741" s="21">
        <v>77</v>
      </c>
      <c r="U741" s="21">
        <v>1108</v>
      </c>
      <c r="V741" s="21">
        <v>80</v>
      </c>
      <c r="W741" s="21">
        <v>158</v>
      </c>
      <c r="X741" s="22">
        <v>298</v>
      </c>
      <c r="Y741" s="22">
        <v>104</v>
      </c>
      <c r="Z741" s="21">
        <v>507</v>
      </c>
      <c r="AA741" s="21">
        <v>514</v>
      </c>
      <c r="AB741" s="12">
        <v>124</v>
      </c>
    </row>
    <row r="742" ht="14.25" spans="1:28">
      <c r="A742" s="13">
        <v>740</v>
      </c>
      <c r="B742" s="15">
        <v>15</v>
      </c>
      <c r="C742" s="16">
        <v>40</v>
      </c>
      <c r="D742" s="15" t="s">
        <v>1482</v>
      </c>
      <c r="E742" s="15" t="s">
        <v>1483</v>
      </c>
      <c r="F742" s="21">
        <v>93.5</v>
      </c>
      <c r="G742" s="21">
        <v>1834</v>
      </c>
      <c r="H742" s="21">
        <v>83.5</v>
      </c>
      <c r="I742" s="21">
        <v>651</v>
      </c>
      <c r="J742" s="21">
        <v>99</v>
      </c>
      <c r="K742" s="21">
        <v>751</v>
      </c>
      <c r="L742" s="21"/>
      <c r="M742" s="21"/>
      <c r="N742" s="21">
        <v>62</v>
      </c>
      <c r="O742" s="21">
        <v>315</v>
      </c>
      <c r="P742" s="21"/>
      <c r="Q742" s="21"/>
      <c r="R742" s="21"/>
      <c r="S742" s="21"/>
      <c r="T742" s="21">
        <v>79</v>
      </c>
      <c r="U742" s="21">
        <v>952</v>
      </c>
      <c r="V742" s="21">
        <v>71</v>
      </c>
      <c r="W742" s="21">
        <v>422</v>
      </c>
      <c r="X742" s="22">
        <v>276</v>
      </c>
      <c r="Y742" s="22">
        <v>158</v>
      </c>
      <c r="Z742" s="21">
        <v>488</v>
      </c>
      <c r="AA742" s="21">
        <v>693</v>
      </c>
      <c r="AB742" s="12">
        <v>154</v>
      </c>
    </row>
    <row r="743" ht="14.25" spans="1:28">
      <c r="A743" s="13">
        <v>741</v>
      </c>
      <c r="B743" s="15">
        <v>15</v>
      </c>
      <c r="C743" s="16">
        <v>41</v>
      </c>
      <c r="D743" s="15" t="s">
        <v>1484</v>
      </c>
      <c r="E743" s="15" t="s">
        <v>1485</v>
      </c>
      <c r="F743" s="21">
        <v>115.25</v>
      </c>
      <c r="G743" s="21">
        <v>49</v>
      </c>
      <c r="H743" s="21">
        <v>70</v>
      </c>
      <c r="I743" s="21">
        <v>1051</v>
      </c>
      <c r="J743" s="21">
        <v>98</v>
      </c>
      <c r="K743" s="21">
        <v>794</v>
      </c>
      <c r="L743" s="21"/>
      <c r="M743" s="21"/>
      <c r="N743" s="21">
        <v>54.5</v>
      </c>
      <c r="O743" s="21">
        <v>986</v>
      </c>
      <c r="P743" s="21"/>
      <c r="Q743" s="21"/>
      <c r="R743" s="21"/>
      <c r="S743" s="21"/>
      <c r="T743" s="21">
        <v>82</v>
      </c>
      <c r="U743" s="21">
        <v>702</v>
      </c>
      <c r="V743" s="21">
        <v>80</v>
      </c>
      <c r="W743" s="21">
        <v>158</v>
      </c>
      <c r="X743" s="22">
        <v>283.25</v>
      </c>
      <c r="Y743" s="22">
        <v>144</v>
      </c>
      <c r="Z743" s="21">
        <v>499.75</v>
      </c>
      <c r="AA743" s="21">
        <v>580</v>
      </c>
      <c r="AB743" s="12">
        <v>134</v>
      </c>
    </row>
    <row r="744" ht="14.25" spans="1:28">
      <c r="A744" s="13">
        <v>742</v>
      </c>
      <c r="B744" s="15">
        <v>15</v>
      </c>
      <c r="C744" s="16">
        <v>42</v>
      </c>
      <c r="D744" s="15" t="s">
        <v>1486</v>
      </c>
      <c r="E744" s="15" t="s">
        <v>1487</v>
      </c>
      <c r="F744" s="21">
        <v>103.5</v>
      </c>
      <c r="G744" s="21">
        <v>577</v>
      </c>
      <c r="H744" s="21">
        <v>79.5</v>
      </c>
      <c r="I744" s="21">
        <v>762</v>
      </c>
      <c r="J744" s="21">
        <v>84.5</v>
      </c>
      <c r="K744" s="21">
        <v>1438</v>
      </c>
      <c r="L744" s="21"/>
      <c r="M744" s="21"/>
      <c r="N744" s="21">
        <v>59</v>
      </c>
      <c r="O744" s="21">
        <v>524</v>
      </c>
      <c r="P744" s="21"/>
      <c r="Q744" s="21"/>
      <c r="R744" s="21"/>
      <c r="S744" s="21"/>
      <c r="T744" s="21">
        <v>77</v>
      </c>
      <c r="U744" s="21">
        <v>1108</v>
      </c>
      <c r="V744" s="21">
        <v>73</v>
      </c>
      <c r="W744" s="21">
        <v>356</v>
      </c>
      <c r="X744" s="22">
        <v>267.5</v>
      </c>
      <c r="Y744" s="22">
        <v>179</v>
      </c>
      <c r="Z744" s="21">
        <v>476.5</v>
      </c>
      <c r="AA744" s="21">
        <v>815</v>
      </c>
      <c r="AB744" s="12">
        <v>171</v>
      </c>
    </row>
    <row r="745" ht="14.25" spans="1:28">
      <c r="A745" s="13">
        <v>743</v>
      </c>
      <c r="B745" s="15">
        <v>15</v>
      </c>
      <c r="C745" s="16">
        <v>43</v>
      </c>
      <c r="D745" s="15" t="s">
        <v>1488</v>
      </c>
      <c r="E745" s="15" t="s">
        <v>1489</v>
      </c>
      <c r="F745" s="21">
        <v>103.5</v>
      </c>
      <c r="G745" s="21">
        <v>577</v>
      </c>
      <c r="H745" s="21">
        <v>86.5</v>
      </c>
      <c r="I745" s="21">
        <v>575</v>
      </c>
      <c r="J745" s="21">
        <v>111</v>
      </c>
      <c r="K745" s="21">
        <v>356</v>
      </c>
      <c r="L745" s="21"/>
      <c r="M745" s="21"/>
      <c r="N745" s="21">
        <v>48.5</v>
      </c>
      <c r="O745" s="21">
        <v>1763</v>
      </c>
      <c r="P745" s="21"/>
      <c r="Q745" s="21"/>
      <c r="R745" s="21"/>
      <c r="S745" s="21"/>
      <c r="T745" s="21">
        <v>80</v>
      </c>
      <c r="U745" s="21">
        <v>854</v>
      </c>
      <c r="V745" s="21">
        <v>80</v>
      </c>
      <c r="W745" s="21">
        <v>158</v>
      </c>
      <c r="X745" s="22">
        <v>301</v>
      </c>
      <c r="Y745" s="22">
        <v>96</v>
      </c>
      <c r="Z745" s="21">
        <v>509.5</v>
      </c>
      <c r="AA745" s="21">
        <v>483</v>
      </c>
      <c r="AB745" s="12">
        <v>112</v>
      </c>
    </row>
    <row r="746" ht="14.25" spans="1:28">
      <c r="A746" s="13">
        <v>744</v>
      </c>
      <c r="B746" s="15">
        <v>15</v>
      </c>
      <c r="C746" s="16">
        <v>44</v>
      </c>
      <c r="D746" s="15" t="s">
        <v>1490</v>
      </c>
      <c r="E746" s="15" t="s">
        <v>1491</v>
      </c>
      <c r="F746" s="21">
        <v>90</v>
      </c>
      <c r="G746" s="21">
        <v>2340</v>
      </c>
      <c r="H746" s="21">
        <v>90.5</v>
      </c>
      <c r="I746" s="21">
        <v>484</v>
      </c>
      <c r="J746" s="21">
        <v>101.5</v>
      </c>
      <c r="K746" s="21">
        <v>649</v>
      </c>
      <c r="L746" s="21"/>
      <c r="M746" s="21"/>
      <c r="N746" s="21">
        <v>54</v>
      </c>
      <c r="O746" s="21">
        <v>1056</v>
      </c>
      <c r="P746" s="21"/>
      <c r="Q746" s="21"/>
      <c r="R746" s="21"/>
      <c r="S746" s="21"/>
      <c r="T746" s="21">
        <v>78</v>
      </c>
      <c r="U746" s="21">
        <v>1003</v>
      </c>
      <c r="V746" s="21">
        <v>68</v>
      </c>
      <c r="W746" s="21">
        <v>527</v>
      </c>
      <c r="X746" s="22">
        <v>282</v>
      </c>
      <c r="Y746" s="22">
        <v>148</v>
      </c>
      <c r="Z746" s="21">
        <v>482</v>
      </c>
      <c r="AA746" s="21">
        <v>757</v>
      </c>
      <c r="AB746" s="12">
        <v>166</v>
      </c>
    </row>
    <row r="747" ht="14.25" spans="1:28">
      <c r="A747" s="13">
        <v>745</v>
      </c>
      <c r="B747" s="15">
        <v>15</v>
      </c>
      <c r="C747" s="16">
        <v>45</v>
      </c>
      <c r="D747" s="15" t="s">
        <v>1492</v>
      </c>
      <c r="E747" s="15" t="s">
        <v>1493</v>
      </c>
      <c r="F747" s="21">
        <v>97.5</v>
      </c>
      <c r="G747" s="21">
        <v>1268</v>
      </c>
      <c r="H747" s="21">
        <v>81</v>
      </c>
      <c r="I747" s="21">
        <v>717</v>
      </c>
      <c r="J747" s="21">
        <v>85</v>
      </c>
      <c r="K747" s="21">
        <v>1406</v>
      </c>
      <c r="L747" s="21"/>
      <c r="M747" s="21"/>
      <c r="N747" s="21">
        <v>52.5</v>
      </c>
      <c r="O747" s="21">
        <v>1205</v>
      </c>
      <c r="P747" s="21"/>
      <c r="Q747" s="21"/>
      <c r="R747" s="21"/>
      <c r="S747" s="21"/>
      <c r="T747" s="21">
        <v>80</v>
      </c>
      <c r="U747" s="21">
        <v>854</v>
      </c>
      <c r="V747" s="21">
        <v>74</v>
      </c>
      <c r="W747" s="21">
        <v>320</v>
      </c>
      <c r="X747" s="22">
        <v>263.5</v>
      </c>
      <c r="Y747" s="22">
        <v>188</v>
      </c>
      <c r="Z747" s="21">
        <v>470</v>
      </c>
      <c r="AA747" s="21">
        <v>888</v>
      </c>
      <c r="AB747" s="12">
        <v>178</v>
      </c>
    </row>
    <row r="748" ht="14.25" spans="1:28">
      <c r="A748" s="13">
        <v>746</v>
      </c>
      <c r="B748" s="15">
        <v>16</v>
      </c>
      <c r="C748" s="16">
        <v>1</v>
      </c>
      <c r="D748" s="15" t="s">
        <v>1494</v>
      </c>
      <c r="E748" s="15" t="s">
        <v>1495</v>
      </c>
      <c r="F748" s="21">
        <v>107</v>
      </c>
      <c r="G748" s="21">
        <v>307</v>
      </c>
      <c r="H748" s="21">
        <v>119.5</v>
      </c>
      <c r="I748" s="21">
        <v>35</v>
      </c>
      <c r="J748" s="21">
        <v>117</v>
      </c>
      <c r="K748" s="21">
        <v>222</v>
      </c>
      <c r="L748" s="21"/>
      <c r="M748" s="21"/>
      <c r="N748" s="21">
        <v>55</v>
      </c>
      <c r="O748" s="21">
        <v>914</v>
      </c>
      <c r="P748" s="21">
        <v>74</v>
      </c>
      <c r="Q748" s="21">
        <v>8</v>
      </c>
      <c r="R748" s="21"/>
      <c r="S748" s="21"/>
      <c r="T748" s="21"/>
      <c r="U748" s="21"/>
      <c r="V748" s="21">
        <v>86</v>
      </c>
      <c r="W748" s="21">
        <v>73</v>
      </c>
      <c r="X748" s="22">
        <v>343.5</v>
      </c>
      <c r="Y748" s="22">
        <v>9</v>
      </c>
      <c r="Z748" s="21">
        <v>558.5</v>
      </c>
      <c r="AA748" s="21">
        <v>186</v>
      </c>
      <c r="AB748" s="12">
        <v>31</v>
      </c>
    </row>
    <row r="749" ht="14.25" spans="1:28">
      <c r="A749" s="13">
        <v>747</v>
      </c>
      <c r="B749" s="15">
        <v>16</v>
      </c>
      <c r="C749" s="16">
        <v>2</v>
      </c>
      <c r="D749" s="15" t="s">
        <v>1496</v>
      </c>
      <c r="E749" s="15" t="s">
        <v>1497</v>
      </c>
      <c r="F749" s="21">
        <v>107</v>
      </c>
      <c r="G749" s="21">
        <v>307</v>
      </c>
      <c r="H749" s="21">
        <v>124</v>
      </c>
      <c r="I749" s="21">
        <v>18</v>
      </c>
      <c r="J749" s="21">
        <v>135</v>
      </c>
      <c r="K749" s="21">
        <v>7</v>
      </c>
      <c r="L749" s="21"/>
      <c r="M749" s="21"/>
      <c r="N749" s="21">
        <v>58.5</v>
      </c>
      <c r="O749" s="21">
        <v>550</v>
      </c>
      <c r="P749" s="21">
        <v>84</v>
      </c>
      <c r="Q749" s="21">
        <v>3</v>
      </c>
      <c r="R749" s="21"/>
      <c r="S749" s="21"/>
      <c r="T749" s="21"/>
      <c r="U749" s="21"/>
      <c r="V749" s="21">
        <v>93</v>
      </c>
      <c r="W749" s="21">
        <v>3</v>
      </c>
      <c r="X749" s="22">
        <v>366</v>
      </c>
      <c r="Y749" s="22">
        <v>2</v>
      </c>
      <c r="Z749" s="21">
        <v>601.5</v>
      </c>
      <c r="AA749" s="21">
        <v>28</v>
      </c>
      <c r="AB749" s="12">
        <v>2</v>
      </c>
    </row>
    <row r="750" ht="14.25" spans="1:28">
      <c r="A750" s="13">
        <v>748</v>
      </c>
      <c r="B750" s="15">
        <v>16</v>
      </c>
      <c r="C750" s="16">
        <v>3</v>
      </c>
      <c r="D750" s="15" t="s">
        <v>1498</v>
      </c>
      <c r="E750" s="15" t="s">
        <v>75</v>
      </c>
      <c r="F750" s="21">
        <v>102.5</v>
      </c>
      <c r="G750" s="21">
        <v>686</v>
      </c>
      <c r="H750" s="21">
        <v>126</v>
      </c>
      <c r="I750" s="21">
        <v>15</v>
      </c>
      <c r="J750" s="21">
        <v>106.25</v>
      </c>
      <c r="K750" s="21">
        <v>506</v>
      </c>
      <c r="L750" s="21"/>
      <c r="M750" s="21"/>
      <c r="N750" s="21">
        <v>62.5</v>
      </c>
      <c r="O750" s="21">
        <v>292</v>
      </c>
      <c r="P750" s="21"/>
      <c r="Q750" s="21"/>
      <c r="R750" s="21">
        <v>91</v>
      </c>
      <c r="S750" s="21">
        <v>30</v>
      </c>
      <c r="T750" s="21">
        <v>89</v>
      </c>
      <c r="U750" s="21">
        <v>137</v>
      </c>
      <c r="V750" s="21"/>
      <c r="W750" s="21"/>
      <c r="X750" s="22">
        <v>334.75</v>
      </c>
      <c r="Y750" s="22">
        <v>18</v>
      </c>
      <c r="Z750" s="21">
        <v>577.25</v>
      </c>
      <c r="AA750" s="21">
        <v>91</v>
      </c>
      <c r="AB750" s="12">
        <v>9</v>
      </c>
    </row>
    <row r="751" ht="14.25" spans="1:28">
      <c r="A751" s="13">
        <v>749</v>
      </c>
      <c r="B751" s="15">
        <v>16</v>
      </c>
      <c r="C751" s="16">
        <v>4</v>
      </c>
      <c r="D751" s="15" t="s">
        <v>1499</v>
      </c>
      <c r="E751" s="15" t="s">
        <v>1500</v>
      </c>
      <c r="F751" s="21">
        <v>103.5</v>
      </c>
      <c r="G751" s="21">
        <v>577</v>
      </c>
      <c r="H751" s="21">
        <v>112</v>
      </c>
      <c r="I751" s="21">
        <v>96</v>
      </c>
      <c r="J751" s="21">
        <v>113.75</v>
      </c>
      <c r="K751" s="21">
        <v>293</v>
      </c>
      <c r="L751" s="21"/>
      <c r="M751" s="21"/>
      <c r="N751" s="21">
        <v>69.5</v>
      </c>
      <c r="O751" s="21">
        <v>58</v>
      </c>
      <c r="P751" s="21"/>
      <c r="Q751" s="21"/>
      <c r="R751" s="21"/>
      <c r="S751" s="21"/>
      <c r="T751" s="21">
        <v>93</v>
      </c>
      <c r="U751" s="21">
        <v>12</v>
      </c>
      <c r="V751" s="21">
        <v>80</v>
      </c>
      <c r="W751" s="21">
        <v>158</v>
      </c>
      <c r="X751" s="22">
        <v>329.25</v>
      </c>
      <c r="Y751" s="22">
        <v>25</v>
      </c>
      <c r="Z751" s="21">
        <v>571.75</v>
      </c>
      <c r="AA751" s="21">
        <v>119</v>
      </c>
      <c r="AB751" s="12">
        <v>16</v>
      </c>
    </row>
    <row r="752" ht="14.25" spans="1:28">
      <c r="A752" s="13">
        <v>750</v>
      </c>
      <c r="B752" s="15">
        <v>16</v>
      </c>
      <c r="C752" s="16">
        <v>5</v>
      </c>
      <c r="D752" s="15" t="s">
        <v>1501</v>
      </c>
      <c r="E752" s="15" t="s">
        <v>1502</v>
      </c>
      <c r="F752" s="21">
        <v>103.5</v>
      </c>
      <c r="G752" s="21">
        <v>577</v>
      </c>
      <c r="H752" s="21">
        <v>119</v>
      </c>
      <c r="I752" s="21">
        <v>37</v>
      </c>
      <c r="J752" s="21">
        <v>123</v>
      </c>
      <c r="K752" s="21">
        <v>102</v>
      </c>
      <c r="L752" s="21"/>
      <c r="M752" s="21"/>
      <c r="N752" s="21">
        <v>64.5</v>
      </c>
      <c r="O752" s="21">
        <v>210</v>
      </c>
      <c r="P752" s="21"/>
      <c r="Q752" s="21"/>
      <c r="R752" s="21"/>
      <c r="S752" s="21"/>
      <c r="T752" s="21">
        <v>84</v>
      </c>
      <c r="U752" s="21">
        <v>578</v>
      </c>
      <c r="V752" s="21">
        <v>86</v>
      </c>
      <c r="W752" s="21">
        <v>73</v>
      </c>
      <c r="X752" s="22">
        <v>345.5</v>
      </c>
      <c r="Y752" s="22">
        <v>7</v>
      </c>
      <c r="Z752" s="21">
        <v>580</v>
      </c>
      <c r="AA752" s="21">
        <v>77</v>
      </c>
      <c r="AB752" s="12">
        <v>7</v>
      </c>
    </row>
    <row r="753" ht="14.25" spans="1:28">
      <c r="A753" s="13">
        <v>751</v>
      </c>
      <c r="B753" s="15">
        <v>16</v>
      </c>
      <c r="C753" s="16">
        <v>6</v>
      </c>
      <c r="D753" s="15" t="s">
        <v>1503</v>
      </c>
      <c r="E753" s="15" t="s">
        <v>1029</v>
      </c>
      <c r="F753" s="21">
        <v>104</v>
      </c>
      <c r="G753" s="21">
        <v>526</v>
      </c>
      <c r="H753" s="21">
        <v>109.5</v>
      </c>
      <c r="I753" s="21">
        <v>136</v>
      </c>
      <c r="J753" s="21">
        <v>125</v>
      </c>
      <c r="K753" s="21">
        <v>77</v>
      </c>
      <c r="L753" s="21"/>
      <c r="M753" s="21"/>
      <c r="N753" s="21">
        <v>53</v>
      </c>
      <c r="O753" s="21">
        <v>1155</v>
      </c>
      <c r="P753" s="21"/>
      <c r="Q753" s="21"/>
      <c r="R753" s="21"/>
      <c r="S753" s="21"/>
      <c r="T753" s="21">
        <v>93</v>
      </c>
      <c r="U753" s="21">
        <v>12</v>
      </c>
      <c r="V753" s="21">
        <v>84</v>
      </c>
      <c r="W753" s="21">
        <v>104</v>
      </c>
      <c r="X753" s="22">
        <v>338.5</v>
      </c>
      <c r="Y753" s="22">
        <v>13</v>
      </c>
      <c r="Z753" s="21">
        <v>568.5</v>
      </c>
      <c r="AA753" s="21">
        <v>137</v>
      </c>
      <c r="AB753" s="12">
        <v>19</v>
      </c>
    </row>
    <row r="754" ht="14.25" spans="1:28">
      <c r="A754" s="13">
        <v>752</v>
      </c>
      <c r="B754" s="15">
        <v>16</v>
      </c>
      <c r="C754" s="16">
        <v>7</v>
      </c>
      <c r="D754" s="15" t="s">
        <v>1504</v>
      </c>
      <c r="E754" s="15" t="s">
        <v>1505</v>
      </c>
      <c r="F754" s="21">
        <v>114.5</v>
      </c>
      <c r="G754" s="21">
        <v>52</v>
      </c>
      <c r="H754" s="21">
        <v>130</v>
      </c>
      <c r="I754" s="21">
        <v>9</v>
      </c>
      <c r="J754" s="21">
        <v>122.25</v>
      </c>
      <c r="K754" s="21">
        <v>123</v>
      </c>
      <c r="L754" s="21"/>
      <c r="M754" s="21"/>
      <c r="N754" s="21">
        <v>64</v>
      </c>
      <c r="O754" s="21">
        <v>232</v>
      </c>
      <c r="P754" s="21"/>
      <c r="Q754" s="21"/>
      <c r="R754" s="21"/>
      <c r="S754" s="21"/>
      <c r="T754" s="21">
        <v>94</v>
      </c>
      <c r="U754" s="21">
        <v>8</v>
      </c>
      <c r="V754" s="21">
        <v>91</v>
      </c>
      <c r="W754" s="21">
        <v>9</v>
      </c>
      <c r="X754" s="22">
        <v>366.75</v>
      </c>
      <c r="Y754" s="22">
        <v>1</v>
      </c>
      <c r="Z754" s="21">
        <v>615.75</v>
      </c>
      <c r="AA754" s="21">
        <v>11</v>
      </c>
      <c r="AB754" s="12">
        <v>1</v>
      </c>
    </row>
    <row r="755" ht="14.25" spans="1:28">
      <c r="A755" s="13">
        <v>753</v>
      </c>
      <c r="B755" s="15">
        <v>16</v>
      </c>
      <c r="C755" s="16">
        <v>8</v>
      </c>
      <c r="D755" s="15" t="s">
        <v>1506</v>
      </c>
      <c r="E755" s="15" t="s">
        <v>1507</v>
      </c>
      <c r="F755" s="21">
        <v>104.5</v>
      </c>
      <c r="G755" s="21">
        <v>475</v>
      </c>
      <c r="H755" s="21">
        <v>93.5</v>
      </c>
      <c r="I755" s="21">
        <v>401</v>
      </c>
      <c r="J755" s="21">
        <v>114.5</v>
      </c>
      <c r="K755" s="21">
        <v>271</v>
      </c>
      <c r="L755" s="21"/>
      <c r="M755" s="21"/>
      <c r="N755" s="21">
        <v>69</v>
      </c>
      <c r="O755" s="21">
        <v>71</v>
      </c>
      <c r="P755" s="21"/>
      <c r="Q755" s="21"/>
      <c r="R755" s="21"/>
      <c r="S755" s="21"/>
      <c r="T755" s="21">
        <v>92</v>
      </c>
      <c r="U755" s="21">
        <v>30</v>
      </c>
      <c r="V755" s="21">
        <v>88</v>
      </c>
      <c r="W755" s="21">
        <v>30</v>
      </c>
      <c r="X755" s="22">
        <v>312.5</v>
      </c>
      <c r="Y755" s="22">
        <v>64</v>
      </c>
      <c r="Z755" s="21">
        <v>561.5</v>
      </c>
      <c r="AA755" s="21">
        <v>172</v>
      </c>
      <c r="AB755" s="12">
        <v>29</v>
      </c>
    </row>
    <row r="756" ht="14.25" spans="1:28">
      <c r="A756" s="13">
        <v>754</v>
      </c>
      <c r="B756" s="15">
        <v>16</v>
      </c>
      <c r="C756" s="16">
        <v>9</v>
      </c>
      <c r="D756" s="15" t="s">
        <v>1508</v>
      </c>
      <c r="E756" s="15" t="s">
        <v>1509</v>
      </c>
      <c r="F756" s="21">
        <v>100.5</v>
      </c>
      <c r="G756" s="21">
        <v>901</v>
      </c>
      <c r="H756" s="21">
        <v>97.5</v>
      </c>
      <c r="I756" s="21">
        <v>318</v>
      </c>
      <c r="J756" s="21">
        <v>111.5</v>
      </c>
      <c r="K756" s="21">
        <v>346</v>
      </c>
      <c r="L756" s="21"/>
      <c r="M756" s="21"/>
      <c r="N756" s="21">
        <v>72</v>
      </c>
      <c r="O756" s="21">
        <v>20</v>
      </c>
      <c r="P756" s="21"/>
      <c r="Q756" s="21"/>
      <c r="R756" s="21"/>
      <c r="S756" s="21"/>
      <c r="T756" s="21">
        <v>88</v>
      </c>
      <c r="U756" s="21">
        <v>227</v>
      </c>
      <c r="V756" s="21">
        <v>79</v>
      </c>
      <c r="W756" s="21">
        <v>194</v>
      </c>
      <c r="X756" s="22">
        <v>309.5</v>
      </c>
      <c r="Y756" s="22">
        <v>73</v>
      </c>
      <c r="Z756" s="21">
        <v>548.5</v>
      </c>
      <c r="AA756" s="21">
        <v>238</v>
      </c>
      <c r="AB756" s="12">
        <v>44</v>
      </c>
    </row>
    <row r="757" ht="14.25" spans="1:28">
      <c r="A757" s="13">
        <v>755</v>
      </c>
      <c r="B757" s="15">
        <v>16</v>
      </c>
      <c r="C757" s="16">
        <v>10</v>
      </c>
      <c r="D757" s="15" t="s">
        <v>1510</v>
      </c>
      <c r="E757" s="15" t="s">
        <v>1511</v>
      </c>
      <c r="F757" s="21">
        <v>99.5</v>
      </c>
      <c r="G757" s="21">
        <v>1010</v>
      </c>
      <c r="H757" s="21">
        <v>118.5</v>
      </c>
      <c r="I757" s="21">
        <v>43</v>
      </c>
      <c r="J757" s="21">
        <v>131</v>
      </c>
      <c r="K757" s="21">
        <v>23</v>
      </c>
      <c r="L757" s="21"/>
      <c r="M757" s="21"/>
      <c r="N757" s="21">
        <v>67.5</v>
      </c>
      <c r="O757" s="21">
        <v>103</v>
      </c>
      <c r="P757" s="21"/>
      <c r="Q757" s="21"/>
      <c r="R757" s="21"/>
      <c r="S757" s="21"/>
      <c r="T757" s="21">
        <v>85</v>
      </c>
      <c r="U757" s="21">
        <v>537</v>
      </c>
      <c r="V757" s="21">
        <v>88</v>
      </c>
      <c r="W757" s="21">
        <v>30</v>
      </c>
      <c r="X757" s="22">
        <v>349</v>
      </c>
      <c r="Y757" s="22">
        <v>5</v>
      </c>
      <c r="Z757" s="21">
        <v>589.5</v>
      </c>
      <c r="AA757" s="21">
        <v>49</v>
      </c>
      <c r="AB757" s="12">
        <v>3</v>
      </c>
    </row>
    <row r="758" ht="14.25" spans="1:28">
      <c r="A758" s="13">
        <v>756</v>
      </c>
      <c r="B758" s="15">
        <v>16</v>
      </c>
      <c r="C758" s="16">
        <v>11</v>
      </c>
      <c r="D758" s="15" t="s">
        <v>1512</v>
      </c>
      <c r="E758" s="15" t="s">
        <v>65</v>
      </c>
      <c r="F758" s="21">
        <v>100</v>
      </c>
      <c r="G758" s="21">
        <v>958</v>
      </c>
      <c r="H758" s="21">
        <v>125</v>
      </c>
      <c r="I758" s="21">
        <v>16</v>
      </c>
      <c r="J758" s="21">
        <v>118.25</v>
      </c>
      <c r="K758" s="21">
        <v>196</v>
      </c>
      <c r="L758" s="21"/>
      <c r="M758" s="21"/>
      <c r="N758" s="21">
        <v>56</v>
      </c>
      <c r="O758" s="21">
        <v>804</v>
      </c>
      <c r="P758" s="21"/>
      <c r="Q758" s="21"/>
      <c r="R758" s="21"/>
      <c r="S758" s="21"/>
      <c r="T758" s="21">
        <v>87</v>
      </c>
      <c r="U758" s="21">
        <v>333</v>
      </c>
      <c r="V758" s="21">
        <v>82</v>
      </c>
      <c r="W758" s="21">
        <v>124</v>
      </c>
      <c r="X758" s="22">
        <v>343.25</v>
      </c>
      <c r="Y758" s="22">
        <v>10</v>
      </c>
      <c r="Z758" s="21">
        <v>568.25</v>
      </c>
      <c r="AA758" s="21">
        <v>139</v>
      </c>
      <c r="AB758" s="12">
        <v>20</v>
      </c>
    </row>
    <row r="759" ht="14.25" spans="1:28">
      <c r="A759" s="13">
        <v>757</v>
      </c>
      <c r="B759" s="15">
        <v>16</v>
      </c>
      <c r="C759" s="16">
        <v>12</v>
      </c>
      <c r="D759" s="15" t="s">
        <v>1513</v>
      </c>
      <c r="E759" s="15" t="s">
        <v>1514</v>
      </c>
      <c r="F759" s="21">
        <v>101.5</v>
      </c>
      <c r="G759" s="21">
        <v>805</v>
      </c>
      <c r="H759" s="21">
        <v>102.5</v>
      </c>
      <c r="I759" s="21">
        <v>229</v>
      </c>
      <c r="J759" s="21">
        <v>114</v>
      </c>
      <c r="K759" s="21">
        <v>281</v>
      </c>
      <c r="L759" s="21"/>
      <c r="M759" s="21"/>
      <c r="N759" s="21">
        <v>57.25</v>
      </c>
      <c r="O759" s="21">
        <v>688</v>
      </c>
      <c r="P759" s="21"/>
      <c r="Q759" s="21"/>
      <c r="R759" s="21"/>
      <c r="S759" s="21"/>
      <c r="T759" s="21">
        <v>91</v>
      </c>
      <c r="U759" s="21">
        <v>51</v>
      </c>
      <c r="V759" s="21">
        <v>87</v>
      </c>
      <c r="W759" s="21">
        <v>54</v>
      </c>
      <c r="X759" s="22">
        <v>318</v>
      </c>
      <c r="Y759" s="22">
        <v>46</v>
      </c>
      <c r="Z759" s="21">
        <v>553.25</v>
      </c>
      <c r="AA759" s="21">
        <v>211</v>
      </c>
      <c r="AB759" s="12">
        <v>39</v>
      </c>
    </row>
    <row r="760" ht="14.25" spans="1:28">
      <c r="A760" s="13">
        <v>758</v>
      </c>
      <c r="B760" s="15">
        <v>16</v>
      </c>
      <c r="C760" s="16">
        <v>13</v>
      </c>
      <c r="D760" s="15" t="s">
        <v>1515</v>
      </c>
      <c r="E760" s="15" t="s">
        <v>1516</v>
      </c>
      <c r="F760" s="21">
        <v>103.5</v>
      </c>
      <c r="G760" s="21">
        <v>577</v>
      </c>
      <c r="H760" s="21">
        <v>94</v>
      </c>
      <c r="I760" s="21">
        <v>391</v>
      </c>
      <c r="J760" s="21">
        <v>110.75</v>
      </c>
      <c r="K760" s="21">
        <v>369</v>
      </c>
      <c r="L760" s="21"/>
      <c r="M760" s="21"/>
      <c r="N760" s="21">
        <v>49</v>
      </c>
      <c r="O760" s="21">
        <v>1682</v>
      </c>
      <c r="P760" s="21"/>
      <c r="Q760" s="21"/>
      <c r="R760" s="21"/>
      <c r="S760" s="21"/>
      <c r="T760" s="21">
        <v>88</v>
      </c>
      <c r="U760" s="21">
        <v>227</v>
      </c>
      <c r="V760" s="21">
        <v>88</v>
      </c>
      <c r="W760" s="21">
        <v>30</v>
      </c>
      <c r="X760" s="22">
        <v>308.25</v>
      </c>
      <c r="Y760" s="22">
        <v>75</v>
      </c>
      <c r="Z760" s="21">
        <v>533.25</v>
      </c>
      <c r="AA760" s="21">
        <v>324</v>
      </c>
      <c r="AB760" s="12">
        <v>71</v>
      </c>
    </row>
    <row r="761" ht="14.25" spans="1:28">
      <c r="A761" s="13">
        <v>759</v>
      </c>
      <c r="B761" s="15">
        <v>16</v>
      </c>
      <c r="C761" s="16">
        <v>14</v>
      </c>
      <c r="D761" s="15" t="s">
        <v>1517</v>
      </c>
      <c r="E761" s="15" t="s">
        <v>1518</v>
      </c>
      <c r="F761" s="21">
        <v>113</v>
      </c>
      <c r="G761" s="21">
        <v>78</v>
      </c>
      <c r="H761" s="21">
        <v>93</v>
      </c>
      <c r="I761" s="21">
        <v>412</v>
      </c>
      <c r="J761" s="21">
        <v>118.5</v>
      </c>
      <c r="K761" s="21">
        <v>189</v>
      </c>
      <c r="L761" s="21"/>
      <c r="M761" s="21"/>
      <c r="N761" s="21">
        <v>63</v>
      </c>
      <c r="O761" s="21">
        <v>270</v>
      </c>
      <c r="P761" s="21"/>
      <c r="Q761" s="21"/>
      <c r="R761" s="21"/>
      <c r="S761" s="21"/>
      <c r="T761" s="21">
        <v>77</v>
      </c>
      <c r="U761" s="21">
        <v>1108</v>
      </c>
      <c r="V761" s="21">
        <v>81</v>
      </c>
      <c r="W761" s="21">
        <v>135</v>
      </c>
      <c r="X761" s="22">
        <v>324.5</v>
      </c>
      <c r="Y761" s="22">
        <v>37</v>
      </c>
      <c r="Z761" s="21">
        <v>545.5</v>
      </c>
      <c r="AA761" s="21">
        <v>258</v>
      </c>
      <c r="AB761" s="12">
        <v>50</v>
      </c>
    </row>
    <row r="762" ht="14.25" spans="1:28">
      <c r="A762" s="13">
        <v>760</v>
      </c>
      <c r="B762" s="15">
        <v>16</v>
      </c>
      <c r="C762" s="16">
        <v>15</v>
      </c>
      <c r="D762" s="15" t="s">
        <v>1519</v>
      </c>
      <c r="E762" s="15" t="s">
        <v>1520</v>
      </c>
      <c r="F762" s="21">
        <v>105</v>
      </c>
      <c r="G762" s="21">
        <v>437</v>
      </c>
      <c r="H762" s="21">
        <v>105</v>
      </c>
      <c r="I762" s="21">
        <v>189</v>
      </c>
      <c r="J762" s="21">
        <v>124</v>
      </c>
      <c r="K762" s="21">
        <v>89</v>
      </c>
      <c r="L762" s="21"/>
      <c r="M762" s="21"/>
      <c r="N762" s="21">
        <v>67</v>
      </c>
      <c r="O762" s="21">
        <v>119</v>
      </c>
      <c r="P762" s="21"/>
      <c r="Q762" s="21"/>
      <c r="R762" s="21"/>
      <c r="S762" s="21"/>
      <c r="T762" s="21">
        <v>75</v>
      </c>
      <c r="U762" s="21">
        <v>1272</v>
      </c>
      <c r="V762" s="21">
        <v>78</v>
      </c>
      <c r="W762" s="21">
        <v>215</v>
      </c>
      <c r="X762" s="22">
        <v>334</v>
      </c>
      <c r="Y762" s="22">
        <v>20</v>
      </c>
      <c r="Z762" s="21">
        <v>554</v>
      </c>
      <c r="AA762" s="21">
        <v>205</v>
      </c>
      <c r="AB762" s="12">
        <v>36</v>
      </c>
    </row>
    <row r="763" ht="14.25" spans="1:28">
      <c r="A763" s="13">
        <v>761</v>
      </c>
      <c r="B763" s="15">
        <v>16</v>
      </c>
      <c r="C763" s="16">
        <v>16</v>
      </c>
      <c r="D763" s="15" t="s">
        <v>1521</v>
      </c>
      <c r="E763" s="15" t="s">
        <v>1522</v>
      </c>
      <c r="F763" s="21">
        <v>111</v>
      </c>
      <c r="G763" s="21">
        <v>130</v>
      </c>
      <c r="H763" s="21">
        <v>110</v>
      </c>
      <c r="I763" s="21">
        <v>132</v>
      </c>
      <c r="J763" s="21">
        <v>123.5</v>
      </c>
      <c r="K763" s="21">
        <v>92</v>
      </c>
      <c r="L763" s="21"/>
      <c r="M763" s="21"/>
      <c r="N763" s="21">
        <v>50.5</v>
      </c>
      <c r="O763" s="21">
        <v>1493</v>
      </c>
      <c r="P763" s="21"/>
      <c r="Q763" s="21"/>
      <c r="R763" s="21"/>
      <c r="S763" s="21"/>
      <c r="T763" s="21">
        <v>88</v>
      </c>
      <c r="U763" s="21">
        <v>227</v>
      </c>
      <c r="V763" s="21">
        <v>81</v>
      </c>
      <c r="W763" s="21">
        <v>135</v>
      </c>
      <c r="X763" s="22">
        <v>344.5</v>
      </c>
      <c r="Y763" s="22">
        <v>8</v>
      </c>
      <c r="Z763" s="21">
        <v>564</v>
      </c>
      <c r="AA763" s="21">
        <v>161</v>
      </c>
      <c r="AB763" s="12">
        <v>26</v>
      </c>
    </row>
    <row r="764" ht="14.25" spans="1:28">
      <c r="A764" s="13">
        <v>762</v>
      </c>
      <c r="B764" s="15">
        <v>16</v>
      </c>
      <c r="C764" s="16">
        <v>17</v>
      </c>
      <c r="D764" s="15" t="s">
        <v>1523</v>
      </c>
      <c r="E764" s="15" t="s">
        <v>1524</v>
      </c>
      <c r="F764" s="21">
        <v>111</v>
      </c>
      <c r="G764" s="21">
        <v>130</v>
      </c>
      <c r="H764" s="21">
        <v>102.5</v>
      </c>
      <c r="I764" s="21">
        <v>229</v>
      </c>
      <c r="J764" s="21">
        <v>122.5</v>
      </c>
      <c r="K764" s="21">
        <v>117</v>
      </c>
      <c r="L764" s="21"/>
      <c r="M764" s="21"/>
      <c r="N764" s="21">
        <v>61.5</v>
      </c>
      <c r="O764" s="21">
        <v>347</v>
      </c>
      <c r="P764" s="21"/>
      <c r="Q764" s="21"/>
      <c r="R764" s="21"/>
      <c r="S764" s="21"/>
      <c r="T764" s="21">
        <v>88</v>
      </c>
      <c r="U764" s="21">
        <v>227</v>
      </c>
      <c r="V764" s="21">
        <v>87</v>
      </c>
      <c r="W764" s="21">
        <v>54</v>
      </c>
      <c r="X764" s="22">
        <v>336</v>
      </c>
      <c r="Y764" s="22">
        <v>15</v>
      </c>
      <c r="Z764" s="21">
        <v>572.5</v>
      </c>
      <c r="AA764" s="21">
        <v>111</v>
      </c>
      <c r="AB764" s="12">
        <v>14</v>
      </c>
    </row>
    <row r="765" ht="14.25" spans="1:28">
      <c r="A765" s="13">
        <v>763</v>
      </c>
      <c r="B765" s="15">
        <v>16</v>
      </c>
      <c r="C765" s="16">
        <v>18</v>
      </c>
      <c r="D765" s="15" t="s">
        <v>1525</v>
      </c>
      <c r="E765" s="15" t="s">
        <v>1526</v>
      </c>
      <c r="F765" s="21">
        <v>107.5</v>
      </c>
      <c r="G765" s="21">
        <v>270</v>
      </c>
      <c r="H765" s="21">
        <v>97.5</v>
      </c>
      <c r="I765" s="21">
        <v>318</v>
      </c>
      <c r="J765" s="21">
        <v>113</v>
      </c>
      <c r="K765" s="21">
        <v>307</v>
      </c>
      <c r="L765" s="21"/>
      <c r="M765" s="21"/>
      <c r="N765" s="21">
        <v>60</v>
      </c>
      <c r="O765" s="21">
        <v>457</v>
      </c>
      <c r="P765" s="21"/>
      <c r="Q765" s="21"/>
      <c r="R765" s="21"/>
      <c r="S765" s="21"/>
      <c r="T765" s="21">
        <v>89</v>
      </c>
      <c r="U765" s="21">
        <v>137</v>
      </c>
      <c r="V765" s="21">
        <v>89</v>
      </c>
      <c r="W765" s="21">
        <v>23</v>
      </c>
      <c r="X765" s="22">
        <v>318</v>
      </c>
      <c r="Y765" s="22">
        <v>46</v>
      </c>
      <c r="Z765" s="21">
        <v>556</v>
      </c>
      <c r="AA765" s="21">
        <v>199</v>
      </c>
      <c r="AB765" s="12">
        <v>34</v>
      </c>
    </row>
    <row r="766" ht="14.25" spans="1:28">
      <c r="A766" s="13">
        <v>764</v>
      </c>
      <c r="B766" s="15">
        <v>16</v>
      </c>
      <c r="C766" s="16">
        <v>19</v>
      </c>
      <c r="D766" s="15" t="s">
        <v>1527</v>
      </c>
      <c r="E766" s="15" t="s">
        <v>1528</v>
      </c>
      <c r="F766" s="21">
        <v>103.5</v>
      </c>
      <c r="G766" s="21">
        <v>577</v>
      </c>
      <c r="H766" s="21">
        <v>107.5</v>
      </c>
      <c r="I766" s="21">
        <v>160</v>
      </c>
      <c r="J766" s="21">
        <v>121.5</v>
      </c>
      <c r="K766" s="21">
        <v>134</v>
      </c>
      <c r="L766" s="21"/>
      <c r="M766" s="21"/>
      <c r="N766" s="21">
        <v>67</v>
      </c>
      <c r="O766" s="21">
        <v>119</v>
      </c>
      <c r="P766" s="21"/>
      <c r="Q766" s="21"/>
      <c r="R766" s="21"/>
      <c r="S766" s="21"/>
      <c r="T766" s="21">
        <v>93</v>
      </c>
      <c r="U766" s="21">
        <v>12</v>
      </c>
      <c r="V766" s="21">
        <v>87</v>
      </c>
      <c r="W766" s="21">
        <v>54</v>
      </c>
      <c r="X766" s="22">
        <v>332.5</v>
      </c>
      <c r="Y766" s="22">
        <v>22</v>
      </c>
      <c r="Z766" s="21">
        <v>579.5</v>
      </c>
      <c r="AA766" s="21">
        <v>80</v>
      </c>
      <c r="AB766" s="12">
        <v>8</v>
      </c>
    </row>
    <row r="767" ht="14.25" spans="1:28">
      <c r="A767" s="13">
        <v>765</v>
      </c>
      <c r="B767" s="15">
        <v>16</v>
      </c>
      <c r="C767" s="16">
        <v>20</v>
      </c>
      <c r="D767" s="15" t="s">
        <v>1529</v>
      </c>
      <c r="E767" s="15" t="s">
        <v>1530</v>
      </c>
      <c r="F767" s="21">
        <v>117.5</v>
      </c>
      <c r="G767" s="21">
        <v>26</v>
      </c>
      <c r="H767" s="21">
        <v>113</v>
      </c>
      <c r="I767" s="21">
        <v>86</v>
      </c>
      <c r="J767" s="21">
        <v>120</v>
      </c>
      <c r="K767" s="21">
        <v>160</v>
      </c>
      <c r="L767" s="21"/>
      <c r="M767" s="21"/>
      <c r="N767" s="21">
        <v>51.5</v>
      </c>
      <c r="O767" s="21">
        <v>1342</v>
      </c>
      <c r="P767" s="21"/>
      <c r="Q767" s="21"/>
      <c r="R767" s="21"/>
      <c r="S767" s="21"/>
      <c r="T767" s="21">
        <v>92</v>
      </c>
      <c r="U767" s="21">
        <v>30</v>
      </c>
      <c r="V767" s="21">
        <v>88</v>
      </c>
      <c r="W767" s="21">
        <v>30</v>
      </c>
      <c r="X767" s="22">
        <v>350.5</v>
      </c>
      <c r="Y767" s="22">
        <v>4</v>
      </c>
      <c r="Z767" s="21">
        <v>582</v>
      </c>
      <c r="AA767" s="21">
        <v>70</v>
      </c>
      <c r="AB767" s="12">
        <v>6</v>
      </c>
    </row>
    <row r="768" ht="14.25" spans="1:28">
      <c r="A768" s="13">
        <v>766</v>
      </c>
      <c r="B768" s="15">
        <v>16</v>
      </c>
      <c r="C768" s="16">
        <v>21</v>
      </c>
      <c r="D768" s="15" t="s">
        <v>1531</v>
      </c>
      <c r="E768" s="15" t="s">
        <v>1532</v>
      </c>
      <c r="F768" s="21">
        <v>102.75</v>
      </c>
      <c r="G768" s="21">
        <v>678</v>
      </c>
      <c r="H768" s="21">
        <v>124</v>
      </c>
      <c r="I768" s="21">
        <v>18</v>
      </c>
      <c r="J768" s="21">
        <v>126</v>
      </c>
      <c r="K768" s="21">
        <v>66</v>
      </c>
      <c r="L768" s="21"/>
      <c r="M768" s="21"/>
      <c r="N768" s="21">
        <v>59</v>
      </c>
      <c r="O768" s="21">
        <v>524</v>
      </c>
      <c r="P768" s="21"/>
      <c r="Q768" s="21"/>
      <c r="R768" s="21"/>
      <c r="S768" s="21"/>
      <c r="T768" s="21">
        <v>80</v>
      </c>
      <c r="U768" s="21">
        <v>854</v>
      </c>
      <c r="V768" s="21">
        <v>84</v>
      </c>
      <c r="W768" s="21">
        <v>104</v>
      </c>
      <c r="X768" s="22">
        <v>352.75</v>
      </c>
      <c r="Y768" s="22">
        <v>3</v>
      </c>
      <c r="Z768" s="21">
        <v>575.75</v>
      </c>
      <c r="AA768" s="21">
        <v>102</v>
      </c>
      <c r="AB768" s="12">
        <v>12</v>
      </c>
    </row>
    <row r="769" ht="14.25" spans="1:28">
      <c r="A769" s="13">
        <v>767</v>
      </c>
      <c r="B769" s="15">
        <v>16</v>
      </c>
      <c r="C769" s="16">
        <v>22</v>
      </c>
      <c r="D769" s="15" t="s">
        <v>1533</v>
      </c>
      <c r="E769" s="15" t="s">
        <v>1534</v>
      </c>
      <c r="F769" s="21">
        <v>107.5</v>
      </c>
      <c r="G769" s="21">
        <v>270</v>
      </c>
      <c r="H769" s="21">
        <v>108</v>
      </c>
      <c r="I769" s="21">
        <v>154</v>
      </c>
      <c r="J769" s="21">
        <v>130.5</v>
      </c>
      <c r="K769" s="21">
        <v>27</v>
      </c>
      <c r="L769" s="21"/>
      <c r="M769" s="21"/>
      <c r="N769" s="21">
        <v>58</v>
      </c>
      <c r="O769" s="21">
        <v>588</v>
      </c>
      <c r="P769" s="21"/>
      <c r="Q769" s="21"/>
      <c r="R769" s="21"/>
      <c r="S769" s="21"/>
      <c r="T769" s="21">
        <v>83</v>
      </c>
      <c r="U769" s="21">
        <v>616</v>
      </c>
      <c r="V769" s="21">
        <v>81</v>
      </c>
      <c r="W769" s="21">
        <v>135</v>
      </c>
      <c r="X769" s="22">
        <v>346</v>
      </c>
      <c r="Y769" s="22">
        <v>6</v>
      </c>
      <c r="Z769" s="21">
        <v>568</v>
      </c>
      <c r="AA769" s="21">
        <v>142</v>
      </c>
      <c r="AB769" s="12">
        <v>22</v>
      </c>
    </row>
    <row r="770" ht="14.25" spans="1:28">
      <c r="A770" s="13">
        <v>768</v>
      </c>
      <c r="B770" s="15">
        <v>16</v>
      </c>
      <c r="C770" s="16">
        <v>23</v>
      </c>
      <c r="D770" s="15" t="s">
        <v>1535</v>
      </c>
      <c r="E770" s="15" t="s">
        <v>1536</v>
      </c>
      <c r="F770" s="21">
        <v>113</v>
      </c>
      <c r="G770" s="21">
        <v>78</v>
      </c>
      <c r="H770" s="21">
        <v>111.5</v>
      </c>
      <c r="I770" s="21">
        <v>106</v>
      </c>
      <c r="J770" s="21">
        <v>111</v>
      </c>
      <c r="K770" s="21">
        <v>356</v>
      </c>
      <c r="L770" s="21"/>
      <c r="M770" s="21"/>
      <c r="N770" s="21">
        <v>62</v>
      </c>
      <c r="O770" s="21">
        <v>315</v>
      </c>
      <c r="P770" s="21"/>
      <c r="Q770" s="21"/>
      <c r="R770" s="21"/>
      <c r="S770" s="21"/>
      <c r="T770" s="21">
        <v>96</v>
      </c>
      <c r="U770" s="21">
        <v>2</v>
      </c>
      <c r="V770" s="21">
        <v>83</v>
      </c>
      <c r="W770" s="21">
        <v>115</v>
      </c>
      <c r="X770" s="22">
        <v>335.5</v>
      </c>
      <c r="Y770" s="22">
        <v>16</v>
      </c>
      <c r="Z770" s="21">
        <v>576.5</v>
      </c>
      <c r="AA770" s="21">
        <v>98</v>
      </c>
      <c r="AB770" s="12">
        <v>11</v>
      </c>
    </row>
    <row r="771" ht="14.25" spans="1:28">
      <c r="A771" s="13">
        <v>769</v>
      </c>
      <c r="B771" s="15">
        <v>16</v>
      </c>
      <c r="C771" s="16">
        <v>25</v>
      </c>
      <c r="D771" s="15" t="s">
        <v>1537</v>
      </c>
      <c r="E771" s="15" t="s">
        <v>847</v>
      </c>
      <c r="F771" s="21">
        <v>111</v>
      </c>
      <c r="G771" s="21">
        <v>130</v>
      </c>
      <c r="H771" s="21">
        <v>88.5</v>
      </c>
      <c r="I771" s="21">
        <v>526</v>
      </c>
      <c r="J771" s="21">
        <v>102.5</v>
      </c>
      <c r="K771" s="21">
        <v>612</v>
      </c>
      <c r="L771" s="21"/>
      <c r="M771" s="21"/>
      <c r="N771" s="21">
        <v>58.5</v>
      </c>
      <c r="O771" s="21">
        <v>550</v>
      </c>
      <c r="P771" s="21"/>
      <c r="Q771" s="21"/>
      <c r="R771" s="21">
        <v>80</v>
      </c>
      <c r="S771" s="21">
        <v>535</v>
      </c>
      <c r="T771" s="21">
        <v>83</v>
      </c>
      <c r="U771" s="21">
        <v>616</v>
      </c>
      <c r="V771" s="21"/>
      <c r="W771" s="21"/>
      <c r="X771" s="22">
        <v>302</v>
      </c>
      <c r="Y771" s="22">
        <v>88</v>
      </c>
      <c r="Z771" s="21">
        <v>523.5</v>
      </c>
      <c r="AA771" s="21">
        <v>387</v>
      </c>
      <c r="AB771" s="12">
        <v>87</v>
      </c>
    </row>
    <row r="772" ht="14.25" spans="1:28">
      <c r="A772" s="13">
        <v>770</v>
      </c>
      <c r="B772" s="15">
        <v>16</v>
      </c>
      <c r="C772" s="16">
        <v>26</v>
      </c>
      <c r="D772" s="15" t="s">
        <v>1538</v>
      </c>
      <c r="E772" s="15" t="s">
        <v>1539</v>
      </c>
      <c r="F772" s="21">
        <v>108.5</v>
      </c>
      <c r="G772" s="21">
        <v>223</v>
      </c>
      <c r="H772" s="21">
        <v>98.5</v>
      </c>
      <c r="I772" s="21">
        <v>305</v>
      </c>
      <c r="J772" s="21">
        <v>118.5</v>
      </c>
      <c r="K772" s="21">
        <v>189</v>
      </c>
      <c r="L772" s="21"/>
      <c r="M772" s="21"/>
      <c r="N772" s="21">
        <v>64</v>
      </c>
      <c r="O772" s="21">
        <v>232</v>
      </c>
      <c r="P772" s="21"/>
      <c r="Q772" s="21"/>
      <c r="R772" s="21">
        <v>94</v>
      </c>
      <c r="S772" s="21">
        <v>5</v>
      </c>
      <c r="T772" s="21">
        <v>88</v>
      </c>
      <c r="U772" s="21">
        <v>227</v>
      </c>
      <c r="V772" s="21"/>
      <c r="W772" s="21"/>
      <c r="X772" s="22">
        <v>325.5</v>
      </c>
      <c r="Y772" s="22">
        <v>32</v>
      </c>
      <c r="Z772" s="21">
        <v>571.5</v>
      </c>
      <c r="AA772" s="21">
        <v>120</v>
      </c>
      <c r="AB772" s="12">
        <v>17</v>
      </c>
    </row>
    <row r="773" ht="14.25" spans="1:28">
      <c r="A773" s="13">
        <v>771</v>
      </c>
      <c r="B773" s="15">
        <v>16</v>
      </c>
      <c r="C773" s="16">
        <v>27</v>
      </c>
      <c r="D773" s="15" t="s">
        <v>1540</v>
      </c>
      <c r="E773" s="15" t="s">
        <v>1541</v>
      </c>
      <c r="F773" s="21">
        <v>105</v>
      </c>
      <c r="G773" s="21">
        <v>437</v>
      </c>
      <c r="H773" s="21">
        <v>113</v>
      </c>
      <c r="I773" s="21">
        <v>86</v>
      </c>
      <c r="J773" s="21">
        <v>120.5</v>
      </c>
      <c r="K773" s="21">
        <v>153</v>
      </c>
      <c r="L773" s="21"/>
      <c r="M773" s="21"/>
      <c r="N773" s="21">
        <v>66.5</v>
      </c>
      <c r="O773" s="21">
        <v>139</v>
      </c>
      <c r="P773" s="21"/>
      <c r="Q773" s="21"/>
      <c r="R773" s="21">
        <v>93</v>
      </c>
      <c r="S773" s="21">
        <v>12</v>
      </c>
      <c r="T773" s="21">
        <v>89</v>
      </c>
      <c r="U773" s="21">
        <v>137</v>
      </c>
      <c r="V773" s="21"/>
      <c r="W773" s="21"/>
      <c r="X773" s="22">
        <v>338.5</v>
      </c>
      <c r="Y773" s="22">
        <v>13</v>
      </c>
      <c r="Z773" s="21">
        <v>587</v>
      </c>
      <c r="AA773" s="21">
        <v>54</v>
      </c>
      <c r="AB773" s="12">
        <v>4</v>
      </c>
    </row>
    <row r="774" ht="14.25" spans="1:28">
      <c r="A774" s="13">
        <v>772</v>
      </c>
      <c r="B774" s="15">
        <v>16</v>
      </c>
      <c r="C774" s="16">
        <v>28</v>
      </c>
      <c r="D774" s="15" t="s">
        <v>1542</v>
      </c>
      <c r="E774" s="15" t="s">
        <v>1543</v>
      </c>
      <c r="F774" s="21">
        <v>112.5</v>
      </c>
      <c r="G774" s="21">
        <v>92</v>
      </c>
      <c r="H774" s="21">
        <v>89</v>
      </c>
      <c r="I774" s="21">
        <v>515</v>
      </c>
      <c r="J774" s="21">
        <v>122</v>
      </c>
      <c r="K774" s="21">
        <v>129</v>
      </c>
      <c r="L774" s="21"/>
      <c r="M774" s="21"/>
      <c r="N774" s="21">
        <v>63.5</v>
      </c>
      <c r="O774" s="21">
        <v>253</v>
      </c>
      <c r="P774" s="21"/>
      <c r="Q774" s="21"/>
      <c r="R774" s="21">
        <v>92</v>
      </c>
      <c r="S774" s="21">
        <v>16</v>
      </c>
      <c r="T774" s="21">
        <v>88</v>
      </c>
      <c r="U774" s="21">
        <v>227</v>
      </c>
      <c r="V774" s="21"/>
      <c r="W774" s="21"/>
      <c r="X774" s="22">
        <v>323.5</v>
      </c>
      <c r="Y774" s="22">
        <v>38</v>
      </c>
      <c r="Z774" s="21">
        <v>567</v>
      </c>
      <c r="AA774" s="21">
        <v>145</v>
      </c>
      <c r="AB774" s="12">
        <v>23</v>
      </c>
    </row>
    <row r="775" ht="14.25" spans="1:28">
      <c r="A775" s="13">
        <v>773</v>
      </c>
      <c r="B775" s="15">
        <v>16</v>
      </c>
      <c r="C775" s="16">
        <v>29</v>
      </c>
      <c r="D775" s="15" t="s">
        <v>1544</v>
      </c>
      <c r="E775" s="15" t="s">
        <v>1545</v>
      </c>
      <c r="F775" s="21">
        <v>101</v>
      </c>
      <c r="G775" s="21">
        <v>861</v>
      </c>
      <c r="H775" s="21">
        <v>119</v>
      </c>
      <c r="I775" s="21">
        <v>37</v>
      </c>
      <c r="J775" s="21">
        <v>105.5</v>
      </c>
      <c r="K775" s="21">
        <v>523</v>
      </c>
      <c r="L775" s="21"/>
      <c r="M775" s="21"/>
      <c r="N775" s="21">
        <v>56.5</v>
      </c>
      <c r="O775" s="21">
        <v>750</v>
      </c>
      <c r="P775" s="21"/>
      <c r="Q775" s="21"/>
      <c r="R775" s="21">
        <v>87</v>
      </c>
      <c r="S775" s="21">
        <v>202</v>
      </c>
      <c r="T775" s="21">
        <v>88</v>
      </c>
      <c r="U775" s="21">
        <v>227</v>
      </c>
      <c r="V775" s="21"/>
      <c r="W775" s="21"/>
      <c r="X775" s="22">
        <v>325.5</v>
      </c>
      <c r="Y775" s="22">
        <v>32</v>
      </c>
      <c r="Z775" s="21">
        <v>557</v>
      </c>
      <c r="AA775" s="21">
        <v>193</v>
      </c>
      <c r="AB775" s="12">
        <v>33</v>
      </c>
    </row>
    <row r="776" ht="14.25" spans="1:28">
      <c r="A776" s="13">
        <v>774</v>
      </c>
      <c r="B776" s="15">
        <v>16</v>
      </c>
      <c r="C776" s="16">
        <v>31</v>
      </c>
      <c r="D776" s="15" t="s">
        <v>1546</v>
      </c>
      <c r="E776" s="15" t="s">
        <v>1547</v>
      </c>
      <c r="F776" s="21">
        <v>114.5</v>
      </c>
      <c r="G776" s="21">
        <v>52</v>
      </c>
      <c r="H776" s="21">
        <v>80</v>
      </c>
      <c r="I776" s="21">
        <v>745</v>
      </c>
      <c r="J776" s="21">
        <v>124.75</v>
      </c>
      <c r="K776" s="21">
        <v>83</v>
      </c>
      <c r="L776" s="21"/>
      <c r="M776" s="21"/>
      <c r="N776" s="21">
        <v>82.5</v>
      </c>
      <c r="O776" s="21">
        <v>1</v>
      </c>
      <c r="P776" s="21"/>
      <c r="Q776" s="21"/>
      <c r="R776" s="21">
        <v>88</v>
      </c>
      <c r="S776" s="21">
        <v>123</v>
      </c>
      <c r="T776" s="21">
        <v>87</v>
      </c>
      <c r="U776" s="21">
        <v>333</v>
      </c>
      <c r="V776" s="21"/>
      <c r="W776" s="21"/>
      <c r="X776" s="22">
        <v>319.25</v>
      </c>
      <c r="Y776" s="22">
        <v>43</v>
      </c>
      <c r="Z776" s="21">
        <v>576.75</v>
      </c>
      <c r="AA776" s="21">
        <v>96</v>
      </c>
      <c r="AB776" s="12">
        <v>10</v>
      </c>
    </row>
    <row r="777" ht="14.25" spans="1:28">
      <c r="A777" s="13">
        <v>775</v>
      </c>
      <c r="B777" s="15">
        <v>16</v>
      </c>
      <c r="C777" s="16">
        <v>32</v>
      </c>
      <c r="D777" s="15" t="s">
        <v>1548</v>
      </c>
      <c r="E777" s="15" t="s">
        <v>1549</v>
      </c>
      <c r="F777" s="21">
        <v>110</v>
      </c>
      <c r="G777" s="21">
        <v>165</v>
      </c>
      <c r="H777" s="21">
        <v>106</v>
      </c>
      <c r="I777" s="21">
        <v>175</v>
      </c>
      <c r="J777" s="21">
        <v>119</v>
      </c>
      <c r="K777" s="21">
        <v>179</v>
      </c>
      <c r="L777" s="21"/>
      <c r="M777" s="21"/>
      <c r="N777" s="21">
        <v>66</v>
      </c>
      <c r="O777" s="21">
        <v>163</v>
      </c>
      <c r="P777" s="21"/>
      <c r="Q777" s="21"/>
      <c r="R777" s="21">
        <v>91</v>
      </c>
      <c r="S777" s="21">
        <v>30</v>
      </c>
      <c r="T777" s="21">
        <v>80</v>
      </c>
      <c r="U777" s="21">
        <v>854</v>
      </c>
      <c r="V777" s="21"/>
      <c r="W777" s="21"/>
      <c r="X777" s="22">
        <v>335</v>
      </c>
      <c r="Y777" s="22">
        <v>17</v>
      </c>
      <c r="Z777" s="21">
        <v>572</v>
      </c>
      <c r="AA777" s="21">
        <v>118</v>
      </c>
      <c r="AB777" s="12">
        <v>15</v>
      </c>
    </row>
    <row r="778" ht="14.25" spans="1:28">
      <c r="A778" s="13">
        <v>776</v>
      </c>
      <c r="B778" s="15">
        <v>16</v>
      </c>
      <c r="C778" s="16">
        <v>33</v>
      </c>
      <c r="D778" s="15" t="s">
        <v>1550</v>
      </c>
      <c r="E778" s="15" t="s">
        <v>1551</v>
      </c>
      <c r="F778" s="21">
        <v>108.5</v>
      </c>
      <c r="G778" s="21">
        <v>223</v>
      </c>
      <c r="H778" s="21">
        <v>95</v>
      </c>
      <c r="I778" s="21">
        <v>372</v>
      </c>
      <c r="J778" s="21">
        <v>123.25</v>
      </c>
      <c r="K778" s="21">
        <v>100</v>
      </c>
      <c r="L778" s="21"/>
      <c r="M778" s="21"/>
      <c r="N778" s="21">
        <v>61.5</v>
      </c>
      <c r="O778" s="21">
        <v>347</v>
      </c>
      <c r="P778" s="21"/>
      <c r="Q778" s="21"/>
      <c r="R778" s="21">
        <v>86</v>
      </c>
      <c r="S778" s="21">
        <v>293</v>
      </c>
      <c r="T778" s="21">
        <v>83</v>
      </c>
      <c r="U778" s="21">
        <v>616</v>
      </c>
      <c r="V778" s="21"/>
      <c r="W778" s="21"/>
      <c r="X778" s="22">
        <v>326.75</v>
      </c>
      <c r="Y778" s="22">
        <v>28</v>
      </c>
      <c r="Z778" s="21">
        <v>557.25</v>
      </c>
      <c r="AA778" s="21">
        <v>192</v>
      </c>
      <c r="AB778" s="12">
        <v>32</v>
      </c>
    </row>
    <row r="779" ht="14.25" spans="1:28">
      <c r="A779" s="13">
        <v>777</v>
      </c>
      <c r="B779" s="15">
        <v>16</v>
      </c>
      <c r="C779" s="16">
        <v>34</v>
      </c>
      <c r="D779" s="15" t="s">
        <v>1552</v>
      </c>
      <c r="E779" s="15" t="s">
        <v>1553</v>
      </c>
      <c r="F779" s="21">
        <v>107.5</v>
      </c>
      <c r="G779" s="21">
        <v>270</v>
      </c>
      <c r="H779" s="21">
        <v>119</v>
      </c>
      <c r="I779" s="21">
        <v>37</v>
      </c>
      <c r="J779" s="21">
        <v>114</v>
      </c>
      <c r="K779" s="21">
        <v>281</v>
      </c>
      <c r="L779" s="21"/>
      <c r="M779" s="21"/>
      <c r="N779" s="21">
        <v>70.5</v>
      </c>
      <c r="O779" s="21">
        <v>40</v>
      </c>
      <c r="P779" s="21"/>
      <c r="Q779" s="21"/>
      <c r="R779" s="21">
        <v>92</v>
      </c>
      <c r="S779" s="21">
        <v>16</v>
      </c>
      <c r="T779" s="21">
        <v>84</v>
      </c>
      <c r="U779" s="21">
        <v>578</v>
      </c>
      <c r="V779" s="21"/>
      <c r="W779" s="21"/>
      <c r="X779" s="22">
        <v>340.5</v>
      </c>
      <c r="Y779" s="22">
        <v>12</v>
      </c>
      <c r="Z779" s="21">
        <v>587</v>
      </c>
      <c r="AA779" s="21">
        <v>54</v>
      </c>
      <c r="AB779" s="12">
        <v>4</v>
      </c>
    </row>
    <row r="780" ht="14.25" spans="1:28">
      <c r="A780" s="13">
        <v>778</v>
      </c>
      <c r="B780" s="15">
        <v>16</v>
      </c>
      <c r="C780" s="16">
        <v>35</v>
      </c>
      <c r="D780" s="15" t="s">
        <v>1554</v>
      </c>
      <c r="E780" s="15" t="s">
        <v>1555</v>
      </c>
      <c r="F780" s="21">
        <v>101.25</v>
      </c>
      <c r="G780" s="21">
        <v>857</v>
      </c>
      <c r="H780" s="21">
        <v>107.5</v>
      </c>
      <c r="I780" s="21">
        <v>160</v>
      </c>
      <c r="J780" s="21">
        <v>120.5</v>
      </c>
      <c r="K780" s="21">
        <v>153</v>
      </c>
      <c r="L780" s="21"/>
      <c r="M780" s="21"/>
      <c r="N780" s="21">
        <v>58.5</v>
      </c>
      <c r="O780" s="21">
        <v>550</v>
      </c>
      <c r="P780" s="21"/>
      <c r="Q780" s="21"/>
      <c r="R780" s="21">
        <v>84</v>
      </c>
      <c r="S780" s="21">
        <v>369</v>
      </c>
      <c r="T780" s="21">
        <v>76</v>
      </c>
      <c r="U780" s="21">
        <v>1218</v>
      </c>
      <c r="V780" s="21"/>
      <c r="W780" s="21"/>
      <c r="X780" s="22">
        <v>329.25</v>
      </c>
      <c r="Y780" s="22">
        <v>25</v>
      </c>
      <c r="Z780" s="21">
        <v>547.75</v>
      </c>
      <c r="AA780" s="21">
        <v>242</v>
      </c>
      <c r="AB780" s="12">
        <v>45</v>
      </c>
    </row>
    <row r="781" ht="14.25" spans="1:28">
      <c r="A781" s="13">
        <v>779</v>
      </c>
      <c r="B781" s="15">
        <v>16</v>
      </c>
      <c r="C781" s="16">
        <v>36</v>
      </c>
      <c r="D781" s="15" t="s">
        <v>1556</v>
      </c>
      <c r="E781" s="15" t="s">
        <v>1557</v>
      </c>
      <c r="F781" s="21">
        <v>112.5</v>
      </c>
      <c r="G781" s="21">
        <v>92</v>
      </c>
      <c r="H781" s="21">
        <v>94</v>
      </c>
      <c r="I781" s="21">
        <v>391</v>
      </c>
      <c r="J781" s="21">
        <v>118.5</v>
      </c>
      <c r="K781" s="21">
        <v>189</v>
      </c>
      <c r="L781" s="21"/>
      <c r="M781" s="21"/>
      <c r="N781" s="21">
        <v>67</v>
      </c>
      <c r="O781" s="21">
        <v>119</v>
      </c>
      <c r="P781" s="21"/>
      <c r="Q781" s="21"/>
      <c r="R781" s="21">
        <v>71</v>
      </c>
      <c r="S781" s="21">
        <v>1117</v>
      </c>
      <c r="T781" s="21">
        <v>87</v>
      </c>
      <c r="U781" s="21">
        <v>333</v>
      </c>
      <c r="V781" s="21"/>
      <c r="W781" s="21"/>
      <c r="X781" s="22">
        <v>325</v>
      </c>
      <c r="Y781" s="22">
        <v>34</v>
      </c>
      <c r="Z781" s="21">
        <v>550</v>
      </c>
      <c r="AA781" s="21">
        <v>224</v>
      </c>
      <c r="AB781" s="12">
        <v>40</v>
      </c>
    </row>
    <row r="782" ht="14.25" spans="1:28">
      <c r="A782" s="13">
        <v>780</v>
      </c>
      <c r="B782" s="15">
        <v>16</v>
      </c>
      <c r="C782" s="16">
        <v>37</v>
      </c>
      <c r="D782" s="15" t="s">
        <v>1558</v>
      </c>
      <c r="E782" s="15" t="s">
        <v>1559</v>
      </c>
      <c r="F782" s="21">
        <v>118</v>
      </c>
      <c r="G782" s="21">
        <v>15</v>
      </c>
      <c r="H782" s="21">
        <v>109</v>
      </c>
      <c r="I782" s="21">
        <v>140</v>
      </c>
      <c r="J782" s="21">
        <v>116.25</v>
      </c>
      <c r="K782" s="21">
        <v>236</v>
      </c>
      <c r="L782" s="21"/>
      <c r="M782" s="21"/>
      <c r="N782" s="21">
        <v>71.5</v>
      </c>
      <c r="O782" s="21">
        <v>24</v>
      </c>
      <c r="P782" s="21"/>
      <c r="Q782" s="21"/>
      <c r="R782" s="21">
        <v>75</v>
      </c>
      <c r="S782" s="21">
        <v>873</v>
      </c>
      <c r="T782" s="21">
        <v>86</v>
      </c>
      <c r="U782" s="21">
        <v>465</v>
      </c>
      <c r="V782" s="21"/>
      <c r="W782" s="21"/>
      <c r="X782" s="22">
        <v>343.25</v>
      </c>
      <c r="Y782" s="22">
        <v>10</v>
      </c>
      <c r="Z782" s="21">
        <v>575.75</v>
      </c>
      <c r="AA782" s="21">
        <v>102</v>
      </c>
      <c r="AB782" s="12">
        <v>12</v>
      </c>
    </row>
    <row r="783" ht="14.25" spans="1:28">
      <c r="A783" s="13">
        <v>781</v>
      </c>
      <c r="B783" s="15">
        <v>16</v>
      </c>
      <c r="C783" s="16">
        <v>38</v>
      </c>
      <c r="D783" s="15" t="s">
        <v>1560</v>
      </c>
      <c r="E783" s="15" t="s">
        <v>1561</v>
      </c>
      <c r="F783" s="21">
        <v>90</v>
      </c>
      <c r="G783" s="21">
        <v>2340</v>
      </c>
      <c r="H783" s="21">
        <v>116.5</v>
      </c>
      <c r="I783" s="21">
        <v>57</v>
      </c>
      <c r="J783" s="21">
        <v>125</v>
      </c>
      <c r="K783" s="21">
        <v>77</v>
      </c>
      <c r="L783" s="21"/>
      <c r="M783" s="21"/>
      <c r="N783" s="21">
        <v>67</v>
      </c>
      <c r="O783" s="21">
        <v>119</v>
      </c>
      <c r="P783" s="21"/>
      <c r="Q783" s="21"/>
      <c r="R783" s="21">
        <v>79</v>
      </c>
      <c r="S783" s="21">
        <v>590</v>
      </c>
      <c r="T783" s="21">
        <v>84</v>
      </c>
      <c r="U783" s="21">
        <v>578</v>
      </c>
      <c r="V783" s="21"/>
      <c r="W783" s="21"/>
      <c r="X783" s="22">
        <v>331.5</v>
      </c>
      <c r="Y783" s="22">
        <v>23</v>
      </c>
      <c r="Z783" s="21">
        <v>561.5</v>
      </c>
      <c r="AA783" s="21">
        <v>172</v>
      </c>
      <c r="AB783" s="12">
        <v>29</v>
      </c>
    </row>
    <row r="784" ht="14.25" spans="1:28">
      <c r="A784" s="13">
        <v>782</v>
      </c>
      <c r="B784" s="15">
        <v>16</v>
      </c>
      <c r="C784" s="16">
        <v>39</v>
      </c>
      <c r="D784" s="15" t="s">
        <v>1562</v>
      </c>
      <c r="E784" s="15" t="s">
        <v>1563</v>
      </c>
      <c r="F784" s="21">
        <v>106</v>
      </c>
      <c r="G784" s="21">
        <v>367</v>
      </c>
      <c r="H784" s="21">
        <v>95.5</v>
      </c>
      <c r="I784" s="21">
        <v>360</v>
      </c>
      <c r="J784" s="21">
        <v>117</v>
      </c>
      <c r="K784" s="21">
        <v>222</v>
      </c>
      <c r="L784" s="21"/>
      <c r="M784" s="21"/>
      <c r="N784" s="21">
        <v>56</v>
      </c>
      <c r="O784" s="21">
        <v>804</v>
      </c>
      <c r="P784" s="21"/>
      <c r="Q784" s="21"/>
      <c r="R784" s="21">
        <v>87</v>
      </c>
      <c r="S784" s="21">
        <v>202</v>
      </c>
      <c r="T784" s="21">
        <v>75</v>
      </c>
      <c r="U784" s="21">
        <v>1272</v>
      </c>
      <c r="V784" s="21"/>
      <c r="W784" s="21"/>
      <c r="X784" s="22">
        <v>318.5</v>
      </c>
      <c r="Y784" s="22">
        <v>45</v>
      </c>
      <c r="Z784" s="21">
        <v>536.5</v>
      </c>
      <c r="AA784" s="21">
        <v>305</v>
      </c>
      <c r="AB784" s="12">
        <v>63</v>
      </c>
    </row>
    <row r="785" ht="14.25" spans="1:28">
      <c r="A785" s="13">
        <v>783</v>
      </c>
      <c r="B785" s="15">
        <v>16</v>
      </c>
      <c r="C785" s="16">
        <v>40</v>
      </c>
      <c r="D785" s="15" t="s">
        <v>1564</v>
      </c>
      <c r="E785" s="15" t="s">
        <v>1565</v>
      </c>
      <c r="F785" s="21">
        <v>99.25</v>
      </c>
      <c r="G785" s="21">
        <v>1060</v>
      </c>
      <c r="H785" s="21">
        <v>95.5</v>
      </c>
      <c r="I785" s="21">
        <v>360</v>
      </c>
      <c r="J785" s="21">
        <v>120.5</v>
      </c>
      <c r="K785" s="21">
        <v>153</v>
      </c>
      <c r="L785" s="21"/>
      <c r="M785" s="21"/>
      <c r="N785" s="21">
        <v>68</v>
      </c>
      <c r="O785" s="21">
        <v>93</v>
      </c>
      <c r="P785" s="21"/>
      <c r="Q785" s="21"/>
      <c r="R785" s="21">
        <v>76</v>
      </c>
      <c r="S785" s="21">
        <v>788</v>
      </c>
      <c r="T785" s="21">
        <v>88</v>
      </c>
      <c r="U785" s="21">
        <v>227</v>
      </c>
      <c r="V785" s="21"/>
      <c r="W785" s="21"/>
      <c r="X785" s="22">
        <v>315.25</v>
      </c>
      <c r="Y785" s="22">
        <v>54</v>
      </c>
      <c r="Z785" s="21">
        <v>547.25</v>
      </c>
      <c r="AA785" s="21">
        <v>246</v>
      </c>
      <c r="AB785" s="12">
        <v>47</v>
      </c>
    </row>
    <row r="786" ht="14.25" spans="1:28">
      <c r="A786" s="13">
        <v>784</v>
      </c>
      <c r="B786" s="15">
        <v>17</v>
      </c>
      <c r="C786" s="16">
        <v>1</v>
      </c>
      <c r="D786" s="15" t="s">
        <v>1566</v>
      </c>
      <c r="E786" s="15" t="s">
        <v>1567</v>
      </c>
      <c r="F786" s="21">
        <v>104.5</v>
      </c>
      <c r="G786" s="21">
        <v>475</v>
      </c>
      <c r="H786" s="21">
        <v>84</v>
      </c>
      <c r="I786" s="21">
        <v>635</v>
      </c>
      <c r="J786" s="21">
        <v>106</v>
      </c>
      <c r="K786" s="21">
        <v>510</v>
      </c>
      <c r="L786" s="21"/>
      <c r="M786" s="21"/>
      <c r="N786" s="21">
        <v>51.5</v>
      </c>
      <c r="O786" s="21">
        <v>1342</v>
      </c>
      <c r="P786" s="21"/>
      <c r="Q786" s="21"/>
      <c r="R786" s="21">
        <v>82</v>
      </c>
      <c r="S786" s="21">
        <v>432</v>
      </c>
      <c r="T786" s="21">
        <v>80</v>
      </c>
      <c r="U786" s="21">
        <v>854</v>
      </c>
      <c r="V786" s="21"/>
      <c r="W786" s="21"/>
      <c r="X786" s="22">
        <v>294.5</v>
      </c>
      <c r="Y786" s="22">
        <v>116</v>
      </c>
      <c r="Z786" s="21">
        <v>508</v>
      </c>
      <c r="AA786" s="21">
        <v>503</v>
      </c>
      <c r="AB786" s="12">
        <v>122</v>
      </c>
    </row>
    <row r="787" ht="14.25" spans="1:28">
      <c r="A787" s="13">
        <v>785</v>
      </c>
      <c r="B787" s="15">
        <v>17</v>
      </c>
      <c r="C787" s="16">
        <v>2</v>
      </c>
      <c r="D787" s="15" t="s">
        <v>1568</v>
      </c>
      <c r="E787" s="15" t="s">
        <v>1569</v>
      </c>
      <c r="F787" s="21">
        <v>94</v>
      </c>
      <c r="G787" s="21">
        <v>1750</v>
      </c>
      <c r="H787" s="21">
        <v>106.5</v>
      </c>
      <c r="I787" s="21">
        <v>173</v>
      </c>
      <c r="J787" s="21">
        <v>70.25</v>
      </c>
      <c r="K787" s="21">
        <v>2207</v>
      </c>
      <c r="L787" s="21"/>
      <c r="M787" s="21"/>
      <c r="N787" s="21">
        <v>55.5</v>
      </c>
      <c r="O787" s="21">
        <v>860</v>
      </c>
      <c r="P787" s="21"/>
      <c r="Q787" s="21"/>
      <c r="R787" s="21">
        <v>79</v>
      </c>
      <c r="S787" s="21">
        <v>590</v>
      </c>
      <c r="T787" s="21">
        <v>80</v>
      </c>
      <c r="U787" s="21">
        <v>854</v>
      </c>
      <c r="V787" s="21"/>
      <c r="W787" s="21"/>
      <c r="X787" s="22">
        <v>270.75</v>
      </c>
      <c r="Y787" s="22">
        <v>167</v>
      </c>
      <c r="Z787" s="21">
        <v>485.25</v>
      </c>
      <c r="AA787" s="21">
        <v>716</v>
      </c>
      <c r="AB787" s="12">
        <v>157</v>
      </c>
    </row>
    <row r="788" ht="14.25" spans="1:28">
      <c r="A788" s="13">
        <v>786</v>
      </c>
      <c r="B788" s="15">
        <v>17</v>
      </c>
      <c r="C788" s="16">
        <v>3</v>
      </c>
      <c r="D788" s="15" t="s">
        <v>1570</v>
      </c>
      <c r="E788" s="15" t="s">
        <v>1571</v>
      </c>
      <c r="F788" s="21">
        <v>104</v>
      </c>
      <c r="G788" s="21">
        <v>526</v>
      </c>
      <c r="H788" s="21">
        <v>90</v>
      </c>
      <c r="I788" s="21">
        <v>498</v>
      </c>
      <c r="J788" s="21">
        <v>96.5</v>
      </c>
      <c r="K788" s="21">
        <v>862</v>
      </c>
      <c r="L788" s="21"/>
      <c r="M788" s="21"/>
      <c r="N788" s="21">
        <v>50.5</v>
      </c>
      <c r="O788" s="21">
        <v>1493</v>
      </c>
      <c r="P788" s="21"/>
      <c r="Q788" s="21"/>
      <c r="R788" s="21">
        <v>82</v>
      </c>
      <c r="S788" s="21">
        <v>432</v>
      </c>
      <c r="T788" s="21">
        <v>84</v>
      </c>
      <c r="U788" s="21">
        <v>578</v>
      </c>
      <c r="V788" s="21"/>
      <c r="W788" s="21"/>
      <c r="X788" s="22">
        <v>290.5</v>
      </c>
      <c r="Y788" s="22">
        <v>127</v>
      </c>
      <c r="Z788" s="21">
        <v>507</v>
      </c>
      <c r="AA788" s="21">
        <v>514</v>
      </c>
      <c r="AB788" s="12">
        <v>124</v>
      </c>
    </row>
    <row r="789" ht="14.25" spans="1:28">
      <c r="A789" s="13">
        <v>787</v>
      </c>
      <c r="B789" s="15">
        <v>17</v>
      </c>
      <c r="C789" s="16">
        <v>6</v>
      </c>
      <c r="D789" s="15" t="s">
        <v>1572</v>
      </c>
      <c r="E789" s="15" t="s">
        <v>1573</v>
      </c>
      <c r="F789" s="21">
        <v>92</v>
      </c>
      <c r="G789" s="21">
        <v>2049</v>
      </c>
      <c r="H789" s="21">
        <v>72</v>
      </c>
      <c r="I789" s="21">
        <v>976</v>
      </c>
      <c r="J789" s="21">
        <v>115.5</v>
      </c>
      <c r="K789" s="21">
        <v>257</v>
      </c>
      <c r="L789" s="21"/>
      <c r="M789" s="21"/>
      <c r="N789" s="21">
        <v>60.5</v>
      </c>
      <c r="O789" s="21">
        <v>424</v>
      </c>
      <c r="P789" s="21"/>
      <c r="Q789" s="21"/>
      <c r="R789" s="21">
        <v>60</v>
      </c>
      <c r="S789" s="21">
        <v>1928</v>
      </c>
      <c r="T789" s="21">
        <v>89</v>
      </c>
      <c r="U789" s="21">
        <v>137</v>
      </c>
      <c r="V789" s="21"/>
      <c r="W789" s="21"/>
      <c r="X789" s="22">
        <v>279.5</v>
      </c>
      <c r="Y789" s="22">
        <v>151</v>
      </c>
      <c r="Z789" s="21">
        <v>489</v>
      </c>
      <c r="AA789" s="21">
        <v>682</v>
      </c>
      <c r="AB789" s="12">
        <v>152</v>
      </c>
    </row>
    <row r="790" ht="14.25" spans="1:28">
      <c r="A790" s="13">
        <v>788</v>
      </c>
      <c r="B790" s="15">
        <v>17</v>
      </c>
      <c r="C790" s="16">
        <v>7</v>
      </c>
      <c r="D790" s="15" t="s">
        <v>1574</v>
      </c>
      <c r="E790" s="15" t="s">
        <v>1575</v>
      </c>
      <c r="F790" s="21">
        <v>102.25</v>
      </c>
      <c r="G790" s="21">
        <v>743</v>
      </c>
      <c r="H790" s="21">
        <v>99</v>
      </c>
      <c r="I790" s="21">
        <v>296</v>
      </c>
      <c r="J790" s="21">
        <v>89.25</v>
      </c>
      <c r="K790" s="21">
        <v>1183</v>
      </c>
      <c r="L790" s="21"/>
      <c r="M790" s="21"/>
      <c r="N790" s="21">
        <v>56</v>
      </c>
      <c r="O790" s="21">
        <v>804</v>
      </c>
      <c r="P790" s="21"/>
      <c r="Q790" s="21"/>
      <c r="R790" s="21">
        <v>83</v>
      </c>
      <c r="S790" s="21">
        <v>391</v>
      </c>
      <c r="T790" s="21">
        <v>68</v>
      </c>
      <c r="U790" s="21">
        <v>1886</v>
      </c>
      <c r="V790" s="21"/>
      <c r="W790" s="21"/>
      <c r="X790" s="22">
        <v>290.5</v>
      </c>
      <c r="Y790" s="22">
        <v>127</v>
      </c>
      <c r="Z790" s="21">
        <v>497.5</v>
      </c>
      <c r="AA790" s="21">
        <v>598</v>
      </c>
      <c r="AB790" s="12">
        <v>137</v>
      </c>
    </row>
    <row r="791" ht="14.25" spans="1:28">
      <c r="A791" s="13">
        <v>789</v>
      </c>
      <c r="B791" s="15">
        <v>17</v>
      </c>
      <c r="C791" s="16">
        <v>10</v>
      </c>
      <c r="D791" s="15" t="s">
        <v>1576</v>
      </c>
      <c r="E791" s="15" t="s">
        <v>1577</v>
      </c>
      <c r="F791" s="21">
        <v>104.5</v>
      </c>
      <c r="G791" s="21">
        <v>475</v>
      </c>
      <c r="H791" s="21">
        <v>88.5</v>
      </c>
      <c r="I791" s="21">
        <v>526</v>
      </c>
      <c r="J791" s="21">
        <v>76.5</v>
      </c>
      <c r="K791" s="21">
        <v>1881</v>
      </c>
      <c r="L791" s="21"/>
      <c r="M791" s="21"/>
      <c r="N791" s="21">
        <v>64.5</v>
      </c>
      <c r="O791" s="21">
        <v>210</v>
      </c>
      <c r="P791" s="21"/>
      <c r="Q791" s="21"/>
      <c r="R791" s="21">
        <v>87</v>
      </c>
      <c r="S791" s="21">
        <v>202</v>
      </c>
      <c r="T791" s="21">
        <v>87</v>
      </c>
      <c r="U791" s="21">
        <v>333</v>
      </c>
      <c r="V791" s="21"/>
      <c r="W791" s="21"/>
      <c r="X791" s="22">
        <v>269.5</v>
      </c>
      <c r="Y791" s="22">
        <v>175</v>
      </c>
      <c r="Z791" s="21">
        <v>508</v>
      </c>
      <c r="AA791" s="21">
        <v>503</v>
      </c>
      <c r="AB791" s="12">
        <v>122</v>
      </c>
    </row>
    <row r="792" ht="14.25" spans="1:28">
      <c r="A792" s="13">
        <v>790</v>
      </c>
      <c r="B792" s="15">
        <v>17</v>
      </c>
      <c r="C792" s="16">
        <v>11</v>
      </c>
      <c r="D792" s="15" t="s">
        <v>1578</v>
      </c>
      <c r="E792" s="15" t="s">
        <v>1579</v>
      </c>
      <c r="F792" s="21">
        <v>105</v>
      </c>
      <c r="G792" s="21">
        <v>437</v>
      </c>
      <c r="H792" s="21">
        <v>53.5</v>
      </c>
      <c r="I792" s="21">
        <v>1706</v>
      </c>
      <c r="J792" s="21">
        <v>80.5</v>
      </c>
      <c r="K792" s="21">
        <v>1650</v>
      </c>
      <c r="L792" s="21"/>
      <c r="M792" s="21"/>
      <c r="N792" s="21">
        <v>50</v>
      </c>
      <c r="O792" s="21">
        <v>1561</v>
      </c>
      <c r="P792" s="21"/>
      <c r="Q792" s="21"/>
      <c r="R792" s="21">
        <v>73</v>
      </c>
      <c r="S792" s="21">
        <v>965</v>
      </c>
      <c r="T792" s="21">
        <v>76</v>
      </c>
      <c r="U792" s="21">
        <v>1218</v>
      </c>
      <c r="V792" s="21"/>
      <c r="W792" s="21"/>
      <c r="X792" s="22">
        <v>239</v>
      </c>
      <c r="Y792" s="22">
        <v>202</v>
      </c>
      <c r="Z792" s="21">
        <v>438</v>
      </c>
      <c r="AA792" s="21">
        <v>1334</v>
      </c>
      <c r="AB792" s="12">
        <v>200</v>
      </c>
    </row>
    <row r="793" ht="14.25" spans="1:28">
      <c r="A793" s="13">
        <v>791</v>
      </c>
      <c r="B793" s="15">
        <v>17</v>
      </c>
      <c r="C793" s="16">
        <v>12</v>
      </c>
      <c r="D793" s="15" t="s">
        <v>1580</v>
      </c>
      <c r="E793" s="15" t="s">
        <v>1581</v>
      </c>
      <c r="F793" s="21">
        <v>113</v>
      </c>
      <c r="G793" s="21">
        <v>78</v>
      </c>
      <c r="H793" s="21">
        <v>103.5</v>
      </c>
      <c r="I793" s="21">
        <v>209</v>
      </c>
      <c r="J793" s="21">
        <v>117.25</v>
      </c>
      <c r="K793" s="21">
        <v>217</v>
      </c>
      <c r="L793" s="21"/>
      <c r="M793" s="21"/>
      <c r="N793" s="21">
        <v>58</v>
      </c>
      <c r="O793" s="21">
        <v>588</v>
      </c>
      <c r="P793" s="21"/>
      <c r="Q793" s="21"/>
      <c r="R793" s="21">
        <v>87</v>
      </c>
      <c r="S793" s="21">
        <v>202</v>
      </c>
      <c r="T793" s="21">
        <v>88</v>
      </c>
      <c r="U793" s="21">
        <v>227</v>
      </c>
      <c r="V793" s="21"/>
      <c r="W793" s="21"/>
      <c r="X793" s="22">
        <v>333.75</v>
      </c>
      <c r="Y793" s="22">
        <v>21</v>
      </c>
      <c r="Z793" s="21">
        <v>566.75</v>
      </c>
      <c r="AA793" s="21">
        <v>148</v>
      </c>
      <c r="AB793" s="12">
        <v>24</v>
      </c>
    </row>
    <row r="794" ht="14.25" spans="1:28">
      <c r="A794" s="13">
        <v>792</v>
      </c>
      <c r="B794" s="15">
        <v>17</v>
      </c>
      <c r="C794" s="16">
        <v>13</v>
      </c>
      <c r="D794" s="15" t="s">
        <v>1582</v>
      </c>
      <c r="E794" s="15" t="s">
        <v>1583</v>
      </c>
      <c r="F794" s="21">
        <v>109.5</v>
      </c>
      <c r="G794" s="21">
        <v>183</v>
      </c>
      <c r="H794" s="21">
        <v>98.5</v>
      </c>
      <c r="I794" s="21">
        <v>305</v>
      </c>
      <c r="J794" s="21">
        <v>112</v>
      </c>
      <c r="K794" s="21">
        <v>334</v>
      </c>
      <c r="L794" s="21"/>
      <c r="M794" s="21"/>
      <c r="N794" s="21">
        <v>62</v>
      </c>
      <c r="O794" s="21">
        <v>315</v>
      </c>
      <c r="P794" s="21"/>
      <c r="Q794" s="21"/>
      <c r="R794" s="21">
        <v>85</v>
      </c>
      <c r="S794" s="21">
        <v>343</v>
      </c>
      <c r="T794" s="21">
        <v>87</v>
      </c>
      <c r="U794" s="21">
        <v>333</v>
      </c>
      <c r="V794" s="21"/>
      <c r="W794" s="21"/>
      <c r="X794" s="22">
        <v>320</v>
      </c>
      <c r="Y794" s="22">
        <v>42</v>
      </c>
      <c r="Z794" s="21">
        <v>554</v>
      </c>
      <c r="AA794" s="21">
        <v>205</v>
      </c>
      <c r="AB794" s="12">
        <v>36</v>
      </c>
    </row>
    <row r="795" ht="14.25" spans="1:28">
      <c r="A795" s="13">
        <v>793</v>
      </c>
      <c r="B795" s="15">
        <v>17</v>
      </c>
      <c r="C795" s="16">
        <v>14</v>
      </c>
      <c r="D795" s="15" t="s">
        <v>1584</v>
      </c>
      <c r="E795" s="15" t="s">
        <v>1585</v>
      </c>
      <c r="F795" s="21">
        <v>95.5</v>
      </c>
      <c r="G795" s="21">
        <v>1544</v>
      </c>
      <c r="H795" s="21">
        <v>84</v>
      </c>
      <c r="I795" s="21">
        <v>635</v>
      </c>
      <c r="J795" s="21">
        <v>98</v>
      </c>
      <c r="K795" s="21">
        <v>794</v>
      </c>
      <c r="L795" s="21"/>
      <c r="M795" s="21"/>
      <c r="N795" s="21">
        <v>56</v>
      </c>
      <c r="O795" s="21">
        <v>804</v>
      </c>
      <c r="P795" s="21"/>
      <c r="Q795" s="21"/>
      <c r="R795" s="21">
        <v>69</v>
      </c>
      <c r="S795" s="21">
        <v>1223</v>
      </c>
      <c r="T795" s="21">
        <v>88</v>
      </c>
      <c r="U795" s="21">
        <v>227</v>
      </c>
      <c r="V795" s="21"/>
      <c r="W795" s="21"/>
      <c r="X795" s="22">
        <v>277.5</v>
      </c>
      <c r="Y795" s="22">
        <v>153</v>
      </c>
      <c r="Z795" s="21">
        <v>490.5</v>
      </c>
      <c r="AA795" s="21">
        <v>671</v>
      </c>
      <c r="AB795" s="12">
        <v>150</v>
      </c>
    </row>
    <row r="796" ht="14.25" spans="1:28">
      <c r="A796" s="13">
        <v>794</v>
      </c>
      <c r="B796" s="15">
        <v>17</v>
      </c>
      <c r="C796" s="16">
        <v>15</v>
      </c>
      <c r="D796" s="15" t="s">
        <v>1586</v>
      </c>
      <c r="E796" s="15" t="s">
        <v>1587</v>
      </c>
      <c r="F796" s="21">
        <v>90.5</v>
      </c>
      <c r="G796" s="21">
        <v>2252</v>
      </c>
      <c r="H796" s="21">
        <v>80.5</v>
      </c>
      <c r="I796" s="21">
        <v>730</v>
      </c>
      <c r="J796" s="21">
        <v>104</v>
      </c>
      <c r="K796" s="21">
        <v>566</v>
      </c>
      <c r="L796" s="21"/>
      <c r="M796" s="21"/>
      <c r="N796" s="21">
        <v>56</v>
      </c>
      <c r="O796" s="21">
        <v>804</v>
      </c>
      <c r="P796" s="21"/>
      <c r="Q796" s="21"/>
      <c r="R796" s="21">
        <v>61</v>
      </c>
      <c r="S796" s="21">
        <v>1852</v>
      </c>
      <c r="T796" s="21">
        <v>54</v>
      </c>
      <c r="U796" s="21">
        <v>3088</v>
      </c>
      <c r="V796" s="21"/>
      <c r="W796" s="21"/>
      <c r="X796" s="22">
        <v>275</v>
      </c>
      <c r="Y796" s="22">
        <v>159</v>
      </c>
      <c r="Z796" s="21">
        <v>446</v>
      </c>
      <c r="AA796" s="21">
        <v>1204</v>
      </c>
      <c r="AB796" s="12">
        <v>193</v>
      </c>
    </row>
    <row r="797" ht="14.25" spans="1:28">
      <c r="A797" s="13">
        <v>795</v>
      </c>
      <c r="B797" s="15">
        <v>17</v>
      </c>
      <c r="C797" s="16">
        <v>17</v>
      </c>
      <c r="D797" s="15" t="s">
        <v>1588</v>
      </c>
      <c r="E797" s="15" t="s">
        <v>1589</v>
      </c>
      <c r="F797" s="21">
        <v>105</v>
      </c>
      <c r="G797" s="21">
        <v>437</v>
      </c>
      <c r="H797" s="21">
        <v>95.5</v>
      </c>
      <c r="I797" s="21">
        <v>360</v>
      </c>
      <c r="J797" s="21">
        <v>105.75</v>
      </c>
      <c r="K797" s="21">
        <v>519</v>
      </c>
      <c r="L797" s="21"/>
      <c r="M797" s="21"/>
      <c r="N797" s="21">
        <v>58</v>
      </c>
      <c r="O797" s="21">
        <v>588</v>
      </c>
      <c r="P797" s="21"/>
      <c r="Q797" s="21"/>
      <c r="R797" s="21">
        <v>86</v>
      </c>
      <c r="S797" s="21">
        <v>293</v>
      </c>
      <c r="T797" s="21">
        <v>82</v>
      </c>
      <c r="U797" s="21">
        <v>702</v>
      </c>
      <c r="V797" s="21"/>
      <c r="W797" s="21"/>
      <c r="X797" s="22">
        <v>306.25</v>
      </c>
      <c r="Y797" s="22">
        <v>81</v>
      </c>
      <c r="Z797" s="21">
        <v>532.25</v>
      </c>
      <c r="AA797" s="21">
        <v>335</v>
      </c>
      <c r="AB797" s="12">
        <v>75</v>
      </c>
    </row>
    <row r="798" ht="14.25" spans="1:28">
      <c r="A798" s="13">
        <v>796</v>
      </c>
      <c r="B798" s="15">
        <v>17</v>
      </c>
      <c r="C798" s="16">
        <v>19</v>
      </c>
      <c r="D798" s="15" t="s">
        <v>1590</v>
      </c>
      <c r="E798" s="15" t="s">
        <v>1591</v>
      </c>
      <c r="F798" s="21">
        <v>102.75</v>
      </c>
      <c r="G798" s="21">
        <v>678</v>
      </c>
      <c r="H798" s="21">
        <v>90</v>
      </c>
      <c r="I798" s="21">
        <v>498</v>
      </c>
      <c r="J798" s="21">
        <v>105.75</v>
      </c>
      <c r="K798" s="21">
        <v>519</v>
      </c>
      <c r="L798" s="21"/>
      <c r="M798" s="21"/>
      <c r="N798" s="21">
        <v>55.5</v>
      </c>
      <c r="O798" s="21">
        <v>860</v>
      </c>
      <c r="P798" s="21"/>
      <c r="Q798" s="21"/>
      <c r="R798" s="21">
        <v>88</v>
      </c>
      <c r="S798" s="21">
        <v>123</v>
      </c>
      <c r="T798" s="21">
        <v>89</v>
      </c>
      <c r="U798" s="21">
        <v>137</v>
      </c>
      <c r="V798" s="21"/>
      <c r="W798" s="21"/>
      <c r="X798" s="22">
        <v>298.5</v>
      </c>
      <c r="Y798" s="22">
        <v>102</v>
      </c>
      <c r="Z798" s="21">
        <v>531</v>
      </c>
      <c r="AA798" s="21">
        <v>343</v>
      </c>
      <c r="AB798" s="12">
        <v>76</v>
      </c>
    </row>
    <row r="799" ht="14.25" spans="1:28">
      <c r="A799" s="13">
        <v>797</v>
      </c>
      <c r="B799" s="15">
        <v>17</v>
      </c>
      <c r="C799" s="16">
        <v>20</v>
      </c>
      <c r="D799" s="15" t="s">
        <v>1592</v>
      </c>
      <c r="E799" s="15" t="s">
        <v>1593</v>
      </c>
      <c r="F799" s="21">
        <v>112.5</v>
      </c>
      <c r="G799" s="21">
        <v>92</v>
      </c>
      <c r="H799" s="21">
        <v>94.5</v>
      </c>
      <c r="I799" s="21">
        <v>381</v>
      </c>
      <c r="J799" s="21">
        <v>116.5</v>
      </c>
      <c r="K799" s="21">
        <v>233</v>
      </c>
      <c r="L799" s="21"/>
      <c r="M799" s="21"/>
      <c r="N799" s="21">
        <v>65.5</v>
      </c>
      <c r="O799" s="21">
        <v>173</v>
      </c>
      <c r="P799" s="21"/>
      <c r="Q799" s="21"/>
      <c r="R799" s="21">
        <v>87</v>
      </c>
      <c r="S799" s="21">
        <v>202</v>
      </c>
      <c r="T799" s="21">
        <v>89</v>
      </c>
      <c r="U799" s="21">
        <v>137</v>
      </c>
      <c r="V799" s="21"/>
      <c r="W799" s="21"/>
      <c r="X799" s="22">
        <v>323.5</v>
      </c>
      <c r="Y799" s="22">
        <v>38</v>
      </c>
      <c r="Z799" s="21">
        <v>565</v>
      </c>
      <c r="AA799" s="21">
        <v>156</v>
      </c>
      <c r="AB799" s="12">
        <v>25</v>
      </c>
    </row>
    <row r="800" ht="14.25" spans="1:28">
      <c r="A800" s="13">
        <v>798</v>
      </c>
      <c r="B800" s="15">
        <v>17</v>
      </c>
      <c r="C800" s="16">
        <v>21</v>
      </c>
      <c r="D800" s="15" t="s">
        <v>1594</v>
      </c>
      <c r="E800" s="15" t="s">
        <v>1595</v>
      </c>
      <c r="F800" s="21">
        <v>100</v>
      </c>
      <c r="G800" s="21">
        <v>958</v>
      </c>
      <c r="H800" s="21">
        <v>114</v>
      </c>
      <c r="I800" s="21">
        <v>77</v>
      </c>
      <c r="J800" s="21">
        <v>117</v>
      </c>
      <c r="K800" s="21">
        <v>222</v>
      </c>
      <c r="L800" s="21"/>
      <c r="M800" s="21"/>
      <c r="N800" s="21">
        <v>66</v>
      </c>
      <c r="O800" s="21">
        <v>163</v>
      </c>
      <c r="P800" s="21"/>
      <c r="Q800" s="21"/>
      <c r="R800" s="21">
        <v>79</v>
      </c>
      <c r="S800" s="21">
        <v>590</v>
      </c>
      <c r="T800" s="21">
        <v>87</v>
      </c>
      <c r="U800" s="21">
        <v>333</v>
      </c>
      <c r="V800" s="21"/>
      <c r="W800" s="21"/>
      <c r="X800" s="22">
        <v>331</v>
      </c>
      <c r="Y800" s="22">
        <v>24</v>
      </c>
      <c r="Z800" s="21">
        <v>563</v>
      </c>
      <c r="AA800" s="21">
        <v>163</v>
      </c>
      <c r="AB800" s="12">
        <v>27</v>
      </c>
    </row>
    <row r="801" ht="14.25" spans="1:28">
      <c r="A801" s="13">
        <v>799</v>
      </c>
      <c r="B801" s="15">
        <v>17</v>
      </c>
      <c r="C801" s="16">
        <v>22</v>
      </c>
      <c r="D801" s="15" t="s">
        <v>1596</v>
      </c>
      <c r="E801" s="15" t="s">
        <v>1597</v>
      </c>
      <c r="F801" s="21">
        <v>107</v>
      </c>
      <c r="G801" s="21">
        <v>307</v>
      </c>
      <c r="H801" s="21">
        <v>50</v>
      </c>
      <c r="I801" s="21">
        <v>1904</v>
      </c>
      <c r="J801" s="21">
        <v>89</v>
      </c>
      <c r="K801" s="21">
        <v>1186</v>
      </c>
      <c r="L801" s="21"/>
      <c r="M801" s="21"/>
      <c r="N801" s="21">
        <v>46</v>
      </c>
      <c r="O801" s="21">
        <v>2109</v>
      </c>
      <c r="P801" s="21"/>
      <c r="Q801" s="21"/>
      <c r="R801" s="21">
        <v>72</v>
      </c>
      <c r="S801" s="21">
        <v>1055</v>
      </c>
      <c r="T801" s="21">
        <v>77</v>
      </c>
      <c r="U801" s="21">
        <v>1108</v>
      </c>
      <c r="V801" s="21"/>
      <c r="W801" s="21"/>
      <c r="X801" s="22">
        <v>246</v>
      </c>
      <c r="Y801" s="22">
        <v>198</v>
      </c>
      <c r="Z801" s="21">
        <v>441</v>
      </c>
      <c r="AA801" s="21">
        <v>1280</v>
      </c>
      <c r="AB801" s="12">
        <v>199</v>
      </c>
    </row>
    <row r="802" ht="14.25" spans="1:28">
      <c r="A802" s="13">
        <v>800</v>
      </c>
      <c r="B802" s="15">
        <v>17</v>
      </c>
      <c r="C802" s="16">
        <v>23</v>
      </c>
      <c r="D802" s="15" t="s">
        <v>1598</v>
      </c>
      <c r="E802" s="15" t="s">
        <v>1599</v>
      </c>
      <c r="F802" s="21">
        <v>105</v>
      </c>
      <c r="G802" s="21">
        <v>437</v>
      </c>
      <c r="H802" s="21">
        <v>104</v>
      </c>
      <c r="I802" s="21">
        <v>203</v>
      </c>
      <c r="J802" s="21">
        <v>99.25</v>
      </c>
      <c r="K802" s="21">
        <v>742</v>
      </c>
      <c r="L802" s="21"/>
      <c r="M802" s="21"/>
      <c r="N802" s="21">
        <v>65.5</v>
      </c>
      <c r="O802" s="21">
        <v>173</v>
      </c>
      <c r="P802" s="21"/>
      <c r="Q802" s="21"/>
      <c r="R802" s="21">
        <v>85</v>
      </c>
      <c r="S802" s="21">
        <v>343</v>
      </c>
      <c r="T802" s="21">
        <v>87</v>
      </c>
      <c r="U802" s="21">
        <v>333</v>
      </c>
      <c r="V802" s="21"/>
      <c r="W802" s="21"/>
      <c r="X802" s="22">
        <v>308.25</v>
      </c>
      <c r="Y802" s="22">
        <v>75</v>
      </c>
      <c r="Z802" s="21">
        <v>545.75</v>
      </c>
      <c r="AA802" s="21">
        <v>256</v>
      </c>
      <c r="AB802" s="12">
        <v>49</v>
      </c>
    </row>
    <row r="803" ht="14.25" spans="1:28">
      <c r="A803" s="13">
        <v>801</v>
      </c>
      <c r="B803" s="15">
        <v>17</v>
      </c>
      <c r="C803" s="16">
        <v>24</v>
      </c>
      <c r="D803" s="15" t="s">
        <v>1600</v>
      </c>
      <c r="E803" s="15" t="s">
        <v>1601</v>
      </c>
      <c r="F803" s="21">
        <v>99</v>
      </c>
      <c r="G803" s="21">
        <v>1072</v>
      </c>
      <c r="H803" s="21">
        <v>70</v>
      </c>
      <c r="I803" s="21">
        <v>1051</v>
      </c>
      <c r="J803" s="21">
        <v>96.75</v>
      </c>
      <c r="K803" s="21">
        <v>855</v>
      </c>
      <c r="L803" s="21"/>
      <c r="M803" s="21"/>
      <c r="N803" s="21">
        <v>44.5</v>
      </c>
      <c r="O803" s="21">
        <v>2305</v>
      </c>
      <c r="P803" s="21"/>
      <c r="Q803" s="21"/>
      <c r="R803" s="21">
        <v>88</v>
      </c>
      <c r="S803" s="21">
        <v>123</v>
      </c>
      <c r="T803" s="21">
        <v>87</v>
      </c>
      <c r="U803" s="21">
        <v>333</v>
      </c>
      <c r="V803" s="21"/>
      <c r="W803" s="21"/>
      <c r="X803" s="22">
        <v>265.75</v>
      </c>
      <c r="Y803" s="22">
        <v>185</v>
      </c>
      <c r="Z803" s="21">
        <v>485.25</v>
      </c>
      <c r="AA803" s="21">
        <v>716</v>
      </c>
      <c r="AB803" s="12">
        <v>157</v>
      </c>
    </row>
    <row r="804" ht="14.25" spans="1:28">
      <c r="A804" s="13">
        <v>802</v>
      </c>
      <c r="B804" s="15">
        <v>17</v>
      </c>
      <c r="C804" s="16">
        <v>25</v>
      </c>
      <c r="D804" s="15" t="s">
        <v>1602</v>
      </c>
      <c r="E804" s="15" t="s">
        <v>1603</v>
      </c>
      <c r="F804" s="21">
        <v>99</v>
      </c>
      <c r="G804" s="21">
        <v>1072</v>
      </c>
      <c r="H804" s="21">
        <v>100</v>
      </c>
      <c r="I804" s="21">
        <v>272</v>
      </c>
      <c r="J804" s="21">
        <v>93</v>
      </c>
      <c r="K804" s="21">
        <v>1008</v>
      </c>
      <c r="L804" s="21"/>
      <c r="M804" s="21"/>
      <c r="N804" s="21">
        <v>49</v>
      </c>
      <c r="O804" s="21">
        <v>1682</v>
      </c>
      <c r="P804" s="21"/>
      <c r="Q804" s="21"/>
      <c r="R804" s="21">
        <v>72</v>
      </c>
      <c r="S804" s="21">
        <v>1055</v>
      </c>
      <c r="T804" s="21">
        <v>79</v>
      </c>
      <c r="U804" s="21">
        <v>952</v>
      </c>
      <c r="V804" s="21"/>
      <c r="W804" s="21"/>
      <c r="X804" s="22">
        <v>292</v>
      </c>
      <c r="Y804" s="22">
        <v>123</v>
      </c>
      <c r="Z804" s="21">
        <v>492</v>
      </c>
      <c r="AA804" s="21">
        <v>653</v>
      </c>
      <c r="AB804" s="12">
        <v>146</v>
      </c>
    </row>
    <row r="805" ht="14.25" spans="1:28">
      <c r="A805" s="13">
        <v>803</v>
      </c>
      <c r="B805" s="15">
        <v>17</v>
      </c>
      <c r="C805" s="16">
        <v>26</v>
      </c>
      <c r="D805" s="15" t="s">
        <v>1604</v>
      </c>
      <c r="E805" s="15" t="s">
        <v>1605</v>
      </c>
      <c r="F805" s="21">
        <v>104.5</v>
      </c>
      <c r="G805" s="21">
        <v>475</v>
      </c>
      <c r="H805" s="21">
        <v>100.5</v>
      </c>
      <c r="I805" s="21">
        <v>263</v>
      </c>
      <c r="J805" s="21">
        <v>113.75</v>
      </c>
      <c r="K805" s="21">
        <v>293</v>
      </c>
      <c r="L805" s="21"/>
      <c r="M805" s="21"/>
      <c r="N805" s="21">
        <v>59.5</v>
      </c>
      <c r="O805" s="21">
        <v>483</v>
      </c>
      <c r="P805" s="21"/>
      <c r="Q805" s="21"/>
      <c r="R805" s="21">
        <v>80</v>
      </c>
      <c r="S805" s="21">
        <v>535</v>
      </c>
      <c r="T805" s="21">
        <v>86</v>
      </c>
      <c r="U805" s="21">
        <v>465</v>
      </c>
      <c r="V805" s="21"/>
      <c r="W805" s="21"/>
      <c r="X805" s="22">
        <v>318.75</v>
      </c>
      <c r="Y805" s="22">
        <v>44</v>
      </c>
      <c r="Z805" s="21">
        <v>544.25</v>
      </c>
      <c r="AA805" s="21">
        <v>263</v>
      </c>
      <c r="AB805" s="12">
        <v>51</v>
      </c>
    </row>
    <row r="806" ht="14.25" spans="1:28">
      <c r="A806" s="13">
        <v>804</v>
      </c>
      <c r="B806" s="15">
        <v>17</v>
      </c>
      <c r="C806" s="16">
        <v>27</v>
      </c>
      <c r="D806" s="15" t="s">
        <v>1606</v>
      </c>
      <c r="E806" s="15" t="s">
        <v>1607</v>
      </c>
      <c r="F806" s="21">
        <v>97.25</v>
      </c>
      <c r="G806" s="21">
        <v>1323</v>
      </c>
      <c r="H806" s="21">
        <v>105</v>
      </c>
      <c r="I806" s="21">
        <v>189</v>
      </c>
      <c r="J806" s="21">
        <v>113.5</v>
      </c>
      <c r="K806" s="21">
        <v>297</v>
      </c>
      <c r="L806" s="21"/>
      <c r="M806" s="21"/>
      <c r="N806" s="21">
        <v>55</v>
      </c>
      <c r="O806" s="21">
        <v>914</v>
      </c>
      <c r="P806" s="21"/>
      <c r="Q806" s="21"/>
      <c r="R806" s="21">
        <v>78</v>
      </c>
      <c r="S806" s="21">
        <v>682</v>
      </c>
      <c r="T806" s="21">
        <v>86</v>
      </c>
      <c r="U806" s="21">
        <v>465</v>
      </c>
      <c r="V806" s="21"/>
      <c r="W806" s="21"/>
      <c r="X806" s="22">
        <v>315.75</v>
      </c>
      <c r="Y806" s="22">
        <v>53</v>
      </c>
      <c r="Z806" s="21">
        <v>534.75</v>
      </c>
      <c r="AA806" s="21">
        <v>314</v>
      </c>
      <c r="AB806" s="12">
        <v>68</v>
      </c>
    </row>
    <row r="807" ht="14.25" spans="1:28">
      <c r="A807" s="13">
        <v>805</v>
      </c>
      <c r="B807" s="15">
        <v>17</v>
      </c>
      <c r="C807" s="16">
        <v>28</v>
      </c>
      <c r="D807" s="15" t="s">
        <v>1608</v>
      </c>
      <c r="E807" s="15" t="s">
        <v>1609</v>
      </c>
      <c r="F807" s="21">
        <v>98</v>
      </c>
      <c r="G807" s="21">
        <v>1207</v>
      </c>
      <c r="H807" s="21">
        <v>110.5</v>
      </c>
      <c r="I807" s="21">
        <v>121</v>
      </c>
      <c r="J807" s="21">
        <v>103.5</v>
      </c>
      <c r="K807" s="21">
        <v>582</v>
      </c>
      <c r="L807" s="21"/>
      <c r="M807" s="21"/>
      <c r="N807" s="21">
        <v>65.5</v>
      </c>
      <c r="O807" s="21">
        <v>173</v>
      </c>
      <c r="P807" s="21"/>
      <c r="Q807" s="21"/>
      <c r="R807" s="21">
        <v>70</v>
      </c>
      <c r="S807" s="21">
        <v>1165</v>
      </c>
      <c r="T807" s="21">
        <v>71</v>
      </c>
      <c r="U807" s="21">
        <v>1653</v>
      </c>
      <c r="V807" s="21"/>
      <c r="W807" s="21"/>
      <c r="X807" s="22">
        <v>312</v>
      </c>
      <c r="Y807" s="22">
        <v>65</v>
      </c>
      <c r="Z807" s="21">
        <v>518.5</v>
      </c>
      <c r="AA807" s="21">
        <v>422</v>
      </c>
      <c r="AB807" s="12">
        <v>97</v>
      </c>
    </row>
    <row r="808" ht="14.25" spans="1:28">
      <c r="A808" s="13">
        <v>806</v>
      </c>
      <c r="B808" s="15">
        <v>17</v>
      </c>
      <c r="C808" s="16">
        <v>29</v>
      </c>
      <c r="D808" s="15" t="s">
        <v>1610</v>
      </c>
      <c r="E808" s="15" t="s">
        <v>1611</v>
      </c>
      <c r="F808" s="21">
        <v>102.5</v>
      </c>
      <c r="G808" s="21">
        <v>686</v>
      </c>
      <c r="H808" s="21">
        <v>106</v>
      </c>
      <c r="I808" s="21">
        <v>175</v>
      </c>
      <c r="J808" s="21">
        <v>109</v>
      </c>
      <c r="K808" s="21">
        <v>423</v>
      </c>
      <c r="L808" s="21"/>
      <c r="M808" s="21"/>
      <c r="N808" s="21">
        <v>57</v>
      </c>
      <c r="O808" s="21">
        <v>689</v>
      </c>
      <c r="P808" s="21"/>
      <c r="Q808" s="21"/>
      <c r="R808" s="21">
        <v>78</v>
      </c>
      <c r="S808" s="21">
        <v>682</v>
      </c>
      <c r="T808" s="21">
        <v>83</v>
      </c>
      <c r="U808" s="21">
        <v>616</v>
      </c>
      <c r="V808" s="21"/>
      <c r="W808" s="21"/>
      <c r="X808" s="22">
        <v>317.5</v>
      </c>
      <c r="Y808" s="22">
        <v>50</v>
      </c>
      <c r="Z808" s="21">
        <v>535.5</v>
      </c>
      <c r="AA808" s="21">
        <v>310</v>
      </c>
      <c r="AB808" s="12">
        <v>66</v>
      </c>
    </row>
    <row r="809" ht="14.25" spans="1:28">
      <c r="A809" s="13">
        <v>807</v>
      </c>
      <c r="B809" s="15">
        <v>17</v>
      </c>
      <c r="C809" s="16">
        <v>30</v>
      </c>
      <c r="D809" s="15" t="s">
        <v>1612</v>
      </c>
      <c r="E809" s="15" t="s">
        <v>1613</v>
      </c>
      <c r="F809" s="21">
        <v>90.25</v>
      </c>
      <c r="G809" s="21">
        <v>2328</v>
      </c>
      <c r="H809" s="21">
        <v>103</v>
      </c>
      <c r="I809" s="21">
        <v>216</v>
      </c>
      <c r="J809" s="21">
        <v>107.25</v>
      </c>
      <c r="K809" s="21">
        <v>475</v>
      </c>
      <c r="L809" s="21"/>
      <c r="M809" s="21"/>
      <c r="N809" s="21">
        <v>54.5</v>
      </c>
      <c r="O809" s="21">
        <v>986</v>
      </c>
      <c r="P809" s="21"/>
      <c r="Q809" s="21"/>
      <c r="R809" s="21">
        <v>94</v>
      </c>
      <c r="S809" s="21">
        <v>5</v>
      </c>
      <c r="T809" s="21">
        <v>91</v>
      </c>
      <c r="U809" s="21">
        <v>51</v>
      </c>
      <c r="V809" s="21"/>
      <c r="W809" s="21"/>
      <c r="X809" s="22">
        <v>300.5</v>
      </c>
      <c r="Y809" s="22">
        <v>97</v>
      </c>
      <c r="Z809" s="21">
        <v>540</v>
      </c>
      <c r="AA809" s="21">
        <v>289</v>
      </c>
      <c r="AB809" s="12">
        <v>58</v>
      </c>
    </row>
    <row r="810" ht="14.25" spans="1:28">
      <c r="A810" s="13">
        <v>808</v>
      </c>
      <c r="B810" s="15">
        <v>17</v>
      </c>
      <c r="C810" s="16">
        <v>31</v>
      </c>
      <c r="D810" s="15" t="s">
        <v>1614</v>
      </c>
      <c r="E810" s="15" t="s">
        <v>1615</v>
      </c>
      <c r="F810" s="21">
        <v>115.5</v>
      </c>
      <c r="G810" s="21">
        <v>41</v>
      </c>
      <c r="H810" s="21">
        <v>102.5</v>
      </c>
      <c r="I810" s="21">
        <v>229</v>
      </c>
      <c r="J810" s="21">
        <v>90</v>
      </c>
      <c r="K810" s="21">
        <v>1140</v>
      </c>
      <c r="L810" s="21"/>
      <c r="M810" s="21"/>
      <c r="N810" s="21">
        <v>54.5</v>
      </c>
      <c r="O810" s="21">
        <v>986</v>
      </c>
      <c r="P810" s="21"/>
      <c r="Q810" s="21"/>
      <c r="R810" s="21">
        <v>91</v>
      </c>
      <c r="S810" s="21">
        <v>30</v>
      </c>
      <c r="T810" s="21">
        <v>89</v>
      </c>
      <c r="U810" s="21">
        <v>137</v>
      </c>
      <c r="V810" s="21"/>
      <c r="W810" s="21"/>
      <c r="X810" s="22">
        <v>308</v>
      </c>
      <c r="Y810" s="22">
        <v>77</v>
      </c>
      <c r="Z810" s="21">
        <v>542.5</v>
      </c>
      <c r="AA810" s="21">
        <v>275</v>
      </c>
      <c r="AB810" s="12">
        <v>54</v>
      </c>
    </row>
    <row r="811" ht="14.25" spans="1:28">
      <c r="A811" s="13">
        <v>809</v>
      </c>
      <c r="B811" s="15">
        <v>17</v>
      </c>
      <c r="C811" s="16">
        <v>33</v>
      </c>
      <c r="D811" s="15" t="s">
        <v>1616</v>
      </c>
      <c r="E811" s="15" t="s">
        <v>1617</v>
      </c>
      <c r="F811" s="21">
        <v>97</v>
      </c>
      <c r="G811" s="21">
        <v>1332</v>
      </c>
      <c r="H811" s="21">
        <v>94</v>
      </c>
      <c r="I811" s="21">
        <v>391</v>
      </c>
      <c r="J811" s="21">
        <v>85.25</v>
      </c>
      <c r="K811" s="21">
        <v>1399</v>
      </c>
      <c r="L811" s="21"/>
      <c r="M811" s="21"/>
      <c r="N811" s="21">
        <v>49</v>
      </c>
      <c r="O811" s="21">
        <v>1682</v>
      </c>
      <c r="P811" s="21"/>
      <c r="Q811" s="21"/>
      <c r="R811" s="21">
        <v>68</v>
      </c>
      <c r="S811" s="21">
        <v>1296</v>
      </c>
      <c r="T811" s="21">
        <v>69</v>
      </c>
      <c r="U811" s="21">
        <v>1773</v>
      </c>
      <c r="V811" s="21"/>
      <c r="W811" s="21"/>
      <c r="X811" s="22">
        <v>276.25</v>
      </c>
      <c r="Y811" s="22">
        <v>156</v>
      </c>
      <c r="Z811" s="21">
        <v>462.25</v>
      </c>
      <c r="AA811" s="21">
        <v>975</v>
      </c>
      <c r="AB811" s="12">
        <v>184</v>
      </c>
    </row>
    <row r="812" ht="14.25" spans="1:28">
      <c r="A812" s="13">
        <v>810</v>
      </c>
      <c r="B812" s="15">
        <v>17</v>
      </c>
      <c r="C812" s="16">
        <v>35</v>
      </c>
      <c r="D812" s="15" t="s">
        <v>1618</v>
      </c>
      <c r="E812" s="15" t="s">
        <v>1619</v>
      </c>
      <c r="F812" s="21">
        <v>103.25</v>
      </c>
      <c r="G812" s="21">
        <v>620</v>
      </c>
      <c r="H812" s="21">
        <v>78</v>
      </c>
      <c r="I812" s="21">
        <v>802</v>
      </c>
      <c r="J812" s="21">
        <v>81</v>
      </c>
      <c r="K812" s="21">
        <v>1629</v>
      </c>
      <c r="L812" s="21"/>
      <c r="M812" s="21"/>
      <c r="N812" s="21">
        <v>62</v>
      </c>
      <c r="O812" s="21">
        <v>315</v>
      </c>
      <c r="P812" s="21"/>
      <c r="Q812" s="21"/>
      <c r="R812" s="21">
        <v>79</v>
      </c>
      <c r="S812" s="21">
        <v>590</v>
      </c>
      <c r="T812" s="21">
        <v>70</v>
      </c>
      <c r="U812" s="21">
        <v>1710</v>
      </c>
      <c r="V812" s="21"/>
      <c r="W812" s="21"/>
      <c r="X812" s="22">
        <v>262.25</v>
      </c>
      <c r="Y812" s="22">
        <v>189</v>
      </c>
      <c r="Z812" s="21">
        <v>473.25</v>
      </c>
      <c r="AA812" s="21">
        <v>857</v>
      </c>
      <c r="AB812" s="12">
        <v>174</v>
      </c>
    </row>
    <row r="813" ht="14.25" spans="1:28">
      <c r="A813" s="13">
        <v>811</v>
      </c>
      <c r="B813" s="15">
        <v>17</v>
      </c>
      <c r="C813" s="16">
        <v>36</v>
      </c>
      <c r="D813" s="15" t="s">
        <v>1620</v>
      </c>
      <c r="E813" s="15" t="s">
        <v>1621</v>
      </c>
      <c r="F813" s="21">
        <v>110.5</v>
      </c>
      <c r="G813" s="21">
        <v>151</v>
      </c>
      <c r="H813" s="21">
        <v>74.5</v>
      </c>
      <c r="I813" s="21">
        <v>903</v>
      </c>
      <c r="J813" s="21">
        <v>84.5</v>
      </c>
      <c r="K813" s="21">
        <v>1438</v>
      </c>
      <c r="L813" s="21"/>
      <c r="M813" s="21"/>
      <c r="N813" s="21">
        <v>61.5</v>
      </c>
      <c r="O813" s="21">
        <v>347</v>
      </c>
      <c r="P813" s="21"/>
      <c r="Q813" s="21"/>
      <c r="R813" s="21">
        <v>65</v>
      </c>
      <c r="S813" s="21">
        <v>1510</v>
      </c>
      <c r="T813" s="21">
        <v>80</v>
      </c>
      <c r="U813" s="21">
        <v>854</v>
      </c>
      <c r="V813" s="21"/>
      <c r="W813" s="21"/>
      <c r="X813" s="22">
        <v>269.5</v>
      </c>
      <c r="Y813" s="22">
        <v>175</v>
      </c>
      <c r="Z813" s="21">
        <v>476</v>
      </c>
      <c r="AA813" s="21">
        <v>820</v>
      </c>
      <c r="AB813" s="12">
        <v>172</v>
      </c>
    </row>
    <row r="814" ht="14.25" spans="1:28">
      <c r="A814" s="13">
        <v>812</v>
      </c>
      <c r="B814" s="15">
        <v>17</v>
      </c>
      <c r="C814" s="16">
        <v>37</v>
      </c>
      <c r="D814" s="15" t="s">
        <v>1622</v>
      </c>
      <c r="E814" s="15" t="s">
        <v>1623</v>
      </c>
      <c r="F814" s="21">
        <v>101.5</v>
      </c>
      <c r="G814" s="21">
        <v>805</v>
      </c>
      <c r="H814" s="21">
        <v>102</v>
      </c>
      <c r="I814" s="21">
        <v>241</v>
      </c>
      <c r="J814" s="21">
        <v>111.25</v>
      </c>
      <c r="K814" s="21">
        <v>355</v>
      </c>
      <c r="L814" s="21"/>
      <c r="M814" s="21"/>
      <c r="N814" s="21">
        <v>61.5</v>
      </c>
      <c r="O814" s="21">
        <v>347</v>
      </c>
      <c r="P814" s="21"/>
      <c r="Q814" s="21"/>
      <c r="R814" s="21">
        <v>86</v>
      </c>
      <c r="S814" s="21">
        <v>293</v>
      </c>
      <c r="T814" s="21">
        <v>74</v>
      </c>
      <c r="U814" s="21">
        <v>1396</v>
      </c>
      <c r="V814" s="21"/>
      <c r="W814" s="21"/>
      <c r="X814" s="22">
        <v>314.75</v>
      </c>
      <c r="Y814" s="22">
        <v>57</v>
      </c>
      <c r="Z814" s="21">
        <v>536.25</v>
      </c>
      <c r="AA814" s="21">
        <v>307</v>
      </c>
      <c r="AB814" s="12">
        <v>65</v>
      </c>
    </row>
    <row r="815" ht="14.25" spans="1:28">
      <c r="A815" s="13">
        <v>813</v>
      </c>
      <c r="B815" s="15">
        <v>17</v>
      </c>
      <c r="C815" s="16">
        <v>38</v>
      </c>
      <c r="D815" s="15" t="s">
        <v>1624</v>
      </c>
      <c r="E815" s="15" t="s">
        <v>1625</v>
      </c>
      <c r="F815" s="21">
        <v>115</v>
      </c>
      <c r="G815" s="21">
        <v>50</v>
      </c>
      <c r="H815" s="21">
        <v>64.5</v>
      </c>
      <c r="I815" s="21">
        <v>1240</v>
      </c>
      <c r="J815" s="21">
        <v>118.5</v>
      </c>
      <c r="K815" s="21">
        <v>189</v>
      </c>
      <c r="L815" s="21"/>
      <c r="M815" s="21"/>
      <c r="N815" s="21">
        <v>47.5</v>
      </c>
      <c r="O815" s="21">
        <v>1909</v>
      </c>
      <c r="P815" s="21"/>
      <c r="Q815" s="21"/>
      <c r="R815" s="21">
        <v>87</v>
      </c>
      <c r="S815" s="21">
        <v>202</v>
      </c>
      <c r="T815" s="21">
        <v>90</v>
      </c>
      <c r="U815" s="21">
        <v>80</v>
      </c>
      <c r="V815" s="21"/>
      <c r="W815" s="21"/>
      <c r="X815" s="22">
        <v>298</v>
      </c>
      <c r="Y815" s="22">
        <v>104</v>
      </c>
      <c r="Z815" s="21">
        <v>522.5</v>
      </c>
      <c r="AA815" s="21">
        <v>392</v>
      </c>
      <c r="AB815" s="12">
        <v>91</v>
      </c>
    </row>
    <row r="816" ht="14.25" spans="1:28">
      <c r="A816" s="13">
        <v>814</v>
      </c>
      <c r="B816" s="15">
        <v>17</v>
      </c>
      <c r="C816" s="16">
        <v>39</v>
      </c>
      <c r="D816" s="15" t="s">
        <v>1626</v>
      </c>
      <c r="E816" s="15" t="s">
        <v>1627</v>
      </c>
      <c r="F816" s="21">
        <v>97</v>
      </c>
      <c r="G816" s="21">
        <v>1332</v>
      </c>
      <c r="H816" s="21">
        <v>99</v>
      </c>
      <c r="I816" s="21">
        <v>296</v>
      </c>
      <c r="J816" s="21">
        <v>91.75</v>
      </c>
      <c r="K816" s="21">
        <v>1069</v>
      </c>
      <c r="L816" s="21"/>
      <c r="M816" s="21"/>
      <c r="N816" s="21">
        <v>47</v>
      </c>
      <c r="O816" s="21">
        <v>1983</v>
      </c>
      <c r="P816" s="21"/>
      <c r="Q816" s="21"/>
      <c r="R816" s="21">
        <v>87</v>
      </c>
      <c r="S816" s="21">
        <v>202</v>
      </c>
      <c r="T816" s="21">
        <v>69</v>
      </c>
      <c r="U816" s="21">
        <v>1773</v>
      </c>
      <c r="V816" s="21"/>
      <c r="W816" s="21"/>
      <c r="X816" s="22">
        <v>287.75</v>
      </c>
      <c r="Y816" s="22">
        <v>136</v>
      </c>
      <c r="Z816" s="21">
        <v>490.75</v>
      </c>
      <c r="AA816" s="21">
        <v>669</v>
      </c>
      <c r="AB816" s="12">
        <v>149</v>
      </c>
    </row>
    <row r="817" ht="14.25" spans="1:28">
      <c r="A817" s="13">
        <v>815</v>
      </c>
      <c r="B817" s="15">
        <v>17</v>
      </c>
      <c r="C817" s="16">
        <v>40</v>
      </c>
      <c r="D817" s="15" t="s">
        <v>1628</v>
      </c>
      <c r="E817" s="15" t="s">
        <v>1629</v>
      </c>
      <c r="F817" s="21">
        <v>95.25</v>
      </c>
      <c r="G817" s="21">
        <v>1603</v>
      </c>
      <c r="H817" s="21">
        <v>76</v>
      </c>
      <c r="I817" s="21">
        <v>862</v>
      </c>
      <c r="J817" s="21">
        <v>101.5</v>
      </c>
      <c r="K817" s="21">
        <v>649</v>
      </c>
      <c r="L817" s="21"/>
      <c r="M817" s="21"/>
      <c r="N817" s="21">
        <v>59.5</v>
      </c>
      <c r="O817" s="21">
        <v>483</v>
      </c>
      <c r="P817" s="21"/>
      <c r="Q817" s="21"/>
      <c r="R817" s="21">
        <v>82</v>
      </c>
      <c r="S817" s="21">
        <v>432</v>
      </c>
      <c r="T817" s="21">
        <v>78</v>
      </c>
      <c r="U817" s="21">
        <v>1003</v>
      </c>
      <c r="V817" s="21"/>
      <c r="W817" s="21"/>
      <c r="X817" s="22">
        <v>272.75</v>
      </c>
      <c r="Y817" s="22">
        <v>161</v>
      </c>
      <c r="Z817" s="21">
        <v>492.25</v>
      </c>
      <c r="AA817" s="21">
        <v>651</v>
      </c>
      <c r="AB817" s="12">
        <v>145</v>
      </c>
    </row>
    <row r="818" ht="14.25" spans="1:28">
      <c r="A818" s="13">
        <v>816</v>
      </c>
      <c r="B818" s="15">
        <v>17</v>
      </c>
      <c r="C818" s="16">
        <v>41</v>
      </c>
      <c r="D818" s="15" t="s">
        <v>1630</v>
      </c>
      <c r="E818" s="15" t="s">
        <v>1631</v>
      </c>
      <c r="F818" s="21">
        <v>107</v>
      </c>
      <c r="G818" s="21">
        <v>307</v>
      </c>
      <c r="H818" s="21">
        <v>87</v>
      </c>
      <c r="I818" s="21">
        <v>563</v>
      </c>
      <c r="J818" s="21">
        <v>108.25</v>
      </c>
      <c r="K818" s="21">
        <v>445</v>
      </c>
      <c r="L818" s="21"/>
      <c r="M818" s="21"/>
      <c r="N818" s="21">
        <v>51</v>
      </c>
      <c r="O818" s="21">
        <v>1415</v>
      </c>
      <c r="P818" s="21"/>
      <c r="Q818" s="21"/>
      <c r="R818" s="21">
        <v>70</v>
      </c>
      <c r="S818" s="21">
        <v>1165</v>
      </c>
      <c r="T818" s="21">
        <v>89</v>
      </c>
      <c r="U818" s="21">
        <v>137</v>
      </c>
      <c r="V818" s="21"/>
      <c r="W818" s="21"/>
      <c r="X818" s="22">
        <v>302.25</v>
      </c>
      <c r="Y818" s="22">
        <v>87</v>
      </c>
      <c r="Z818" s="21">
        <v>512.25</v>
      </c>
      <c r="AA818" s="21">
        <v>462</v>
      </c>
      <c r="AB818" s="12">
        <v>108</v>
      </c>
    </row>
    <row r="819" ht="14.25" spans="1:28">
      <c r="A819" s="13">
        <v>817</v>
      </c>
      <c r="B819" s="15">
        <v>17</v>
      </c>
      <c r="C819" s="16">
        <v>44</v>
      </c>
      <c r="D819" s="15" t="s">
        <v>1632</v>
      </c>
      <c r="E819" s="15" t="s">
        <v>1633</v>
      </c>
      <c r="F819" s="21">
        <v>96.5</v>
      </c>
      <c r="G819" s="21">
        <v>1406</v>
      </c>
      <c r="H819" s="21">
        <v>98</v>
      </c>
      <c r="I819" s="21">
        <v>314</v>
      </c>
      <c r="J819" s="21">
        <v>100.5</v>
      </c>
      <c r="K819" s="21">
        <v>683</v>
      </c>
      <c r="L819" s="21"/>
      <c r="M819" s="21"/>
      <c r="N819" s="21">
        <v>59.5</v>
      </c>
      <c r="O819" s="21">
        <v>483</v>
      </c>
      <c r="P819" s="21"/>
      <c r="Q819" s="21"/>
      <c r="R819" s="21">
        <v>70</v>
      </c>
      <c r="S819" s="21">
        <v>1165</v>
      </c>
      <c r="T819" s="21">
        <v>89</v>
      </c>
      <c r="U819" s="21">
        <v>137</v>
      </c>
      <c r="V819" s="21"/>
      <c r="W819" s="21"/>
      <c r="X819" s="22">
        <v>295</v>
      </c>
      <c r="Y819" s="22">
        <v>114</v>
      </c>
      <c r="Z819" s="21">
        <v>513.5</v>
      </c>
      <c r="AA819" s="21">
        <v>458</v>
      </c>
      <c r="AB819" s="12">
        <v>107</v>
      </c>
    </row>
    <row r="820" ht="14.25" spans="1:28">
      <c r="A820" s="13">
        <v>818</v>
      </c>
      <c r="B820" s="15">
        <v>17</v>
      </c>
      <c r="C820" s="16">
        <v>45</v>
      </c>
      <c r="D820" s="15" t="s">
        <v>1634</v>
      </c>
      <c r="E820" s="15" t="s">
        <v>1635</v>
      </c>
      <c r="F820" s="21">
        <v>99</v>
      </c>
      <c r="G820" s="21">
        <v>1072</v>
      </c>
      <c r="H820" s="21">
        <v>110.5</v>
      </c>
      <c r="I820" s="21">
        <v>121</v>
      </c>
      <c r="J820" s="21">
        <v>85.5</v>
      </c>
      <c r="K820" s="21">
        <v>1377</v>
      </c>
      <c r="L820" s="21"/>
      <c r="M820" s="21"/>
      <c r="N820" s="21">
        <v>55.5</v>
      </c>
      <c r="O820" s="21">
        <v>860</v>
      </c>
      <c r="P820" s="21"/>
      <c r="Q820" s="21"/>
      <c r="R820" s="21">
        <v>70</v>
      </c>
      <c r="S820" s="21">
        <v>1165</v>
      </c>
      <c r="T820" s="21">
        <v>89</v>
      </c>
      <c r="U820" s="21">
        <v>137</v>
      </c>
      <c r="V820" s="21"/>
      <c r="W820" s="21"/>
      <c r="X820" s="22">
        <v>295</v>
      </c>
      <c r="Y820" s="22">
        <v>114</v>
      </c>
      <c r="Z820" s="21">
        <v>509.5</v>
      </c>
      <c r="AA820" s="21">
        <v>483</v>
      </c>
      <c r="AB820" s="12">
        <v>112</v>
      </c>
    </row>
    <row r="821" ht="14.25" spans="1:28">
      <c r="A821" s="13">
        <v>819</v>
      </c>
      <c r="B821" s="15">
        <v>17</v>
      </c>
      <c r="C821" s="16">
        <v>46</v>
      </c>
      <c r="D821" s="15" t="s">
        <v>1636</v>
      </c>
      <c r="E821" s="15" t="s">
        <v>1637</v>
      </c>
      <c r="F821" s="21">
        <v>95</v>
      </c>
      <c r="G821" s="21">
        <v>1611</v>
      </c>
      <c r="H821" s="21">
        <v>72</v>
      </c>
      <c r="I821" s="21">
        <v>976</v>
      </c>
      <c r="J821" s="21">
        <v>78.75</v>
      </c>
      <c r="K821" s="21">
        <v>1768</v>
      </c>
      <c r="L821" s="21"/>
      <c r="M821" s="21"/>
      <c r="N821" s="21">
        <v>50.5</v>
      </c>
      <c r="O821" s="21">
        <v>1493</v>
      </c>
      <c r="P821" s="21"/>
      <c r="Q821" s="21"/>
      <c r="R821" s="21">
        <v>71</v>
      </c>
      <c r="S821" s="21">
        <v>1117</v>
      </c>
      <c r="T821" s="21">
        <v>55</v>
      </c>
      <c r="U821" s="21">
        <v>3042</v>
      </c>
      <c r="V821" s="21"/>
      <c r="W821" s="21"/>
      <c r="X821" s="22">
        <v>245.75</v>
      </c>
      <c r="Y821" s="22">
        <v>200</v>
      </c>
      <c r="Z821" s="21">
        <v>422.25</v>
      </c>
      <c r="AA821" s="21">
        <v>1562</v>
      </c>
      <c r="AB821" s="12">
        <v>203</v>
      </c>
    </row>
    <row r="822" ht="14.25" spans="1:28">
      <c r="A822" s="13">
        <v>820</v>
      </c>
      <c r="B822" s="15">
        <v>17</v>
      </c>
      <c r="C822" s="16">
        <v>47</v>
      </c>
      <c r="D822" s="15" t="s">
        <v>1638</v>
      </c>
      <c r="E822" s="15" t="s">
        <v>1639</v>
      </c>
      <c r="F822" s="21">
        <v>96.25</v>
      </c>
      <c r="G822" s="21">
        <v>1467</v>
      </c>
      <c r="H822" s="21">
        <v>68.5</v>
      </c>
      <c r="I822" s="21">
        <v>1098</v>
      </c>
      <c r="J822" s="21">
        <v>107.5</v>
      </c>
      <c r="K822" s="21">
        <v>469</v>
      </c>
      <c r="L822" s="21"/>
      <c r="M822" s="21"/>
      <c r="N822" s="21">
        <v>48.5</v>
      </c>
      <c r="O822" s="21">
        <v>1763</v>
      </c>
      <c r="P822" s="21"/>
      <c r="Q822" s="21"/>
      <c r="R822" s="21">
        <v>71</v>
      </c>
      <c r="S822" s="21">
        <v>1117</v>
      </c>
      <c r="T822" s="21">
        <v>69</v>
      </c>
      <c r="U822" s="21">
        <v>1773</v>
      </c>
      <c r="V822" s="21"/>
      <c r="W822" s="21"/>
      <c r="X822" s="22">
        <v>272.25</v>
      </c>
      <c r="Y822" s="22">
        <v>165</v>
      </c>
      <c r="Z822" s="21">
        <v>460.75</v>
      </c>
      <c r="AA822" s="21">
        <v>999</v>
      </c>
      <c r="AB822" s="12">
        <v>186</v>
      </c>
    </row>
    <row r="823" ht="14.25" spans="1:28">
      <c r="A823" s="13">
        <v>821</v>
      </c>
      <c r="B823" s="15">
        <v>17</v>
      </c>
      <c r="C823" s="16">
        <v>48</v>
      </c>
      <c r="D823" s="15" t="s">
        <v>1640</v>
      </c>
      <c r="E823" s="15" t="s">
        <v>1641</v>
      </c>
      <c r="F823" s="21">
        <v>103.75</v>
      </c>
      <c r="G823" s="21">
        <v>573</v>
      </c>
      <c r="H823" s="21">
        <v>93.5</v>
      </c>
      <c r="I823" s="21">
        <v>401</v>
      </c>
      <c r="J823" s="21">
        <v>102</v>
      </c>
      <c r="K823" s="21">
        <v>632</v>
      </c>
      <c r="L823" s="21"/>
      <c r="M823" s="21"/>
      <c r="N823" s="21">
        <v>65.5</v>
      </c>
      <c r="O823" s="21">
        <v>173</v>
      </c>
      <c r="P823" s="21"/>
      <c r="Q823" s="21"/>
      <c r="R823" s="21">
        <v>89</v>
      </c>
      <c r="S823" s="21">
        <v>77</v>
      </c>
      <c r="T823" s="21">
        <v>76</v>
      </c>
      <c r="U823" s="21">
        <v>1218</v>
      </c>
      <c r="V823" s="21"/>
      <c r="W823" s="21"/>
      <c r="X823" s="22">
        <v>299.25</v>
      </c>
      <c r="Y823" s="22">
        <v>99</v>
      </c>
      <c r="Z823" s="21">
        <v>529.75</v>
      </c>
      <c r="AA823" s="21">
        <v>356</v>
      </c>
      <c r="AB823" s="12">
        <v>79</v>
      </c>
    </row>
    <row r="824" ht="14.25" spans="1:28">
      <c r="A824" s="13">
        <v>822</v>
      </c>
      <c r="B824" s="15">
        <v>17</v>
      </c>
      <c r="C824" s="16">
        <v>49</v>
      </c>
      <c r="D824" s="15" t="s">
        <v>1642</v>
      </c>
      <c r="E824" s="15" t="s">
        <v>1643</v>
      </c>
      <c r="F824" s="21">
        <v>97.5</v>
      </c>
      <c r="G824" s="21">
        <v>1268</v>
      </c>
      <c r="H824" s="21">
        <v>67</v>
      </c>
      <c r="I824" s="21">
        <v>1147</v>
      </c>
      <c r="J824" s="21">
        <v>107</v>
      </c>
      <c r="K824" s="21">
        <v>478</v>
      </c>
      <c r="L824" s="21"/>
      <c r="M824" s="21"/>
      <c r="N824" s="21">
        <v>49.5</v>
      </c>
      <c r="O824" s="21">
        <v>1623</v>
      </c>
      <c r="P824" s="21"/>
      <c r="Q824" s="21"/>
      <c r="R824" s="21">
        <v>86</v>
      </c>
      <c r="S824" s="21">
        <v>293</v>
      </c>
      <c r="T824" s="21">
        <v>80</v>
      </c>
      <c r="U824" s="21">
        <v>854</v>
      </c>
      <c r="V824" s="21"/>
      <c r="W824" s="21"/>
      <c r="X824" s="22">
        <v>271.5</v>
      </c>
      <c r="Y824" s="22">
        <v>166</v>
      </c>
      <c r="Z824" s="21">
        <v>487</v>
      </c>
      <c r="AA824" s="21">
        <v>704</v>
      </c>
      <c r="AB824" s="12">
        <v>156</v>
      </c>
    </row>
    <row r="825" ht="14.25" spans="1:28">
      <c r="A825" s="13">
        <v>823</v>
      </c>
      <c r="B825" s="15">
        <v>17</v>
      </c>
      <c r="C825" s="16">
        <v>52</v>
      </c>
      <c r="D825" s="15" t="s">
        <v>1644</v>
      </c>
      <c r="E825" s="15" t="s">
        <v>1645</v>
      </c>
      <c r="F825" s="21">
        <v>105.5</v>
      </c>
      <c r="G825" s="21">
        <v>406</v>
      </c>
      <c r="H825" s="21">
        <v>72.5</v>
      </c>
      <c r="I825" s="21">
        <v>965</v>
      </c>
      <c r="J825" s="21">
        <v>119</v>
      </c>
      <c r="K825" s="21">
        <v>179</v>
      </c>
      <c r="L825" s="21"/>
      <c r="M825" s="21"/>
      <c r="N825" s="21">
        <v>55.5</v>
      </c>
      <c r="O825" s="21">
        <v>860</v>
      </c>
      <c r="P825" s="21"/>
      <c r="Q825" s="21"/>
      <c r="R825" s="21">
        <v>84</v>
      </c>
      <c r="S825" s="21">
        <v>369</v>
      </c>
      <c r="T825" s="21">
        <v>85</v>
      </c>
      <c r="U825" s="21">
        <v>537</v>
      </c>
      <c r="V825" s="21"/>
      <c r="W825" s="21"/>
      <c r="X825" s="22">
        <v>297</v>
      </c>
      <c r="Y825" s="22">
        <v>106</v>
      </c>
      <c r="Z825" s="21">
        <v>521.5</v>
      </c>
      <c r="AA825" s="21">
        <v>399</v>
      </c>
      <c r="AB825" s="12">
        <v>92</v>
      </c>
    </row>
    <row r="826" ht="14.25" spans="1:28">
      <c r="A826" s="13">
        <v>824</v>
      </c>
      <c r="B826" s="15">
        <v>17</v>
      </c>
      <c r="C826" s="16">
        <v>53</v>
      </c>
      <c r="D826" s="15" t="s">
        <v>1646</v>
      </c>
      <c r="E826" s="15" t="s">
        <v>1647</v>
      </c>
      <c r="F826" s="21">
        <v>87.5</v>
      </c>
      <c r="G826" s="21">
        <v>2724</v>
      </c>
      <c r="H826" s="21">
        <v>73</v>
      </c>
      <c r="I826" s="21">
        <v>950</v>
      </c>
      <c r="J826" s="21">
        <v>91.75</v>
      </c>
      <c r="K826" s="21">
        <v>1069</v>
      </c>
      <c r="L826" s="21"/>
      <c r="M826" s="21"/>
      <c r="N826" s="21">
        <v>49</v>
      </c>
      <c r="O826" s="21">
        <v>1682</v>
      </c>
      <c r="P826" s="21"/>
      <c r="Q826" s="21"/>
      <c r="R826" s="21">
        <v>67</v>
      </c>
      <c r="S826" s="21">
        <v>1346</v>
      </c>
      <c r="T826" s="21">
        <v>84</v>
      </c>
      <c r="U826" s="21">
        <v>578</v>
      </c>
      <c r="V826" s="21"/>
      <c r="W826" s="21"/>
      <c r="X826" s="22">
        <v>252.25</v>
      </c>
      <c r="Y826" s="22">
        <v>192</v>
      </c>
      <c r="Z826" s="21">
        <v>452.25</v>
      </c>
      <c r="AA826" s="21">
        <v>1137</v>
      </c>
      <c r="AB826" s="12">
        <v>190</v>
      </c>
    </row>
    <row r="827" ht="14.25" spans="1:28">
      <c r="A827" s="13">
        <v>825</v>
      </c>
      <c r="B827" s="15">
        <v>17</v>
      </c>
      <c r="C827" s="16">
        <v>54</v>
      </c>
      <c r="D827" s="15" t="s">
        <v>1648</v>
      </c>
      <c r="E827" s="15" t="s">
        <v>1649</v>
      </c>
      <c r="F827" s="21">
        <v>108</v>
      </c>
      <c r="G827" s="21">
        <v>247</v>
      </c>
      <c r="H827" s="21">
        <v>88</v>
      </c>
      <c r="I827" s="21">
        <v>537</v>
      </c>
      <c r="J827" s="21">
        <v>97.5</v>
      </c>
      <c r="K827" s="21">
        <v>814</v>
      </c>
      <c r="L827" s="21"/>
      <c r="M827" s="21"/>
      <c r="N827" s="21">
        <v>42.5</v>
      </c>
      <c r="O827" s="21">
        <v>2603</v>
      </c>
      <c r="P827" s="21"/>
      <c r="Q827" s="21"/>
      <c r="R827" s="21">
        <v>88</v>
      </c>
      <c r="S827" s="21">
        <v>123</v>
      </c>
      <c r="T827" s="21">
        <v>90</v>
      </c>
      <c r="U827" s="21">
        <v>80</v>
      </c>
      <c r="V827" s="21"/>
      <c r="W827" s="21"/>
      <c r="X827" s="22">
        <v>293.5</v>
      </c>
      <c r="Y827" s="22">
        <v>121</v>
      </c>
      <c r="Z827" s="21">
        <v>514</v>
      </c>
      <c r="AA827" s="21">
        <v>454</v>
      </c>
      <c r="AB827" s="12">
        <v>106</v>
      </c>
    </row>
    <row r="828" ht="14.25" spans="1:28">
      <c r="A828" s="13">
        <v>826</v>
      </c>
      <c r="B828" s="15">
        <v>17</v>
      </c>
      <c r="C828" s="16">
        <v>55</v>
      </c>
      <c r="D828" s="15" t="s">
        <v>1650</v>
      </c>
      <c r="E828" s="15" t="s">
        <v>1651</v>
      </c>
      <c r="F828" s="21">
        <v>119.5</v>
      </c>
      <c r="G828" s="21">
        <v>11</v>
      </c>
      <c r="H828" s="21">
        <v>50.5</v>
      </c>
      <c r="I828" s="21">
        <v>1871</v>
      </c>
      <c r="J828" s="21">
        <v>117</v>
      </c>
      <c r="K828" s="21">
        <v>222</v>
      </c>
      <c r="L828" s="21"/>
      <c r="M828" s="21"/>
      <c r="N828" s="21">
        <v>63.5</v>
      </c>
      <c r="O828" s="21">
        <v>253</v>
      </c>
      <c r="P828" s="21"/>
      <c r="Q828" s="21"/>
      <c r="R828" s="21">
        <v>78</v>
      </c>
      <c r="S828" s="21">
        <v>682</v>
      </c>
      <c r="T828" s="21">
        <v>88</v>
      </c>
      <c r="U828" s="21">
        <v>227</v>
      </c>
      <c r="V828" s="21"/>
      <c r="W828" s="21"/>
      <c r="X828" s="22">
        <v>287</v>
      </c>
      <c r="Y828" s="22">
        <v>137</v>
      </c>
      <c r="Z828" s="21">
        <v>516.5</v>
      </c>
      <c r="AA828" s="21">
        <v>439</v>
      </c>
      <c r="AB828" s="12">
        <v>103</v>
      </c>
    </row>
    <row r="829" ht="14.25" spans="1:28">
      <c r="A829" s="13">
        <v>827</v>
      </c>
      <c r="B829" s="15">
        <v>18</v>
      </c>
      <c r="C829" s="16">
        <v>2</v>
      </c>
      <c r="D829" s="15" t="s">
        <v>1652</v>
      </c>
      <c r="E829" s="15" t="s">
        <v>1653</v>
      </c>
      <c r="F829" s="21">
        <v>100</v>
      </c>
      <c r="G829" s="21">
        <v>958</v>
      </c>
      <c r="H829" s="21">
        <v>105</v>
      </c>
      <c r="I829" s="21">
        <v>189</v>
      </c>
      <c r="J829" s="21">
        <v>79.5</v>
      </c>
      <c r="K829" s="21">
        <v>1718</v>
      </c>
      <c r="L829" s="21"/>
      <c r="M829" s="21"/>
      <c r="N829" s="21">
        <v>45.5</v>
      </c>
      <c r="O829" s="21">
        <v>2181</v>
      </c>
      <c r="P829" s="21"/>
      <c r="Q829" s="21"/>
      <c r="R829" s="21">
        <v>74</v>
      </c>
      <c r="S829" s="21">
        <v>916</v>
      </c>
      <c r="T829" s="21">
        <v>80</v>
      </c>
      <c r="U829" s="21">
        <v>854</v>
      </c>
      <c r="V829" s="21"/>
      <c r="W829" s="21"/>
      <c r="X829" s="22">
        <v>284.5</v>
      </c>
      <c r="Y829" s="22">
        <v>143</v>
      </c>
      <c r="Z829" s="21">
        <v>484</v>
      </c>
      <c r="AA829" s="21">
        <v>731</v>
      </c>
      <c r="AB829" s="12">
        <v>160</v>
      </c>
    </row>
    <row r="830" ht="14.25" spans="1:28">
      <c r="A830" s="13">
        <v>828</v>
      </c>
      <c r="B830" s="15">
        <v>18</v>
      </c>
      <c r="C830" s="16">
        <v>4</v>
      </c>
      <c r="D830" s="15" t="s">
        <v>1654</v>
      </c>
      <c r="E830" s="15" t="s">
        <v>1655</v>
      </c>
      <c r="F830" s="21">
        <v>103.5</v>
      </c>
      <c r="G830" s="21">
        <v>577</v>
      </c>
      <c r="H830" s="21">
        <v>111.5</v>
      </c>
      <c r="I830" s="21">
        <v>106</v>
      </c>
      <c r="J830" s="21">
        <v>110</v>
      </c>
      <c r="K830" s="21">
        <v>386</v>
      </c>
      <c r="L830" s="21"/>
      <c r="M830" s="21"/>
      <c r="N830" s="21">
        <v>68.5</v>
      </c>
      <c r="O830" s="21">
        <v>82</v>
      </c>
      <c r="P830" s="21"/>
      <c r="Q830" s="21"/>
      <c r="R830" s="21">
        <v>91</v>
      </c>
      <c r="S830" s="21">
        <v>30</v>
      </c>
      <c r="T830" s="21">
        <v>86</v>
      </c>
      <c r="U830" s="21">
        <v>465</v>
      </c>
      <c r="V830" s="21"/>
      <c r="W830" s="21"/>
      <c r="X830" s="22">
        <v>325</v>
      </c>
      <c r="Y830" s="22">
        <v>34</v>
      </c>
      <c r="Z830" s="21">
        <v>570.5</v>
      </c>
      <c r="AA830" s="21">
        <v>125</v>
      </c>
      <c r="AB830" s="12">
        <v>18</v>
      </c>
    </row>
    <row r="831" ht="14.25" spans="1:28">
      <c r="A831" s="13">
        <v>829</v>
      </c>
      <c r="B831" s="15">
        <v>18</v>
      </c>
      <c r="C831" s="16">
        <v>5</v>
      </c>
      <c r="D831" s="15" t="s">
        <v>1656</v>
      </c>
      <c r="E831" s="15" t="s">
        <v>1657</v>
      </c>
      <c r="F831" s="21">
        <v>100.5</v>
      </c>
      <c r="G831" s="21">
        <v>901</v>
      </c>
      <c r="H831" s="21">
        <v>53</v>
      </c>
      <c r="I831" s="21">
        <v>1737</v>
      </c>
      <c r="J831" s="21">
        <v>73</v>
      </c>
      <c r="K831" s="21">
        <v>2053</v>
      </c>
      <c r="L831" s="21"/>
      <c r="M831" s="21"/>
      <c r="N831" s="21">
        <v>49</v>
      </c>
      <c r="O831" s="21">
        <v>1682</v>
      </c>
      <c r="P831" s="21"/>
      <c r="Q831" s="21"/>
      <c r="R831" s="21">
        <v>70</v>
      </c>
      <c r="S831" s="21">
        <v>1165</v>
      </c>
      <c r="T831" s="21">
        <v>71</v>
      </c>
      <c r="U831" s="21">
        <v>1653</v>
      </c>
      <c r="V831" s="21"/>
      <c r="W831" s="21"/>
      <c r="X831" s="22">
        <v>226.5</v>
      </c>
      <c r="Y831" s="22">
        <v>205</v>
      </c>
      <c r="Z831" s="21">
        <v>416.5</v>
      </c>
      <c r="AA831" s="21">
        <v>1653</v>
      </c>
      <c r="AB831" s="12">
        <v>205</v>
      </c>
    </row>
    <row r="832" ht="14.25" spans="1:28">
      <c r="A832" s="13">
        <v>830</v>
      </c>
      <c r="B832" s="15">
        <v>18</v>
      </c>
      <c r="C832" s="16">
        <v>7</v>
      </c>
      <c r="D832" s="15" t="s">
        <v>1658</v>
      </c>
      <c r="E832" s="15" t="s">
        <v>1659</v>
      </c>
      <c r="F832" s="21">
        <v>94.5</v>
      </c>
      <c r="G832" s="21">
        <v>1687</v>
      </c>
      <c r="H832" s="21">
        <v>99.5</v>
      </c>
      <c r="I832" s="21">
        <v>281</v>
      </c>
      <c r="J832" s="21">
        <v>120.5</v>
      </c>
      <c r="K832" s="21">
        <v>153</v>
      </c>
      <c r="L832" s="21"/>
      <c r="M832" s="21"/>
      <c r="N832" s="21">
        <v>40.5</v>
      </c>
      <c r="O832" s="21">
        <v>2886</v>
      </c>
      <c r="P832" s="21"/>
      <c r="Q832" s="21"/>
      <c r="R832" s="21">
        <v>68</v>
      </c>
      <c r="S832" s="21">
        <v>1296</v>
      </c>
      <c r="T832" s="21">
        <v>86</v>
      </c>
      <c r="U832" s="21">
        <v>465</v>
      </c>
      <c r="V832" s="21"/>
      <c r="W832" s="21"/>
      <c r="X832" s="22">
        <v>314.5</v>
      </c>
      <c r="Y832" s="22">
        <v>58</v>
      </c>
      <c r="Z832" s="21">
        <v>509</v>
      </c>
      <c r="AA832" s="21">
        <v>494</v>
      </c>
      <c r="AB832" s="12">
        <v>117</v>
      </c>
    </row>
    <row r="833" ht="14.25" spans="1:28">
      <c r="A833" s="13">
        <v>831</v>
      </c>
      <c r="B833" s="15">
        <v>18</v>
      </c>
      <c r="C833" s="16">
        <v>8</v>
      </c>
      <c r="D833" s="15" t="s">
        <v>1660</v>
      </c>
      <c r="E833" s="15" t="s">
        <v>1661</v>
      </c>
      <c r="F833" s="21">
        <v>112.5</v>
      </c>
      <c r="G833" s="21">
        <v>92</v>
      </c>
      <c r="H833" s="21">
        <v>96</v>
      </c>
      <c r="I833" s="21">
        <v>351</v>
      </c>
      <c r="J833" s="21">
        <v>107.75</v>
      </c>
      <c r="K833" s="21">
        <v>464</v>
      </c>
      <c r="L833" s="21"/>
      <c r="M833" s="21"/>
      <c r="N833" s="21">
        <v>56</v>
      </c>
      <c r="O833" s="21">
        <v>804</v>
      </c>
      <c r="P833" s="21"/>
      <c r="Q833" s="21"/>
      <c r="R833" s="21">
        <v>88</v>
      </c>
      <c r="S833" s="21">
        <v>123</v>
      </c>
      <c r="T833" s="21">
        <v>77</v>
      </c>
      <c r="U833" s="21">
        <v>1108</v>
      </c>
      <c r="V833" s="21"/>
      <c r="W833" s="21"/>
      <c r="X833" s="22">
        <v>316.25</v>
      </c>
      <c r="Y833" s="22">
        <v>52</v>
      </c>
      <c r="Z833" s="21">
        <v>537.25</v>
      </c>
      <c r="AA833" s="21">
        <v>301</v>
      </c>
      <c r="AB833" s="12">
        <v>62</v>
      </c>
    </row>
    <row r="834" ht="14.25" spans="1:28">
      <c r="A834" s="13">
        <v>832</v>
      </c>
      <c r="B834" s="15">
        <v>18</v>
      </c>
      <c r="C834" s="16">
        <v>10</v>
      </c>
      <c r="D834" s="15" t="s">
        <v>1662</v>
      </c>
      <c r="E834" s="15" t="s">
        <v>1663</v>
      </c>
      <c r="F834" s="21">
        <v>96.5</v>
      </c>
      <c r="G834" s="21">
        <v>1406</v>
      </c>
      <c r="H834" s="21">
        <v>57</v>
      </c>
      <c r="I834" s="21">
        <v>1510</v>
      </c>
      <c r="J834" s="21">
        <v>85.5</v>
      </c>
      <c r="K834" s="21">
        <v>1377</v>
      </c>
      <c r="L834" s="21"/>
      <c r="M834" s="21"/>
      <c r="N834" s="21">
        <v>42</v>
      </c>
      <c r="O834" s="21">
        <v>2673</v>
      </c>
      <c r="P834" s="21"/>
      <c r="Q834" s="21"/>
      <c r="R834" s="21">
        <v>79</v>
      </c>
      <c r="S834" s="21">
        <v>590</v>
      </c>
      <c r="T834" s="21">
        <v>58</v>
      </c>
      <c r="U834" s="21">
        <v>2834</v>
      </c>
      <c r="V834" s="21"/>
      <c r="W834" s="21"/>
      <c r="X834" s="22">
        <v>239</v>
      </c>
      <c r="Y834" s="22">
        <v>202</v>
      </c>
      <c r="Z834" s="21">
        <v>418</v>
      </c>
      <c r="AA834" s="21">
        <v>1628</v>
      </c>
      <c r="AB834" s="12">
        <v>204</v>
      </c>
    </row>
    <row r="835" ht="14.25" spans="1:28">
      <c r="A835" s="13">
        <v>833</v>
      </c>
      <c r="B835" s="15">
        <v>18</v>
      </c>
      <c r="C835" s="16">
        <v>11</v>
      </c>
      <c r="D835" s="15" t="s">
        <v>1664</v>
      </c>
      <c r="E835" s="15" t="s">
        <v>1665</v>
      </c>
      <c r="F835" s="21">
        <v>108</v>
      </c>
      <c r="G835" s="21">
        <v>247</v>
      </c>
      <c r="H835" s="21">
        <v>91.5</v>
      </c>
      <c r="I835" s="21">
        <v>450</v>
      </c>
      <c r="J835" s="21">
        <v>102</v>
      </c>
      <c r="K835" s="21">
        <v>632</v>
      </c>
      <c r="L835" s="21"/>
      <c r="M835" s="21"/>
      <c r="N835" s="21">
        <v>71</v>
      </c>
      <c r="O835" s="21">
        <v>28</v>
      </c>
      <c r="P835" s="21"/>
      <c r="Q835" s="21"/>
      <c r="R835" s="21">
        <v>91</v>
      </c>
      <c r="S835" s="21">
        <v>30</v>
      </c>
      <c r="T835" s="21">
        <v>84</v>
      </c>
      <c r="U835" s="21">
        <v>578</v>
      </c>
      <c r="V835" s="21"/>
      <c r="W835" s="21"/>
      <c r="X835" s="22">
        <v>301.5</v>
      </c>
      <c r="Y835" s="22">
        <v>93</v>
      </c>
      <c r="Z835" s="21">
        <v>547.5</v>
      </c>
      <c r="AA835" s="21">
        <v>245</v>
      </c>
      <c r="AB835" s="12">
        <v>46</v>
      </c>
    </row>
    <row r="836" ht="14.25" spans="1:28">
      <c r="A836" s="13">
        <v>834</v>
      </c>
      <c r="B836" s="15">
        <v>18</v>
      </c>
      <c r="C836" s="16">
        <v>12</v>
      </c>
      <c r="D836" s="15" t="s">
        <v>1666</v>
      </c>
      <c r="E836" s="15" t="s">
        <v>1667</v>
      </c>
      <c r="F836" s="21">
        <v>111</v>
      </c>
      <c r="G836" s="21">
        <v>130</v>
      </c>
      <c r="H836" s="21">
        <v>111.5</v>
      </c>
      <c r="I836" s="21">
        <v>106</v>
      </c>
      <c r="J836" s="21">
        <v>88.25</v>
      </c>
      <c r="K836" s="21">
        <v>1227</v>
      </c>
      <c r="L836" s="21"/>
      <c r="M836" s="21"/>
      <c r="N836" s="21">
        <v>57.5</v>
      </c>
      <c r="O836" s="21">
        <v>638</v>
      </c>
      <c r="P836" s="21"/>
      <c r="Q836" s="21"/>
      <c r="R836" s="21">
        <v>87</v>
      </c>
      <c r="S836" s="21">
        <v>202</v>
      </c>
      <c r="T836" s="21">
        <v>72</v>
      </c>
      <c r="U836" s="21">
        <v>1556</v>
      </c>
      <c r="V836" s="21"/>
      <c r="W836" s="21"/>
      <c r="X836" s="22">
        <v>310.75</v>
      </c>
      <c r="Y836" s="22">
        <v>70</v>
      </c>
      <c r="Z836" s="21">
        <v>527.25</v>
      </c>
      <c r="AA836" s="21">
        <v>369</v>
      </c>
      <c r="AB836" s="12">
        <v>83</v>
      </c>
    </row>
    <row r="837" ht="14.25" spans="1:28">
      <c r="A837" s="13">
        <v>835</v>
      </c>
      <c r="B837" s="15">
        <v>18</v>
      </c>
      <c r="C837" s="16">
        <v>13</v>
      </c>
      <c r="D837" s="15" t="s">
        <v>1668</v>
      </c>
      <c r="E837" s="15" t="s">
        <v>1669</v>
      </c>
      <c r="F837" s="21">
        <v>100</v>
      </c>
      <c r="G837" s="21">
        <v>958</v>
      </c>
      <c r="H837" s="21">
        <v>95.5</v>
      </c>
      <c r="I837" s="21">
        <v>360</v>
      </c>
      <c r="J837" s="21">
        <v>98.75</v>
      </c>
      <c r="K837" s="21">
        <v>765</v>
      </c>
      <c r="L837" s="21"/>
      <c r="M837" s="21"/>
      <c r="N837" s="21">
        <v>36.5</v>
      </c>
      <c r="O837" s="21">
        <v>3346</v>
      </c>
      <c r="P837" s="21"/>
      <c r="Q837" s="21"/>
      <c r="R837" s="21">
        <v>75</v>
      </c>
      <c r="S837" s="21">
        <v>873</v>
      </c>
      <c r="T837" s="21">
        <v>69</v>
      </c>
      <c r="U837" s="21">
        <v>1773</v>
      </c>
      <c r="V837" s="21"/>
      <c r="W837" s="21"/>
      <c r="X837" s="22">
        <v>294.25</v>
      </c>
      <c r="Y837" s="22">
        <v>118</v>
      </c>
      <c r="Z837" s="21">
        <v>474.75</v>
      </c>
      <c r="AA837" s="21">
        <v>841</v>
      </c>
      <c r="AB837" s="12">
        <v>173</v>
      </c>
    </row>
    <row r="838" ht="14.25" spans="1:28">
      <c r="A838" s="13">
        <v>836</v>
      </c>
      <c r="B838" s="15">
        <v>18</v>
      </c>
      <c r="C838" s="16">
        <v>14</v>
      </c>
      <c r="D838" s="15" t="s">
        <v>1670</v>
      </c>
      <c r="E838" s="15" t="s">
        <v>1671</v>
      </c>
      <c r="F838" s="21">
        <v>105</v>
      </c>
      <c r="G838" s="21">
        <v>437</v>
      </c>
      <c r="H838" s="21">
        <v>64</v>
      </c>
      <c r="I838" s="21">
        <v>1261</v>
      </c>
      <c r="J838" s="21">
        <v>107.5</v>
      </c>
      <c r="K838" s="21">
        <v>469</v>
      </c>
      <c r="L838" s="21"/>
      <c r="M838" s="21"/>
      <c r="N838" s="21">
        <v>53</v>
      </c>
      <c r="O838" s="21">
        <v>1155</v>
      </c>
      <c r="P838" s="21"/>
      <c r="Q838" s="21"/>
      <c r="R838" s="21">
        <v>73</v>
      </c>
      <c r="S838" s="21">
        <v>965</v>
      </c>
      <c r="T838" s="21">
        <v>82</v>
      </c>
      <c r="U838" s="21">
        <v>702</v>
      </c>
      <c r="V838" s="21"/>
      <c r="W838" s="21"/>
      <c r="X838" s="22">
        <v>276.5</v>
      </c>
      <c r="Y838" s="22">
        <v>155</v>
      </c>
      <c r="Z838" s="21">
        <v>484.5</v>
      </c>
      <c r="AA838" s="21">
        <v>727</v>
      </c>
      <c r="AB838" s="12">
        <v>159</v>
      </c>
    </row>
    <row r="839" ht="14.25" spans="1:28">
      <c r="A839" s="13">
        <v>837</v>
      </c>
      <c r="B839" s="15">
        <v>18</v>
      </c>
      <c r="C839" s="16">
        <v>17</v>
      </c>
      <c r="D839" s="15" t="s">
        <v>1672</v>
      </c>
      <c r="E839" s="15" t="s">
        <v>1673</v>
      </c>
      <c r="F839" s="21">
        <v>99</v>
      </c>
      <c r="G839" s="21">
        <v>1072</v>
      </c>
      <c r="H839" s="21">
        <v>101.5</v>
      </c>
      <c r="I839" s="21">
        <v>247</v>
      </c>
      <c r="J839" s="21">
        <v>99</v>
      </c>
      <c r="K839" s="21">
        <v>751</v>
      </c>
      <c r="L839" s="21"/>
      <c r="M839" s="21"/>
      <c r="N839" s="21">
        <v>43.5</v>
      </c>
      <c r="O839" s="21">
        <v>2443</v>
      </c>
      <c r="P839" s="21"/>
      <c r="Q839" s="21"/>
      <c r="R839" s="21">
        <v>82</v>
      </c>
      <c r="S839" s="21">
        <v>432</v>
      </c>
      <c r="T839" s="21">
        <v>77</v>
      </c>
      <c r="U839" s="21">
        <v>1108</v>
      </c>
      <c r="V839" s="21"/>
      <c r="W839" s="21"/>
      <c r="X839" s="22">
        <v>299.5</v>
      </c>
      <c r="Y839" s="22">
        <v>98</v>
      </c>
      <c r="Z839" s="21">
        <v>502</v>
      </c>
      <c r="AA839" s="21">
        <v>556</v>
      </c>
      <c r="AB839" s="12">
        <v>132</v>
      </c>
    </row>
    <row r="840" ht="14.25" spans="1:28">
      <c r="A840" s="13">
        <v>838</v>
      </c>
      <c r="B840" s="15">
        <v>18</v>
      </c>
      <c r="C840" s="16">
        <v>18</v>
      </c>
      <c r="D840" s="15" t="s">
        <v>1674</v>
      </c>
      <c r="E840" s="15" t="s">
        <v>1675</v>
      </c>
      <c r="F840" s="21">
        <v>107.5</v>
      </c>
      <c r="G840" s="21">
        <v>270</v>
      </c>
      <c r="H840" s="21">
        <v>69</v>
      </c>
      <c r="I840" s="21">
        <v>1084</v>
      </c>
      <c r="J840" s="21">
        <v>125</v>
      </c>
      <c r="K840" s="21">
        <v>77</v>
      </c>
      <c r="L840" s="21"/>
      <c r="M840" s="21"/>
      <c r="N840" s="21">
        <v>64</v>
      </c>
      <c r="O840" s="21">
        <v>232</v>
      </c>
      <c r="P840" s="21"/>
      <c r="Q840" s="21"/>
      <c r="R840" s="21">
        <v>79</v>
      </c>
      <c r="S840" s="21">
        <v>590</v>
      </c>
      <c r="T840" s="21">
        <v>83</v>
      </c>
      <c r="U840" s="21">
        <v>616</v>
      </c>
      <c r="V840" s="21"/>
      <c r="W840" s="21"/>
      <c r="X840" s="22">
        <v>301.5</v>
      </c>
      <c r="Y840" s="22">
        <v>93</v>
      </c>
      <c r="Z840" s="21">
        <v>527.5</v>
      </c>
      <c r="AA840" s="21">
        <v>367</v>
      </c>
      <c r="AB840" s="12">
        <v>82</v>
      </c>
    </row>
    <row r="841" ht="14.25" spans="1:28">
      <c r="A841" s="13">
        <v>839</v>
      </c>
      <c r="B841" s="15">
        <v>18</v>
      </c>
      <c r="C841" s="16">
        <v>19</v>
      </c>
      <c r="D841" s="15" t="s">
        <v>1676</v>
      </c>
      <c r="E841" s="15" t="s">
        <v>1677</v>
      </c>
      <c r="F841" s="21">
        <v>105</v>
      </c>
      <c r="G841" s="21">
        <v>437</v>
      </c>
      <c r="H841" s="21">
        <v>57.5</v>
      </c>
      <c r="I841" s="21">
        <v>1493</v>
      </c>
      <c r="J841" s="21">
        <v>105.25</v>
      </c>
      <c r="K841" s="21">
        <v>535</v>
      </c>
      <c r="L841" s="21"/>
      <c r="M841" s="21"/>
      <c r="N841" s="21">
        <v>47.5</v>
      </c>
      <c r="O841" s="21">
        <v>1909</v>
      </c>
      <c r="P841" s="21"/>
      <c r="Q841" s="21"/>
      <c r="R841" s="21">
        <v>76</v>
      </c>
      <c r="S841" s="21">
        <v>788</v>
      </c>
      <c r="T841" s="21">
        <v>65</v>
      </c>
      <c r="U841" s="21">
        <v>2190</v>
      </c>
      <c r="V841" s="21"/>
      <c r="W841" s="21"/>
      <c r="X841" s="22">
        <v>267.75</v>
      </c>
      <c r="Y841" s="22">
        <v>178</v>
      </c>
      <c r="Z841" s="21">
        <v>456.25</v>
      </c>
      <c r="AA841" s="21">
        <v>1065</v>
      </c>
      <c r="AB841" s="12">
        <v>187</v>
      </c>
    </row>
    <row r="842" ht="14.25" spans="1:28">
      <c r="A842" s="13">
        <v>840</v>
      </c>
      <c r="B842" s="15">
        <v>18</v>
      </c>
      <c r="C842" s="16">
        <v>20</v>
      </c>
      <c r="D842" s="15" t="s">
        <v>1678</v>
      </c>
      <c r="E842" s="15" t="s">
        <v>1679</v>
      </c>
      <c r="F842" s="21">
        <v>100.75</v>
      </c>
      <c r="G842" s="21">
        <v>893</v>
      </c>
      <c r="H842" s="21">
        <v>85</v>
      </c>
      <c r="I842" s="21">
        <v>611</v>
      </c>
      <c r="J842" s="21">
        <v>85</v>
      </c>
      <c r="K842" s="21">
        <v>1406</v>
      </c>
      <c r="L842" s="21"/>
      <c r="M842" s="21"/>
      <c r="N842" s="21">
        <v>51.5</v>
      </c>
      <c r="O842" s="21">
        <v>1342</v>
      </c>
      <c r="P842" s="21"/>
      <c r="Q842" s="21"/>
      <c r="R842" s="21">
        <v>86</v>
      </c>
      <c r="S842" s="21">
        <v>293</v>
      </c>
      <c r="T842" s="21">
        <v>86</v>
      </c>
      <c r="U842" s="21">
        <v>465</v>
      </c>
      <c r="V842" s="21"/>
      <c r="W842" s="21"/>
      <c r="X842" s="22">
        <v>270.75</v>
      </c>
      <c r="Y842" s="22">
        <v>167</v>
      </c>
      <c r="Z842" s="21">
        <v>494.25</v>
      </c>
      <c r="AA842" s="21">
        <v>633</v>
      </c>
      <c r="AB842" s="12">
        <v>144</v>
      </c>
    </row>
    <row r="843" ht="14.25" spans="1:28">
      <c r="A843" s="13">
        <v>841</v>
      </c>
      <c r="B843" s="15">
        <v>18</v>
      </c>
      <c r="C843" s="16">
        <v>21</v>
      </c>
      <c r="D843" s="15" t="s">
        <v>1680</v>
      </c>
      <c r="E843" s="15" t="s">
        <v>1681</v>
      </c>
      <c r="F843" s="21">
        <v>102.5</v>
      </c>
      <c r="G843" s="21">
        <v>686</v>
      </c>
      <c r="H843" s="21">
        <v>78</v>
      </c>
      <c r="I843" s="21">
        <v>802</v>
      </c>
      <c r="J843" s="21">
        <v>111.5</v>
      </c>
      <c r="K843" s="21">
        <v>346</v>
      </c>
      <c r="L843" s="21"/>
      <c r="M843" s="21"/>
      <c r="N843" s="21">
        <v>50</v>
      </c>
      <c r="O843" s="21">
        <v>1561</v>
      </c>
      <c r="P843" s="21"/>
      <c r="Q843" s="21"/>
      <c r="R843" s="21">
        <v>80</v>
      </c>
      <c r="S843" s="21">
        <v>535</v>
      </c>
      <c r="T843" s="21">
        <v>75</v>
      </c>
      <c r="U843" s="21">
        <v>1272</v>
      </c>
      <c r="V843" s="21"/>
      <c r="W843" s="21"/>
      <c r="X843" s="22">
        <v>292</v>
      </c>
      <c r="Y843" s="22">
        <v>123</v>
      </c>
      <c r="Z843" s="21">
        <v>497</v>
      </c>
      <c r="AA843" s="21">
        <v>606</v>
      </c>
      <c r="AB843" s="12">
        <v>140</v>
      </c>
    </row>
    <row r="844" ht="14.25" spans="1:28">
      <c r="A844" s="13">
        <v>842</v>
      </c>
      <c r="B844" s="15">
        <v>18</v>
      </c>
      <c r="C844" s="16">
        <v>22</v>
      </c>
      <c r="D844" s="15" t="s">
        <v>1682</v>
      </c>
      <c r="E844" s="15" t="s">
        <v>1683</v>
      </c>
      <c r="F844" s="21">
        <v>98.5</v>
      </c>
      <c r="G844" s="21">
        <v>1145</v>
      </c>
      <c r="H844" s="21">
        <v>110.5</v>
      </c>
      <c r="I844" s="21">
        <v>121</v>
      </c>
      <c r="J844" s="21">
        <v>83.5</v>
      </c>
      <c r="K844" s="21">
        <v>1487</v>
      </c>
      <c r="L844" s="21"/>
      <c r="M844" s="21"/>
      <c r="N844" s="21">
        <v>76</v>
      </c>
      <c r="O844" s="21">
        <v>4</v>
      </c>
      <c r="P844" s="21"/>
      <c r="Q844" s="21"/>
      <c r="R844" s="21">
        <v>92</v>
      </c>
      <c r="S844" s="21">
        <v>16</v>
      </c>
      <c r="T844" s="21">
        <v>89</v>
      </c>
      <c r="U844" s="21">
        <v>137</v>
      </c>
      <c r="V844" s="21"/>
      <c r="W844" s="21"/>
      <c r="X844" s="22">
        <v>292.5</v>
      </c>
      <c r="Y844" s="22">
        <v>122</v>
      </c>
      <c r="Z844" s="21">
        <v>549.5</v>
      </c>
      <c r="AA844" s="21">
        <v>229</v>
      </c>
      <c r="AB844" s="12">
        <v>41</v>
      </c>
    </row>
    <row r="845" ht="14.25" spans="1:28">
      <c r="A845" s="13">
        <v>843</v>
      </c>
      <c r="B845" s="15">
        <v>18</v>
      </c>
      <c r="C845" s="16">
        <v>23</v>
      </c>
      <c r="D845" s="15" t="s">
        <v>1684</v>
      </c>
      <c r="E845" s="15" t="s">
        <v>1685</v>
      </c>
      <c r="F845" s="21">
        <v>111</v>
      </c>
      <c r="G845" s="21">
        <v>130</v>
      </c>
      <c r="H845" s="21">
        <v>99.5</v>
      </c>
      <c r="I845" s="21">
        <v>281</v>
      </c>
      <c r="J845" s="21">
        <v>110.5</v>
      </c>
      <c r="K845" s="21">
        <v>373</v>
      </c>
      <c r="L845" s="21"/>
      <c r="M845" s="21"/>
      <c r="N845" s="21">
        <v>57.5</v>
      </c>
      <c r="O845" s="21">
        <v>638</v>
      </c>
      <c r="P845" s="21"/>
      <c r="Q845" s="21"/>
      <c r="R845" s="21">
        <v>86</v>
      </c>
      <c r="S845" s="21">
        <v>293</v>
      </c>
      <c r="T845" s="21">
        <v>85</v>
      </c>
      <c r="U845" s="21">
        <v>537</v>
      </c>
      <c r="V845" s="21"/>
      <c r="W845" s="21"/>
      <c r="X845" s="22">
        <v>321</v>
      </c>
      <c r="Y845" s="22">
        <v>41</v>
      </c>
      <c r="Z845" s="21">
        <v>549.5</v>
      </c>
      <c r="AA845" s="21">
        <v>229</v>
      </c>
      <c r="AB845" s="12">
        <v>41</v>
      </c>
    </row>
    <row r="846" ht="14.25" spans="1:28">
      <c r="A846" s="13">
        <v>844</v>
      </c>
      <c r="B846" s="15">
        <v>18</v>
      </c>
      <c r="C846" s="16">
        <v>24</v>
      </c>
      <c r="D846" s="15" t="s">
        <v>1686</v>
      </c>
      <c r="E846" s="15" t="s">
        <v>1687</v>
      </c>
      <c r="F846" s="21">
        <v>99</v>
      </c>
      <c r="G846" s="21">
        <v>1072</v>
      </c>
      <c r="H846" s="21">
        <v>97.5</v>
      </c>
      <c r="I846" s="21">
        <v>318</v>
      </c>
      <c r="J846" s="21">
        <v>100.5</v>
      </c>
      <c r="K846" s="21">
        <v>683</v>
      </c>
      <c r="L846" s="21"/>
      <c r="M846" s="21"/>
      <c r="N846" s="21">
        <v>58</v>
      </c>
      <c r="O846" s="21">
        <v>588</v>
      </c>
      <c r="P846" s="21"/>
      <c r="Q846" s="21"/>
      <c r="R846" s="21">
        <v>86</v>
      </c>
      <c r="S846" s="21">
        <v>293</v>
      </c>
      <c r="T846" s="21">
        <v>82</v>
      </c>
      <c r="U846" s="21">
        <v>702</v>
      </c>
      <c r="V846" s="21"/>
      <c r="W846" s="21"/>
      <c r="X846" s="22">
        <v>297</v>
      </c>
      <c r="Y846" s="22">
        <v>106</v>
      </c>
      <c r="Z846" s="21">
        <v>523</v>
      </c>
      <c r="AA846" s="21">
        <v>389</v>
      </c>
      <c r="AB846" s="12">
        <v>89</v>
      </c>
    </row>
    <row r="847" ht="14.25" spans="1:28">
      <c r="A847" s="13">
        <v>845</v>
      </c>
      <c r="B847" s="15">
        <v>18</v>
      </c>
      <c r="C847" s="16">
        <v>25</v>
      </c>
      <c r="D847" s="15" t="s">
        <v>1688</v>
      </c>
      <c r="E847" s="15" t="s">
        <v>1689</v>
      </c>
      <c r="F847" s="21">
        <v>111.75</v>
      </c>
      <c r="G847" s="21">
        <v>117</v>
      </c>
      <c r="H847" s="21">
        <v>56.5</v>
      </c>
      <c r="I847" s="21">
        <v>1539</v>
      </c>
      <c r="J847" s="21">
        <v>101.75</v>
      </c>
      <c r="K847" s="21">
        <v>644</v>
      </c>
      <c r="L847" s="21"/>
      <c r="M847" s="21"/>
      <c r="N847" s="21">
        <v>71.5</v>
      </c>
      <c r="O847" s="21">
        <v>24</v>
      </c>
      <c r="P847" s="21"/>
      <c r="Q847" s="21"/>
      <c r="R847" s="21">
        <v>87</v>
      </c>
      <c r="S847" s="21">
        <v>202</v>
      </c>
      <c r="T847" s="21">
        <v>83</v>
      </c>
      <c r="U847" s="21">
        <v>616</v>
      </c>
      <c r="V847" s="21"/>
      <c r="W847" s="21"/>
      <c r="X847" s="22">
        <v>270</v>
      </c>
      <c r="Y847" s="22">
        <v>170</v>
      </c>
      <c r="Z847" s="21">
        <v>511.5</v>
      </c>
      <c r="AA847" s="21">
        <v>467</v>
      </c>
      <c r="AB847" s="12">
        <v>110</v>
      </c>
    </row>
    <row r="848" ht="14.25" spans="1:28">
      <c r="A848" s="13">
        <v>846</v>
      </c>
      <c r="B848" s="15">
        <v>18</v>
      </c>
      <c r="C848" s="16">
        <v>26</v>
      </c>
      <c r="D848" s="15" t="s">
        <v>1690</v>
      </c>
      <c r="E848" s="15" t="s">
        <v>1691</v>
      </c>
      <c r="F848" s="21">
        <v>102</v>
      </c>
      <c r="G848" s="21">
        <v>747</v>
      </c>
      <c r="H848" s="21">
        <v>94</v>
      </c>
      <c r="I848" s="21">
        <v>391</v>
      </c>
      <c r="J848" s="21">
        <v>106</v>
      </c>
      <c r="K848" s="21">
        <v>510</v>
      </c>
      <c r="L848" s="21"/>
      <c r="M848" s="21"/>
      <c r="N848" s="21">
        <v>51</v>
      </c>
      <c r="O848" s="21">
        <v>1415</v>
      </c>
      <c r="P848" s="21"/>
      <c r="Q848" s="21"/>
      <c r="R848" s="21">
        <v>88</v>
      </c>
      <c r="S848" s="21">
        <v>123</v>
      </c>
      <c r="T848" s="21">
        <v>80</v>
      </c>
      <c r="U848" s="21">
        <v>854</v>
      </c>
      <c r="V848" s="21"/>
      <c r="W848" s="21"/>
      <c r="X848" s="22">
        <v>302</v>
      </c>
      <c r="Y848" s="22">
        <v>88</v>
      </c>
      <c r="Z848" s="21">
        <v>521</v>
      </c>
      <c r="AA848" s="21">
        <v>402</v>
      </c>
      <c r="AB848" s="12">
        <v>93</v>
      </c>
    </row>
    <row r="849" ht="14.25" spans="1:28">
      <c r="A849" s="13">
        <v>847</v>
      </c>
      <c r="B849" s="15">
        <v>18</v>
      </c>
      <c r="C849" s="16">
        <v>27</v>
      </c>
      <c r="D849" s="15" t="s">
        <v>1692</v>
      </c>
      <c r="E849" s="15" t="s">
        <v>1693</v>
      </c>
      <c r="F849" s="21">
        <v>95.5</v>
      </c>
      <c r="G849" s="21">
        <v>1544</v>
      </c>
      <c r="H849" s="21">
        <v>101</v>
      </c>
      <c r="I849" s="21">
        <v>253</v>
      </c>
      <c r="J849" s="21">
        <v>108</v>
      </c>
      <c r="K849" s="21">
        <v>449</v>
      </c>
      <c r="L849" s="21"/>
      <c r="M849" s="21"/>
      <c r="N849" s="21">
        <v>65.5</v>
      </c>
      <c r="O849" s="21">
        <v>173</v>
      </c>
      <c r="P849" s="21"/>
      <c r="Q849" s="21"/>
      <c r="R849" s="21">
        <v>89</v>
      </c>
      <c r="S849" s="21">
        <v>77</v>
      </c>
      <c r="T849" s="21">
        <v>79</v>
      </c>
      <c r="U849" s="21">
        <v>952</v>
      </c>
      <c r="V849" s="21"/>
      <c r="W849" s="21"/>
      <c r="X849" s="22">
        <v>304.5</v>
      </c>
      <c r="Y849" s="22">
        <v>82</v>
      </c>
      <c r="Z849" s="21">
        <v>538</v>
      </c>
      <c r="AA849" s="21">
        <v>297</v>
      </c>
      <c r="AB849" s="12">
        <v>61</v>
      </c>
    </row>
    <row r="850" ht="14.25" spans="1:28">
      <c r="A850" s="13">
        <v>848</v>
      </c>
      <c r="B850" s="15">
        <v>18</v>
      </c>
      <c r="C850" s="16">
        <v>28</v>
      </c>
      <c r="D850" s="15" t="s">
        <v>1694</v>
      </c>
      <c r="E850" s="15" t="s">
        <v>1695</v>
      </c>
      <c r="F850" s="21">
        <v>100.5</v>
      </c>
      <c r="G850" s="21">
        <v>901</v>
      </c>
      <c r="H850" s="21">
        <v>93.5</v>
      </c>
      <c r="I850" s="21">
        <v>401</v>
      </c>
      <c r="J850" s="21">
        <v>116</v>
      </c>
      <c r="K850" s="21">
        <v>241</v>
      </c>
      <c r="L850" s="21"/>
      <c r="M850" s="21"/>
      <c r="N850" s="21">
        <v>56.5</v>
      </c>
      <c r="O850" s="21">
        <v>750</v>
      </c>
      <c r="P850" s="21"/>
      <c r="Q850" s="21"/>
      <c r="R850" s="21">
        <v>89</v>
      </c>
      <c r="S850" s="21">
        <v>77</v>
      </c>
      <c r="T850" s="21">
        <v>88</v>
      </c>
      <c r="U850" s="21">
        <v>227</v>
      </c>
      <c r="V850" s="21"/>
      <c r="W850" s="21"/>
      <c r="X850" s="22">
        <v>310</v>
      </c>
      <c r="Y850" s="22">
        <v>72</v>
      </c>
      <c r="Z850" s="21">
        <v>543.5</v>
      </c>
      <c r="AA850" s="21">
        <v>268</v>
      </c>
      <c r="AB850" s="12">
        <v>52</v>
      </c>
    </row>
    <row r="851" ht="14.25" spans="1:28">
      <c r="A851" s="13">
        <v>849</v>
      </c>
      <c r="B851" s="15">
        <v>18</v>
      </c>
      <c r="C851" s="16">
        <v>29</v>
      </c>
      <c r="D851" s="15" t="s">
        <v>1696</v>
      </c>
      <c r="E851" s="15" t="s">
        <v>1697</v>
      </c>
      <c r="F851" s="21">
        <v>107</v>
      </c>
      <c r="G851" s="21">
        <v>307</v>
      </c>
      <c r="H851" s="21">
        <v>88.5</v>
      </c>
      <c r="I851" s="21">
        <v>526</v>
      </c>
      <c r="J851" s="21">
        <v>116</v>
      </c>
      <c r="K851" s="21">
        <v>241</v>
      </c>
      <c r="L851" s="21"/>
      <c r="M851" s="21"/>
      <c r="N851" s="21">
        <v>56</v>
      </c>
      <c r="O851" s="21">
        <v>804</v>
      </c>
      <c r="P851" s="21"/>
      <c r="Q851" s="21"/>
      <c r="R851" s="21">
        <v>89</v>
      </c>
      <c r="S851" s="21">
        <v>77</v>
      </c>
      <c r="T851" s="21">
        <v>80</v>
      </c>
      <c r="U851" s="21">
        <v>854</v>
      </c>
      <c r="V851" s="21"/>
      <c r="W851" s="21"/>
      <c r="X851" s="22">
        <v>311.5</v>
      </c>
      <c r="Y851" s="22">
        <v>67</v>
      </c>
      <c r="Z851" s="21">
        <v>536.5</v>
      </c>
      <c r="AA851" s="21">
        <v>305</v>
      </c>
      <c r="AB851" s="12">
        <v>63</v>
      </c>
    </row>
    <row r="852" ht="14.25" spans="1:28">
      <c r="A852" s="13">
        <v>850</v>
      </c>
      <c r="B852" s="15">
        <v>18</v>
      </c>
      <c r="C852" s="16">
        <v>30</v>
      </c>
      <c r="D852" s="15" t="s">
        <v>1698</v>
      </c>
      <c r="E852" s="15" t="s">
        <v>1699</v>
      </c>
      <c r="F852" s="21">
        <v>108</v>
      </c>
      <c r="G852" s="21">
        <v>247</v>
      </c>
      <c r="H852" s="21">
        <v>88</v>
      </c>
      <c r="I852" s="21">
        <v>537</v>
      </c>
      <c r="J852" s="21">
        <v>112.5</v>
      </c>
      <c r="K852" s="21">
        <v>321</v>
      </c>
      <c r="L852" s="21"/>
      <c r="M852" s="21"/>
      <c r="N852" s="21">
        <v>50</v>
      </c>
      <c r="O852" s="21">
        <v>1561</v>
      </c>
      <c r="P852" s="21"/>
      <c r="Q852" s="21"/>
      <c r="R852" s="21">
        <v>82</v>
      </c>
      <c r="S852" s="21">
        <v>432</v>
      </c>
      <c r="T852" s="21">
        <v>64</v>
      </c>
      <c r="U852" s="21">
        <v>2299</v>
      </c>
      <c r="V852" s="21"/>
      <c r="W852" s="21"/>
      <c r="X852" s="22">
        <v>308.5</v>
      </c>
      <c r="Y852" s="22">
        <v>74</v>
      </c>
      <c r="Z852" s="21">
        <v>504.5</v>
      </c>
      <c r="AA852" s="21">
        <v>529</v>
      </c>
      <c r="AB852" s="12">
        <v>129</v>
      </c>
    </row>
    <row r="853" ht="14.25" spans="1:28">
      <c r="A853" s="13">
        <v>851</v>
      </c>
      <c r="B853" s="15">
        <v>18</v>
      </c>
      <c r="C853" s="16">
        <v>31</v>
      </c>
      <c r="D853" s="15" t="s">
        <v>1700</v>
      </c>
      <c r="E853" s="15" t="s">
        <v>1701</v>
      </c>
      <c r="F853" s="21">
        <v>107.5</v>
      </c>
      <c r="G853" s="21">
        <v>270</v>
      </c>
      <c r="H853" s="21">
        <v>92.5</v>
      </c>
      <c r="I853" s="21">
        <v>426</v>
      </c>
      <c r="J853" s="21">
        <v>96.5</v>
      </c>
      <c r="K853" s="21">
        <v>862</v>
      </c>
      <c r="L853" s="21"/>
      <c r="M853" s="21"/>
      <c r="N853" s="21">
        <v>59</v>
      </c>
      <c r="O853" s="21">
        <v>524</v>
      </c>
      <c r="P853" s="21"/>
      <c r="Q853" s="21"/>
      <c r="R853" s="21">
        <v>71</v>
      </c>
      <c r="S853" s="21">
        <v>1117</v>
      </c>
      <c r="T853" s="21">
        <v>71</v>
      </c>
      <c r="U853" s="21">
        <v>1653</v>
      </c>
      <c r="V853" s="21"/>
      <c r="W853" s="21"/>
      <c r="X853" s="22">
        <v>296.5</v>
      </c>
      <c r="Y853" s="22">
        <v>108</v>
      </c>
      <c r="Z853" s="21">
        <v>497.5</v>
      </c>
      <c r="AA853" s="21">
        <v>598</v>
      </c>
      <c r="AB853" s="12">
        <v>137</v>
      </c>
    </row>
    <row r="854" ht="14.25" spans="1:28">
      <c r="A854" s="13">
        <v>852</v>
      </c>
      <c r="B854" s="15">
        <v>18</v>
      </c>
      <c r="C854" s="16">
        <v>32</v>
      </c>
      <c r="D854" s="15" t="s">
        <v>1702</v>
      </c>
      <c r="E854" s="15" t="s">
        <v>1703</v>
      </c>
      <c r="F854" s="21">
        <v>105.5</v>
      </c>
      <c r="G854" s="21">
        <v>406</v>
      </c>
      <c r="H854" s="21">
        <v>91</v>
      </c>
      <c r="I854" s="21">
        <v>467</v>
      </c>
      <c r="J854" s="21">
        <v>116.25</v>
      </c>
      <c r="K854" s="21">
        <v>236</v>
      </c>
      <c r="L854" s="21"/>
      <c r="M854" s="21"/>
      <c r="N854" s="21">
        <v>62</v>
      </c>
      <c r="O854" s="21">
        <v>315</v>
      </c>
      <c r="P854" s="21"/>
      <c r="Q854" s="21"/>
      <c r="R854" s="21">
        <v>80</v>
      </c>
      <c r="S854" s="21">
        <v>535</v>
      </c>
      <c r="T854" s="21">
        <v>87</v>
      </c>
      <c r="U854" s="21">
        <v>333</v>
      </c>
      <c r="V854" s="21"/>
      <c r="W854" s="21"/>
      <c r="X854" s="22">
        <v>312.75</v>
      </c>
      <c r="Y854" s="22">
        <v>62</v>
      </c>
      <c r="Z854" s="21">
        <v>541.75</v>
      </c>
      <c r="AA854" s="21">
        <v>282</v>
      </c>
      <c r="AB854" s="12">
        <v>56</v>
      </c>
    </row>
    <row r="855" ht="14.25" spans="1:28">
      <c r="A855" s="13">
        <v>853</v>
      </c>
      <c r="B855" s="15">
        <v>18</v>
      </c>
      <c r="C855" s="16">
        <v>34</v>
      </c>
      <c r="D855" s="15" t="s">
        <v>1704</v>
      </c>
      <c r="E855" s="15" t="s">
        <v>1705</v>
      </c>
      <c r="F855" s="21">
        <v>100.5</v>
      </c>
      <c r="G855" s="21">
        <v>901</v>
      </c>
      <c r="H855" s="21">
        <v>57.5</v>
      </c>
      <c r="I855" s="21">
        <v>1493</v>
      </c>
      <c r="J855" s="21">
        <v>88</v>
      </c>
      <c r="K855" s="21">
        <v>1236</v>
      </c>
      <c r="L855" s="21"/>
      <c r="M855" s="21"/>
      <c r="N855" s="21">
        <v>48.5</v>
      </c>
      <c r="O855" s="21">
        <v>1763</v>
      </c>
      <c r="P855" s="21"/>
      <c r="Q855" s="21"/>
      <c r="R855" s="21">
        <v>71</v>
      </c>
      <c r="S855" s="21">
        <v>1117</v>
      </c>
      <c r="T855" s="21">
        <v>60</v>
      </c>
      <c r="U855" s="21">
        <v>2684</v>
      </c>
      <c r="V855" s="21"/>
      <c r="W855" s="21"/>
      <c r="X855" s="22">
        <v>246</v>
      </c>
      <c r="Y855" s="22">
        <v>198</v>
      </c>
      <c r="Z855" s="21">
        <v>425.5</v>
      </c>
      <c r="AA855" s="21">
        <v>1508</v>
      </c>
      <c r="AB855" s="12">
        <v>201</v>
      </c>
    </row>
    <row r="856" ht="14.25" spans="1:28">
      <c r="A856" s="13">
        <v>854</v>
      </c>
      <c r="B856" s="15">
        <v>18</v>
      </c>
      <c r="C856" s="16">
        <v>37</v>
      </c>
      <c r="D856" s="15" t="s">
        <v>1706</v>
      </c>
      <c r="E856" s="15" t="s">
        <v>1707</v>
      </c>
      <c r="F856" s="21">
        <v>106.5</v>
      </c>
      <c r="G856" s="21">
        <v>338</v>
      </c>
      <c r="H856" s="21">
        <v>88</v>
      </c>
      <c r="I856" s="21">
        <v>537</v>
      </c>
      <c r="J856" s="21">
        <v>95</v>
      </c>
      <c r="K856" s="21">
        <v>926</v>
      </c>
      <c r="L856" s="21"/>
      <c r="M856" s="21"/>
      <c r="N856" s="21">
        <v>59.5</v>
      </c>
      <c r="O856" s="21">
        <v>483</v>
      </c>
      <c r="P856" s="21"/>
      <c r="Q856" s="21"/>
      <c r="R856" s="21">
        <v>79</v>
      </c>
      <c r="S856" s="21">
        <v>590</v>
      </c>
      <c r="T856" s="21">
        <v>63</v>
      </c>
      <c r="U856" s="21">
        <v>2360</v>
      </c>
      <c r="V856" s="21"/>
      <c r="W856" s="21"/>
      <c r="X856" s="22">
        <v>289.5</v>
      </c>
      <c r="Y856" s="22">
        <v>131</v>
      </c>
      <c r="Z856" s="21">
        <v>491</v>
      </c>
      <c r="AA856" s="21">
        <v>667</v>
      </c>
      <c r="AB856" s="12">
        <v>148</v>
      </c>
    </row>
    <row r="857" ht="14.25" spans="1:28">
      <c r="A857" s="13">
        <v>855</v>
      </c>
      <c r="B857" s="15">
        <v>18</v>
      </c>
      <c r="C857" s="16">
        <v>38</v>
      </c>
      <c r="D857" s="15" t="s">
        <v>1708</v>
      </c>
      <c r="E857" s="15" t="s">
        <v>1709</v>
      </c>
      <c r="F857" s="21">
        <v>94</v>
      </c>
      <c r="G857" s="21">
        <v>1750</v>
      </c>
      <c r="H857" s="21">
        <v>72</v>
      </c>
      <c r="I857" s="21">
        <v>976</v>
      </c>
      <c r="J857" s="21">
        <v>98.5</v>
      </c>
      <c r="K857" s="21">
        <v>774</v>
      </c>
      <c r="L857" s="21"/>
      <c r="M857" s="21"/>
      <c r="N857" s="21">
        <v>54.5</v>
      </c>
      <c r="O857" s="21">
        <v>986</v>
      </c>
      <c r="P857" s="21"/>
      <c r="Q857" s="21"/>
      <c r="R857" s="21">
        <v>76</v>
      </c>
      <c r="S857" s="21">
        <v>788</v>
      </c>
      <c r="T857" s="21">
        <v>73</v>
      </c>
      <c r="U857" s="21">
        <v>1447</v>
      </c>
      <c r="V857" s="21"/>
      <c r="W857" s="21"/>
      <c r="X857" s="22">
        <v>264.5</v>
      </c>
      <c r="Y857" s="22">
        <v>187</v>
      </c>
      <c r="Z857" s="21">
        <v>468</v>
      </c>
      <c r="AA857" s="21">
        <v>909</v>
      </c>
      <c r="AB857" s="12">
        <v>182</v>
      </c>
    </row>
    <row r="858" ht="14.25" spans="1:28">
      <c r="A858" s="13">
        <v>856</v>
      </c>
      <c r="B858" s="15">
        <v>18</v>
      </c>
      <c r="C858" s="16">
        <v>39</v>
      </c>
      <c r="D858" s="15" t="s">
        <v>1710</v>
      </c>
      <c r="E858" s="15" t="s">
        <v>1711</v>
      </c>
      <c r="F858" s="21">
        <v>98.5</v>
      </c>
      <c r="G858" s="21">
        <v>1145</v>
      </c>
      <c r="H858" s="21">
        <v>77.5</v>
      </c>
      <c r="I858" s="21">
        <v>817</v>
      </c>
      <c r="J858" s="21">
        <v>93.75</v>
      </c>
      <c r="K858" s="21">
        <v>986</v>
      </c>
      <c r="L858" s="21"/>
      <c r="M858" s="21"/>
      <c r="N858" s="21">
        <v>53</v>
      </c>
      <c r="O858" s="21">
        <v>1155</v>
      </c>
      <c r="P858" s="21"/>
      <c r="Q858" s="21"/>
      <c r="R858" s="21">
        <v>65</v>
      </c>
      <c r="S858" s="21">
        <v>1510</v>
      </c>
      <c r="T858" s="21">
        <v>81</v>
      </c>
      <c r="U858" s="21">
        <v>808</v>
      </c>
      <c r="V858" s="21"/>
      <c r="W858" s="21"/>
      <c r="X858" s="22">
        <v>269.75</v>
      </c>
      <c r="Y858" s="22">
        <v>173</v>
      </c>
      <c r="Z858" s="21">
        <v>468.75</v>
      </c>
      <c r="AA858" s="21">
        <v>903</v>
      </c>
      <c r="AB858" s="12">
        <v>181</v>
      </c>
    </row>
    <row r="859" ht="14.25" spans="1:28">
      <c r="A859" s="13">
        <v>857</v>
      </c>
      <c r="B859" s="15">
        <v>18</v>
      </c>
      <c r="C859" s="16">
        <v>40</v>
      </c>
      <c r="D859" s="15" t="s">
        <v>1712</v>
      </c>
      <c r="E859" s="15" t="s">
        <v>1713</v>
      </c>
      <c r="F859" s="21">
        <v>104.5</v>
      </c>
      <c r="G859" s="21">
        <v>475</v>
      </c>
      <c r="H859" s="21">
        <v>83.5</v>
      </c>
      <c r="I859" s="21">
        <v>651</v>
      </c>
      <c r="J859" s="21">
        <v>82.5</v>
      </c>
      <c r="K859" s="21">
        <v>1545</v>
      </c>
      <c r="L859" s="21"/>
      <c r="M859" s="21"/>
      <c r="N859" s="21">
        <v>51.5</v>
      </c>
      <c r="O859" s="21">
        <v>1342</v>
      </c>
      <c r="P859" s="21"/>
      <c r="Q859" s="21"/>
      <c r="R859" s="21">
        <v>65</v>
      </c>
      <c r="S859" s="21">
        <v>1510</v>
      </c>
      <c r="T859" s="21">
        <v>75</v>
      </c>
      <c r="U859" s="21">
        <v>1272</v>
      </c>
      <c r="V859" s="21"/>
      <c r="W859" s="21"/>
      <c r="X859" s="22">
        <v>270.5</v>
      </c>
      <c r="Y859" s="22">
        <v>169</v>
      </c>
      <c r="Z859" s="21">
        <v>462</v>
      </c>
      <c r="AA859" s="21">
        <v>976</v>
      </c>
      <c r="AB859" s="12">
        <v>185</v>
      </c>
    </row>
    <row r="860" ht="14.25" spans="1:28">
      <c r="A860" s="13">
        <v>858</v>
      </c>
      <c r="B860" s="15">
        <v>18</v>
      </c>
      <c r="C860" s="16">
        <v>41</v>
      </c>
      <c r="D860" s="15" t="s">
        <v>1714</v>
      </c>
      <c r="E860" s="15" t="s">
        <v>1715</v>
      </c>
      <c r="F860" s="21">
        <v>100</v>
      </c>
      <c r="G860" s="21">
        <v>958</v>
      </c>
      <c r="H860" s="21">
        <v>83</v>
      </c>
      <c r="I860" s="21">
        <v>663</v>
      </c>
      <c r="J860" s="21">
        <v>89.5</v>
      </c>
      <c r="K860" s="21">
        <v>1160</v>
      </c>
      <c r="L860" s="21"/>
      <c r="M860" s="21"/>
      <c r="N860" s="21">
        <v>54</v>
      </c>
      <c r="O860" s="21">
        <v>1056</v>
      </c>
      <c r="P860" s="21"/>
      <c r="Q860" s="21"/>
      <c r="R860" s="21">
        <v>73</v>
      </c>
      <c r="S860" s="21">
        <v>965</v>
      </c>
      <c r="T860" s="21">
        <v>88</v>
      </c>
      <c r="U860" s="21">
        <v>227</v>
      </c>
      <c r="V860" s="21"/>
      <c r="W860" s="21"/>
      <c r="X860" s="22">
        <v>272.5</v>
      </c>
      <c r="Y860" s="22">
        <v>162</v>
      </c>
      <c r="Z860" s="21">
        <v>487.5</v>
      </c>
      <c r="AA860" s="21">
        <v>700</v>
      </c>
      <c r="AB860" s="12">
        <v>155</v>
      </c>
    </row>
    <row r="861" ht="14.25" spans="1:28">
      <c r="A861" s="13">
        <v>859</v>
      </c>
      <c r="B861" s="15">
        <v>18</v>
      </c>
      <c r="C861" s="16">
        <v>42</v>
      </c>
      <c r="D861" s="15" t="s">
        <v>1716</v>
      </c>
      <c r="E861" s="15" t="s">
        <v>1717</v>
      </c>
      <c r="F861" s="21">
        <v>101.5</v>
      </c>
      <c r="G861" s="21">
        <v>805</v>
      </c>
      <c r="H861" s="21">
        <v>103.5</v>
      </c>
      <c r="I861" s="21">
        <v>209</v>
      </c>
      <c r="J861" s="21">
        <v>99.25</v>
      </c>
      <c r="K861" s="21">
        <v>742</v>
      </c>
      <c r="L861" s="21"/>
      <c r="M861" s="21"/>
      <c r="N861" s="21">
        <v>60.5</v>
      </c>
      <c r="O861" s="21">
        <v>424</v>
      </c>
      <c r="P861" s="21"/>
      <c r="Q861" s="21"/>
      <c r="R861" s="21">
        <v>77</v>
      </c>
      <c r="S861" s="21">
        <v>736</v>
      </c>
      <c r="T861" s="21">
        <v>91</v>
      </c>
      <c r="U861" s="21">
        <v>51</v>
      </c>
      <c r="V861" s="21"/>
      <c r="W861" s="21"/>
      <c r="X861" s="22">
        <v>304.25</v>
      </c>
      <c r="Y861" s="22">
        <v>83</v>
      </c>
      <c r="Z861" s="21">
        <v>532.75</v>
      </c>
      <c r="AA861" s="21">
        <v>328</v>
      </c>
      <c r="AB861" s="12">
        <v>72</v>
      </c>
    </row>
    <row r="862" ht="14.25" spans="1:28">
      <c r="A862" s="13">
        <v>860</v>
      </c>
      <c r="B862" s="15">
        <v>18</v>
      </c>
      <c r="C862" s="16">
        <v>43</v>
      </c>
      <c r="D862" s="15" t="s">
        <v>1718</v>
      </c>
      <c r="E862" s="15" t="s">
        <v>1719</v>
      </c>
      <c r="F862" s="21">
        <v>106.5</v>
      </c>
      <c r="G862" s="21">
        <v>338</v>
      </c>
      <c r="H862" s="21">
        <v>92.5</v>
      </c>
      <c r="I862" s="21">
        <v>426</v>
      </c>
      <c r="J862" s="21">
        <v>100</v>
      </c>
      <c r="K862" s="21">
        <v>709</v>
      </c>
      <c r="L862" s="21"/>
      <c r="M862" s="21"/>
      <c r="N862" s="21">
        <v>61</v>
      </c>
      <c r="O862" s="21">
        <v>392</v>
      </c>
      <c r="P862" s="21"/>
      <c r="Q862" s="21"/>
      <c r="R862" s="21">
        <v>87</v>
      </c>
      <c r="S862" s="21">
        <v>202</v>
      </c>
      <c r="T862" s="21">
        <v>82</v>
      </c>
      <c r="U862" s="21">
        <v>702</v>
      </c>
      <c r="V862" s="21"/>
      <c r="W862" s="21"/>
      <c r="X862" s="22">
        <v>299</v>
      </c>
      <c r="Y862" s="22">
        <v>100</v>
      </c>
      <c r="Z862" s="21">
        <v>529</v>
      </c>
      <c r="AA862" s="21">
        <v>362</v>
      </c>
      <c r="AB862" s="12">
        <v>80</v>
      </c>
    </row>
    <row r="863" ht="14.25" spans="1:28">
      <c r="A863" s="13">
        <v>861</v>
      </c>
      <c r="B863" s="15">
        <v>18</v>
      </c>
      <c r="C863" s="16">
        <v>44</v>
      </c>
      <c r="D863" s="15" t="s">
        <v>1720</v>
      </c>
      <c r="E863" s="15" t="s">
        <v>1721</v>
      </c>
      <c r="F863" s="21">
        <v>100.5</v>
      </c>
      <c r="G863" s="21">
        <v>901</v>
      </c>
      <c r="H863" s="21">
        <v>90</v>
      </c>
      <c r="I863" s="21">
        <v>498</v>
      </c>
      <c r="J863" s="21">
        <v>91</v>
      </c>
      <c r="K863" s="21">
        <v>1093</v>
      </c>
      <c r="L863" s="21"/>
      <c r="M863" s="21"/>
      <c r="N863" s="21">
        <v>51</v>
      </c>
      <c r="O863" s="21">
        <v>1415</v>
      </c>
      <c r="P863" s="21"/>
      <c r="Q863" s="21"/>
      <c r="R863" s="21">
        <v>82</v>
      </c>
      <c r="S863" s="21">
        <v>432</v>
      </c>
      <c r="T863" s="21">
        <v>75</v>
      </c>
      <c r="U863" s="21">
        <v>1272</v>
      </c>
      <c r="V863" s="21"/>
      <c r="W863" s="21"/>
      <c r="X863" s="22">
        <v>281.5</v>
      </c>
      <c r="Y863" s="22">
        <v>149</v>
      </c>
      <c r="Z863" s="21">
        <v>489.5</v>
      </c>
      <c r="AA863" s="21">
        <v>679</v>
      </c>
      <c r="AB863" s="12">
        <v>151</v>
      </c>
    </row>
    <row r="864" ht="14.25" spans="1:28">
      <c r="A864" s="13">
        <v>862</v>
      </c>
      <c r="B864" s="15">
        <v>18</v>
      </c>
      <c r="C864" s="16">
        <v>45</v>
      </c>
      <c r="D864" s="15" t="s">
        <v>1722</v>
      </c>
      <c r="E864" s="15" t="s">
        <v>1723</v>
      </c>
      <c r="F864" s="21">
        <v>100.5</v>
      </c>
      <c r="G864" s="21">
        <v>901</v>
      </c>
      <c r="H864" s="21">
        <v>66.5</v>
      </c>
      <c r="I864" s="21">
        <v>1167</v>
      </c>
      <c r="J864" s="21">
        <v>80.25</v>
      </c>
      <c r="K864" s="21">
        <v>1682</v>
      </c>
      <c r="L864" s="21"/>
      <c r="M864" s="21"/>
      <c r="N864" s="21">
        <v>49</v>
      </c>
      <c r="O864" s="21">
        <v>1682</v>
      </c>
      <c r="P864" s="21"/>
      <c r="Q864" s="21"/>
      <c r="R864" s="21">
        <v>82</v>
      </c>
      <c r="S864" s="21">
        <v>432</v>
      </c>
      <c r="T864" s="21">
        <v>65</v>
      </c>
      <c r="U864" s="21">
        <v>2190</v>
      </c>
      <c r="V864" s="21"/>
      <c r="W864" s="21"/>
      <c r="X864" s="22">
        <v>247.25</v>
      </c>
      <c r="Y864" s="22">
        <v>196</v>
      </c>
      <c r="Z864" s="21">
        <v>443.25</v>
      </c>
      <c r="AA864" s="21">
        <v>1255</v>
      </c>
      <c r="AB864" s="12">
        <v>195</v>
      </c>
    </row>
    <row r="865" ht="14.25" spans="1:28">
      <c r="A865" s="13">
        <v>863</v>
      </c>
      <c r="B865" s="15">
        <v>18</v>
      </c>
      <c r="C865" s="16">
        <v>47</v>
      </c>
      <c r="D865" s="15" t="s">
        <v>1724</v>
      </c>
      <c r="E865" s="15" t="s">
        <v>1725</v>
      </c>
      <c r="F865" s="21">
        <v>104</v>
      </c>
      <c r="G865" s="21">
        <v>526</v>
      </c>
      <c r="H865" s="21">
        <v>77</v>
      </c>
      <c r="I865" s="21">
        <v>829</v>
      </c>
      <c r="J865" s="21">
        <v>100</v>
      </c>
      <c r="K865" s="21">
        <v>709</v>
      </c>
      <c r="L865" s="21"/>
      <c r="M865" s="21"/>
      <c r="N865" s="21">
        <v>53.5</v>
      </c>
      <c r="O865" s="21">
        <v>1111</v>
      </c>
      <c r="P865" s="21"/>
      <c r="Q865" s="21"/>
      <c r="R865" s="21">
        <v>89</v>
      </c>
      <c r="S865" s="21">
        <v>77</v>
      </c>
      <c r="T865" s="21">
        <v>82</v>
      </c>
      <c r="U865" s="21">
        <v>702</v>
      </c>
      <c r="V865" s="21"/>
      <c r="W865" s="21"/>
      <c r="X865" s="22">
        <v>281</v>
      </c>
      <c r="Y865" s="22">
        <v>150</v>
      </c>
      <c r="Z865" s="21">
        <v>505.5</v>
      </c>
      <c r="AA865" s="21">
        <v>524</v>
      </c>
      <c r="AB865" s="12">
        <v>127</v>
      </c>
    </row>
    <row r="866" ht="14.25" spans="1:28">
      <c r="A866" s="13">
        <v>864</v>
      </c>
      <c r="B866" s="15">
        <v>18</v>
      </c>
      <c r="C866" s="16">
        <v>48</v>
      </c>
      <c r="D866" s="15" t="s">
        <v>1726</v>
      </c>
      <c r="E866" s="15" t="s">
        <v>1727</v>
      </c>
      <c r="F866" s="21">
        <v>98.25</v>
      </c>
      <c r="G866" s="21">
        <v>1200</v>
      </c>
      <c r="H866" s="21">
        <v>87.5</v>
      </c>
      <c r="I866" s="21">
        <v>551</v>
      </c>
      <c r="J866" s="21">
        <v>82.75</v>
      </c>
      <c r="K866" s="21">
        <v>1536</v>
      </c>
      <c r="L866" s="21"/>
      <c r="M866" s="21"/>
      <c r="N866" s="21">
        <v>52.5</v>
      </c>
      <c r="O866" s="21">
        <v>1205</v>
      </c>
      <c r="P866" s="21"/>
      <c r="Q866" s="21"/>
      <c r="R866" s="21">
        <v>80</v>
      </c>
      <c r="S866" s="21">
        <v>535</v>
      </c>
      <c r="T866" s="21">
        <v>68</v>
      </c>
      <c r="U866" s="21">
        <v>1886</v>
      </c>
      <c r="V866" s="21"/>
      <c r="W866" s="21"/>
      <c r="X866" s="22">
        <v>268.5</v>
      </c>
      <c r="Y866" s="22">
        <v>177</v>
      </c>
      <c r="Z866" s="21">
        <v>469</v>
      </c>
      <c r="AA866" s="21">
        <v>897</v>
      </c>
      <c r="AB866" s="12">
        <v>180</v>
      </c>
    </row>
    <row r="867" ht="14.25" spans="1:28">
      <c r="A867" s="13">
        <v>865</v>
      </c>
      <c r="B867" s="15">
        <v>18</v>
      </c>
      <c r="C867" s="16">
        <v>51</v>
      </c>
      <c r="D867" s="15" t="s">
        <v>1728</v>
      </c>
      <c r="E867" s="15" t="s">
        <v>1729</v>
      </c>
      <c r="F867" s="21">
        <v>108</v>
      </c>
      <c r="G867" s="21">
        <v>247</v>
      </c>
      <c r="H867" s="21">
        <v>78.5</v>
      </c>
      <c r="I867" s="21">
        <v>791</v>
      </c>
      <c r="J867" s="21">
        <v>83.5</v>
      </c>
      <c r="K867" s="21">
        <v>1487</v>
      </c>
      <c r="L867" s="21"/>
      <c r="M867" s="21"/>
      <c r="N867" s="21">
        <v>52.5</v>
      </c>
      <c r="O867" s="21">
        <v>1205</v>
      </c>
      <c r="P867" s="21"/>
      <c r="Q867" s="21"/>
      <c r="R867" s="21">
        <v>82</v>
      </c>
      <c r="S867" s="21">
        <v>432</v>
      </c>
      <c r="T867" s="21">
        <v>78</v>
      </c>
      <c r="U867" s="21">
        <v>1003</v>
      </c>
      <c r="V867" s="21"/>
      <c r="W867" s="21"/>
      <c r="X867" s="22">
        <v>270</v>
      </c>
      <c r="Y867" s="22">
        <v>170</v>
      </c>
      <c r="Z867" s="21">
        <v>482.5</v>
      </c>
      <c r="AA867" s="21">
        <v>747</v>
      </c>
      <c r="AB867" s="12">
        <v>163</v>
      </c>
    </row>
    <row r="868" ht="14.25" spans="1:28">
      <c r="A868" s="13">
        <v>866</v>
      </c>
      <c r="B868" s="15">
        <v>18</v>
      </c>
      <c r="C868" s="16">
        <v>52</v>
      </c>
      <c r="D868" s="15" t="s">
        <v>1730</v>
      </c>
      <c r="E868" s="15" t="s">
        <v>1731</v>
      </c>
      <c r="F868" s="21">
        <v>105.5</v>
      </c>
      <c r="G868" s="21">
        <v>406</v>
      </c>
      <c r="H868" s="21">
        <v>87</v>
      </c>
      <c r="I868" s="21">
        <v>563</v>
      </c>
      <c r="J868" s="21">
        <v>115</v>
      </c>
      <c r="K868" s="21">
        <v>262</v>
      </c>
      <c r="L868" s="21"/>
      <c r="M868" s="21"/>
      <c r="N868" s="21">
        <v>49</v>
      </c>
      <c r="O868" s="21">
        <v>1682</v>
      </c>
      <c r="P868" s="21"/>
      <c r="Q868" s="21"/>
      <c r="R868" s="21">
        <v>87</v>
      </c>
      <c r="S868" s="21">
        <v>202</v>
      </c>
      <c r="T868" s="21">
        <v>75</v>
      </c>
      <c r="U868" s="21">
        <v>1272</v>
      </c>
      <c r="V868" s="21"/>
      <c r="W868" s="21"/>
      <c r="X868" s="22">
        <v>307.5</v>
      </c>
      <c r="Y868" s="22">
        <v>79</v>
      </c>
      <c r="Z868" s="21">
        <v>518.5</v>
      </c>
      <c r="AA868" s="21">
        <v>422</v>
      </c>
      <c r="AB868" s="12">
        <v>97</v>
      </c>
    </row>
    <row r="869" ht="14.25" spans="1:28">
      <c r="A869" s="13">
        <v>867</v>
      </c>
      <c r="B869" s="15">
        <v>18</v>
      </c>
      <c r="C869" s="16">
        <v>53</v>
      </c>
      <c r="D869" s="15" t="s">
        <v>1732</v>
      </c>
      <c r="E869" s="15" t="s">
        <v>1733</v>
      </c>
      <c r="F869" s="21">
        <v>102</v>
      </c>
      <c r="G869" s="21">
        <v>747</v>
      </c>
      <c r="H869" s="21">
        <v>92</v>
      </c>
      <c r="I869" s="21">
        <v>436</v>
      </c>
      <c r="J869" s="21">
        <v>109.5</v>
      </c>
      <c r="K869" s="21">
        <v>405</v>
      </c>
      <c r="L869" s="21"/>
      <c r="M869" s="21"/>
      <c r="N869" s="21">
        <v>61</v>
      </c>
      <c r="O869" s="21">
        <v>392</v>
      </c>
      <c r="P869" s="21"/>
      <c r="Q869" s="21"/>
      <c r="R869" s="21">
        <v>84</v>
      </c>
      <c r="S869" s="21">
        <v>369</v>
      </c>
      <c r="T869" s="21">
        <v>84</v>
      </c>
      <c r="U869" s="21">
        <v>578</v>
      </c>
      <c r="V869" s="21"/>
      <c r="W869" s="21"/>
      <c r="X869" s="22">
        <v>303.5</v>
      </c>
      <c r="Y869" s="22">
        <v>84</v>
      </c>
      <c r="Z869" s="21">
        <v>532.5</v>
      </c>
      <c r="AA869" s="21">
        <v>332</v>
      </c>
      <c r="AB869" s="12">
        <v>74</v>
      </c>
    </row>
    <row r="870" ht="14.25" spans="1:28">
      <c r="A870" s="13">
        <v>868</v>
      </c>
      <c r="B870" s="15">
        <v>18</v>
      </c>
      <c r="C870" s="16">
        <v>54</v>
      </c>
      <c r="D870" s="15" t="s">
        <v>1734</v>
      </c>
      <c r="E870" s="15" t="s">
        <v>1735</v>
      </c>
      <c r="F870" s="21">
        <v>97.5</v>
      </c>
      <c r="G870" s="21">
        <v>1268</v>
      </c>
      <c r="H870" s="21">
        <v>61.5</v>
      </c>
      <c r="I870" s="21">
        <v>1350</v>
      </c>
      <c r="J870" s="21">
        <v>72</v>
      </c>
      <c r="K870" s="21">
        <v>2118</v>
      </c>
      <c r="L870" s="21"/>
      <c r="M870" s="21"/>
      <c r="N870" s="21">
        <v>51.5</v>
      </c>
      <c r="O870" s="21">
        <v>1342</v>
      </c>
      <c r="P870" s="21"/>
      <c r="Q870" s="21"/>
      <c r="R870" s="21">
        <v>79</v>
      </c>
      <c r="S870" s="21">
        <v>590</v>
      </c>
      <c r="T870" s="21">
        <v>63</v>
      </c>
      <c r="U870" s="21">
        <v>2360</v>
      </c>
      <c r="V870" s="21"/>
      <c r="W870" s="21"/>
      <c r="X870" s="22">
        <v>231</v>
      </c>
      <c r="Y870" s="22">
        <v>204</v>
      </c>
      <c r="Z870" s="21">
        <v>424.5</v>
      </c>
      <c r="AA870" s="21">
        <v>1525</v>
      </c>
      <c r="AB870" s="12">
        <v>202</v>
      </c>
    </row>
    <row r="871" ht="14.25" spans="1:28">
      <c r="A871" s="13">
        <v>869</v>
      </c>
      <c r="B871" s="15">
        <v>18</v>
      </c>
      <c r="C871" s="16">
        <v>55</v>
      </c>
      <c r="D871" s="15" t="s">
        <v>1736</v>
      </c>
      <c r="E871" s="15" t="s">
        <v>1737</v>
      </c>
      <c r="F871" s="21">
        <v>107.5</v>
      </c>
      <c r="G871" s="21">
        <v>270</v>
      </c>
      <c r="H871" s="21">
        <v>57.5</v>
      </c>
      <c r="I871" s="21">
        <v>1493</v>
      </c>
      <c r="J871" s="21">
        <v>101.5</v>
      </c>
      <c r="K871" s="21">
        <v>649</v>
      </c>
      <c r="L871" s="21"/>
      <c r="M871" s="21"/>
      <c r="N871" s="21">
        <v>41</v>
      </c>
      <c r="O871" s="21">
        <v>2816</v>
      </c>
      <c r="P871" s="21"/>
      <c r="Q871" s="21"/>
      <c r="R871" s="21">
        <v>74</v>
      </c>
      <c r="S871" s="21">
        <v>916</v>
      </c>
      <c r="T871" s="21">
        <v>61</v>
      </c>
      <c r="U871" s="21">
        <v>2565</v>
      </c>
      <c r="V871" s="21"/>
      <c r="W871" s="21"/>
      <c r="X871" s="22">
        <v>266.5</v>
      </c>
      <c r="Y871" s="22">
        <v>184</v>
      </c>
      <c r="Z871" s="21">
        <v>442.5</v>
      </c>
      <c r="AA871" s="21">
        <v>1265</v>
      </c>
      <c r="AB871" s="12">
        <v>196</v>
      </c>
    </row>
    <row r="872" spans="14:15">
      <c r="N872" s="11"/>
      <c r="O872" s="11"/>
    </row>
    <row r="873" spans="14:15">
      <c r="N873" s="11"/>
      <c r="O873" s="11"/>
    </row>
    <row r="874" spans="14:15">
      <c r="N874" s="11"/>
      <c r="O874" s="11"/>
    </row>
    <row r="875" spans="14:15">
      <c r="N875" s="11"/>
      <c r="O875" s="11"/>
    </row>
    <row r="876" spans="14:15">
      <c r="N876" s="11"/>
      <c r="O876" s="11"/>
    </row>
    <row r="877" spans="14:15">
      <c r="N877" s="11"/>
      <c r="O877" s="11"/>
    </row>
    <row r="878" spans="14:15">
      <c r="N878" s="11"/>
      <c r="O878" s="11"/>
    </row>
    <row r="879" spans="14:15">
      <c r="N879" s="11"/>
      <c r="O879" s="11"/>
    </row>
    <row r="880" spans="14:15">
      <c r="N880" s="11"/>
      <c r="O880" s="11"/>
    </row>
    <row r="881" spans="14:15">
      <c r="N881" s="11"/>
      <c r="O881" s="11"/>
    </row>
    <row r="882" spans="14:15">
      <c r="N882" s="11"/>
      <c r="O882" s="11"/>
    </row>
    <row r="883" spans="14:15">
      <c r="N883" s="11"/>
      <c r="O883" s="11"/>
    </row>
    <row r="884" spans="14:15">
      <c r="N884" s="11"/>
      <c r="O884" s="11"/>
    </row>
    <row r="885" spans="14:15">
      <c r="N885" s="11"/>
      <c r="O885" s="11"/>
    </row>
    <row r="886" spans="14:15">
      <c r="N886" s="11"/>
      <c r="O886" s="11"/>
    </row>
    <row r="887" spans="14:15">
      <c r="N887" s="11"/>
      <c r="O887" s="11"/>
    </row>
    <row r="888" spans="14:15">
      <c r="N888" s="11"/>
      <c r="O888" s="11"/>
    </row>
    <row r="889" spans="14:15">
      <c r="N889" s="11"/>
      <c r="O889" s="11"/>
    </row>
    <row r="890" spans="14:15">
      <c r="N890" s="11"/>
      <c r="O890" s="11"/>
    </row>
    <row r="891" spans="14:15">
      <c r="N891" s="11"/>
      <c r="O891" s="11"/>
    </row>
    <row r="892" spans="14:15">
      <c r="N892" s="11"/>
      <c r="O892" s="11"/>
    </row>
    <row r="893" spans="14:15">
      <c r="N893" s="11"/>
      <c r="O893" s="11"/>
    </row>
    <row r="894" spans="14:15">
      <c r="N894" s="11"/>
      <c r="O894" s="11"/>
    </row>
    <row r="895" spans="14:15">
      <c r="N895" s="11"/>
      <c r="O895" s="11"/>
    </row>
    <row r="896" spans="14:15">
      <c r="N896" s="11"/>
      <c r="O896" s="11"/>
    </row>
    <row r="897" spans="14:15">
      <c r="N897" s="11"/>
      <c r="O897" s="11"/>
    </row>
    <row r="898" spans="14:15">
      <c r="N898" s="11"/>
      <c r="O898" s="11"/>
    </row>
    <row r="899" spans="14:15">
      <c r="N899" s="11"/>
      <c r="O899" s="11"/>
    </row>
    <row r="900" spans="14:15">
      <c r="N900" s="11"/>
      <c r="O900" s="11"/>
    </row>
    <row r="901" spans="14:15">
      <c r="N901" s="11"/>
      <c r="O901" s="11"/>
    </row>
    <row r="902" spans="14:15">
      <c r="N902" s="11"/>
      <c r="O902" s="11"/>
    </row>
    <row r="903" spans="14:15">
      <c r="N903" s="11"/>
      <c r="O903" s="11"/>
    </row>
    <row r="904" spans="14:15">
      <c r="N904" s="11"/>
      <c r="O904" s="11"/>
    </row>
    <row r="905" spans="14:15">
      <c r="N905" s="11"/>
      <c r="O905" s="11"/>
    </row>
    <row r="906" spans="14:15">
      <c r="N906" s="11"/>
      <c r="O906" s="11"/>
    </row>
    <row r="907" spans="14:15">
      <c r="N907" s="11"/>
      <c r="O907" s="11"/>
    </row>
    <row r="908" spans="14:15">
      <c r="N908" s="11"/>
      <c r="O908" s="11"/>
    </row>
    <row r="909" spans="14:15">
      <c r="N909" s="11"/>
      <c r="O909" s="11"/>
    </row>
    <row r="910" spans="14:15">
      <c r="N910" s="11"/>
      <c r="O910" s="11"/>
    </row>
    <row r="911" spans="14:15">
      <c r="N911" s="11"/>
      <c r="O911" s="11"/>
    </row>
    <row r="912" spans="14:15">
      <c r="N912" s="11"/>
      <c r="O912" s="11"/>
    </row>
    <row r="913" spans="14:15">
      <c r="N913" s="11"/>
      <c r="O913" s="11"/>
    </row>
    <row r="914" spans="14:15">
      <c r="N914" s="11"/>
      <c r="O914" s="11"/>
    </row>
    <row r="915" spans="14:15">
      <c r="N915" s="11"/>
      <c r="O915" s="11"/>
    </row>
    <row r="916" spans="14:15">
      <c r="N916" s="11"/>
      <c r="O916" s="11"/>
    </row>
    <row r="917" spans="14:15">
      <c r="N917" s="11"/>
      <c r="O917" s="11"/>
    </row>
    <row r="918" spans="14:15">
      <c r="N918" s="11"/>
      <c r="O918" s="11"/>
    </row>
    <row r="919" spans="14:15">
      <c r="N919" s="11"/>
      <c r="O919" s="11"/>
    </row>
    <row r="920" spans="14:15">
      <c r="N920" s="11"/>
      <c r="O920" s="11"/>
    </row>
    <row r="921" spans="14:15">
      <c r="N921" s="11"/>
      <c r="O921" s="11"/>
    </row>
    <row r="922" spans="14:15">
      <c r="N922" s="11"/>
      <c r="O922" s="11"/>
    </row>
    <row r="923" spans="14:15">
      <c r="N923" s="11"/>
      <c r="O923" s="11"/>
    </row>
    <row r="924" spans="14:15">
      <c r="N924" s="11"/>
      <c r="O924" s="11"/>
    </row>
    <row r="925" spans="14:15">
      <c r="N925" s="11"/>
      <c r="O925" s="11"/>
    </row>
    <row r="926" spans="14:15">
      <c r="N926" s="11"/>
      <c r="O926" s="11"/>
    </row>
    <row r="927" spans="14:15">
      <c r="N927" s="11"/>
      <c r="O927" s="11"/>
    </row>
    <row r="928" spans="14:15">
      <c r="N928" s="11"/>
      <c r="O928" s="11"/>
    </row>
    <row r="929" spans="14:15">
      <c r="N929" s="11"/>
      <c r="O929" s="11"/>
    </row>
    <row r="930" spans="14:15">
      <c r="N930" s="11"/>
      <c r="O930" s="11"/>
    </row>
    <row r="931" spans="14:15">
      <c r="N931" s="11"/>
      <c r="O931" s="11"/>
    </row>
    <row r="932" spans="14:15">
      <c r="N932" s="11"/>
      <c r="O932" s="11"/>
    </row>
    <row r="933" spans="14:15">
      <c r="N933" s="11"/>
      <c r="O933" s="11"/>
    </row>
    <row r="934" spans="14:15">
      <c r="N934" s="11"/>
      <c r="O934" s="11"/>
    </row>
    <row r="935" spans="14:15">
      <c r="N935" s="11"/>
      <c r="O935" s="11"/>
    </row>
    <row r="936" spans="14:15">
      <c r="N936" s="11"/>
      <c r="O936" s="11"/>
    </row>
    <row r="937" spans="14:15">
      <c r="N937" s="11"/>
      <c r="O937" s="11"/>
    </row>
    <row r="938" spans="14:15">
      <c r="N938" s="11"/>
      <c r="O938" s="11"/>
    </row>
    <row r="939" spans="14:15">
      <c r="N939" s="11"/>
      <c r="O939" s="11"/>
    </row>
    <row r="940" spans="14:15">
      <c r="N940" s="11"/>
      <c r="O940" s="11"/>
    </row>
    <row r="941" spans="14:15">
      <c r="N941" s="11"/>
      <c r="O941" s="11"/>
    </row>
    <row r="942" spans="14:15">
      <c r="N942" s="11"/>
      <c r="O942" s="11"/>
    </row>
    <row r="943" spans="14:15">
      <c r="N943" s="11"/>
      <c r="O943" s="11"/>
    </row>
    <row r="944" spans="14:15">
      <c r="N944" s="11"/>
      <c r="O944" s="11"/>
    </row>
    <row r="945" spans="14:15">
      <c r="N945" s="11"/>
      <c r="O945" s="11"/>
    </row>
    <row r="946" spans="14:15">
      <c r="N946" s="11"/>
      <c r="O946" s="11"/>
    </row>
    <row r="947" spans="14:15">
      <c r="N947" s="11"/>
      <c r="O947" s="11"/>
    </row>
    <row r="948" spans="14:15">
      <c r="N948" s="11"/>
      <c r="O948" s="11"/>
    </row>
    <row r="949" spans="14:15">
      <c r="N949" s="11"/>
      <c r="O949" s="11"/>
    </row>
    <row r="950" spans="14:15">
      <c r="N950" s="11"/>
      <c r="O950" s="11"/>
    </row>
    <row r="951" spans="14:15">
      <c r="N951" s="11"/>
      <c r="O951" s="11"/>
    </row>
    <row r="952" spans="14:15">
      <c r="N952" s="11"/>
      <c r="O952" s="11"/>
    </row>
    <row r="953" spans="14:15">
      <c r="N953" s="11"/>
      <c r="O953" s="11"/>
    </row>
    <row r="954" spans="14:15">
      <c r="N954" s="11"/>
      <c r="O954" s="11"/>
    </row>
    <row r="955" spans="14:15">
      <c r="N955" s="11"/>
      <c r="O955" s="11"/>
    </row>
    <row r="956" spans="14:15">
      <c r="N956" s="11"/>
      <c r="O956" s="11"/>
    </row>
    <row r="957" spans="14:15">
      <c r="N957" s="11"/>
      <c r="O957" s="11"/>
    </row>
    <row r="958" spans="14:15">
      <c r="N958" s="11"/>
      <c r="O958" s="11"/>
    </row>
    <row r="959" spans="14:15">
      <c r="N959" s="11"/>
      <c r="O959" s="11"/>
    </row>
    <row r="960" spans="14:15">
      <c r="N960" s="11"/>
      <c r="O960" s="11"/>
    </row>
    <row r="961" spans="14:15">
      <c r="N961" s="11"/>
      <c r="O961" s="11"/>
    </row>
    <row r="962" spans="14:15">
      <c r="N962" s="11"/>
      <c r="O962" s="11"/>
    </row>
    <row r="963" spans="14:15">
      <c r="N963" s="11"/>
      <c r="O963" s="11"/>
    </row>
    <row r="964" spans="14:15">
      <c r="N964" s="11"/>
      <c r="O964" s="11"/>
    </row>
    <row r="965" spans="14:15">
      <c r="N965" s="11"/>
      <c r="O965" s="11"/>
    </row>
    <row r="966" spans="14:15">
      <c r="N966" s="11"/>
      <c r="O966" s="11"/>
    </row>
    <row r="967" spans="14:15">
      <c r="N967" s="11"/>
      <c r="O967" s="11"/>
    </row>
    <row r="968" spans="14:15">
      <c r="N968" s="11"/>
      <c r="O968" s="11"/>
    </row>
    <row r="969" spans="14:15">
      <c r="N969" s="11"/>
      <c r="O969" s="11"/>
    </row>
    <row r="970" spans="14:15">
      <c r="N970" s="11"/>
      <c r="O970" s="11"/>
    </row>
    <row r="971" spans="14:15">
      <c r="N971" s="11"/>
      <c r="O971" s="11"/>
    </row>
    <row r="972" spans="14:15">
      <c r="N972" s="11"/>
      <c r="O972" s="11"/>
    </row>
    <row r="973" spans="14:15">
      <c r="N973" s="11"/>
      <c r="O973" s="11"/>
    </row>
    <row r="974" spans="14:15">
      <c r="N974" s="11"/>
      <c r="O974" s="11"/>
    </row>
    <row r="975" spans="14:15">
      <c r="N975" s="11"/>
      <c r="O975" s="11"/>
    </row>
    <row r="976" spans="14:15">
      <c r="N976" s="11"/>
      <c r="O976" s="11"/>
    </row>
    <row r="977" spans="14:15">
      <c r="N977" s="11"/>
      <c r="O977" s="11"/>
    </row>
    <row r="978" spans="14:15">
      <c r="N978" s="11"/>
      <c r="O978" s="11"/>
    </row>
    <row r="979" spans="14:15">
      <c r="N979" s="11"/>
      <c r="O979" s="11"/>
    </row>
    <row r="980" spans="14:15">
      <c r="N980" s="11"/>
      <c r="O980" s="11"/>
    </row>
    <row r="981" spans="14:15">
      <c r="N981" s="11"/>
      <c r="O981" s="11"/>
    </row>
    <row r="982" spans="14:15">
      <c r="N982" s="11"/>
      <c r="O982" s="11"/>
    </row>
    <row r="983" spans="14:15">
      <c r="N983" s="11"/>
      <c r="O983" s="11"/>
    </row>
    <row r="984" spans="14:15">
      <c r="N984" s="11"/>
      <c r="O984" s="11"/>
    </row>
    <row r="985" spans="14:15">
      <c r="N985" s="11"/>
      <c r="O985" s="11"/>
    </row>
    <row r="986" spans="14:15">
      <c r="N986" s="11"/>
      <c r="O986" s="11"/>
    </row>
    <row r="987" spans="14:15">
      <c r="N987" s="11"/>
      <c r="O987" s="11"/>
    </row>
    <row r="988" spans="14:15">
      <c r="N988" s="11"/>
      <c r="O988" s="11"/>
    </row>
    <row r="989" spans="14:15">
      <c r="N989" s="11"/>
      <c r="O989" s="11"/>
    </row>
    <row r="990" spans="14:15">
      <c r="N990" s="11"/>
      <c r="O990" s="11"/>
    </row>
    <row r="991" spans="14:15">
      <c r="N991" s="11"/>
      <c r="O991" s="11"/>
    </row>
    <row r="992" spans="14:15">
      <c r="N992" s="11"/>
      <c r="O992" s="11"/>
    </row>
    <row r="993" spans="14:15">
      <c r="N993" s="11"/>
      <c r="O993" s="11"/>
    </row>
    <row r="994" spans="14:15">
      <c r="N994" s="11"/>
      <c r="O994" s="11"/>
    </row>
    <row r="995" spans="14:15">
      <c r="N995" s="11"/>
      <c r="O995" s="11"/>
    </row>
    <row r="996" spans="14:15">
      <c r="N996" s="11"/>
      <c r="O996" s="11"/>
    </row>
    <row r="997" spans="14:15">
      <c r="N997" s="11"/>
      <c r="O997" s="11"/>
    </row>
    <row r="998" spans="14:15">
      <c r="N998" s="11"/>
      <c r="O998" s="11"/>
    </row>
    <row r="999" spans="14:15">
      <c r="N999" s="11"/>
      <c r="O999" s="11"/>
    </row>
    <row r="1000" spans="14:15">
      <c r="N1000" s="11"/>
      <c r="O1000" s="11"/>
    </row>
    <row r="1001" spans="14:15">
      <c r="N1001" s="11"/>
      <c r="O1001" s="11"/>
    </row>
    <row r="1002" spans="14:15">
      <c r="N1002" s="11"/>
      <c r="O1002" s="11"/>
    </row>
    <row r="1003" spans="14:15">
      <c r="N1003" s="11"/>
      <c r="O1003" s="11"/>
    </row>
    <row r="1004" spans="14:15">
      <c r="N1004" s="11"/>
      <c r="O1004" s="11"/>
    </row>
    <row r="1005" spans="14:15">
      <c r="N1005" s="11"/>
      <c r="O1005" s="11"/>
    </row>
    <row r="1006" spans="14:15">
      <c r="N1006" s="11"/>
      <c r="O1006" s="11"/>
    </row>
    <row r="1007" spans="14:15">
      <c r="N1007" s="11"/>
      <c r="O1007" s="11"/>
    </row>
    <row r="1008" spans="14:15">
      <c r="N1008" s="11"/>
      <c r="O1008" s="11"/>
    </row>
    <row r="1009" spans="14:15">
      <c r="N1009" s="11"/>
      <c r="O1009" s="11"/>
    </row>
    <row r="1010" spans="14:15">
      <c r="N1010" s="11"/>
      <c r="O1010" s="11"/>
    </row>
    <row r="1011" spans="14:15">
      <c r="N1011" s="11"/>
      <c r="O1011" s="11"/>
    </row>
    <row r="1012" spans="14:15">
      <c r="N1012" s="11"/>
      <c r="O1012" s="11"/>
    </row>
    <row r="1013" spans="14:15">
      <c r="N1013" s="11"/>
      <c r="O1013" s="11"/>
    </row>
    <row r="1014" spans="14:15">
      <c r="N1014" s="11"/>
      <c r="O1014" s="11"/>
    </row>
    <row r="1015" spans="14:15">
      <c r="N1015" s="11"/>
      <c r="O1015" s="11"/>
    </row>
    <row r="1016" spans="14:15">
      <c r="N1016" s="11"/>
      <c r="O1016" s="11"/>
    </row>
    <row r="1017" spans="14:15">
      <c r="N1017" s="11"/>
      <c r="O1017" s="11"/>
    </row>
    <row r="1018" spans="14:15">
      <c r="N1018" s="11"/>
      <c r="O1018" s="11"/>
    </row>
    <row r="1019" spans="14:15">
      <c r="N1019" s="11"/>
      <c r="O1019" s="11"/>
    </row>
    <row r="1020" spans="14:15">
      <c r="N1020" s="11"/>
      <c r="O1020" s="11"/>
    </row>
    <row r="1021" spans="14:15">
      <c r="N1021" s="11"/>
      <c r="O1021" s="11"/>
    </row>
    <row r="1022" spans="14:15">
      <c r="N1022" s="11"/>
      <c r="O1022" s="11"/>
    </row>
    <row r="1023" spans="14:15">
      <c r="N1023" s="11"/>
      <c r="O1023" s="11"/>
    </row>
    <row r="1024" spans="14:15">
      <c r="N1024" s="11"/>
      <c r="O1024" s="11"/>
    </row>
    <row r="1025" spans="14:15">
      <c r="N1025" s="11"/>
      <c r="O1025" s="11"/>
    </row>
    <row r="1026" spans="14:15">
      <c r="N1026" s="11"/>
      <c r="O1026" s="11"/>
    </row>
    <row r="1027" spans="14:15">
      <c r="N1027" s="11"/>
      <c r="O1027" s="11"/>
    </row>
    <row r="1028" spans="14:15">
      <c r="N1028" s="11"/>
      <c r="O1028" s="11"/>
    </row>
    <row r="1029" spans="14:15">
      <c r="N1029" s="11"/>
      <c r="O1029" s="11"/>
    </row>
    <row r="1030" spans="14:15">
      <c r="N1030" s="11"/>
      <c r="O1030" s="11"/>
    </row>
    <row r="1031" spans="14:15">
      <c r="N1031" s="11"/>
      <c r="O1031" s="11"/>
    </row>
    <row r="1032" spans="14:15">
      <c r="N1032" s="11"/>
      <c r="O1032" s="11"/>
    </row>
    <row r="1033" spans="14:15">
      <c r="N1033" s="11"/>
      <c r="O1033" s="11"/>
    </row>
    <row r="1034" spans="14:15">
      <c r="N1034" s="11"/>
      <c r="O1034" s="11"/>
    </row>
    <row r="1035" spans="14:15">
      <c r="N1035" s="11"/>
      <c r="O1035" s="11"/>
    </row>
    <row r="1036" spans="14:15">
      <c r="N1036" s="11"/>
      <c r="O1036" s="11"/>
    </row>
    <row r="1037" spans="14:15">
      <c r="N1037" s="11"/>
      <c r="O1037" s="11"/>
    </row>
    <row r="1038" spans="14:15">
      <c r="N1038" s="11"/>
      <c r="O1038" s="11"/>
    </row>
    <row r="1039" spans="14:15">
      <c r="N1039" s="11"/>
      <c r="O1039" s="11"/>
    </row>
    <row r="1040" spans="14:15">
      <c r="N1040" s="11"/>
      <c r="O1040" s="11"/>
    </row>
    <row r="1041" spans="14:15">
      <c r="N1041" s="11"/>
      <c r="O1041" s="11"/>
    </row>
    <row r="1042" spans="14:15">
      <c r="N1042" s="11"/>
      <c r="O1042" s="11"/>
    </row>
    <row r="1043" spans="14:15">
      <c r="N1043" s="11"/>
      <c r="O1043" s="11"/>
    </row>
    <row r="1044" spans="14:15">
      <c r="N1044" s="11"/>
      <c r="O1044" s="11"/>
    </row>
    <row r="1045" spans="14:15">
      <c r="N1045" s="11"/>
      <c r="O1045" s="11"/>
    </row>
    <row r="1046" spans="14:15">
      <c r="N1046" s="11"/>
      <c r="O1046" s="11"/>
    </row>
    <row r="1047" spans="14:15">
      <c r="N1047" s="11"/>
      <c r="O1047" s="11"/>
    </row>
    <row r="1048" spans="14:15">
      <c r="N1048" s="11"/>
      <c r="O1048" s="11"/>
    </row>
    <row r="1049" spans="14:15">
      <c r="N1049" s="11"/>
      <c r="O1049" s="11"/>
    </row>
    <row r="1050" spans="14:15">
      <c r="N1050" s="11"/>
      <c r="O1050" s="11"/>
    </row>
    <row r="1051" spans="14:15">
      <c r="N1051" s="11"/>
      <c r="O1051" s="11"/>
    </row>
    <row r="1052" spans="14:15">
      <c r="N1052" s="11"/>
      <c r="O1052" s="11"/>
    </row>
    <row r="1053" spans="14:15">
      <c r="N1053" s="11"/>
      <c r="O1053" s="11"/>
    </row>
    <row r="1054" spans="14:15">
      <c r="N1054" s="11"/>
      <c r="O1054" s="11"/>
    </row>
    <row r="1055" spans="14:15">
      <c r="N1055" s="11"/>
      <c r="O1055" s="11"/>
    </row>
    <row r="1056" spans="14:15">
      <c r="N1056" s="11"/>
      <c r="O1056" s="11"/>
    </row>
    <row r="1057" spans="14:15">
      <c r="N1057" s="11"/>
      <c r="O1057" s="11"/>
    </row>
    <row r="1058" spans="14:15">
      <c r="N1058" s="11"/>
      <c r="O1058" s="11"/>
    </row>
    <row r="1059" spans="14:15">
      <c r="N1059" s="11"/>
      <c r="O1059" s="11"/>
    </row>
    <row r="1060" spans="14:15">
      <c r="N1060" s="11"/>
      <c r="O1060" s="11"/>
    </row>
    <row r="1061" spans="14:15">
      <c r="N1061" s="11"/>
      <c r="O1061" s="11"/>
    </row>
    <row r="1062" spans="14:15">
      <c r="N1062" s="11"/>
      <c r="O1062" s="11"/>
    </row>
    <row r="1063" spans="14:15">
      <c r="N1063" s="11"/>
      <c r="O1063" s="11"/>
    </row>
    <row r="1064" spans="14:15">
      <c r="N1064" s="11"/>
      <c r="O1064" s="11"/>
    </row>
    <row r="1065" spans="14:15">
      <c r="N1065" s="11"/>
      <c r="O1065" s="11"/>
    </row>
    <row r="1066" spans="14:15">
      <c r="N1066" s="11"/>
      <c r="O1066" s="11"/>
    </row>
    <row r="1067" spans="14:15">
      <c r="N1067" s="11"/>
      <c r="O1067" s="11"/>
    </row>
    <row r="1068" spans="14:15">
      <c r="N1068" s="11"/>
      <c r="O1068" s="11"/>
    </row>
    <row r="1069" spans="14:15">
      <c r="N1069" s="11"/>
      <c r="O1069" s="11"/>
    </row>
    <row r="1070" spans="14:15">
      <c r="N1070" s="11"/>
      <c r="O1070" s="11"/>
    </row>
    <row r="1071" spans="14:15">
      <c r="N1071" s="11"/>
      <c r="O1071" s="11"/>
    </row>
    <row r="1072" spans="14:15">
      <c r="N1072" s="11"/>
      <c r="O1072" s="11"/>
    </row>
    <row r="1073" spans="14:15">
      <c r="N1073" s="11"/>
      <c r="O1073" s="11"/>
    </row>
    <row r="1074" spans="14:15">
      <c r="N1074" s="11"/>
      <c r="O1074" s="11"/>
    </row>
    <row r="1075" spans="14:15">
      <c r="N1075" s="11"/>
      <c r="O1075" s="11"/>
    </row>
    <row r="1076" spans="14:15">
      <c r="N1076" s="11"/>
      <c r="O1076" s="11"/>
    </row>
    <row r="1077" spans="14:15">
      <c r="N1077" s="11"/>
      <c r="O1077" s="11"/>
    </row>
    <row r="1078" spans="14:15">
      <c r="N1078" s="11"/>
      <c r="O1078" s="11"/>
    </row>
    <row r="1079" spans="14:15">
      <c r="N1079" s="11"/>
      <c r="O1079" s="11"/>
    </row>
    <row r="1080" spans="14:15">
      <c r="N1080" s="11"/>
      <c r="O1080" s="11"/>
    </row>
    <row r="1081" spans="14:15">
      <c r="N1081" s="11"/>
      <c r="O1081" s="11"/>
    </row>
    <row r="1082" spans="14:15">
      <c r="N1082" s="11"/>
      <c r="O1082" s="11"/>
    </row>
    <row r="1083" spans="14:15">
      <c r="N1083" s="11"/>
      <c r="O1083" s="11"/>
    </row>
    <row r="1084" spans="14:15">
      <c r="N1084" s="11"/>
      <c r="O1084" s="11"/>
    </row>
    <row r="1085" spans="14:15">
      <c r="N1085" s="11"/>
      <c r="O1085" s="11"/>
    </row>
    <row r="1086" spans="14:15">
      <c r="N1086" s="11"/>
      <c r="O1086" s="11"/>
    </row>
    <row r="1087" spans="14:15">
      <c r="N1087" s="11"/>
      <c r="O1087" s="11"/>
    </row>
    <row r="1088" spans="14:15">
      <c r="N1088" s="11"/>
      <c r="O1088" s="11"/>
    </row>
    <row r="1089" spans="14:15">
      <c r="N1089" s="11"/>
      <c r="O1089" s="11"/>
    </row>
    <row r="1090" spans="14:15">
      <c r="N1090" s="11"/>
      <c r="O1090" s="11"/>
    </row>
    <row r="1091" spans="14:15">
      <c r="N1091" s="11"/>
      <c r="O1091" s="11"/>
    </row>
    <row r="1092" spans="14:15">
      <c r="N1092" s="11"/>
      <c r="O1092" s="11"/>
    </row>
    <row r="1093" spans="14:15">
      <c r="N1093" s="11"/>
      <c r="O1093" s="11"/>
    </row>
    <row r="1094" spans="14:15">
      <c r="N1094" s="11"/>
      <c r="O1094" s="11"/>
    </row>
    <row r="1095" spans="14:15">
      <c r="N1095" s="11"/>
      <c r="O1095" s="11"/>
    </row>
    <row r="1096" spans="14:15">
      <c r="N1096" s="11"/>
      <c r="O1096" s="11"/>
    </row>
    <row r="1097" spans="14:15">
      <c r="N1097" s="11"/>
      <c r="O1097" s="11"/>
    </row>
    <row r="1098" spans="14:15">
      <c r="N1098" s="11"/>
      <c r="O1098" s="11"/>
    </row>
    <row r="1099" spans="14:15">
      <c r="N1099" s="11"/>
      <c r="O1099" s="11"/>
    </row>
    <row r="1100" spans="14:15">
      <c r="N1100" s="11"/>
      <c r="O1100" s="11"/>
    </row>
    <row r="1101" spans="14:15">
      <c r="N1101" s="11"/>
      <c r="O1101" s="11"/>
    </row>
    <row r="1102" spans="14:15">
      <c r="N1102" s="11"/>
      <c r="O1102" s="11"/>
    </row>
    <row r="1103" spans="14:15">
      <c r="N1103" s="11"/>
      <c r="O1103" s="11"/>
    </row>
    <row r="1104" spans="14:15">
      <c r="N1104" s="11"/>
      <c r="O1104" s="11"/>
    </row>
    <row r="1105" spans="14:15">
      <c r="N1105" s="11"/>
      <c r="O1105" s="11"/>
    </row>
    <row r="1106" spans="14:15">
      <c r="N1106" s="11"/>
      <c r="O1106" s="11"/>
    </row>
    <row r="1107" spans="14:15">
      <c r="N1107" s="11"/>
      <c r="O1107" s="11"/>
    </row>
    <row r="1108" spans="14:15">
      <c r="N1108" s="11"/>
      <c r="O1108" s="11"/>
    </row>
    <row r="1109" spans="14:15">
      <c r="N1109" s="11"/>
      <c r="O1109" s="11"/>
    </row>
    <row r="1110" spans="14:15">
      <c r="N1110" s="11"/>
      <c r="O1110" s="11"/>
    </row>
    <row r="1111" spans="14:15">
      <c r="N1111" s="11"/>
      <c r="O1111" s="11"/>
    </row>
    <row r="1112" spans="14:15">
      <c r="N1112" s="11"/>
      <c r="O1112" s="11"/>
    </row>
    <row r="1113" spans="14:15">
      <c r="N1113" s="11"/>
      <c r="O1113" s="11"/>
    </row>
    <row r="1114" spans="14:15">
      <c r="N1114" s="11"/>
      <c r="O1114" s="11"/>
    </row>
    <row r="1115" spans="14:15">
      <c r="N1115" s="11"/>
      <c r="O1115" s="11"/>
    </row>
    <row r="1116" spans="14:15">
      <c r="N1116" s="11"/>
      <c r="O1116" s="11"/>
    </row>
    <row r="1117" spans="14:15">
      <c r="N1117" s="11"/>
      <c r="O1117" s="11"/>
    </row>
    <row r="1118" spans="14:15">
      <c r="N1118" s="11"/>
      <c r="O1118" s="11"/>
    </row>
    <row r="1119" spans="14:15">
      <c r="N1119" s="11"/>
      <c r="O1119" s="11"/>
    </row>
    <row r="1120" spans="14:15">
      <c r="N1120" s="11"/>
      <c r="O1120" s="11"/>
    </row>
    <row r="1121" spans="14:15">
      <c r="N1121" s="11"/>
      <c r="O1121" s="11"/>
    </row>
    <row r="1122" spans="14:15">
      <c r="N1122" s="11"/>
      <c r="O1122" s="11"/>
    </row>
    <row r="1123" spans="14:15">
      <c r="N1123" s="11"/>
      <c r="O1123" s="11"/>
    </row>
    <row r="1124" spans="14:15">
      <c r="N1124" s="11"/>
      <c r="O1124" s="11"/>
    </row>
    <row r="1125" spans="14:15">
      <c r="N1125" s="11"/>
      <c r="O1125" s="11"/>
    </row>
    <row r="1126" spans="14:15">
      <c r="N1126" s="11"/>
      <c r="O1126" s="11"/>
    </row>
    <row r="1127" spans="14:15">
      <c r="N1127" s="11"/>
      <c r="O1127" s="11"/>
    </row>
    <row r="1128" spans="14:15">
      <c r="N1128" s="11"/>
      <c r="O1128" s="11"/>
    </row>
    <row r="1129" spans="14:15">
      <c r="N1129" s="11"/>
      <c r="O1129" s="11"/>
    </row>
    <row r="1130" spans="14:15">
      <c r="N1130" s="11"/>
      <c r="O1130" s="11"/>
    </row>
    <row r="1131" spans="14:15">
      <c r="N1131" s="11"/>
      <c r="O1131" s="11"/>
    </row>
    <row r="1132" spans="14:15">
      <c r="N1132" s="11"/>
      <c r="O1132" s="11"/>
    </row>
    <row r="1133" spans="14:15">
      <c r="N1133" s="11"/>
      <c r="O1133" s="11"/>
    </row>
    <row r="1134" spans="14:15">
      <c r="N1134" s="11"/>
      <c r="O1134" s="11"/>
    </row>
    <row r="1135" spans="14:15">
      <c r="N1135" s="11"/>
      <c r="O1135" s="11"/>
    </row>
    <row r="1136" spans="14:15">
      <c r="N1136" s="11"/>
      <c r="O1136" s="11"/>
    </row>
    <row r="1137" spans="14:15">
      <c r="N1137" s="11"/>
      <c r="O1137" s="11"/>
    </row>
    <row r="1138" spans="14:15">
      <c r="N1138" s="11"/>
      <c r="O1138" s="11"/>
    </row>
    <row r="1139" spans="14:15">
      <c r="N1139" s="11"/>
      <c r="O1139" s="11"/>
    </row>
    <row r="1140" spans="14:15">
      <c r="N1140" s="11"/>
      <c r="O1140" s="11"/>
    </row>
    <row r="1141" spans="14:15">
      <c r="N1141" s="11"/>
      <c r="O1141" s="11"/>
    </row>
    <row r="1142" spans="14:15">
      <c r="N1142" s="11"/>
      <c r="O1142" s="11"/>
    </row>
    <row r="1143" spans="14:15">
      <c r="N1143" s="11"/>
      <c r="O1143" s="11"/>
    </row>
    <row r="1144" spans="14:15">
      <c r="N1144" s="11"/>
      <c r="O1144" s="11"/>
    </row>
    <row r="1145" spans="14:15">
      <c r="N1145" s="11"/>
      <c r="O1145" s="11"/>
    </row>
    <row r="1146" spans="14:15">
      <c r="N1146" s="11"/>
      <c r="O1146" s="11"/>
    </row>
    <row r="1147" spans="14:15">
      <c r="N1147" s="11"/>
      <c r="O1147" s="11"/>
    </row>
    <row r="1148" spans="14:15">
      <c r="N1148" s="11"/>
      <c r="O1148" s="11"/>
    </row>
    <row r="1149" spans="14:15">
      <c r="N1149" s="11"/>
      <c r="O1149" s="11"/>
    </row>
    <row r="1150" spans="14:15">
      <c r="N1150" s="11"/>
      <c r="O1150" s="11"/>
    </row>
    <row r="1151" spans="14:15">
      <c r="N1151" s="11"/>
      <c r="O1151" s="11"/>
    </row>
    <row r="1152" spans="14:15">
      <c r="N1152" s="11"/>
      <c r="O1152" s="11"/>
    </row>
    <row r="1153" spans="14:15">
      <c r="N1153" s="11"/>
      <c r="O1153" s="11"/>
    </row>
    <row r="1154" spans="14:15">
      <c r="N1154" s="11"/>
      <c r="O1154" s="11"/>
    </row>
    <row r="1155" spans="14:15">
      <c r="N1155" s="11"/>
      <c r="O1155" s="11"/>
    </row>
    <row r="1156" spans="14:15">
      <c r="N1156" s="11"/>
      <c r="O1156" s="11"/>
    </row>
    <row r="1157" spans="14:15">
      <c r="N1157" s="11"/>
      <c r="O1157" s="11"/>
    </row>
    <row r="1158" spans="14:15">
      <c r="N1158" s="11"/>
      <c r="O1158" s="11"/>
    </row>
    <row r="1159" spans="14:15">
      <c r="N1159" s="11"/>
      <c r="O1159" s="11"/>
    </row>
    <row r="1160" spans="14:15">
      <c r="N1160" s="11"/>
      <c r="O1160" s="11"/>
    </row>
    <row r="1161" spans="14:15">
      <c r="N1161" s="11"/>
      <c r="O1161" s="11"/>
    </row>
    <row r="1162" spans="14:15">
      <c r="N1162" s="11"/>
      <c r="O1162" s="11"/>
    </row>
    <row r="1163" spans="14:15">
      <c r="N1163" s="11"/>
      <c r="O1163" s="11"/>
    </row>
    <row r="1164" spans="14:15">
      <c r="N1164" s="11"/>
      <c r="O1164" s="11"/>
    </row>
    <row r="1165" spans="14:15">
      <c r="N1165" s="11"/>
      <c r="O1165" s="11"/>
    </row>
    <row r="1166" spans="14:15">
      <c r="N1166" s="11"/>
      <c r="O1166" s="11"/>
    </row>
    <row r="1167" spans="14:15">
      <c r="N1167" s="11"/>
      <c r="O1167" s="11"/>
    </row>
    <row r="1168" spans="14:15">
      <c r="N1168" s="11"/>
      <c r="O1168" s="11"/>
    </row>
    <row r="1169" spans="14:15">
      <c r="N1169" s="11"/>
      <c r="O1169" s="11"/>
    </row>
    <row r="1170" spans="14:15">
      <c r="N1170" s="11"/>
      <c r="O1170" s="11"/>
    </row>
    <row r="1171" spans="14:15">
      <c r="N1171" s="11"/>
      <c r="O1171" s="11"/>
    </row>
    <row r="1172" spans="14:15">
      <c r="N1172" s="11"/>
      <c r="O1172" s="11"/>
    </row>
    <row r="1173" spans="14:15">
      <c r="N1173" s="11"/>
      <c r="O1173" s="11"/>
    </row>
    <row r="1174" spans="14:15">
      <c r="N1174" s="11"/>
      <c r="O1174" s="11"/>
    </row>
    <row r="1175" spans="14:15">
      <c r="N1175" s="11"/>
      <c r="O1175" s="11"/>
    </row>
    <row r="1176" spans="14:15">
      <c r="N1176" s="11"/>
      <c r="O1176" s="11"/>
    </row>
    <row r="1177" spans="14:15">
      <c r="N1177" s="11"/>
      <c r="O1177" s="11"/>
    </row>
    <row r="1178" spans="14:15">
      <c r="N1178" s="11"/>
      <c r="O1178" s="11"/>
    </row>
    <row r="1179" spans="14:15">
      <c r="N1179" s="11"/>
      <c r="O1179" s="11"/>
    </row>
    <row r="1180" spans="14:15">
      <c r="N1180" s="11"/>
      <c r="O1180" s="11"/>
    </row>
    <row r="1181" spans="14:15">
      <c r="N1181" s="11"/>
      <c r="O1181" s="11"/>
    </row>
    <row r="1182" spans="14:15">
      <c r="N1182" s="11"/>
      <c r="O1182" s="11"/>
    </row>
    <row r="1183" spans="14:15">
      <c r="N1183" s="11"/>
      <c r="O1183" s="11"/>
    </row>
    <row r="1184" spans="14:15">
      <c r="N1184" s="11"/>
      <c r="O1184" s="11"/>
    </row>
    <row r="1185" spans="14:15">
      <c r="N1185" s="11"/>
      <c r="O1185" s="11"/>
    </row>
    <row r="1186" spans="14:15">
      <c r="N1186" s="11"/>
      <c r="O1186" s="11"/>
    </row>
    <row r="1187" spans="14:15">
      <c r="N1187" s="11"/>
      <c r="O1187" s="11"/>
    </row>
    <row r="1188" spans="14:15">
      <c r="N1188" s="11"/>
      <c r="O1188" s="11"/>
    </row>
    <row r="1189" spans="14:15">
      <c r="N1189" s="11"/>
      <c r="O1189" s="11"/>
    </row>
    <row r="1190" spans="14:15">
      <c r="N1190" s="11"/>
      <c r="O1190" s="11"/>
    </row>
    <row r="1191" spans="14:15">
      <c r="N1191" s="11"/>
      <c r="O1191" s="11"/>
    </row>
    <row r="1192" spans="14:15">
      <c r="N1192" s="11"/>
      <c r="O1192" s="11"/>
    </row>
    <row r="1193" spans="14:15">
      <c r="N1193" s="11"/>
      <c r="O1193" s="11"/>
    </row>
    <row r="1194" spans="14:15">
      <c r="N1194" s="11"/>
      <c r="O1194" s="11"/>
    </row>
    <row r="1195" spans="14:15">
      <c r="N1195" s="11"/>
      <c r="O1195" s="11"/>
    </row>
    <row r="1196" spans="14:15">
      <c r="N1196" s="11"/>
      <c r="O1196" s="11"/>
    </row>
    <row r="1197" spans="14:15">
      <c r="N1197" s="11"/>
      <c r="O1197" s="11"/>
    </row>
    <row r="1198" spans="14:15">
      <c r="N1198" s="11"/>
      <c r="O1198" s="11"/>
    </row>
    <row r="1199" spans="14:15">
      <c r="N1199" s="11"/>
      <c r="O1199" s="11"/>
    </row>
    <row r="1200" spans="14:15">
      <c r="N1200" s="11"/>
      <c r="O1200" s="11"/>
    </row>
    <row r="1201" spans="14:15">
      <c r="N1201" s="11"/>
      <c r="O1201" s="11"/>
    </row>
    <row r="1202" spans="14:15">
      <c r="N1202" s="11"/>
      <c r="O1202" s="11"/>
    </row>
    <row r="1203" spans="14:15">
      <c r="N1203" s="11"/>
      <c r="O1203" s="11"/>
    </row>
    <row r="1204" spans="14:15">
      <c r="N1204" s="11"/>
      <c r="O1204" s="11"/>
    </row>
    <row r="1205" spans="14:15">
      <c r="N1205" s="11"/>
      <c r="O1205" s="11"/>
    </row>
    <row r="1206" spans="14:15">
      <c r="N1206" s="11"/>
      <c r="O1206" s="11"/>
    </row>
    <row r="1207" spans="14:15">
      <c r="N1207" s="11"/>
      <c r="O1207" s="11"/>
    </row>
    <row r="1208" spans="14:15">
      <c r="N1208" s="11"/>
      <c r="O1208" s="11"/>
    </row>
    <row r="1209" spans="14:15">
      <c r="N1209" s="11"/>
      <c r="O1209" s="11"/>
    </row>
    <row r="1210" spans="14:15">
      <c r="N1210" s="11"/>
      <c r="O1210" s="11"/>
    </row>
    <row r="1211" spans="14:15">
      <c r="N1211" s="11"/>
      <c r="O1211" s="11"/>
    </row>
    <row r="1212" spans="14:15">
      <c r="N1212" s="11"/>
      <c r="O1212" s="11"/>
    </row>
    <row r="1213" spans="14:15">
      <c r="N1213" s="11"/>
      <c r="O1213" s="11"/>
    </row>
    <row r="1214" spans="14:15">
      <c r="N1214" s="11"/>
      <c r="O1214" s="11"/>
    </row>
    <row r="1215" spans="14:15">
      <c r="N1215" s="11"/>
      <c r="O1215" s="11"/>
    </row>
    <row r="1216" spans="14:15">
      <c r="N1216" s="11"/>
      <c r="O1216" s="11"/>
    </row>
    <row r="1217" spans="14:15">
      <c r="N1217" s="11"/>
      <c r="O1217" s="11"/>
    </row>
    <row r="1218" spans="14:15">
      <c r="N1218" s="11"/>
      <c r="O1218" s="11"/>
    </row>
    <row r="1219" spans="14:15">
      <c r="N1219" s="11"/>
      <c r="O1219" s="11"/>
    </row>
    <row r="1220" spans="14:15">
      <c r="N1220" s="11"/>
      <c r="O1220" s="11"/>
    </row>
    <row r="1221" spans="14:15">
      <c r="N1221" s="11"/>
      <c r="O1221" s="11"/>
    </row>
    <row r="1222" spans="2:27"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11"/>
      <c r="O1222" s="11"/>
      <c r="P1222" s="23"/>
      <c r="Q1222" s="23"/>
      <c r="R1222" s="23"/>
      <c r="S1222" s="23"/>
      <c r="T1222" s="23"/>
      <c r="U1222" s="23"/>
      <c r="V1222" s="23"/>
      <c r="W1222" s="23"/>
      <c r="X1222" s="24"/>
      <c r="Z1222" s="24"/>
      <c r="AA1222" s="23"/>
    </row>
    <row r="1223" spans="14:15">
      <c r="N1223" s="11"/>
      <c r="O1223" s="11"/>
    </row>
    <row r="1224" spans="14:15">
      <c r="N1224" s="11"/>
      <c r="O1224" s="11"/>
    </row>
    <row r="1225" spans="14:15">
      <c r="N1225" s="11"/>
      <c r="O1225" s="11"/>
    </row>
    <row r="1226" spans="14:15">
      <c r="N1226" s="11"/>
      <c r="O1226" s="11"/>
    </row>
    <row r="1227" spans="14:15">
      <c r="N1227" s="11"/>
      <c r="O1227" s="11"/>
    </row>
    <row r="1228" spans="14:15">
      <c r="N1228" s="11"/>
      <c r="O1228" s="11"/>
    </row>
    <row r="1229" spans="14:15">
      <c r="N1229" s="11"/>
      <c r="O1229" s="11"/>
    </row>
    <row r="1230" spans="14:15">
      <c r="N1230" s="11"/>
      <c r="O1230" s="11"/>
    </row>
    <row r="1231" spans="14:15">
      <c r="N1231" s="11"/>
      <c r="O1231" s="11"/>
    </row>
    <row r="1232" spans="14:15">
      <c r="N1232" s="11"/>
      <c r="O1232" s="11"/>
    </row>
    <row r="1233" spans="14:15">
      <c r="N1233" s="11"/>
      <c r="O1233" s="11"/>
    </row>
    <row r="1234" spans="14:15">
      <c r="N1234" s="11"/>
      <c r="O1234" s="11"/>
    </row>
    <row r="1235" spans="14:15">
      <c r="N1235" s="11"/>
      <c r="O1235" s="11"/>
    </row>
    <row r="1236" spans="14:15">
      <c r="N1236" s="11"/>
      <c r="O1236" s="11"/>
    </row>
    <row r="1237" spans="14:15">
      <c r="N1237" s="11"/>
      <c r="O1237" s="11"/>
    </row>
    <row r="1238" spans="14:15">
      <c r="N1238" s="11"/>
      <c r="O1238" s="11"/>
    </row>
    <row r="1239" spans="14:15">
      <c r="N1239" s="11"/>
      <c r="O1239" s="11"/>
    </row>
    <row r="1240" spans="14:15">
      <c r="N1240" s="11"/>
      <c r="O1240" s="11"/>
    </row>
    <row r="1241" spans="14:15">
      <c r="N1241" s="11"/>
      <c r="O1241" s="11"/>
    </row>
    <row r="1242" spans="14:15">
      <c r="N1242" s="11"/>
      <c r="O1242" s="11"/>
    </row>
    <row r="1243" spans="14:15">
      <c r="N1243" s="11"/>
      <c r="O1243" s="11"/>
    </row>
    <row r="1244" spans="14:15">
      <c r="N1244" s="11"/>
      <c r="O1244" s="11"/>
    </row>
    <row r="1245" spans="14:15">
      <c r="N1245" s="11"/>
      <c r="O1245" s="11"/>
    </row>
    <row r="1246" spans="14:15">
      <c r="N1246" s="11"/>
      <c r="O1246" s="11"/>
    </row>
    <row r="1247" spans="14:15">
      <c r="N1247" s="11"/>
      <c r="O1247" s="11"/>
    </row>
    <row r="1248" spans="14:15">
      <c r="N1248" s="11"/>
      <c r="O1248" s="11"/>
    </row>
    <row r="1249" spans="14:15">
      <c r="N1249" s="11"/>
      <c r="O1249" s="11"/>
    </row>
    <row r="1250" spans="14:15">
      <c r="N1250" s="11"/>
      <c r="O1250" s="11"/>
    </row>
    <row r="1251" spans="14:15">
      <c r="N1251" s="11"/>
      <c r="O1251" s="11"/>
    </row>
    <row r="1252" spans="14:15">
      <c r="N1252" s="11"/>
      <c r="O1252" s="11"/>
    </row>
    <row r="1253" spans="14:15">
      <c r="N1253" s="11"/>
      <c r="O1253" s="11"/>
    </row>
    <row r="1254" spans="14:15">
      <c r="N1254" s="11"/>
      <c r="O1254" s="11"/>
    </row>
    <row r="1255" spans="14:15">
      <c r="N1255" s="11"/>
      <c r="O1255" s="11"/>
    </row>
    <row r="1256" spans="14:15">
      <c r="N1256" s="11"/>
      <c r="O1256" s="11"/>
    </row>
    <row r="1257" spans="14:15">
      <c r="N1257" s="11"/>
      <c r="O1257" s="11"/>
    </row>
    <row r="1258" spans="14:15">
      <c r="N1258" s="11"/>
      <c r="O1258" s="11"/>
    </row>
    <row r="1259" spans="14:15">
      <c r="N1259" s="11"/>
      <c r="O1259" s="11"/>
    </row>
    <row r="1260" spans="14:15">
      <c r="N1260" s="11"/>
      <c r="O1260" s="11"/>
    </row>
    <row r="1261" spans="14:15">
      <c r="N1261" s="11"/>
      <c r="O1261" s="11"/>
    </row>
    <row r="1262" spans="14:15">
      <c r="N1262" s="11"/>
      <c r="O1262" s="11"/>
    </row>
    <row r="1263" spans="14:15">
      <c r="N1263" s="11"/>
      <c r="O1263" s="11"/>
    </row>
    <row r="1264" spans="14:15">
      <c r="N1264" s="11"/>
      <c r="O1264" s="11"/>
    </row>
    <row r="1265" spans="14:15">
      <c r="N1265" s="11"/>
      <c r="O1265" s="11"/>
    </row>
    <row r="1266" spans="14:15">
      <c r="N1266" s="11"/>
      <c r="O1266" s="11"/>
    </row>
    <row r="1267" spans="14:15">
      <c r="N1267" s="11"/>
      <c r="O1267" s="11"/>
    </row>
    <row r="1268" spans="14:15">
      <c r="N1268" s="11"/>
      <c r="O1268" s="11"/>
    </row>
    <row r="1269" spans="14:15">
      <c r="N1269" s="11"/>
      <c r="O1269" s="11"/>
    </row>
    <row r="1270" spans="14:15">
      <c r="N1270" s="11"/>
      <c r="O1270" s="11"/>
    </row>
    <row r="1271" spans="14:15">
      <c r="N1271" s="11"/>
      <c r="O1271" s="11"/>
    </row>
    <row r="1272" spans="14:15">
      <c r="N1272" s="11"/>
      <c r="O1272" s="11"/>
    </row>
    <row r="1273" spans="14:15">
      <c r="N1273" s="11"/>
      <c r="O1273" s="11"/>
    </row>
    <row r="1274" spans="14:15">
      <c r="N1274" s="11"/>
      <c r="O1274" s="11"/>
    </row>
    <row r="1275" spans="14:15">
      <c r="N1275" s="11"/>
      <c r="O1275" s="11"/>
    </row>
    <row r="1276" spans="14:15">
      <c r="N1276" s="11"/>
      <c r="O1276" s="11"/>
    </row>
    <row r="1277" spans="14:15">
      <c r="N1277" s="11"/>
      <c r="O1277" s="11"/>
    </row>
    <row r="1278" spans="14:15">
      <c r="N1278" s="11"/>
      <c r="O1278" s="11"/>
    </row>
    <row r="1279" spans="14:15">
      <c r="N1279" s="11"/>
      <c r="O1279" s="11"/>
    </row>
    <row r="1280" spans="14:15">
      <c r="N1280" s="11"/>
      <c r="O1280" s="11"/>
    </row>
    <row r="1281" spans="14:15">
      <c r="N1281" s="11"/>
      <c r="O1281" s="11"/>
    </row>
    <row r="1282" spans="14:15">
      <c r="N1282" s="11"/>
      <c r="O1282" s="11"/>
    </row>
    <row r="1283" spans="14:15">
      <c r="N1283" s="11"/>
      <c r="O1283" s="11"/>
    </row>
    <row r="1284" spans="14:15">
      <c r="N1284" s="11"/>
      <c r="O1284" s="11"/>
    </row>
    <row r="1285" spans="14:15">
      <c r="N1285" s="11"/>
      <c r="O1285" s="11"/>
    </row>
    <row r="1286" spans="14:15">
      <c r="N1286" s="11"/>
      <c r="O1286" s="11"/>
    </row>
    <row r="1287" spans="14:15">
      <c r="N1287" s="11"/>
      <c r="O1287" s="11"/>
    </row>
    <row r="1288" spans="14:15">
      <c r="N1288" s="11"/>
      <c r="O1288" s="11"/>
    </row>
    <row r="1289" spans="14:15">
      <c r="N1289" s="11"/>
      <c r="O1289" s="11"/>
    </row>
    <row r="1290" spans="14:15">
      <c r="N1290" s="11"/>
      <c r="O1290" s="11"/>
    </row>
    <row r="1291" spans="14:15">
      <c r="N1291" s="11"/>
      <c r="O1291" s="11"/>
    </row>
    <row r="1292" spans="14:15">
      <c r="N1292" s="11"/>
      <c r="O1292" s="11"/>
    </row>
    <row r="1293" spans="14:15">
      <c r="N1293" s="11"/>
      <c r="O1293" s="11"/>
    </row>
    <row r="1294" spans="14:15">
      <c r="N1294" s="11"/>
      <c r="O1294" s="11"/>
    </row>
    <row r="1295" spans="14:15">
      <c r="N1295" s="11"/>
      <c r="O1295" s="11"/>
    </row>
    <row r="1296" spans="14:15">
      <c r="N1296" s="11"/>
      <c r="O1296" s="11"/>
    </row>
    <row r="1297" spans="14:15">
      <c r="N1297" s="11"/>
      <c r="O1297" s="11"/>
    </row>
    <row r="1298" spans="14:15">
      <c r="N1298" s="11"/>
      <c r="O1298" s="11"/>
    </row>
    <row r="1299" spans="14:15">
      <c r="N1299" s="11"/>
      <c r="O1299" s="11"/>
    </row>
    <row r="1300" spans="14:15">
      <c r="N1300" s="11"/>
      <c r="O1300" s="11"/>
    </row>
    <row r="1301" spans="14:15">
      <c r="N1301" s="11"/>
      <c r="O1301" s="11"/>
    </row>
    <row r="1302" spans="14:15">
      <c r="N1302" s="11"/>
      <c r="O1302" s="11"/>
    </row>
    <row r="1303" spans="14:15">
      <c r="N1303" s="11"/>
      <c r="O1303" s="11"/>
    </row>
    <row r="1304" spans="14:15">
      <c r="N1304" s="11"/>
      <c r="O1304" s="11"/>
    </row>
    <row r="1305" spans="14:15">
      <c r="N1305" s="11"/>
      <c r="O1305" s="11"/>
    </row>
    <row r="1306" spans="14:15">
      <c r="N1306" s="11"/>
      <c r="O1306" s="11"/>
    </row>
    <row r="1307" spans="14:15">
      <c r="N1307" s="11"/>
      <c r="O1307" s="11"/>
    </row>
    <row r="1308" spans="14:15">
      <c r="N1308" s="11"/>
      <c r="O1308" s="11"/>
    </row>
    <row r="1309" spans="14:15">
      <c r="N1309" s="11"/>
      <c r="O1309" s="11"/>
    </row>
    <row r="1310" spans="14:15">
      <c r="N1310" s="11"/>
      <c r="O1310" s="11"/>
    </row>
    <row r="1311" spans="14:15">
      <c r="N1311" s="11"/>
      <c r="O1311" s="11"/>
    </row>
    <row r="1312" spans="14:15">
      <c r="N1312" s="11"/>
      <c r="O1312" s="11"/>
    </row>
    <row r="1313" spans="14:15">
      <c r="N1313" s="11"/>
      <c r="O1313" s="11"/>
    </row>
    <row r="1314" spans="14:15">
      <c r="N1314" s="11"/>
      <c r="O1314" s="11"/>
    </row>
    <row r="1315" spans="14:15">
      <c r="N1315" s="11"/>
      <c r="O1315" s="11"/>
    </row>
    <row r="1316" spans="14:15">
      <c r="N1316" s="11"/>
      <c r="O1316" s="11"/>
    </row>
    <row r="1317" spans="14:15">
      <c r="N1317" s="11"/>
      <c r="O1317" s="11"/>
    </row>
    <row r="1318" spans="14:15">
      <c r="N1318" s="11"/>
      <c r="O1318" s="11"/>
    </row>
    <row r="1319" spans="14:15">
      <c r="N1319" s="11"/>
      <c r="O1319" s="11"/>
    </row>
    <row r="1320" spans="14:15">
      <c r="N1320" s="11"/>
      <c r="O1320" s="11"/>
    </row>
    <row r="1321" spans="14:15">
      <c r="N1321" s="11"/>
      <c r="O1321" s="11"/>
    </row>
    <row r="1322" spans="14:15">
      <c r="N1322" s="11"/>
      <c r="O1322" s="11"/>
    </row>
    <row r="1323" spans="14:15">
      <c r="N1323" s="11"/>
      <c r="O1323" s="11"/>
    </row>
    <row r="1324" spans="14:15">
      <c r="N1324" s="11"/>
      <c r="O1324" s="11"/>
    </row>
    <row r="1325" spans="14:15">
      <c r="N1325" s="11"/>
      <c r="O1325" s="11"/>
    </row>
    <row r="1326" spans="14:15">
      <c r="N1326" s="11"/>
      <c r="O1326" s="11"/>
    </row>
    <row r="1327" spans="14:15">
      <c r="N1327" s="11"/>
      <c r="O1327" s="11"/>
    </row>
    <row r="1328" spans="14:15">
      <c r="N1328" s="11"/>
      <c r="O1328" s="11"/>
    </row>
    <row r="1329" spans="14:15">
      <c r="N1329" s="11"/>
      <c r="O1329" s="11"/>
    </row>
    <row r="1330" spans="14:15">
      <c r="N1330" s="11"/>
      <c r="O1330" s="11"/>
    </row>
    <row r="1331" spans="14:15">
      <c r="N1331" s="11"/>
      <c r="O1331" s="11"/>
    </row>
    <row r="1332" spans="14:15">
      <c r="N1332" s="11"/>
      <c r="O1332" s="11"/>
    </row>
    <row r="1333" spans="14:15">
      <c r="N1333" s="11"/>
      <c r="O1333" s="11"/>
    </row>
    <row r="1334" spans="14:15">
      <c r="N1334" s="11"/>
      <c r="O1334" s="11"/>
    </row>
    <row r="1335" spans="14:15">
      <c r="N1335" s="11"/>
      <c r="O1335" s="11"/>
    </row>
    <row r="1336" spans="14:15">
      <c r="N1336" s="11"/>
      <c r="O1336" s="11"/>
    </row>
    <row r="1337" spans="14:15">
      <c r="N1337" s="11"/>
      <c r="O1337" s="11"/>
    </row>
    <row r="1338" spans="14:15">
      <c r="N1338" s="11"/>
      <c r="O1338" s="11"/>
    </row>
    <row r="1339" spans="14:15">
      <c r="N1339" s="11"/>
      <c r="O1339" s="11"/>
    </row>
    <row r="1340" spans="14:15">
      <c r="N1340" s="11"/>
      <c r="O1340" s="11"/>
    </row>
    <row r="1341" spans="14:15">
      <c r="N1341" s="11"/>
      <c r="O1341" s="11"/>
    </row>
    <row r="1342" spans="14:15">
      <c r="N1342" s="11"/>
      <c r="O1342" s="11"/>
    </row>
    <row r="1343" spans="14:15">
      <c r="N1343" s="11"/>
      <c r="O1343" s="11"/>
    </row>
    <row r="1344" spans="14:15">
      <c r="N1344" s="11"/>
      <c r="O1344" s="11"/>
    </row>
    <row r="1345" spans="14:15">
      <c r="N1345" s="11"/>
      <c r="O1345" s="11"/>
    </row>
    <row r="1346" spans="14:15">
      <c r="N1346" s="11"/>
      <c r="O1346" s="11"/>
    </row>
    <row r="1347" spans="14:15">
      <c r="N1347" s="11"/>
      <c r="O1347" s="11"/>
    </row>
    <row r="1348" spans="14:15">
      <c r="N1348" s="11"/>
      <c r="O1348" s="11"/>
    </row>
    <row r="1349" spans="14:15">
      <c r="N1349" s="11"/>
      <c r="O1349" s="11"/>
    </row>
    <row r="1350" spans="14:15">
      <c r="N1350" s="11"/>
      <c r="O1350" s="11"/>
    </row>
    <row r="1351" spans="14:15">
      <c r="N1351" s="11"/>
      <c r="O1351" s="11"/>
    </row>
    <row r="1352" spans="14:15">
      <c r="N1352" s="11"/>
      <c r="O1352" s="11"/>
    </row>
    <row r="1353" spans="14:15">
      <c r="N1353" s="11"/>
      <c r="O1353" s="11"/>
    </row>
    <row r="1354" spans="14:15">
      <c r="N1354" s="11"/>
      <c r="O1354" s="11"/>
    </row>
    <row r="1355" spans="14:15">
      <c r="N1355" s="11"/>
      <c r="O1355" s="11"/>
    </row>
    <row r="1356" spans="14:15">
      <c r="N1356" s="11"/>
      <c r="O1356" s="11"/>
    </row>
    <row r="1357" spans="14:15">
      <c r="N1357" s="11"/>
      <c r="O1357" s="11"/>
    </row>
    <row r="1358" spans="14:15">
      <c r="N1358" s="11"/>
      <c r="O1358" s="11"/>
    </row>
    <row r="1359" spans="14:15">
      <c r="N1359" s="11"/>
      <c r="O1359" s="11"/>
    </row>
    <row r="1360" spans="14:15">
      <c r="N1360" s="11"/>
      <c r="O1360" s="11"/>
    </row>
    <row r="1361" spans="14:15">
      <c r="N1361" s="11"/>
      <c r="O1361" s="11"/>
    </row>
    <row r="1362" spans="14:15">
      <c r="N1362" s="11"/>
      <c r="O1362" s="11"/>
    </row>
    <row r="1363" spans="14:15">
      <c r="N1363" s="11"/>
      <c r="O1363" s="11"/>
    </row>
    <row r="1364" spans="14:15">
      <c r="N1364" s="11"/>
      <c r="O1364" s="11"/>
    </row>
    <row r="1365" spans="14:15">
      <c r="N1365" s="11"/>
      <c r="O1365" s="11"/>
    </row>
    <row r="1366" spans="14:15">
      <c r="N1366" s="11"/>
      <c r="O1366" s="11"/>
    </row>
    <row r="1367" spans="14:15">
      <c r="N1367" s="11"/>
      <c r="O1367" s="11"/>
    </row>
    <row r="1368" spans="14:15">
      <c r="N1368" s="11"/>
      <c r="O1368" s="11"/>
    </row>
    <row r="1369" spans="14:15">
      <c r="N1369" s="11"/>
      <c r="O1369" s="11"/>
    </row>
    <row r="1370" spans="14:15">
      <c r="N1370" s="11"/>
      <c r="O1370" s="11"/>
    </row>
    <row r="1371" spans="14:15">
      <c r="N1371" s="11"/>
      <c r="O1371" s="11"/>
    </row>
    <row r="1372" spans="14:15">
      <c r="N1372" s="11"/>
      <c r="O1372" s="11"/>
    </row>
    <row r="1373" spans="14:15">
      <c r="N1373" s="11"/>
      <c r="O1373" s="11"/>
    </row>
    <row r="1374" spans="14:15">
      <c r="N1374" s="11"/>
      <c r="O1374" s="11"/>
    </row>
    <row r="1375" spans="14:15">
      <c r="N1375" s="11"/>
      <c r="O1375" s="11"/>
    </row>
    <row r="1376" spans="14:15">
      <c r="N1376" s="11"/>
      <c r="O1376" s="11"/>
    </row>
    <row r="1377" spans="14:15">
      <c r="N1377" s="11"/>
      <c r="O1377" s="11"/>
    </row>
    <row r="1378" spans="14:15">
      <c r="N1378" s="11"/>
      <c r="O1378" s="11"/>
    </row>
    <row r="1379" spans="14:15">
      <c r="N1379" s="11"/>
      <c r="O1379" s="11"/>
    </row>
    <row r="1380" spans="14:15">
      <c r="N1380" s="11"/>
      <c r="O1380" s="11"/>
    </row>
    <row r="1381" spans="14:15">
      <c r="N1381" s="11"/>
      <c r="O1381" s="11"/>
    </row>
    <row r="1382" spans="14:15">
      <c r="N1382" s="11"/>
      <c r="O1382" s="11"/>
    </row>
    <row r="1383" spans="14:15">
      <c r="N1383" s="11"/>
      <c r="O1383" s="11"/>
    </row>
    <row r="1384" spans="14:15">
      <c r="N1384" s="11"/>
      <c r="O1384" s="11"/>
    </row>
    <row r="1385" spans="14:15">
      <c r="N1385" s="11"/>
      <c r="O1385" s="11"/>
    </row>
    <row r="1386" spans="14:15">
      <c r="N1386" s="11"/>
      <c r="O1386" s="11"/>
    </row>
    <row r="1387" spans="14:15">
      <c r="N1387" s="11"/>
      <c r="O1387" s="11"/>
    </row>
    <row r="1388" spans="14:15">
      <c r="N1388" s="11"/>
      <c r="O1388" s="11"/>
    </row>
    <row r="1389" spans="14:15">
      <c r="N1389" s="11"/>
      <c r="O1389" s="11"/>
    </row>
    <row r="1390" spans="14:15">
      <c r="N1390" s="11"/>
      <c r="O1390" s="11"/>
    </row>
    <row r="1391" spans="14:15">
      <c r="N1391" s="11"/>
      <c r="O1391" s="11"/>
    </row>
    <row r="1392" spans="14:15">
      <c r="N1392" s="11"/>
      <c r="O1392" s="11"/>
    </row>
    <row r="1393" spans="14:15">
      <c r="N1393" s="11"/>
      <c r="O1393" s="11"/>
    </row>
    <row r="1394" spans="14:15">
      <c r="N1394" s="11"/>
      <c r="O1394" s="11"/>
    </row>
    <row r="1395" spans="14:15">
      <c r="N1395" s="11"/>
      <c r="O1395" s="11"/>
    </row>
    <row r="1396" spans="14:15">
      <c r="N1396" s="11"/>
      <c r="O1396" s="11"/>
    </row>
    <row r="1397" spans="14:15">
      <c r="N1397" s="11"/>
      <c r="O1397" s="11"/>
    </row>
    <row r="1398" spans="14:15">
      <c r="N1398" s="11"/>
      <c r="O1398" s="11"/>
    </row>
    <row r="1399" spans="14:15">
      <c r="N1399" s="11"/>
      <c r="O1399" s="11"/>
    </row>
    <row r="1400" spans="14:15">
      <c r="N1400" s="11"/>
      <c r="O1400" s="11"/>
    </row>
    <row r="1401" spans="14:15">
      <c r="N1401" s="11"/>
      <c r="O1401" s="11"/>
    </row>
    <row r="1402" spans="14:15">
      <c r="N1402" s="11"/>
      <c r="O1402" s="11"/>
    </row>
    <row r="1403" spans="14:15">
      <c r="N1403" s="11"/>
      <c r="O1403" s="11"/>
    </row>
    <row r="1404" spans="14:15">
      <c r="N1404" s="11"/>
      <c r="O1404" s="11"/>
    </row>
    <row r="1405" spans="14:15">
      <c r="N1405" s="11"/>
      <c r="O1405" s="11"/>
    </row>
    <row r="1406" spans="14:15">
      <c r="N1406" s="11"/>
      <c r="O1406" s="11"/>
    </row>
    <row r="1407" spans="14:15">
      <c r="N1407" s="11"/>
      <c r="O1407" s="11"/>
    </row>
    <row r="1408" spans="14:15">
      <c r="N1408" s="11"/>
      <c r="O1408" s="11"/>
    </row>
    <row r="1409" spans="14:15">
      <c r="N1409" s="11"/>
      <c r="O1409" s="11"/>
    </row>
    <row r="1410" spans="14:15">
      <c r="N1410" s="11"/>
      <c r="O1410" s="11"/>
    </row>
    <row r="1411" spans="14:15">
      <c r="N1411" s="11"/>
      <c r="O1411" s="11"/>
    </row>
    <row r="1412" spans="14:15">
      <c r="N1412" s="11"/>
      <c r="O1412" s="11"/>
    </row>
    <row r="1413" spans="14:15">
      <c r="N1413" s="11"/>
      <c r="O1413" s="11"/>
    </row>
    <row r="1414" spans="14:15">
      <c r="N1414" s="11"/>
      <c r="O1414" s="11"/>
    </row>
    <row r="1415" spans="14:15">
      <c r="N1415" s="11"/>
      <c r="O1415" s="11"/>
    </row>
    <row r="1416" spans="14:15">
      <c r="N1416" s="11"/>
      <c r="O1416" s="11"/>
    </row>
    <row r="1417" spans="14:15">
      <c r="N1417" s="11"/>
      <c r="O1417" s="11"/>
    </row>
    <row r="1418" spans="14:15">
      <c r="N1418" s="11"/>
      <c r="O1418" s="11"/>
    </row>
    <row r="1419" ht="14.25" spans="6:25">
      <c r="F1419" s="25"/>
      <c r="G1419" s="25"/>
      <c r="H1419" s="25"/>
      <c r="I1419" s="25"/>
      <c r="J1419" s="25"/>
      <c r="K1419" s="25"/>
      <c r="L1419" s="25"/>
      <c r="M1419" s="25"/>
      <c r="N1419" s="25"/>
      <c r="O1419" s="25"/>
      <c r="P1419" s="25"/>
      <c r="Q1419" s="25"/>
      <c r="R1419" s="25"/>
      <c r="S1419" s="25"/>
      <c r="T1419" s="25"/>
      <c r="U1419" s="25"/>
      <c r="V1419" s="25"/>
      <c r="W1419" s="25"/>
      <c r="Y1419" s="25"/>
    </row>
  </sheetData>
  <sortState ref="A3:AA916">
    <sortCondition ref="D4"/>
  </sortState>
  <mergeCells count="1">
    <mergeCell ref="A1:AA1"/>
  </mergeCells>
  <conditionalFormatting sqref="D3:D665">
    <cfRule type="duplicateValues" dxfId="0" priority="1"/>
  </conditionalFormatting>
  <printOptions horizontalCentered="1"/>
  <pageMargins left="0.554166666666667" right="0.554166666666667" top="0.605555555555556" bottom="0.605555555555556" header="0.511805555555556" footer="0.511805555555556"/>
  <pageSetup paperSize="9" scale="87" orientation="portrait"/>
  <headerFooter/>
  <rowBreaks count="2" manualBreakCount="2">
    <brk id="62" max="16383" man="1"/>
    <brk id="122" max="16383" man="1"/>
  </rowBreaks>
  <colBreaks count="1" manualBreakCount="1">
    <brk id="27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229"/>
  <sheetViews>
    <sheetView view="pageBreakPreview" zoomScaleNormal="100" workbookViewId="0">
      <selection activeCell="AB3" sqref="AB3"/>
    </sheetView>
  </sheetViews>
  <sheetFormatPr defaultColWidth="9" defaultRowHeight="13.5"/>
  <cols>
    <col min="1" max="3" width="5.125" style="12" customWidth="1"/>
    <col min="4" max="4" width="5.375" style="145" customWidth="1"/>
    <col min="5" max="5" width="9.375" style="12" customWidth="1"/>
    <col min="6" max="6" width="7.375" style="12" customWidth="1"/>
    <col min="7" max="7" width="6.375" style="12" customWidth="1"/>
    <col min="8" max="8" width="7.375" style="12" customWidth="1"/>
    <col min="9" max="9" width="6.375" style="12" customWidth="1"/>
    <col min="10" max="10" width="7.375" style="12" customWidth="1"/>
    <col min="11" max="11" width="6.375" style="12" customWidth="1"/>
    <col min="12" max="12" width="5.375" style="12" customWidth="1"/>
    <col min="13" max="13" width="6.375" style="12" customWidth="1"/>
    <col min="14" max="14" width="5.125" style="12" customWidth="1"/>
    <col min="15" max="15" width="4.25" style="12" customWidth="1"/>
    <col min="16" max="16" width="5.125" style="12" customWidth="1"/>
    <col min="17" max="17" width="6.375" style="12" customWidth="1"/>
    <col min="18" max="18" width="5.125" style="12" customWidth="1"/>
    <col min="19" max="19" width="6.375" style="12" customWidth="1"/>
    <col min="20" max="20" width="5.125" style="12" customWidth="1"/>
    <col min="21" max="21" width="5.375" style="12" customWidth="1"/>
    <col min="22" max="22" width="5.125" style="12" customWidth="1"/>
    <col min="23" max="23" width="5.375" style="12" customWidth="1"/>
    <col min="24" max="24" width="7.375" style="146" customWidth="1"/>
    <col min="25" max="25" width="5.25" style="12" customWidth="1"/>
    <col min="26" max="26" width="7.375" style="146" customWidth="1"/>
    <col min="27" max="27" width="6.375" style="12" customWidth="1"/>
    <col min="28" max="28" width="4.375" style="12" customWidth="1"/>
    <col min="29" max="16384" width="9" style="12"/>
  </cols>
  <sheetData>
    <row r="1" ht="20.25" spans="1:27">
      <c r="A1" s="147" t="s">
        <v>1889</v>
      </c>
      <c r="B1" s="147"/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50"/>
      <c r="Y1" s="147"/>
      <c r="Z1" s="150"/>
      <c r="AA1" s="147"/>
    </row>
    <row r="2" spans="1:27">
      <c r="A2" s="148" t="s">
        <v>0</v>
      </c>
      <c r="B2" s="148" t="s">
        <v>1</v>
      </c>
      <c r="C2" s="148" t="s">
        <v>2</v>
      </c>
      <c r="D2" s="149" t="s">
        <v>3</v>
      </c>
      <c r="E2" s="149" t="s">
        <v>4</v>
      </c>
      <c r="F2" s="12" t="s">
        <v>5</v>
      </c>
      <c r="G2" s="12" t="s">
        <v>1837</v>
      </c>
      <c r="H2" s="12" t="s">
        <v>6</v>
      </c>
      <c r="I2" s="12" t="s">
        <v>1838</v>
      </c>
      <c r="J2" s="12" t="s">
        <v>7</v>
      </c>
      <c r="K2" s="12" t="s">
        <v>1839</v>
      </c>
      <c r="L2" s="12" t="s">
        <v>8</v>
      </c>
      <c r="M2" s="12" t="s">
        <v>1840</v>
      </c>
      <c r="N2" s="146" t="s">
        <v>9</v>
      </c>
      <c r="O2" s="146" t="s">
        <v>1841</v>
      </c>
      <c r="P2" s="12" t="s">
        <v>10</v>
      </c>
      <c r="Q2" s="12" t="s">
        <v>1842</v>
      </c>
      <c r="R2" s="12" t="s">
        <v>11</v>
      </c>
      <c r="S2" s="12" t="s">
        <v>1843</v>
      </c>
      <c r="T2" s="12" t="s">
        <v>12</v>
      </c>
      <c r="U2" s="12" t="s">
        <v>1844</v>
      </c>
      <c r="V2" s="12" t="s">
        <v>13</v>
      </c>
      <c r="W2" s="12" t="s">
        <v>1845</v>
      </c>
      <c r="X2" s="146" t="s">
        <v>14</v>
      </c>
      <c r="Y2" s="12" t="s">
        <v>1846</v>
      </c>
      <c r="Z2" s="146" t="s">
        <v>15</v>
      </c>
      <c r="AA2" s="12" t="s">
        <v>1847</v>
      </c>
    </row>
    <row r="3" ht="14.25" spans="1:28">
      <c r="A3" s="13">
        <v>423</v>
      </c>
      <c r="B3" s="15">
        <v>9</v>
      </c>
      <c r="C3" s="16">
        <v>39</v>
      </c>
      <c r="D3" s="17" t="s">
        <v>856</v>
      </c>
      <c r="E3" s="17" t="s">
        <v>857</v>
      </c>
      <c r="F3" s="17">
        <v>116</v>
      </c>
      <c r="G3" s="17">
        <v>48</v>
      </c>
      <c r="H3" s="17">
        <v>135.5</v>
      </c>
      <c r="I3" s="17">
        <v>35</v>
      </c>
      <c r="J3" s="17">
        <v>121.5</v>
      </c>
      <c r="K3" s="17">
        <v>410</v>
      </c>
      <c r="L3" s="17">
        <v>83.5</v>
      </c>
      <c r="M3" s="17">
        <v>55</v>
      </c>
      <c r="N3" s="17"/>
      <c r="O3" s="17"/>
      <c r="P3" s="17">
        <v>92</v>
      </c>
      <c r="Q3" s="17">
        <v>36</v>
      </c>
      <c r="R3" s="17">
        <v>93</v>
      </c>
      <c r="S3" s="17">
        <v>50</v>
      </c>
      <c r="T3" s="17"/>
      <c r="U3" s="17"/>
      <c r="V3" s="17"/>
      <c r="W3" s="17"/>
      <c r="X3" s="15">
        <v>373</v>
      </c>
      <c r="Y3" s="17">
        <v>1</v>
      </c>
      <c r="Z3" s="17">
        <v>641.5</v>
      </c>
      <c r="AA3" s="17">
        <v>12</v>
      </c>
      <c r="AB3" s="12">
        <f t="shared" ref="AB3:AB66" si="0">RANK(Z3,$Z$3:$Z$696)</f>
        <v>1</v>
      </c>
    </row>
    <row r="4" ht="14.25" spans="1:28">
      <c r="A4" s="13">
        <v>416</v>
      </c>
      <c r="B4" s="15">
        <v>9</v>
      </c>
      <c r="C4" s="16">
        <v>32</v>
      </c>
      <c r="D4" s="17" t="s">
        <v>842</v>
      </c>
      <c r="E4" s="17" t="s">
        <v>843</v>
      </c>
      <c r="F4" s="17">
        <v>105.5</v>
      </c>
      <c r="G4" s="17">
        <v>1281</v>
      </c>
      <c r="H4" s="17">
        <v>130</v>
      </c>
      <c r="I4" s="17">
        <v>136</v>
      </c>
      <c r="J4" s="17">
        <v>121.5</v>
      </c>
      <c r="K4" s="17">
        <v>410</v>
      </c>
      <c r="L4" s="17">
        <v>85</v>
      </c>
      <c r="M4" s="17">
        <v>27</v>
      </c>
      <c r="N4" s="17"/>
      <c r="O4" s="17"/>
      <c r="P4" s="17">
        <v>91</v>
      </c>
      <c r="Q4" s="17">
        <v>69</v>
      </c>
      <c r="R4" s="17">
        <v>93</v>
      </c>
      <c r="S4" s="17">
        <v>50</v>
      </c>
      <c r="T4" s="17"/>
      <c r="U4" s="17"/>
      <c r="V4" s="17"/>
      <c r="W4" s="17"/>
      <c r="X4" s="15">
        <v>357</v>
      </c>
      <c r="Y4" s="17">
        <v>5</v>
      </c>
      <c r="Z4" s="17">
        <v>626</v>
      </c>
      <c r="AA4" s="17">
        <v>50</v>
      </c>
      <c r="AB4" s="12">
        <f t="shared" si="0"/>
        <v>2</v>
      </c>
    </row>
    <row r="5" ht="14.25" spans="1:28">
      <c r="A5" s="13">
        <v>399</v>
      </c>
      <c r="B5" s="15">
        <v>9</v>
      </c>
      <c r="C5" s="16">
        <v>14</v>
      </c>
      <c r="D5" s="17" t="s">
        <v>808</v>
      </c>
      <c r="E5" s="17" t="s">
        <v>809</v>
      </c>
      <c r="F5" s="17">
        <v>116</v>
      </c>
      <c r="G5" s="17">
        <v>48</v>
      </c>
      <c r="H5" s="17">
        <v>123.5</v>
      </c>
      <c r="I5" s="17">
        <v>452</v>
      </c>
      <c r="J5" s="17">
        <v>117.75</v>
      </c>
      <c r="K5" s="17">
        <v>667</v>
      </c>
      <c r="L5" s="17">
        <v>84</v>
      </c>
      <c r="M5" s="17">
        <v>45</v>
      </c>
      <c r="N5" s="17"/>
      <c r="O5" s="17"/>
      <c r="P5" s="17">
        <v>90</v>
      </c>
      <c r="Q5" s="17">
        <v>119</v>
      </c>
      <c r="R5" s="17">
        <v>92</v>
      </c>
      <c r="S5" s="17">
        <v>98</v>
      </c>
      <c r="T5" s="17"/>
      <c r="U5" s="17"/>
      <c r="V5" s="17"/>
      <c r="W5" s="17"/>
      <c r="X5" s="15">
        <v>357.25</v>
      </c>
      <c r="Y5" s="17">
        <v>4</v>
      </c>
      <c r="Z5" s="17">
        <v>623.25</v>
      </c>
      <c r="AA5" s="17">
        <v>67</v>
      </c>
      <c r="AB5" s="12">
        <f t="shared" si="0"/>
        <v>3</v>
      </c>
    </row>
    <row r="6" ht="14.25" spans="1:28">
      <c r="A6" s="13">
        <v>409</v>
      </c>
      <c r="B6" s="15">
        <v>9</v>
      </c>
      <c r="C6" s="16">
        <v>24</v>
      </c>
      <c r="D6" s="17" t="s">
        <v>828</v>
      </c>
      <c r="E6" s="17" t="s">
        <v>829</v>
      </c>
      <c r="F6" s="17">
        <v>103</v>
      </c>
      <c r="G6" s="17">
        <v>2094</v>
      </c>
      <c r="H6" s="17">
        <v>132</v>
      </c>
      <c r="I6" s="17">
        <v>93</v>
      </c>
      <c r="J6" s="17">
        <v>122</v>
      </c>
      <c r="K6" s="17">
        <v>371</v>
      </c>
      <c r="L6" s="17">
        <v>80</v>
      </c>
      <c r="M6" s="17">
        <v>151</v>
      </c>
      <c r="N6" s="17"/>
      <c r="O6" s="17"/>
      <c r="P6" s="17">
        <v>94</v>
      </c>
      <c r="Q6" s="17">
        <v>10</v>
      </c>
      <c r="R6" s="17">
        <v>89</v>
      </c>
      <c r="S6" s="17">
        <v>415</v>
      </c>
      <c r="T6" s="17"/>
      <c r="U6" s="17"/>
      <c r="V6" s="17"/>
      <c r="W6" s="17"/>
      <c r="X6" s="15">
        <v>357</v>
      </c>
      <c r="Y6" s="17">
        <v>5</v>
      </c>
      <c r="Z6" s="17">
        <v>620</v>
      </c>
      <c r="AA6" s="17">
        <v>87</v>
      </c>
      <c r="AB6" s="12">
        <f t="shared" si="0"/>
        <v>4</v>
      </c>
    </row>
    <row r="7" ht="14.25" spans="1:28">
      <c r="A7" s="13">
        <v>393</v>
      </c>
      <c r="B7" s="15">
        <v>9</v>
      </c>
      <c r="C7" s="16">
        <v>8</v>
      </c>
      <c r="D7" s="17" t="s">
        <v>796</v>
      </c>
      <c r="E7" s="17" t="s">
        <v>797</v>
      </c>
      <c r="F7" s="17">
        <v>101.5</v>
      </c>
      <c r="G7" s="17">
        <v>2674</v>
      </c>
      <c r="H7" s="17">
        <v>130.5</v>
      </c>
      <c r="I7" s="17">
        <v>122</v>
      </c>
      <c r="J7" s="17">
        <v>124</v>
      </c>
      <c r="K7" s="17">
        <v>269</v>
      </c>
      <c r="L7" s="17">
        <v>76</v>
      </c>
      <c r="M7" s="17">
        <v>367</v>
      </c>
      <c r="N7" s="17"/>
      <c r="O7" s="17"/>
      <c r="P7" s="17">
        <v>89</v>
      </c>
      <c r="Q7" s="17">
        <v>222</v>
      </c>
      <c r="R7" s="17">
        <v>91</v>
      </c>
      <c r="S7" s="17">
        <v>151</v>
      </c>
      <c r="T7" s="17"/>
      <c r="U7" s="17"/>
      <c r="V7" s="17"/>
      <c r="W7" s="17"/>
      <c r="X7" s="15">
        <v>356</v>
      </c>
      <c r="Y7" s="17">
        <v>7</v>
      </c>
      <c r="Z7" s="17">
        <v>612</v>
      </c>
      <c r="AA7" s="17">
        <v>120</v>
      </c>
      <c r="AB7" s="12">
        <f t="shared" si="0"/>
        <v>5</v>
      </c>
    </row>
    <row r="8" ht="14.25" spans="1:28">
      <c r="A8" s="13">
        <v>493</v>
      </c>
      <c r="B8" s="15">
        <v>10</v>
      </c>
      <c r="C8" s="16">
        <v>54</v>
      </c>
      <c r="D8" s="17" t="s">
        <v>996</v>
      </c>
      <c r="E8" s="17" t="s">
        <v>997</v>
      </c>
      <c r="F8" s="17">
        <v>108.5</v>
      </c>
      <c r="G8" s="17">
        <v>650</v>
      </c>
      <c r="H8" s="17">
        <v>121.5</v>
      </c>
      <c r="I8" s="17">
        <v>581</v>
      </c>
      <c r="J8" s="17">
        <v>121.75</v>
      </c>
      <c r="K8" s="17">
        <v>398</v>
      </c>
      <c r="L8" s="17">
        <v>84.5</v>
      </c>
      <c r="M8" s="17">
        <v>36</v>
      </c>
      <c r="N8" s="17"/>
      <c r="O8" s="17"/>
      <c r="P8" s="17">
        <v>88</v>
      </c>
      <c r="Q8" s="17">
        <v>397</v>
      </c>
      <c r="R8" s="17">
        <v>87</v>
      </c>
      <c r="S8" s="17">
        <v>883</v>
      </c>
      <c r="T8" s="17"/>
      <c r="U8" s="17"/>
      <c r="V8" s="17"/>
      <c r="W8" s="17"/>
      <c r="X8" s="15">
        <v>351.75</v>
      </c>
      <c r="Y8" s="17">
        <v>10</v>
      </c>
      <c r="Z8" s="17">
        <v>611.25</v>
      </c>
      <c r="AA8" s="17">
        <v>126</v>
      </c>
      <c r="AB8" s="12">
        <f t="shared" si="0"/>
        <v>6</v>
      </c>
    </row>
    <row r="9" ht="14.25" spans="1:28">
      <c r="A9" s="13">
        <v>403</v>
      </c>
      <c r="B9" s="15">
        <v>9</v>
      </c>
      <c r="C9" s="16">
        <v>18</v>
      </c>
      <c r="D9" s="17" t="s">
        <v>816</v>
      </c>
      <c r="E9" s="17" t="s">
        <v>817</v>
      </c>
      <c r="F9" s="17">
        <v>104</v>
      </c>
      <c r="G9" s="17">
        <v>1709</v>
      </c>
      <c r="H9" s="17">
        <v>132</v>
      </c>
      <c r="I9" s="17">
        <v>93</v>
      </c>
      <c r="J9" s="17">
        <v>118</v>
      </c>
      <c r="K9" s="17">
        <v>642</v>
      </c>
      <c r="L9" s="17">
        <v>80.5</v>
      </c>
      <c r="M9" s="17">
        <v>137</v>
      </c>
      <c r="N9" s="17"/>
      <c r="O9" s="17"/>
      <c r="P9" s="17">
        <v>87</v>
      </c>
      <c r="Q9" s="17">
        <v>681</v>
      </c>
      <c r="R9" s="17">
        <v>89</v>
      </c>
      <c r="S9" s="17">
        <v>415</v>
      </c>
      <c r="T9" s="17"/>
      <c r="U9" s="17"/>
      <c r="V9" s="17"/>
      <c r="W9" s="17"/>
      <c r="X9" s="15">
        <v>354</v>
      </c>
      <c r="Y9" s="17">
        <v>9</v>
      </c>
      <c r="Z9" s="17">
        <v>610.5</v>
      </c>
      <c r="AA9" s="17">
        <v>134</v>
      </c>
      <c r="AB9" s="12">
        <f t="shared" si="0"/>
        <v>7</v>
      </c>
    </row>
    <row r="10" ht="14.25" spans="1:28">
      <c r="A10" s="13">
        <v>495</v>
      </c>
      <c r="B10" s="15">
        <v>10</v>
      </c>
      <c r="C10" s="16">
        <v>56</v>
      </c>
      <c r="D10" s="17" t="s">
        <v>1000</v>
      </c>
      <c r="E10" s="17" t="s">
        <v>1001</v>
      </c>
      <c r="F10" s="17">
        <v>99</v>
      </c>
      <c r="G10" s="17">
        <v>3868</v>
      </c>
      <c r="H10" s="17">
        <v>136</v>
      </c>
      <c r="I10" s="17">
        <v>30</v>
      </c>
      <c r="J10" s="17">
        <v>107</v>
      </c>
      <c r="K10" s="17">
        <v>1871</v>
      </c>
      <c r="L10" s="17">
        <v>89</v>
      </c>
      <c r="M10" s="17">
        <v>10</v>
      </c>
      <c r="N10" s="17"/>
      <c r="O10" s="17"/>
      <c r="P10" s="17">
        <v>89</v>
      </c>
      <c r="Q10" s="17">
        <v>222</v>
      </c>
      <c r="R10" s="17">
        <v>87</v>
      </c>
      <c r="S10" s="17">
        <v>883</v>
      </c>
      <c r="T10" s="17"/>
      <c r="U10" s="17"/>
      <c r="V10" s="17"/>
      <c r="W10" s="17"/>
      <c r="X10" s="15">
        <v>342</v>
      </c>
      <c r="Y10" s="17">
        <v>25</v>
      </c>
      <c r="Z10" s="17">
        <v>607</v>
      </c>
      <c r="AA10" s="17">
        <v>160</v>
      </c>
      <c r="AB10" s="12">
        <f t="shared" si="0"/>
        <v>8</v>
      </c>
    </row>
    <row r="11" ht="14.25" spans="1:28">
      <c r="A11" s="13">
        <v>430</v>
      </c>
      <c r="B11" s="15">
        <v>9</v>
      </c>
      <c r="C11" s="16">
        <v>46</v>
      </c>
      <c r="D11" s="17" t="s">
        <v>870</v>
      </c>
      <c r="E11" s="17" t="s">
        <v>871</v>
      </c>
      <c r="F11" s="17">
        <v>110.25</v>
      </c>
      <c r="G11" s="17">
        <v>422</v>
      </c>
      <c r="H11" s="17">
        <v>134.5</v>
      </c>
      <c r="I11" s="17">
        <v>52</v>
      </c>
      <c r="J11" s="17">
        <v>114</v>
      </c>
      <c r="K11" s="17">
        <v>991</v>
      </c>
      <c r="L11" s="17">
        <v>76</v>
      </c>
      <c r="M11" s="17">
        <v>367</v>
      </c>
      <c r="N11" s="17"/>
      <c r="O11" s="17"/>
      <c r="P11" s="17">
        <v>77</v>
      </c>
      <c r="Q11" s="17">
        <v>3207</v>
      </c>
      <c r="R11" s="17">
        <v>95</v>
      </c>
      <c r="S11" s="17">
        <v>10</v>
      </c>
      <c r="T11" s="17"/>
      <c r="U11" s="17"/>
      <c r="V11" s="17"/>
      <c r="W11" s="17"/>
      <c r="X11" s="15">
        <v>358.75</v>
      </c>
      <c r="Y11" s="17">
        <v>3</v>
      </c>
      <c r="Z11" s="17">
        <v>606.75</v>
      </c>
      <c r="AA11" s="17">
        <v>166</v>
      </c>
      <c r="AB11" s="12">
        <f t="shared" si="0"/>
        <v>9</v>
      </c>
    </row>
    <row r="12" ht="14.25" spans="1:28">
      <c r="A12" s="13">
        <v>435</v>
      </c>
      <c r="B12" s="15">
        <v>9</v>
      </c>
      <c r="C12" s="16">
        <v>51</v>
      </c>
      <c r="D12" s="19" t="s">
        <v>880</v>
      </c>
      <c r="E12" s="17" t="s">
        <v>881</v>
      </c>
      <c r="F12" s="17">
        <v>106.25</v>
      </c>
      <c r="G12" s="17">
        <v>1151</v>
      </c>
      <c r="H12" s="17">
        <v>129.5</v>
      </c>
      <c r="I12" s="17">
        <v>151</v>
      </c>
      <c r="J12" s="17">
        <v>118.75</v>
      </c>
      <c r="K12" s="17">
        <v>599</v>
      </c>
      <c r="L12" s="17">
        <v>74.5</v>
      </c>
      <c r="M12" s="17">
        <v>487</v>
      </c>
      <c r="N12" s="17"/>
      <c r="O12" s="17"/>
      <c r="P12" s="17">
        <v>89</v>
      </c>
      <c r="Q12" s="17">
        <v>222</v>
      </c>
      <c r="R12" s="17">
        <v>87</v>
      </c>
      <c r="S12" s="17">
        <v>883</v>
      </c>
      <c r="T12" s="17"/>
      <c r="U12" s="17"/>
      <c r="V12" s="17"/>
      <c r="W12" s="17"/>
      <c r="X12" s="15">
        <v>354.5</v>
      </c>
      <c r="Y12" s="17">
        <v>8</v>
      </c>
      <c r="Z12" s="17">
        <v>605</v>
      </c>
      <c r="AA12" s="17">
        <v>180</v>
      </c>
      <c r="AB12" s="12">
        <f t="shared" si="0"/>
        <v>10</v>
      </c>
    </row>
    <row r="13" ht="14.25" spans="1:28">
      <c r="A13" s="13">
        <v>437</v>
      </c>
      <c r="B13" s="15">
        <v>9</v>
      </c>
      <c r="C13" s="16">
        <v>53</v>
      </c>
      <c r="D13" s="17" t="s">
        <v>884</v>
      </c>
      <c r="E13" s="17" t="s">
        <v>885</v>
      </c>
      <c r="F13" s="17">
        <v>105.5</v>
      </c>
      <c r="G13" s="17">
        <v>1281</v>
      </c>
      <c r="H13" s="17">
        <v>128</v>
      </c>
      <c r="I13" s="17">
        <v>207</v>
      </c>
      <c r="J13" s="17">
        <v>115.5</v>
      </c>
      <c r="K13" s="17">
        <v>849</v>
      </c>
      <c r="L13" s="17">
        <v>71.5</v>
      </c>
      <c r="M13" s="17">
        <v>714</v>
      </c>
      <c r="N13" s="17"/>
      <c r="O13" s="17"/>
      <c r="P13" s="17">
        <v>88</v>
      </c>
      <c r="Q13" s="17">
        <v>397</v>
      </c>
      <c r="R13" s="17">
        <v>94</v>
      </c>
      <c r="S13" s="17">
        <v>24</v>
      </c>
      <c r="T13" s="17"/>
      <c r="U13" s="17"/>
      <c r="V13" s="17"/>
      <c r="W13" s="17"/>
      <c r="X13" s="15">
        <v>349</v>
      </c>
      <c r="Y13" s="17">
        <v>13</v>
      </c>
      <c r="Z13" s="17">
        <v>602.5</v>
      </c>
      <c r="AA13" s="17">
        <v>206</v>
      </c>
      <c r="AB13" s="12">
        <f t="shared" si="0"/>
        <v>11</v>
      </c>
    </row>
    <row r="14" ht="14.25" spans="1:28">
      <c r="A14" s="13">
        <v>402</v>
      </c>
      <c r="B14" s="15">
        <v>9</v>
      </c>
      <c r="C14" s="16">
        <v>17</v>
      </c>
      <c r="D14" s="17" t="s">
        <v>814</v>
      </c>
      <c r="E14" s="17" t="s">
        <v>815</v>
      </c>
      <c r="F14" s="17">
        <v>107</v>
      </c>
      <c r="G14" s="17">
        <v>945</v>
      </c>
      <c r="H14" s="17">
        <v>137</v>
      </c>
      <c r="I14" s="17">
        <v>23</v>
      </c>
      <c r="J14" s="17">
        <v>102</v>
      </c>
      <c r="K14" s="17">
        <v>2685</v>
      </c>
      <c r="L14" s="17">
        <v>77</v>
      </c>
      <c r="M14" s="17">
        <v>299</v>
      </c>
      <c r="N14" s="17"/>
      <c r="O14" s="17"/>
      <c r="P14" s="17">
        <v>92</v>
      </c>
      <c r="Q14" s="17">
        <v>36</v>
      </c>
      <c r="R14" s="17">
        <v>87</v>
      </c>
      <c r="S14" s="17">
        <v>883</v>
      </c>
      <c r="T14" s="17"/>
      <c r="U14" s="17"/>
      <c r="V14" s="17"/>
      <c r="W14" s="17"/>
      <c r="X14" s="15">
        <v>346</v>
      </c>
      <c r="Y14" s="17">
        <v>17</v>
      </c>
      <c r="Z14" s="17">
        <v>602</v>
      </c>
      <c r="AA14" s="17">
        <v>209</v>
      </c>
      <c r="AB14" s="12">
        <f t="shared" si="0"/>
        <v>12</v>
      </c>
    </row>
    <row r="15" ht="14.25" spans="1:28">
      <c r="A15" s="13">
        <v>492</v>
      </c>
      <c r="B15" s="15">
        <v>10</v>
      </c>
      <c r="C15" s="16">
        <v>53</v>
      </c>
      <c r="D15" s="17" t="s">
        <v>994</v>
      </c>
      <c r="E15" s="17" t="s">
        <v>995</v>
      </c>
      <c r="F15" s="17">
        <v>102.5</v>
      </c>
      <c r="G15" s="17">
        <v>2274</v>
      </c>
      <c r="H15" s="17">
        <v>116.5</v>
      </c>
      <c r="I15" s="17">
        <v>1035</v>
      </c>
      <c r="J15" s="17">
        <v>114.75</v>
      </c>
      <c r="K15" s="17">
        <v>938</v>
      </c>
      <c r="L15" s="17">
        <v>83</v>
      </c>
      <c r="M15" s="17">
        <v>65</v>
      </c>
      <c r="N15" s="17"/>
      <c r="O15" s="17"/>
      <c r="P15" s="17">
        <v>88</v>
      </c>
      <c r="Q15" s="17">
        <v>397</v>
      </c>
      <c r="R15" s="17">
        <v>93</v>
      </c>
      <c r="S15" s="17">
        <v>50</v>
      </c>
      <c r="T15" s="17"/>
      <c r="U15" s="17"/>
      <c r="V15" s="17"/>
      <c r="W15" s="17"/>
      <c r="X15" s="15">
        <v>333.75</v>
      </c>
      <c r="Y15" s="17">
        <v>54</v>
      </c>
      <c r="Z15" s="17">
        <v>597.75</v>
      </c>
      <c r="AA15" s="17">
        <v>253</v>
      </c>
      <c r="AB15" s="12">
        <f t="shared" si="0"/>
        <v>13</v>
      </c>
    </row>
    <row r="16" ht="14.25" spans="1:28">
      <c r="A16" s="13">
        <v>418</v>
      </c>
      <c r="B16" s="15">
        <v>9</v>
      </c>
      <c r="C16" s="16">
        <v>34</v>
      </c>
      <c r="D16" s="17" t="s">
        <v>846</v>
      </c>
      <c r="E16" s="17" t="s">
        <v>847</v>
      </c>
      <c r="F16" s="17">
        <v>113.5</v>
      </c>
      <c r="G16" s="17">
        <v>139</v>
      </c>
      <c r="H16" s="17">
        <v>112</v>
      </c>
      <c r="I16" s="17">
        <v>1617</v>
      </c>
      <c r="J16" s="17">
        <v>138.75</v>
      </c>
      <c r="K16" s="17">
        <v>3</v>
      </c>
      <c r="L16" s="17">
        <v>66</v>
      </c>
      <c r="M16" s="17">
        <v>1304</v>
      </c>
      <c r="N16" s="17"/>
      <c r="O16" s="17"/>
      <c r="P16" s="17">
        <v>76</v>
      </c>
      <c r="Q16" s="17">
        <v>3515</v>
      </c>
      <c r="R16" s="17">
        <v>89</v>
      </c>
      <c r="S16" s="17">
        <v>415</v>
      </c>
      <c r="T16" s="17"/>
      <c r="U16" s="17"/>
      <c r="V16" s="17"/>
      <c r="W16" s="17"/>
      <c r="X16" s="15">
        <v>364.25</v>
      </c>
      <c r="Y16" s="17">
        <v>2</v>
      </c>
      <c r="Z16" s="17">
        <v>595.25</v>
      </c>
      <c r="AA16" s="17">
        <v>278</v>
      </c>
      <c r="AB16" s="12">
        <f t="shared" si="0"/>
        <v>14</v>
      </c>
    </row>
    <row r="17" ht="14.25" spans="1:28">
      <c r="A17" s="13">
        <v>422</v>
      </c>
      <c r="B17" s="15">
        <v>9</v>
      </c>
      <c r="C17" s="16">
        <v>38</v>
      </c>
      <c r="D17" s="17" t="s">
        <v>854</v>
      </c>
      <c r="E17" s="17" t="s">
        <v>855</v>
      </c>
      <c r="F17" s="17">
        <v>102</v>
      </c>
      <c r="G17" s="17">
        <v>2480</v>
      </c>
      <c r="H17" s="17">
        <v>125</v>
      </c>
      <c r="I17" s="17">
        <v>360</v>
      </c>
      <c r="J17" s="17">
        <v>121.25</v>
      </c>
      <c r="K17" s="17">
        <v>434</v>
      </c>
      <c r="L17" s="17">
        <v>82.5</v>
      </c>
      <c r="M17" s="17">
        <v>75</v>
      </c>
      <c r="N17" s="17"/>
      <c r="O17" s="17"/>
      <c r="P17" s="17">
        <v>80</v>
      </c>
      <c r="Q17" s="17">
        <v>2333</v>
      </c>
      <c r="R17" s="17">
        <v>84</v>
      </c>
      <c r="S17" s="17">
        <v>1490</v>
      </c>
      <c r="T17" s="17"/>
      <c r="U17" s="17"/>
      <c r="V17" s="17"/>
      <c r="W17" s="17"/>
      <c r="X17" s="15">
        <v>348.25</v>
      </c>
      <c r="Y17" s="17">
        <v>15</v>
      </c>
      <c r="Z17" s="17">
        <v>594.75</v>
      </c>
      <c r="AA17" s="17">
        <v>285</v>
      </c>
      <c r="AB17" s="12">
        <f t="shared" si="0"/>
        <v>15</v>
      </c>
    </row>
    <row r="18" ht="14.25" spans="1:28">
      <c r="A18" s="13">
        <v>388</v>
      </c>
      <c r="B18" s="15">
        <v>9</v>
      </c>
      <c r="C18" s="16">
        <v>3</v>
      </c>
      <c r="D18" s="17" t="s">
        <v>786</v>
      </c>
      <c r="E18" s="17" t="s">
        <v>787</v>
      </c>
      <c r="F18" s="17">
        <v>110.5</v>
      </c>
      <c r="G18" s="17">
        <v>372</v>
      </c>
      <c r="H18" s="17">
        <v>112</v>
      </c>
      <c r="I18" s="17">
        <v>1617</v>
      </c>
      <c r="J18" s="17">
        <v>127.5</v>
      </c>
      <c r="K18" s="17">
        <v>142</v>
      </c>
      <c r="L18" s="17">
        <v>70.5</v>
      </c>
      <c r="M18" s="17">
        <v>821</v>
      </c>
      <c r="N18" s="17"/>
      <c r="O18" s="17"/>
      <c r="P18" s="17">
        <v>86</v>
      </c>
      <c r="Q18" s="17">
        <v>1052</v>
      </c>
      <c r="R18" s="17">
        <v>88</v>
      </c>
      <c r="S18" s="17">
        <v>601</v>
      </c>
      <c r="T18" s="17"/>
      <c r="U18" s="17"/>
      <c r="V18" s="17"/>
      <c r="W18" s="17"/>
      <c r="X18" s="15">
        <v>350</v>
      </c>
      <c r="Y18" s="17">
        <v>11</v>
      </c>
      <c r="Z18" s="17">
        <v>594.5</v>
      </c>
      <c r="AA18" s="17">
        <v>287</v>
      </c>
      <c r="AB18" s="12">
        <f t="shared" si="0"/>
        <v>16</v>
      </c>
    </row>
    <row r="19" ht="14.25" spans="1:28">
      <c r="A19" s="13">
        <v>398</v>
      </c>
      <c r="B19" s="15">
        <v>9</v>
      </c>
      <c r="C19" s="16">
        <v>13</v>
      </c>
      <c r="D19" s="17" t="s">
        <v>806</v>
      </c>
      <c r="E19" s="17" t="s">
        <v>807</v>
      </c>
      <c r="F19" s="17">
        <v>108</v>
      </c>
      <c r="G19" s="17">
        <v>736</v>
      </c>
      <c r="H19" s="17">
        <v>118.5</v>
      </c>
      <c r="I19" s="17">
        <v>833</v>
      </c>
      <c r="J19" s="17">
        <v>122.5</v>
      </c>
      <c r="K19" s="17">
        <v>340</v>
      </c>
      <c r="L19" s="17">
        <v>76.5</v>
      </c>
      <c r="M19" s="17">
        <v>333</v>
      </c>
      <c r="N19" s="17"/>
      <c r="O19" s="17"/>
      <c r="P19" s="17">
        <v>84</v>
      </c>
      <c r="Q19" s="17">
        <v>1443</v>
      </c>
      <c r="R19" s="17">
        <v>84</v>
      </c>
      <c r="S19" s="17">
        <v>1490</v>
      </c>
      <c r="T19" s="17"/>
      <c r="U19" s="17"/>
      <c r="V19" s="17"/>
      <c r="W19" s="17"/>
      <c r="X19" s="15">
        <v>349</v>
      </c>
      <c r="Y19" s="17">
        <v>13</v>
      </c>
      <c r="Z19" s="17">
        <v>593.5</v>
      </c>
      <c r="AA19" s="17">
        <v>300</v>
      </c>
      <c r="AB19" s="12">
        <f t="shared" si="0"/>
        <v>17</v>
      </c>
    </row>
    <row r="20" ht="14.25" spans="1:28">
      <c r="A20" s="13">
        <v>410</v>
      </c>
      <c r="B20" s="15">
        <v>9</v>
      </c>
      <c r="C20" s="16">
        <v>26</v>
      </c>
      <c r="D20" s="17" t="s">
        <v>830</v>
      </c>
      <c r="E20" s="17" t="s">
        <v>831</v>
      </c>
      <c r="F20" s="17">
        <v>108.5</v>
      </c>
      <c r="G20" s="17">
        <v>650</v>
      </c>
      <c r="H20" s="17">
        <v>130</v>
      </c>
      <c r="I20" s="17">
        <v>136</v>
      </c>
      <c r="J20" s="17">
        <v>107.5</v>
      </c>
      <c r="K20" s="17">
        <v>1810</v>
      </c>
      <c r="L20" s="17">
        <v>69.5</v>
      </c>
      <c r="M20" s="17">
        <v>899</v>
      </c>
      <c r="N20" s="17"/>
      <c r="O20" s="17"/>
      <c r="P20" s="17">
        <v>88</v>
      </c>
      <c r="Q20" s="17">
        <v>397</v>
      </c>
      <c r="R20" s="17">
        <v>89</v>
      </c>
      <c r="S20" s="17">
        <v>415</v>
      </c>
      <c r="T20" s="17"/>
      <c r="U20" s="17"/>
      <c r="V20" s="17"/>
      <c r="W20" s="17"/>
      <c r="X20" s="15">
        <v>346</v>
      </c>
      <c r="Y20" s="17">
        <v>17</v>
      </c>
      <c r="Z20" s="17">
        <v>592.5</v>
      </c>
      <c r="AA20" s="17">
        <v>316</v>
      </c>
      <c r="AB20" s="12">
        <f t="shared" si="0"/>
        <v>18</v>
      </c>
    </row>
    <row r="21" ht="14.25" spans="1:28">
      <c r="A21" s="13">
        <v>400</v>
      </c>
      <c r="B21" s="15">
        <v>9</v>
      </c>
      <c r="C21" s="16">
        <v>15</v>
      </c>
      <c r="D21" s="17" t="s">
        <v>810</v>
      </c>
      <c r="E21" s="17" t="s">
        <v>811</v>
      </c>
      <c r="F21" s="17">
        <v>99</v>
      </c>
      <c r="G21" s="17">
        <v>3868</v>
      </c>
      <c r="H21" s="17">
        <v>124.5</v>
      </c>
      <c r="I21" s="17">
        <v>386</v>
      </c>
      <c r="J21" s="17">
        <v>118.75</v>
      </c>
      <c r="K21" s="17">
        <v>599</v>
      </c>
      <c r="L21" s="17">
        <v>71.5</v>
      </c>
      <c r="M21" s="17">
        <v>714</v>
      </c>
      <c r="N21" s="17"/>
      <c r="O21" s="17"/>
      <c r="P21" s="17">
        <v>89</v>
      </c>
      <c r="Q21" s="17">
        <v>222</v>
      </c>
      <c r="R21" s="17">
        <v>88</v>
      </c>
      <c r="S21" s="17">
        <v>601</v>
      </c>
      <c r="T21" s="17"/>
      <c r="U21" s="17"/>
      <c r="V21" s="17"/>
      <c r="W21" s="17"/>
      <c r="X21" s="15">
        <v>342.25</v>
      </c>
      <c r="Y21" s="17">
        <v>24</v>
      </c>
      <c r="Z21" s="17">
        <v>590.75</v>
      </c>
      <c r="AA21" s="17">
        <v>340</v>
      </c>
      <c r="AB21" s="12">
        <f t="shared" si="0"/>
        <v>19</v>
      </c>
    </row>
    <row r="22" ht="14.25" spans="1:28">
      <c r="A22" s="13">
        <v>408</v>
      </c>
      <c r="B22" s="15">
        <v>9</v>
      </c>
      <c r="C22" s="16">
        <v>23</v>
      </c>
      <c r="D22" s="17" t="s">
        <v>826</v>
      </c>
      <c r="E22" s="17" t="s">
        <v>827</v>
      </c>
      <c r="F22" s="17">
        <v>103.25</v>
      </c>
      <c r="G22" s="17">
        <v>2074</v>
      </c>
      <c r="H22" s="17">
        <v>123.5</v>
      </c>
      <c r="I22" s="17">
        <v>452</v>
      </c>
      <c r="J22" s="17">
        <v>111.75</v>
      </c>
      <c r="K22" s="17">
        <v>1270</v>
      </c>
      <c r="L22" s="17">
        <v>77.5</v>
      </c>
      <c r="M22" s="17">
        <v>279</v>
      </c>
      <c r="N22" s="17"/>
      <c r="O22" s="17"/>
      <c r="P22" s="17">
        <v>86</v>
      </c>
      <c r="Q22" s="17">
        <v>1052</v>
      </c>
      <c r="R22" s="17">
        <v>88</v>
      </c>
      <c r="S22" s="17">
        <v>601</v>
      </c>
      <c r="T22" s="17"/>
      <c r="U22" s="17"/>
      <c r="V22" s="17"/>
      <c r="W22" s="17"/>
      <c r="X22" s="15">
        <v>338.5</v>
      </c>
      <c r="Y22" s="17">
        <v>31</v>
      </c>
      <c r="Z22" s="17">
        <v>590</v>
      </c>
      <c r="AA22" s="17">
        <v>348</v>
      </c>
      <c r="AB22" s="12">
        <f t="shared" si="0"/>
        <v>20</v>
      </c>
    </row>
    <row r="23" ht="14.25" spans="1:28">
      <c r="A23" s="13">
        <v>375</v>
      </c>
      <c r="B23" s="15">
        <v>8</v>
      </c>
      <c r="C23" s="16">
        <v>49</v>
      </c>
      <c r="D23" s="17" t="s">
        <v>760</v>
      </c>
      <c r="E23" s="17" t="s">
        <v>761</v>
      </c>
      <c r="F23" s="17">
        <v>108.5</v>
      </c>
      <c r="G23" s="17">
        <v>650</v>
      </c>
      <c r="H23" s="17">
        <v>120</v>
      </c>
      <c r="I23" s="17">
        <v>708</v>
      </c>
      <c r="J23" s="17">
        <v>115.5</v>
      </c>
      <c r="K23" s="17">
        <v>849</v>
      </c>
      <c r="L23" s="17">
        <v>66.5</v>
      </c>
      <c r="M23" s="17">
        <v>1237</v>
      </c>
      <c r="N23" s="17"/>
      <c r="O23" s="17"/>
      <c r="P23" s="17">
        <v>89</v>
      </c>
      <c r="Q23" s="17">
        <v>222</v>
      </c>
      <c r="R23" s="17">
        <v>88</v>
      </c>
      <c r="S23" s="17">
        <v>601</v>
      </c>
      <c r="T23" s="17"/>
      <c r="U23" s="17"/>
      <c r="V23" s="17"/>
      <c r="W23" s="17"/>
      <c r="X23" s="15">
        <v>344</v>
      </c>
      <c r="Y23" s="17">
        <v>20</v>
      </c>
      <c r="Z23" s="17">
        <v>587.5</v>
      </c>
      <c r="AA23" s="17">
        <v>384</v>
      </c>
      <c r="AB23" s="12">
        <f t="shared" si="0"/>
        <v>21</v>
      </c>
    </row>
    <row r="24" ht="14.25" spans="1:28">
      <c r="A24" s="13">
        <v>428</v>
      </c>
      <c r="B24" s="15">
        <v>9</v>
      </c>
      <c r="C24" s="16">
        <v>44</v>
      </c>
      <c r="D24" s="17" t="s">
        <v>866</v>
      </c>
      <c r="E24" s="17" t="s">
        <v>867</v>
      </c>
      <c r="F24" s="17">
        <v>101</v>
      </c>
      <c r="G24" s="17">
        <v>2896</v>
      </c>
      <c r="H24" s="17">
        <v>124</v>
      </c>
      <c r="I24" s="17">
        <v>418</v>
      </c>
      <c r="J24" s="17">
        <v>98.75</v>
      </c>
      <c r="K24" s="17">
        <v>3309</v>
      </c>
      <c r="L24" s="17">
        <v>76</v>
      </c>
      <c r="M24" s="17">
        <v>367</v>
      </c>
      <c r="N24" s="17"/>
      <c r="O24" s="17"/>
      <c r="P24" s="17">
        <v>91</v>
      </c>
      <c r="Q24" s="17">
        <v>69</v>
      </c>
      <c r="R24" s="17">
        <v>95</v>
      </c>
      <c r="S24" s="17">
        <v>10</v>
      </c>
      <c r="T24" s="17"/>
      <c r="U24" s="17"/>
      <c r="V24" s="17"/>
      <c r="W24" s="17"/>
      <c r="X24" s="15">
        <v>323.75</v>
      </c>
      <c r="Y24" s="17">
        <v>93</v>
      </c>
      <c r="Z24" s="17">
        <v>585.75</v>
      </c>
      <c r="AA24" s="17">
        <v>420</v>
      </c>
      <c r="AB24" s="12">
        <f t="shared" si="0"/>
        <v>22</v>
      </c>
    </row>
    <row r="25" ht="14.25" spans="1:28">
      <c r="A25" s="13">
        <v>396</v>
      </c>
      <c r="B25" s="15">
        <v>9</v>
      </c>
      <c r="C25" s="16">
        <v>11</v>
      </c>
      <c r="D25" s="17" t="s">
        <v>802</v>
      </c>
      <c r="E25" s="17" t="s">
        <v>803</v>
      </c>
      <c r="F25" s="17">
        <v>104</v>
      </c>
      <c r="G25" s="17">
        <v>1709</v>
      </c>
      <c r="H25" s="17">
        <v>125.5</v>
      </c>
      <c r="I25" s="17">
        <v>333</v>
      </c>
      <c r="J25" s="17">
        <v>107.5</v>
      </c>
      <c r="K25" s="17">
        <v>1810</v>
      </c>
      <c r="L25" s="17">
        <v>76.5</v>
      </c>
      <c r="M25" s="17">
        <v>333</v>
      </c>
      <c r="N25" s="17"/>
      <c r="O25" s="17"/>
      <c r="P25" s="17">
        <v>84</v>
      </c>
      <c r="Q25" s="17">
        <v>1443</v>
      </c>
      <c r="R25" s="17">
        <v>87</v>
      </c>
      <c r="S25" s="17">
        <v>883</v>
      </c>
      <c r="T25" s="17"/>
      <c r="U25" s="17"/>
      <c r="V25" s="17"/>
      <c r="W25" s="17"/>
      <c r="X25" s="15">
        <v>337</v>
      </c>
      <c r="Y25" s="17">
        <v>37</v>
      </c>
      <c r="Z25" s="17">
        <v>584.5</v>
      </c>
      <c r="AA25" s="17">
        <v>437</v>
      </c>
      <c r="AB25" s="12">
        <f t="shared" si="0"/>
        <v>23</v>
      </c>
    </row>
    <row r="26" ht="14.25" spans="1:28">
      <c r="A26" s="13">
        <v>486</v>
      </c>
      <c r="B26" s="15">
        <v>10</v>
      </c>
      <c r="C26" s="16">
        <v>47</v>
      </c>
      <c r="D26" s="17" t="s">
        <v>982</v>
      </c>
      <c r="E26" s="17" t="s">
        <v>983</v>
      </c>
      <c r="F26" s="17">
        <v>104.5</v>
      </c>
      <c r="G26" s="17">
        <v>1551</v>
      </c>
      <c r="H26" s="17">
        <v>120.5</v>
      </c>
      <c r="I26" s="17">
        <v>665</v>
      </c>
      <c r="J26" s="17">
        <v>108</v>
      </c>
      <c r="K26" s="17">
        <v>1721</v>
      </c>
      <c r="L26" s="17">
        <v>74.5</v>
      </c>
      <c r="M26" s="17">
        <v>487</v>
      </c>
      <c r="N26" s="17"/>
      <c r="O26" s="17"/>
      <c r="P26" s="17">
        <v>87</v>
      </c>
      <c r="Q26" s="17">
        <v>681</v>
      </c>
      <c r="R26" s="17">
        <v>89</v>
      </c>
      <c r="S26" s="17">
        <v>415</v>
      </c>
      <c r="T26" s="17"/>
      <c r="U26" s="17"/>
      <c r="V26" s="17"/>
      <c r="W26" s="17"/>
      <c r="X26" s="15">
        <v>333</v>
      </c>
      <c r="Y26" s="17">
        <v>56</v>
      </c>
      <c r="Z26" s="17">
        <v>583.5</v>
      </c>
      <c r="AA26" s="17">
        <v>451</v>
      </c>
      <c r="AB26" s="12">
        <f t="shared" si="0"/>
        <v>24</v>
      </c>
    </row>
    <row r="27" ht="14.25" spans="1:28">
      <c r="A27" s="13">
        <v>438</v>
      </c>
      <c r="B27" s="15">
        <v>9</v>
      </c>
      <c r="C27" s="16">
        <v>54</v>
      </c>
      <c r="D27" s="17" t="s">
        <v>886</v>
      </c>
      <c r="E27" s="17" t="s">
        <v>887</v>
      </c>
      <c r="F27" s="17">
        <v>93.5</v>
      </c>
      <c r="G27" s="17">
        <v>7127</v>
      </c>
      <c r="H27" s="17">
        <v>127</v>
      </c>
      <c r="I27" s="17">
        <v>247</v>
      </c>
      <c r="J27" s="17">
        <v>118</v>
      </c>
      <c r="K27" s="17">
        <v>642</v>
      </c>
      <c r="L27" s="17">
        <v>79</v>
      </c>
      <c r="M27" s="17">
        <v>206</v>
      </c>
      <c r="N27" s="17"/>
      <c r="O27" s="17"/>
      <c r="P27" s="17">
        <v>77</v>
      </c>
      <c r="Q27" s="17">
        <v>3207</v>
      </c>
      <c r="R27" s="17">
        <v>88</v>
      </c>
      <c r="S27" s="17">
        <v>601</v>
      </c>
      <c r="T27" s="17"/>
      <c r="U27" s="17"/>
      <c r="V27" s="17"/>
      <c r="W27" s="17"/>
      <c r="X27" s="15">
        <v>338.5</v>
      </c>
      <c r="Y27" s="17">
        <v>31</v>
      </c>
      <c r="Z27" s="17">
        <v>582.5</v>
      </c>
      <c r="AA27" s="17">
        <v>470</v>
      </c>
      <c r="AB27" s="12">
        <f t="shared" si="0"/>
        <v>25</v>
      </c>
    </row>
    <row r="28" ht="14.25" spans="1:28">
      <c r="A28" s="13">
        <v>433</v>
      </c>
      <c r="B28" s="15">
        <v>9</v>
      </c>
      <c r="C28" s="16">
        <v>49</v>
      </c>
      <c r="D28" s="17" t="s">
        <v>876</v>
      </c>
      <c r="E28" s="17" t="s">
        <v>877</v>
      </c>
      <c r="F28" s="17">
        <v>98.5</v>
      </c>
      <c r="G28" s="17">
        <v>4145</v>
      </c>
      <c r="H28" s="17">
        <v>129</v>
      </c>
      <c r="I28" s="17">
        <v>168</v>
      </c>
      <c r="J28" s="17">
        <v>111.5</v>
      </c>
      <c r="K28" s="17">
        <v>1281</v>
      </c>
      <c r="L28" s="17">
        <v>68</v>
      </c>
      <c r="M28" s="17">
        <v>1067</v>
      </c>
      <c r="N28" s="17"/>
      <c r="O28" s="17"/>
      <c r="P28" s="17">
        <v>84</v>
      </c>
      <c r="Q28" s="17">
        <v>1443</v>
      </c>
      <c r="R28" s="17">
        <v>90</v>
      </c>
      <c r="S28" s="17">
        <v>255</v>
      </c>
      <c r="T28" s="17"/>
      <c r="U28" s="17"/>
      <c r="V28" s="17"/>
      <c r="W28" s="17"/>
      <c r="X28" s="15">
        <v>339</v>
      </c>
      <c r="Y28" s="17">
        <v>30</v>
      </c>
      <c r="Z28" s="17">
        <v>581</v>
      </c>
      <c r="AA28" s="17">
        <v>503</v>
      </c>
      <c r="AB28" s="12">
        <f t="shared" si="0"/>
        <v>26</v>
      </c>
    </row>
    <row r="29" ht="14.25" spans="1:28">
      <c r="A29" s="13">
        <v>386</v>
      </c>
      <c r="B29" s="15">
        <v>9</v>
      </c>
      <c r="C29" s="16">
        <v>1</v>
      </c>
      <c r="D29" s="17" t="s">
        <v>782</v>
      </c>
      <c r="E29" s="17" t="s">
        <v>783</v>
      </c>
      <c r="F29" s="17">
        <v>100.5</v>
      </c>
      <c r="G29" s="17">
        <v>3131</v>
      </c>
      <c r="H29" s="17">
        <v>119.5</v>
      </c>
      <c r="I29" s="17">
        <v>753</v>
      </c>
      <c r="J29" s="17">
        <v>104.75</v>
      </c>
      <c r="K29" s="17">
        <v>2246</v>
      </c>
      <c r="L29" s="17">
        <v>79</v>
      </c>
      <c r="M29" s="17">
        <v>206</v>
      </c>
      <c r="N29" s="17"/>
      <c r="O29" s="17"/>
      <c r="P29" s="17">
        <v>90</v>
      </c>
      <c r="Q29" s="17">
        <v>119</v>
      </c>
      <c r="R29" s="17">
        <v>87</v>
      </c>
      <c r="S29" s="17">
        <v>883</v>
      </c>
      <c r="T29" s="17"/>
      <c r="U29" s="17"/>
      <c r="V29" s="17"/>
      <c r="W29" s="17"/>
      <c r="X29" s="15">
        <v>324.75</v>
      </c>
      <c r="Y29" s="17">
        <v>89</v>
      </c>
      <c r="Z29" s="17">
        <v>580.75</v>
      </c>
      <c r="AA29" s="17">
        <v>510</v>
      </c>
      <c r="AB29" s="12">
        <f t="shared" si="0"/>
        <v>27</v>
      </c>
    </row>
    <row r="30" ht="14.25" spans="1:28">
      <c r="A30" s="13">
        <v>432</v>
      </c>
      <c r="B30" s="15">
        <v>9</v>
      </c>
      <c r="C30" s="16">
        <v>48</v>
      </c>
      <c r="D30" s="17" t="s">
        <v>874</v>
      </c>
      <c r="E30" s="17" t="s">
        <v>875</v>
      </c>
      <c r="F30" s="17">
        <v>98.25</v>
      </c>
      <c r="G30" s="17">
        <v>4392</v>
      </c>
      <c r="H30" s="17">
        <v>115.5</v>
      </c>
      <c r="I30" s="17">
        <v>1149</v>
      </c>
      <c r="J30" s="17">
        <v>122</v>
      </c>
      <c r="K30" s="17">
        <v>371</v>
      </c>
      <c r="L30" s="17">
        <v>75.5</v>
      </c>
      <c r="M30" s="17">
        <v>413</v>
      </c>
      <c r="N30" s="17"/>
      <c r="O30" s="17"/>
      <c r="P30" s="17">
        <v>73</v>
      </c>
      <c r="Q30" s="17">
        <v>4501</v>
      </c>
      <c r="R30" s="17">
        <v>95</v>
      </c>
      <c r="S30" s="17">
        <v>10</v>
      </c>
      <c r="T30" s="17"/>
      <c r="U30" s="17"/>
      <c r="V30" s="17"/>
      <c r="W30" s="17"/>
      <c r="X30" s="15">
        <v>335.75</v>
      </c>
      <c r="Y30" s="17">
        <v>47</v>
      </c>
      <c r="Z30" s="17">
        <v>579.25</v>
      </c>
      <c r="AA30" s="17">
        <v>533</v>
      </c>
      <c r="AB30" s="12">
        <f t="shared" si="0"/>
        <v>28</v>
      </c>
    </row>
    <row r="31" ht="14.25" spans="1:28">
      <c r="A31" s="13">
        <v>137</v>
      </c>
      <c r="B31" s="15">
        <v>3</v>
      </c>
      <c r="C31" s="16">
        <v>26</v>
      </c>
      <c r="D31" s="17" t="s">
        <v>287</v>
      </c>
      <c r="E31" s="17" t="s">
        <v>288</v>
      </c>
      <c r="F31" s="17">
        <v>94</v>
      </c>
      <c r="G31" s="17">
        <v>6811</v>
      </c>
      <c r="H31" s="17">
        <v>140</v>
      </c>
      <c r="I31" s="17">
        <v>9</v>
      </c>
      <c r="J31" s="17">
        <v>109</v>
      </c>
      <c r="K31" s="17">
        <v>1584</v>
      </c>
      <c r="L31" s="17">
        <v>74</v>
      </c>
      <c r="M31" s="17">
        <v>514</v>
      </c>
      <c r="N31" s="17"/>
      <c r="O31" s="17"/>
      <c r="P31" s="17">
        <v>86</v>
      </c>
      <c r="Q31" s="17">
        <v>1052</v>
      </c>
      <c r="R31" s="17"/>
      <c r="S31" s="17"/>
      <c r="T31" s="17"/>
      <c r="U31" s="17"/>
      <c r="V31" s="17">
        <v>76</v>
      </c>
      <c r="W31" s="17">
        <v>1407</v>
      </c>
      <c r="X31" s="15">
        <v>343</v>
      </c>
      <c r="Y31" s="17">
        <v>22</v>
      </c>
      <c r="Z31" s="17">
        <v>579</v>
      </c>
      <c r="AA31" s="17">
        <v>536</v>
      </c>
      <c r="AB31" s="12">
        <f t="shared" si="0"/>
        <v>29</v>
      </c>
    </row>
    <row r="32" ht="14.25" spans="1:28">
      <c r="A32" s="13">
        <v>401</v>
      </c>
      <c r="B32" s="15">
        <v>9</v>
      </c>
      <c r="C32" s="16">
        <v>16</v>
      </c>
      <c r="D32" s="17" t="s">
        <v>812</v>
      </c>
      <c r="E32" s="17" t="s">
        <v>813</v>
      </c>
      <c r="F32" s="17">
        <v>100</v>
      </c>
      <c r="G32" s="17">
        <v>3368</v>
      </c>
      <c r="H32" s="17">
        <v>120</v>
      </c>
      <c r="I32" s="17">
        <v>708</v>
      </c>
      <c r="J32" s="17">
        <v>120.25</v>
      </c>
      <c r="K32" s="17">
        <v>493</v>
      </c>
      <c r="L32" s="17">
        <v>78</v>
      </c>
      <c r="M32" s="17">
        <v>253</v>
      </c>
      <c r="N32" s="17"/>
      <c r="O32" s="17"/>
      <c r="P32" s="17">
        <v>73</v>
      </c>
      <c r="Q32" s="17">
        <v>4501</v>
      </c>
      <c r="R32" s="17">
        <v>87</v>
      </c>
      <c r="S32" s="17">
        <v>883</v>
      </c>
      <c r="T32" s="17"/>
      <c r="U32" s="17"/>
      <c r="V32" s="17"/>
      <c r="W32" s="17"/>
      <c r="X32" s="15">
        <v>340.25</v>
      </c>
      <c r="Y32" s="17">
        <v>28</v>
      </c>
      <c r="Z32" s="17">
        <v>578.25</v>
      </c>
      <c r="AA32" s="17">
        <v>560</v>
      </c>
      <c r="AB32" s="12">
        <f t="shared" si="0"/>
        <v>30</v>
      </c>
    </row>
    <row r="33" ht="14.25" spans="1:28">
      <c r="A33" s="13">
        <v>443</v>
      </c>
      <c r="B33" s="15">
        <v>10</v>
      </c>
      <c r="C33" s="16">
        <v>4</v>
      </c>
      <c r="D33" s="17" t="s">
        <v>896</v>
      </c>
      <c r="E33" s="17" t="s">
        <v>897</v>
      </c>
      <c r="F33" s="17">
        <v>104.5</v>
      </c>
      <c r="G33" s="17">
        <v>1551</v>
      </c>
      <c r="H33" s="17">
        <v>113</v>
      </c>
      <c r="I33" s="17">
        <v>1467</v>
      </c>
      <c r="J33" s="17">
        <v>119</v>
      </c>
      <c r="K33" s="17">
        <v>560</v>
      </c>
      <c r="L33" s="17">
        <v>65.5</v>
      </c>
      <c r="M33" s="17">
        <v>1373</v>
      </c>
      <c r="N33" s="17"/>
      <c r="O33" s="17"/>
      <c r="P33" s="17">
        <v>89</v>
      </c>
      <c r="Q33" s="17">
        <v>222</v>
      </c>
      <c r="R33" s="17">
        <v>87</v>
      </c>
      <c r="S33" s="17">
        <v>883</v>
      </c>
      <c r="T33" s="17"/>
      <c r="U33" s="17"/>
      <c r="V33" s="17"/>
      <c r="W33" s="17"/>
      <c r="X33" s="15">
        <v>336.5</v>
      </c>
      <c r="Y33" s="17">
        <v>43</v>
      </c>
      <c r="Z33" s="17">
        <v>578</v>
      </c>
      <c r="AA33" s="17">
        <v>565</v>
      </c>
      <c r="AB33" s="12">
        <f t="shared" si="0"/>
        <v>31</v>
      </c>
    </row>
    <row r="34" ht="14.25" spans="1:28">
      <c r="A34" s="13">
        <v>429</v>
      </c>
      <c r="B34" s="15">
        <v>9</v>
      </c>
      <c r="C34" s="16">
        <v>45</v>
      </c>
      <c r="D34" s="17" t="s">
        <v>868</v>
      </c>
      <c r="E34" s="17" t="s">
        <v>869</v>
      </c>
      <c r="F34" s="17">
        <v>102.25</v>
      </c>
      <c r="G34" s="17">
        <v>2460</v>
      </c>
      <c r="H34" s="17">
        <v>110.5</v>
      </c>
      <c r="I34" s="17">
        <v>1866</v>
      </c>
      <c r="J34" s="17">
        <v>122</v>
      </c>
      <c r="K34" s="17">
        <v>371</v>
      </c>
      <c r="L34" s="17">
        <v>71.5</v>
      </c>
      <c r="M34" s="17">
        <v>714</v>
      </c>
      <c r="N34" s="17"/>
      <c r="O34" s="17"/>
      <c r="P34" s="17">
        <v>88</v>
      </c>
      <c r="Q34" s="17">
        <v>397</v>
      </c>
      <c r="R34" s="17">
        <v>83</v>
      </c>
      <c r="S34" s="17">
        <v>1715</v>
      </c>
      <c r="T34" s="17"/>
      <c r="U34" s="17"/>
      <c r="V34" s="17"/>
      <c r="W34" s="17"/>
      <c r="X34" s="15">
        <v>334.75</v>
      </c>
      <c r="Y34" s="17">
        <v>51</v>
      </c>
      <c r="Z34" s="17">
        <v>577.25</v>
      </c>
      <c r="AA34" s="17">
        <v>577</v>
      </c>
      <c r="AB34" s="12">
        <f t="shared" si="0"/>
        <v>32</v>
      </c>
    </row>
    <row r="35" ht="14.25" spans="1:28">
      <c r="A35" s="13">
        <v>394</v>
      </c>
      <c r="B35" s="15">
        <v>9</v>
      </c>
      <c r="C35" s="16">
        <v>9</v>
      </c>
      <c r="D35" s="17" t="s">
        <v>798</v>
      </c>
      <c r="E35" s="17" t="s">
        <v>799</v>
      </c>
      <c r="F35" s="17">
        <v>104.5</v>
      </c>
      <c r="G35" s="17">
        <v>1551</v>
      </c>
      <c r="H35" s="17">
        <v>126.5</v>
      </c>
      <c r="I35" s="17">
        <v>273</v>
      </c>
      <c r="J35" s="17">
        <v>106</v>
      </c>
      <c r="K35" s="17">
        <v>2012</v>
      </c>
      <c r="L35" s="17">
        <v>62</v>
      </c>
      <c r="M35" s="17">
        <v>1839</v>
      </c>
      <c r="N35" s="17"/>
      <c r="O35" s="17"/>
      <c r="P35" s="17">
        <v>89</v>
      </c>
      <c r="Q35" s="17">
        <v>222</v>
      </c>
      <c r="R35" s="17">
        <v>89</v>
      </c>
      <c r="S35" s="17">
        <v>415</v>
      </c>
      <c r="T35" s="17"/>
      <c r="U35" s="17"/>
      <c r="V35" s="17"/>
      <c r="W35" s="17"/>
      <c r="X35" s="15">
        <v>337</v>
      </c>
      <c r="Y35" s="17">
        <v>37</v>
      </c>
      <c r="Z35" s="17">
        <v>577</v>
      </c>
      <c r="AA35" s="17">
        <v>583</v>
      </c>
      <c r="AB35" s="12">
        <f t="shared" si="0"/>
        <v>33</v>
      </c>
    </row>
    <row r="36" ht="14.25" spans="1:28">
      <c r="A36" s="13">
        <v>446</v>
      </c>
      <c r="B36" s="15">
        <v>10</v>
      </c>
      <c r="C36" s="16">
        <v>7</v>
      </c>
      <c r="D36" s="17" t="s">
        <v>902</v>
      </c>
      <c r="E36" s="17" t="s">
        <v>903</v>
      </c>
      <c r="F36" s="17">
        <v>105.5</v>
      </c>
      <c r="G36" s="17">
        <v>1281</v>
      </c>
      <c r="H36" s="17">
        <v>116.5</v>
      </c>
      <c r="I36" s="17">
        <v>1035</v>
      </c>
      <c r="J36" s="17">
        <v>108</v>
      </c>
      <c r="K36" s="17">
        <v>1721</v>
      </c>
      <c r="L36" s="17">
        <v>71.5</v>
      </c>
      <c r="M36" s="17">
        <v>714</v>
      </c>
      <c r="N36" s="17"/>
      <c r="O36" s="17"/>
      <c r="P36" s="17">
        <v>82</v>
      </c>
      <c r="Q36" s="17">
        <v>1870</v>
      </c>
      <c r="R36" s="17">
        <v>93</v>
      </c>
      <c r="S36" s="17">
        <v>50</v>
      </c>
      <c r="T36" s="17"/>
      <c r="U36" s="17"/>
      <c r="V36" s="17"/>
      <c r="W36" s="17"/>
      <c r="X36" s="15">
        <v>330</v>
      </c>
      <c r="Y36" s="17">
        <v>66</v>
      </c>
      <c r="Z36" s="17">
        <v>576.5</v>
      </c>
      <c r="AA36" s="17">
        <v>594</v>
      </c>
      <c r="AB36" s="12">
        <f t="shared" si="0"/>
        <v>34</v>
      </c>
    </row>
    <row r="37" ht="14.25" spans="1:28">
      <c r="A37" s="13">
        <v>421</v>
      </c>
      <c r="B37" s="15">
        <v>9</v>
      </c>
      <c r="C37" s="16">
        <v>37</v>
      </c>
      <c r="D37" s="17" t="s">
        <v>852</v>
      </c>
      <c r="E37" s="17" t="s">
        <v>853</v>
      </c>
      <c r="F37" s="17">
        <v>99.5</v>
      </c>
      <c r="G37" s="17">
        <v>3607</v>
      </c>
      <c r="H37" s="17">
        <v>110.5</v>
      </c>
      <c r="I37" s="17">
        <v>1866</v>
      </c>
      <c r="J37" s="17">
        <v>119</v>
      </c>
      <c r="K37" s="17">
        <v>560</v>
      </c>
      <c r="L37" s="17">
        <v>76.5</v>
      </c>
      <c r="M37" s="17">
        <v>333</v>
      </c>
      <c r="N37" s="17"/>
      <c r="O37" s="17"/>
      <c r="P37" s="17">
        <v>78</v>
      </c>
      <c r="Q37" s="17">
        <v>2908</v>
      </c>
      <c r="R37" s="17">
        <v>92</v>
      </c>
      <c r="S37" s="17">
        <v>98</v>
      </c>
      <c r="T37" s="17"/>
      <c r="U37" s="17"/>
      <c r="V37" s="17"/>
      <c r="W37" s="17"/>
      <c r="X37" s="15">
        <v>329</v>
      </c>
      <c r="Y37" s="17">
        <v>73</v>
      </c>
      <c r="Z37" s="17">
        <v>575.5</v>
      </c>
      <c r="AA37" s="17">
        <v>607</v>
      </c>
      <c r="AB37" s="12">
        <f t="shared" si="0"/>
        <v>35</v>
      </c>
    </row>
    <row r="38" ht="14.25" spans="1:28">
      <c r="A38" s="13">
        <v>414</v>
      </c>
      <c r="B38" s="15">
        <v>9</v>
      </c>
      <c r="C38" s="16">
        <v>30</v>
      </c>
      <c r="D38" s="17" t="s">
        <v>838</v>
      </c>
      <c r="E38" s="17" t="s">
        <v>839</v>
      </c>
      <c r="F38" s="17">
        <v>101.5</v>
      </c>
      <c r="G38" s="17">
        <v>2674</v>
      </c>
      <c r="H38" s="17">
        <v>130.5</v>
      </c>
      <c r="I38" s="17">
        <v>122</v>
      </c>
      <c r="J38" s="17">
        <v>98.5</v>
      </c>
      <c r="K38" s="17">
        <v>3338</v>
      </c>
      <c r="L38" s="17">
        <v>75</v>
      </c>
      <c r="M38" s="17">
        <v>448</v>
      </c>
      <c r="N38" s="17"/>
      <c r="O38" s="17"/>
      <c r="P38" s="17">
        <v>80</v>
      </c>
      <c r="Q38" s="17">
        <v>2333</v>
      </c>
      <c r="R38" s="17">
        <v>89</v>
      </c>
      <c r="S38" s="17">
        <v>415</v>
      </c>
      <c r="T38" s="17"/>
      <c r="U38" s="17"/>
      <c r="V38" s="17"/>
      <c r="W38" s="17"/>
      <c r="X38" s="15">
        <v>330.5</v>
      </c>
      <c r="Y38" s="17">
        <v>63</v>
      </c>
      <c r="Z38" s="17">
        <v>574.5</v>
      </c>
      <c r="AA38" s="17">
        <v>638</v>
      </c>
      <c r="AB38" s="12">
        <f t="shared" si="0"/>
        <v>36</v>
      </c>
    </row>
    <row r="39" ht="14.25" spans="1:28">
      <c r="A39" s="13">
        <v>7</v>
      </c>
      <c r="B39" s="15">
        <v>1</v>
      </c>
      <c r="C39" s="16">
        <v>8</v>
      </c>
      <c r="D39" s="17" t="s">
        <v>28</v>
      </c>
      <c r="E39" s="17" t="s">
        <v>29</v>
      </c>
      <c r="F39" s="17">
        <v>101.5</v>
      </c>
      <c r="G39" s="17">
        <v>2674</v>
      </c>
      <c r="H39" s="17">
        <v>114</v>
      </c>
      <c r="I39" s="17">
        <v>1340</v>
      </c>
      <c r="J39" s="17">
        <v>114</v>
      </c>
      <c r="K39" s="17">
        <v>991</v>
      </c>
      <c r="L39" s="17">
        <v>69.5</v>
      </c>
      <c r="M39" s="17">
        <v>899</v>
      </c>
      <c r="N39" s="17"/>
      <c r="O39" s="17"/>
      <c r="P39" s="17">
        <v>87</v>
      </c>
      <c r="Q39" s="17">
        <v>681</v>
      </c>
      <c r="R39" s="17"/>
      <c r="S39" s="17"/>
      <c r="T39" s="17">
        <v>88</v>
      </c>
      <c r="U39" s="17">
        <v>161</v>
      </c>
      <c r="V39" s="17"/>
      <c r="W39" s="17"/>
      <c r="X39" s="15">
        <v>329.5</v>
      </c>
      <c r="Y39" s="17">
        <v>69</v>
      </c>
      <c r="Z39" s="17">
        <v>574</v>
      </c>
      <c r="AA39" s="17">
        <v>650</v>
      </c>
      <c r="AB39" s="12">
        <f t="shared" si="0"/>
        <v>37</v>
      </c>
    </row>
    <row r="40" ht="14.25" spans="1:28">
      <c r="A40" s="13">
        <v>227</v>
      </c>
      <c r="B40" s="15">
        <v>5</v>
      </c>
      <c r="C40" s="16">
        <v>24</v>
      </c>
      <c r="D40" s="17" t="s">
        <v>467</v>
      </c>
      <c r="E40" s="17" t="s">
        <v>468</v>
      </c>
      <c r="F40" s="17">
        <v>105.25</v>
      </c>
      <c r="G40" s="17">
        <v>1418</v>
      </c>
      <c r="H40" s="17">
        <v>122.5</v>
      </c>
      <c r="I40" s="17">
        <v>509</v>
      </c>
      <c r="J40" s="17">
        <v>113</v>
      </c>
      <c r="K40" s="17">
        <v>1110</v>
      </c>
      <c r="L40" s="17">
        <v>76</v>
      </c>
      <c r="M40" s="17">
        <v>367</v>
      </c>
      <c r="N40" s="17"/>
      <c r="O40" s="17"/>
      <c r="P40" s="17">
        <v>80</v>
      </c>
      <c r="Q40" s="17">
        <v>2333</v>
      </c>
      <c r="R40" s="17"/>
      <c r="S40" s="17"/>
      <c r="T40" s="17"/>
      <c r="U40" s="17"/>
      <c r="V40" s="17">
        <v>77</v>
      </c>
      <c r="W40" s="17">
        <v>1318</v>
      </c>
      <c r="X40" s="15">
        <v>340.75</v>
      </c>
      <c r="Y40" s="17">
        <v>27</v>
      </c>
      <c r="Z40" s="17">
        <v>573.75</v>
      </c>
      <c r="AA40" s="17">
        <v>658</v>
      </c>
      <c r="AB40" s="12">
        <f t="shared" si="0"/>
        <v>38</v>
      </c>
    </row>
    <row r="41" ht="14.25" spans="1:28">
      <c r="A41" s="13">
        <v>425</v>
      </c>
      <c r="B41" s="15">
        <v>9</v>
      </c>
      <c r="C41" s="16">
        <v>41</v>
      </c>
      <c r="D41" s="19" t="s">
        <v>860</v>
      </c>
      <c r="E41" s="17" t="s">
        <v>861</v>
      </c>
      <c r="F41" s="17">
        <v>100.75</v>
      </c>
      <c r="G41" s="17">
        <v>3103</v>
      </c>
      <c r="H41" s="17">
        <v>129.5</v>
      </c>
      <c r="I41" s="17">
        <v>151</v>
      </c>
      <c r="J41" s="17">
        <v>111</v>
      </c>
      <c r="K41" s="17">
        <v>1337</v>
      </c>
      <c r="L41" s="17">
        <v>76.5</v>
      </c>
      <c r="M41" s="17">
        <v>333</v>
      </c>
      <c r="N41" s="17"/>
      <c r="O41" s="17"/>
      <c r="P41" s="17">
        <v>75</v>
      </c>
      <c r="Q41" s="17">
        <v>3841</v>
      </c>
      <c r="R41" s="17">
        <v>81</v>
      </c>
      <c r="S41" s="17">
        <v>2139</v>
      </c>
      <c r="T41" s="17"/>
      <c r="U41" s="17"/>
      <c r="V41" s="17"/>
      <c r="W41" s="17"/>
      <c r="X41" s="15">
        <v>341.25</v>
      </c>
      <c r="Y41" s="17">
        <v>26</v>
      </c>
      <c r="Z41" s="17">
        <v>573.75</v>
      </c>
      <c r="AA41" s="17">
        <v>658</v>
      </c>
      <c r="AB41" s="12">
        <f t="shared" si="0"/>
        <v>38</v>
      </c>
    </row>
    <row r="42" ht="14.25" spans="1:28">
      <c r="A42" s="13">
        <v>387</v>
      </c>
      <c r="B42" s="15">
        <v>9</v>
      </c>
      <c r="C42" s="16">
        <v>2</v>
      </c>
      <c r="D42" s="17" t="s">
        <v>784</v>
      </c>
      <c r="E42" s="17" t="s">
        <v>785</v>
      </c>
      <c r="F42" s="17">
        <v>100.5</v>
      </c>
      <c r="G42" s="17">
        <v>3131</v>
      </c>
      <c r="H42" s="17">
        <v>119.5</v>
      </c>
      <c r="I42" s="17">
        <v>753</v>
      </c>
      <c r="J42" s="17">
        <v>109.25</v>
      </c>
      <c r="K42" s="17">
        <v>1566</v>
      </c>
      <c r="L42" s="17">
        <v>73</v>
      </c>
      <c r="M42" s="17">
        <v>575</v>
      </c>
      <c r="N42" s="17"/>
      <c r="O42" s="17"/>
      <c r="P42" s="17">
        <v>81</v>
      </c>
      <c r="Q42" s="17">
        <v>2079</v>
      </c>
      <c r="R42" s="17">
        <v>89</v>
      </c>
      <c r="S42" s="17">
        <v>415</v>
      </c>
      <c r="T42" s="17"/>
      <c r="U42" s="17"/>
      <c r="V42" s="17"/>
      <c r="W42" s="17"/>
      <c r="X42" s="15">
        <v>329.25</v>
      </c>
      <c r="Y42" s="17">
        <v>72</v>
      </c>
      <c r="Z42" s="17">
        <v>572.25</v>
      </c>
      <c r="AA42" s="17">
        <v>700</v>
      </c>
      <c r="AB42" s="12">
        <f t="shared" si="0"/>
        <v>40</v>
      </c>
    </row>
    <row r="43" ht="14.25" spans="1:28">
      <c r="A43" s="13">
        <v>407</v>
      </c>
      <c r="B43" s="15">
        <v>9</v>
      </c>
      <c r="C43" s="16">
        <v>22</v>
      </c>
      <c r="D43" s="17" t="s">
        <v>824</v>
      </c>
      <c r="E43" s="17" t="s">
        <v>825</v>
      </c>
      <c r="F43" s="17">
        <v>100.75</v>
      </c>
      <c r="G43" s="17">
        <v>3103</v>
      </c>
      <c r="H43" s="17">
        <v>104</v>
      </c>
      <c r="I43" s="17">
        <v>2999</v>
      </c>
      <c r="J43" s="17">
        <v>117</v>
      </c>
      <c r="K43" s="17">
        <v>727</v>
      </c>
      <c r="L43" s="17">
        <v>72.5</v>
      </c>
      <c r="M43" s="17">
        <v>627</v>
      </c>
      <c r="N43" s="17"/>
      <c r="O43" s="17"/>
      <c r="P43" s="17">
        <v>89</v>
      </c>
      <c r="Q43" s="17">
        <v>222</v>
      </c>
      <c r="R43" s="17">
        <v>89</v>
      </c>
      <c r="S43" s="17">
        <v>415</v>
      </c>
      <c r="T43" s="17"/>
      <c r="U43" s="17"/>
      <c r="V43" s="17"/>
      <c r="W43" s="17"/>
      <c r="X43" s="15">
        <v>321.75</v>
      </c>
      <c r="Y43" s="17">
        <v>106</v>
      </c>
      <c r="Z43" s="17">
        <v>572.25</v>
      </c>
      <c r="AA43" s="17">
        <v>700</v>
      </c>
      <c r="AB43" s="12">
        <f t="shared" si="0"/>
        <v>40</v>
      </c>
    </row>
    <row r="44" ht="14.25" spans="1:28">
      <c r="A44" s="13">
        <v>654</v>
      </c>
      <c r="B44" s="15">
        <v>13</v>
      </c>
      <c r="C44" s="16">
        <v>48</v>
      </c>
      <c r="D44" s="17" t="s">
        <v>1315</v>
      </c>
      <c r="E44" s="17" t="s">
        <v>1316</v>
      </c>
      <c r="F44" s="17">
        <v>110</v>
      </c>
      <c r="G44" s="17">
        <v>430</v>
      </c>
      <c r="H44" s="17">
        <v>121</v>
      </c>
      <c r="I44" s="17">
        <v>621</v>
      </c>
      <c r="J44" s="17">
        <v>99.25</v>
      </c>
      <c r="K44" s="17">
        <v>3211</v>
      </c>
      <c r="L44" s="17">
        <v>67</v>
      </c>
      <c r="M44" s="17">
        <v>1188</v>
      </c>
      <c r="N44" s="17"/>
      <c r="O44" s="17"/>
      <c r="P44" s="17">
        <v>87</v>
      </c>
      <c r="Q44" s="17">
        <v>681</v>
      </c>
      <c r="R44" s="17">
        <v>88</v>
      </c>
      <c r="S44" s="17">
        <v>601</v>
      </c>
      <c r="T44" s="17"/>
      <c r="U44" s="17"/>
      <c r="V44" s="17"/>
      <c r="W44" s="17"/>
      <c r="X44" s="15">
        <v>330.25</v>
      </c>
      <c r="Y44" s="17">
        <v>65</v>
      </c>
      <c r="Z44" s="17">
        <v>572.25</v>
      </c>
      <c r="AA44" s="17">
        <v>700</v>
      </c>
      <c r="AB44" s="12">
        <f t="shared" si="0"/>
        <v>40</v>
      </c>
    </row>
    <row r="45" ht="14.25" spans="1:28">
      <c r="A45" s="13">
        <v>391</v>
      </c>
      <c r="B45" s="15">
        <v>9</v>
      </c>
      <c r="C45" s="16">
        <v>6</v>
      </c>
      <c r="D45" s="17" t="s">
        <v>792</v>
      </c>
      <c r="E45" s="17" t="s">
        <v>793</v>
      </c>
      <c r="F45" s="17">
        <v>95</v>
      </c>
      <c r="G45" s="17">
        <v>6168</v>
      </c>
      <c r="H45" s="17">
        <v>130.5</v>
      </c>
      <c r="I45" s="17">
        <v>122</v>
      </c>
      <c r="J45" s="17">
        <v>101</v>
      </c>
      <c r="K45" s="17">
        <v>2859</v>
      </c>
      <c r="L45" s="17">
        <v>74</v>
      </c>
      <c r="M45" s="17">
        <v>514</v>
      </c>
      <c r="N45" s="17"/>
      <c r="O45" s="17"/>
      <c r="P45" s="17">
        <v>82</v>
      </c>
      <c r="Q45" s="17">
        <v>1870</v>
      </c>
      <c r="R45" s="17">
        <v>89</v>
      </c>
      <c r="S45" s="17">
        <v>415</v>
      </c>
      <c r="T45" s="17"/>
      <c r="U45" s="17"/>
      <c r="V45" s="17"/>
      <c r="W45" s="17"/>
      <c r="X45" s="15">
        <v>326.5</v>
      </c>
      <c r="Y45" s="17">
        <v>80</v>
      </c>
      <c r="Z45" s="17">
        <v>571.5</v>
      </c>
      <c r="AA45" s="17">
        <v>713</v>
      </c>
      <c r="AB45" s="12">
        <f t="shared" si="0"/>
        <v>43</v>
      </c>
    </row>
    <row r="46" ht="14.25" spans="1:28">
      <c r="A46" s="13">
        <v>13</v>
      </c>
      <c r="B46" s="15">
        <v>1</v>
      </c>
      <c r="C46" s="16">
        <v>14</v>
      </c>
      <c r="D46" s="17" t="s">
        <v>40</v>
      </c>
      <c r="E46" s="17" t="s">
        <v>41</v>
      </c>
      <c r="F46" s="17">
        <v>111</v>
      </c>
      <c r="G46" s="17">
        <v>303</v>
      </c>
      <c r="H46" s="17">
        <v>119.5</v>
      </c>
      <c r="I46" s="17">
        <v>753</v>
      </c>
      <c r="J46" s="17">
        <v>106.5</v>
      </c>
      <c r="K46" s="17">
        <v>1929</v>
      </c>
      <c r="L46" s="17">
        <v>63.5</v>
      </c>
      <c r="M46" s="17">
        <v>1636</v>
      </c>
      <c r="N46" s="17"/>
      <c r="O46" s="17"/>
      <c r="P46" s="17">
        <v>88</v>
      </c>
      <c r="Q46" s="17">
        <v>397</v>
      </c>
      <c r="R46" s="17"/>
      <c r="S46" s="17"/>
      <c r="T46" s="17">
        <v>82</v>
      </c>
      <c r="U46" s="17">
        <v>654</v>
      </c>
      <c r="V46" s="17"/>
      <c r="W46" s="17"/>
      <c r="X46" s="15">
        <v>337</v>
      </c>
      <c r="Y46" s="17">
        <v>37</v>
      </c>
      <c r="Z46" s="17">
        <v>570.5</v>
      </c>
      <c r="AA46" s="17">
        <v>736</v>
      </c>
      <c r="AB46" s="12">
        <f t="shared" si="0"/>
        <v>44</v>
      </c>
    </row>
    <row r="47" ht="14.25" spans="1:28">
      <c r="A47" s="13">
        <v>642</v>
      </c>
      <c r="B47" s="15">
        <v>13</v>
      </c>
      <c r="C47" s="16">
        <v>35</v>
      </c>
      <c r="D47" s="17" t="s">
        <v>1291</v>
      </c>
      <c r="E47" s="17" t="s">
        <v>1292</v>
      </c>
      <c r="F47" s="17">
        <v>114.25</v>
      </c>
      <c r="G47" s="17">
        <v>109</v>
      </c>
      <c r="H47" s="17">
        <v>110</v>
      </c>
      <c r="I47" s="17">
        <v>1931</v>
      </c>
      <c r="J47" s="17">
        <v>109.25</v>
      </c>
      <c r="K47" s="17">
        <v>1566</v>
      </c>
      <c r="L47" s="17">
        <v>62.5</v>
      </c>
      <c r="M47" s="17">
        <v>1781</v>
      </c>
      <c r="N47" s="17"/>
      <c r="O47" s="17"/>
      <c r="P47" s="17">
        <v>81</v>
      </c>
      <c r="Q47" s="17">
        <v>2079</v>
      </c>
      <c r="R47" s="17">
        <v>93</v>
      </c>
      <c r="S47" s="17">
        <v>50</v>
      </c>
      <c r="T47" s="17"/>
      <c r="U47" s="17"/>
      <c r="V47" s="17"/>
      <c r="W47" s="17"/>
      <c r="X47" s="15">
        <v>333.5</v>
      </c>
      <c r="Y47" s="17">
        <v>55</v>
      </c>
      <c r="Z47" s="17">
        <v>570</v>
      </c>
      <c r="AA47" s="17">
        <v>744</v>
      </c>
      <c r="AB47" s="12">
        <f t="shared" si="0"/>
        <v>45</v>
      </c>
    </row>
    <row r="48" ht="14.25" spans="1:28">
      <c r="A48" s="13">
        <v>468</v>
      </c>
      <c r="B48" s="15">
        <v>10</v>
      </c>
      <c r="C48" s="16">
        <v>29</v>
      </c>
      <c r="D48" s="17" t="s">
        <v>946</v>
      </c>
      <c r="E48" s="17" t="s">
        <v>947</v>
      </c>
      <c r="F48" s="17">
        <v>102.5</v>
      </c>
      <c r="G48" s="17">
        <v>2274</v>
      </c>
      <c r="H48" s="17">
        <v>130.5</v>
      </c>
      <c r="I48" s="17">
        <v>122</v>
      </c>
      <c r="J48" s="17">
        <v>104.25</v>
      </c>
      <c r="K48" s="17">
        <v>2330</v>
      </c>
      <c r="L48" s="17">
        <v>63.5</v>
      </c>
      <c r="M48" s="17">
        <v>1636</v>
      </c>
      <c r="N48" s="17"/>
      <c r="O48" s="17"/>
      <c r="P48" s="17">
        <v>83</v>
      </c>
      <c r="Q48" s="17">
        <v>1643</v>
      </c>
      <c r="R48" s="17">
        <v>86</v>
      </c>
      <c r="S48" s="17">
        <v>1176</v>
      </c>
      <c r="T48" s="17"/>
      <c r="U48" s="17"/>
      <c r="V48" s="17"/>
      <c r="W48" s="17"/>
      <c r="X48" s="15">
        <v>337.25</v>
      </c>
      <c r="Y48" s="17">
        <v>35</v>
      </c>
      <c r="Z48" s="17">
        <v>569.75</v>
      </c>
      <c r="AA48" s="17">
        <v>753</v>
      </c>
      <c r="AB48" s="12">
        <f t="shared" si="0"/>
        <v>46</v>
      </c>
    </row>
    <row r="49" ht="14.25" spans="1:28">
      <c r="A49" s="13">
        <v>569</v>
      </c>
      <c r="B49" s="15">
        <v>12</v>
      </c>
      <c r="C49" s="16">
        <v>16</v>
      </c>
      <c r="D49" s="17" t="s">
        <v>1146</v>
      </c>
      <c r="E49" s="17" t="s">
        <v>1147</v>
      </c>
      <c r="F49" s="17">
        <v>103.5</v>
      </c>
      <c r="G49" s="17">
        <v>1897</v>
      </c>
      <c r="H49" s="17">
        <v>119</v>
      </c>
      <c r="I49" s="17">
        <v>786</v>
      </c>
      <c r="J49" s="17">
        <v>98.25</v>
      </c>
      <c r="K49" s="17">
        <v>3423</v>
      </c>
      <c r="L49" s="17">
        <v>69</v>
      </c>
      <c r="M49" s="17">
        <v>949</v>
      </c>
      <c r="N49" s="17"/>
      <c r="O49" s="17"/>
      <c r="P49" s="17">
        <v>91</v>
      </c>
      <c r="Q49" s="17">
        <v>69</v>
      </c>
      <c r="R49" s="17">
        <v>89</v>
      </c>
      <c r="S49" s="17">
        <v>415</v>
      </c>
      <c r="T49" s="17"/>
      <c r="U49" s="17"/>
      <c r="V49" s="17"/>
      <c r="W49" s="17"/>
      <c r="X49" s="15">
        <v>320.75</v>
      </c>
      <c r="Y49" s="17">
        <v>110</v>
      </c>
      <c r="Z49" s="17">
        <v>569.75</v>
      </c>
      <c r="AA49" s="17">
        <v>753</v>
      </c>
      <c r="AB49" s="12">
        <f t="shared" si="0"/>
        <v>46</v>
      </c>
    </row>
    <row r="50" ht="14.25" spans="1:28">
      <c r="A50" s="13">
        <v>142</v>
      </c>
      <c r="B50" s="15">
        <v>3</v>
      </c>
      <c r="C50" s="16">
        <v>31</v>
      </c>
      <c r="D50" s="17" t="s">
        <v>297</v>
      </c>
      <c r="E50" s="17" t="s">
        <v>298</v>
      </c>
      <c r="F50" s="17">
        <v>102.5</v>
      </c>
      <c r="G50" s="17">
        <v>2274</v>
      </c>
      <c r="H50" s="17">
        <v>118.5</v>
      </c>
      <c r="I50" s="17">
        <v>833</v>
      </c>
      <c r="J50" s="17">
        <v>113</v>
      </c>
      <c r="K50" s="17">
        <v>1110</v>
      </c>
      <c r="L50" s="17">
        <v>82.5</v>
      </c>
      <c r="M50" s="17">
        <v>75</v>
      </c>
      <c r="N50" s="17"/>
      <c r="O50" s="17"/>
      <c r="P50" s="17">
        <v>84</v>
      </c>
      <c r="Q50" s="17">
        <v>1443</v>
      </c>
      <c r="R50" s="17"/>
      <c r="S50" s="17"/>
      <c r="T50" s="17"/>
      <c r="U50" s="17"/>
      <c r="V50" s="17">
        <v>69</v>
      </c>
      <c r="W50" s="17">
        <v>2394</v>
      </c>
      <c r="X50" s="15">
        <v>334</v>
      </c>
      <c r="Y50" s="17">
        <v>53</v>
      </c>
      <c r="Z50" s="17">
        <v>569.5</v>
      </c>
      <c r="AA50" s="17">
        <v>760</v>
      </c>
      <c r="AB50" s="12">
        <f t="shared" si="0"/>
        <v>48</v>
      </c>
    </row>
    <row r="51" ht="14.25" spans="1:28">
      <c r="A51" s="13">
        <v>205</v>
      </c>
      <c r="B51" s="15">
        <v>5</v>
      </c>
      <c r="C51" s="16">
        <v>1</v>
      </c>
      <c r="D51" s="17" t="s">
        <v>423</v>
      </c>
      <c r="E51" s="17" t="s">
        <v>424</v>
      </c>
      <c r="F51" s="17">
        <v>98</v>
      </c>
      <c r="G51" s="17">
        <v>4423</v>
      </c>
      <c r="H51" s="17">
        <v>130.5</v>
      </c>
      <c r="I51" s="17">
        <v>122</v>
      </c>
      <c r="J51" s="17">
        <v>114.5</v>
      </c>
      <c r="K51" s="17">
        <v>951</v>
      </c>
      <c r="L51" s="17">
        <v>55.5</v>
      </c>
      <c r="M51" s="17">
        <v>2964</v>
      </c>
      <c r="N51" s="17"/>
      <c r="O51" s="17"/>
      <c r="P51" s="17">
        <v>85</v>
      </c>
      <c r="Q51" s="17">
        <v>1345</v>
      </c>
      <c r="R51" s="17"/>
      <c r="S51" s="17"/>
      <c r="T51" s="17"/>
      <c r="U51" s="17"/>
      <c r="V51" s="17">
        <v>86</v>
      </c>
      <c r="W51" s="17">
        <v>439</v>
      </c>
      <c r="X51" s="15">
        <v>343</v>
      </c>
      <c r="Y51" s="17">
        <v>22</v>
      </c>
      <c r="Z51" s="17">
        <v>569.5</v>
      </c>
      <c r="AA51" s="17">
        <v>760</v>
      </c>
      <c r="AB51" s="12">
        <f t="shared" si="0"/>
        <v>48</v>
      </c>
    </row>
    <row r="52" ht="14.25" spans="1:28">
      <c r="A52" s="13">
        <v>431</v>
      </c>
      <c r="B52" s="15">
        <v>9</v>
      </c>
      <c r="C52" s="16">
        <v>47</v>
      </c>
      <c r="D52" s="17" t="s">
        <v>872</v>
      </c>
      <c r="E52" s="17" t="s">
        <v>873</v>
      </c>
      <c r="F52" s="17">
        <v>109.5</v>
      </c>
      <c r="G52" s="17">
        <v>495</v>
      </c>
      <c r="H52" s="17">
        <v>117</v>
      </c>
      <c r="I52" s="17">
        <v>975</v>
      </c>
      <c r="J52" s="17">
        <v>120</v>
      </c>
      <c r="K52" s="17">
        <v>503</v>
      </c>
      <c r="L52" s="17">
        <v>57.5</v>
      </c>
      <c r="M52" s="17">
        <v>2619</v>
      </c>
      <c r="N52" s="17"/>
      <c r="O52" s="17"/>
      <c r="P52" s="17">
        <v>77</v>
      </c>
      <c r="Q52" s="17">
        <v>3207</v>
      </c>
      <c r="R52" s="17">
        <v>88</v>
      </c>
      <c r="S52" s="17">
        <v>601</v>
      </c>
      <c r="T52" s="17"/>
      <c r="U52" s="17"/>
      <c r="V52" s="17"/>
      <c r="W52" s="17"/>
      <c r="X52" s="15">
        <v>346.5</v>
      </c>
      <c r="Y52" s="17">
        <v>16</v>
      </c>
      <c r="Z52" s="17">
        <v>569</v>
      </c>
      <c r="AA52" s="17">
        <v>776</v>
      </c>
      <c r="AB52" s="12">
        <f t="shared" si="0"/>
        <v>50</v>
      </c>
    </row>
    <row r="53" ht="14.25" spans="1:28">
      <c r="A53" s="13">
        <v>395</v>
      </c>
      <c r="B53" s="15">
        <v>9</v>
      </c>
      <c r="C53" s="16">
        <v>10</v>
      </c>
      <c r="D53" s="17" t="s">
        <v>800</v>
      </c>
      <c r="E53" s="17" t="s">
        <v>801</v>
      </c>
      <c r="F53" s="17">
        <v>101</v>
      </c>
      <c r="G53" s="17">
        <v>2896</v>
      </c>
      <c r="H53" s="17">
        <v>119</v>
      </c>
      <c r="I53" s="17">
        <v>786</v>
      </c>
      <c r="J53" s="17">
        <v>107.25</v>
      </c>
      <c r="K53" s="17">
        <v>1847</v>
      </c>
      <c r="L53" s="17">
        <v>69.5</v>
      </c>
      <c r="M53" s="17">
        <v>899</v>
      </c>
      <c r="N53" s="17"/>
      <c r="O53" s="17"/>
      <c r="P53" s="17">
        <v>82</v>
      </c>
      <c r="Q53" s="17">
        <v>1870</v>
      </c>
      <c r="R53" s="17">
        <v>90</v>
      </c>
      <c r="S53" s="17">
        <v>255</v>
      </c>
      <c r="T53" s="17"/>
      <c r="U53" s="17"/>
      <c r="V53" s="17"/>
      <c r="W53" s="17"/>
      <c r="X53" s="15">
        <v>327.25</v>
      </c>
      <c r="Y53" s="17">
        <v>76</v>
      </c>
      <c r="Z53" s="17">
        <v>568.75</v>
      </c>
      <c r="AA53" s="17">
        <v>786</v>
      </c>
      <c r="AB53" s="12">
        <f t="shared" si="0"/>
        <v>51</v>
      </c>
    </row>
    <row r="54" ht="14.25" spans="1:28">
      <c r="A54" s="13">
        <v>639</v>
      </c>
      <c r="B54" s="15">
        <v>13</v>
      </c>
      <c r="C54" s="16">
        <v>32</v>
      </c>
      <c r="D54" s="17" t="s">
        <v>1285</v>
      </c>
      <c r="E54" s="17" t="s">
        <v>1286</v>
      </c>
      <c r="F54" s="17">
        <v>106.5</v>
      </c>
      <c r="G54" s="17">
        <v>1059</v>
      </c>
      <c r="H54" s="17">
        <v>133.5</v>
      </c>
      <c r="I54" s="17">
        <v>67</v>
      </c>
      <c r="J54" s="17">
        <v>93</v>
      </c>
      <c r="K54" s="17">
        <v>4548</v>
      </c>
      <c r="L54" s="17">
        <v>75.5</v>
      </c>
      <c r="M54" s="17">
        <v>413</v>
      </c>
      <c r="N54" s="17"/>
      <c r="O54" s="17"/>
      <c r="P54" s="17">
        <v>77</v>
      </c>
      <c r="Q54" s="17">
        <v>3207</v>
      </c>
      <c r="R54" s="17">
        <v>83</v>
      </c>
      <c r="S54" s="17">
        <v>1715</v>
      </c>
      <c r="T54" s="17"/>
      <c r="U54" s="17"/>
      <c r="V54" s="17"/>
      <c r="W54" s="17"/>
      <c r="X54" s="15">
        <v>333</v>
      </c>
      <c r="Y54" s="17">
        <v>56</v>
      </c>
      <c r="Z54" s="17">
        <v>568.5</v>
      </c>
      <c r="AA54" s="17">
        <v>794</v>
      </c>
      <c r="AB54" s="12">
        <f t="shared" si="0"/>
        <v>52</v>
      </c>
    </row>
    <row r="55" ht="14.25" spans="1:28">
      <c r="A55" s="13">
        <v>477</v>
      </c>
      <c r="B55" s="15">
        <v>10</v>
      </c>
      <c r="C55" s="16">
        <v>38</v>
      </c>
      <c r="D55" s="17" t="s">
        <v>964</v>
      </c>
      <c r="E55" s="17" t="s">
        <v>965</v>
      </c>
      <c r="F55" s="17">
        <v>109</v>
      </c>
      <c r="G55" s="17">
        <v>567</v>
      </c>
      <c r="H55" s="17">
        <v>113</v>
      </c>
      <c r="I55" s="17">
        <v>1467</v>
      </c>
      <c r="J55" s="17">
        <v>109.5</v>
      </c>
      <c r="K55" s="17">
        <v>1527</v>
      </c>
      <c r="L55" s="17">
        <v>66.5</v>
      </c>
      <c r="M55" s="17">
        <v>1237</v>
      </c>
      <c r="N55" s="17"/>
      <c r="O55" s="17"/>
      <c r="P55" s="17">
        <v>80</v>
      </c>
      <c r="Q55" s="17">
        <v>2333</v>
      </c>
      <c r="R55" s="17">
        <v>90</v>
      </c>
      <c r="S55" s="17">
        <v>255</v>
      </c>
      <c r="T55" s="17"/>
      <c r="U55" s="17"/>
      <c r="V55" s="17"/>
      <c r="W55" s="17"/>
      <c r="X55" s="15">
        <v>331.5</v>
      </c>
      <c r="Y55" s="17">
        <v>59</v>
      </c>
      <c r="Z55" s="17">
        <v>568</v>
      </c>
      <c r="AA55" s="17">
        <v>808</v>
      </c>
      <c r="AB55" s="12">
        <f t="shared" si="0"/>
        <v>53</v>
      </c>
    </row>
    <row r="56" ht="14.25" spans="1:28">
      <c r="A56" s="13">
        <v>427</v>
      </c>
      <c r="B56" s="15">
        <v>9</v>
      </c>
      <c r="C56" s="16">
        <v>43</v>
      </c>
      <c r="D56" s="17" t="s">
        <v>864</v>
      </c>
      <c r="E56" s="17" t="s">
        <v>865</v>
      </c>
      <c r="F56" s="17">
        <v>92.5</v>
      </c>
      <c r="G56" s="17">
        <v>7705</v>
      </c>
      <c r="H56" s="17">
        <v>116</v>
      </c>
      <c r="I56" s="17">
        <v>1095</v>
      </c>
      <c r="J56" s="17">
        <v>114.75</v>
      </c>
      <c r="K56" s="17">
        <v>938</v>
      </c>
      <c r="L56" s="17">
        <v>75.5</v>
      </c>
      <c r="M56" s="17">
        <v>413</v>
      </c>
      <c r="N56" s="17"/>
      <c r="O56" s="17"/>
      <c r="P56" s="17">
        <v>83</v>
      </c>
      <c r="Q56" s="17">
        <v>1643</v>
      </c>
      <c r="R56" s="17">
        <v>86</v>
      </c>
      <c r="S56" s="17">
        <v>1176</v>
      </c>
      <c r="T56" s="17"/>
      <c r="U56" s="17"/>
      <c r="V56" s="17"/>
      <c r="W56" s="17"/>
      <c r="X56" s="15">
        <v>323.25</v>
      </c>
      <c r="Y56" s="17">
        <v>97</v>
      </c>
      <c r="Z56" s="17">
        <v>567.75</v>
      </c>
      <c r="AA56" s="17">
        <v>819</v>
      </c>
      <c r="AB56" s="12">
        <f t="shared" si="0"/>
        <v>54</v>
      </c>
    </row>
    <row r="57" ht="14.25" spans="1:28">
      <c r="A57" s="13">
        <v>417</v>
      </c>
      <c r="B57" s="15">
        <v>9</v>
      </c>
      <c r="C57" s="16">
        <v>33</v>
      </c>
      <c r="D57" s="17" t="s">
        <v>844</v>
      </c>
      <c r="E57" s="17" t="s">
        <v>845</v>
      </c>
      <c r="F57" s="17">
        <v>98.5</v>
      </c>
      <c r="G57" s="17">
        <v>4145</v>
      </c>
      <c r="H57" s="17">
        <v>117.5</v>
      </c>
      <c r="I57" s="17">
        <v>923</v>
      </c>
      <c r="J57" s="17">
        <v>120</v>
      </c>
      <c r="K57" s="17">
        <v>503</v>
      </c>
      <c r="L57" s="17">
        <v>62</v>
      </c>
      <c r="M57" s="17">
        <v>1839</v>
      </c>
      <c r="N57" s="17"/>
      <c r="O57" s="17"/>
      <c r="P57" s="17">
        <v>87</v>
      </c>
      <c r="Q57" s="17">
        <v>681</v>
      </c>
      <c r="R57" s="17">
        <v>82</v>
      </c>
      <c r="S57" s="17">
        <v>1915</v>
      </c>
      <c r="T57" s="17"/>
      <c r="U57" s="17"/>
      <c r="V57" s="17"/>
      <c r="W57" s="17"/>
      <c r="X57" s="15">
        <v>336</v>
      </c>
      <c r="Y57" s="17">
        <v>45</v>
      </c>
      <c r="Z57" s="17">
        <v>567</v>
      </c>
      <c r="AA57" s="17">
        <v>828</v>
      </c>
      <c r="AB57" s="12">
        <f t="shared" si="0"/>
        <v>55</v>
      </c>
    </row>
    <row r="58" ht="14.25" spans="1:28">
      <c r="A58" s="13">
        <v>557</v>
      </c>
      <c r="B58" s="15">
        <v>12</v>
      </c>
      <c r="C58" s="16">
        <v>4</v>
      </c>
      <c r="D58" s="17" t="s">
        <v>1122</v>
      </c>
      <c r="E58" s="17" t="s">
        <v>1123</v>
      </c>
      <c r="F58" s="17">
        <v>102</v>
      </c>
      <c r="G58" s="17">
        <v>2480</v>
      </c>
      <c r="H58" s="17">
        <v>104.5</v>
      </c>
      <c r="I58" s="17">
        <v>2895</v>
      </c>
      <c r="J58" s="17">
        <v>125.5</v>
      </c>
      <c r="K58" s="17">
        <v>199</v>
      </c>
      <c r="L58" s="17">
        <v>72.5</v>
      </c>
      <c r="M58" s="17">
        <v>627</v>
      </c>
      <c r="N58" s="17"/>
      <c r="O58" s="17"/>
      <c r="P58" s="17">
        <v>74</v>
      </c>
      <c r="Q58" s="17">
        <v>4168</v>
      </c>
      <c r="R58" s="17">
        <v>88</v>
      </c>
      <c r="S58" s="17">
        <v>601</v>
      </c>
      <c r="T58" s="17"/>
      <c r="U58" s="17"/>
      <c r="V58" s="17"/>
      <c r="W58" s="17"/>
      <c r="X58" s="15">
        <v>332</v>
      </c>
      <c r="Y58" s="17">
        <v>58</v>
      </c>
      <c r="Z58" s="17">
        <v>566.5</v>
      </c>
      <c r="AA58" s="17">
        <v>840</v>
      </c>
      <c r="AB58" s="12">
        <f t="shared" si="0"/>
        <v>56</v>
      </c>
    </row>
    <row r="59" ht="14.25" spans="1:28">
      <c r="A59" s="13">
        <v>489</v>
      </c>
      <c r="B59" s="15">
        <v>10</v>
      </c>
      <c r="C59" s="16">
        <v>50</v>
      </c>
      <c r="D59" s="17" t="s">
        <v>988</v>
      </c>
      <c r="E59" s="17" t="s">
        <v>989</v>
      </c>
      <c r="F59" s="17">
        <v>107</v>
      </c>
      <c r="G59" s="17">
        <v>945</v>
      </c>
      <c r="H59" s="17">
        <v>119.5</v>
      </c>
      <c r="I59" s="17">
        <v>753</v>
      </c>
      <c r="J59" s="17">
        <v>100.5</v>
      </c>
      <c r="K59" s="17">
        <v>2946</v>
      </c>
      <c r="L59" s="17">
        <v>63</v>
      </c>
      <c r="M59" s="17">
        <v>1702</v>
      </c>
      <c r="N59" s="17"/>
      <c r="O59" s="17"/>
      <c r="P59" s="17">
        <v>92</v>
      </c>
      <c r="Q59" s="17">
        <v>36</v>
      </c>
      <c r="R59" s="17">
        <v>83</v>
      </c>
      <c r="S59" s="17">
        <v>1715</v>
      </c>
      <c r="T59" s="17"/>
      <c r="U59" s="17"/>
      <c r="V59" s="17"/>
      <c r="W59" s="17"/>
      <c r="X59" s="15">
        <v>327</v>
      </c>
      <c r="Y59" s="17">
        <v>77</v>
      </c>
      <c r="Z59" s="17">
        <v>565</v>
      </c>
      <c r="AA59" s="17">
        <v>866</v>
      </c>
      <c r="AB59" s="12">
        <f t="shared" si="0"/>
        <v>57</v>
      </c>
    </row>
    <row r="60" ht="14.25" spans="1:28">
      <c r="A60" s="13">
        <v>420</v>
      </c>
      <c r="B60" s="15">
        <v>9</v>
      </c>
      <c r="C60" s="16">
        <v>36</v>
      </c>
      <c r="D60" s="17" t="s">
        <v>850</v>
      </c>
      <c r="E60" s="17" t="s">
        <v>851</v>
      </c>
      <c r="F60" s="17">
        <v>107.75</v>
      </c>
      <c r="G60" s="17">
        <v>823</v>
      </c>
      <c r="H60" s="17">
        <v>121.5</v>
      </c>
      <c r="I60" s="17">
        <v>581</v>
      </c>
      <c r="J60" s="17">
        <v>96</v>
      </c>
      <c r="K60" s="17">
        <v>3851</v>
      </c>
      <c r="L60" s="17">
        <v>64.5</v>
      </c>
      <c r="M60" s="17">
        <v>1506</v>
      </c>
      <c r="N60" s="17"/>
      <c r="O60" s="17"/>
      <c r="P60" s="17">
        <v>90</v>
      </c>
      <c r="Q60" s="17">
        <v>119</v>
      </c>
      <c r="R60" s="17">
        <v>85</v>
      </c>
      <c r="S60" s="17">
        <v>1393</v>
      </c>
      <c r="T60" s="17"/>
      <c r="U60" s="17"/>
      <c r="V60" s="17"/>
      <c r="W60" s="17"/>
      <c r="X60" s="15">
        <v>325.25</v>
      </c>
      <c r="Y60" s="17">
        <v>87</v>
      </c>
      <c r="Z60" s="17">
        <v>564.75</v>
      </c>
      <c r="AA60" s="17">
        <v>879</v>
      </c>
      <c r="AB60" s="12">
        <f t="shared" si="0"/>
        <v>58</v>
      </c>
    </row>
    <row r="61" ht="14.25" spans="1:28">
      <c r="A61" s="13">
        <v>434</v>
      </c>
      <c r="B61" s="15">
        <v>9</v>
      </c>
      <c r="C61" s="16">
        <v>50</v>
      </c>
      <c r="D61" s="19" t="s">
        <v>878</v>
      </c>
      <c r="E61" s="17" t="s">
        <v>879</v>
      </c>
      <c r="F61" s="17">
        <v>118.5</v>
      </c>
      <c r="G61" s="17">
        <v>19</v>
      </c>
      <c r="H61" s="17">
        <v>108</v>
      </c>
      <c r="I61" s="17">
        <v>2274</v>
      </c>
      <c r="J61" s="17">
        <v>103.25</v>
      </c>
      <c r="K61" s="17">
        <v>2503</v>
      </c>
      <c r="L61" s="17">
        <v>69</v>
      </c>
      <c r="M61" s="17">
        <v>949</v>
      </c>
      <c r="N61" s="17"/>
      <c r="O61" s="17"/>
      <c r="P61" s="17">
        <v>79</v>
      </c>
      <c r="Q61" s="17">
        <v>2632</v>
      </c>
      <c r="R61" s="17">
        <v>87</v>
      </c>
      <c r="S61" s="17">
        <v>883</v>
      </c>
      <c r="T61" s="17"/>
      <c r="U61" s="17"/>
      <c r="V61" s="17"/>
      <c r="W61" s="17"/>
      <c r="X61" s="15">
        <v>329.75</v>
      </c>
      <c r="Y61" s="17">
        <v>68</v>
      </c>
      <c r="Z61" s="17">
        <v>564.75</v>
      </c>
      <c r="AA61" s="17">
        <v>879</v>
      </c>
      <c r="AB61" s="12">
        <f t="shared" si="0"/>
        <v>58</v>
      </c>
    </row>
    <row r="62" ht="14.25" spans="1:28">
      <c r="A62" s="13">
        <v>444</v>
      </c>
      <c r="B62" s="15">
        <v>10</v>
      </c>
      <c r="C62" s="16">
        <v>5</v>
      </c>
      <c r="D62" s="17" t="s">
        <v>898</v>
      </c>
      <c r="E62" s="17" t="s">
        <v>899</v>
      </c>
      <c r="F62" s="17">
        <v>114</v>
      </c>
      <c r="G62" s="17">
        <v>113</v>
      </c>
      <c r="H62" s="17">
        <v>109</v>
      </c>
      <c r="I62" s="17">
        <v>2105</v>
      </c>
      <c r="J62" s="17">
        <v>107.75</v>
      </c>
      <c r="K62" s="17">
        <v>1777</v>
      </c>
      <c r="L62" s="17">
        <v>53.5</v>
      </c>
      <c r="M62" s="17">
        <v>3296</v>
      </c>
      <c r="N62" s="17"/>
      <c r="O62" s="17"/>
      <c r="P62" s="17">
        <v>89</v>
      </c>
      <c r="Q62" s="17">
        <v>222</v>
      </c>
      <c r="R62" s="17">
        <v>91</v>
      </c>
      <c r="S62" s="17">
        <v>151</v>
      </c>
      <c r="T62" s="17"/>
      <c r="U62" s="17"/>
      <c r="V62" s="17"/>
      <c r="W62" s="17"/>
      <c r="X62" s="15">
        <v>330.75</v>
      </c>
      <c r="Y62" s="17">
        <v>61</v>
      </c>
      <c r="Z62" s="17">
        <v>564.25</v>
      </c>
      <c r="AA62" s="17">
        <v>891</v>
      </c>
      <c r="AB62" s="12">
        <f t="shared" si="0"/>
        <v>60</v>
      </c>
    </row>
    <row r="63" ht="14.25" spans="1:28">
      <c r="A63" s="13">
        <v>389</v>
      </c>
      <c r="B63" s="15">
        <v>9</v>
      </c>
      <c r="C63" s="16">
        <v>4</v>
      </c>
      <c r="D63" s="17" t="s">
        <v>788</v>
      </c>
      <c r="E63" s="17" t="s">
        <v>789</v>
      </c>
      <c r="F63" s="17">
        <v>105.5</v>
      </c>
      <c r="G63" s="17">
        <v>1281</v>
      </c>
      <c r="H63" s="17">
        <v>112.5</v>
      </c>
      <c r="I63" s="17">
        <v>1543</v>
      </c>
      <c r="J63" s="17">
        <v>119</v>
      </c>
      <c r="K63" s="17">
        <v>560</v>
      </c>
      <c r="L63" s="17">
        <v>71</v>
      </c>
      <c r="M63" s="17">
        <v>762</v>
      </c>
      <c r="N63" s="17"/>
      <c r="O63" s="17"/>
      <c r="P63" s="17">
        <v>74</v>
      </c>
      <c r="Q63" s="17">
        <v>4168</v>
      </c>
      <c r="R63" s="17">
        <v>82</v>
      </c>
      <c r="S63" s="17">
        <v>1915</v>
      </c>
      <c r="T63" s="17"/>
      <c r="U63" s="17"/>
      <c r="V63" s="17"/>
      <c r="W63" s="17"/>
      <c r="X63" s="15">
        <v>337</v>
      </c>
      <c r="Y63" s="17">
        <v>37</v>
      </c>
      <c r="Z63" s="17">
        <v>564</v>
      </c>
      <c r="AA63" s="17">
        <v>894</v>
      </c>
      <c r="AB63" s="12">
        <f t="shared" si="0"/>
        <v>61</v>
      </c>
    </row>
    <row r="64" ht="14.25" spans="1:28">
      <c r="A64" s="13">
        <v>405</v>
      </c>
      <c r="B64" s="15">
        <v>9</v>
      </c>
      <c r="C64" s="16">
        <v>20</v>
      </c>
      <c r="D64" s="17" t="s">
        <v>820</v>
      </c>
      <c r="E64" s="17" t="s">
        <v>821</v>
      </c>
      <c r="F64" s="17">
        <v>93.5</v>
      </c>
      <c r="G64" s="17">
        <v>7127</v>
      </c>
      <c r="H64" s="17">
        <v>123</v>
      </c>
      <c r="I64" s="17">
        <v>484</v>
      </c>
      <c r="J64" s="17">
        <v>119</v>
      </c>
      <c r="K64" s="17">
        <v>560</v>
      </c>
      <c r="L64" s="17">
        <v>66.5</v>
      </c>
      <c r="M64" s="17">
        <v>1237</v>
      </c>
      <c r="N64" s="17"/>
      <c r="O64" s="17"/>
      <c r="P64" s="17">
        <v>78</v>
      </c>
      <c r="Q64" s="17">
        <v>2908</v>
      </c>
      <c r="R64" s="17">
        <v>84</v>
      </c>
      <c r="S64" s="17">
        <v>1490</v>
      </c>
      <c r="T64" s="17"/>
      <c r="U64" s="17"/>
      <c r="V64" s="17"/>
      <c r="W64" s="17"/>
      <c r="X64" s="15">
        <v>335.5</v>
      </c>
      <c r="Y64" s="17">
        <v>48</v>
      </c>
      <c r="Z64" s="17">
        <v>564</v>
      </c>
      <c r="AA64" s="17">
        <v>894</v>
      </c>
      <c r="AB64" s="12">
        <f t="shared" si="0"/>
        <v>61</v>
      </c>
    </row>
    <row r="65" ht="14.25" spans="1:28">
      <c r="A65" s="13">
        <v>92</v>
      </c>
      <c r="B65" s="15">
        <v>2</v>
      </c>
      <c r="C65" s="16">
        <v>29</v>
      </c>
      <c r="D65" s="17" t="s">
        <v>197</v>
      </c>
      <c r="E65" s="17" t="s">
        <v>198</v>
      </c>
      <c r="F65" s="17">
        <v>94.5</v>
      </c>
      <c r="G65" s="17">
        <v>6496</v>
      </c>
      <c r="H65" s="17">
        <v>105</v>
      </c>
      <c r="I65" s="17">
        <v>2810</v>
      </c>
      <c r="J65" s="17">
        <v>115.5</v>
      </c>
      <c r="K65" s="17">
        <v>849</v>
      </c>
      <c r="L65" s="17">
        <v>70.5</v>
      </c>
      <c r="M65" s="17">
        <v>821</v>
      </c>
      <c r="N65" s="17"/>
      <c r="O65" s="17"/>
      <c r="P65" s="17"/>
      <c r="Q65" s="17"/>
      <c r="R65" s="17">
        <v>90</v>
      </c>
      <c r="S65" s="17">
        <v>255</v>
      </c>
      <c r="T65" s="17">
        <v>88</v>
      </c>
      <c r="U65" s="17">
        <v>161</v>
      </c>
      <c r="V65" s="17"/>
      <c r="W65" s="17"/>
      <c r="X65" s="15">
        <v>315</v>
      </c>
      <c r="Y65" s="17">
        <v>149</v>
      </c>
      <c r="Z65" s="17">
        <v>563.5</v>
      </c>
      <c r="AA65" s="17">
        <v>913</v>
      </c>
      <c r="AB65" s="12">
        <f t="shared" si="0"/>
        <v>63</v>
      </c>
    </row>
    <row r="66" ht="14.25" spans="1:28">
      <c r="A66" s="13">
        <v>39</v>
      </c>
      <c r="B66" s="15">
        <v>1</v>
      </c>
      <c r="C66" s="16">
        <v>41</v>
      </c>
      <c r="D66" s="17" t="s">
        <v>92</v>
      </c>
      <c r="E66" s="17" t="s">
        <v>93</v>
      </c>
      <c r="F66" s="17">
        <v>112</v>
      </c>
      <c r="G66" s="17">
        <v>223</v>
      </c>
      <c r="H66" s="17">
        <v>110.5</v>
      </c>
      <c r="I66" s="17">
        <v>1866</v>
      </c>
      <c r="J66" s="17">
        <v>106.25</v>
      </c>
      <c r="K66" s="17">
        <v>1993</v>
      </c>
      <c r="L66" s="17">
        <v>65.5</v>
      </c>
      <c r="M66" s="17">
        <v>1373</v>
      </c>
      <c r="N66" s="17"/>
      <c r="O66" s="17"/>
      <c r="P66" s="17">
        <v>80</v>
      </c>
      <c r="Q66" s="17">
        <v>2333</v>
      </c>
      <c r="R66" s="17"/>
      <c r="S66" s="17"/>
      <c r="T66" s="17">
        <v>89</v>
      </c>
      <c r="U66" s="17">
        <v>84</v>
      </c>
      <c r="V66" s="17"/>
      <c r="W66" s="17"/>
      <c r="X66" s="15">
        <v>328.75</v>
      </c>
      <c r="Y66" s="17">
        <v>74</v>
      </c>
      <c r="Z66" s="17">
        <v>563.25</v>
      </c>
      <c r="AA66" s="17">
        <v>921</v>
      </c>
      <c r="AB66" s="12">
        <f t="shared" si="0"/>
        <v>64</v>
      </c>
    </row>
    <row r="67" ht="14.25" spans="1:28">
      <c r="A67" s="13">
        <v>72</v>
      </c>
      <c r="B67" s="15">
        <v>2</v>
      </c>
      <c r="C67" s="16">
        <v>9</v>
      </c>
      <c r="D67" s="17" t="s">
        <v>158</v>
      </c>
      <c r="E67" s="17" t="s">
        <v>159</v>
      </c>
      <c r="F67" s="17">
        <v>104</v>
      </c>
      <c r="G67" s="17">
        <v>1709</v>
      </c>
      <c r="H67" s="17">
        <v>117</v>
      </c>
      <c r="I67" s="17">
        <v>975</v>
      </c>
      <c r="J67" s="17">
        <v>104.75</v>
      </c>
      <c r="K67" s="17">
        <v>2246</v>
      </c>
      <c r="L67" s="17">
        <v>61</v>
      </c>
      <c r="M67" s="17">
        <v>2008</v>
      </c>
      <c r="N67" s="17"/>
      <c r="O67" s="17"/>
      <c r="P67" s="17"/>
      <c r="Q67" s="17"/>
      <c r="R67" s="17">
        <v>86</v>
      </c>
      <c r="S67" s="17">
        <v>1176</v>
      </c>
      <c r="T67" s="17">
        <v>90</v>
      </c>
      <c r="U67" s="17">
        <v>46</v>
      </c>
      <c r="V67" s="17"/>
      <c r="W67" s="17"/>
      <c r="X67" s="15">
        <v>325.75</v>
      </c>
      <c r="Y67" s="17">
        <v>82</v>
      </c>
      <c r="Z67" s="17">
        <v>562.75</v>
      </c>
      <c r="AA67" s="17">
        <v>936</v>
      </c>
      <c r="AB67" s="12">
        <f t="shared" ref="AB67:AB130" si="1">RANK(Z67,$Z$3:$Z$696)</f>
        <v>65</v>
      </c>
    </row>
    <row r="68" ht="14.25" spans="1:28">
      <c r="A68" s="13">
        <v>415</v>
      </c>
      <c r="B68" s="15">
        <v>9</v>
      </c>
      <c r="C68" s="16">
        <v>31</v>
      </c>
      <c r="D68" s="17" t="s">
        <v>840</v>
      </c>
      <c r="E68" s="17" t="s">
        <v>841</v>
      </c>
      <c r="F68" s="17">
        <v>109</v>
      </c>
      <c r="G68" s="17">
        <v>567</v>
      </c>
      <c r="H68" s="17">
        <v>126</v>
      </c>
      <c r="I68" s="17">
        <v>306</v>
      </c>
      <c r="J68" s="17">
        <v>108.5</v>
      </c>
      <c r="K68" s="17">
        <v>1655</v>
      </c>
      <c r="L68" s="17">
        <v>60</v>
      </c>
      <c r="M68" s="17">
        <v>2185</v>
      </c>
      <c r="N68" s="17"/>
      <c r="O68" s="17"/>
      <c r="P68" s="17">
        <v>76</v>
      </c>
      <c r="Q68" s="17">
        <v>3515</v>
      </c>
      <c r="R68" s="17">
        <v>83</v>
      </c>
      <c r="S68" s="17">
        <v>1715</v>
      </c>
      <c r="T68" s="17"/>
      <c r="U68" s="17"/>
      <c r="V68" s="17"/>
      <c r="W68" s="17"/>
      <c r="X68" s="15">
        <v>343.5</v>
      </c>
      <c r="Y68" s="17">
        <v>21</v>
      </c>
      <c r="Z68" s="17">
        <v>562.5</v>
      </c>
      <c r="AA68" s="17">
        <v>937</v>
      </c>
      <c r="AB68" s="12">
        <f t="shared" si="1"/>
        <v>66</v>
      </c>
    </row>
    <row r="69" ht="14.25" spans="1:28">
      <c r="A69" s="13">
        <v>185</v>
      </c>
      <c r="B69" s="15">
        <v>4</v>
      </c>
      <c r="C69" s="16">
        <v>26</v>
      </c>
      <c r="D69" s="17" t="s">
        <v>383</v>
      </c>
      <c r="E69" s="17" t="s">
        <v>384</v>
      </c>
      <c r="F69" s="17">
        <v>116</v>
      </c>
      <c r="G69" s="17">
        <v>48</v>
      </c>
      <c r="H69" s="17">
        <v>114.5</v>
      </c>
      <c r="I69" s="17">
        <v>1277</v>
      </c>
      <c r="J69" s="17">
        <v>106</v>
      </c>
      <c r="K69" s="17">
        <v>2012</v>
      </c>
      <c r="L69" s="17">
        <v>65.5</v>
      </c>
      <c r="M69" s="17">
        <v>1373</v>
      </c>
      <c r="N69" s="17"/>
      <c r="O69" s="17"/>
      <c r="P69" s="17">
        <v>72</v>
      </c>
      <c r="Q69" s="17">
        <v>4881</v>
      </c>
      <c r="R69" s="17"/>
      <c r="S69" s="17"/>
      <c r="T69" s="17"/>
      <c r="U69" s="17"/>
      <c r="V69" s="17">
        <v>88</v>
      </c>
      <c r="W69" s="17">
        <v>165</v>
      </c>
      <c r="X69" s="15">
        <v>336.5</v>
      </c>
      <c r="Y69" s="17">
        <v>43</v>
      </c>
      <c r="Z69" s="17">
        <v>562</v>
      </c>
      <c r="AA69" s="17">
        <v>947</v>
      </c>
      <c r="AB69" s="12">
        <f t="shared" si="1"/>
        <v>67</v>
      </c>
    </row>
    <row r="70" ht="14.25" spans="1:28">
      <c r="A70" s="13">
        <v>479</v>
      </c>
      <c r="B70" s="15">
        <v>10</v>
      </c>
      <c r="C70" s="16">
        <v>40</v>
      </c>
      <c r="D70" s="17" t="s">
        <v>968</v>
      </c>
      <c r="E70" s="17" t="s">
        <v>969</v>
      </c>
      <c r="F70" s="17">
        <v>115</v>
      </c>
      <c r="G70" s="17">
        <v>77</v>
      </c>
      <c r="H70" s="17">
        <v>103</v>
      </c>
      <c r="I70" s="17">
        <v>3209</v>
      </c>
      <c r="J70" s="17">
        <v>112.75</v>
      </c>
      <c r="K70" s="17">
        <v>1155</v>
      </c>
      <c r="L70" s="17">
        <v>66</v>
      </c>
      <c r="M70" s="17">
        <v>1304</v>
      </c>
      <c r="N70" s="17"/>
      <c r="O70" s="17"/>
      <c r="P70" s="17">
        <v>89</v>
      </c>
      <c r="Q70" s="17">
        <v>222</v>
      </c>
      <c r="R70" s="17">
        <v>76</v>
      </c>
      <c r="S70" s="17">
        <v>3491</v>
      </c>
      <c r="T70" s="17"/>
      <c r="U70" s="17"/>
      <c r="V70" s="17"/>
      <c r="W70" s="17"/>
      <c r="X70" s="15">
        <v>330.75</v>
      </c>
      <c r="Y70" s="17">
        <v>61</v>
      </c>
      <c r="Z70" s="17">
        <v>561.75</v>
      </c>
      <c r="AA70" s="17">
        <v>953</v>
      </c>
      <c r="AB70" s="12">
        <f t="shared" si="1"/>
        <v>68</v>
      </c>
    </row>
    <row r="71" ht="14.25" spans="1:28">
      <c r="A71" s="13">
        <v>496</v>
      </c>
      <c r="B71" s="15">
        <v>10</v>
      </c>
      <c r="C71" s="16">
        <v>57</v>
      </c>
      <c r="D71" s="17" t="s">
        <v>1002</v>
      </c>
      <c r="E71" s="17" t="s">
        <v>1003</v>
      </c>
      <c r="F71" s="17">
        <v>98.25</v>
      </c>
      <c r="G71" s="17">
        <v>4392</v>
      </c>
      <c r="H71" s="17">
        <v>118.5</v>
      </c>
      <c r="I71" s="17">
        <v>833</v>
      </c>
      <c r="J71" s="17">
        <v>110</v>
      </c>
      <c r="K71" s="17">
        <v>1448</v>
      </c>
      <c r="L71" s="17">
        <v>63</v>
      </c>
      <c r="M71" s="17">
        <v>1702</v>
      </c>
      <c r="N71" s="17"/>
      <c r="O71" s="17"/>
      <c r="P71" s="17">
        <v>83</v>
      </c>
      <c r="Q71" s="17">
        <v>1643</v>
      </c>
      <c r="R71" s="17">
        <v>89</v>
      </c>
      <c r="S71" s="17">
        <v>415</v>
      </c>
      <c r="T71" s="17"/>
      <c r="U71" s="17"/>
      <c r="V71" s="17"/>
      <c r="W71" s="17"/>
      <c r="X71" s="15">
        <v>326.75</v>
      </c>
      <c r="Y71" s="17">
        <v>79</v>
      </c>
      <c r="Z71" s="17">
        <v>561.75</v>
      </c>
      <c r="AA71" s="17">
        <v>953</v>
      </c>
      <c r="AB71" s="12">
        <f t="shared" si="1"/>
        <v>68</v>
      </c>
    </row>
    <row r="72" ht="14.25" spans="1:28">
      <c r="A72" s="13">
        <v>424</v>
      </c>
      <c r="B72" s="15">
        <v>9</v>
      </c>
      <c r="C72" s="16">
        <v>40</v>
      </c>
      <c r="D72" s="17" t="s">
        <v>858</v>
      </c>
      <c r="E72" s="17" t="s">
        <v>859</v>
      </c>
      <c r="F72" s="17">
        <v>95</v>
      </c>
      <c r="G72" s="17">
        <v>6168</v>
      </c>
      <c r="H72" s="17">
        <v>125.5</v>
      </c>
      <c r="I72" s="17">
        <v>333</v>
      </c>
      <c r="J72" s="17">
        <v>114.75</v>
      </c>
      <c r="K72" s="17">
        <v>938</v>
      </c>
      <c r="L72" s="17">
        <v>51.5</v>
      </c>
      <c r="M72" s="17">
        <v>3642</v>
      </c>
      <c r="N72" s="17"/>
      <c r="O72" s="17"/>
      <c r="P72" s="17">
        <v>87</v>
      </c>
      <c r="Q72" s="17">
        <v>681</v>
      </c>
      <c r="R72" s="17">
        <v>87</v>
      </c>
      <c r="S72" s="17">
        <v>883</v>
      </c>
      <c r="T72" s="17"/>
      <c r="U72" s="17"/>
      <c r="V72" s="17"/>
      <c r="W72" s="17"/>
      <c r="X72" s="15">
        <v>335.25</v>
      </c>
      <c r="Y72" s="17">
        <v>50</v>
      </c>
      <c r="Z72" s="17">
        <v>560.75</v>
      </c>
      <c r="AA72" s="17">
        <v>985</v>
      </c>
      <c r="AB72" s="12">
        <f t="shared" si="1"/>
        <v>70</v>
      </c>
    </row>
    <row r="73" ht="14.25" spans="1:28">
      <c r="A73" s="13">
        <v>28</v>
      </c>
      <c r="B73" s="15">
        <v>1</v>
      </c>
      <c r="C73" s="16">
        <v>30</v>
      </c>
      <c r="D73" s="17" t="s">
        <v>70</v>
      </c>
      <c r="E73" s="17" t="s">
        <v>71</v>
      </c>
      <c r="F73" s="17">
        <v>109.5</v>
      </c>
      <c r="G73" s="17">
        <v>495</v>
      </c>
      <c r="H73" s="17">
        <v>113</v>
      </c>
      <c r="I73" s="17">
        <v>1467</v>
      </c>
      <c r="J73" s="17">
        <v>117.5</v>
      </c>
      <c r="K73" s="17">
        <v>682</v>
      </c>
      <c r="L73" s="17">
        <v>50.5</v>
      </c>
      <c r="M73" s="17">
        <v>3830</v>
      </c>
      <c r="N73" s="17"/>
      <c r="O73" s="17"/>
      <c r="P73" s="17">
        <v>81</v>
      </c>
      <c r="Q73" s="17">
        <v>2079</v>
      </c>
      <c r="R73" s="17"/>
      <c r="S73" s="17"/>
      <c r="T73" s="17">
        <v>89</v>
      </c>
      <c r="U73" s="17">
        <v>84</v>
      </c>
      <c r="V73" s="17"/>
      <c r="W73" s="17"/>
      <c r="X73" s="15">
        <v>340</v>
      </c>
      <c r="Y73" s="17">
        <v>29</v>
      </c>
      <c r="Z73" s="17">
        <v>560.5</v>
      </c>
      <c r="AA73" s="17">
        <v>988</v>
      </c>
      <c r="AB73" s="12">
        <f t="shared" si="1"/>
        <v>71</v>
      </c>
    </row>
    <row r="74" ht="14.25" spans="1:28">
      <c r="A74" s="13">
        <v>481</v>
      </c>
      <c r="B74" s="15">
        <v>10</v>
      </c>
      <c r="C74" s="16">
        <v>42</v>
      </c>
      <c r="D74" s="17" t="s">
        <v>972</v>
      </c>
      <c r="E74" s="17" t="s">
        <v>973</v>
      </c>
      <c r="F74" s="17">
        <v>98.5</v>
      </c>
      <c r="G74" s="17">
        <v>4145</v>
      </c>
      <c r="H74" s="17">
        <v>116.5</v>
      </c>
      <c r="I74" s="17">
        <v>1035</v>
      </c>
      <c r="J74" s="17">
        <v>99.75</v>
      </c>
      <c r="K74" s="17">
        <v>3109</v>
      </c>
      <c r="L74" s="17">
        <v>74.5</v>
      </c>
      <c r="M74" s="17">
        <v>487</v>
      </c>
      <c r="N74" s="17"/>
      <c r="O74" s="17"/>
      <c r="P74" s="17">
        <v>81</v>
      </c>
      <c r="Q74" s="17">
        <v>2079</v>
      </c>
      <c r="R74" s="17">
        <v>90</v>
      </c>
      <c r="S74" s="17">
        <v>255</v>
      </c>
      <c r="T74" s="17"/>
      <c r="U74" s="17"/>
      <c r="V74" s="17"/>
      <c r="W74" s="17"/>
      <c r="X74" s="15">
        <v>314.75</v>
      </c>
      <c r="Y74" s="17">
        <v>151</v>
      </c>
      <c r="Z74" s="17">
        <v>560.25</v>
      </c>
      <c r="AA74" s="17">
        <v>994</v>
      </c>
      <c r="AB74" s="12">
        <f t="shared" si="1"/>
        <v>72</v>
      </c>
    </row>
    <row r="75" ht="14.25" spans="1:28">
      <c r="A75" s="13">
        <v>390</v>
      </c>
      <c r="B75" s="15">
        <v>9</v>
      </c>
      <c r="C75" s="16">
        <v>5</v>
      </c>
      <c r="D75" s="17" t="s">
        <v>790</v>
      </c>
      <c r="E75" s="17" t="s">
        <v>791</v>
      </c>
      <c r="F75" s="17">
        <v>109.5</v>
      </c>
      <c r="G75" s="17">
        <v>495</v>
      </c>
      <c r="H75" s="17">
        <v>118.5</v>
      </c>
      <c r="I75" s="17">
        <v>833</v>
      </c>
      <c r="J75" s="17">
        <v>118</v>
      </c>
      <c r="K75" s="17">
        <v>642</v>
      </c>
      <c r="L75" s="17">
        <v>55</v>
      </c>
      <c r="M75" s="17">
        <v>3031</v>
      </c>
      <c r="N75" s="17"/>
      <c r="O75" s="17"/>
      <c r="P75" s="17">
        <v>73</v>
      </c>
      <c r="Q75" s="17">
        <v>4501</v>
      </c>
      <c r="R75" s="17">
        <v>86</v>
      </c>
      <c r="S75" s="17">
        <v>1176</v>
      </c>
      <c r="T75" s="17"/>
      <c r="U75" s="17"/>
      <c r="V75" s="17"/>
      <c r="W75" s="17"/>
      <c r="X75" s="15">
        <v>346</v>
      </c>
      <c r="Y75" s="17">
        <v>17</v>
      </c>
      <c r="Z75" s="17">
        <v>560</v>
      </c>
      <c r="AA75" s="17">
        <v>997</v>
      </c>
      <c r="AB75" s="12">
        <f t="shared" si="1"/>
        <v>73</v>
      </c>
    </row>
    <row r="76" ht="14.25" spans="1:28">
      <c r="A76" s="13">
        <v>514</v>
      </c>
      <c r="B76" s="15">
        <v>11</v>
      </c>
      <c r="C76" s="16">
        <v>18</v>
      </c>
      <c r="D76" s="19" t="s">
        <v>1038</v>
      </c>
      <c r="E76" s="17" t="s">
        <v>1039</v>
      </c>
      <c r="F76" s="17">
        <v>103.5</v>
      </c>
      <c r="G76" s="17">
        <v>1897</v>
      </c>
      <c r="H76" s="17">
        <v>128</v>
      </c>
      <c r="I76" s="17">
        <v>207</v>
      </c>
      <c r="J76" s="17">
        <v>118</v>
      </c>
      <c r="K76" s="17">
        <v>642</v>
      </c>
      <c r="L76" s="17">
        <v>63</v>
      </c>
      <c r="M76" s="17">
        <v>1702</v>
      </c>
      <c r="N76" s="17"/>
      <c r="O76" s="17"/>
      <c r="P76" s="17">
        <v>67</v>
      </c>
      <c r="Q76" s="17">
        <v>6384</v>
      </c>
      <c r="R76" s="17">
        <v>80</v>
      </c>
      <c r="S76" s="17">
        <v>2376</v>
      </c>
      <c r="T76" s="17"/>
      <c r="U76" s="17"/>
      <c r="V76" s="17"/>
      <c r="W76" s="17"/>
      <c r="X76" s="15">
        <v>349.5</v>
      </c>
      <c r="Y76" s="17">
        <v>12</v>
      </c>
      <c r="Z76" s="17">
        <v>559.5</v>
      </c>
      <c r="AA76" s="17">
        <v>1011</v>
      </c>
      <c r="AB76" s="12">
        <f t="shared" si="1"/>
        <v>74</v>
      </c>
    </row>
    <row r="77" ht="14.25" spans="1:28">
      <c r="A77" s="13">
        <v>439</v>
      </c>
      <c r="B77" s="15">
        <v>9</v>
      </c>
      <c r="C77" s="16">
        <v>55</v>
      </c>
      <c r="D77" s="17" t="s">
        <v>888</v>
      </c>
      <c r="E77" s="17" t="s">
        <v>889</v>
      </c>
      <c r="F77" s="17">
        <v>95</v>
      </c>
      <c r="G77" s="17">
        <v>6168</v>
      </c>
      <c r="H77" s="17">
        <v>97.5</v>
      </c>
      <c r="I77" s="17">
        <v>4244</v>
      </c>
      <c r="J77" s="17">
        <v>111.75</v>
      </c>
      <c r="K77" s="17">
        <v>1270</v>
      </c>
      <c r="L77" s="17">
        <v>78</v>
      </c>
      <c r="M77" s="17">
        <v>253</v>
      </c>
      <c r="N77" s="17"/>
      <c r="O77" s="17"/>
      <c r="P77" s="17">
        <v>88</v>
      </c>
      <c r="Q77" s="17">
        <v>397</v>
      </c>
      <c r="R77" s="17">
        <v>88</v>
      </c>
      <c r="S77" s="17">
        <v>601</v>
      </c>
      <c r="T77" s="17"/>
      <c r="U77" s="17"/>
      <c r="V77" s="17"/>
      <c r="W77" s="17"/>
      <c r="X77" s="15">
        <v>304.25</v>
      </c>
      <c r="Y77" s="17">
        <v>243</v>
      </c>
      <c r="Z77" s="17">
        <v>558.25</v>
      </c>
      <c r="AA77" s="17">
        <v>1038</v>
      </c>
      <c r="AB77" s="12">
        <f t="shared" si="1"/>
        <v>75</v>
      </c>
    </row>
    <row r="78" ht="14.25" spans="1:28">
      <c r="A78" s="13">
        <v>229</v>
      </c>
      <c r="B78" s="15">
        <v>5</v>
      </c>
      <c r="C78" s="16">
        <v>26</v>
      </c>
      <c r="D78" s="17" t="s">
        <v>471</v>
      </c>
      <c r="E78" s="17" t="s">
        <v>472</v>
      </c>
      <c r="F78" s="17">
        <v>101</v>
      </c>
      <c r="G78" s="17">
        <v>2896</v>
      </c>
      <c r="H78" s="17">
        <v>109.5</v>
      </c>
      <c r="I78" s="17">
        <v>2023</v>
      </c>
      <c r="J78" s="17">
        <v>113</v>
      </c>
      <c r="K78" s="17">
        <v>1110</v>
      </c>
      <c r="L78" s="17">
        <v>75.5</v>
      </c>
      <c r="M78" s="17">
        <v>413</v>
      </c>
      <c r="N78" s="17"/>
      <c r="O78" s="17"/>
      <c r="P78" s="17">
        <v>81</v>
      </c>
      <c r="Q78" s="17">
        <v>2079</v>
      </c>
      <c r="R78" s="17"/>
      <c r="S78" s="17"/>
      <c r="T78" s="17"/>
      <c r="U78" s="17"/>
      <c r="V78" s="17">
        <v>78</v>
      </c>
      <c r="W78" s="17">
        <v>1218</v>
      </c>
      <c r="X78" s="15">
        <v>323.5</v>
      </c>
      <c r="Y78" s="17">
        <v>95</v>
      </c>
      <c r="Z78" s="17">
        <v>558</v>
      </c>
      <c r="AA78" s="17">
        <v>1043</v>
      </c>
      <c r="AB78" s="12">
        <f t="shared" si="1"/>
        <v>76</v>
      </c>
    </row>
    <row r="79" ht="14.25" spans="1:28">
      <c r="A79" s="13">
        <v>485</v>
      </c>
      <c r="B79" s="15">
        <v>10</v>
      </c>
      <c r="C79" s="16">
        <v>46</v>
      </c>
      <c r="D79" s="17" t="s">
        <v>980</v>
      </c>
      <c r="E79" s="17" t="s">
        <v>981</v>
      </c>
      <c r="F79" s="17">
        <v>108</v>
      </c>
      <c r="G79" s="17">
        <v>736</v>
      </c>
      <c r="H79" s="17">
        <v>111.5</v>
      </c>
      <c r="I79" s="17">
        <v>1692</v>
      </c>
      <c r="J79" s="17">
        <v>86.25</v>
      </c>
      <c r="K79" s="17">
        <v>6223</v>
      </c>
      <c r="L79" s="17">
        <v>73</v>
      </c>
      <c r="M79" s="17">
        <v>575</v>
      </c>
      <c r="N79" s="17"/>
      <c r="O79" s="17"/>
      <c r="P79" s="17">
        <v>88</v>
      </c>
      <c r="Q79" s="17">
        <v>397</v>
      </c>
      <c r="R79" s="17">
        <v>91</v>
      </c>
      <c r="S79" s="17">
        <v>151</v>
      </c>
      <c r="T79" s="17"/>
      <c r="U79" s="17"/>
      <c r="V79" s="17"/>
      <c r="W79" s="17"/>
      <c r="X79" s="15">
        <v>305.75</v>
      </c>
      <c r="Y79" s="17">
        <v>229</v>
      </c>
      <c r="Z79" s="17">
        <v>557.75</v>
      </c>
      <c r="AA79" s="17">
        <v>1057</v>
      </c>
      <c r="AB79" s="12">
        <f t="shared" si="1"/>
        <v>77</v>
      </c>
    </row>
    <row r="80" ht="14.25" spans="1:28">
      <c r="A80" s="13">
        <v>419</v>
      </c>
      <c r="B80" s="15">
        <v>9</v>
      </c>
      <c r="C80" s="16">
        <v>35</v>
      </c>
      <c r="D80" s="19" t="s">
        <v>848</v>
      </c>
      <c r="E80" s="17" t="s">
        <v>849</v>
      </c>
      <c r="F80" s="17">
        <v>95.5</v>
      </c>
      <c r="G80" s="17">
        <v>5877</v>
      </c>
      <c r="H80" s="17">
        <v>128</v>
      </c>
      <c r="I80" s="17">
        <v>207</v>
      </c>
      <c r="J80" s="17">
        <v>104</v>
      </c>
      <c r="K80" s="17">
        <v>2352</v>
      </c>
      <c r="L80" s="17">
        <v>69</v>
      </c>
      <c r="M80" s="17">
        <v>949</v>
      </c>
      <c r="N80" s="17"/>
      <c r="O80" s="17"/>
      <c r="P80" s="17">
        <v>86</v>
      </c>
      <c r="Q80" s="17">
        <v>1052</v>
      </c>
      <c r="R80" s="17">
        <v>75</v>
      </c>
      <c r="S80" s="17">
        <v>3790</v>
      </c>
      <c r="T80" s="17"/>
      <c r="U80" s="17"/>
      <c r="V80" s="17"/>
      <c r="W80" s="17"/>
      <c r="X80" s="15">
        <v>327.5</v>
      </c>
      <c r="Y80" s="17">
        <v>75</v>
      </c>
      <c r="Z80" s="17">
        <v>557.5</v>
      </c>
      <c r="AA80" s="17">
        <v>1065</v>
      </c>
      <c r="AB80" s="12">
        <f t="shared" si="1"/>
        <v>78</v>
      </c>
    </row>
    <row r="81" ht="14.25" spans="1:28">
      <c r="A81" s="13">
        <v>471</v>
      </c>
      <c r="B81" s="15">
        <v>10</v>
      </c>
      <c r="C81" s="16">
        <v>32</v>
      </c>
      <c r="D81" s="17" t="s">
        <v>952</v>
      </c>
      <c r="E81" s="17" t="s">
        <v>953</v>
      </c>
      <c r="F81" s="17">
        <v>95</v>
      </c>
      <c r="G81" s="17">
        <v>6168</v>
      </c>
      <c r="H81" s="17">
        <v>114.5</v>
      </c>
      <c r="I81" s="17">
        <v>1277</v>
      </c>
      <c r="J81" s="17">
        <v>103.5</v>
      </c>
      <c r="K81" s="17">
        <v>2441</v>
      </c>
      <c r="L81" s="17">
        <v>71.5</v>
      </c>
      <c r="M81" s="17">
        <v>714</v>
      </c>
      <c r="N81" s="17"/>
      <c r="O81" s="17"/>
      <c r="P81" s="17">
        <v>85</v>
      </c>
      <c r="Q81" s="17">
        <v>1345</v>
      </c>
      <c r="R81" s="17">
        <v>88</v>
      </c>
      <c r="S81" s="17">
        <v>601</v>
      </c>
      <c r="T81" s="17"/>
      <c r="U81" s="17"/>
      <c r="V81" s="17"/>
      <c r="W81" s="17"/>
      <c r="X81" s="15">
        <v>313</v>
      </c>
      <c r="Y81" s="17">
        <v>167</v>
      </c>
      <c r="Z81" s="17">
        <v>557.5</v>
      </c>
      <c r="AA81" s="17">
        <v>1065</v>
      </c>
      <c r="AB81" s="12">
        <f t="shared" si="1"/>
        <v>78</v>
      </c>
    </row>
    <row r="82" ht="14.25" spans="1:28">
      <c r="A82" s="13">
        <v>460</v>
      </c>
      <c r="B82" s="15">
        <v>10</v>
      </c>
      <c r="C82" s="16">
        <v>21</v>
      </c>
      <c r="D82" s="17" t="s">
        <v>930</v>
      </c>
      <c r="E82" s="17" t="s">
        <v>931</v>
      </c>
      <c r="F82" s="17">
        <v>100</v>
      </c>
      <c r="G82" s="17">
        <v>3368</v>
      </c>
      <c r="H82" s="17">
        <v>117</v>
      </c>
      <c r="I82" s="17">
        <v>975</v>
      </c>
      <c r="J82" s="17">
        <v>101.5</v>
      </c>
      <c r="K82" s="17">
        <v>2779</v>
      </c>
      <c r="L82" s="17">
        <v>67.5</v>
      </c>
      <c r="M82" s="17">
        <v>1130</v>
      </c>
      <c r="N82" s="17"/>
      <c r="O82" s="17"/>
      <c r="P82" s="17">
        <v>83</v>
      </c>
      <c r="Q82" s="17">
        <v>1643</v>
      </c>
      <c r="R82" s="17">
        <v>88</v>
      </c>
      <c r="S82" s="17">
        <v>601</v>
      </c>
      <c r="T82" s="17"/>
      <c r="U82" s="17"/>
      <c r="V82" s="17"/>
      <c r="W82" s="17"/>
      <c r="X82" s="15">
        <v>318.5</v>
      </c>
      <c r="Y82" s="17">
        <v>127</v>
      </c>
      <c r="Z82" s="17">
        <v>557</v>
      </c>
      <c r="AA82" s="17">
        <v>1086</v>
      </c>
      <c r="AB82" s="12">
        <f t="shared" si="1"/>
        <v>80</v>
      </c>
    </row>
    <row r="83" ht="14.25" spans="1:28">
      <c r="A83" s="13">
        <v>14</v>
      </c>
      <c r="B83" s="15">
        <v>1</v>
      </c>
      <c r="C83" s="16">
        <v>15</v>
      </c>
      <c r="D83" s="17" t="s">
        <v>42</v>
      </c>
      <c r="E83" s="17" t="s">
        <v>43</v>
      </c>
      <c r="F83" s="17">
        <v>104</v>
      </c>
      <c r="G83" s="17">
        <v>1709</v>
      </c>
      <c r="H83" s="17">
        <v>112</v>
      </c>
      <c r="I83" s="17">
        <v>1617</v>
      </c>
      <c r="J83" s="17">
        <v>107.5</v>
      </c>
      <c r="K83" s="17">
        <v>1810</v>
      </c>
      <c r="L83" s="17">
        <v>56.5</v>
      </c>
      <c r="M83" s="17">
        <v>2801</v>
      </c>
      <c r="N83" s="17"/>
      <c r="O83" s="17"/>
      <c r="P83" s="17">
        <v>87</v>
      </c>
      <c r="Q83" s="17">
        <v>681</v>
      </c>
      <c r="R83" s="17"/>
      <c r="S83" s="17"/>
      <c r="T83" s="17">
        <v>89</v>
      </c>
      <c r="U83" s="17">
        <v>84</v>
      </c>
      <c r="V83" s="17"/>
      <c r="W83" s="17"/>
      <c r="X83" s="15">
        <v>323.5</v>
      </c>
      <c r="Y83" s="17">
        <v>95</v>
      </c>
      <c r="Z83" s="17">
        <v>556</v>
      </c>
      <c r="AA83" s="17">
        <v>1115</v>
      </c>
      <c r="AB83" s="12">
        <f t="shared" si="1"/>
        <v>81</v>
      </c>
    </row>
    <row r="84" ht="14.25" spans="1:28">
      <c r="A84" s="13">
        <v>262</v>
      </c>
      <c r="B84" s="15">
        <v>6</v>
      </c>
      <c r="C84" s="16">
        <v>14</v>
      </c>
      <c r="D84" s="17" t="s">
        <v>535</v>
      </c>
      <c r="E84" s="17" t="s">
        <v>536</v>
      </c>
      <c r="F84" s="17">
        <v>94.5</v>
      </c>
      <c r="G84" s="17">
        <v>6496</v>
      </c>
      <c r="H84" s="17">
        <v>126</v>
      </c>
      <c r="I84" s="17">
        <v>306</v>
      </c>
      <c r="J84" s="17">
        <v>95</v>
      </c>
      <c r="K84" s="17">
        <v>4092</v>
      </c>
      <c r="L84" s="17">
        <v>66.5</v>
      </c>
      <c r="M84" s="17">
        <v>1237</v>
      </c>
      <c r="N84" s="17"/>
      <c r="O84" s="17"/>
      <c r="P84" s="17"/>
      <c r="Q84" s="17"/>
      <c r="R84" s="17">
        <v>84</v>
      </c>
      <c r="S84" s="17">
        <v>1490</v>
      </c>
      <c r="T84" s="17"/>
      <c r="U84" s="17"/>
      <c r="V84" s="17">
        <v>90</v>
      </c>
      <c r="W84" s="17">
        <v>44</v>
      </c>
      <c r="X84" s="15">
        <v>315.5</v>
      </c>
      <c r="Y84" s="17">
        <v>147</v>
      </c>
      <c r="Z84" s="17">
        <v>556</v>
      </c>
      <c r="AA84" s="17">
        <v>1115</v>
      </c>
      <c r="AB84" s="12">
        <f t="shared" si="1"/>
        <v>81</v>
      </c>
    </row>
    <row r="85" ht="14.25" spans="1:28">
      <c r="A85" s="13">
        <v>411</v>
      </c>
      <c r="B85" s="15">
        <v>9</v>
      </c>
      <c r="C85" s="16">
        <v>27</v>
      </c>
      <c r="D85" s="17" t="s">
        <v>832</v>
      </c>
      <c r="E85" s="17" t="s">
        <v>833</v>
      </c>
      <c r="F85" s="17">
        <v>103</v>
      </c>
      <c r="G85" s="17">
        <v>2094</v>
      </c>
      <c r="H85" s="17">
        <v>128</v>
      </c>
      <c r="I85" s="17">
        <v>207</v>
      </c>
      <c r="J85" s="17">
        <v>98.5</v>
      </c>
      <c r="K85" s="17">
        <v>3338</v>
      </c>
      <c r="L85" s="17">
        <v>80.5</v>
      </c>
      <c r="M85" s="17">
        <v>137</v>
      </c>
      <c r="N85" s="17"/>
      <c r="O85" s="17"/>
      <c r="P85" s="17">
        <v>68</v>
      </c>
      <c r="Q85" s="17">
        <v>6016</v>
      </c>
      <c r="R85" s="17">
        <v>78</v>
      </c>
      <c r="S85" s="17">
        <v>2906</v>
      </c>
      <c r="T85" s="17"/>
      <c r="U85" s="17"/>
      <c r="V85" s="17"/>
      <c r="W85" s="17"/>
      <c r="X85" s="15">
        <v>329.5</v>
      </c>
      <c r="Y85" s="17">
        <v>69</v>
      </c>
      <c r="Z85" s="17">
        <v>556</v>
      </c>
      <c r="AA85" s="17">
        <v>1115</v>
      </c>
      <c r="AB85" s="12">
        <f t="shared" si="1"/>
        <v>81</v>
      </c>
    </row>
    <row r="86" ht="14.25" spans="1:28">
      <c r="A86" s="13">
        <v>128</v>
      </c>
      <c r="B86" s="15">
        <v>3</v>
      </c>
      <c r="C86" s="16">
        <v>17</v>
      </c>
      <c r="D86" s="17" t="s">
        <v>269</v>
      </c>
      <c r="E86" s="17" t="s">
        <v>270</v>
      </c>
      <c r="F86" s="17">
        <v>103.5</v>
      </c>
      <c r="G86" s="17">
        <v>1897</v>
      </c>
      <c r="H86" s="17">
        <v>105</v>
      </c>
      <c r="I86" s="17">
        <v>2810</v>
      </c>
      <c r="J86" s="17">
        <v>112</v>
      </c>
      <c r="K86" s="17">
        <v>1229</v>
      </c>
      <c r="L86" s="17">
        <v>67</v>
      </c>
      <c r="M86" s="17">
        <v>1188</v>
      </c>
      <c r="N86" s="17"/>
      <c r="O86" s="17"/>
      <c r="P86" s="17">
        <v>78</v>
      </c>
      <c r="Q86" s="17">
        <v>2908</v>
      </c>
      <c r="R86" s="17"/>
      <c r="S86" s="17"/>
      <c r="T86" s="17"/>
      <c r="U86" s="17"/>
      <c r="V86" s="17">
        <v>90</v>
      </c>
      <c r="W86" s="17">
        <v>44</v>
      </c>
      <c r="X86" s="15">
        <v>320.5</v>
      </c>
      <c r="Y86" s="17">
        <v>112</v>
      </c>
      <c r="Z86" s="17">
        <v>555.5</v>
      </c>
      <c r="AA86" s="17">
        <v>1128</v>
      </c>
      <c r="AB86" s="12">
        <f t="shared" si="1"/>
        <v>84</v>
      </c>
    </row>
    <row r="87" ht="14.25" spans="1:28">
      <c r="A87" s="13">
        <v>449</v>
      </c>
      <c r="B87" s="15">
        <v>10</v>
      </c>
      <c r="C87" s="16">
        <v>10</v>
      </c>
      <c r="D87" s="17" t="s">
        <v>908</v>
      </c>
      <c r="E87" s="17" t="s">
        <v>909</v>
      </c>
      <c r="F87" s="17">
        <v>102</v>
      </c>
      <c r="G87" s="17">
        <v>2480</v>
      </c>
      <c r="H87" s="17">
        <v>119</v>
      </c>
      <c r="I87" s="17">
        <v>786</v>
      </c>
      <c r="J87" s="17">
        <v>102</v>
      </c>
      <c r="K87" s="17">
        <v>2685</v>
      </c>
      <c r="L87" s="17">
        <v>65.5</v>
      </c>
      <c r="M87" s="17">
        <v>1373</v>
      </c>
      <c r="N87" s="17"/>
      <c r="O87" s="17"/>
      <c r="P87" s="17">
        <v>86</v>
      </c>
      <c r="Q87" s="17">
        <v>1052</v>
      </c>
      <c r="R87" s="17">
        <v>81</v>
      </c>
      <c r="S87" s="17">
        <v>2139</v>
      </c>
      <c r="T87" s="17"/>
      <c r="U87" s="17"/>
      <c r="V87" s="17"/>
      <c r="W87" s="17"/>
      <c r="X87" s="15">
        <v>323</v>
      </c>
      <c r="Y87" s="17">
        <v>99</v>
      </c>
      <c r="Z87" s="17">
        <v>555.5</v>
      </c>
      <c r="AA87" s="17">
        <v>1128</v>
      </c>
      <c r="AB87" s="12">
        <f t="shared" si="1"/>
        <v>84</v>
      </c>
    </row>
    <row r="88" ht="14.25" spans="1:28">
      <c r="A88" s="13">
        <v>452</v>
      </c>
      <c r="B88" s="15">
        <v>10</v>
      </c>
      <c r="C88" s="16">
        <v>13</v>
      </c>
      <c r="D88" s="17" t="s">
        <v>914</v>
      </c>
      <c r="E88" s="17" t="s">
        <v>915</v>
      </c>
      <c r="F88" s="17">
        <v>110</v>
      </c>
      <c r="G88" s="17">
        <v>430</v>
      </c>
      <c r="H88" s="17">
        <v>115.5</v>
      </c>
      <c r="I88" s="17">
        <v>1149</v>
      </c>
      <c r="J88" s="17">
        <v>100</v>
      </c>
      <c r="K88" s="17">
        <v>3038</v>
      </c>
      <c r="L88" s="17">
        <v>57.5</v>
      </c>
      <c r="M88" s="17">
        <v>2619</v>
      </c>
      <c r="N88" s="17"/>
      <c r="O88" s="17"/>
      <c r="P88" s="17">
        <v>86</v>
      </c>
      <c r="Q88" s="17">
        <v>1052</v>
      </c>
      <c r="R88" s="17">
        <v>86</v>
      </c>
      <c r="S88" s="17">
        <v>1176</v>
      </c>
      <c r="T88" s="17"/>
      <c r="U88" s="17"/>
      <c r="V88" s="17"/>
      <c r="W88" s="17"/>
      <c r="X88" s="15">
        <v>325.5</v>
      </c>
      <c r="Y88" s="17">
        <v>85</v>
      </c>
      <c r="Z88" s="17">
        <v>555</v>
      </c>
      <c r="AA88" s="17">
        <v>1141</v>
      </c>
      <c r="AB88" s="12">
        <f t="shared" si="1"/>
        <v>86</v>
      </c>
    </row>
    <row r="89" ht="14.25" spans="1:28">
      <c r="A89" s="13">
        <v>426</v>
      </c>
      <c r="B89" s="15">
        <v>9</v>
      </c>
      <c r="C89" s="16">
        <v>42</v>
      </c>
      <c r="D89" s="17" t="s">
        <v>862</v>
      </c>
      <c r="E89" s="17" t="s">
        <v>863</v>
      </c>
      <c r="F89" s="17">
        <v>91</v>
      </c>
      <c r="G89" s="17">
        <v>8620</v>
      </c>
      <c r="H89" s="17">
        <v>109</v>
      </c>
      <c r="I89" s="17">
        <v>2105</v>
      </c>
      <c r="J89" s="17">
        <v>120.25</v>
      </c>
      <c r="K89" s="17">
        <v>493</v>
      </c>
      <c r="L89" s="17">
        <v>66</v>
      </c>
      <c r="M89" s="17">
        <v>1304</v>
      </c>
      <c r="N89" s="17"/>
      <c r="O89" s="17"/>
      <c r="P89" s="17">
        <v>80</v>
      </c>
      <c r="Q89" s="17">
        <v>2333</v>
      </c>
      <c r="R89" s="17">
        <v>88</v>
      </c>
      <c r="S89" s="17">
        <v>601</v>
      </c>
      <c r="T89" s="17"/>
      <c r="U89" s="17"/>
      <c r="V89" s="17"/>
      <c r="W89" s="17"/>
      <c r="X89" s="15">
        <v>320.25</v>
      </c>
      <c r="Y89" s="17">
        <v>114</v>
      </c>
      <c r="Z89" s="17">
        <v>554.25</v>
      </c>
      <c r="AA89" s="17">
        <v>1157</v>
      </c>
      <c r="AB89" s="12">
        <f t="shared" si="1"/>
        <v>87</v>
      </c>
    </row>
    <row r="90" ht="14.25" spans="1:28">
      <c r="A90" s="13">
        <v>570</v>
      </c>
      <c r="B90" s="15">
        <v>12</v>
      </c>
      <c r="C90" s="16">
        <v>17</v>
      </c>
      <c r="D90" s="17" t="s">
        <v>1148</v>
      </c>
      <c r="E90" s="17" t="s">
        <v>1149</v>
      </c>
      <c r="F90" s="17">
        <v>97.25</v>
      </c>
      <c r="G90" s="17">
        <v>4934</v>
      </c>
      <c r="H90" s="17">
        <v>111.5</v>
      </c>
      <c r="I90" s="17">
        <v>1692</v>
      </c>
      <c r="J90" s="17">
        <v>116.5</v>
      </c>
      <c r="K90" s="17">
        <v>765</v>
      </c>
      <c r="L90" s="17">
        <v>59</v>
      </c>
      <c r="M90" s="17">
        <v>2358</v>
      </c>
      <c r="N90" s="17"/>
      <c r="O90" s="17"/>
      <c r="P90" s="17">
        <v>83</v>
      </c>
      <c r="Q90" s="17">
        <v>1643</v>
      </c>
      <c r="R90" s="17">
        <v>87</v>
      </c>
      <c r="S90" s="17">
        <v>883</v>
      </c>
      <c r="T90" s="17"/>
      <c r="U90" s="17"/>
      <c r="V90" s="17"/>
      <c r="W90" s="17"/>
      <c r="X90" s="15">
        <v>325.25</v>
      </c>
      <c r="Y90" s="17">
        <v>87</v>
      </c>
      <c r="Z90" s="17">
        <v>554.25</v>
      </c>
      <c r="AA90" s="17">
        <v>1157</v>
      </c>
      <c r="AB90" s="12">
        <f t="shared" si="1"/>
        <v>87</v>
      </c>
    </row>
    <row r="91" ht="14.25" spans="1:28">
      <c r="A91" s="13">
        <v>490</v>
      </c>
      <c r="B91" s="15">
        <v>10</v>
      </c>
      <c r="C91" s="16">
        <v>51</v>
      </c>
      <c r="D91" s="17" t="s">
        <v>990</v>
      </c>
      <c r="E91" s="17" t="s">
        <v>991</v>
      </c>
      <c r="F91" s="17">
        <v>106</v>
      </c>
      <c r="G91" s="17">
        <v>1174</v>
      </c>
      <c r="H91" s="17">
        <v>112</v>
      </c>
      <c r="I91" s="17">
        <v>1617</v>
      </c>
      <c r="J91" s="17">
        <v>112.5</v>
      </c>
      <c r="K91" s="17">
        <v>1174</v>
      </c>
      <c r="L91" s="17">
        <v>63.5</v>
      </c>
      <c r="M91" s="17">
        <v>1636</v>
      </c>
      <c r="N91" s="17"/>
      <c r="O91" s="17"/>
      <c r="P91" s="17">
        <v>78</v>
      </c>
      <c r="Q91" s="17">
        <v>2908</v>
      </c>
      <c r="R91" s="17">
        <v>82</v>
      </c>
      <c r="S91" s="17">
        <v>1915</v>
      </c>
      <c r="T91" s="17"/>
      <c r="U91" s="17"/>
      <c r="V91" s="17"/>
      <c r="W91" s="17"/>
      <c r="X91" s="15">
        <v>330.5</v>
      </c>
      <c r="Y91" s="17">
        <v>63</v>
      </c>
      <c r="Z91" s="17">
        <v>554</v>
      </c>
      <c r="AA91" s="17">
        <v>1167</v>
      </c>
      <c r="AB91" s="12">
        <f t="shared" si="1"/>
        <v>89</v>
      </c>
    </row>
    <row r="92" ht="14.25" spans="1:28">
      <c r="A92" s="13">
        <v>454</v>
      </c>
      <c r="B92" s="15">
        <v>10</v>
      </c>
      <c r="C92" s="16">
        <v>15</v>
      </c>
      <c r="D92" s="17" t="s">
        <v>918</v>
      </c>
      <c r="E92" s="17" t="s">
        <v>919</v>
      </c>
      <c r="F92" s="17">
        <v>105</v>
      </c>
      <c r="G92" s="17">
        <v>1427</v>
      </c>
      <c r="H92" s="17">
        <v>109.5</v>
      </c>
      <c r="I92" s="17">
        <v>2023</v>
      </c>
      <c r="J92" s="17">
        <v>111.75</v>
      </c>
      <c r="K92" s="17">
        <v>1270</v>
      </c>
      <c r="L92" s="17">
        <v>49.5</v>
      </c>
      <c r="M92" s="17">
        <v>4044</v>
      </c>
      <c r="N92" s="17"/>
      <c r="O92" s="17"/>
      <c r="P92" s="17">
        <v>87</v>
      </c>
      <c r="Q92" s="17">
        <v>681</v>
      </c>
      <c r="R92" s="17">
        <v>91</v>
      </c>
      <c r="S92" s="17">
        <v>151</v>
      </c>
      <c r="T92" s="17"/>
      <c r="U92" s="17"/>
      <c r="V92" s="17"/>
      <c r="W92" s="17"/>
      <c r="X92" s="15">
        <v>326.25</v>
      </c>
      <c r="Y92" s="17">
        <v>81</v>
      </c>
      <c r="Z92" s="17">
        <v>553.75</v>
      </c>
      <c r="AA92" s="17">
        <v>1176</v>
      </c>
      <c r="AB92" s="12">
        <f t="shared" si="1"/>
        <v>90</v>
      </c>
    </row>
    <row r="93" ht="14.25" spans="1:28">
      <c r="A93" s="13">
        <v>392</v>
      </c>
      <c r="B93" s="15">
        <v>9</v>
      </c>
      <c r="C93" s="16">
        <v>7</v>
      </c>
      <c r="D93" s="17" t="s">
        <v>794</v>
      </c>
      <c r="E93" s="17" t="s">
        <v>795</v>
      </c>
      <c r="F93" s="17">
        <v>105</v>
      </c>
      <c r="G93" s="17">
        <v>1427</v>
      </c>
      <c r="H93" s="17">
        <v>115</v>
      </c>
      <c r="I93" s="17">
        <v>1213</v>
      </c>
      <c r="J93" s="17">
        <v>115.5</v>
      </c>
      <c r="K93" s="17">
        <v>849</v>
      </c>
      <c r="L93" s="17">
        <v>55</v>
      </c>
      <c r="M93" s="17">
        <v>3031</v>
      </c>
      <c r="N93" s="17"/>
      <c r="O93" s="17"/>
      <c r="P93" s="17">
        <v>81</v>
      </c>
      <c r="Q93" s="17">
        <v>2079</v>
      </c>
      <c r="R93" s="17">
        <v>82</v>
      </c>
      <c r="S93" s="17">
        <v>1915</v>
      </c>
      <c r="T93" s="17"/>
      <c r="U93" s="17"/>
      <c r="V93" s="17"/>
      <c r="W93" s="17"/>
      <c r="X93" s="15">
        <v>335.5</v>
      </c>
      <c r="Y93" s="17">
        <v>48</v>
      </c>
      <c r="Z93" s="17">
        <v>553.5</v>
      </c>
      <c r="AA93" s="17">
        <v>1181</v>
      </c>
      <c r="AB93" s="12">
        <f t="shared" si="1"/>
        <v>91</v>
      </c>
    </row>
    <row r="94" ht="14.25" spans="1:28">
      <c r="A94" s="13">
        <v>487</v>
      </c>
      <c r="B94" s="15">
        <v>10</v>
      </c>
      <c r="C94" s="16">
        <v>48</v>
      </c>
      <c r="D94" s="19" t="s">
        <v>984</v>
      </c>
      <c r="E94" s="17" t="s">
        <v>985</v>
      </c>
      <c r="F94" s="17">
        <v>98.75</v>
      </c>
      <c r="G94" s="17">
        <v>4121</v>
      </c>
      <c r="H94" s="17">
        <v>106</v>
      </c>
      <c r="I94" s="17">
        <v>2619</v>
      </c>
      <c r="J94" s="17">
        <v>112.5</v>
      </c>
      <c r="K94" s="17">
        <v>1174</v>
      </c>
      <c r="L94" s="17">
        <v>61</v>
      </c>
      <c r="M94" s="17">
        <v>2008</v>
      </c>
      <c r="N94" s="17"/>
      <c r="O94" s="17"/>
      <c r="P94" s="17">
        <v>88</v>
      </c>
      <c r="Q94" s="17">
        <v>397</v>
      </c>
      <c r="R94" s="17">
        <v>87</v>
      </c>
      <c r="S94" s="17">
        <v>883</v>
      </c>
      <c r="T94" s="17"/>
      <c r="U94" s="17"/>
      <c r="V94" s="17"/>
      <c r="W94" s="17"/>
      <c r="X94" s="15">
        <v>317.25</v>
      </c>
      <c r="Y94" s="17">
        <v>137</v>
      </c>
      <c r="Z94" s="17">
        <v>553.25</v>
      </c>
      <c r="AA94" s="17">
        <v>1194</v>
      </c>
      <c r="AB94" s="12">
        <f t="shared" si="1"/>
        <v>92</v>
      </c>
    </row>
    <row r="95" ht="14.25" spans="1:28">
      <c r="A95" s="13">
        <v>635</v>
      </c>
      <c r="B95" s="15">
        <v>13</v>
      </c>
      <c r="C95" s="16">
        <v>28</v>
      </c>
      <c r="D95" s="17" t="s">
        <v>1278</v>
      </c>
      <c r="E95" s="17" t="s">
        <v>1279</v>
      </c>
      <c r="F95" s="17">
        <v>101</v>
      </c>
      <c r="G95" s="17">
        <v>2896</v>
      </c>
      <c r="H95" s="17">
        <v>112</v>
      </c>
      <c r="I95" s="17">
        <v>1617</v>
      </c>
      <c r="J95" s="17">
        <v>103.75</v>
      </c>
      <c r="K95" s="17">
        <v>2416</v>
      </c>
      <c r="L95" s="17">
        <v>56</v>
      </c>
      <c r="M95" s="17">
        <v>2878</v>
      </c>
      <c r="N95" s="17"/>
      <c r="O95" s="17"/>
      <c r="P95" s="17">
        <v>89</v>
      </c>
      <c r="Q95" s="17">
        <v>222</v>
      </c>
      <c r="R95" s="17">
        <v>91</v>
      </c>
      <c r="S95" s="17">
        <v>151</v>
      </c>
      <c r="T95" s="17"/>
      <c r="U95" s="17"/>
      <c r="V95" s="17"/>
      <c r="W95" s="17"/>
      <c r="X95" s="15">
        <v>316.75</v>
      </c>
      <c r="Y95" s="17">
        <v>140</v>
      </c>
      <c r="Z95" s="17">
        <v>552.75</v>
      </c>
      <c r="AA95" s="17">
        <v>1211</v>
      </c>
      <c r="AB95" s="12">
        <f t="shared" si="1"/>
        <v>93</v>
      </c>
    </row>
    <row r="96" ht="14.25" spans="1:28">
      <c r="A96" s="13">
        <v>385</v>
      </c>
      <c r="B96" s="15">
        <v>8</v>
      </c>
      <c r="C96" s="16">
        <v>61</v>
      </c>
      <c r="D96" s="17" t="s">
        <v>780</v>
      </c>
      <c r="E96" s="17" t="s">
        <v>781</v>
      </c>
      <c r="F96" s="17">
        <v>109.5</v>
      </c>
      <c r="G96" s="17">
        <v>495</v>
      </c>
      <c r="H96" s="17">
        <v>92.5</v>
      </c>
      <c r="I96" s="17">
        <v>5299</v>
      </c>
      <c r="J96" s="17">
        <v>116</v>
      </c>
      <c r="K96" s="17">
        <v>807</v>
      </c>
      <c r="L96" s="17">
        <v>63.5</v>
      </c>
      <c r="M96" s="17">
        <v>1636</v>
      </c>
      <c r="N96" s="17"/>
      <c r="O96" s="17"/>
      <c r="P96" s="17">
        <v>79</v>
      </c>
      <c r="Q96" s="17">
        <v>2632</v>
      </c>
      <c r="R96" s="17">
        <v>92</v>
      </c>
      <c r="S96" s="17">
        <v>98</v>
      </c>
      <c r="T96" s="17"/>
      <c r="U96" s="17"/>
      <c r="V96" s="17"/>
      <c r="W96" s="17"/>
      <c r="X96" s="15">
        <v>318</v>
      </c>
      <c r="Y96" s="17">
        <v>130</v>
      </c>
      <c r="Z96" s="17">
        <v>552.5</v>
      </c>
      <c r="AA96" s="17">
        <v>1216</v>
      </c>
      <c r="AB96" s="12">
        <f t="shared" si="1"/>
        <v>94</v>
      </c>
    </row>
    <row r="97" ht="14.25" spans="1:28">
      <c r="A97" s="13">
        <v>531</v>
      </c>
      <c r="B97" s="15">
        <v>11</v>
      </c>
      <c r="C97" s="16">
        <v>37</v>
      </c>
      <c r="D97" s="17" t="s">
        <v>1071</v>
      </c>
      <c r="E97" s="17" t="s">
        <v>1072</v>
      </c>
      <c r="F97" s="17">
        <v>95.5</v>
      </c>
      <c r="G97" s="17">
        <v>5877</v>
      </c>
      <c r="H97" s="17">
        <v>109</v>
      </c>
      <c r="I97" s="17">
        <v>2105</v>
      </c>
      <c r="J97" s="17">
        <v>117.5</v>
      </c>
      <c r="K97" s="17">
        <v>682</v>
      </c>
      <c r="L97" s="17">
        <v>60</v>
      </c>
      <c r="M97" s="17">
        <v>2185</v>
      </c>
      <c r="N97" s="17"/>
      <c r="O97" s="17"/>
      <c r="P97" s="17">
        <v>82</v>
      </c>
      <c r="Q97" s="17">
        <v>1870</v>
      </c>
      <c r="R97" s="17">
        <v>88</v>
      </c>
      <c r="S97" s="17">
        <v>601</v>
      </c>
      <c r="T97" s="17"/>
      <c r="U97" s="17"/>
      <c r="V97" s="17"/>
      <c r="W97" s="17"/>
      <c r="X97" s="15">
        <v>322</v>
      </c>
      <c r="Y97" s="17">
        <v>104</v>
      </c>
      <c r="Z97" s="17">
        <v>552</v>
      </c>
      <c r="AA97" s="17">
        <v>1226</v>
      </c>
      <c r="AB97" s="12">
        <f t="shared" si="1"/>
        <v>95</v>
      </c>
    </row>
    <row r="98" ht="14.25" spans="1:28">
      <c r="A98" s="13">
        <v>404</v>
      </c>
      <c r="B98" s="15">
        <v>9</v>
      </c>
      <c r="C98" s="16">
        <v>19</v>
      </c>
      <c r="D98" s="17" t="s">
        <v>818</v>
      </c>
      <c r="E98" s="17" t="s">
        <v>819</v>
      </c>
      <c r="F98" s="17">
        <v>103.5</v>
      </c>
      <c r="G98" s="17">
        <v>1897</v>
      </c>
      <c r="H98" s="17">
        <v>117</v>
      </c>
      <c r="I98" s="17">
        <v>975</v>
      </c>
      <c r="J98" s="17">
        <v>105.25</v>
      </c>
      <c r="K98" s="17">
        <v>2156</v>
      </c>
      <c r="L98" s="17">
        <v>55.5</v>
      </c>
      <c r="M98" s="17">
        <v>2964</v>
      </c>
      <c r="N98" s="17"/>
      <c r="O98" s="17"/>
      <c r="P98" s="17">
        <v>82</v>
      </c>
      <c r="Q98" s="17">
        <v>1870</v>
      </c>
      <c r="R98" s="17">
        <v>88</v>
      </c>
      <c r="S98" s="17">
        <v>601</v>
      </c>
      <c r="T98" s="17"/>
      <c r="U98" s="17"/>
      <c r="V98" s="17"/>
      <c r="W98" s="17"/>
      <c r="X98" s="15">
        <v>325.75</v>
      </c>
      <c r="Y98" s="17">
        <v>82</v>
      </c>
      <c r="Z98" s="17">
        <v>551.25</v>
      </c>
      <c r="AA98" s="17">
        <v>1244</v>
      </c>
      <c r="AB98" s="12">
        <f t="shared" si="1"/>
        <v>96</v>
      </c>
    </row>
    <row r="99" ht="14.25" spans="1:28">
      <c r="A99" s="13">
        <v>384</v>
      </c>
      <c r="B99" s="15">
        <v>8</v>
      </c>
      <c r="C99" s="16">
        <v>60</v>
      </c>
      <c r="D99" s="17" t="s">
        <v>778</v>
      </c>
      <c r="E99" s="17" t="s">
        <v>779</v>
      </c>
      <c r="F99" s="17">
        <v>106.25</v>
      </c>
      <c r="G99" s="17">
        <v>1151</v>
      </c>
      <c r="H99" s="17">
        <v>123.5</v>
      </c>
      <c r="I99" s="17">
        <v>452</v>
      </c>
      <c r="J99" s="17">
        <v>84.25</v>
      </c>
      <c r="K99" s="17">
        <v>6713</v>
      </c>
      <c r="L99" s="17">
        <v>66</v>
      </c>
      <c r="M99" s="17">
        <v>1304</v>
      </c>
      <c r="N99" s="17"/>
      <c r="O99" s="17"/>
      <c r="P99" s="17">
        <v>88</v>
      </c>
      <c r="Q99" s="17">
        <v>397</v>
      </c>
      <c r="R99" s="17">
        <v>82</v>
      </c>
      <c r="S99" s="17">
        <v>1915</v>
      </c>
      <c r="T99" s="17"/>
      <c r="U99" s="17"/>
      <c r="V99" s="17"/>
      <c r="W99" s="17"/>
      <c r="X99" s="15">
        <v>314</v>
      </c>
      <c r="Y99" s="17">
        <v>157</v>
      </c>
      <c r="Z99" s="17">
        <v>550</v>
      </c>
      <c r="AA99" s="17">
        <v>1284</v>
      </c>
      <c r="AB99" s="12">
        <f t="shared" si="1"/>
        <v>97</v>
      </c>
    </row>
    <row r="100" ht="14.25" spans="1:28">
      <c r="A100" s="13">
        <v>516</v>
      </c>
      <c r="B100" s="15">
        <v>11</v>
      </c>
      <c r="C100" s="16">
        <v>20</v>
      </c>
      <c r="D100" s="17" t="s">
        <v>1042</v>
      </c>
      <c r="E100" s="17" t="s">
        <v>1043</v>
      </c>
      <c r="F100" s="17">
        <v>92.5</v>
      </c>
      <c r="G100" s="17">
        <v>7705</v>
      </c>
      <c r="H100" s="17">
        <v>121</v>
      </c>
      <c r="I100" s="17">
        <v>621</v>
      </c>
      <c r="J100" s="17">
        <v>113.5</v>
      </c>
      <c r="K100" s="17">
        <v>1049</v>
      </c>
      <c r="L100" s="17">
        <v>60</v>
      </c>
      <c r="M100" s="17">
        <v>2185</v>
      </c>
      <c r="N100" s="17"/>
      <c r="O100" s="17"/>
      <c r="P100" s="17">
        <v>81</v>
      </c>
      <c r="Q100" s="17">
        <v>2079</v>
      </c>
      <c r="R100" s="17">
        <v>82</v>
      </c>
      <c r="S100" s="17">
        <v>1915</v>
      </c>
      <c r="T100" s="17"/>
      <c r="U100" s="17"/>
      <c r="V100" s="17"/>
      <c r="W100" s="17"/>
      <c r="X100" s="15">
        <v>327</v>
      </c>
      <c r="Y100" s="17">
        <v>77</v>
      </c>
      <c r="Z100" s="17">
        <v>550</v>
      </c>
      <c r="AA100" s="17">
        <v>1284</v>
      </c>
      <c r="AB100" s="12">
        <f t="shared" si="1"/>
        <v>97</v>
      </c>
    </row>
    <row r="101" ht="14.25" spans="1:28">
      <c r="A101" s="13">
        <v>453</v>
      </c>
      <c r="B101" s="15">
        <v>10</v>
      </c>
      <c r="C101" s="16">
        <v>14</v>
      </c>
      <c r="D101" s="19" t="s">
        <v>916</v>
      </c>
      <c r="E101" s="17" t="s">
        <v>917</v>
      </c>
      <c r="F101" s="17">
        <v>99.5</v>
      </c>
      <c r="G101" s="17">
        <v>3607</v>
      </c>
      <c r="H101" s="17">
        <v>108</v>
      </c>
      <c r="I101" s="17">
        <v>2274</v>
      </c>
      <c r="J101" s="17">
        <v>100</v>
      </c>
      <c r="K101" s="17">
        <v>3038</v>
      </c>
      <c r="L101" s="17">
        <v>58</v>
      </c>
      <c r="M101" s="17">
        <v>2538</v>
      </c>
      <c r="N101" s="17"/>
      <c r="O101" s="17"/>
      <c r="P101" s="17">
        <v>93</v>
      </c>
      <c r="Q101" s="17">
        <v>16</v>
      </c>
      <c r="R101" s="17">
        <v>91</v>
      </c>
      <c r="S101" s="17">
        <v>151</v>
      </c>
      <c r="T101" s="17"/>
      <c r="U101" s="17"/>
      <c r="V101" s="17"/>
      <c r="W101" s="17"/>
      <c r="X101" s="15">
        <v>307.5</v>
      </c>
      <c r="Y101" s="17">
        <v>214</v>
      </c>
      <c r="Z101" s="17">
        <v>549.5</v>
      </c>
      <c r="AA101" s="17">
        <v>1300</v>
      </c>
      <c r="AB101" s="12">
        <f t="shared" si="1"/>
        <v>99</v>
      </c>
    </row>
    <row r="102" ht="14.25" spans="1:28">
      <c r="A102" s="13">
        <v>494</v>
      </c>
      <c r="B102" s="15">
        <v>10</v>
      </c>
      <c r="C102" s="16">
        <v>55</v>
      </c>
      <c r="D102" s="17" t="s">
        <v>998</v>
      </c>
      <c r="E102" s="17" t="s">
        <v>999</v>
      </c>
      <c r="F102" s="17">
        <v>108.75</v>
      </c>
      <c r="G102" s="17">
        <v>640</v>
      </c>
      <c r="H102" s="17">
        <v>98.5</v>
      </c>
      <c r="I102" s="17">
        <v>4047</v>
      </c>
      <c r="J102" s="17">
        <v>117.25</v>
      </c>
      <c r="K102" s="17">
        <v>714</v>
      </c>
      <c r="L102" s="17">
        <v>55</v>
      </c>
      <c r="M102" s="17">
        <v>3031</v>
      </c>
      <c r="N102" s="17"/>
      <c r="O102" s="17"/>
      <c r="P102" s="17">
        <v>86</v>
      </c>
      <c r="Q102" s="17">
        <v>1052</v>
      </c>
      <c r="R102" s="17">
        <v>84</v>
      </c>
      <c r="S102" s="17">
        <v>1490</v>
      </c>
      <c r="T102" s="17"/>
      <c r="U102" s="17"/>
      <c r="V102" s="17"/>
      <c r="W102" s="17"/>
      <c r="X102" s="15">
        <v>324.5</v>
      </c>
      <c r="Y102" s="17">
        <v>91</v>
      </c>
      <c r="Z102" s="17">
        <v>549.5</v>
      </c>
      <c r="AA102" s="17">
        <v>1300</v>
      </c>
      <c r="AB102" s="12">
        <f t="shared" si="1"/>
        <v>99</v>
      </c>
    </row>
    <row r="103" ht="14.25" spans="1:28">
      <c r="A103" s="13">
        <v>251</v>
      </c>
      <c r="B103" s="15">
        <v>5</v>
      </c>
      <c r="C103" s="16">
        <v>49</v>
      </c>
      <c r="D103" s="17" t="s">
        <v>513</v>
      </c>
      <c r="E103" s="17" t="s">
        <v>514</v>
      </c>
      <c r="F103" s="17">
        <v>102</v>
      </c>
      <c r="G103" s="17">
        <v>2480</v>
      </c>
      <c r="H103" s="17">
        <v>97</v>
      </c>
      <c r="I103" s="17">
        <v>4348</v>
      </c>
      <c r="J103" s="17">
        <v>115.5</v>
      </c>
      <c r="K103" s="17">
        <v>849</v>
      </c>
      <c r="L103" s="17">
        <v>77.5</v>
      </c>
      <c r="M103" s="17">
        <v>279</v>
      </c>
      <c r="N103" s="17"/>
      <c r="O103" s="17"/>
      <c r="P103" s="17">
        <v>80</v>
      </c>
      <c r="Q103" s="17">
        <v>2333</v>
      </c>
      <c r="R103" s="17"/>
      <c r="S103" s="17"/>
      <c r="T103" s="17"/>
      <c r="U103" s="17"/>
      <c r="V103" s="17">
        <v>77</v>
      </c>
      <c r="W103" s="17">
        <v>1318</v>
      </c>
      <c r="X103" s="15">
        <v>314.5</v>
      </c>
      <c r="Y103" s="17">
        <v>152</v>
      </c>
      <c r="Z103" s="17">
        <v>549</v>
      </c>
      <c r="AA103" s="17">
        <v>1327</v>
      </c>
      <c r="AB103" s="12">
        <f t="shared" si="1"/>
        <v>101</v>
      </c>
    </row>
    <row r="104" ht="14.25" spans="1:28">
      <c r="A104" s="13">
        <v>568</v>
      </c>
      <c r="B104" s="15">
        <v>12</v>
      </c>
      <c r="C104" s="16">
        <v>15</v>
      </c>
      <c r="D104" s="17" t="s">
        <v>1144</v>
      </c>
      <c r="E104" s="17" t="s">
        <v>1145</v>
      </c>
      <c r="F104" s="17">
        <v>103</v>
      </c>
      <c r="G104" s="17">
        <v>2094</v>
      </c>
      <c r="H104" s="17">
        <v>115.5</v>
      </c>
      <c r="I104" s="17">
        <v>1149</v>
      </c>
      <c r="J104" s="17">
        <v>92.5</v>
      </c>
      <c r="K104" s="17">
        <v>4660</v>
      </c>
      <c r="L104" s="17">
        <v>73</v>
      </c>
      <c r="M104" s="17">
        <v>575</v>
      </c>
      <c r="N104" s="17"/>
      <c r="O104" s="17"/>
      <c r="P104" s="17">
        <v>81</v>
      </c>
      <c r="Q104" s="17">
        <v>2079</v>
      </c>
      <c r="R104" s="17">
        <v>84</v>
      </c>
      <c r="S104" s="17">
        <v>1490</v>
      </c>
      <c r="T104" s="17"/>
      <c r="U104" s="17"/>
      <c r="V104" s="17"/>
      <c r="W104" s="17"/>
      <c r="X104" s="15">
        <v>311</v>
      </c>
      <c r="Y104" s="17">
        <v>181</v>
      </c>
      <c r="Z104" s="17">
        <v>549</v>
      </c>
      <c r="AA104" s="17">
        <v>1327</v>
      </c>
      <c r="AB104" s="12">
        <f t="shared" si="1"/>
        <v>101</v>
      </c>
    </row>
    <row r="105" ht="14.25" spans="1:28">
      <c r="A105" s="13">
        <v>27</v>
      </c>
      <c r="B105" s="15">
        <v>1</v>
      </c>
      <c r="C105" s="16">
        <v>29</v>
      </c>
      <c r="D105" s="17" t="s">
        <v>68</v>
      </c>
      <c r="E105" s="17" t="s">
        <v>69</v>
      </c>
      <c r="F105" s="17">
        <v>108</v>
      </c>
      <c r="G105" s="17">
        <v>736</v>
      </c>
      <c r="H105" s="17">
        <v>108</v>
      </c>
      <c r="I105" s="17">
        <v>2274</v>
      </c>
      <c r="J105" s="17">
        <v>121.75</v>
      </c>
      <c r="K105" s="17">
        <v>398</v>
      </c>
      <c r="L105" s="17">
        <v>48</v>
      </c>
      <c r="M105" s="17">
        <v>4355</v>
      </c>
      <c r="N105" s="17"/>
      <c r="O105" s="17"/>
      <c r="P105" s="17">
        <v>82</v>
      </c>
      <c r="Q105" s="17">
        <v>1870</v>
      </c>
      <c r="R105" s="17"/>
      <c r="S105" s="17"/>
      <c r="T105" s="17">
        <v>81</v>
      </c>
      <c r="U105" s="17">
        <v>759</v>
      </c>
      <c r="V105" s="17"/>
      <c r="W105" s="17"/>
      <c r="X105" s="15">
        <v>337.75</v>
      </c>
      <c r="Y105" s="17">
        <v>33</v>
      </c>
      <c r="Z105" s="17">
        <v>548.75</v>
      </c>
      <c r="AA105" s="17">
        <v>1342</v>
      </c>
      <c r="AB105" s="12">
        <f t="shared" si="1"/>
        <v>103</v>
      </c>
    </row>
    <row r="106" ht="14.25" spans="1:28">
      <c r="A106" s="13">
        <v>263</v>
      </c>
      <c r="B106" s="15">
        <v>6</v>
      </c>
      <c r="C106" s="16">
        <v>15</v>
      </c>
      <c r="D106" s="17" t="s">
        <v>537</v>
      </c>
      <c r="E106" s="17" t="s">
        <v>538</v>
      </c>
      <c r="F106" s="17">
        <v>99.5</v>
      </c>
      <c r="G106" s="17">
        <v>3607</v>
      </c>
      <c r="H106" s="17">
        <v>105.5</v>
      </c>
      <c r="I106" s="17">
        <v>2718</v>
      </c>
      <c r="J106" s="17">
        <v>105.25</v>
      </c>
      <c r="K106" s="17">
        <v>2156</v>
      </c>
      <c r="L106" s="17">
        <v>74.5</v>
      </c>
      <c r="M106" s="17">
        <v>487</v>
      </c>
      <c r="N106" s="17"/>
      <c r="O106" s="17"/>
      <c r="P106" s="17"/>
      <c r="Q106" s="17"/>
      <c r="R106" s="17">
        <v>76</v>
      </c>
      <c r="S106" s="17">
        <v>3491</v>
      </c>
      <c r="T106" s="17"/>
      <c r="U106" s="17"/>
      <c r="V106" s="17">
        <v>88</v>
      </c>
      <c r="W106" s="17">
        <v>165</v>
      </c>
      <c r="X106" s="15">
        <v>310.25</v>
      </c>
      <c r="Y106" s="17">
        <v>189</v>
      </c>
      <c r="Z106" s="17">
        <v>548.75</v>
      </c>
      <c r="AA106" s="17">
        <v>1342</v>
      </c>
      <c r="AB106" s="12">
        <f t="shared" si="1"/>
        <v>103</v>
      </c>
    </row>
    <row r="107" ht="14.25" spans="1:28">
      <c r="A107" s="13">
        <v>618</v>
      </c>
      <c r="B107" s="15">
        <v>13</v>
      </c>
      <c r="C107" s="16">
        <v>9</v>
      </c>
      <c r="D107" s="17" t="s">
        <v>1244</v>
      </c>
      <c r="E107" s="17" t="s">
        <v>1245</v>
      </c>
      <c r="F107" s="17">
        <v>112</v>
      </c>
      <c r="G107" s="17">
        <v>223</v>
      </c>
      <c r="H107" s="17">
        <v>105</v>
      </c>
      <c r="I107" s="17">
        <v>2810</v>
      </c>
      <c r="J107" s="17">
        <v>107.75</v>
      </c>
      <c r="K107" s="17">
        <v>1777</v>
      </c>
      <c r="L107" s="17">
        <v>60</v>
      </c>
      <c r="M107" s="17">
        <v>2185</v>
      </c>
      <c r="N107" s="17"/>
      <c r="O107" s="17"/>
      <c r="P107" s="17">
        <v>73</v>
      </c>
      <c r="Q107" s="17">
        <v>4501</v>
      </c>
      <c r="R107" s="17">
        <v>90</v>
      </c>
      <c r="S107" s="17">
        <v>255</v>
      </c>
      <c r="T107" s="17"/>
      <c r="U107" s="17"/>
      <c r="V107" s="17"/>
      <c r="W107" s="17"/>
      <c r="X107" s="15">
        <v>324.75</v>
      </c>
      <c r="Y107" s="17">
        <v>89</v>
      </c>
      <c r="Z107" s="17">
        <v>547.75</v>
      </c>
      <c r="AA107" s="17">
        <v>1371</v>
      </c>
      <c r="AB107" s="12">
        <f t="shared" si="1"/>
        <v>105</v>
      </c>
    </row>
    <row r="108" ht="14.25" spans="1:28">
      <c r="A108" s="13">
        <v>184</v>
      </c>
      <c r="B108" s="15">
        <v>4</v>
      </c>
      <c r="C108" s="16">
        <v>25</v>
      </c>
      <c r="D108" s="17" t="s">
        <v>381</v>
      </c>
      <c r="E108" s="17" t="s">
        <v>382</v>
      </c>
      <c r="F108" s="17">
        <v>96.5</v>
      </c>
      <c r="G108" s="17">
        <v>5262</v>
      </c>
      <c r="H108" s="17">
        <v>111.5</v>
      </c>
      <c r="I108" s="17">
        <v>1692</v>
      </c>
      <c r="J108" s="17">
        <v>102.75</v>
      </c>
      <c r="K108" s="17">
        <v>2584</v>
      </c>
      <c r="L108" s="17">
        <v>58</v>
      </c>
      <c r="M108" s="17">
        <v>2538</v>
      </c>
      <c r="N108" s="17"/>
      <c r="O108" s="17"/>
      <c r="P108" s="17">
        <v>90</v>
      </c>
      <c r="Q108" s="17">
        <v>119</v>
      </c>
      <c r="R108" s="17"/>
      <c r="S108" s="17"/>
      <c r="T108" s="17"/>
      <c r="U108" s="17"/>
      <c r="V108" s="17">
        <v>88</v>
      </c>
      <c r="W108" s="17">
        <v>165</v>
      </c>
      <c r="X108" s="15">
        <v>310.75</v>
      </c>
      <c r="Y108" s="17">
        <v>183</v>
      </c>
      <c r="Z108" s="17">
        <v>546.75</v>
      </c>
      <c r="AA108" s="17">
        <v>1400</v>
      </c>
      <c r="AB108" s="12">
        <f t="shared" si="1"/>
        <v>106</v>
      </c>
    </row>
    <row r="109" ht="14.25" spans="1:28">
      <c r="A109" s="13">
        <v>483</v>
      </c>
      <c r="B109" s="15">
        <v>10</v>
      </c>
      <c r="C109" s="16">
        <v>44</v>
      </c>
      <c r="D109" s="17" t="s">
        <v>976</v>
      </c>
      <c r="E109" s="17" t="s">
        <v>977</v>
      </c>
      <c r="F109" s="17">
        <v>94</v>
      </c>
      <c r="G109" s="17">
        <v>6811</v>
      </c>
      <c r="H109" s="17">
        <v>109.5</v>
      </c>
      <c r="I109" s="17">
        <v>2023</v>
      </c>
      <c r="J109" s="17">
        <v>114.25</v>
      </c>
      <c r="K109" s="17">
        <v>986</v>
      </c>
      <c r="L109" s="17">
        <v>58</v>
      </c>
      <c r="M109" s="17">
        <v>2538</v>
      </c>
      <c r="N109" s="17"/>
      <c r="O109" s="17"/>
      <c r="P109" s="17">
        <v>86</v>
      </c>
      <c r="Q109" s="17">
        <v>1052</v>
      </c>
      <c r="R109" s="17">
        <v>85</v>
      </c>
      <c r="S109" s="17">
        <v>1393</v>
      </c>
      <c r="T109" s="17"/>
      <c r="U109" s="17"/>
      <c r="V109" s="17"/>
      <c r="W109" s="17"/>
      <c r="X109" s="15">
        <v>317.75</v>
      </c>
      <c r="Y109" s="17">
        <v>133</v>
      </c>
      <c r="Z109" s="17">
        <v>546.75</v>
      </c>
      <c r="AA109" s="17">
        <v>1400</v>
      </c>
      <c r="AB109" s="12">
        <f t="shared" si="1"/>
        <v>106</v>
      </c>
    </row>
    <row r="110" ht="14.25" spans="1:28">
      <c r="A110" s="13">
        <v>144</v>
      </c>
      <c r="B110" s="15">
        <v>3</v>
      </c>
      <c r="C110" s="16">
        <v>33</v>
      </c>
      <c r="D110" s="17" t="s">
        <v>301</v>
      </c>
      <c r="E110" s="17" t="s">
        <v>302</v>
      </c>
      <c r="F110" s="17">
        <v>110</v>
      </c>
      <c r="G110" s="17">
        <v>430</v>
      </c>
      <c r="H110" s="17">
        <v>104.5</v>
      </c>
      <c r="I110" s="17">
        <v>2895</v>
      </c>
      <c r="J110" s="17">
        <v>103</v>
      </c>
      <c r="K110" s="17">
        <v>2527</v>
      </c>
      <c r="L110" s="17">
        <v>63.5</v>
      </c>
      <c r="M110" s="17">
        <v>1636</v>
      </c>
      <c r="N110" s="17"/>
      <c r="O110" s="17"/>
      <c r="P110" s="17">
        <v>77</v>
      </c>
      <c r="Q110" s="17">
        <v>3207</v>
      </c>
      <c r="R110" s="17"/>
      <c r="S110" s="17"/>
      <c r="T110" s="17"/>
      <c r="U110" s="17"/>
      <c r="V110" s="17">
        <v>88</v>
      </c>
      <c r="W110" s="17">
        <v>165</v>
      </c>
      <c r="X110" s="15">
        <v>317.5</v>
      </c>
      <c r="Y110" s="17">
        <v>135</v>
      </c>
      <c r="Z110" s="17">
        <v>546</v>
      </c>
      <c r="AA110" s="17">
        <v>1419</v>
      </c>
      <c r="AB110" s="12">
        <f t="shared" si="1"/>
        <v>108</v>
      </c>
    </row>
    <row r="111" ht="14.25" spans="1:28">
      <c r="A111" s="13">
        <v>82</v>
      </c>
      <c r="B111" s="15">
        <v>2</v>
      </c>
      <c r="C111" s="16">
        <v>19</v>
      </c>
      <c r="D111" s="17" t="s">
        <v>177</v>
      </c>
      <c r="E111" s="17" t="s">
        <v>178</v>
      </c>
      <c r="F111" s="17">
        <v>98</v>
      </c>
      <c r="G111" s="17">
        <v>4423</v>
      </c>
      <c r="H111" s="17">
        <v>107</v>
      </c>
      <c r="I111" s="17">
        <v>2461</v>
      </c>
      <c r="J111" s="17">
        <v>111</v>
      </c>
      <c r="K111" s="17">
        <v>1337</v>
      </c>
      <c r="L111" s="17">
        <v>66.5</v>
      </c>
      <c r="M111" s="17">
        <v>1237</v>
      </c>
      <c r="N111" s="17"/>
      <c r="O111" s="17"/>
      <c r="P111" s="17"/>
      <c r="Q111" s="17"/>
      <c r="R111" s="17">
        <v>86</v>
      </c>
      <c r="S111" s="17">
        <v>1176</v>
      </c>
      <c r="T111" s="17">
        <v>77</v>
      </c>
      <c r="U111" s="17">
        <v>1152</v>
      </c>
      <c r="V111" s="17"/>
      <c r="W111" s="17"/>
      <c r="X111" s="15">
        <v>316</v>
      </c>
      <c r="Y111" s="17">
        <v>144</v>
      </c>
      <c r="Z111" s="17">
        <v>545.5</v>
      </c>
      <c r="AA111" s="17">
        <v>1433</v>
      </c>
      <c r="AB111" s="12">
        <f t="shared" si="1"/>
        <v>109</v>
      </c>
    </row>
    <row r="112" ht="14.25" spans="1:28">
      <c r="A112" s="13">
        <v>178</v>
      </c>
      <c r="B112" s="15">
        <v>4</v>
      </c>
      <c r="C112" s="16">
        <v>19</v>
      </c>
      <c r="D112" s="17" t="s">
        <v>369</v>
      </c>
      <c r="E112" s="17" t="s">
        <v>370</v>
      </c>
      <c r="F112" s="17">
        <v>95.75</v>
      </c>
      <c r="G112" s="17">
        <v>5826</v>
      </c>
      <c r="H112" s="17">
        <v>110.5</v>
      </c>
      <c r="I112" s="17">
        <v>1866</v>
      </c>
      <c r="J112" s="17">
        <v>107</v>
      </c>
      <c r="K112" s="17">
        <v>1871</v>
      </c>
      <c r="L112" s="17">
        <v>60</v>
      </c>
      <c r="M112" s="17">
        <v>2185</v>
      </c>
      <c r="N112" s="17"/>
      <c r="O112" s="17"/>
      <c r="P112" s="17">
        <v>87</v>
      </c>
      <c r="Q112" s="17">
        <v>681</v>
      </c>
      <c r="R112" s="17"/>
      <c r="S112" s="17"/>
      <c r="T112" s="17"/>
      <c r="U112" s="17"/>
      <c r="V112" s="17">
        <v>85</v>
      </c>
      <c r="W112" s="17">
        <v>530</v>
      </c>
      <c r="X112" s="15">
        <v>313.25</v>
      </c>
      <c r="Y112" s="17">
        <v>166</v>
      </c>
      <c r="Z112" s="17">
        <v>545.25</v>
      </c>
      <c r="AA112" s="17">
        <v>1448</v>
      </c>
      <c r="AB112" s="12">
        <f t="shared" si="1"/>
        <v>110</v>
      </c>
    </row>
    <row r="113" ht="14.25" spans="1:28">
      <c r="A113" s="13">
        <v>199</v>
      </c>
      <c r="B113" s="15">
        <v>4</v>
      </c>
      <c r="C113" s="16">
        <v>42</v>
      </c>
      <c r="D113" s="17" t="s">
        <v>411</v>
      </c>
      <c r="E113" s="17" t="s">
        <v>412</v>
      </c>
      <c r="F113" s="17">
        <v>91.5</v>
      </c>
      <c r="G113" s="17">
        <v>8306</v>
      </c>
      <c r="H113" s="17">
        <v>109.5</v>
      </c>
      <c r="I113" s="17">
        <v>2023</v>
      </c>
      <c r="J113" s="17">
        <v>119.25</v>
      </c>
      <c r="K113" s="17">
        <v>551</v>
      </c>
      <c r="L113" s="17">
        <v>59</v>
      </c>
      <c r="M113" s="17">
        <v>2358</v>
      </c>
      <c r="N113" s="17"/>
      <c r="O113" s="17"/>
      <c r="P113" s="17">
        <v>80</v>
      </c>
      <c r="Q113" s="17">
        <v>2333</v>
      </c>
      <c r="R113" s="17"/>
      <c r="S113" s="17"/>
      <c r="T113" s="17"/>
      <c r="U113" s="17"/>
      <c r="V113" s="17">
        <v>86</v>
      </c>
      <c r="W113" s="17">
        <v>439</v>
      </c>
      <c r="X113" s="15">
        <v>320.25</v>
      </c>
      <c r="Y113" s="17">
        <v>114</v>
      </c>
      <c r="Z113" s="17">
        <v>545.25</v>
      </c>
      <c r="AA113" s="17">
        <v>1448</v>
      </c>
      <c r="AB113" s="12">
        <f t="shared" si="1"/>
        <v>110</v>
      </c>
    </row>
    <row r="114" ht="14.25" spans="1:28">
      <c r="A114" s="13">
        <v>461</v>
      </c>
      <c r="B114" s="15">
        <v>10</v>
      </c>
      <c r="C114" s="16">
        <v>22</v>
      </c>
      <c r="D114" s="17" t="s">
        <v>932</v>
      </c>
      <c r="E114" s="17" t="s">
        <v>933</v>
      </c>
      <c r="F114" s="17">
        <v>100</v>
      </c>
      <c r="G114" s="17">
        <v>3368</v>
      </c>
      <c r="H114" s="17">
        <v>116</v>
      </c>
      <c r="I114" s="17">
        <v>1095</v>
      </c>
      <c r="J114" s="17">
        <v>105.75</v>
      </c>
      <c r="K114" s="17">
        <v>2077</v>
      </c>
      <c r="L114" s="17">
        <v>65.5</v>
      </c>
      <c r="M114" s="17">
        <v>1373</v>
      </c>
      <c r="N114" s="17"/>
      <c r="O114" s="17"/>
      <c r="P114" s="17">
        <v>84</v>
      </c>
      <c r="Q114" s="17">
        <v>1443</v>
      </c>
      <c r="R114" s="17">
        <v>74</v>
      </c>
      <c r="S114" s="17">
        <v>4119</v>
      </c>
      <c r="T114" s="17"/>
      <c r="U114" s="17"/>
      <c r="V114" s="17"/>
      <c r="W114" s="17"/>
      <c r="X114" s="15">
        <v>321.75</v>
      </c>
      <c r="Y114" s="17">
        <v>106</v>
      </c>
      <c r="Z114" s="17">
        <v>545.25</v>
      </c>
      <c r="AA114" s="17">
        <v>1448</v>
      </c>
      <c r="AB114" s="12">
        <f t="shared" si="1"/>
        <v>110</v>
      </c>
    </row>
    <row r="115" ht="14.25" spans="1:28">
      <c r="A115" s="13">
        <v>172</v>
      </c>
      <c r="B115" s="15">
        <v>4</v>
      </c>
      <c r="C115" s="16">
        <v>13</v>
      </c>
      <c r="D115" s="17" t="s">
        <v>357</v>
      </c>
      <c r="E115" s="17" t="s">
        <v>358</v>
      </c>
      <c r="F115" s="17">
        <v>105.5</v>
      </c>
      <c r="G115" s="17">
        <v>1281</v>
      </c>
      <c r="H115" s="17">
        <v>121</v>
      </c>
      <c r="I115" s="17">
        <v>621</v>
      </c>
      <c r="J115" s="17">
        <v>110.75</v>
      </c>
      <c r="K115" s="17">
        <v>1380</v>
      </c>
      <c r="L115" s="17">
        <v>49.5</v>
      </c>
      <c r="M115" s="17">
        <v>4044</v>
      </c>
      <c r="N115" s="17"/>
      <c r="O115" s="17"/>
      <c r="P115" s="17">
        <v>69</v>
      </c>
      <c r="Q115" s="17">
        <v>5655</v>
      </c>
      <c r="R115" s="17"/>
      <c r="S115" s="17"/>
      <c r="T115" s="17"/>
      <c r="U115" s="17"/>
      <c r="V115" s="17">
        <v>89</v>
      </c>
      <c r="W115" s="17">
        <v>100</v>
      </c>
      <c r="X115" s="15">
        <v>337.25</v>
      </c>
      <c r="Y115" s="17">
        <v>35</v>
      </c>
      <c r="Z115" s="17">
        <v>544.75</v>
      </c>
      <c r="AA115" s="17">
        <v>1462</v>
      </c>
      <c r="AB115" s="12">
        <f t="shared" si="1"/>
        <v>113</v>
      </c>
    </row>
    <row r="116" ht="14.25" spans="1:28">
      <c r="A116" s="13">
        <v>186</v>
      </c>
      <c r="B116" s="15">
        <v>4</v>
      </c>
      <c r="C116" s="16">
        <v>27</v>
      </c>
      <c r="D116" s="17" t="s">
        <v>385</v>
      </c>
      <c r="E116" s="17" t="s">
        <v>386</v>
      </c>
      <c r="F116" s="17">
        <v>106.5</v>
      </c>
      <c r="G116" s="17">
        <v>1059</v>
      </c>
      <c r="H116" s="17">
        <v>108</v>
      </c>
      <c r="I116" s="17">
        <v>2274</v>
      </c>
      <c r="J116" s="17">
        <v>108.75</v>
      </c>
      <c r="K116" s="17">
        <v>1628</v>
      </c>
      <c r="L116" s="17">
        <v>59.5</v>
      </c>
      <c r="M116" s="17">
        <v>2274</v>
      </c>
      <c r="N116" s="17"/>
      <c r="O116" s="17"/>
      <c r="P116" s="17">
        <v>78</v>
      </c>
      <c r="Q116" s="17">
        <v>2908</v>
      </c>
      <c r="R116" s="17"/>
      <c r="S116" s="17"/>
      <c r="T116" s="17"/>
      <c r="U116" s="17"/>
      <c r="V116" s="17">
        <v>84</v>
      </c>
      <c r="W116" s="17">
        <v>588</v>
      </c>
      <c r="X116" s="15">
        <v>323.25</v>
      </c>
      <c r="Y116" s="17">
        <v>97</v>
      </c>
      <c r="Z116" s="17">
        <v>544.75</v>
      </c>
      <c r="AA116" s="17">
        <v>1462</v>
      </c>
      <c r="AB116" s="12">
        <f t="shared" si="1"/>
        <v>113</v>
      </c>
    </row>
    <row r="117" ht="14.25" spans="1:28">
      <c r="A117" s="13">
        <v>210</v>
      </c>
      <c r="B117" s="15">
        <v>5</v>
      </c>
      <c r="C117" s="16">
        <v>7</v>
      </c>
      <c r="D117" s="17" t="s">
        <v>433</v>
      </c>
      <c r="E117" s="17" t="s">
        <v>434</v>
      </c>
      <c r="F117" s="17">
        <v>107.5</v>
      </c>
      <c r="G117" s="17">
        <v>829</v>
      </c>
      <c r="H117" s="17">
        <v>115.5</v>
      </c>
      <c r="I117" s="17">
        <v>1149</v>
      </c>
      <c r="J117" s="17">
        <v>96.75</v>
      </c>
      <c r="K117" s="17">
        <v>3707</v>
      </c>
      <c r="L117" s="17">
        <v>64</v>
      </c>
      <c r="M117" s="17">
        <v>1577</v>
      </c>
      <c r="N117" s="17"/>
      <c r="O117" s="17"/>
      <c r="P117" s="17">
        <v>82</v>
      </c>
      <c r="Q117" s="17">
        <v>1870</v>
      </c>
      <c r="R117" s="17"/>
      <c r="S117" s="17"/>
      <c r="T117" s="17"/>
      <c r="U117" s="17"/>
      <c r="V117" s="17">
        <v>79</v>
      </c>
      <c r="W117" s="17">
        <v>1023</v>
      </c>
      <c r="X117" s="15">
        <v>319.75</v>
      </c>
      <c r="Y117" s="17">
        <v>120</v>
      </c>
      <c r="Z117" s="17">
        <v>544.75</v>
      </c>
      <c r="AA117" s="17">
        <v>1462</v>
      </c>
      <c r="AB117" s="12">
        <f t="shared" si="1"/>
        <v>113</v>
      </c>
    </row>
    <row r="118" ht="14.25" spans="1:28">
      <c r="A118" s="13">
        <v>467</v>
      </c>
      <c r="B118" s="15">
        <v>10</v>
      </c>
      <c r="C118" s="16">
        <v>28</v>
      </c>
      <c r="D118" s="17" t="s">
        <v>944</v>
      </c>
      <c r="E118" s="17" t="s">
        <v>945</v>
      </c>
      <c r="F118" s="17">
        <v>114</v>
      </c>
      <c r="G118" s="17">
        <v>113</v>
      </c>
      <c r="H118" s="17">
        <v>115</v>
      </c>
      <c r="I118" s="17">
        <v>1213</v>
      </c>
      <c r="J118" s="17">
        <v>107</v>
      </c>
      <c r="K118" s="17">
        <v>1871</v>
      </c>
      <c r="L118" s="17">
        <v>55.5</v>
      </c>
      <c r="M118" s="17">
        <v>2964</v>
      </c>
      <c r="N118" s="17"/>
      <c r="O118" s="17"/>
      <c r="P118" s="17">
        <v>73</v>
      </c>
      <c r="Q118" s="17">
        <v>4501</v>
      </c>
      <c r="R118" s="17">
        <v>80</v>
      </c>
      <c r="S118" s="17">
        <v>2376</v>
      </c>
      <c r="T118" s="17"/>
      <c r="U118" s="17"/>
      <c r="V118" s="17"/>
      <c r="W118" s="17"/>
      <c r="X118" s="15">
        <v>336</v>
      </c>
      <c r="Y118" s="17">
        <v>45</v>
      </c>
      <c r="Z118" s="17">
        <v>544.5</v>
      </c>
      <c r="AA118" s="17">
        <v>1470</v>
      </c>
      <c r="AB118" s="12">
        <f t="shared" si="1"/>
        <v>116</v>
      </c>
    </row>
    <row r="119" ht="14.25" spans="1:28">
      <c r="A119" s="13">
        <v>75</v>
      </c>
      <c r="B119" s="15">
        <v>2</v>
      </c>
      <c r="C119" s="16">
        <v>12</v>
      </c>
      <c r="D119" s="17" t="s">
        <v>163</v>
      </c>
      <c r="E119" s="17" t="s">
        <v>164</v>
      </c>
      <c r="F119" s="17">
        <v>95.5</v>
      </c>
      <c r="G119" s="17">
        <v>5877</v>
      </c>
      <c r="H119" s="17">
        <v>107.5</v>
      </c>
      <c r="I119" s="17">
        <v>2373</v>
      </c>
      <c r="J119" s="17">
        <v>113</v>
      </c>
      <c r="K119" s="17">
        <v>1110</v>
      </c>
      <c r="L119" s="17">
        <v>50</v>
      </c>
      <c r="M119" s="17">
        <v>3933</v>
      </c>
      <c r="N119" s="17"/>
      <c r="O119" s="17"/>
      <c r="P119" s="17"/>
      <c r="Q119" s="17"/>
      <c r="R119" s="17">
        <v>90</v>
      </c>
      <c r="S119" s="17">
        <v>255</v>
      </c>
      <c r="T119" s="17">
        <v>88</v>
      </c>
      <c r="U119" s="17">
        <v>161</v>
      </c>
      <c r="V119" s="17"/>
      <c r="W119" s="17"/>
      <c r="X119" s="15">
        <v>316</v>
      </c>
      <c r="Y119" s="17">
        <v>144</v>
      </c>
      <c r="Z119" s="17">
        <v>544</v>
      </c>
      <c r="AA119" s="17">
        <v>1487</v>
      </c>
      <c r="AB119" s="12">
        <f t="shared" si="1"/>
        <v>117</v>
      </c>
    </row>
    <row r="120" ht="14.25" spans="1:28">
      <c r="A120" s="13">
        <v>264</v>
      </c>
      <c r="B120" s="15">
        <v>6</v>
      </c>
      <c r="C120" s="16">
        <v>16</v>
      </c>
      <c r="D120" s="17" t="s">
        <v>539</v>
      </c>
      <c r="E120" s="17" t="s">
        <v>540</v>
      </c>
      <c r="F120" s="17">
        <v>109.25</v>
      </c>
      <c r="G120" s="17">
        <v>555</v>
      </c>
      <c r="H120" s="17">
        <v>104.5</v>
      </c>
      <c r="I120" s="17">
        <v>2895</v>
      </c>
      <c r="J120" s="17">
        <v>110.25</v>
      </c>
      <c r="K120" s="17">
        <v>1435</v>
      </c>
      <c r="L120" s="17">
        <v>62</v>
      </c>
      <c r="M120" s="17">
        <v>1839</v>
      </c>
      <c r="N120" s="17"/>
      <c r="O120" s="17"/>
      <c r="P120" s="17"/>
      <c r="Q120" s="17"/>
      <c r="R120" s="17">
        <v>86</v>
      </c>
      <c r="S120" s="17">
        <v>1176</v>
      </c>
      <c r="T120" s="17"/>
      <c r="U120" s="17"/>
      <c r="V120" s="17">
        <v>72</v>
      </c>
      <c r="W120" s="17">
        <v>2049</v>
      </c>
      <c r="X120" s="15">
        <v>324</v>
      </c>
      <c r="Y120" s="17">
        <v>92</v>
      </c>
      <c r="Z120" s="17">
        <v>544</v>
      </c>
      <c r="AA120" s="17">
        <v>1487</v>
      </c>
      <c r="AB120" s="12">
        <f t="shared" si="1"/>
        <v>117</v>
      </c>
    </row>
    <row r="121" ht="14.25" spans="1:28">
      <c r="A121" s="13">
        <v>319</v>
      </c>
      <c r="B121" s="15">
        <v>7</v>
      </c>
      <c r="C121" s="16">
        <v>32</v>
      </c>
      <c r="D121" s="17" t="s">
        <v>649</v>
      </c>
      <c r="E121" s="17" t="s">
        <v>650</v>
      </c>
      <c r="F121" s="17">
        <v>108.5</v>
      </c>
      <c r="G121" s="17">
        <v>650</v>
      </c>
      <c r="H121" s="17">
        <v>108.5</v>
      </c>
      <c r="I121" s="17">
        <v>2198</v>
      </c>
      <c r="J121" s="17">
        <v>102</v>
      </c>
      <c r="K121" s="17">
        <v>2685</v>
      </c>
      <c r="L121" s="17">
        <v>61</v>
      </c>
      <c r="M121" s="17">
        <v>2008</v>
      </c>
      <c r="N121" s="17"/>
      <c r="O121" s="17"/>
      <c r="P121" s="17"/>
      <c r="Q121" s="17"/>
      <c r="R121" s="17">
        <v>80</v>
      </c>
      <c r="S121" s="17">
        <v>2376</v>
      </c>
      <c r="T121" s="17"/>
      <c r="U121" s="17"/>
      <c r="V121" s="17">
        <v>84</v>
      </c>
      <c r="W121" s="17">
        <v>588</v>
      </c>
      <c r="X121" s="15">
        <v>319</v>
      </c>
      <c r="Y121" s="17">
        <v>124</v>
      </c>
      <c r="Z121" s="17">
        <v>544</v>
      </c>
      <c r="AA121" s="17">
        <v>1487</v>
      </c>
      <c r="AB121" s="12">
        <f t="shared" si="1"/>
        <v>117</v>
      </c>
    </row>
    <row r="122" ht="14.25" spans="1:28">
      <c r="A122" s="13">
        <v>237</v>
      </c>
      <c r="B122" s="15">
        <v>5</v>
      </c>
      <c r="C122" s="16">
        <v>34</v>
      </c>
      <c r="D122" s="17" t="s">
        <v>487</v>
      </c>
      <c r="E122" s="17" t="s">
        <v>488</v>
      </c>
      <c r="F122" s="17">
        <v>100</v>
      </c>
      <c r="G122" s="17">
        <v>3368</v>
      </c>
      <c r="H122" s="17">
        <v>118</v>
      </c>
      <c r="I122" s="17">
        <v>885</v>
      </c>
      <c r="J122" s="17">
        <v>95.75</v>
      </c>
      <c r="K122" s="17">
        <v>3946</v>
      </c>
      <c r="L122" s="17">
        <v>61</v>
      </c>
      <c r="M122" s="17">
        <v>2008</v>
      </c>
      <c r="N122" s="17"/>
      <c r="O122" s="17"/>
      <c r="P122" s="17">
        <v>87</v>
      </c>
      <c r="Q122" s="17">
        <v>681</v>
      </c>
      <c r="R122" s="17"/>
      <c r="S122" s="17"/>
      <c r="T122" s="17"/>
      <c r="U122" s="17"/>
      <c r="V122" s="17">
        <v>82</v>
      </c>
      <c r="W122" s="17">
        <v>723</v>
      </c>
      <c r="X122" s="15">
        <v>313.75</v>
      </c>
      <c r="Y122" s="17">
        <v>161</v>
      </c>
      <c r="Z122" s="17">
        <v>543.75</v>
      </c>
      <c r="AA122" s="17">
        <v>1499</v>
      </c>
      <c r="AB122" s="12">
        <f t="shared" si="1"/>
        <v>120</v>
      </c>
    </row>
    <row r="123" ht="14.25" spans="1:28">
      <c r="A123" s="13">
        <v>532</v>
      </c>
      <c r="B123" s="15">
        <v>11</v>
      </c>
      <c r="C123" s="16">
        <v>38</v>
      </c>
      <c r="D123" s="17" t="s">
        <v>1073</v>
      </c>
      <c r="E123" s="17" t="s">
        <v>1074</v>
      </c>
      <c r="F123" s="17">
        <v>105</v>
      </c>
      <c r="G123" s="17">
        <v>1427</v>
      </c>
      <c r="H123" s="17">
        <v>111</v>
      </c>
      <c r="I123" s="17">
        <v>1774</v>
      </c>
      <c r="J123" s="17">
        <v>98.25</v>
      </c>
      <c r="K123" s="17">
        <v>3423</v>
      </c>
      <c r="L123" s="17">
        <v>59.5</v>
      </c>
      <c r="M123" s="17">
        <v>2274</v>
      </c>
      <c r="N123" s="17"/>
      <c r="O123" s="17"/>
      <c r="P123" s="17">
        <v>86</v>
      </c>
      <c r="Q123" s="17">
        <v>1052</v>
      </c>
      <c r="R123" s="17">
        <v>83</v>
      </c>
      <c r="S123" s="17">
        <v>1715</v>
      </c>
      <c r="T123" s="17"/>
      <c r="U123" s="17"/>
      <c r="V123" s="17"/>
      <c r="W123" s="17"/>
      <c r="X123" s="15">
        <v>314.25</v>
      </c>
      <c r="Y123" s="17">
        <v>154</v>
      </c>
      <c r="Z123" s="17">
        <v>542.75</v>
      </c>
      <c r="AA123" s="17">
        <v>1520</v>
      </c>
      <c r="AB123" s="12">
        <f t="shared" si="1"/>
        <v>121</v>
      </c>
    </row>
    <row r="124" ht="14.25" spans="1:28">
      <c r="A124" s="13">
        <v>448</v>
      </c>
      <c r="B124" s="15">
        <v>10</v>
      </c>
      <c r="C124" s="16">
        <v>9</v>
      </c>
      <c r="D124" s="17" t="s">
        <v>906</v>
      </c>
      <c r="E124" s="17" t="s">
        <v>907</v>
      </c>
      <c r="F124" s="17">
        <v>107.5</v>
      </c>
      <c r="G124" s="17">
        <v>829</v>
      </c>
      <c r="H124" s="17">
        <v>116.5</v>
      </c>
      <c r="I124" s="17">
        <v>1035</v>
      </c>
      <c r="J124" s="17">
        <v>85.5</v>
      </c>
      <c r="K124" s="17">
        <v>6376</v>
      </c>
      <c r="L124" s="17">
        <v>64.5</v>
      </c>
      <c r="M124" s="17">
        <v>1506</v>
      </c>
      <c r="N124" s="17"/>
      <c r="O124" s="17"/>
      <c r="P124" s="17">
        <v>80</v>
      </c>
      <c r="Q124" s="17">
        <v>2333</v>
      </c>
      <c r="R124" s="17">
        <v>88</v>
      </c>
      <c r="S124" s="17">
        <v>601</v>
      </c>
      <c r="T124" s="17"/>
      <c r="U124" s="17"/>
      <c r="V124" s="17"/>
      <c r="W124" s="17"/>
      <c r="X124" s="15">
        <v>309.5</v>
      </c>
      <c r="Y124" s="17">
        <v>197</v>
      </c>
      <c r="Z124" s="17">
        <v>542</v>
      </c>
      <c r="AA124" s="17">
        <v>1549</v>
      </c>
      <c r="AB124" s="12">
        <f t="shared" si="1"/>
        <v>122</v>
      </c>
    </row>
    <row r="125" ht="14.25" spans="1:28">
      <c r="A125" s="13">
        <v>344</v>
      </c>
      <c r="B125" s="15">
        <v>8</v>
      </c>
      <c r="C125" s="16">
        <v>16</v>
      </c>
      <c r="D125" s="17" t="s">
        <v>699</v>
      </c>
      <c r="E125" s="17" t="s">
        <v>700</v>
      </c>
      <c r="F125" s="17">
        <v>105</v>
      </c>
      <c r="G125" s="17">
        <v>1427</v>
      </c>
      <c r="H125" s="17">
        <v>112.5</v>
      </c>
      <c r="I125" s="17">
        <v>1543</v>
      </c>
      <c r="J125" s="17">
        <v>93.5</v>
      </c>
      <c r="K125" s="17">
        <v>4431</v>
      </c>
      <c r="L125" s="17">
        <v>59.5</v>
      </c>
      <c r="M125" s="17">
        <v>2274</v>
      </c>
      <c r="N125" s="17"/>
      <c r="O125" s="17"/>
      <c r="P125" s="17">
        <v>82</v>
      </c>
      <c r="Q125" s="17">
        <v>1870</v>
      </c>
      <c r="R125" s="17">
        <v>89</v>
      </c>
      <c r="S125" s="17">
        <v>415</v>
      </c>
      <c r="T125" s="17"/>
      <c r="U125" s="17"/>
      <c r="V125" s="17"/>
      <c r="W125" s="17"/>
      <c r="X125" s="15">
        <v>311</v>
      </c>
      <c r="Y125" s="17">
        <v>181</v>
      </c>
      <c r="Z125" s="17">
        <v>541.5</v>
      </c>
      <c r="AA125" s="17">
        <v>1568</v>
      </c>
      <c r="AB125" s="12">
        <f t="shared" si="1"/>
        <v>123</v>
      </c>
    </row>
    <row r="126" ht="14.25" spans="1:28">
      <c r="A126" s="13">
        <v>470</v>
      </c>
      <c r="B126" s="15">
        <v>10</v>
      </c>
      <c r="C126" s="16">
        <v>31</v>
      </c>
      <c r="D126" s="17" t="s">
        <v>950</v>
      </c>
      <c r="E126" s="17" t="s">
        <v>951</v>
      </c>
      <c r="F126" s="17">
        <v>107</v>
      </c>
      <c r="G126" s="17">
        <v>945</v>
      </c>
      <c r="H126" s="17">
        <v>107.5</v>
      </c>
      <c r="I126" s="17">
        <v>2373</v>
      </c>
      <c r="J126" s="17">
        <v>96.75</v>
      </c>
      <c r="K126" s="17">
        <v>3707</v>
      </c>
      <c r="L126" s="17">
        <v>65</v>
      </c>
      <c r="M126" s="17">
        <v>1440</v>
      </c>
      <c r="N126" s="17"/>
      <c r="O126" s="17"/>
      <c r="P126" s="17">
        <v>86</v>
      </c>
      <c r="Q126" s="17">
        <v>1052</v>
      </c>
      <c r="R126" s="17">
        <v>79</v>
      </c>
      <c r="S126" s="17">
        <v>2629</v>
      </c>
      <c r="T126" s="17"/>
      <c r="U126" s="17"/>
      <c r="V126" s="17"/>
      <c r="W126" s="17"/>
      <c r="X126" s="15">
        <v>311.25</v>
      </c>
      <c r="Y126" s="17">
        <v>176</v>
      </c>
      <c r="Z126" s="17">
        <v>541.25</v>
      </c>
      <c r="AA126" s="17">
        <v>1581</v>
      </c>
      <c r="AB126" s="12">
        <f t="shared" si="1"/>
        <v>124</v>
      </c>
    </row>
    <row r="127" ht="14.25" spans="1:28">
      <c r="A127" s="13">
        <v>181</v>
      </c>
      <c r="B127" s="15">
        <v>4</v>
      </c>
      <c r="C127" s="16">
        <v>22</v>
      </c>
      <c r="D127" s="17" t="s">
        <v>375</v>
      </c>
      <c r="E127" s="17" t="s">
        <v>376</v>
      </c>
      <c r="F127" s="17">
        <v>107</v>
      </c>
      <c r="G127" s="17">
        <v>945</v>
      </c>
      <c r="H127" s="17">
        <v>114.5</v>
      </c>
      <c r="I127" s="17">
        <v>1277</v>
      </c>
      <c r="J127" s="17">
        <v>108</v>
      </c>
      <c r="K127" s="17">
        <v>1721</v>
      </c>
      <c r="L127" s="17">
        <v>56.5</v>
      </c>
      <c r="M127" s="17">
        <v>2801</v>
      </c>
      <c r="N127" s="17"/>
      <c r="O127" s="17"/>
      <c r="P127" s="17">
        <v>72</v>
      </c>
      <c r="Q127" s="17">
        <v>4881</v>
      </c>
      <c r="R127" s="17"/>
      <c r="S127" s="17"/>
      <c r="T127" s="17"/>
      <c r="U127" s="17"/>
      <c r="V127" s="17">
        <v>83</v>
      </c>
      <c r="W127" s="17">
        <v>648</v>
      </c>
      <c r="X127" s="15">
        <v>329.5</v>
      </c>
      <c r="Y127" s="17">
        <v>69</v>
      </c>
      <c r="Z127" s="17">
        <v>541</v>
      </c>
      <c r="AA127" s="17">
        <v>1585</v>
      </c>
      <c r="AB127" s="12">
        <f t="shared" si="1"/>
        <v>125</v>
      </c>
    </row>
    <row r="128" ht="14.25" spans="1:28">
      <c r="A128" s="13">
        <v>447</v>
      </c>
      <c r="B128" s="15">
        <v>10</v>
      </c>
      <c r="C128" s="16">
        <v>8</v>
      </c>
      <c r="D128" s="17" t="s">
        <v>904</v>
      </c>
      <c r="E128" s="17" t="s">
        <v>905</v>
      </c>
      <c r="F128" s="17">
        <v>101</v>
      </c>
      <c r="G128" s="17">
        <v>2896</v>
      </c>
      <c r="H128" s="17">
        <v>100</v>
      </c>
      <c r="I128" s="17">
        <v>3741</v>
      </c>
      <c r="J128" s="17">
        <v>112.75</v>
      </c>
      <c r="K128" s="17">
        <v>1155</v>
      </c>
      <c r="L128" s="17">
        <v>64</v>
      </c>
      <c r="M128" s="17">
        <v>1577</v>
      </c>
      <c r="N128" s="17"/>
      <c r="O128" s="17"/>
      <c r="P128" s="17">
        <v>75</v>
      </c>
      <c r="Q128" s="17">
        <v>3841</v>
      </c>
      <c r="R128" s="17">
        <v>88</v>
      </c>
      <c r="S128" s="17">
        <v>601</v>
      </c>
      <c r="T128" s="17"/>
      <c r="U128" s="17"/>
      <c r="V128" s="17"/>
      <c r="W128" s="17"/>
      <c r="X128" s="15">
        <v>313.75</v>
      </c>
      <c r="Y128" s="17">
        <v>161</v>
      </c>
      <c r="Z128" s="17">
        <v>540.75</v>
      </c>
      <c r="AA128" s="17">
        <v>1598</v>
      </c>
      <c r="AB128" s="12">
        <f t="shared" si="1"/>
        <v>126</v>
      </c>
    </row>
    <row r="129" ht="14.25" spans="1:28">
      <c r="A129" s="13">
        <v>475</v>
      </c>
      <c r="B129" s="15">
        <v>10</v>
      </c>
      <c r="C129" s="16">
        <v>36</v>
      </c>
      <c r="D129" s="17" t="s">
        <v>960</v>
      </c>
      <c r="E129" s="17" t="s">
        <v>961</v>
      </c>
      <c r="F129" s="17">
        <v>102.75</v>
      </c>
      <c r="G129" s="17">
        <v>2250</v>
      </c>
      <c r="H129" s="17">
        <v>107.5</v>
      </c>
      <c r="I129" s="17">
        <v>2373</v>
      </c>
      <c r="J129" s="17">
        <v>101</v>
      </c>
      <c r="K129" s="17">
        <v>2859</v>
      </c>
      <c r="L129" s="17">
        <v>65.5</v>
      </c>
      <c r="M129" s="17">
        <v>1373</v>
      </c>
      <c r="N129" s="17"/>
      <c r="O129" s="17"/>
      <c r="P129" s="17">
        <v>78</v>
      </c>
      <c r="Q129" s="17">
        <v>2908</v>
      </c>
      <c r="R129" s="17">
        <v>86</v>
      </c>
      <c r="S129" s="17">
        <v>1176</v>
      </c>
      <c r="T129" s="17"/>
      <c r="U129" s="17"/>
      <c r="V129" s="17"/>
      <c r="W129" s="17"/>
      <c r="X129" s="15">
        <v>311.25</v>
      </c>
      <c r="Y129" s="17">
        <v>176</v>
      </c>
      <c r="Z129" s="17">
        <v>540.75</v>
      </c>
      <c r="AA129" s="17">
        <v>1598</v>
      </c>
      <c r="AB129" s="12">
        <f t="shared" si="1"/>
        <v>126</v>
      </c>
    </row>
    <row r="130" ht="14.25" spans="1:28">
      <c r="A130" s="13">
        <v>440</v>
      </c>
      <c r="B130" s="15">
        <v>10</v>
      </c>
      <c r="C130" s="16">
        <v>1</v>
      </c>
      <c r="D130" s="17" t="s">
        <v>890</v>
      </c>
      <c r="E130" s="17" t="s">
        <v>891</v>
      </c>
      <c r="F130" s="17">
        <v>102.5</v>
      </c>
      <c r="G130" s="17">
        <v>2274</v>
      </c>
      <c r="H130" s="17">
        <v>108.5</v>
      </c>
      <c r="I130" s="17">
        <v>2198</v>
      </c>
      <c r="J130" s="17">
        <v>93.5</v>
      </c>
      <c r="K130" s="17">
        <v>4431</v>
      </c>
      <c r="L130" s="17">
        <v>66</v>
      </c>
      <c r="M130" s="17">
        <v>1304</v>
      </c>
      <c r="N130" s="17"/>
      <c r="O130" s="17"/>
      <c r="P130" s="17">
        <v>83</v>
      </c>
      <c r="Q130" s="17">
        <v>1643</v>
      </c>
      <c r="R130" s="17">
        <v>87</v>
      </c>
      <c r="S130" s="17">
        <v>883</v>
      </c>
      <c r="T130" s="17"/>
      <c r="U130" s="17"/>
      <c r="V130" s="17"/>
      <c r="W130" s="17"/>
      <c r="X130" s="15">
        <v>304.5</v>
      </c>
      <c r="Y130" s="17">
        <v>239</v>
      </c>
      <c r="Z130" s="17">
        <v>540.5</v>
      </c>
      <c r="AA130" s="17">
        <v>1602</v>
      </c>
      <c r="AB130" s="12">
        <f t="shared" si="1"/>
        <v>128</v>
      </c>
    </row>
    <row r="131" ht="14.25" spans="1:28">
      <c r="A131" s="13">
        <v>484</v>
      </c>
      <c r="B131" s="15">
        <v>10</v>
      </c>
      <c r="C131" s="16">
        <v>45</v>
      </c>
      <c r="D131" s="17" t="s">
        <v>978</v>
      </c>
      <c r="E131" s="17" t="s">
        <v>979</v>
      </c>
      <c r="F131" s="17">
        <v>90.5</v>
      </c>
      <c r="G131" s="17">
        <v>8999</v>
      </c>
      <c r="H131" s="17">
        <v>113.5</v>
      </c>
      <c r="I131" s="17">
        <v>1397</v>
      </c>
      <c r="J131" s="17">
        <v>89</v>
      </c>
      <c r="K131" s="17">
        <v>5512</v>
      </c>
      <c r="L131" s="17">
        <v>73.5</v>
      </c>
      <c r="M131" s="17">
        <v>548</v>
      </c>
      <c r="N131" s="17"/>
      <c r="O131" s="17"/>
      <c r="P131" s="17">
        <v>83</v>
      </c>
      <c r="Q131" s="17">
        <v>1643</v>
      </c>
      <c r="R131" s="17">
        <v>91</v>
      </c>
      <c r="S131" s="17">
        <v>151</v>
      </c>
      <c r="T131" s="17"/>
      <c r="U131" s="17"/>
      <c r="V131" s="17"/>
      <c r="W131" s="17"/>
      <c r="X131" s="15">
        <v>293</v>
      </c>
      <c r="Y131" s="17">
        <v>335</v>
      </c>
      <c r="Z131" s="17">
        <v>540.5</v>
      </c>
      <c r="AA131" s="17">
        <v>1602</v>
      </c>
      <c r="AB131" s="12">
        <f t="shared" ref="AB131:AB194" si="2">RANK(Z131,$Z$3:$Z$696)</f>
        <v>128</v>
      </c>
    </row>
    <row r="132" ht="14.25" spans="1:28">
      <c r="A132" s="13">
        <v>465</v>
      </c>
      <c r="B132" s="15">
        <v>10</v>
      </c>
      <c r="C132" s="16">
        <v>26</v>
      </c>
      <c r="D132" s="17" t="s">
        <v>940</v>
      </c>
      <c r="E132" s="17" t="s">
        <v>941</v>
      </c>
      <c r="F132" s="17">
        <v>101.25</v>
      </c>
      <c r="G132" s="17">
        <v>2875</v>
      </c>
      <c r="H132" s="17">
        <v>114</v>
      </c>
      <c r="I132" s="17">
        <v>1340</v>
      </c>
      <c r="J132" s="17">
        <v>104</v>
      </c>
      <c r="K132" s="17">
        <v>2352</v>
      </c>
      <c r="L132" s="17">
        <v>68</v>
      </c>
      <c r="M132" s="17">
        <v>1067</v>
      </c>
      <c r="N132" s="17"/>
      <c r="O132" s="17"/>
      <c r="P132" s="17">
        <v>66</v>
      </c>
      <c r="Q132" s="17">
        <v>6766</v>
      </c>
      <c r="R132" s="17">
        <v>87</v>
      </c>
      <c r="S132" s="17">
        <v>883</v>
      </c>
      <c r="T132" s="17"/>
      <c r="U132" s="17"/>
      <c r="V132" s="17"/>
      <c r="W132" s="17"/>
      <c r="X132" s="15">
        <v>319.25</v>
      </c>
      <c r="Y132" s="17">
        <v>123</v>
      </c>
      <c r="Z132" s="17">
        <v>540.25</v>
      </c>
      <c r="AA132" s="17">
        <v>1614</v>
      </c>
      <c r="AB132" s="12">
        <f t="shared" si="2"/>
        <v>130</v>
      </c>
    </row>
    <row r="133" ht="14.25" spans="1:28">
      <c r="A133" s="13">
        <v>267</v>
      </c>
      <c r="B133" s="15">
        <v>6</v>
      </c>
      <c r="C133" s="16">
        <v>19</v>
      </c>
      <c r="D133" s="17" t="s">
        <v>545</v>
      </c>
      <c r="E133" s="17" t="s">
        <v>546</v>
      </c>
      <c r="F133" s="17">
        <v>98</v>
      </c>
      <c r="G133" s="17">
        <v>4423</v>
      </c>
      <c r="H133" s="17">
        <v>106.5</v>
      </c>
      <c r="I133" s="17">
        <v>2542</v>
      </c>
      <c r="J133" s="17">
        <v>105</v>
      </c>
      <c r="K133" s="17">
        <v>2184</v>
      </c>
      <c r="L133" s="17">
        <v>74.5</v>
      </c>
      <c r="M133" s="17">
        <v>487</v>
      </c>
      <c r="N133" s="17"/>
      <c r="O133" s="17"/>
      <c r="P133" s="17"/>
      <c r="Q133" s="17"/>
      <c r="R133" s="17">
        <v>79</v>
      </c>
      <c r="S133" s="17">
        <v>2629</v>
      </c>
      <c r="T133" s="17"/>
      <c r="U133" s="17"/>
      <c r="V133" s="17">
        <v>77</v>
      </c>
      <c r="W133" s="17">
        <v>1318</v>
      </c>
      <c r="X133" s="15">
        <v>309.5</v>
      </c>
      <c r="Y133" s="17">
        <v>197</v>
      </c>
      <c r="Z133" s="17">
        <v>540</v>
      </c>
      <c r="AA133" s="17">
        <v>1622</v>
      </c>
      <c r="AB133" s="12">
        <f t="shared" si="2"/>
        <v>131</v>
      </c>
    </row>
    <row r="134" ht="14.25" spans="1:28">
      <c r="A134" s="13">
        <v>118</v>
      </c>
      <c r="B134" s="15">
        <v>3</v>
      </c>
      <c r="C134" s="16">
        <v>7</v>
      </c>
      <c r="D134" s="17" t="s">
        <v>249</v>
      </c>
      <c r="E134" s="17" t="s">
        <v>250</v>
      </c>
      <c r="F134" s="17">
        <v>101</v>
      </c>
      <c r="G134" s="17">
        <v>2896</v>
      </c>
      <c r="H134" s="17">
        <v>102</v>
      </c>
      <c r="I134" s="17">
        <v>3381</v>
      </c>
      <c r="J134" s="17">
        <v>128.25</v>
      </c>
      <c r="K134" s="17">
        <v>115</v>
      </c>
      <c r="L134" s="17">
        <v>44.5</v>
      </c>
      <c r="M134" s="17">
        <v>5122</v>
      </c>
      <c r="N134" s="17"/>
      <c r="O134" s="17"/>
      <c r="P134" s="17">
        <v>76</v>
      </c>
      <c r="Q134" s="17">
        <v>3515</v>
      </c>
      <c r="R134" s="17"/>
      <c r="S134" s="17"/>
      <c r="T134" s="17"/>
      <c r="U134" s="17"/>
      <c r="V134" s="17">
        <v>88</v>
      </c>
      <c r="W134" s="17">
        <v>165</v>
      </c>
      <c r="X134" s="15">
        <v>331.25</v>
      </c>
      <c r="Y134" s="17">
        <v>60</v>
      </c>
      <c r="Z134" s="17">
        <v>539.75</v>
      </c>
      <c r="AA134" s="17">
        <v>1628</v>
      </c>
      <c r="AB134" s="12">
        <f t="shared" si="2"/>
        <v>132</v>
      </c>
    </row>
    <row r="135" ht="14.25" spans="1:28">
      <c r="A135" s="13">
        <v>376</v>
      </c>
      <c r="B135" s="15">
        <v>8</v>
      </c>
      <c r="C135" s="16">
        <v>50</v>
      </c>
      <c r="D135" s="17" t="s">
        <v>762</v>
      </c>
      <c r="E135" s="17" t="s">
        <v>763</v>
      </c>
      <c r="F135" s="17">
        <v>102.5</v>
      </c>
      <c r="G135" s="17">
        <v>2274</v>
      </c>
      <c r="H135" s="17">
        <v>110.5</v>
      </c>
      <c r="I135" s="17">
        <v>1866</v>
      </c>
      <c r="J135" s="17">
        <v>107.25</v>
      </c>
      <c r="K135" s="17">
        <v>1847</v>
      </c>
      <c r="L135" s="17">
        <v>62.5</v>
      </c>
      <c r="M135" s="17">
        <v>1781</v>
      </c>
      <c r="N135" s="17"/>
      <c r="O135" s="17"/>
      <c r="P135" s="17">
        <v>84</v>
      </c>
      <c r="Q135" s="17">
        <v>1443</v>
      </c>
      <c r="R135" s="17">
        <v>73</v>
      </c>
      <c r="S135" s="17">
        <v>4436</v>
      </c>
      <c r="T135" s="17"/>
      <c r="U135" s="17"/>
      <c r="V135" s="17"/>
      <c r="W135" s="17"/>
      <c r="X135" s="15">
        <v>320.25</v>
      </c>
      <c r="Y135" s="17">
        <v>114</v>
      </c>
      <c r="Z135" s="17">
        <v>539.75</v>
      </c>
      <c r="AA135" s="17">
        <v>1628</v>
      </c>
      <c r="AB135" s="12">
        <f t="shared" si="2"/>
        <v>132</v>
      </c>
    </row>
    <row r="136" ht="14.25" spans="1:28">
      <c r="A136" s="13">
        <v>365</v>
      </c>
      <c r="B136" s="15">
        <v>8</v>
      </c>
      <c r="C136" s="16">
        <v>39</v>
      </c>
      <c r="D136" s="17" t="s">
        <v>740</v>
      </c>
      <c r="E136" s="17" t="s">
        <v>741</v>
      </c>
      <c r="F136" s="17">
        <v>103</v>
      </c>
      <c r="G136" s="17">
        <v>2094</v>
      </c>
      <c r="H136" s="17">
        <v>100</v>
      </c>
      <c r="I136" s="17">
        <v>3741</v>
      </c>
      <c r="J136" s="17">
        <v>111</v>
      </c>
      <c r="K136" s="17">
        <v>1337</v>
      </c>
      <c r="L136" s="17">
        <v>61.5</v>
      </c>
      <c r="M136" s="17">
        <v>1929</v>
      </c>
      <c r="N136" s="17"/>
      <c r="O136" s="17"/>
      <c r="P136" s="17">
        <v>76</v>
      </c>
      <c r="Q136" s="17">
        <v>3515</v>
      </c>
      <c r="R136" s="17">
        <v>88</v>
      </c>
      <c r="S136" s="17">
        <v>601</v>
      </c>
      <c r="T136" s="17"/>
      <c r="U136" s="17"/>
      <c r="V136" s="17"/>
      <c r="W136" s="17"/>
      <c r="X136" s="15">
        <v>314</v>
      </c>
      <c r="Y136" s="17">
        <v>157</v>
      </c>
      <c r="Z136" s="17">
        <v>539.5</v>
      </c>
      <c r="AA136" s="17">
        <v>1641</v>
      </c>
      <c r="AB136" s="12">
        <f t="shared" si="2"/>
        <v>134</v>
      </c>
    </row>
    <row r="137" ht="14.25" spans="1:28">
      <c r="A137" s="13">
        <v>472</v>
      </c>
      <c r="B137" s="15">
        <v>10</v>
      </c>
      <c r="C137" s="16">
        <v>33</v>
      </c>
      <c r="D137" s="17" t="s">
        <v>954</v>
      </c>
      <c r="E137" s="17" t="s">
        <v>955</v>
      </c>
      <c r="F137" s="17">
        <v>106</v>
      </c>
      <c r="G137" s="17">
        <v>1174</v>
      </c>
      <c r="H137" s="17">
        <v>112.5</v>
      </c>
      <c r="I137" s="17">
        <v>1543</v>
      </c>
      <c r="J137" s="17">
        <v>100</v>
      </c>
      <c r="K137" s="17">
        <v>3038</v>
      </c>
      <c r="L137" s="17">
        <v>65</v>
      </c>
      <c r="M137" s="17">
        <v>1440</v>
      </c>
      <c r="N137" s="17"/>
      <c r="O137" s="17"/>
      <c r="P137" s="17">
        <v>76</v>
      </c>
      <c r="Q137" s="17">
        <v>3515</v>
      </c>
      <c r="R137" s="17">
        <v>80</v>
      </c>
      <c r="S137" s="17">
        <v>2376</v>
      </c>
      <c r="T137" s="17"/>
      <c r="U137" s="17"/>
      <c r="V137" s="17"/>
      <c r="W137" s="17"/>
      <c r="X137" s="15">
        <v>318.5</v>
      </c>
      <c r="Y137" s="17">
        <v>127</v>
      </c>
      <c r="Z137" s="17">
        <v>539.5</v>
      </c>
      <c r="AA137" s="17">
        <v>1641</v>
      </c>
      <c r="AB137" s="12">
        <f t="shared" si="2"/>
        <v>134</v>
      </c>
    </row>
    <row r="138" ht="14.25" spans="1:28">
      <c r="A138" s="13">
        <v>135</v>
      </c>
      <c r="B138" s="15">
        <v>3</v>
      </c>
      <c r="C138" s="16">
        <v>24</v>
      </c>
      <c r="D138" s="17" t="s">
        <v>283</v>
      </c>
      <c r="E138" s="17" t="s">
        <v>284</v>
      </c>
      <c r="F138" s="17">
        <v>95</v>
      </c>
      <c r="G138" s="17">
        <v>6168</v>
      </c>
      <c r="H138" s="17">
        <v>119.5</v>
      </c>
      <c r="I138" s="17">
        <v>753</v>
      </c>
      <c r="J138" s="17">
        <v>105.5</v>
      </c>
      <c r="K138" s="17">
        <v>2098</v>
      </c>
      <c r="L138" s="17">
        <v>58.5</v>
      </c>
      <c r="M138" s="17">
        <v>2451</v>
      </c>
      <c r="N138" s="17"/>
      <c r="O138" s="17"/>
      <c r="P138" s="17">
        <v>77</v>
      </c>
      <c r="Q138" s="17">
        <v>3207</v>
      </c>
      <c r="R138" s="17"/>
      <c r="S138" s="17"/>
      <c r="T138" s="17"/>
      <c r="U138" s="17"/>
      <c r="V138" s="17">
        <v>83</v>
      </c>
      <c r="W138" s="17">
        <v>648</v>
      </c>
      <c r="X138" s="15">
        <v>320</v>
      </c>
      <c r="Y138" s="17">
        <v>118</v>
      </c>
      <c r="Z138" s="17">
        <v>538.5</v>
      </c>
      <c r="AA138" s="17">
        <v>1673</v>
      </c>
      <c r="AB138" s="12">
        <f t="shared" si="2"/>
        <v>136</v>
      </c>
    </row>
    <row r="139" ht="14.25" spans="1:28">
      <c r="A139" s="13">
        <v>600</v>
      </c>
      <c r="B139" s="15">
        <v>12</v>
      </c>
      <c r="C139" s="16">
        <v>50</v>
      </c>
      <c r="D139" s="17" t="s">
        <v>1208</v>
      </c>
      <c r="E139" s="17" t="s">
        <v>1209</v>
      </c>
      <c r="F139" s="17">
        <v>103.5</v>
      </c>
      <c r="G139" s="17">
        <v>1897</v>
      </c>
      <c r="H139" s="17">
        <v>115</v>
      </c>
      <c r="I139" s="17">
        <v>1213</v>
      </c>
      <c r="J139" s="17">
        <v>87.75</v>
      </c>
      <c r="K139" s="17">
        <v>5835</v>
      </c>
      <c r="L139" s="17">
        <v>77</v>
      </c>
      <c r="M139" s="17">
        <v>299</v>
      </c>
      <c r="N139" s="17"/>
      <c r="O139" s="17"/>
      <c r="P139" s="17">
        <v>72</v>
      </c>
      <c r="Q139" s="17">
        <v>4881</v>
      </c>
      <c r="R139" s="17">
        <v>83</v>
      </c>
      <c r="S139" s="17">
        <v>1715</v>
      </c>
      <c r="T139" s="17"/>
      <c r="U139" s="17"/>
      <c r="V139" s="17"/>
      <c r="W139" s="17"/>
      <c r="X139" s="15">
        <v>306.25</v>
      </c>
      <c r="Y139" s="17">
        <v>225</v>
      </c>
      <c r="Z139" s="17">
        <v>538.25</v>
      </c>
      <c r="AA139" s="17">
        <v>1678</v>
      </c>
      <c r="AB139" s="12">
        <f t="shared" si="2"/>
        <v>137</v>
      </c>
    </row>
    <row r="140" ht="14.25" spans="1:28">
      <c r="A140" s="13">
        <v>285</v>
      </c>
      <c r="B140" s="15">
        <v>6</v>
      </c>
      <c r="C140" s="16">
        <v>37</v>
      </c>
      <c r="D140" s="17" t="s">
        <v>581</v>
      </c>
      <c r="E140" s="17" t="s">
        <v>582</v>
      </c>
      <c r="F140" s="17">
        <v>105.5</v>
      </c>
      <c r="G140" s="17">
        <v>1281</v>
      </c>
      <c r="H140" s="17">
        <v>93.5</v>
      </c>
      <c r="I140" s="17">
        <v>5060</v>
      </c>
      <c r="J140" s="17">
        <v>99.5</v>
      </c>
      <c r="K140" s="17">
        <v>3134</v>
      </c>
      <c r="L140" s="17">
        <v>55.5</v>
      </c>
      <c r="M140" s="17">
        <v>2964</v>
      </c>
      <c r="N140" s="17"/>
      <c r="O140" s="17"/>
      <c r="P140" s="17"/>
      <c r="Q140" s="17"/>
      <c r="R140" s="17">
        <v>93</v>
      </c>
      <c r="S140" s="17">
        <v>50</v>
      </c>
      <c r="T140" s="17"/>
      <c r="U140" s="17"/>
      <c r="V140" s="17">
        <v>91</v>
      </c>
      <c r="W140" s="17">
        <v>15</v>
      </c>
      <c r="X140" s="15">
        <v>298.5</v>
      </c>
      <c r="Y140" s="17">
        <v>289</v>
      </c>
      <c r="Z140" s="17">
        <v>538</v>
      </c>
      <c r="AA140" s="17">
        <v>1682</v>
      </c>
      <c r="AB140" s="12">
        <f t="shared" si="2"/>
        <v>138</v>
      </c>
    </row>
    <row r="141" ht="14.25" spans="1:28">
      <c r="A141" s="13">
        <v>482</v>
      </c>
      <c r="B141" s="15">
        <v>10</v>
      </c>
      <c r="C141" s="16">
        <v>43</v>
      </c>
      <c r="D141" s="17" t="s">
        <v>974</v>
      </c>
      <c r="E141" s="17" t="s">
        <v>975</v>
      </c>
      <c r="F141" s="17">
        <v>96.5</v>
      </c>
      <c r="G141" s="17">
        <v>5262</v>
      </c>
      <c r="H141" s="17">
        <v>100.5</v>
      </c>
      <c r="I141" s="17">
        <v>3650</v>
      </c>
      <c r="J141" s="17">
        <v>99</v>
      </c>
      <c r="K141" s="17">
        <v>3244</v>
      </c>
      <c r="L141" s="17">
        <v>73</v>
      </c>
      <c r="M141" s="17">
        <v>575</v>
      </c>
      <c r="N141" s="17"/>
      <c r="O141" s="17"/>
      <c r="P141" s="17">
        <v>87</v>
      </c>
      <c r="Q141" s="17">
        <v>681</v>
      </c>
      <c r="R141" s="17">
        <v>82</v>
      </c>
      <c r="S141" s="17">
        <v>1915</v>
      </c>
      <c r="T141" s="17"/>
      <c r="U141" s="17"/>
      <c r="V141" s="17"/>
      <c r="W141" s="17"/>
      <c r="X141" s="15">
        <v>296</v>
      </c>
      <c r="Y141" s="17">
        <v>307</v>
      </c>
      <c r="Z141" s="17">
        <v>538</v>
      </c>
      <c r="AA141" s="17">
        <v>1682</v>
      </c>
      <c r="AB141" s="12">
        <f t="shared" si="2"/>
        <v>138</v>
      </c>
    </row>
    <row r="142" ht="14.25" spans="1:28">
      <c r="A142" s="13">
        <v>225</v>
      </c>
      <c r="B142" s="15">
        <v>5</v>
      </c>
      <c r="C142" s="16">
        <v>22</v>
      </c>
      <c r="D142" s="17" t="s">
        <v>463</v>
      </c>
      <c r="E142" s="17" t="s">
        <v>464</v>
      </c>
      <c r="F142" s="17">
        <v>94.5</v>
      </c>
      <c r="G142" s="17">
        <v>6496</v>
      </c>
      <c r="H142" s="17">
        <v>126.5</v>
      </c>
      <c r="I142" s="17">
        <v>273</v>
      </c>
      <c r="J142" s="17">
        <v>98.5</v>
      </c>
      <c r="K142" s="17">
        <v>3338</v>
      </c>
      <c r="L142" s="17">
        <v>58</v>
      </c>
      <c r="M142" s="17">
        <v>2538</v>
      </c>
      <c r="N142" s="17"/>
      <c r="O142" s="17"/>
      <c r="P142" s="17">
        <v>72</v>
      </c>
      <c r="Q142" s="17">
        <v>4881</v>
      </c>
      <c r="R142" s="17"/>
      <c r="S142" s="17"/>
      <c r="T142" s="17"/>
      <c r="U142" s="17"/>
      <c r="V142" s="17">
        <v>88</v>
      </c>
      <c r="W142" s="17">
        <v>165</v>
      </c>
      <c r="X142" s="15">
        <v>319.5</v>
      </c>
      <c r="Y142" s="17">
        <v>121</v>
      </c>
      <c r="Z142" s="17">
        <v>537.5</v>
      </c>
      <c r="AA142" s="17">
        <v>1699</v>
      </c>
      <c r="AB142" s="12">
        <f t="shared" si="2"/>
        <v>140</v>
      </c>
    </row>
    <row r="143" ht="14.25" spans="1:28">
      <c r="A143" s="13">
        <v>508</v>
      </c>
      <c r="B143" s="15">
        <v>11</v>
      </c>
      <c r="C143" s="16">
        <v>12</v>
      </c>
      <c r="D143" s="17" t="s">
        <v>1026</v>
      </c>
      <c r="E143" s="17" t="s">
        <v>1027</v>
      </c>
      <c r="F143" s="17">
        <v>94</v>
      </c>
      <c r="G143" s="17">
        <v>6811</v>
      </c>
      <c r="H143" s="17">
        <v>124</v>
      </c>
      <c r="I143" s="17">
        <v>418</v>
      </c>
      <c r="J143" s="17">
        <v>103</v>
      </c>
      <c r="K143" s="17">
        <v>2527</v>
      </c>
      <c r="L143" s="17">
        <v>62.5</v>
      </c>
      <c r="M143" s="17">
        <v>1781</v>
      </c>
      <c r="N143" s="17"/>
      <c r="O143" s="17"/>
      <c r="P143" s="17">
        <v>80</v>
      </c>
      <c r="Q143" s="17">
        <v>2333</v>
      </c>
      <c r="R143" s="17">
        <v>74</v>
      </c>
      <c r="S143" s="17">
        <v>4119</v>
      </c>
      <c r="T143" s="17"/>
      <c r="U143" s="17"/>
      <c r="V143" s="17"/>
      <c r="W143" s="17"/>
      <c r="X143" s="15">
        <v>321</v>
      </c>
      <c r="Y143" s="17">
        <v>108</v>
      </c>
      <c r="Z143" s="17">
        <v>537.5</v>
      </c>
      <c r="AA143" s="17">
        <v>1699</v>
      </c>
      <c r="AB143" s="12">
        <f t="shared" si="2"/>
        <v>140</v>
      </c>
    </row>
    <row r="144" ht="14.25" spans="1:28">
      <c r="A144" s="13">
        <v>290</v>
      </c>
      <c r="B144" s="15">
        <v>6</v>
      </c>
      <c r="C144" s="16">
        <v>42</v>
      </c>
      <c r="D144" s="17" t="s">
        <v>591</v>
      </c>
      <c r="E144" s="17" t="s">
        <v>592</v>
      </c>
      <c r="F144" s="17">
        <v>107.5</v>
      </c>
      <c r="G144" s="17">
        <v>829</v>
      </c>
      <c r="H144" s="17">
        <v>96</v>
      </c>
      <c r="I144" s="17">
        <v>4544</v>
      </c>
      <c r="J144" s="17">
        <v>105.5</v>
      </c>
      <c r="K144" s="17">
        <v>2098</v>
      </c>
      <c r="L144" s="17">
        <v>64</v>
      </c>
      <c r="M144" s="17">
        <v>1577</v>
      </c>
      <c r="N144" s="17"/>
      <c r="O144" s="17"/>
      <c r="P144" s="17"/>
      <c r="Q144" s="17"/>
      <c r="R144" s="17">
        <v>77</v>
      </c>
      <c r="S144" s="17">
        <v>3183</v>
      </c>
      <c r="T144" s="17"/>
      <c r="U144" s="17"/>
      <c r="V144" s="17">
        <v>87</v>
      </c>
      <c r="W144" s="17">
        <v>273</v>
      </c>
      <c r="X144" s="15">
        <v>309</v>
      </c>
      <c r="Y144" s="17">
        <v>203</v>
      </c>
      <c r="Z144" s="17">
        <v>537</v>
      </c>
      <c r="AA144" s="17">
        <v>1718</v>
      </c>
      <c r="AB144" s="12">
        <f t="shared" si="2"/>
        <v>142</v>
      </c>
    </row>
    <row r="145" ht="14.25" spans="1:28">
      <c r="A145" s="13">
        <v>466</v>
      </c>
      <c r="B145" s="15">
        <v>10</v>
      </c>
      <c r="C145" s="16">
        <v>27</v>
      </c>
      <c r="D145" s="17" t="s">
        <v>942</v>
      </c>
      <c r="E145" s="17" t="s">
        <v>943</v>
      </c>
      <c r="F145" s="17">
        <v>92.75</v>
      </c>
      <c r="G145" s="17">
        <v>7661</v>
      </c>
      <c r="H145" s="17">
        <v>116</v>
      </c>
      <c r="I145" s="17">
        <v>1095</v>
      </c>
      <c r="J145" s="17">
        <v>86</v>
      </c>
      <c r="K145" s="17">
        <v>6253</v>
      </c>
      <c r="L145" s="17">
        <v>73</v>
      </c>
      <c r="M145" s="17">
        <v>575</v>
      </c>
      <c r="N145" s="17"/>
      <c r="O145" s="17"/>
      <c r="P145" s="17">
        <v>89</v>
      </c>
      <c r="Q145" s="17">
        <v>222</v>
      </c>
      <c r="R145" s="17">
        <v>80</v>
      </c>
      <c r="S145" s="17">
        <v>2376</v>
      </c>
      <c r="T145" s="17"/>
      <c r="U145" s="17"/>
      <c r="V145" s="17"/>
      <c r="W145" s="17"/>
      <c r="X145" s="15">
        <v>294.75</v>
      </c>
      <c r="Y145" s="17">
        <v>319</v>
      </c>
      <c r="Z145" s="17">
        <v>536.75</v>
      </c>
      <c r="AA145" s="17">
        <v>1724</v>
      </c>
      <c r="AB145" s="12">
        <f t="shared" si="2"/>
        <v>143</v>
      </c>
    </row>
    <row r="146" ht="14.25" spans="1:28">
      <c r="A146" s="13">
        <v>77</v>
      </c>
      <c r="B146" s="15">
        <v>2</v>
      </c>
      <c r="C146" s="16">
        <v>14</v>
      </c>
      <c r="D146" s="17" t="s">
        <v>167</v>
      </c>
      <c r="E146" s="17" t="s">
        <v>168</v>
      </c>
      <c r="F146" s="17">
        <v>108</v>
      </c>
      <c r="G146" s="17">
        <v>736</v>
      </c>
      <c r="H146" s="17">
        <v>92</v>
      </c>
      <c r="I146" s="17">
        <v>5417</v>
      </c>
      <c r="J146" s="17">
        <v>105.75</v>
      </c>
      <c r="K146" s="17">
        <v>2077</v>
      </c>
      <c r="L146" s="17">
        <v>64.5</v>
      </c>
      <c r="M146" s="17">
        <v>1506</v>
      </c>
      <c r="N146" s="17"/>
      <c r="O146" s="17"/>
      <c r="P146" s="17"/>
      <c r="Q146" s="17"/>
      <c r="R146" s="17">
        <v>76</v>
      </c>
      <c r="S146" s="17">
        <v>3491</v>
      </c>
      <c r="T146" s="17">
        <v>90</v>
      </c>
      <c r="U146" s="17">
        <v>46</v>
      </c>
      <c r="V146" s="17"/>
      <c r="W146" s="17"/>
      <c r="X146" s="15">
        <v>305.75</v>
      </c>
      <c r="Y146" s="17">
        <v>229</v>
      </c>
      <c r="Z146" s="17">
        <v>536.25</v>
      </c>
      <c r="AA146" s="17">
        <v>1737</v>
      </c>
      <c r="AB146" s="12">
        <f t="shared" si="2"/>
        <v>144</v>
      </c>
    </row>
    <row r="147" ht="14.25" spans="1:28">
      <c r="A147" s="13">
        <v>478</v>
      </c>
      <c r="B147" s="15">
        <v>10</v>
      </c>
      <c r="C147" s="16">
        <v>39</v>
      </c>
      <c r="D147" s="17" t="s">
        <v>966</v>
      </c>
      <c r="E147" s="17" t="s">
        <v>967</v>
      </c>
      <c r="F147" s="17">
        <v>95</v>
      </c>
      <c r="G147" s="17">
        <v>6168</v>
      </c>
      <c r="H147" s="17">
        <v>112.5</v>
      </c>
      <c r="I147" s="17">
        <v>1543</v>
      </c>
      <c r="J147" s="17">
        <v>108.75</v>
      </c>
      <c r="K147" s="17">
        <v>1628</v>
      </c>
      <c r="L147" s="17">
        <v>64</v>
      </c>
      <c r="M147" s="17">
        <v>1577</v>
      </c>
      <c r="N147" s="17"/>
      <c r="O147" s="17"/>
      <c r="P147" s="17">
        <v>77</v>
      </c>
      <c r="Q147" s="17">
        <v>3207</v>
      </c>
      <c r="R147" s="17">
        <v>79</v>
      </c>
      <c r="S147" s="17">
        <v>2629</v>
      </c>
      <c r="T147" s="17"/>
      <c r="U147" s="17"/>
      <c r="V147" s="17"/>
      <c r="W147" s="17"/>
      <c r="X147" s="15">
        <v>316.25</v>
      </c>
      <c r="Y147" s="17">
        <v>143</v>
      </c>
      <c r="Z147" s="17">
        <v>536.25</v>
      </c>
      <c r="AA147" s="17">
        <v>1737</v>
      </c>
      <c r="AB147" s="12">
        <f t="shared" si="2"/>
        <v>144</v>
      </c>
    </row>
    <row r="148" ht="14.25" spans="1:28">
      <c r="A148" s="13">
        <v>282</v>
      </c>
      <c r="B148" s="15">
        <v>6</v>
      </c>
      <c r="C148" s="16">
        <v>34</v>
      </c>
      <c r="D148" s="17" t="s">
        <v>575</v>
      </c>
      <c r="E148" s="17" t="s">
        <v>576</v>
      </c>
      <c r="F148" s="17">
        <v>97.5</v>
      </c>
      <c r="G148" s="17">
        <v>4695</v>
      </c>
      <c r="H148" s="17">
        <v>103</v>
      </c>
      <c r="I148" s="17">
        <v>3209</v>
      </c>
      <c r="J148" s="17">
        <v>112</v>
      </c>
      <c r="K148" s="17">
        <v>1229</v>
      </c>
      <c r="L148" s="17">
        <v>58.5</v>
      </c>
      <c r="M148" s="17">
        <v>2451</v>
      </c>
      <c r="N148" s="17"/>
      <c r="O148" s="17"/>
      <c r="P148" s="17"/>
      <c r="Q148" s="17"/>
      <c r="R148" s="17">
        <v>83</v>
      </c>
      <c r="S148" s="17">
        <v>1715</v>
      </c>
      <c r="T148" s="17"/>
      <c r="U148" s="17"/>
      <c r="V148" s="17">
        <v>82</v>
      </c>
      <c r="W148" s="17">
        <v>723</v>
      </c>
      <c r="X148" s="15">
        <v>312.5</v>
      </c>
      <c r="Y148" s="17">
        <v>168</v>
      </c>
      <c r="Z148" s="17">
        <v>536</v>
      </c>
      <c r="AA148" s="17">
        <v>1744</v>
      </c>
      <c r="AB148" s="12">
        <f t="shared" si="2"/>
        <v>146</v>
      </c>
    </row>
    <row r="149" ht="14.25" spans="1:28">
      <c r="A149" s="13">
        <v>458</v>
      </c>
      <c r="B149" s="15">
        <v>10</v>
      </c>
      <c r="C149" s="16">
        <v>19</v>
      </c>
      <c r="D149" s="17" t="s">
        <v>926</v>
      </c>
      <c r="E149" s="17" t="s">
        <v>927</v>
      </c>
      <c r="F149" s="17">
        <v>107.5</v>
      </c>
      <c r="G149" s="17">
        <v>829</v>
      </c>
      <c r="H149" s="17">
        <v>115.5</v>
      </c>
      <c r="I149" s="17">
        <v>1149</v>
      </c>
      <c r="J149" s="17">
        <v>88.5</v>
      </c>
      <c r="K149" s="17">
        <v>5628</v>
      </c>
      <c r="L149" s="17">
        <v>62.5</v>
      </c>
      <c r="M149" s="17">
        <v>1781</v>
      </c>
      <c r="N149" s="17"/>
      <c r="O149" s="17"/>
      <c r="P149" s="17">
        <v>74</v>
      </c>
      <c r="Q149" s="17">
        <v>4168</v>
      </c>
      <c r="R149" s="17">
        <v>88</v>
      </c>
      <c r="S149" s="17">
        <v>601</v>
      </c>
      <c r="T149" s="17"/>
      <c r="U149" s="17"/>
      <c r="V149" s="17"/>
      <c r="W149" s="17"/>
      <c r="X149" s="15">
        <v>311.5</v>
      </c>
      <c r="Y149" s="17">
        <v>173</v>
      </c>
      <c r="Z149" s="17">
        <v>536</v>
      </c>
      <c r="AA149" s="17">
        <v>1744</v>
      </c>
      <c r="AB149" s="12">
        <f t="shared" si="2"/>
        <v>146</v>
      </c>
    </row>
    <row r="150" ht="14.25" spans="1:28">
      <c r="A150" s="13">
        <v>6</v>
      </c>
      <c r="B150" s="15">
        <v>1</v>
      </c>
      <c r="C150" s="16">
        <v>7</v>
      </c>
      <c r="D150" s="17" t="s">
        <v>26</v>
      </c>
      <c r="E150" s="17" t="s">
        <v>27</v>
      </c>
      <c r="F150" s="17">
        <v>99.5</v>
      </c>
      <c r="G150" s="17">
        <v>3607</v>
      </c>
      <c r="H150" s="17">
        <v>96.5</v>
      </c>
      <c r="I150" s="17">
        <v>4438</v>
      </c>
      <c r="J150" s="17">
        <v>109.75</v>
      </c>
      <c r="K150" s="17">
        <v>1503</v>
      </c>
      <c r="L150" s="17">
        <v>57</v>
      </c>
      <c r="M150" s="17">
        <v>2714</v>
      </c>
      <c r="N150" s="17"/>
      <c r="O150" s="17"/>
      <c r="P150" s="17">
        <v>86</v>
      </c>
      <c r="Q150" s="17">
        <v>1052</v>
      </c>
      <c r="R150" s="17"/>
      <c r="S150" s="17"/>
      <c r="T150" s="17">
        <v>87</v>
      </c>
      <c r="U150" s="17">
        <v>259</v>
      </c>
      <c r="V150" s="17"/>
      <c r="W150" s="17"/>
      <c r="X150" s="15">
        <v>305.75</v>
      </c>
      <c r="Y150" s="17">
        <v>229</v>
      </c>
      <c r="Z150" s="17">
        <v>535.75</v>
      </c>
      <c r="AA150" s="17">
        <v>1752</v>
      </c>
      <c r="AB150" s="12">
        <f t="shared" si="2"/>
        <v>148</v>
      </c>
    </row>
    <row r="151" ht="14.25" spans="1:28">
      <c r="A151" s="13">
        <v>231</v>
      </c>
      <c r="B151" s="15">
        <v>5</v>
      </c>
      <c r="C151" s="16">
        <v>28</v>
      </c>
      <c r="D151" s="17" t="s">
        <v>475</v>
      </c>
      <c r="E151" s="17" t="s">
        <v>476</v>
      </c>
      <c r="F151" s="17">
        <v>106.5</v>
      </c>
      <c r="G151" s="17">
        <v>1059</v>
      </c>
      <c r="H151" s="17">
        <v>119.5</v>
      </c>
      <c r="I151" s="17">
        <v>753</v>
      </c>
      <c r="J151" s="17">
        <v>111.5</v>
      </c>
      <c r="K151" s="17">
        <v>1281</v>
      </c>
      <c r="L151" s="17">
        <v>56</v>
      </c>
      <c r="M151" s="17">
        <v>2878</v>
      </c>
      <c r="N151" s="17"/>
      <c r="O151" s="17"/>
      <c r="P151" s="17">
        <v>69</v>
      </c>
      <c r="Q151" s="17">
        <v>5655</v>
      </c>
      <c r="R151" s="17"/>
      <c r="S151" s="17"/>
      <c r="T151" s="17"/>
      <c r="U151" s="17"/>
      <c r="V151" s="17">
        <v>73</v>
      </c>
      <c r="W151" s="17">
        <v>1853</v>
      </c>
      <c r="X151" s="15">
        <v>337.5</v>
      </c>
      <c r="Y151" s="17">
        <v>34</v>
      </c>
      <c r="Z151" s="17">
        <v>535.5</v>
      </c>
      <c r="AA151" s="17">
        <v>1761</v>
      </c>
      <c r="AB151" s="12">
        <f t="shared" si="2"/>
        <v>149</v>
      </c>
    </row>
    <row r="152" ht="14.25" spans="1:28">
      <c r="A152" s="13">
        <v>459</v>
      </c>
      <c r="B152" s="15">
        <v>10</v>
      </c>
      <c r="C152" s="16">
        <v>20</v>
      </c>
      <c r="D152" s="17" t="s">
        <v>928</v>
      </c>
      <c r="E152" s="17" t="s">
        <v>929</v>
      </c>
      <c r="F152" s="17">
        <v>108</v>
      </c>
      <c r="G152" s="17">
        <v>736</v>
      </c>
      <c r="H152" s="17">
        <v>103.5</v>
      </c>
      <c r="I152" s="17">
        <v>3096</v>
      </c>
      <c r="J152" s="17">
        <v>100</v>
      </c>
      <c r="K152" s="17">
        <v>3038</v>
      </c>
      <c r="L152" s="17">
        <v>58</v>
      </c>
      <c r="M152" s="17">
        <v>2538</v>
      </c>
      <c r="N152" s="17"/>
      <c r="O152" s="17"/>
      <c r="P152" s="17">
        <v>86</v>
      </c>
      <c r="Q152" s="17">
        <v>1052</v>
      </c>
      <c r="R152" s="17">
        <v>80</v>
      </c>
      <c r="S152" s="17">
        <v>2376</v>
      </c>
      <c r="T152" s="17"/>
      <c r="U152" s="17"/>
      <c r="V152" s="17"/>
      <c r="W152" s="17"/>
      <c r="X152" s="15">
        <v>311.5</v>
      </c>
      <c r="Y152" s="17">
        <v>173</v>
      </c>
      <c r="Z152" s="17">
        <v>535.5</v>
      </c>
      <c r="AA152" s="17">
        <v>1761</v>
      </c>
      <c r="AB152" s="12">
        <f t="shared" si="2"/>
        <v>149</v>
      </c>
    </row>
    <row r="153" ht="14.25" spans="1:28">
      <c r="A153" s="13">
        <v>15</v>
      </c>
      <c r="B153" s="15">
        <v>1</v>
      </c>
      <c r="C153" s="16">
        <v>17</v>
      </c>
      <c r="D153" s="17" t="s">
        <v>44</v>
      </c>
      <c r="E153" s="17" t="s">
        <v>45</v>
      </c>
      <c r="F153" s="17">
        <v>95.5</v>
      </c>
      <c r="G153" s="17">
        <v>5877</v>
      </c>
      <c r="H153" s="17">
        <v>124.5</v>
      </c>
      <c r="I153" s="17">
        <v>386</v>
      </c>
      <c r="J153" s="17">
        <v>91.25</v>
      </c>
      <c r="K153" s="17">
        <v>4978</v>
      </c>
      <c r="L153" s="17">
        <v>71</v>
      </c>
      <c r="M153" s="17">
        <v>762</v>
      </c>
      <c r="N153" s="17"/>
      <c r="O153" s="17"/>
      <c r="P153" s="17">
        <v>73</v>
      </c>
      <c r="Q153" s="17">
        <v>4501</v>
      </c>
      <c r="R153" s="17"/>
      <c r="S153" s="17"/>
      <c r="T153" s="17">
        <v>80</v>
      </c>
      <c r="U153" s="17">
        <v>813</v>
      </c>
      <c r="V153" s="17"/>
      <c r="W153" s="17"/>
      <c r="X153" s="15">
        <v>311.25</v>
      </c>
      <c r="Y153" s="17">
        <v>176</v>
      </c>
      <c r="Z153" s="17">
        <v>535.25</v>
      </c>
      <c r="AA153" s="17">
        <v>1775</v>
      </c>
      <c r="AB153" s="12">
        <f t="shared" si="2"/>
        <v>151</v>
      </c>
    </row>
    <row r="154" ht="14.25" spans="1:28">
      <c r="A154" s="13">
        <v>515</v>
      </c>
      <c r="B154" s="15">
        <v>11</v>
      </c>
      <c r="C154" s="16">
        <v>19</v>
      </c>
      <c r="D154" s="17" t="s">
        <v>1040</v>
      </c>
      <c r="E154" s="17" t="s">
        <v>1041</v>
      </c>
      <c r="F154" s="17">
        <v>107.5</v>
      </c>
      <c r="G154" s="17">
        <v>829</v>
      </c>
      <c r="H154" s="17">
        <v>115.5</v>
      </c>
      <c r="I154" s="17">
        <v>1149</v>
      </c>
      <c r="J154" s="17">
        <v>99.5</v>
      </c>
      <c r="K154" s="17">
        <v>3134</v>
      </c>
      <c r="L154" s="17">
        <v>41.5</v>
      </c>
      <c r="M154" s="17">
        <v>5867</v>
      </c>
      <c r="N154" s="17"/>
      <c r="O154" s="17"/>
      <c r="P154" s="17">
        <v>81</v>
      </c>
      <c r="Q154" s="17">
        <v>2079</v>
      </c>
      <c r="R154" s="17">
        <v>90</v>
      </c>
      <c r="S154" s="17">
        <v>255</v>
      </c>
      <c r="T154" s="17"/>
      <c r="U154" s="17"/>
      <c r="V154" s="17"/>
      <c r="W154" s="17"/>
      <c r="X154" s="15">
        <v>322.5</v>
      </c>
      <c r="Y154" s="17">
        <v>102</v>
      </c>
      <c r="Z154" s="17">
        <v>535</v>
      </c>
      <c r="AA154" s="17">
        <v>1780</v>
      </c>
      <c r="AB154" s="12">
        <f t="shared" si="2"/>
        <v>152</v>
      </c>
    </row>
    <row r="155" ht="14.25" spans="1:28">
      <c r="A155" s="13">
        <v>372</v>
      </c>
      <c r="B155" s="15">
        <v>8</v>
      </c>
      <c r="C155" s="16">
        <v>46</v>
      </c>
      <c r="D155" s="17" t="s">
        <v>754</v>
      </c>
      <c r="E155" s="17" t="s">
        <v>755</v>
      </c>
      <c r="F155" s="17">
        <v>86.5</v>
      </c>
      <c r="G155" s="17">
        <v>11527</v>
      </c>
      <c r="H155" s="17">
        <v>124</v>
      </c>
      <c r="I155" s="17">
        <v>418</v>
      </c>
      <c r="J155" s="17">
        <v>79.75</v>
      </c>
      <c r="K155" s="17">
        <v>7889</v>
      </c>
      <c r="L155" s="17">
        <v>65.5</v>
      </c>
      <c r="M155" s="17">
        <v>1373</v>
      </c>
      <c r="N155" s="17"/>
      <c r="O155" s="17"/>
      <c r="P155" s="17">
        <v>87</v>
      </c>
      <c r="Q155" s="17">
        <v>681</v>
      </c>
      <c r="R155" s="17">
        <v>91</v>
      </c>
      <c r="S155" s="17">
        <v>151</v>
      </c>
      <c r="T155" s="17"/>
      <c r="U155" s="17"/>
      <c r="V155" s="17"/>
      <c r="W155" s="17"/>
      <c r="X155" s="15">
        <v>290.25</v>
      </c>
      <c r="Y155" s="17">
        <v>368</v>
      </c>
      <c r="Z155" s="17">
        <v>533.75</v>
      </c>
      <c r="AA155" s="17">
        <v>1814</v>
      </c>
      <c r="AB155" s="12">
        <f t="shared" si="2"/>
        <v>153</v>
      </c>
    </row>
    <row r="156" ht="14.25" spans="1:28">
      <c r="A156" s="13">
        <v>126</v>
      </c>
      <c r="B156" s="15">
        <v>3</v>
      </c>
      <c r="C156" s="16">
        <v>15</v>
      </c>
      <c r="D156" s="17" t="s">
        <v>265</v>
      </c>
      <c r="E156" s="17" t="s">
        <v>266</v>
      </c>
      <c r="F156" s="17">
        <v>91.5</v>
      </c>
      <c r="G156" s="17">
        <v>8306</v>
      </c>
      <c r="H156" s="17">
        <v>124</v>
      </c>
      <c r="I156" s="17">
        <v>418</v>
      </c>
      <c r="J156" s="17">
        <v>114.5</v>
      </c>
      <c r="K156" s="17">
        <v>951</v>
      </c>
      <c r="L156" s="17">
        <v>70.5</v>
      </c>
      <c r="M156" s="17">
        <v>821</v>
      </c>
      <c r="N156" s="17"/>
      <c r="O156" s="17"/>
      <c r="P156" s="17">
        <v>49</v>
      </c>
      <c r="Q156" s="17">
        <v>10942</v>
      </c>
      <c r="R156" s="17"/>
      <c r="S156" s="17"/>
      <c r="T156" s="17"/>
      <c r="U156" s="17"/>
      <c r="V156" s="17">
        <v>84</v>
      </c>
      <c r="W156" s="17">
        <v>588</v>
      </c>
      <c r="X156" s="15">
        <v>330</v>
      </c>
      <c r="Y156" s="17">
        <v>66</v>
      </c>
      <c r="Z156" s="17">
        <v>533.5</v>
      </c>
      <c r="AA156" s="17">
        <v>1821</v>
      </c>
      <c r="AB156" s="12">
        <f t="shared" si="2"/>
        <v>154</v>
      </c>
    </row>
    <row r="157" ht="14.25" spans="1:28">
      <c r="A157" s="13">
        <v>366</v>
      </c>
      <c r="B157" s="15">
        <v>8</v>
      </c>
      <c r="C157" s="16">
        <v>40</v>
      </c>
      <c r="D157" s="17" t="s">
        <v>742</v>
      </c>
      <c r="E157" s="17" t="s">
        <v>743</v>
      </c>
      <c r="F157" s="17">
        <v>104.25</v>
      </c>
      <c r="G157" s="17">
        <v>1691</v>
      </c>
      <c r="H157" s="17">
        <v>121</v>
      </c>
      <c r="I157" s="17">
        <v>621</v>
      </c>
      <c r="J157" s="17">
        <v>95.75</v>
      </c>
      <c r="K157" s="17">
        <v>3946</v>
      </c>
      <c r="L157" s="17">
        <v>61.5</v>
      </c>
      <c r="M157" s="17">
        <v>1929</v>
      </c>
      <c r="N157" s="17"/>
      <c r="O157" s="17"/>
      <c r="P157" s="17">
        <v>84</v>
      </c>
      <c r="Q157" s="17">
        <v>1443</v>
      </c>
      <c r="R157" s="17">
        <v>67</v>
      </c>
      <c r="S157" s="17">
        <v>6298</v>
      </c>
      <c r="T157" s="17"/>
      <c r="U157" s="17"/>
      <c r="V157" s="17"/>
      <c r="W157" s="17"/>
      <c r="X157" s="15">
        <v>321</v>
      </c>
      <c r="Y157" s="17">
        <v>108</v>
      </c>
      <c r="Z157" s="17">
        <v>533.5</v>
      </c>
      <c r="AA157" s="17">
        <v>1821</v>
      </c>
      <c r="AB157" s="12">
        <f t="shared" si="2"/>
        <v>154</v>
      </c>
    </row>
    <row r="158" ht="14.25" spans="1:28">
      <c r="A158" s="13">
        <v>480</v>
      </c>
      <c r="B158" s="15">
        <v>10</v>
      </c>
      <c r="C158" s="16">
        <v>41</v>
      </c>
      <c r="D158" s="17" t="s">
        <v>970</v>
      </c>
      <c r="E158" s="17" t="s">
        <v>971</v>
      </c>
      <c r="F158" s="17">
        <v>103.5</v>
      </c>
      <c r="G158" s="17">
        <v>1897</v>
      </c>
      <c r="H158" s="17">
        <v>111</v>
      </c>
      <c r="I158" s="17">
        <v>1774</v>
      </c>
      <c r="J158" s="17">
        <v>94.25</v>
      </c>
      <c r="K158" s="17">
        <v>4296</v>
      </c>
      <c r="L158" s="17">
        <v>75.5</v>
      </c>
      <c r="M158" s="17">
        <v>413</v>
      </c>
      <c r="N158" s="17"/>
      <c r="O158" s="17"/>
      <c r="P158" s="17">
        <v>72</v>
      </c>
      <c r="Q158" s="17">
        <v>4881</v>
      </c>
      <c r="R158" s="17">
        <v>77</v>
      </c>
      <c r="S158" s="17">
        <v>3183</v>
      </c>
      <c r="T158" s="17"/>
      <c r="U158" s="17"/>
      <c r="V158" s="17"/>
      <c r="W158" s="17"/>
      <c r="X158" s="15">
        <v>308.75</v>
      </c>
      <c r="Y158" s="17">
        <v>206</v>
      </c>
      <c r="Z158" s="17">
        <v>533.25</v>
      </c>
      <c r="AA158" s="17">
        <v>1832</v>
      </c>
      <c r="AB158" s="12">
        <f t="shared" si="2"/>
        <v>156</v>
      </c>
    </row>
    <row r="159" ht="14.25" spans="1:28">
      <c r="A159" s="13">
        <v>497</v>
      </c>
      <c r="B159" s="15">
        <v>11</v>
      </c>
      <c r="C159" s="16">
        <v>1</v>
      </c>
      <c r="D159" s="17" t="s">
        <v>1004</v>
      </c>
      <c r="E159" s="17" t="s">
        <v>1005</v>
      </c>
      <c r="F159" s="17">
        <v>93</v>
      </c>
      <c r="G159" s="17">
        <v>7407</v>
      </c>
      <c r="H159" s="17">
        <v>110</v>
      </c>
      <c r="I159" s="17">
        <v>1931</v>
      </c>
      <c r="J159" s="17">
        <v>105.75</v>
      </c>
      <c r="K159" s="17">
        <v>2077</v>
      </c>
      <c r="L159" s="17">
        <v>58.5</v>
      </c>
      <c r="M159" s="17">
        <v>2451</v>
      </c>
      <c r="N159" s="17"/>
      <c r="O159" s="17"/>
      <c r="P159" s="17">
        <v>82</v>
      </c>
      <c r="Q159" s="17">
        <v>1870</v>
      </c>
      <c r="R159" s="17">
        <v>84</v>
      </c>
      <c r="S159" s="17">
        <v>1490</v>
      </c>
      <c r="T159" s="17"/>
      <c r="U159" s="17"/>
      <c r="V159" s="17"/>
      <c r="W159" s="17"/>
      <c r="X159" s="15">
        <v>308.75</v>
      </c>
      <c r="Y159" s="17">
        <v>206</v>
      </c>
      <c r="Z159" s="17">
        <v>533.25</v>
      </c>
      <c r="AA159" s="17">
        <v>1832</v>
      </c>
      <c r="AB159" s="12">
        <f t="shared" si="2"/>
        <v>156</v>
      </c>
    </row>
    <row r="160" ht="14.25" spans="1:28">
      <c r="A160" s="13">
        <v>169</v>
      </c>
      <c r="B160" s="15">
        <v>4</v>
      </c>
      <c r="C160" s="16">
        <v>10</v>
      </c>
      <c r="D160" s="17" t="s">
        <v>351</v>
      </c>
      <c r="E160" s="17" t="s">
        <v>352</v>
      </c>
      <c r="F160" s="17">
        <v>96</v>
      </c>
      <c r="G160" s="17">
        <v>5544</v>
      </c>
      <c r="H160" s="17">
        <v>106.5</v>
      </c>
      <c r="I160" s="17">
        <v>2542</v>
      </c>
      <c r="J160" s="17">
        <v>96.5</v>
      </c>
      <c r="K160" s="17">
        <v>3746</v>
      </c>
      <c r="L160" s="17">
        <v>60</v>
      </c>
      <c r="M160" s="17">
        <v>2185</v>
      </c>
      <c r="N160" s="17"/>
      <c r="O160" s="17"/>
      <c r="P160" s="17">
        <v>83</v>
      </c>
      <c r="Q160" s="17">
        <v>1643</v>
      </c>
      <c r="R160" s="17"/>
      <c r="S160" s="17"/>
      <c r="T160" s="17"/>
      <c r="U160" s="17"/>
      <c r="V160" s="17">
        <v>90</v>
      </c>
      <c r="W160" s="17">
        <v>44</v>
      </c>
      <c r="X160" s="15">
        <v>299</v>
      </c>
      <c r="Y160" s="17">
        <v>284</v>
      </c>
      <c r="Z160" s="17">
        <v>532</v>
      </c>
      <c r="AA160" s="17">
        <v>1873</v>
      </c>
      <c r="AB160" s="12">
        <f t="shared" si="2"/>
        <v>158</v>
      </c>
    </row>
    <row r="161" ht="14.25" spans="1:28">
      <c r="A161" s="13">
        <v>347</v>
      </c>
      <c r="B161" s="15">
        <v>8</v>
      </c>
      <c r="C161" s="16">
        <v>19</v>
      </c>
      <c r="D161" s="17" t="s">
        <v>705</v>
      </c>
      <c r="E161" s="17" t="s">
        <v>706</v>
      </c>
      <c r="F161" s="17">
        <v>104</v>
      </c>
      <c r="G161" s="17">
        <v>1709</v>
      </c>
      <c r="H161" s="17">
        <v>113</v>
      </c>
      <c r="I161" s="17">
        <v>1467</v>
      </c>
      <c r="J161" s="17">
        <v>100</v>
      </c>
      <c r="K161" s="17">
        <v>3038</v>
      </c>
      <c r="L161" s="17">
        <v>63</v>
      </c>
      <c r="M161" s="17">
        <v>1702</v>
      </c>
      <c r="N161" s="17"/>
      <c r="O161" s="17"/>
      <c r="P161" s="17">
        <v>79</v>
      </c>
      <c r="Q161" s="17">
        <v>2632</v>
      </c>
      <c r="R161" s="17">
        <v>73</v>
      </c>
      <c r="S161" s="17">
        <v>4436</v>
      </c>
      <c r="T161" s="17"/>
      <c r="U161" s="17"/>
      <c r="V161" s="17"/>
      <c r="W161" s="17"/>
      <c r="X161" s="15">
        <v>317</v>
      </c>
      <c r="Y161" s="17">
        <v>138</v>
      </c>
      <c r="Z161" s="17">
        <v>532</v>
      </c>
      <c r="AA161" s="17">
        <v>1873</v>
      </c>
      <c r="AB161" s="12">
        <f t="shared" si="2"/>
        <v>158</v>
      </c>
    </row>
    <row r="162" ht="14.25" spans="1:28">
      <c r="A162" s="13">
        <v>359</v>
      </c>
      <c r="B162" s="15">
        <v>8</v>
      </c>
      <c r="C162" s="16">
        <v>33</v>
      </c>
      <c r="D162" s="17" t="s">
        <v>728</v>
      </c>
      <c r="E162" s="17" t="s">
        <v>729</v>
      </c>
      <c r="F162" s="17">
        <v>107.5</v>
      </c>
      <c r="G162" s="17">
        <v>829</v>
      </c>
      <c r="H162" s="17">
        <v>125</v>
      </c>
      <c r="I162" s="17">
        <v>360</v>
      </c>
      <c r="J162" s="17">
        <v>90.5</v>
      </c>
      <c r="K162" s="17">
        <v>5135</v>
      </c>
      <c r="L162" s="17">
        <v>64</v>
      </c>
      <c r="M162" s="17">
        <v>1577</v>
      </c>
      <c r="N162" s="17"/>
      <c r="O162" s="17"/>
      <c r="P162" s="17">
        <v>69</v>
      </c>
      <c r="Q162" s="17">
        <v>5655</v>
      </c>
      <c r="R162" s="17">
        <v>76</v>
      </c>
      <c r="S162" s="17">
        <v>3491</v>
      </c>
      <c r="T162" s="17"/>
      <c r="U162" s="17"/>
      <c r="V162" s="17"/>
      <c r="W162" s="17"/>
      <c r="X162" s="15">
        <v>323</v>
      </c>
      <c r="Y162" s="17">
        <v>99</v>
      </c>
      <c r="Z162" s="17">
        <v>532</v>
      </c>
      <c r="AA162" s="17">
        <v>1873</v>
      </c>
      <c r="AB162" s="12">
        <f t="shared" si="2"/>
        <v>158</v>
      </c>
    </row>
    <row r="163" ht="14.25" spans="1:28">
      <c r="A163" s="13">
        <v>380</v>
      </c>
      <c r="B163" s="15">
        <v>8</v>
      </c>
      <c r="C163" s="16">
        <v>54</v>
      </c>
      <c r="D163" s="17" t="s">
        <v>770</v>
      </c>
      <c r="E163" s="17" t="s">
        <v>771</v>
      </c>
      <c r="F163" s="17">
        <v>107</v>
      </c>
      <c r="G163" s="17">
        <v>945</v>
      </c>
      <c r="H163" s="17">
        <v>101.5</v>
      </c>
      <c r="I163" s="17">
        <v>3477</v>
      </c>
      <c r="J163" s="17">
        <v>110</v>
      </c>
      <c r="K163" s="17">
        <v>1448</v>
      </c>
      <c r="L163" s="17">
        <v>64.5</v>
      </c>
      <c r="M163" s="17">
        <v>1506</v>
      </c>
      <c r="N163" s="17"/>
      <c r="O163" s="17"/>
      <c r="P163" s="17">
        <v>71</v>
      </c>
      <c r="Q163" s="17">
        <v>5258</v>
      </c>
      <c r="R163" s="17">
        <v>78</v>
      </c>
      <c r="S163" s="17">
        <v>2906</v>
      </c>
      <c r="T163" s="17"/>
      <c r="U163" s="17"/>
      <c r="V163" s="17"/>
      <c r="W163" s="17"/>
      <c r="X163" s="15">
        <v>318.5</v>
      </c>
      <c r="Y163" s="17">
        <v>127</v>
      </c>
      <c r="Z163" s="17">
        <v>532</v>
      </c>
      <c r="AA163" s="17">
        <v>1873</v>
      </c>
      <c r="AB163" s="12">
        <f t="shared" si="2"/>
        <v>158</v>
      </c>
    </row>
    <row r="164" ht="14.25" spans="1:28">
      <c r="A164" s="13">
        <v>406</v>
      </c>
      <c r="B164" s="15">
        <v>9</v>
      </c>
      <c r="C164" s="16">
        <v>21</v>
      </c>
      <c r="D164" s="17" t="s">
        <v>822</v>
      </c>
      <c r="E164" s="17" t="s">
        <v>823</v>
      </c>
      <c r="F164" s="17">
        <v>103</v>
      </c>
      <c r="G164" s="17">
        <v>2094</v>
      </c>
      <c r="H164" s="17">
        <v>118.5</v>
      </c>
      <c r="I164" s="17">
        <v>833</v>
      </c>
      <c r="J164" s="17">
        <v>112.75</v>
      </c>
      <c r="K164" s="17">
        <v>1155</v>
      </c>
      <c r="L164" s="17">
        <v>59.5</v>
      </c>
      <c r="M164" s="17">
        <v>2274</v>
      </c>
      <c r="N164" s="17"/>
      <c r="O164" s="17"/>
      <c r="P164" s="17">
        <v>64</v>
      </c>
      <c r="Q164" s="17">
        <v>7304</v>
      </c>
      <c r="R164" s="17">
        <v>74</v>
      </c>
      <c r="S164" s="17">
        <v>4119</v>
      </c>
      <c r="T164" s="17"/>
      <c r="U164" s="17"/>
      <c r="V164" s="17"/>
      <c r="W164" s="17"/>
      <c r="X164" s="15">
        <v>334.25</v>
      </c>
      <c r="Y164" s="17">
        <v>52</v>
      </c>
      <c r="Z164" s="17">
        <v>531.75</v>
      </c>
      <c r="AA164" s="17">
        <v>1886</v>
      </c>
      <c r="AB164" s="12">
        <f t="shared" si="2"/>
        <v>162</v>
      </c>
    </row>
    <row r="165" ht="14.25" spans="1:28">
      <c r="A165" s="13">
        <v>462</v>
      </c>
      <c r="B165" s="15">
        <v>10</v>
      </c>
      <c r="C165" s="16">
        <v>23</v>
      </c>
      <c r="D165" s="17" t="s">
        <v>934</v>
      </c>
      <c r="E165" s="17" t="s">
        <v>935</v>
      </c>
      <c r="F165" s="17">
        <v>99.5</v>
      </c>
      <c r="G165" s="17">
        <v>3607</v>
      </c>
      <c r="H165" s="17">
        <v>101.5</v>
      </c>
      <c r="I165" s="17">
        <v>3477</v>
      </c>
      <c r="J165" s="17">
        <v>117.75</v>
      </c>
      <c r="K165" s="17">
        <v>667</v>
      </c>
      <c r="L165" s="17">
        <v>60</v>
      </c>
      <c r="M165" s="17">
        <v>2185</v>
      </c>
      <c r="N165" s="17"/>
      <c r="O165" s="17"/>
      <c r="P165" s="17">
        <v>77</v>
      </c>
      <c r="Q165" s="17">
        <v>3207</v>
      </c>
      <c r="R165" s="17">
        <v>76</v>
      </c>
      <c r="S165" s="17">
        <v>3491</v>
      </c>
      <c r="T165" s="17"/>
      <c r="U165" s="17"/>
      <c r="V165" s="17"/>
      <c r="W165" s="17"/>
      <c r="X165" s="15">
        <v>318.75</v>
      </c>
      <c r="Y165" s="17">
        <v>126</v>
      </c>
      <c r="Z165" s="17">
        <v>531.75</v>
      </c>
      <c r="AA165" s="17">
        <v>1886</v>
      </c>
      <c r="AB165" s="12">
        <f t="shared" si="2"/>
        <v>162</v>
      </c>
    </row>
    <row r="166" ht="14.25" spans="1:28">
      <c r="A166" s="13">
        <v>491</v>
      </c>
      <c r="B166" s="15">
        <v>10</v>
      </c>
      <c r="C166" s="16">
        <v>52</v>
      </c>
      <c r="D166" s="17" t="s">
        <v>992</v>
      </c>
      <c r="E166" s="17" t="s">
        <v>993</v>
      </c>
      <c r="F166" s="17">
        <v>98.5</v>
      </c>
      <c r="G166" s="17">
        <v>4145</v>
      </c>
      <c r="H166" s="17">
        <v>105</v>
      </c>
      <c r="I166" s="17">
        <v>2810</v>
      </c>
      <c r="J166" s="17">
        <v>96.75</v>
      </c>
      <c r="K166" s="17">
        <v>3707</v>
      </c>
      <c r="L166" s="17">
        <v>72.5</v>
      </c>
      <c r="M166" s="17">
        <v>627</v>
      </c>
      <c r="N166" s="17"/>
      <c r="O166" s="17"/>
      <c r="P166" s="17">
        <v>79</v>
      </c>
      <c r="Q166" s="17">
        <v>2632</v>
      </c>
      <c r="R166" s="17">
        <v>80</v>
      </c>
      <c r="S166" s="17">
        <v>2376</v>
      </c>
      <c r="T166" s="17"/>
      <c r="U166" s="17"/>
      <c r="V166" s="17"/>
      <c r="W166" s="17"/>
      <c r="X166" s="15">
        <v>300.25</v>
      </c>
      <c r="Y166" s="17">
        <v>274</v>
      </c>
      <c r="Z166" s="17">
        <v>531.75</v>
      </c>
      <c r="AA166" s="17">
        <v>1886</v>
      </c>
      <c r="AB166" s="12">
        <f t="shared" si="2"/>
        <v>162</v>
      </c>
    </row>
    <row r="167" ht="14.25" spans="1:28">
      <c r="A167" s="13">
        <v>158</v>
      </c>
      <c r="B167" s="15">
        <v>3</v>
      </c>
      <c r="C167" s="16">
        <v>47</v>
      </c>
      <c r="D167" s="17" t="s">
        <v>329</v>
      </c>
      <c r="E167" s="17" t="s">
        <v>330</v>
      </c>
      <c r="F167" s="17">
        <v>94</v>
      </c>
      <c r="G167" s="17">
        <v>6811</v>
      </c>
      <c r="H167" s="17">
        <v>112.5</v>
      </c>
      <c r="I167" s="17">
        <v>1543</v>
      </c>
      <c r="J167" s="17">
        <v>100.5</v>
      </c>
      <c r="K167" s="17">
        <v>2946</v>
      </c>
      <c r="L167" s="17">
        <v>53.5</v>
      </c>
      <c r="M167" s="17">
        <v>3296</v>
      </c>
      <c r="N167" s="17"/>
      <c r="O167" s="17"/>
      <c r="P167" s="17">
        <v>86</v>
      </c>
      <c r="Q167" s="17">
        <v>1052</v>
      </c>
      <c r="R167" s="17"/>
      <c r="S167" s="17"/>
      <c r="T167" s="17"/>
      <c r="U167" s="17"/>
      <c r="V167" s="17">
        <v>85</v>
      </c>
      <c r="W167" s="17">
        <v>530</v>
      </c>
      <c r="X167" s="15">
        <v>307</v>
      </c>
      <c r="Y167" s="17">
        <v>221</v>
      </c>
      <c r="Z167" s="17">
        <v>531.5</v>
      </c>
      <c r="AA167" s="17">
        <v>1892</v>
      </c>
      <c r="AB167" s="12">
        <f t="shared" si="2"/>
        <v>165</v>
      </c>
    </row>
    <row r="168" ht="14.25" spans="1:28">
      <c r="A168" s="13">
        <v>488</v>
      </c>
      <c r="B168" s="15">
        <v>10</v>
      </c>
      <c r="C168" s="16">
        <v>49</v>
      </c>
      <c r="D168" s="17" t="s">
        <v>986</v>
      </c>
      <c r="E168" s="17" t="s">
        <v>987</v>
      </c>
      <c r="F168" s="17">
        <v>98</v>
      </c>
      <c r="G168" s="17">
        <v>4423</v>
      </c>
      <c r="H168" s="17">
        <v>115</v>
      </c>
      <c r="I168" s="17">
        <v>1213</v>
      </c>
      <c r="J168" s="17">
        <v>92</v>
      </c>
      <c r="K168" s="17">
        <v>4787</v>
      </c>
      <c r="L168" s="17">
        <v>63.5</v>
      </c>
      <c r="M168" s="17">
        <v>1636</v>
      </c>
      <c r="N168" s="17"/>
      <c r="O168" s="17"/>
      <c r="P168" s="17">
        <v>77</v>
      </c>
      <c r="Q168" s="17">
        <v>3207</v>
      </c>
      <c r="R168" s="17">
        <v>86</v>
      </c>
      <c r="S168" s="17">
        <v>1176</v>
      </c>
      <c r="T168" s="17"/>
      <c r="U168" s="17"/>
      <c r="V168" s="17"/>
      <c r="W168" s="17"/>
      <c r="X168" s="15">
        <v>305</v>
      </c>
      <c r="Y168" s="17">
        <v>236</v>
      </c>
      <c r="Z168" s="17">
        <v>531.5</v>
      </c>
      <c r="AA168" s="17">
        <v>1892</v>
      </c>
      <c r="AB168" s="12">
        <f t="shared" si="2"/>
        <v>165</v>
      </c>
    </row>
    <row r="169" ht="14.25" spans="1:28">
      <c r="A169" s="13">
        <v>211</v>
      </c>
      <c r="B169" s="15">
        <v>5</v>
      </c>
      <c r="C169" s="16">
        <v>8</v>
      </c>
      <c r="D169" s="17" t="s">
        <v>435</v>
      </c>
      <c r="E169" s="17" t="s">
        <v>436</v>
      </c>
      <c r="F169" s="17">
        <v>97</v>
      </c>
      <c r="G169" s="17">
        <v>4967</v>
      </c>
      <c r="H169" s="17">
        <v>120.5</v>
      </c>
      <c r="I169" s="17">
        <v>665</v>
      </c>
      <c r="J169" s="17">
        <v>89</v>
      </c>
      <c r="K169" s="17">
        <v>5512</v>
      </c>
      <c r="L169" s="17">
        <v>66.5</v>
      </c>
      <c r="M169" s="17">
        <v>1237</v>
      </c>
      <c r="N169" s="17"/>
      <c r="O169" s="17"/>
      <c r="P169" s="17">
        <v>79</v>
      </c>
      <c r="Q169" s="17">
        <v>2632</v>
      </c>
      <c r="R169" s="17"/>
      <c r="S169" s="17"/>
      <c r="T169" s="17"/>
      <c r="U169" s="17"/>
      <c r="V169" s="17">
        <v>79</v>
      </c>
      <c r="W169" s="17">
        <v>1023</v>
      </c>
      <c r="X169" s="15">
        <v>306.5</v>
      </c>
      <c r="Y169" s="17">
        <v>224</v>
      </c>
      <c r="Z169" s="17">
        <v>531</v>
      </c>
      <c r="AA169" s="17">
        <v>1909</v>
      </c>
      <c r="AB169" s="12">
        <f t="shared" si="2"/>
        <v>167</v>
      </c>
    </row>
    <row r="170" ht="14.25" spans="1:28">
      <c r="A170" s="13">
        <v>530</v>
      </c>
      <c r="B170" s="15">
        <v>11</v>
      </c>
      <c r="C170" s="16">
        <v>36</v>
      </c>
      <c r="D170" s="17" t="s">
        <v>1069</v>
      </c>
      <c r="E170" s="17" t="s">
        <v>1070</v>
      </c>
      <c r="F170" s="17">
        <v>91</v>
      </c>
      <c r="G170" s="17">
        <v>8620</v>
      </c>
      <c r="H170" s="17">
        <v>113.5</v>
      </c>
      <c r="I170" s="17">
        <v>1397</v>
      </c>
      <c r="J170" s="17">
        <v>95.25</v>
      </c>
      <c r="K170" s="17">
        <v>4060</v>
      </c>
      <c r="L170" s="17">
        <v>64</v>
      </c>
      <c r="M170" s="17">
        <v>1577</v>
      </c>
      <c r="N170" s="17"/>
      <c r="O170" s="17"/>
      <c r="P170" s="17">
        <v>87</v>
      </c>
      <c r="Q170" s="17">
        <v>681</v>
      </c>
      <c r="R170" s="17">
        <v>80</v>
      </c>
      <c r="S170" s="17">
        <v>2376</v>
      </c>
      <c r="T170" s="17"/>
      <c r="U170" s="17"/>
      <c r="V170" s="17"/>
      <c r="W170" s="17"/>
      <c r="X170" s="15">
        <v>299.75</v>
      </c>
      <c r="Y170" s="17">
        <v>279</v>
      </c>
      <c r="Z170" s="17">
        <v>530.75</v>
      </c>
      <c r="AA170" s="17">
        <v>1925</v>
      </c>
      <c r="AB170" s="12">
        <f t="shared" si="2"/>
        <v>168</v>
      </c>
    </row>
    <row r="171" ht="14.25" spans="1:28">
      <c r="A171" s="13">
        <v>223</v>
      </c>
      <c r="B171" s="15">
        <v>5</v>
      </c>
      <c r="C171" s="16">
        <v>20</v>
      </c>
      <c r="D171" s="17" t="s">
        <v>459</v>
      </c>
      <c r="E171" s="17" t="s">
        <v>460</v>
      </c>
      <c r="F171" s="17">
        <v>109</v>
      </c>
      <c r="G171" s="17">
        <v>567</v>
      </c>
      <c r="H171" s="17">
        <v>109</v>
      </c>
      <c r="I171" s="17">
        <v>2105</v>
      </c>
      <c r="J171" s="17">
        <v>97.5</v>
      </c>
      <c r="K171" s="17">
        <v>3545</v>
      </c>
      <c r="L171" s="17">
        <v>59.5</v>
      </c>
      <c r="M171" s="17">
        <v>2274</v>
      </c>
      <c r="N171" s="17"/>
      <c r="O171" s="17"/>
      <c r="P171" s="17">
        <v>77</v>
      </c>
      <c r="Q171" s="17">
        <v>3207</v>
      </c>
      <c r="R171" s="17"/>
      <c r="S171" s="17"/>
      <c r="T171" s="17"/>
      <c r="U171" s="17"/>
      <c r="V171" s="17">
        <v>78</v>
      </c>
      <c r="W171" s="17">
        <v>1218</v>
      </c>
      <c r="X171" s="15">
        <v>315.5</v>
      </c>
      <c r="Y171" s="17">
        <v>147</v>
      </c>
      <c r="Z171" s="17">
        <v>530</v>
      </c>
      <c r="AA171" s="17">
        <v>1946</v>
      </c>
      <c r="AB171" s="12">
        <f t="shared" si="2"/>
        <v>169</v>
      </c>
    </row>
    <row r="172" ht="14.25" spans="1:28">
      <c r="A172" s="13">
        <v>70</v>
      </c>
      <c r="B172" s="15">
        <v>2</v>
      </c>
      <c r="C172" s="16">
        <v>7</v>
      </c>
      <c r="D172" s="17" t="s">
        <v>154</v>
      </c>
      <c r="E172" s="17" t="s">
        <v>155</v>
      </c>
      <c r="F172" s="17">
        <v>94.5</v>
      </c>
      <c r="G172" s="17">
        <v>6496</v>
      </c>
      <c r="H172" s="17">
        <v>111</v>
      </c>
      <c r="I172" s="17">
        <v>1774</v>
      </c>
      <c r="J172" s="17">
        <v>106.5</v>
      </c>
      <c r="K172" s="17">
        <v>1929</v>
      </c>
      <c r="L172" s="17">
        <v>50.5</v>
      </c>
      <c r="M172" s="17">
        <v>3830</v>
      </c>
      <c r="N172" s="17"/>
      <c r="O172" s="17"/>
      <c r="P172" s="17"/>
      <c r="Q172" s="17"/>
      <c r="R172" s="17">
        <v>79</v>
      </c>
      <c r="S172" s="17">
        <v>2629</v>
      </c>
      <c r="T172" s="17">
        <v>87</v>
      </c>
      <c r="U172" s="17">
        <v>259</v>
      </c>
      <c r="V172" s="17"/>
      <c r="W172" s="17"/>
      <c r="X172" s="15">
        <v>312</v>
      </c>
      <c r="Y172" s="17">
        <v>171</v>
      </c>
      <c r="Z172" s="17">
        <v>528.5</v>
      </c>
      <c r="AA172" s="17">
        <v>2006</v>
      </c>
      <c r="AB172" s="12">
        <f t="shared" si="2"/>
        <v>170</v>
      </c>
    </row>
    <row r="173" ht="14.25" spans="1:28">
      <c r="A173" s="13">
        <v>76</v>
      </c>
      <c r="B173" s="15">
        <v>2</v>
      </c>
      <c r="C173" s="16">
        <v>13</v>
      </c>
      <c r="D173" s="17" t="s">
        <v>165</v>
      </c>
      <c r="E173" s="17" t="s">
        <v>166</v>
      </c>
      <c r="F173" s="17">
        <v>100.5</v>
      </c>
      <c r="G173" s="17">
        <v>3131</v>
      </c>
      <c r="H173" s="17">
        <v>105</v>
      </c>
      <c r="I173" s="17">
        <v>2810</v>
      </c>
      <c r="J173" s="17">
        <v>108.5</v>
      </c>
      <c r="K173" s="17">
        <v>1655</v>
      </c>
      <c r="L173" s="17">
        <v>58.5</v>
      </c>
      <c r="M173" s="17">
        <v>2451</v>
      </c>
      <c r="N173" s="17"/>
      <c r="O173" s="17"/>
      <c r="P173" s="17"/>
      <c r="Q173" s="17"/>
      <c r="R173" s="17">
        <v>89</v>
      </c>
      <c r="S173" s="17">
        <v>415</v>
      </c>
      <c r="T173" s="17">
        <v>67</v>
      </c>
      <c r="U173" s="17">
        <v>2274</v>
      </c>
      <c r="V173" s="17"/>
      <c r="W173" s="17"/>
      <c r="X173" s="15">
        <v>314</v>
      </c>
      <c r="Y173" s="17">
        <v>157</v>
      </c>
      <c r="Z173" s="17">
        <v>528.5</v>
      </c>
      <c r="AA173" s="17">
        <v>2006</v>
      </c>
      <c r="AB173" s="12">
        <f t="shared" si="2"/>
        <v>170</v>
      </c>
    </row>
    <row r="174" ht="14.25" spans="1:28">
      <c r="A174" s="13">
        <v>139</v>
      </c>
      <c r="B174" s="15">
        <v>3</v>
      </c>
      <c r="C174" s="16">
        <v>28</v>
      </c>
      <c r="D174" s="17" t="s">
        <v>291</v>
      </c>
      <c r="E174" s="17" t="s">
        <v>292</v>
      </c>
      <c r="F174" s="17">
        <v>95.5</v>
      </c>
      <c r="G174" s="17">
        <v>5877</v>
      </c>
      <c r="H174" s="17">
        <v>107.5</v>
      </c>
      <c r="I174" s="17">
        <v>2373</v>
      </c>
      <c r="J174" s="17">
        <v>101.5</v>
      </c>
      <c r="K174" s="17">
        <v>2779</v>
      </c>
      <c r="L174" s="17">
        <v>66</v>
      </c>
      <c r="M174" s="17">
        <v>1304</v>
      </c>
      <c r="N174" s="17"/>
      <c r="O174" s="17"/>
      <c r="P174" s="17">
        <v>81</v>
      </c>
      <c r="Q174" s="17">
        <v>2079</v>
      </c>
      <c r="R174" s="17"/>
      <c r="S174" s="17"/>
      <c r="T174" s="17"/>
      <c r="U174" s="17"/>
      <c r="V174" s="17">
        <v>77</v>
      </c>
      <c r="W174" s="17">
        <v>1318</v>
      </c>
      <c r="X174" s="15">
        <v>304.5</v>
      </c>
      <c r="Y174" s="17">
        <v>239</v>
      </c>
      <c r="Z174" s="17">
        <v>528.5</v>
      </c>
      <c r="AA174" s="17">
        <v>2006</v>
      </c>
      <c r="AB174" s="12">
        <f t="shared" si="2"/>
        <v>170</v>
      </c>
    </row>
    <row r="175" ht="14.25" spans="1:28">
      <c r="A175" s="13">
        <v>354</v>
      </c>
      <c r="B175" s="15">
        <v>8</v>
      </c>
      <c r="C175" s="16">
        <v>27</v>
      </c>
      <c r="D175" s="17" t="s">
        <v>719</v>
      </c>
      <c r="E175" s="17" t="s">
        <v>720</v>
      </c>
      <c r="F175" s="17">
        <v>98.75</v>
      </c>
      <c r="G175" s="17">
        <v>4121</v>
      </c>
      <c r="H175" s="17">
        <v>104.5</v>
      </c>
      <c r="I175" s="17">
        <v>2895</v>
      </c>
      <c r="J175" s="17">
        <v>100</v>
      </c>
      <c r="K175" s="17">
        <v>3038</v>
      </c>
      <c r="L175" s="17">
        <v>64</v>
      </c>
      <c r="M175" s="17">
        <v>1577</v>
      </c>
      <c r="N175" s="17"/>
      <c r="O175" s="17"/>
      <c r="P175" s="17">
        <v>73</v>
      </c>
      <c r="Q175" s="17">
        <v>4501</v>
      </c>
      <c r="R175" s="17">
        <v>88</v>
      </c>
      <c r="S175" s="17">
        <v>601</v>
      </c>
      <c r="T175" s="17"/>
      <c r="U175" s="17"/>
      <c r="V175" s="17"/>
      <c r="W175" s="17"/>
      <c r="X175" s="15">
        <v>303.25</v>
      </c>
      <c r="Y175" s="17">
        <v>249</v>
      </c>
      <c r="Z175" s="17">
        <v>528.25</v>
      </c>
      <c r="AA175" s="17">
        <v>2016</v>
      </c>
      <c r="AB175" s="12">
        <f t="shared" si="2"/>
        <v>173</v>
      </c>
    </row>
    <row r="176" ht="14.25" spans="1:28">
      <c r="A176" s="13">
        <v>457</v>
      </c>
      <c r="B176" s="15">
        <v>10</v>
      </c>
      <c r="C176" s="16">
        <v>18</v>
      </c>
      <c r="D176" s="17" t="s">
        <v>924</v>
      </c>
      <c r="E176" s="17" t="s">
        <v>925</v>
      </c>
      <c r="F176" s="17">
        <v>93</v>
      </c>
      <c r="G176" s="17">
        <v>7407</v>
      </c>
      <c r="H176" s="17">
        <v>109</v>
      </c>
      <c r="I176" s="17">
        <v>2105</v>
      </c>
      <c r="J176" s="17">
        <v>114.75</v>
      </c>
      <c r="K176" s="17">
        <v>938</v>
      </c>
      <c r="L176" s="17">
        <v>49.5</v>
      </c>
      <c r="M176" s="17">
        <v>4044</v>
      </c>
      <c r="N176" s="17"/>
      <c r="O176" s="17"/>
      <c r="P176" s="17">
        <v>85</v>
      </c>
      <c r="Q176" s="17">
        <v>1345</v>
      </c>
      <c r="R176" s="17">
        <v>77</v>
      </c>
      <c r="S176" s="17">
        <v>3183</v>
      </c>
      <c r="T176" s="17"/>
      <c r="U176" s="17"/>
      <c r="V176" s="17"/>
      <c r="W176" s="17"/>
      <c r="X176" s="15">
        <v>316.75</v>
      </c>
      <c r="Y176" s="17">
        <v>140</v>
      </c>
      <c r="Z176" s="17">
        <v>528.25</v>
      </c>
      <c r="AA176" s="17">
        <v>2016</v>
      </c>
      <c r="AB176" s="12">
        <f t="shared" si="2"/>
        <v>173</v>
      </c>
    </row>
    <row r="177" ht="14.25" spans="1:28">
      <c r="A177" s="13">
        <v>84</v>
      </c>
      <c r="B177" s="15">
        <v>2</v>
      </c>
      <c r="C177" s="16">
        <v>21</v>
      </c>
      <c r="D177" s="17" t="s">
        <v>181</v>
      </c>
      <c r="E177" s="17" t="s">
        <v>182</v>
      </c>
      <c r="F177" s="17">
        <v>104.5</v>
      </c>
      <c r="G177" s="17">
        <v>1551</v>
      </c>
      <c r="H177" s="17">
        <v>102.5</v>
      </c>
      <c r="I177" s="17">
        <v>3278</v>
      </c>
      <c r="J177" s="17">
        <v>96</v>
      </c>
      <c r="K177" s="17">
        <v>3851</v>
      </c>
      <c r="L177" s="17">
        <v>53</v>
      </c>
      <c r="M177" s="17">
        <v>3368</v>
      </c>
      <c r="N177" s="17"/>
      <c r="O177" s="17"/>
      <c r="P177" s="17"/>
      <c r="Q177" s="17"/>
      <c r="R177" s="17">
        <v>84</v>
      </c>
      <c r="S177" s="17">
        <v>1490</v>
      </c>
      <c r="T177" s="17">
        <v>88</v>
      </c>
      <c r="U177" s="17">
        <v>161</v>
      </c>
      <c r="V177" s="17"/>
      <c r="W177" s="17"/>
      <c r="X177" s="15">
        <v>303</v>
      </c>
      <c r="Y177" s="17">
        <v>251</v>
      </c>
      <c r="Z177" s="17">
        <v>528</v>
      </c>
      <c r="AA177" s="17">
        <v>2028</v>
      </c>
      <c r="AB177" s="12">
        <f t="shared" si="2"/>
        <v>175</v>
      </c>
    </row>
    <row r="178" ht="14.25" spans="1:28">
      <c r="A178" s="13">
        <v>90</v>
      </c>
      <c r="B178" s="15">
        <v>2</v>
      </c>
      <c r="C178" s="16">
        <v>27</v>
      </c>
      <c r="D178" s="17" t="s">
        <v>193</v>
      </c>
      <c r="E178" s="17" t="s">
        <v>194</v>
      </c>
      <c r="F178" s="17">
        <v>106</v>
      </c>
      <c r="G178" s="17">
        <v>1174</v>
      </c>
      <c r="H178" s="17">
        <v>109</v>
      </c>
      <c r="I178" s="17">
        <v>2105</v>
      </c>
      <c r="J178" s="17">
        <v>122</v>
      </c>
      <c r="K178" s="17">
        <v>371</v>
      </c>
      <c r="L178" s="17">
        <v>43</v>
      </c>
      <c r="M178" s="17">
        <v>5463</v>
      </c>
      <c r="N178" s="17"/>
      <c r="O178" s="17"/>
      <c r="P178" s="17"/>
      <c r="Q178" s="17"/>
      <c r="R178" s="17">
        <v>66</v>
      </c>
      <c r="S178" s="17">
        <v>6674</v>
      </c>
      <c r="T178" s="17">
        <v>81</v>
      </c>
      <c r="U178" s="17">
        <v>759</v>
      </c>
      <c r="V178" s="17"/>
      <c r="W178" s="17"/>
      <c r="X178" s="15">
        <v>337</v>
      </c>
      <c r="Y178" s="17">
        <v>37</v>
      </c>
      <c r="Z178" s="17">
        <v>527</v>
      </c>
      <c r="AA178" s="17">
        <v>2061</v>
      </c>
      <c r="AB178" s="12">
        <f t="shared" si="2"/>
        <v>176</v>
      </c>
    </row>
    <row r="179" ht="14.25" spans="1:28">
      <c r="A179" s="13">
        <v>451</v>
      </c>
      <c r="B179" s="15">
        <v>10</v>
      </c>
      <c r="C179" s="16">
        <v>12</v>
      </c>
      <c r="D179" s="17" t="s">
        <v>912</v>
      </c>
      <c r="E179" s="17" t="s">
        <v>913</v>
      </c>
      <c r="F179" s="17">
        <v>106</v>
      </c>
      <c r="G179" s="17">
        <v>1174</v>
      </c>
      <c r="H179" s="17">
        <v>116</v>
      </c>
      <c r="I179" s="17">
        <v>1095</v>
      </c>
      <c r="J179" s="17">
        <v>81</v>
      </c>
      <c r="K179" s="17">
        <v>7529</v>
      </c>
      <c r="L179" s="17">
        <v>61</v>
      </c>
      <c r="M179" s="17">
        <v>2008</v>
      </c>
      <c r="N179" s="17"/>
      <c r="O179" s="17"/>
      <c r="P179" s="17">
        <v>80</v>
      </c>
      <c r="Q179" s="17">
        <v>2333</v>
      </c>
      <c r="R179" s="17">
        <v>83</v>
      </c>
      <c r="S179" s="17">
        <v>1715</v>
      </c>
      <c r="T179" s="17"/>
      <c r="U179" s="17"/>
      <c r="V179" s="17"/>
      <c r="W179" s="17"/>
      <c r="X179" s="15">
        <v>303</v>
      </c>
      <c r="Y179" s="17">
        <v>251</v>
      </c>
      <c r="Z179" s="17">
        <v>527</v>
      </c>
      <c r="AA179" s="17">
        <v>2061</v>
      </c>
      <c r="AB179" s="12">
        <f t="shared" si="2"/>
        <v>176</v>
      </c>
    </row>
    <row r="180" ht="14.25" spans="1:28">
      <c r="A180" s="13">
        <v>68</v>
      </c>
      <c r="B180" s="15">
        <v>2</v>
      </c>
      <c r="C180" s="16">
        <v>5</v>
      </c>
      <c r="D180" s="17" t="s">
        <v>150</v>
      </c>
      <c r="E180" s="17" t="s">
        <v>151</v>
      </c>
      <c r="F180" s="17">
        <v>98</v>
      </c>
      <c r="G180" s="17">
        <v>4423</v>
      </c>
      <c r="H180" s="17">
        <v>91.5</v>
      </c>
      <c r="I180" s="17">
        <v>5528</v>
      </c>
      <c r="J180" s="17">
        <v>112</v>
      </c>
      <c r="K180" s="17">
        <v>1229</v>
      </c>
      <c r="L180" s="17">
        <v>49</v>
      </c>
      <c r="M180" s="17">
        <v>4146</v>
      </c>
      <c r="N180" s="17"/>
      <c r="O180" s="17"/>
      <c r="P180" s="17"/>
      <c r="Q180" s="17"/>
      <c r="R180" s="17">
        <v>86</v>
      </c>
      <c r="S180" s="17">
        <v>1176</v>
      </c>
      <c r="T180" s="17">
        <v>90</v>
      </c>
      <c r="U180" s="17">
        <v>46</v>
      </c>
      <c r="V180" s="17"/>
      <c r="W180" s="17"/>
      <c r="X180" s="15">
        <v>301.5</v>
      </c>
      <c r="Y180" s="17">
        <v>265</v>
      </c>
      <c r="Z180" s="17">
        <v>526.5</v>
      </c>
      <c r="AA180" s="17">
        <v>2076</v>
      </c>
      <c r="AB180" s="12">
        <f t="shared" si="2"/>
        <v>178</v>
      </c>
    </row>
    <row r="181" ht="14.25" spans="1:28">
      <c r="A181" s="13">
        <v>86</v>
      </c>
      <c r="B181" s="15">
        <v>2</v>
      </c>
      <c r="C181" s="16">
        <v>23</v>
      </c>
      <c r="D181" s="17" t="s">
        <v>185</v>
      </c>
      <c r="E181" s="17" t="s">
        <v>186</v>
      </c>
      <c r="F181" s="17">
        <v>100.5</v>
      </c>
      <c r="G181" s="17">
        <v>3131</v>
      </c>
      <c r="H181" s="17">
        <v>95.5</v>
      </c>
      <c r="I181" s="17">
        <v>4650</v>
      </c>
      <c r="J181" s="17">
        <v>121</v>
      </c>
      <c r="K181" s="17">
        <v>441</v>
      </c>
      <c r="L181" s="17">
        <v>47.5</v>
      </c>
      <c r="M181" s="17">
        <v>4470</v>
      </c>
      <c r="N181" s="17"/>
      <c r="O181" s="17"/>
      <c r="P181" s="17"/>
      <c r="Q181" s="17"/>
      <c r="R181" s="17">
        <v>74</v>
      </c>
      <c r="S181" s="17">
        <v>4119</v>
      </c>
      <c r="T181" s="17">
        <v>88</v>
      </c>
      <c r="U181" s="17">
        <v>161</v>
      </c>
      <c r="V181" s="17"/>
      <c r="W181" s="17"/>
      <c r="X181" s="15">
        <v>317</v>
      </c>
      <c r="Y181" s="17">
        <v>138</v>
      </c>
      <c r="Z181" s="17">
        <v>526.5</v>
      </c>
      <c r="AA181" s="17">
        <v>2076</v>
      </c>
      <c r="AB181" s="12">
        <f t="shared" si="2"/>
        <v>178</v>
      </c>
    </row>
    <row r="182" ht="14.25" spans="1:28">
      <c r="A182" s="13">
        <v>41</v>
      </c>
      <c r="B182" s="15">
        <v>1</v>
      </c>
      <c r="C182" s="16">
        <v>43</v>
      </c>
      <c r="D182" s="17" t="s">
        <v>96</v>
      </c>
      <c r="E182" s="17" t="s">
        <v>97</v>
      </c>
      <c r="F182" s="17">
        <v>109.5</v>
      </c>
      <c r="G182" s="17">
        <v>495</v>
      </c>
      <c r="H182" s="17">
        <v>111</v>
      </c>
      <c r="I182" s="17">
        <v>1774</v>
      </c>
      <c r="J182" s="17">
        <v>100.25</v>
      </c>
      <c r="K182" s="17">
        <v>3011</v>
      </c>
      <c r="L182" s="17">
        <v>54.5</v>
      </c>
      <c r="M182" s="17">
        <v>3126</v>
      </c>
      <c r="N182" s="17"/>
      <c r="O182" s="17"/>
      <c r="P182" s="17">
        <v>65</v>
      </c>
      <c r="Q182" s="17">
        <v>7113</v>
      </c>
      <c r="R182" s="17"/>
      <c r="S182" s="17"/>
      <c r="T182" s="17">
        <v>86</v>
      </c>
      <c r="U182" s="17">
        <v>377</v>
      </c>
      <c r="V182" s="17"/>
      <c r="W182" s="17"/>
      <c r="X182" s="15">
        <v>320.75</v>
      </c>
      <c r="Y182" s="17">
        <v>110</v>
      </c>
      <c r="Z182" s="17">
        <v>526.25</v>
      </c>
      <c r="AA182" s="17">
        <v>2097</v>
      </c>
      <c r="AB182" s="12">
        <f t="shared" si="2"/>
        <v>180</v>
      </c>
    </row>
    <row r="183" ht="14.25" spans="1:28">
      <c r="A183" s="13">
        <v>8</v>
      </c>
      <c r="B183" s="15">
        <v>1</v>
      </c>
      <c r="C183" s="16">
        <v>9</v>
      </c>
      <c r="D183" s="17" t="s">
        <v>30</v>
      </c>
      <c r="E183" s="17" t="s">
        <v>31</v>
      </c>
      <c r="F183" s="17">
        <v>100.5</v>
      </c>
      <c r="G183" s="17">
        <v>3131</v>
      </c>
      <c r="H183" s="17">
        <v>90.5</v>
      </c>
      <c r="I183" s="17">
        <v>5743</v>
      </c>
      <c r="J183" s="17">
        <v>119</v>
      </c>
      <c r="K183" s="17">
        <v>560</v>
      </c>
      <c r="L183" s="17">
        <v>45.5</v>
      </c>
      <c r="M183" s="17">
        <v>4898</v>
      </c>
      <c r="N183" s="17"/>
      <c r="O183" s="17"/>
      <c r="P183" s="17">
        <v>82</v>
      </c>
      <c r="Q183" s="17">
        <v>1870</v>
      </c>
      <c r="R183" s="17"/>
      <c r="S183" s="17"/>
      <c r="T183" s="17">
        <v>88</v>
      </c>
      <c r="U183" s="17">
        <v>161</v>
      </c>
      <c r="V183" s="17"/>
      <c r="W183" s="17"/>
      <c r="X183" s="15">
        <v>310</v>
      </c>
      <c r="Y183" s="17">
        <v>193</v>
      </c>
      <c r="Z183" s="17">
        <v>525.5</v>
      </c>
      <c r="AA183" s="17">
        <v>2118</v>
      </c>
      <c r="AB183" s="12">
        <f t="shared" si="2"/>
        <v>181</v>
      </c>
    </row>
    <row r="184" ht="14.25" spans="1:28">
      <c r="A184" s="13">
        <v>246</v>
      </c>
      <c r="B184" s="15">
        <v>5</v>
      </c>
      <c r="C184" s="16">
        <v>43</v>
      </c>
      <c r="D184" s="17" t="s">
        <v>504</v>
      </c>
      <c r="E184" s="17" t="s">
        <v>505</v>
      </c>
      <c r="F184" s="17">
        <v>97</v>
      </c>
      <c r="G184" s="17">
        <v>4967</v>
      </c>
      <c r="H184" s="17">
        <v>112.5</v>
      </c>
      <c r="I184" s="17">
        <v>1543</v>
      </c>
      <c r="J184" s="17">
        <v>96</v>
      </c>
      <c r="K184" s="17">
        <v>3851</v>
      </c>
      <c r="L184" s="17">
        <v>53</v>
      </c>
      <c r="M184" s="17">
        <v>3368</v>
      </c>
      <c r="N184" s="17"/>
      <c r="O184" s="17"/>
      <c r="P184" s="17">
        <v>80</v>
      </c>
      <c r="Q184" s="17">
        <v>2333</v>
      </c>
      <c r="R184" s="17"/>
      <c r="S184" s="17"/>
      <c r="T184" s="17"/>
      <c r="U184" s="17"/>
      <c r="V184" s="17">
        <v>87</v>
      </c>
      <c r="W184" s="17">
        <v>273</v>
      </c>
      <c r="X184" s="15">
        <v>305.5</v>
      </c>
      <c r="Y184" s="17">
        <v>233</v>
      </c>
      <c r="Z184" s="17">
        <v>525.5</v>
      </c>
      <c r="AA184" s="17">
        <v>2118</v>
      </c>
      <c r="AB184" s="12">
        <f t="shared" si="2"/>
        <v>181</v>
      </c>
    </row>
    <row r="185" ht="14.25" spans="1:28">
      <c r="A185" s="13">
        <v>323</v>
      </c>
      <c r="B185" s="15">
        <v>7</v>
      </c>
      <c r="C185" s="16">
        <v>36</v>
      </c>
      <c r="D185" s="17" t="s">
        <v>657</v>
      </c>
      <c r="E185" s="17" t="s">
        <v>658</v>
      </c>
      <c r="F185" s="17">
        <v>98.5</v>
      </c>
      <c r="G185" s="17">
        <v>4145</v>
      </c>
      <c r="H185" s="17">
        <v>110</v>
      </c>
      <c r="I185" s="17">
        <v>1931</v>
      </c>
      <c r="J185" s="17">
        <v>99.25</v>
      </c>
      <c r="K185" s="17">
        <v>3211</v>
      </c>
      <c r="L185" s="17">
        <v>50.5</v>
      </c>
      <c r="M185" s="17">
        <v>3830</v>
      </c>
      <c r="N185" s="17"/>
      <c r="O185" s="17"/>
      <c r="P185" s="17"/>
      <c r="Q185" s="17"/>
      <c r="R185" s="17">
        <v>80</v>
      </c>
      <c r="S185" s="17">
        <v>2376</v>
      </c>
      <c r="T185" s="17"/>
      <c r="U185" s="17"/>
      <c r="V185" s="17">
        <v>87</v>
      </c>
      <c r="W185" s="17">
        <v>273</v>
      </c>
      <c r="X185" s="15">
        <v>307.75</v>
      </c>
      <c r="Y185" s="17">
        <v>213</v>
      </c>
      <c r="Z185" s="17">
        <v>525.25</v>
      </c>
      <c r="AA185" s="17">
        <v>2129</v>
      </c>
      <c r="AB185" s="12">
        <f t="shared" si="2"/>
        <v>183</v>
      </c>
    </row>
    <row r="186" ht="14.25" spans="1:28">
      <c r="A186" s="13">
        <v>436</v>
      </c>
      <c r="B186" s="15">
        <v>9</v>
      </c>
      <c r="C186" s="16">
        <v>52</v>
      </c>
      <c r="D186" s="17" t="s">
        <v>882</v>
      </c>
      <c r="E186" s="17" t="s">
        <v>883</v>
      </c>
      <c r="F186" s="17">
        <v>106.25</v>
      </c>
      <c r="G186" s="17">
        <v>1151</v>
      </c>
      <c r="H186" s="17">
        <v>116.25</v>
      </c>
      <c r="I186" s="17">
        <v>1094</v>
      </c>
      <c r="J186" s="17">
        <v>114.25</v>
      </c>
      <c r="K186" s="17">
        <v>986</v>
      </c>
      <c r="L186" s="17">
        <v>54.5</v>
      </c>
      <c r="M186" s="17">
        <v>3126</v>
      </c>
      <c r="N186" s="17"/>
      <c r="O186" s="17"/>
      <c r="P186" s="17">
        <v>65</v>
      </c>
      <c r="Q186" s="17">
        <v>7113</v>
      </c>
      <c r="R186" s="17">
        <v>69</v>
      </c>
      <c r="S186" s="17">
        <v>5677</v>
      </c>
      <c r="T186" s="17"/>
      <c r="U186" s="17"/>
      <c r="V186" s="17"/>
      <c r="W186" s="17"/>
      <c r="X186" s="15">
        <v>336.75</v>
      </c>
      <c r="Y186" s="17">
        <v>42</v>
      </c>
      <c r="Z186" s="17">
        <v>525.25</v>
      </c>
      <c r="AA186" s="17">
        <v>2129</v>
      </c>
      <c r="AB186" s="12">
        <f t="shared" si="2"/>
        <v>183</v>
      </c>
    </row>
    <row r="187" ht="14.25" spans="1:28">
      <c r="A187" s="13">
        <v>638</v>
      </c>
      <c r="B187" s="15">
        <v>13</v>
      </c>
      <c r="C187" s="16">
        <v>31</v>
      </c>
      <c r="D187" s="19" t="s">
        <v>1284</v>
      </c>
      <c r="E187" s="17" t="s">
        <v>847</v>
      </c>
      <c r="F187" s="17">
        <v>95.5</v>
      </c>
      <c r="G187" s="17">
        <v>5877</v>
      </c>
      <c r="H187" s="17">
        <v>104.5</v>
      </c>
      <c r="I187" s="17">
        <v>2895</v>
      </c>
      <c r="J187" s="17">
        <v>95.75</v>
      </c>
      <c r="K187" s="17">
        <v>3946</v>
      </c>
      <c r="L187" s="17">
        <v>64.5</v>
      </c>
      <c r="M187" s="17">
        <v>1506</v>
      </c>
      <c r="N187" s="17"/>
      <c r="O187" s="17"/>
      <c r="P187" s="17">
        <v>88</v>
      </c>
      <c r="Q187" s="17">
        <v>397</v>
      </c>
      <c r="R187" s="17">
        <v>77</v>
      </c>
      <c r="S187" s="17">
        <v>3183</v>
      </c>
      <c r="T187" s="17"/>
      <c r="U187" s="17"/>
      <c r="V187" s="17"/>
      <c r="W187" s="17"/>
      <c r="X187" s="15">
        <v>295.75</v>
      </c>
      <c r="Y187" s="17">
        <v>310</v>
      </c>
      <c r="Z187" s="17">
        <v>525.25</v>
      </c>
      <c r="AA187" s="17">
        <v>2129</v>
      </c>
      <c r="AB187" s="12">
        <f t="shared" si="2"/>
        <v>183</v>
      </c>
    </row>
    <row r="188" ht="14.25" spans="1:28">
      <c r="A188" s="13">
        <v>261</v>
      </c>
      <c r="B188" s="15">
        <v>6</v>
      </c>
      <c r="C188" s="16">
        <v>13</v>
      </c>
      <c r="D188" s="17" t="s">
        <v>533</v>
      </c>
      <c r="E188" s="17" t="s">
        <v>534</v>
      </c>
      <c r="F188" s="17">
        <v>103</v>
      </c>
      <c r="G188" s="17">
        <v>2094</v>
      </c>
      <c r="H188" s="17">
        <v>91</v>
      </c>
      <c r="I188" s="17">
        <v>5638</v>
      </c>
      <c r="J188" s="17">
        <v>115.5</v>
      </c>
      <c r="K188" s="17">
        <v>849</v>
      </c>
      <c r="L188" s="17">
        <v>53.5</v>
      </c>
      <c r="M188" s="17">
        <v>3296</v>
      </c>
      <c r="N188" s="17"/>
      <c r="O188" s="17"/>
      <c r="P188" s="17"/>
      <c r="Q188" s="17"/>
      <c r="R188" s="17">
        <v>76</v>
      </c>
      <c r="S188" s="17">
        <v>3491</v>
      </c>
      <c r="T188" s="17"/>
      <c r="U188" s="17"/>
      <c r="V188" s="17">
        <v>86</v>
      </c>
      <c r="W188" s="17">
        <v>439</v>
      </c>
      <c r="X188" s="15">
        <v>309.5</v>
      </c>
      <c r="Y188" s="17">
        <v>197</v>
      </c>
      <c r="Z188" s="17">
        <v>525</v>
      </c>
      <c r="AA188" s="17">
        <v>2137</v>
      </c>
      <c r="AB188" s="12">
        <f t="shared" si="2"/>
        <v>186</v>
      </c>
    </row>
    <row r="189" ht="14.25" spans="1:28">
      <c r="A189" s="13">
        <v>368</v>
      </c>
      <c r="B189" s="15">
        <v>8</v>
      </c>
      <c r="C189" s="16">
        <v>42</v>
      </c>
      <c r="D189" s="17" t="s">
        <v>746</v>
      </c>
      <c r="E189" s="17" t="s">
        <v>747</v>
      </c>
      <c r="F189" s="17">
        <v>100.5</v>
      </c>
      <c r="G189" s="17">
        <v>3131</v>
      </c>
      <c r="H189" s="17">
        <v>111.5</v>
      </c>
      <c r="I189" s="17">
        <v>1692</v>
      </c>
      <c r="J189" s="17">
        <v>72</v>
      </c>
      <c r="K189" s="17">
        <v>9847</v>
      </c>
      <c r="L189" s="17">
        <v>67</v>
      </c>
      <c r="M189" s="17">
        <v>1188</v>
      </c>
      <c r="N189" s="17"/>
      <c r="O189" s="17"/>
      <c r="P189" s="17">
        <v>86</v>
      </c>
      <c r="Q189" s="17">
        <v>1052</v>
      </c>
      <c r="R189" s="17">
        <v>88</v>
      </c>
      <c r="S189" s="17">
        <v>601</v>
      </c>
      <c r="T189" s="17"/>
      <c r="U189" s="17"/>
      <c r="V189" s="17"/>
      <c r="W189" s="17"/>
      <c r="X189" s="15">
        <v>284</v>
      </c>
      <c r="Y189" s="17">
        <v>408</v>
      </c>
      <c r="Z189" s="17">
        <v>525</v>
      </c>
      <c r="AA189" s="17">
        <v>2137</v>
      </c>
      <c r="AB189" s="12">
        <f t="shared" si="2"/>
        <v>186</v>
      </c>
    </row>
    <row r="190" ht="14.25" spans="1:28">
      <c r="A190" s="13">
        <v>522</v>
      </c>
      <c r="B190" s="15">
        <v>11</v>
      </c>
      <c r="C190" s="16">
        <v>27</v>
      </c>
      <c r="D190" s="17" t="s">
        <v>1054</v>
      </c>
      <c r="E190" s="17" t="s">
        <v>1055</v>
      </c>
      <c r="F190" s="17">
        <v>116</v>
      </c>
      <c r="G190" s="17">
        <v>48</v>
      </c>
      <c r="H190" s="17">
        <v>101</v>
      </c>
      <c r="I190" s="17">
        <v>3563</v>
      </c>
      <c r="J190" s="17">
        <v>99.5</v>
      </c>
      <c r="K190" s="17">
        <v>3134</v>
      </c>
      <c r="L190" s="17">
        <v>35.5</v>
      </c>
      <c r="M190" s="17">
        <v>7589</v>
      </c>
      <c r="N190" s="17"/>
      <c r="O190" s="17"/>
      <c r="P190" s="17">
        <v>87</v>
      </c>
      <c r="Q190" s="17">
        <v>681</v>
      </c>
      <c r="R190" s="17">
        <v>86</v>
      </c>
      <c r="S190" s="17">
        <v>1176</v>
      </c>
      <c r="T190" s="17"/>
      <c r="U190" s="17"/>
      <c r="V190" s="17"/>
      <c r="W190" s="17"/>
      <c r="X190" s="15">
        <v>316.5</v>
      </c>
      <c r="Y190" s="17">
        <v>142</v>
      </c>
      <c r="Z190" s="17">
        <v>525</v>
      </c>
      <c r="AA190" s="17">
        <v>2137</v>
      </c>
      <c r="AB190" s="12">
        <f t="shared" si="2"/>
        <v>186</v>
      </c>
    </row>
    <row r="191" ht="14.25" spans="1:28">
      <c r="A191" s="13">
        <v>658</v>
      </c>
      <c r="B191" s="15">
        <v>13</v>
      </c>
      <c r="C191" s="16">
        <v>52</v>
      </c>
      <c r="D191" s="17" t="s">
        <v>1323</v>
      </c>
      <c r="E191" s="17" t="s">
        <v>1324</v>
      </c>
      <c r="F191" s="17">
        <v>103</v>
      </c>
      <c r="G191" s="17">
        <v>2094</v>
      </c>
      <c r="H191" s="17">
        <v>101.5</v>
      </c>
      <c r="I191" s="17">
        <v>3477</v>
      </c>
      <c r="J191" s="17">
        <v>93.5</v>
      </c>
      <c r="K191" s="17">
        <v>4431</v>
      </c>
      <c r="L191" s="17">
        <v>66</v>
      </c>
      <c r="M191" s="17">
        <v>1304</v>
      </c>
      <c r="N191" s="17"/>
      <c r="O191" s="17"/>
      <c r="P191" s="17">
        <v>74</v>
      </c>
      <c r="Q191" s="17">
        <v>4168</v>
      </c>
      <c r="R191" s="17">
        <v>87</v>
      </c>
      <c r="S191" s="17">
        <v>883</v>
      </c>
      <c r="T191" s="17"/>
      <c r="U191" s="17"/>
      <c r="V191" s="17"/>
      <c r="W191" s="17"/>
      <c r="X191" s="15">
        <v>298</v>
      </c>
      <c r="Y191" s="17">
        <v>293</v>
      </c>
      <c r="Z191" s="17">
        <v>525</v>
      </c>
      <c r="AA191" s="17">
        <v>2137</v>
      </c>
      <c r="AB191" s="12">
        <f t="shared" si="2"/>
        <v>186</v>
      </c>
    </row>
    <row r="192" ht="14.25" spans="1:28">
      <c r="A192" s="13">
        <v>95</v>
      </c>
      <c r="B192" s="15">
        <v>2</v>
      </c>
      <c r="C192" s="16">
        <v>32</v>
      </c>
      <c r="D192" s="17" t="s">
        <v>203</v>
      </c>
      <c r="E192" s="17" t="s">
        <v>204</v>
      </c>
      <c r="F192" s="17">
        <v>96</v>
      </c>
      <c r="G192" s="17">
        <v>5544</v>
      </c>
      <c r="H192" s="17">
        <v>102.5</v>
      </c>
      <c r="I192" s="17">
        <v>3278</v>
      </c>
      <c r="J192" s="17">
        <v>94.75</v>
      </c>
      <c r="K192" s="17">
        <v>4171</v>
      </c>
      <c r="L192" s="17">
        <v>64.5</v>
      </c>
      <c r="M192" s="17">
        <v>1506</v>
      </c>
      <c r="N192" s="17"/>
      <c r="O192" s="17"/>
      <c r="P192" s="17"/>
      <c r="Q192" s="17"/>
      <c r="R192" s="17">
        <v>89</v>
      </c>
      <c r="S192" s="17">
        <v>415</v>
      </c>
      <c r="T192" s="17">
        <v>78</v>
      </c>
      <c r="U192" s="17">
        <v>1013</v>
      </c>
      <c r="V192" s="17"/>
      <c r="W192" s="17"/>
      <c r="X192" s="15">
        <v>293.25</v>
      </c>
      <c r="Y192" s="17">
        <v>334</v>
      </c>
      <c r="Z192" s="17">
        <v>524.75</v>
      </c>
      <c r="AA192" s="17">
        <v>2160</v>
      </c>
      <c r="AB192" s="12">
        <f t="shared" si="2"/>
        <v>190</v>
      </c>
    </row>
    <row r="193" ht="14.25" spans="1:28">
      <c r="A193" s="13">
        <v>140</v>
      </c>
      <c r="B193" s="15">
        <v>3</v>
      </c>
      <c r="C193" s="16">
        <v>29</v>
      </c>
      <c r="D193" s="17" t="s">
        <v>293</v>
      </c>
      <c r="E193" s="17" t="s">
        <v>294</v>
      </c>
      <c r="F193" s="17">
        <v>100</v>
      </c>
      <c r="G193" s="17">
        <v>3368</v>
      </c>
      <c r="H193" s="17">
        <v>117</v>
      </c>
      <c r="I193" s="17">
        <v>975</v>
      </c>
      <c r="J193" s="17">
        <v>70.75</v>
      </c>
      <c r="K193" s="17">
        <v>10151</v>
      </c>
      <c r="L193" s="17">
        <v>64</v>
      </c>
      <c r="M193" s="17">
        <v>1577</v>
      </c>
      <c r="N193" s="17"/>
      <c r="O193" s="17"/>
      <c r="P193" s="17">
        <v>85</v>
      </c>
      <c r="Q193" s="17">
        <v>1345</v>
      </c>
      <c r="R193" s="17"/>
      <c r="S193" s="17"/>
      <c r="T193" s="17"/>
      <c r="U193" s="17"/>
      <c r="V193" s="17">
        <v>88</v>
      </c>
      <c r="W193" s="17">
        <v>165</v>
      </c>
      <c r="X193" s="15">
        <v>287.75</v>
      </c>
      <c r="Y193" s="17">
        <v>380</v>
      </c>
      <c r="Z193" s="17">
        <v>524.75</v>
      </c>
      <c r="AA193" s="17">
        <v>2160</v>
      </c>
      <c r="AB193" s="12">
        <f t="shared" si="2"/>
        <v>190</v>
      </c>
    </row>
    <row r="194" ht="14.25" spans="1:28">
      <c r="A194" s="13">
        <v>87</v>
      </c>
      <c r="B194" s="15">
        <v>2</v>
      </c>
      <c r="C194" s="16">
        <v>24</v>
      </c>
      <c r="D194" s="17" t="s">
        <v>187</v>
      </c>
      <c r="E194" s="17" t="s">
        <v>188</v>
      </c>
      <c r="F194" s="17">
        <v>107</v>
      </c>
      <c r="G194" s="17">
        <v>945</v>
      </c>
      <c r="H194" s="17">
        <v>92</v>
      </c>
      <c r="I194" s="17">
        <v>5417</v>
      </c>
      <c r="J194" s="17">
        <v>97</v>
      </c>
      <c r="K194" s="17">
        <v>3649</v>
      </c>
      <c r="L194" s="17">
        <v>60.5</v>
      </c>
      <c r="M194" s="17">
        <v>2106</v>
      </c>
      <c r="N194" s="17"/>
      <c r="O194" s="17"/>
      <c r="P194" s="17"/>
      <c r="Q194" s="17"/>
      <c r="R194" s="17">
        <v>78</v>
      </c>
      <c r="S194" s="17">
        <v>2906</v>
      </c>
      <c r="T194" s="17">
        <v>90</v>
      </c>
      <c r="U194" s="17">
        <v>46</v>
      </c>
      <c r="V194" s="17"/>
      <c r="W194" s="17"/>
      <c r="X194" s="15">
        <v>296</v>
      </c>
      <c r="Y194" s="17">
        <v>307</v>
      </c>
      <c r="Z194" s="17">
        <v>524.5</v>
      </c>
      <c r="AA194" s="17">
        <v>2164</v>
      </c>
      <c r="AB194" s="12">
        <f t="shared" si="2"/>
        <v>192</v>
      </c>
    </row>
    <row r="195" ht="14.25" spans="1:28">
      <c r="A195" s="13">
        <v>149</v>
      </c>
      <c r="B195" s="15">
        <v>3</v>
      </c>
      <c r="C195" s="16">
        <v>38</v>
      </c>
      <c r="D195" s="17" t="s">
        <v>311</v>
      </c>
      <c r="E195" s="17" t="s">
        <v>312</v>
      </c>
      <c r="F195" s="17">
        <v>96.5</v>
      </c>
      <c r="G195" s="17">
        <v>5262</v>
      </c>
      <c r="H195" s="17">
        <v>113.5</v>
      </c>
      <c r="I195" s="17">
        <v>1397</v>
      </c>
      <c r="J195" s="17">
        <v>110.5</v>
      </c>
      <c r="K195" s="17">
        <v>1398</v>
      </c>
      <c r="L195" s="17">
        <v>46</v>
      </c>
      <c r="M195" s="17">
        <v>4785</v>
      </c>
      <c r="N195" s="17"/>
      <c r="O195" s="17"/>
      <c r="P195" s="17">
        <v>80</v>
      </c>
      <c r="Q195" s="17">
        <v>2333</v>
      </c>
      <c r="R195" s="17"/>
      <c r="S195" s="17"/>
      <c r="T195" s="17"/>
      <c r="U195" s="17"/>
      <c r="V195" s="17">
        <v>78</v>
      </c>
      <c r="W195" s="17">
        <v>1218</v>
      </c>
      <c r="X195" s="15">
        <v>320.5</v>
      </c>
      <c r="Y195" s="17">
        <v>112</v>
      </c>
      <c r="Z195" s="17">
        <v>524.5</v>
      </c>
      <c r="AA195" s="17">
        <v>2164</v>
      </c>
      <c r="AB195" s="12">
        <f t="shared" ref="AB195:AB258" si="3">RANK(Z195,$Z$3:$Z$696)</f>
        <v>192</v>
      </c>
    </row>
    <row r="196" ht="14.25" spans="1:28">
      <c r="A196" s="13">
        <v>534</v>
      </c>
      <c r="B196" s="15">
        <v>11</v>
      </c>
      <c r="C196" s="16">
        <v>40</v>
      </c>
      <c r="D196" s="17" t="s">
        <v>1077</v>
      </c>
      <c r="E196" s="17" t="s">
        <v>1078</v>
      </c>
      <c r="F196" s="17">
        <v>97.5</v>
      </c>
      <c r="G196" s="17">
        <v>4695</v>
      </c>
      <c r="H196" s="17">
        <v>113</v>
      </c>
      <c r="I196" s="17">
        <v>1467</v>
      </c>
      <c r="J196" s="17">
        <v>96.5</v>
      </c>
      <c r="K196" s="17">
        <v>3746</v>
      </c>
      <c r="L196" s="17">
        <v>71.5</v>
      </c>
      <c r="M196" s="17">
        <v>714</v>
      </c>
      <c r="N196" s="17"/>
      <c r="O196" s="17"/>
      <c r="P196" s="17">
        <v>80</v>
      </c>
      <c r="Q196" s="17">
        <v>2333</v>
      </c>
      <c r="R196" s="17">
        <v>66</v>
      </c>
      <c r="S196" s="17">
        <v>6674</v>
      </c>
      <c r="T196" s="17"/>
      <c r="U196" s="17"/>
      <c r="V196" s="17"/>
      <c r="W196" s="17"/>
      <c r="X196" s="15">
        <v>307</v>
      </c>
      <c r="Y196" s="17">
        <v>221</v>
      </c>
      <c r="Z196" s="17">
        <v>524.5</v>
      </c>
      <c r="AA196" s="17">
        <v>2164</v>
      </c>
      <c r="AB196" s="12">
        <f t="shared" si="3"/>
        <v>192</v>
      </c>
    </row>
    <row r="197" ht="14.25" spans="1:28">
      <c r="A197" s="13">
        <v>612</v>
      </c>
      <c r="B197" s="15">
        <v>13</v>
      </c>
      <c r="C197" s="16">
        <v>3</v>
      </c>
      <c r="D197" s="17" t="s">
        <v>1232</v>
      </c>
      <c r="E197" s="17" t="s">
        <v>1233</v>
      </c>
      <c r="F197" s="17">
        <v>95</v>
      </c>
      <c r="G197" s="17">
        <v>6168</v>
      </c>
      <c r="H197" s="17">
        <v>117</v>
      </c>
      <c r="I197" s="17">
        <v>975</v>
      </c>
      <c r="J197" s="17">
        <v>87</v>
      </c>
      <c r="K197" s="17">
        <v>5999</v>
      </c>
      <c r="L197" s="17">
        <v>66.5</v>
      </c>
      <c r="M197" s="17">
        <v>1237</v>
      </c>
      <c r="N197" s="17"/>
      <c r="O197" s="17"/>
      <c r="P197" s="17">
        <v>73</v>
      </c>
      <c r="Q197" s="17">
        <v>4501</v>
      </c>
      <c r="R197" s="17">
        <v>86</v>
      </c>
      <c r="S197" s="17">
        <v>1176</v>
      </c>
      <c r="T197" s="17"/>
      <c r="U197" s="17"/>
      <c r="V197" s="17"/>
      <c r="W197" s="17"/>
      <c r="X197" s="15">
        <v>299</v>
      </c>
      <c r="Y197" s="17">
        <v>284</v>
      </c>
      <c r="Z197" s="17">
        <v>524.5</v>
      </c>
      <c r="AA197" s="17">
        <v>2164</v>
      </c>
      <c r="AB197" s="12">
        <f t="shared" si="3"/>
        <v>192</v>
      </c>
    </row>
    <row r="198" ht="14.25" spans="1:28">
      <c r="A198" s="13">
        <v>209</v>
      </c>
      <c r="B198" s="15">
        <v>5</v>
      </c>
      <c r="C198" s="16">
        <v>6</v>
      </c>
      <c r="D198" s="17" t="s">
        <v>431</v>
      </c>
      <c r="E198" s="17" t="s">
        <v>432</v>
      </c>
      <c r="F198" s="17">
        <v>88</v>
      </c>
      <c r="G198" s="17">
        <v>10604</v>
      </c>
      <c r="H198" s="17">
        <v>116</v>
      </c>
      <c r="I198" s="17">
        <v>1095</v>
      </c>
      <c r="J198" s="17">
        <v>116.25</v>
      </c>
      <c r="K198" s="17">
        <v>797</v>
      </c>
      <c r="L198" s="17">
        <v>53</v>
      </c>
      <c r="M198" s="17">
        <v>3368</v>
      </c>
      <c r="N198" s="17"/>
      <c r="O198" s="17"/>
      <c r="P198" s="17">
        <v>78</v>
      </c>
      <c r="Q198" s="17">
        <v>2908</v>
      </c>
      <c r="R198" s="17"/>
      <c r="S198" s="17"/>
      <c r="T198" s="17"/>
      <c r="U198" s="17"/>
      <c r="V198" s="17">
        <v>73</v>
      </c>
      <c r="W198" s="17">
        <v>1853</v>
      </c>
      <c r="X198" s="15">
        <v>320.25</v>
      </c>
      <c r="Y198" s="17">
        <v>114</v>
      </c>
      <c r="Z198" s="17">
        <v>524.25</v>
      </c>
      <c r="AA198" s="17">
        <v>2179</v>
      </c>
      <c r="AB198" s="12">
        <f t="shared" si="3"/>
        <v>196</v>
      </c>
    </row>
    <row r="199" ht="14.25" spans="1:28">
      <c r="A199" s="13">
        <v>301</v>
      </c>
      <c r="B199" s="15">
        <v>7</v>
      </c>
      <c r="C199" s="16">
        <v>12</v>
      </c>
      <c r="D199" s="17" t="s">
        <v>613</v>
      </c>
      <c r="E199" s="17" t="s">
        <v>614</v>
      </c>
      <c r="F199" s="17">
        <v>100</v>
      </c>
      <c r="G199" s="17">
        <v>3368</v>
      </c>
      <c r="H199" s="17">
        <v>107.5</v>
      </c>
      <c r="I199" s="17">
        <v>2373</v>
      </c>
      <c r="J199" s="17">
        <v>84.75</v>
      </c>
      <c r="K199" s="17">
        <v>6579</v>
      </c>
      <c r="L199" s="17">
        <v>67</v>
      </c>
      <c r="M199" s="17">
        <v>1188</v>
      </c>
      <c r="N199" s="17"/>
      <c r="O199" s="17"/>
      <c r="P199" s="17"/>
      <c r="Q199" s="17"/>
      <c r="R199" s="17">
        <v>74</v>
      </c>
      <c r="S199" s="17">
        <v>4119</v>
      </c>
      <c r="T199" s="17"/>
      <c r="U199" s="17"/>
      <c r="V199" s="17">
        <v>91</v>
      </c>
      <c r="W199" s="17">
        <v>15</v>
      </c>
      <c r="X199" s="15">
        <v>292.25</v>
      </c>
      <c r="Y199" s="17">
        <v>347</v>
      </c>
      <c r="Z199" s="17">
        <v>524.25</v>
      </c>
      <c r="AA199" s="17">
        <v>2179</v>
      </c>
      <c r="AB199" s="12">
        <f t="shared" si="3"/>
        <v>196</v>
      </c>
    </row>
    <row r="200" ht="14.25" spans="1:28">
      <c r="A200" s="13">
        <v>397</v>
      </c>
      <c r="B200" s="15">
        <v>9</v>
      </c>
      <c r="C200" s="16">
        <v>12</v>
      </c>
      <c r="D200" s="17" t="s">
        <v>804</v>
      </c>
      <c r="E200" s="17" t="s">
        <v>805</v>
      </c>
      <c r="F200" s="17">
        <v>94</v>
      </c>
      <c r="G200" s="17">
        <v>6811</v>
      </c>
      <c r="H200" s="17">
        <v>121</v>
      </c>
      <c r="I200" s="17">
        <v>621</v>
      </c>
      <c r="J200" s="17">
        <v>102.75</v>
      </c>
      <c r="K200" s="17">
        <v>2584</v>
      </c>
      <c r="L200" s="17">
        <v>55.5</v>
      </c>
      <c r="M200" s="17">
        <v>2964</v>
      </c>
      <c r="N200" s="17"/>
      <c r="O200" s="17"/>
      <c r="P200" s="17">
        <v>60</v>
      </c>
      <c r="Q200" s="17">
        <v>8673</v>
      </c>
      <c r="R200" s="17">
        <v>91</v>
      </c>
      <c r="S200" s="17">
        <v>151</v>
      </c>
      <c r="T200" s="17"/>
      <c r="U200" s="17"/>
      <c r="V200" s="17"/>
      <c r="W200" s="17"/>
      <c r="X200" s="15">
        <v>317.75</v>
      </c>
      <c r="Y200" s="17">
        <v>133</v>
      </c>
      <c r="Z200" s="17">
        <v>524.25</v>
      </c>
      <c r="AA200" s="17">
        <v>2179</v>
      </c>
      <c r="AB200" s="12">
        <f t="shared" si="3"/>
        <v>196</v>
      </c>
    </row>
    <row r="201" ht="14.25" spans="1:28">
      <c r="A201" s="13">
        <v>413</v>
      </c>
      <c r="B201" s="15">
        <v>9</v>
      </c>
      <c r="C201" s="16">
        <v>29</v>
      </c>
      <c r="D201" s="17" t="s">
        <v>836</v>
      </c>
      <c r="E201" s="17" t="s">
        <v>837</v>
      </c>
      <c r="F201" s="17">
        <v>93.5</v>
      </c>
      <c r="G201" s="17">
        <v>7127</v>
      </c>
      <c r="H201" s="17">
        <v>116</v>
      </c>
      <c r="I201" s="17">
        <v>1095</v>
      </c>
      <c r="J201" s="17">
        <v>104</v>
      </c>
      <c r="K201" s="17">
        <v>2352</v>
      </c>
      <c r="L201" s="17">
        <v>65.5</v>
      </c>
      <c r="M201" s="17">
        <v>1373</v>
      </c>
      <c r="N201" s="17"/>
      <c r="O201" s="17"/>
      <c r="P201" s="17">
        <v>69</v>
      </c>
      <c r="Q201" s="17">
        <v>5655</v>
      </c>
      <c r="R201" s="17">
        <v>76</v>
      </c>
      <c r="S201" s="17">
        <v>3491</v>
      </c>
      <c r="T201" s="17"/>
      <c r="U201" s="17"/>
      <c r="V201" s="17"/>
      <c r="W201" s="17"/>
      <c r="X201" s="15">
        <v>313.5</v>
      </c>
      <c r="Y201" s="17">
        <v>164</v>
      </c>
      <c r="Z201" s="17">
        <v>524</v>
      </c>
      <c r="AA201" s="17">
        <v>2187</v>
      </c>
      <c r="AB201" s="12">
        <f t="shared" si="3"/>
        <v>199</v>
      </c>
    </row>
    <row r="202" ht="14.25" spans="1:28">
      <c r="A202" s="13">
        <v>173</v>
      </c>
      <c r="B202" s="15">
        <v>4</v>
      </c>
      <c r="C202" s="16">
        <v>14</v>
      </c>
      <c r="D202" s="17" t="s">
        <v>359</v>
      </c>
      <c r="E202" s="17" t="s">
        <v>360</v>
      </c>
      <c r="F202" s="17">
        <v>106.5</v>
      </c>
      <c r="G202" s="17">
        <v>1059</v>
      </c>
      <c r="H202" s="17">
        <v>106</v>
      </c>
      <c r="I202" s="17">
        <v>2619</v>
      </c>
      <c r="J202" s="17">
        <v>109.5</v>
      </c>
      <c r="K202" s="17">
        <v>1527</v>
      </c>
      <c r="L202" s="17">
        <v>43.5</v>
      </c>
      <c r="M202" s="17">
        <v>5353</v>
      </c>
      <c r="N202" s="17"/>
      <c r="O202" s="17"/>
      <c r="P202" s="17">
        <v>69</v>
      </c>
      <c r="Q202" s="17">
        <v>5655</v>
      </c>
      <c r="R202" s="17"/>
      <c r="S202" s="17"/>
      <c r="T202" s="17"/>
      <c r="U202" s="17"/>
      <c r="V202" s="17">
        <v>89</v>
      </c>
      <c r="W202" s="17">
        <v>100</v>
      </c>
      <c r="X202" s="15">
        <v>322</v>
      </c>
      <c r="Y202" s="17">
        <v>104</v>
      </c>
      <c r="Z202" s="17">
        <v>523.5</v>
      </c>
      <c r="AA202" s="17">
        <v>2215</v>
      </c>
      <c r="AB202" s="12">
        <f t="shared" si="3"/>
        <v>200</v>
      </c>
    </row>
    <row r="203" ht="14.25" spans="1:28">
      <c r="A203" s="13">
        <v>476</v>
      </c>
      <c r="B203" s="15">
        <v>10</v>
      </c>
      <c r="C203" s="16">
        <v>37</v>
      </c>
      <c r="D203" s="17" t="s">
        <v>962</v>
      </c>
      <c r="E203" s="17" t="s">
        <v>963</v>
      </c>
      <c r="F203" s="17">
        <v>93.5</v>
      </c>
      <c r="G203" s="17">
        <v>7127</v>
      </c>
      <c r="H203" s="17">
        <v>106</v>
      </c>
      <c r="I203" s="17">
        <v>2619</v>
      </c>
      <c r="J203" s="17">
        <v>91.25</v>
      </c>
      <c r="K203" s="17">
        <v>4978</v>
      </c>
      <c r="L203" s="17">
        <v>59.5</v>
      </c>
      <c r="M203" s="17">
        <v>2274</v>
      </c>
      <c r="N203" s="17"/>
      <c r="O203" s="17"/>
      <c r="P203" s="17">
        <v>83</v>
      </c>
      <c r="Q203" s="17">
        <v>1643</v>
      </c>
      <c r="R203" s="17">
        <v>90</v>
      </c>
      <c r="S203" s="17">
        <v>255</v>
      </c>
      <c r="T203" s="17"/>
      <c r="U203" s="17"/>
      <c r="V203" s="17"/>
      <c r="W203" s="17"/>
      <c r="X203" s="15">
        <v>290.75</v>
      </c>
      <c r="Y203" s="17">
        <v>361</v>
      </c>
      <c r="Z203" s="17">
        <v>523.25</v>
      </c>
      <c r="AA203" s="17">
        <v>2235</v>
      </c>
      <c r="AB203" s="12">
        <f t="shared" si="3"/>
        <v>201</v>
      </c>
    </row>
    <row r="204" ht="14.25" spans="1:28">
      <c r="A204" s="13">
        <v>176</v>
      </c>
      <c r="B204" s="15">
        <v>4</v>
      </c>
      <c r="C204" s="16">
        <v>17</v>
      </c>
      <c r="D204" s="17" t="s">
        <v>365</v>
      </c>
      <c r="E204" s="17" t="s">
        <v>366</v>
      </c>
      <c r="F204" s="17">
        <v>89.5</v>
      </c>
      <c r="G204" s="17">
        <v>9648</v>
      </c>
      <c r="H204" s="17">
        <v>118</v>
      </c>
      <c r="I204" s="17">
        <v>885</v>
      </c>
      <c r="J204" s="17">
        <v>98</v>
      </c>
      <c r="K204" s="17">
        <v>3454</v>
      </c>
      <c r="L204" s="17">
        <v>52.5</v>
      </c>
      <c r="M204" s="17">
        <v>3470</v>
      </c>
      <c r="N204" s="17"/>
      <c r="O204" s="17"/>
      <c r="P204" s="17">
        <v>78</v>
      </c>
      <c r="Q204" s="17">
        <v>2908</v>
      </c>
      <c r="R204" s="17"/>
      <c r="S204" s="17"/>
      <c r="T204" s="17"/>
      <c r="U204" s="17"/>
      <c r="V204" s="17">
        <v>87</v>
      </c>
      <c r="W204" s="17">
        <v>273</v>
      </c>
      <c r="X204" s="15">
        <v>305.5</v>
      </c>
      <c r="Y204" s="17">
        <v>233</v>
      </c>
      <c r="Z204" s="17">
        <v>523</v>
      </c>
      <c r="AA204" s="17">
        <v>2242</v>
      </c>
      <c r="AB204" s="12">
        <f t="shared" si="3"/>
        <v>202</v>
      </c>
    </row>
    <row r="205" ht="14.25" spans="1:28">
      <c r="A205" s="13">
        <v>412</v>
      </c>
      <c r="B205" s="15">
        <v>9</v>
      </c>
      <c r="C205" s="16">
        <v>28</v>
      </c>
      <c r="D205" s="17" t="s">
        <v>834</v>
      </c>
      <c r="E205" s="17" t="s">
        <v>835</v>
      </c>
      <c r="F205" s="17">
        <v>102.5</v>
      </c>
      <c r="G205" s="17">
        <v>2274</v>
      </c>
      <c r="H205" s="17">
        <v>87</v>
      </c>
      <c r="I205" s="17">
        <v>6532</v>
      </c>
      <c r="J205" s="17">
        <v>82</v>
      </c>
      <c r="K205" s="17">
        <v>7249</v>
      </c>
      <c r="L205" s="17">
        <v>68.5</v>
      </c>
      <c r="M205" s="17">
        <v>1014</v>
      </c>
      <c r="N205" s="17"/>
      <c r="O205" s="17"/>
      <c r="P205" s="17">
        <v>90</v>
      </c>
      <c r="Q205" s="17">
        <v>119</v>
      </c>
      <c r="R205" s="17">
        <v>93</v>
      </c>
      <c r="S205" s="17">
        <v>50</v>
      </c>
      <c r="T205" s="17"/>
      <c r="U205" s="17"/>
      <c r="V205" s="17"/>
      <c r="W205" s="17"/>
      <c r="X205" s="15">
        <v>271.5</v>
      </c>
      <c r="Y205" s="17">
        <v>518</v>
      </c>
      <c r="Z205" s="17">
        <v>523</v>
      </c>
      <c r="AA205" s="17">
        <v>2242</v>
      </c>
      <c r="AB205" s="12">
        <f t="shared" si="3"/>
        <v>202</v>
      </c>
    </row>
    <row r="206" ht="14.25" spans="1:28">
      <c r="A206" s="13">
        <v>660</v>
      </c>
      <c r="B206" s="15">
        <v>13</v>
      </c>
      <c r="C206" s="16">
        <v>54</v>
      </c>
      <c r="D206" s="17" t="s">
        <v>1326</v>
      </c>
      <c r="E206" s="17" t="s">
        <v>1327</v>
      </c>
      <c r="F206" s="17">
        <v>97</v>
      </c>
      <c r="G206" s="17">
        <v>4967</v>
      </c>
      <c r="H206" s="17">
        <v>113.5</v>
      </c>
      <c r="I206" s="17">
        <v>1397</v>
      </c>
      <c r="J206" s="17">
        <v>94.25</v>
      </c>
      <c r="K206" s="17">
        <v>4296</v>
      </c>
      <c r="L206" s="17">
        <v>55</v>
      </c>
      <c r="M206" s="17">
        <v>3031</v>
      </c>
      <c r="N206" s="17"/>
      <c r="O206" s="17"/>
      <c r="P206" s="17">
        <v>80</v>
      </c>
      <c r="Q206" s="17">
        <v>2333</v>
      </c>
      <c r="R206" s="17">
        <v>83</v>
      </c>
      <c r="S206" s="17">
        <v>1715</v>
      </c>
      <c r="T206" s="17"/>
      <c r="U206" s="17"/>
      <c r="V206" s="17"/>
      <c r="W206" s="17"/>
      <c r="X206" s="15">
        <v>304.75</v>
      </c>
      <c r="Y206" s="17">
        <v>238</v>
      </c>
      <c r="Z206" s="17">
        <v>522.75</v>
      </c>
      <c r="AA206" s="17">
        <v>2255</v>
      </c>
      <c r="AB206" s="12">
        <f t="shared" si="3"/>
        <v>204</v>
      </c>
    </row>
    <row r="207" ht="14.25" spans="1:28">
      <c r="A207" s="13">
        <v>519</v>
      </c>
      <c r="B207" s="15">
        <v>11</v>
      </c>
      <c r="C207" s="16">
        <v>24</v>
      </c>
      <c r="D207" s="17" t="s">
        <v>1048</v>
      </c>
      <c r="E207" s="17" t="s">
        <v>1049</v>
      </c>
      <c r="F207" s="17">
        <v>99.5</v>
      </c>
      <c r="G207" s="17">
        <v>3607</v>
      </c>
      <c r="H207" s="17">
        <v>108</v>
      </c>
      <c r="I207" s="17">
        <v>2274</v>
      </c>
      <c r="J207" s="17">
        <v>103</v>
      </c>
      <c r="K207" s="17">
        <v>2527</v>
      </c>
      <c r="L207" s="17">
        <v>51</v>
      </c>
      <c r="M207" s="17">
        <v>3730</v>
      </c>
      <c r="N207" s="17"/>
      <c r="O207" s="17"/>
      <c r="P207" s="17">
        <v>84</v>
      </c>
      <c r="Q207" s="17">
        <v>1443</v>
      </c>
      <c r="R207" s="17">
        <v>77</v>
      </c>
      <c r="S207" s="17">
        <v>3183</v>
      </c>
      <c r="T207" s="17"/>
      <c r="U207" s="17"/>
      <c r="V207" s="17"/>
      <c r="W207" s="17"/>
      <c r="X207" s="15">
        <v>310.5</v>
      </c>
      <c r="Y207" s="17">
        <v>187</v>
      </c>
      <c r="Z207" s="17">
        <v>522.5</v>
      </c>
      <c r="AA207" s="17">
        <v>2264</v>
      </c>
      <c r="AB207" s="12">
        <f t="shared" si="3"/>
        <v>205</v>
      </c>
    </row>
    <row r="208" ht="14.25" spans="1:28">
      <c r="A208" s="13">
        <v>34</v>
      </c>
      <c r="B208" s="15">
        <v>1</v>
      </c>
      <c r="C208" s="16">
        <v>36</v>
      </c>
      <c r="D208" s="17" t="s">
        <v>82</v>
      </c>
      <c r="E208" s="17" t="s">
        <v>83</v>
      </c>
      <c r="F208" s="17">
        <v>105.5</v>
      </c>
      <c r="G208" s="17">
        <v>1281</v>
      </c>
      <c r="H208" s="17">
        <v>102.5</v>
      </c>
      <c r="I208" s="17">
        <v>3278</v>
      </c>
      <c r="J208" s="17">
        <v>102</v>
      </c>
      <c r="K208" s="17">
        <v>2685</v>
      </c>
      <c r="L208" s="17">
        <v>49</v>
      </c>
      <c r="M208" s="17">
        <v>4146</v>
      </c>
      <c r="N208" s="17"/>
      <c r="O208" s="17"/>
      <c r="P208" s="17">
        <v>80</v>
      </c>
      <c r="Q208" s="17">
        <v>2333</v>
      </c>
      <c r="R208" s="17"/>
      <c r="S208" s="17"/>
      <c r="T208" s="17">
        <v>83</v>
      </c>
      <c r="U208" s="17">
        <v>561</v>
      </c>
      <c r="V208" s="17"/>
      <c r="W208" s="17"/>
      <c r="X208" s="15">
        <v>310</v>
      </c>
      <c r="Y208" s="17">
        <v>193</v>
      </c>
      <c r="Z208" s="17">
        <v>522</v>
      </c>
      <c r="AA208" s="17">
        <v>2281</v>
      </c>
      <c r="AB208" s="12">
        <f t="shared" si="3"/>
        <v>206</v>
      </c>
    </row>
    <row r="209" ht="14.25" spans="1:28">
      <c r="A209" s="13">
        <v>265</v>
      </c>
      <c r="B209" s="15">
        <v>6</v>
      </c>
      <c r="C209" s="16">
        <v>17</v>
      </c>
      <c r="D209" s="17" t="s">
        <v>541</v>
      </c>
      <c r="E209" s="17" t="s">
        <v>542</v>
      </c>
      <c r="F209" s="17">
        <v>91</v>
      </c>
      <c r="G209" s="17">
        <v>8620</v>
      </c>
      <c r="H209" s="17">
        <v>97.5</v>
      </c>
      <c r="I209" s="17">
        <v>4244</v>
      </c>
      <c r="J209" s="17">
        <v>89.5</v>
      </c>
      <c r="K209" s="17">
        <v>5383</v>
      </c>
      <c r="L209" s="17">
        <v>80</v>
      </c>
      <c r="M209" s="17">
        <v>151</v>
      </c>
      <c r="N209" s="17"/>
      <c r="O209" s="17"/>
      <c r="P209" s="17"/>
      <c r="Q209" s="17"/>
      <c r="R209" s="17">
        <v>84</v>
      </c>
      <c r="S209" s="17">
        <v>1490</v>
      </c>
      <c r="T209" s="17"/>
      <c r="U209" s="17"/>
      <c r="V209" s="17">
        <v>80</v>
      </c>
      <c r="W209" s="17">
        <v>938</v>
      </c>
      <c r="X209" s="15">
        <v>278</v>
      </c>
      <c r="Y209" s="17">
        <v>469</v>
      </c>
      <c r="Z209" s="17">
        <v>522</v>
      </c>
      <c r="AA209" s="17">
        <v>2281</v>
      </c>
      <c r="AB209" s="12">
        <f t="shared" si="3"/>
        <v>206</v>
      </c>
    </row>
    <row r="210" ht="14.25" spans="1:28">
      <c r="A210" s="13">
        <v>441</v>
      </c>
      <c r="B210" s="15">
        <v>10</v>
      </c>
      <c r="C210" s="16">
        <v>2</v>
      </c>
      <c r="D210" s="17" t="s">
        <v>892</v>
      </c>
      <c r="E210" s="17" t="s">
        <v>893</v>
      </c>
      <c r="F210" s="17">
        <v>109.5</v>
      </c>
      <c r="G210" s="17">
        <v>495</v>
      </c>
      <c r="H210" s="17">
        <v>107</v>
      </c>
      <c r="I210" s="17">
        <v>2461</v>
      </c>
      <c r="J210" s="17">
        <v>89.5</v>
      </c>
      <c r="K210" s="17">
        <v>5383</v>
      </c>
      <c r="L210" s="17">
        <v>57</v>
      </c>
      <c r="M210" s="17">
        <v>2714</v>
      </c>
      <c r="N210" s="17"/>
      <c r="O210" s="17"/>
      <c r="P210" s="17">
        <v>75</v>
      </c>
      <c r="Q210" s="17">
        <v>3841</v>
      </c>
      <c r="R210" s="17">
        <v>84</v>
      </c>
      <c r="S210" s="17">
        <v>1490</v>
      </c>
      <c r="T210" s="17"/>
      <c r="U210" s="17"/>
      <c r="V210" s="17"/>
      <c r="W210" s="17"/>
      <c r="X210" s="15">
        <v>306</v>
      </c>
      <c r="Y210" s="17">
        <v>227</v>
      </c>
      <c r="Z210" s="17">
        <v>522</v>
      </c>
      <c r="AA210" s="17">
        <v>2281</v>
      </c>
      <c r="AB210" s="12">
        <f t="shared" si="3"/>
        <v>206</v>
      </c>
    </row>
    <row r="211" ht="14.25" spans="1:28">
      <c r="A211" s="13">
        <v>46</v>
      </c>
      <c r="B211" s="15">
        <v>1</v>
      </c>
      <c r="C211" s="16">
        <v>48</v>
      </c>
      <c r="D211" s="17" t="s">
        <v>106</v>
      </c>
      <c r="E211" s="17" t="s">
        <v>107</v>
      </c>
      <c r="F211" s="17">
        <v>103.5</v>
      </c>
      <c r="G211" s="17">
        <v>1897</v>
      </c>
      <c r="H211" s="17">
        <v>99</v>
      </c>
      <c r="I211" s="17">
        <v>3947</v>
      </c>
      <c r="J211" s="17">
        <v>92</v>
      </c>
      <c r="K211" s="17">
        <v>4787</v>
      </c>
      <c r="L211" s="17">
        <v>59</v>
      </c>
      <c r="M211" s="17">
        <v>2358</v>
      </c>
      <c r="N211" s="17"/>
      <c r="O211" s="17"/>
      <c r="P211" s="17">
        <v>82</v>
      </c>
      <c r="Q211" s="17">
        <v>1870</v>
      </c>
      <c r="R211" s="17"/>
      <c r="S211" s="17"/>
      <c r="T211" s="17">
        <v>86</v>
      </c>
      <c r="U211" s="17">
        <v>377</v>
      </c>
      <c r="V211" s="17"/>
      <c r="W211" s="17"/>
      <c r="X211" s="15">
        <v>294.5</v>
      </c>
      <c r="Y211" s="17">
        <v>321</v>
      </c>
      <c r="Z211" s="17">
        <v>521.5</v>
      </c>
      <c r="AA211" s="17">
        <v>2298</v>
      </c>
      <c r="AB211" s="12">
        <f t="shared" si="3"/>
        <v>209</v>
      </c>
    </row>
    <row r="212" ht="14.25" spans="1:28">
      <c r="A212" s="13">
        <v>592</v>
      </c>
      <c r="B212" s="15">
        <v>12</v>
      </c>
      <c r="C212" s="16">
        <v>42</v>
      </c>
      <c r="D212" s="17" t="s">
        <v>1192</v>
      </c>
      <c r="E212" s="17" t="s">
        <v>1193</v>
      </c>
      <c r="F212" s="17">
        <v>103</v>
      </c>
      <c r="G212" s="17">
        <v>2094</v>
      </c>
      <c r="H212" s="17">
        <v>98</v>
      </c>
      <c r="I212" s="17">
        <v>4147</v>
      </c>
      <c r="J212" s="17">
        <v>97.5</v>
      </c>
      <c r="K212" s="17">
        <v>3545</v>
      </c>
      <c r="L212" s="17">
        <v>57</v>
      </c>
      <c r="M212" s="17">
        <v>2714</v>
      </c>
      <c r="N212" s="17"/>
      <c r="O212" s="17"/>
      <c r="P212" s="17">
        <v>77</v>
      </c>
      <c r="Q212" s="17">
        <v>3207</v>
      </c>
      <c r="R212" s="17">
        <v>89</v>
      </c>
      <c r="S212" s="17">
        <v>415</v>
      </c>
      <c r="T212" s="17"/>
      <c r="U212" s="17"/>
      <c r="V212" s="17"/>
      <c r="W212" s="17"/>
      <c r="X212" s="15">
        <v>298.5</v>
      </c>
      <c r="Y212" s="17">
        <v>289</v>
      </c>
      <c r="Z212" s="17">
        <v>521.5</v>
      </c>
      <c r="AA212" s="17">
        <v>2298</v>
      </c>
      <c r="AB212" s="12">
        <f t="shared" si="3"/>
        <v>209</v>
      </c>
    </row>
    <row r="213" ht="14.25" spans="1:28">
      <c r="A213" s="13">
        <v>541</v>
      </c>
      <c r="B213" s="15">
        <v>11</v>
      </c>
      <c r="C213" s="16">
        <v>47</v>
      </c>
      <c r="D213" s="17" t="s">
        <v>1090</v>
      </c>
      <c r="E213" s="17" t="s">
        <v>1091</v>
      </c>
      <c r="F213" s="17">
        <v>94</v>
      </c>
      <c r="G213" s="17">
        <v>6811</v>
      </c>
      <c r="H213" s="17">
        <v>102</v>
      </c>
      <c r="I213" s="17">
        <v>3381</v>
      </c>
      <c r="J213" s="17">
        <v>101.25</v>
      </c>
      <c r="K213" s="17">
        <v>2839</v>
      </c>
      <c r="L213" s="17">
        <v>61</v>
      </c>
      <c r="M213" s="17">
        <v>2008</v>
      </c>
      <c r="N213" s="17"/>
      <c r="O213" s="17"/>
      <c r="P213" s="17">
        <v>82</v>
      </c>
      <c r="Q213" s="17">
        <v>1870</v>
      </c>
      <c r="R213" s="17">
        <v>81</v>
      </c>
      <c r="S213" s="17">
        <v>2139</v>
      </c>
      <c r="T213" s="17"/>
      <c r="U213" s="17"/>
      <c r="V213" s="17"/>
      <c r="W213" s="17"/>
      <c r="X213" s="15">
        <v>297.25</v>
      </c>
      <c r="Y213" s="17">
        <v>301</v>
      </c>
      <c r="Z213" s="17">
        <v>521.25</v>
      </c>
      <c r="AA213" s="17">
        <v>2313</v>
      </c>
      <c r="AB213" s="12">
        <f t="shared" si="3"/>
        <v>211</v>
      </c>
    </row>
    <row r="214" ht="14.25" spans="1:28">
      <c r="A214" s="13">
        <v>171</v>
      </c>
      <c r="B214" s="15">
        <v>4</v>
      </c>
      <c r="C214" s="16">
        <v>12</v>
      </c>
      <c r="D214" s="17" t="s">
        <v>355</v>
      </c>
      <c r="E214" s="17" t="s">
        <v>356</v>
      </c>
      <c r="F214" s="17">
        <v>101</v>
      </c>
      <c r="G214" s="17">
        <v>2896</v>
      </c>
      <c r="H214" s="17">
        <v>109</v>
      </c>
      <c r="I214" s="17">
        <v>2105</v>
      </c>
      <c r="J214" s="17">
        <v>97.5</v>
      </c>
      <c r="K214" s="17">
        <v>3545</v>
      </c>
      <c r="L214" s="17">
        <v>44.5</v>
      </c>
      <c r="M214" s="17">
        <v>5122</v>
      </c>
      <c r="N214" s="17"/>
      <c r="O214" s="17"/>
      <c r="P214" s="17">
        <v>78</v>
      </c>
      <c r="Q214" s="17">
        <v>2908</v>
      </c>
      <c r="R214" s="17"/>
      <c r="S214" s="17"/>
      <c r="T214" s="17"/>
      <c r="U214" s="17"/>
      <c r="V214" s="17">
        <v>91</v>
      </c>
      <c r="W214" s="17">
        <v>15</v>
      </c>
      <c r="X214" s="15">
        <v>307.5</v>
      </c>
      <c r="Y214" s="17">
        <v>214</v>
      </c>
      <c r="Z214" s="17">
        <v>521</v>
      </c>
      <c r="AA214" s="17">
        <v>2318</v>
      </c>
      <c r="AB214" s="12">
        <f t="shared" si="3"/>
        <v>212</v>
      </c>
    </row>
    <row r="215" ht="14.25" spans="1:28">
      <c r="A215" s="13">
        <v>208</v>
      </c>
      <c r="B215" s="15">
        <v>5</v>
      </c>
      <c r="C215" s="16">
        <v>5</v>
      </c>
      <c r="D215" s="17" t="s">
        <v>429</v>
      </c>
      <c r="E215" s="17" t="s">
        <v>430</v>
      </c>
      <c r="F215" s="17">
        <v>98.5</v>
      </c>
      <c r="G215" s="17">
        <v>4145</v>
      </c>
      <c r="H215" s="17">
        <v>120</v>
      </c>
      <c r="I215" s="17">
        <v>708</v>
      </c>
      <c r="J215" s="17">
        <v>95.5</v>
      </c>
      <c r="K215" s="17">
        <v>3977</v>
      </c>
      <c r="L215" s="17">
        <v>51</v>
      </c>
      <c r="M215" s="17">
        <v>3730</v>
      </c>
      <c r="N215" s="17"/>
      <c r="O215" s="17"/>
      <c r="P215" s="17">
        <v>72</v>
      </c>
      <c r="Q215" s="17">
        <v>4881</v>
      </c>
      <c r="R215" s="17"/>
      <c r="S215" s="17"/>
      <c r="T215" s="17"/>
      <c r="U215" s="17"/>
      <c r="V215" s="17">
        <v>84</v>
      </c>
      <c r="W215" s="17">
        <v>588</v>
      </c>
      <c r="X215" s="15">
        <v>314</v>
      </c>
      <c r="Y215" s="17">
        <v>157</v>
      </c>
      <c r="Z215" s="17">
        <v>521</v>
      </c>
      <c r="AA215" s="17">
        <v>2318</v>
      </c>
      <c r="AB215" s="12">
        <f t="shared" si="3"/>
        <v>212</v>
      </c>
    </row>
    <row r="216" ht="14.25" spans="1:28">
      <c r="A216" s="13">
        <v>105</v>
      </c>
      <c r="B216" s="15">
        <v>2</v>
      </c>
      <c r="C216" s="16">
        <v>43</v>
      </c>
      <c r="D216" s="17" t="s">
        <v>223</v>
      </c>
      <c r="E216" s="17" t="s">
        <v>224</v>
      </c>
      <c r="F216" s="17">
        <v>101.5</v>
      </c>
      <c r="G216" s="17">
        <v>2674</v>
      </c>
      <c r="H216" s="17">
        <v>99.5</v>
      </c>
      <c r="I216" s="17">
        <v>3847</v>
      </c>
      <c r="J216" s="17">
        <v>98</v>
      </c>
      <c r="K216" s="17">
        <v>3454</v>
      </c>
      <c r="L216" s="17">
        <v>58.5</v>
      </c>
      <c r="M216" s="17">
        <v>2451</v>
      </c>
      <c r="N216" s="17"/>
      <c r="O216" s="17"/>
      <c r="P216" s="17"/>
      <c r="Q216" s="17"/>
      <c r="R216" s="17">
        <v>75</v>
      </c>
      <c r="S216" s="17">
        <v>3790</v>
      </c>
      <c r="T216" s="17">
        <v>88</v>
      </c>
      <c r="U216" s="17">
        <v>161</v>
      </c>
      <c r="V216" s="17"/>
      <c r="W216" s="17"/>
      <c r="X216" s="15">
        <v>299</v>
      </c>
      <c r="Y216" s="17">
        <v>284</v>
      </c>
      <c r="Z216" s="17">
        <v>520.5</v>
      </c>
      <c r="AA216" s="17">
        <v>2332</v>
      </c>
      <c r="AB216" s="12">
        <f t="shared" si="3"/>
        <v>214</v>
      </c>
    </row>
    <row r="217" ht="14.25" spans="1:28">
      <c r="A217" s="13">
        <v>528</v>
      </c>
      <c r="B217" s="15">
        <v>11</v>
      </c>
      <c r="C217" s="16">
        <v>33</v>
      </c>
      <c r="D217" s="17" t="s">
        <v>1065</v>
      </c>
      <c r="E217" s="17" t="s">
        <v>1066</v>
      </c>
      <c r="F217" s="17">
        <v>95</v>
      </c>
      <c r="G217" s="17">
        <v>6168</v>
      </c>
      <c r="H217" s="17">
        <v>117</v>
      </c>
      <c r="I217" s="17">
        <v>975</v>
      </c>
      <c r="J217" s="17">
        <v>93</v>
      </c>
      <c r="K217" s="17">
        <v>4548</v>
      </c>
      <c r="L217" s="17">
        <v>49.5</v>
      </c>
      <c r="M217" s="17">
        <v>4044</v>
      </c>
      <c r="N217" s="17"/>
      <c r="O217" s="17"/>
      <c r="P217" s="17">
        <v>83</v>
      </c>
      <c r="Q217" s="17">
        <v>1643</v>
      </c>
      <c r="R217" s="17">
        <v>83</v>
      </c>
      <c r="S217" s="17">
        <v>1715</v>
      </c>
      <c r="T217" s="17"/>
      <c r="U217" s="17"/>
      <c r="V217" s="17"/>
      <c r="W217" s="17"/>
      <c r="X217" s="15">
        <v>305</v>
      </c>
      <c r="Y217" s="17">
        <v>236</v>
      </c>
      <c r="Z217" s="17">
        <v>520.5</v>
      </c>
      <c r="AA217" s="17">
        <v>2332</v>
      </c>
      <c r="AB217" s="12">
        <f t="shared" si="3"/>
        <v>214</v>
      </c>
    </row>
    <row r="218" ht="14.25" spans="1:28">
      <c r="A218" s="13">
        <v>585</v>
      </c>
      <c r="B218" s="15">
        <v>12</v>
      </c>
      <c r="C218" s="16">
        <v>34</v>
      </c>
      <c r="D218" s="17" t="s">
        <v>1178</v>
      </c>
      <c r="E218" s="17" t="s">
        <v>1179</v>
      </c>
      <c r="F218" s="17">
        <v>91.5</v>
      </c>
      <c r="G218" s="17">
        <v>8306</v>
      </c>
      <c r="H218" s="17">
        <v>115.5</v>
      </c>
      <c r="I218" s="17">
        <v>1149</v>
      </c>
      <c r="J218" s="17">
        <v>92</v>
      </c>
      <c r="K218" s="17">
        <v>4787</v>
      </c>
      <c r="L218" s="17">
        <v>58.5</v>
      </c>
      <c r="M218" s="17">
        <v>2451</v>
      </c>
      <c r="N218" s="17"/>
      <c r="O218" s="17"/>
      <c r="P218" s="17">
        <v>88</v>
      </c>
      <c r="Q218" s="17">
        <v>397</v>
      </c>
      <c r="R218" s="17">
        <v>75</v>
      </c>
      <c r="S218" s="17">
        <v>3790</v>
      </c>
      <c r="T218" s="17"/>
      <c r="U218" s="17"/>
      <c r="V218" s="17"/>
      <c r="W218" s="17"/>
      <c r="X218" s="15">
        <v>299</v>
      </c>
      <c r="Y218" s="17">
        <v>284</v>
      </c>
      <c r="Z218" s="17">
        <v>520.5</v>
      </c>
      <c r="AA218" s="17">
        <v>2332</v>
      </c>
      <c r="AB218" s="12">
        <f t="shared" si="3"/>
        <v>214</v>
      </c>
    </row>
    <row r="219" ht="14.25" spans="1:28">
      <c r="A219" s="13">
        <v>345</v>
      </c>
      <c r="B219" s="15">
        <v>8</v>
      </c>
      <c r="C219" s="16">
        <v>17</v>
      </c>
      <c r="D219" s="17" t="s">
        <v>701</v>
      </c>
      <c r="E219" s="17" t="s">
        <v>702</v>
      </c>
      <c r="F219" s="17">
        <v>100.25</v>
      </c>
      <c r="G219" s="17">
        <v>3338</v>
      </c>
      <c r="H219" s="17">
        <v>109.5</v>
      </c>
      <c r="I219" s="17">
        <v>2023</v>
      </c>
      <c r="J219" s="17">
        <v>116</v>
      </c>
      <c r="K219" s="17">
        <v>807</v>
      </c>
      <c r="L219" s="17">
        <v>49.5</v>
      </c>
      <c r="M219" s="17">
        <v>4044</v>
      </c>
      <c r="N219" s="17"/>
      <c r="O219" s="17"/>
      <c r="P219" s="17">
        <v>67</v>
      </c>
      <c r="Q219" s="17">
        <v>6384</v>
      </c>
      <c r="R219" s="17">
        <v>78</v>
      </c>
      <c r="S219" s="17">
        <v>2906</v>
      </c>
      <c r="T219" s="17"/>
      <c r="U219" s="17"/>
      <c r="V219" s="17"/>
      <c r="W219" s="17"/>
      <c r="X219" s="15">
        <v>325.75</v>
      </c>
      <c r="Y219" s="17">
        <v>82</v>
      </c>
      <c r="Z219" s="17">
        <v>520.25</v>
      </c>
      <c r="AA219" s="17">
        <v>2344</v>
      </c>
      <c r="AB219" s="12">
        <f t="shared" si="3"/>
        <v>217</v>
      </c>
    </row>
    <row r="220" ht="14.25" spans="1:28">
      <c r="A220" s="13">
        <v>213</v>
      </c>
      <c r="B220" s="15">
        <v>5</v>
      </c>
      <c r="C220" s="16">
        <v>10</v>
      </c>
      <c r="D220" s="17" t="s">
        <v>439</v>
      </c>
      <c r="E220" s="17" t="s">
        <v>440</v>
      </c>
      <c r="F220" s="17">
        <v>107</v>
      </c>
      <c r="G220" s="17">
        <v>945</v>
      </c>
      <c r="H220" s="17">
        <v>112.5</v>
      </c>
      <c r="I220" s="17">
        <v>1543</v>
      </c>
      <c r="J220" s="17">
        <v>90.5</v>
      </c>
      <c r="K220" s="17">
        <v>5135</v>
      </c>
      <c r="L220" s="17">
        <v>47</v>
      </c>
      <c r="M220" s="17">
        <v>4568</v>
      </c>
      <c r="N220" s="17"/>
      <c r="O220" s="17"/>
      <c r="P220" s="17">
        <v>72</v>
      </c>
      <c r="Q220" s="17">
        <v>4881</v>
      </c>
      <c r="R220" s="17"/>
      <c r="S220" s="17"/>
      <c r="T220" s="17"/>
      <c r="U220" s="17"/>
      <c r="V220" s="17">
        <v>91</v>
      </c>
      <c r="W220" s="17">
        <v>15</v>
      </c>
      <c r="X220" s="15">
        <v>310</v>
      </c>
      <c r="Y220" s="17">
        <v>193</v>
      </c>
      <c r="Z220" s="17">
        <v>520</v>
      </c>
      <c r="AA220" s="17">
        <v>2348</v>
      </c>
      <c r="AB220" s="12">
        <f t="shared" si="3"/>
        <v>218</v>
      </c>
    </row>
    <row r="221" ht="14.25" spans="1:28">
      <c r="A221" s="13">
        <v>527</v>
      </c>
      <c r="B221" s="15">
        <v>11</v>
      </c>
      <c r="C221" s="16">
        <v>32</v>
      </c>
      <c r="D221" s="17" t="s">
        <v>1063</v>
      </c>
      <c r="E221" s="17" t="s">
        <v>1064</v>
      </c>
      <c r="F221" s="17">
        <v>97</v>
      </c>
      <c r="G221" s="17">
        <v>4967</v>
      </c>
      <c r="H221" s="17">
        <v>122</v>
      </c>
      <c r="I221" s="17">
        <v>549</v>
      </c>
      <c r="J221" s="17">
        <v>99</v>
      </c>
      <c r="K221" s="17">
        <v>3244</v>
      </c>
      <c r="L221" s="17">
        <v>47</v>
      </c>
      <c r="M221" s="17">
        <v>4568</v>
      </c>
      <c r="N221" s="17"/>
      <c r="O221" s="17"/>
      <c r="P221" s="17">
        <v>75</v>
      </c>
      <c r="Q221" s="17">
        <v>3841</v>
      </c>
      <c r="R221" s="17">
        <v>80</v>
      </c>
      <c r="S221" s="17">
        <v>2376</v>
      </c>
      <c r="T221" s="17"/>
      <c r="U221" s="17"/>
      <c r="V221" s="17"/>
      <c r="W221" s="17"/>
      <c r="X221" s="15">
        <v>318</v>
      </c>
      <c r="Y221" s="17">
        <v>130</v>
      </c>
      <c r="Z221" s="17">
        <v>520</v>
      </c>
      <c r="AA221" s="17">
        <v>2348</v>
      </c>
      <c r="AB221" s="12">
        <f t="shared" si="3"/>
        <v>218</v>
      </c>
    </row>
    <row r="222" ht="14.25" spans="1:28">
      <c r="A222" s="13">
        <v>35</v>
      </c>
      <c r="B222" s="15">
        <v>1</v>
      </c>
      <c r="C222" s="16">
        <v>37</v>
      </c>
      <c r="D222" s="17" t="s">
        <v>84</v>
      </c>
      <c r="E222" s="17" t="s">
        <v>85</v>
      </c>
      <c r="F222" s="17">
        <v>105.5</v>
      </c>
      <c r="G222" s="17">
        <v>1281</v>
      </c>
      <c r="H222" s="17">
        <v>97.5</v>
      </c>
      <c r="I222" s="17">
        <v>4244</v>
      </c>
      <c r="J222" s="17">
        <v>108.5</v>
      </c>
      <c r="K222" s="17">
        <v>1655</v>
      </c>
      <c r="L222" s="17">
        <v>57</v>
      </c>
      <c r="M222" s="17">
        <v>2714</v>
      </c>
      <c r="N222" s="17"/>
      <c r="O222" s="17"/>
      <c r="P222" s="17">
        <v>74</v>
      </c>
      <c r="Q222" s="17">
        <v>4168</v>
      </c>
      <c r="R222" s="17"/>
      <c r="S222" s="17"/>
      <c r="T222" s="17">
        <v>77</v>
      </c>
      <c r="U222" s="17">
        <v>1152</v>
      </c>
      <c r="V222" s="17"/>
      <c r="W222" s="17"/>
      <c r="X222" s="15">
        <v>311.5</v>
      </c>
      <c r="Y222" s="17">
        <v>173</v>
      </c>
      <c r="Z222" s="17">
        <v>519.5</v>
      </c>
      <c r="AA222" s="17">
        <v>2367</v>
      </c>
      <c r="AB222" s="12">
        <f t="shared" si="3"/>
        <v>220</v>
      </c>
    </row>
    <row r="223" ht="14.25" spans="1:28">
      <c r="A223" s="13">
        <v>234</v>
      </c>
      <c r="B223" s="15">
        <v>5</v>
      </c>
      <c r="C223" s="16">
        <v>31</v>
      </c>
      <c r="D223" s="17" t="s">
        <v>481</v>
      </c>
      <c r="E223" s="17" t="s">
        <v>482</v>
      </c>
      <c r="F223" s="17">
        <v>90.75</v>
      </c>
      <c r="G223" s="17">
        <v>8959</v>
      </c>
      <c r="H223" s="17">
        <v>113.5</v>
      </c>
      <c r="I223" s="17">
        <v>1397</v>
      </c>
      <c r="J223" s="17">
        <v>107.5</v>
      </c>
      <c r="K223" s="17">
        <v>1810</v>
      </c>
      <c r="L223" s="17">
        <v>44.5</v>
      </c>
      <c r="M223" s="17">
        <v>5122</v>
      </c>
      <c r="N223" s="17"/>
      <c r="O223" s="17"/>
      <c r="P223" s="17">
        <v>92</v>
      </c>
      <c r="Q223" s="17">
        <v>36</v>
      </c>
      <c r="R223" s="17"/>
      <c r="S223" s="17"/>
      <c r="T223" s="17"/>
      <c r="U223" s="17"/>
      <c r="V223" s="17">
        <v>71</v>
      </c>
      <c r="W223" s="17">
        <v>2172</v>
      </c>
      <c r="X223" s="15">
        <v>311.75</v>
      </c>
      <c r="Y223" s="17">
        <v>172</v>
      </c>
      <c r="Z223" s="17">
        <v>519.25</v>
      </c>
      <c r="AA223" s="17">
        <v>2376</v>
      </c>
      <c r="AB223" s="12">
        <f t="shared" si="3"/>
        <v>221</v>
      </c>
    </row>
    <row r="224" ht="14.25" spans="1:28">
      <c r="A224" s="13">
        <v>608</v>
      </c>
      <c r="B224" s="15">
        <v>12</v>
      </c>
      <c r="C224" s="16">
        <v>58</v>
      </c>
      <c r="D224" s="17" t="s">
        <v>1224</v>
      </c>
      <c r="E224" s="17" t="s">
        <v>1225</v>
      </c>
      <c r="F224" s="17">
        <v>97</v>
      </c>
      <c r="G224" s="17">
        <v>4967</v>
      </c>
      <c r="H224" s="17">
        <v>93.5</v>
      </c>
      <c r="I224" s="17">
        <v>5060</v>
      </c>
      <c r="J224" s="17">
        <v>106.75</v>
      </c>
      <c r="K224" s="17">
        <v>1917</v>
      </c>
      <c r="L224" s="17">
        <v>61</v>
      </c>
      <c r="M224" s="17">
        <v>2008</v>
      </c>
      <c r="N224" s="17"/>
      <c r="O224" s="17"/>
      <c r="P224" s="17">
        <v>79</v>
      </c>
      <c r="Q224" s="17">
        <v>2632</v>
      </c>
      <c r="R224" s="17">
        <v>82</v>
      </c>
      <c r="S224" s="17">
        <v>1915</v>
      </c>
      <c r="T224" s="17"/>
      <c r="U224" s="17"/>
      <c r="V224" s="17"/>
      <c r="W224" s="17"/>
      <c r="X224" s="15">
        <v>297.25</v>
      </c>
      <c r="Y224" s="17">
        <v>301</v>
      </c>
      <c r="Z224" s="17">
        <v>519.25</v>
      </c>
      <c r="AA224" s="17">
        <v>2376</v>
      </c>
      <c r="AB224" s="12">
        <f t="shared" si="3"/>
        <v>221</v>
      </c>
    </row>
    <row r="225" ht="14.25" spans="1:28">
      <c r="A225" s="13">
        <v>202</v>
      </c>
      <c r="B225" s="15">
        <v>4</v>
      </c>
      <c r="C225" s="16">
        <v>45</v>
      </c>
      <c r="D225" s="17" t="s">
        <v>417</v>
      </c>
      <c r="E225" s="17" t="s">
        <v>418</v>
      </c>
      <c r="F225" s="17">
        <v>101</v>
      </c>
      <c r="G225" s="17">
        <v>2896</v>
      </c>
      <c r="H225" s="17">
        <v>111</v>
      </c>
      <c r="I225" s="17">
        <v>1774</v>
      </c>
      <c r="J225" s="17">
        <v>107.5</v>
      </c>
      <c r="K225" s="17">
        <v>1810</v>
      </c>
      <c r="L225" s="17">
        <v>50.5</v>
      </c>
      <c r="M225" s="17">
        <v>3830</v>
      </c>
      <c r="N225" s="17"/>
      <c r="O225" s="17"/>
      <c r="P225" s="17">
        <v>76</v>
      </c>
      <c r="Q225" s="17">
        <v>3515</v>
      </c>
      <c r="R225" s="17"/>
      <c r="S225" s="17"/>
      <c r="T225" s="17"/>
      <c r="U225" s="17"/>
      <c r="V225" s="17">
        <v>73</v>
      </c>
      <c r="W225" s="17">
        <v>1853</v>
      </c>
      <c r="X225" s="15">
        <v>319.5</v>
      </c>
      <c r="Y225" s="17">
        <v>121</v>
      </c>
      <c r="Z225" s="17">
        <v>519</v>
      </c>
      <c r="AA225" s="17">
        <v>2383</v>
      </c>
      <c r="AB225" s="12">
        <f t="shared" si="3"/>
        <v>223</v>
      </c>
    </row>
    <row r="226" ht="14.25" spans="1:28">
      <c r="A226" s="13">
        <v>228</v>
      </c>
      <c r="B226" s="15">
        <v>5</v>
      </c>
      <c r="C226" s="16">
        <v>25</v>
      </c>
      <c r="D226" s="17" t="s">
        <v>469</v>
      </c>
      <c r="E226" s="17" t="s">
        <v>470</v>
      </c>
      <c r="F226" s="17">
        <v>101</v>
      </c>
      <c r="G226" s="17">
        <v>2896</v>
      </c>
      <c r="H226" s="17">
        <v>101.5</v>
      </c>
      <c r="I226" s="17">
        <v>3477</v>
      </c>
      <c r="J226" s="17">
        <v>97</v>
      </c>
      <c r="K226" s="17">
        <v>3649</v>
      </c>
      <c r="L226" s="17">
        <v>50.5</v>
      </c>
      <c r="M226" s="17">
        <v>3830</v>
      </c>
      <c r="N226" s="17"/>
      <c r="O226" s="17"/>
      <c r="P226" s="17">
        <v>76</v>
      </c>
      <c r="Q226" s="17">
        <v>3515</v>
      </c>
      <c r="R226" s="17"/>
      <c r="S226" s="17"/>
      <c r="T226" s="17"/>
      <c r="U226" s="17"/>
      <c r="V226" s="17">
        <v>93</v>
      </c>
      <c r="W226" s="17">
        <v>2</v>
      </c>
      <c r="X226" s="15">
        <v>299.5</v>
      </c>
      <c r="Y226" s="17">
        <v>280</v>
      </c>
      <c r="Z226" s="17">
        <v>519</v>
      </c>
      <c r="AA226" s="17">
        <v>2383</v>
      </c>
      <c r="AB226" s="12">
        <f t="shared" si="3"/>
        <v>223</v>
      </c>
    </row>
    <row r="227" ht="14.25" spans="1:28">
      <c r="A227" s="13">
        <v>355</v>
      </c>
      <c r="B227" s="15">
        <v>8</v>
      </c>
      <c r="C227" s="16">
        <v>28</v>
      </c>
      <c r="D227" s="17" t="s">
        <v>721</v>
      </c>
      <c r="E227" s="17" t="s">
        <v>722</v>
      </c>
      <c r="F227" s="17">
        <v>106</v>
      </c>
      <c r="G227" s="17">
        <v>1174</v>
      </c>
      <c r="H227" s="17">
        <v>87.5</v>
      </c>
      <c r="I227" s="17">
        <v>6415</v>
      </c>
      <c r="J227" s="17">
        <v>107</v>
      </c>
      <c r="K227" s="17">
        <v>1871</v>
      </c>
      <c r="L227" s="17">
        <v>69</v>
      </c>
      <c r="M227" s="17">
        <v>949</v>
      </c>
      <c r="N227" s="17"/>
      <c r="O227" s="17"/>
      <c r="P227" s="17">
        <v>77</v>
      </c>
      <c r="Q227" s="17">
        <v>3207</v>
      </c>
      <c r="R227" s="17">
        <v>72</v>
      </c>
      <c r="S227" s="17">
        <v>4793</v>
      </c>
      <c r="T227" s="17"/>
      <c r="U227" s="17"/>
      <c r="V227" s="17"/>
      <c r="W227" s="17"/>
      <c r="X227" s="15">
        <v>300.5</v>
      </c>
      <c r="Y227" s="17">
        <v>273</v>
      </c>
      <c r="Z227" s="17">
        <v>518.5</v>
      </c>
      <c r="AA227" s="17">
        <v>2397</v>
      </c>
      <c r="AB227" s="12">
        <f t="shared" si="3"/>
        <v>225</v>
      </c>
    </row>
    <row r="228" ht="14.25" spans="1:28">
      <c r="A228" s="13">
        <v>40</v>
      </c>
      <c r="B228" s="15">
        <v>1</v>
      </c>
      <c r="C228" s="16">
        <v>42</v>
      </c>
      <c r="D228" s="17" t="s">
        <v>94</v>
      </c>
      <c r="E228" s="17" t="s">
        <v>95</v>
      </c>
      <c r="F228" s="17">
        <v>93</v>
      </c>
      <c r="G228" s="17">
        <v>7407</v>
      </c>
      <c r="H228" s="17">
        <v>106</v>
      </c>
      <c r="I228" s="17">
        <v>2619</v>
      </c>
      <c r="J228" s="17">
        <v>91.5</v>
      </c>
      <c r="K228" s="17">
        <v>4916</v>
      </c>
      <c r="L228" s="17">
        <v>67.5</v>
      </c>
      <c r="M228" s="17">
        <v>1130</v>
      </c>
      <c r="N228" s="17"/>
      <c r="O228" s="17"/>
      <c r="P228" s="17">
        <v>74</v>
      </c>
      <c r="Q228" s="17">
        <v>4168</v>
      </c>
      <c r="R228" s="17"/>
      <c r="S228" s="17"/>
      <c r="T228" s="17">
        <v>86</v>
      </c>
      <c r="U228" s="17">
        <v>377</v>
      </c>
      <c r="V228" s="17"/>
      <c r="W228" s="17"/>
      <c r="X228" s="15">
        <v>290.5</v>
      </c>
      <c r="Y228" s="17">
        <v>364</v>
      </c>
      <c r="Z228" s="17">
        <v>518</v>
      </c>
      <c r="AA228" s="17">
        <v>2415</v>
      </c>
      <c r="AB228" s="12">
        <f t="shared" si="3"/>
        <v>226</v>
      </c>
    </row>
    <row r="229" ht="14.25" spans="1:28">
      <c r="A229" s="13">
        <v>182</v>
      </c>
      <c r="B229" s="15">
        <v>4</v>
      </c>
      <c r="C229" s="16">
        <v>23</v>
      </c>
      <c r="D229" s="17" t="s">
        <v>377</v>
      </c>
      <c r="E229" s="17" t="s">
        <v>378</v>
      </c>
      <c r="F229" s="17">
        <v>104.5</v>
      </c>
      <c r="G229" s="17">
        <v>1551</v>
      </c>
      <c r="H229" s="17">
        <v>122.5</v>
      </c>
      <c r="I229" s="17">
        <v>509</v>
      </c>
      <c r="J229" s="17">
        <v>98.5</v>
      </c>
      <c r="K229" s="17">
        <v>3338</v>
      </c>
      <c r="L229" s="17">
        <v>49.5</v>
      </c>
      <c r="M229" s="17">
        <v>4044</v>
      </c>
      <c r="N229" s="17"/>
      <c r="O229" s="17"/>
      <c r="P229" s="17">
        <v>67</v>
      </c>
      <c r="Q229" s="17">
        <v>6384</v>
      </c>
      <c r="R229" s="17"/>
      <c r="S229" s="17"/>
      <c r="T229" s="17"/>
      <c r="U229" s="17"/>
      <c r="V229" s="17">
        <v>76</v>
      </c>
      <c r="W229" s="17">
        <v>1407</v>
      </c>
      <c r="X229" s="15">
        <v>325.5</v>
      </c>
      <c r="Y229" s="17">
        <v>85</v>
      </c>
      <c r="Z229" s="17">
        <v>518</v>
      </c>
      <c r="AA229" s="17">
        <v>2415</v>
      </c>
      <c r="AB229" s="12">
        <f t="shared" si="3"/>
        <v>226</v>
      </c>
    </row>
    <row r="230" ht="14.25" spans="1:28">
      <c r="A230" s="13">
        <v>242</v>
      </c>
      <c r="B230" s="15">
        <v>5</v>
      </c>
      <c r="C230" s="16">
        <v>39</v>
      </c>
      <c r="D230" s="17" t="s">
        <v>497</v>
      </c>
      <c r="E230" s="17" t="s">
        <v>498</v>
      </c>
      <c r="F230" s="17">
        <v>90.5</v>
      </c>
      <c r="G230" s="17">
        <v>8999</v>
      </c>
      <c r="H230" s="17">
        <v>103</v>
      </c>
      <c r="I230" s="17">
        <v>3209</v>
      </c>
      <c r="J230" s="17">
        <v>98</v>
      </c>
      <c r="K230" s="17">
        <v>3454</v>
      </c>
      <c r="L230" s="17">
        <v>81.5</v>
      </c>
      <c r="M230" s="17">
        <v>98</v>
      </c>
      <c r="N230" s="17"/>
      <c r="O230" s="17"/>
      <c r="P230" s="17">
        <v>58</v>
      </c>
      <c r="Q230" s="17">
        <v>9299</v>
      </c>
      <c r="R230" s="17"/>
      <c r="S230" s="17"/>
      <c r="T230" s="17"/>
      <c r="U230" s="17"/>
      <c r="V230" s="17">
        <v>87</v>
      </c>
      <c r="W230" s="17">
        <v>273</v>
      </c>
      <c r="X230" s="15">
        <v>291.5</v>
      </c>
      <c r="Y230" s="17">
        <v>357</v>
      </c>
      <c r="Z230" s="17">
        <v>518</v>
      </c>
      <c r="AA230" s="17">
        <v>2415</v>
      </c>
      <c r="AB230" s="12">
        <f t="shared" si="3"/>
        <v>226</v>
      </c>
    </row>
    <row r="231" ht="14.25" spans="1:28">
      <c r="A231" s="13">
        <v>134</v>
      </c>
      <c r="B231" s="15">
        <v>3</v>
      </c>
      <c r="C231" s="16">
        <v>23</v>
      </c>
      <c r="D231" s="17" t="s">
        <v>281</v>
      </c>
      <c r="E231" s="17" t="s">
        <v>282</v>
      </c>
      <c r="F231" s="17">
        <v>93.25</v>
      </c>
      <c r="G231" s="17">
        <v>7382</v>
      </c>
      <c r="H231" s="17">
        <v>112.5</v>
      </c>
      <c r="I231" s="17">
        <v>1543</v>
      </c>
      <c r="J231" s="17">
        <v>105</v>
      </c>
      <c r="K231" s="17">
        <v>2184</v>
      </c>
      <c r="L231" s="17">
        <v>67</v>
      </c>
      <c r="M231" s="17">
        <v>1188</v>
      </c>
      <c r="N231" s="17"/>
      <c r="O231" s="17"/>
      <c r="P231" s="17">
        <v>61</v>
      </c>
      <c r="Q231" s="17">
        <v>8358</v>
      </c>
      <c r="R231" s="17"/>
      <c r="S231" s="17"/>
      <c r="T231" s="17"/>
      <c r="U231" s="17"/>
      <c r="V231" s="17">
        <v>79</v>
      </c>
      <c r="W231" s="17">
        <v>1023</v>
      </c>
      <c r="X231" s="15">
        <v>310.75</v>
      </c>
      <c r="Y231" s="17">
        <v>183</v>
      </c>
      <c r="Z231" s="17">
        <v>517.75</v>
      </c>
      <c r="AA231" s="17">
        <v>2428</v>
      </c>
      <c r="AB231" s="12">
        <f t="shared" si="3"/>
        <v>229</v>
      </c>
    </row>
    <row r="232" ht="14.25" spans="1:28">
      <c r="A232" s="13">
        <v>26</v>
      </c>
      <c r="B232" s="15">
        <v>1</v>
      </c>
      <c r="C232" s="16">
        <v>28</v>
      </c>
      <c r="D232" s="17" t="s">
        <v>66</v>
      </c>
      <c r="E232" s="17" t="s">
        <v>67</v>
      </c>
      <c r="F232" s="17">
        <v>95.5</v>
      </c>
      <c r="G232" s="17">
        <v>5877</v>
      </c>
      <c r="H232" s="17">
        <v>115</v>
      </c>
      <c r="I232" s="17">
        <v>1213</v>
      </c>
      <c r="J232" s="17">
        <v>109.5</v>
      </c>
      <c r="K232" s="17">
        <v>1527</v>
      </c>
      <c r="L232" s="17">
        <v>56.5</v>
      </c>
      <c r="M232" s="17">
        <v>2801</v>
      </c>
      <c r="N232" s="17"/>
      <c r="O232" s="17"/>
      <c r="P232" s="17">
        <v>66</v>
      </c>
      <c r="Q232" s="17">
        <v>6766</v>
      </c>
      <c r="R232" s="17"/>
      <c r="S232" s="17"/>
      <c r="T232" s="17">
        <v>75</v>
      </c>
      <c r="U232" s="17">
        <v>1363</v>
      </c>
      <c r="V232" s="17"/>
      <c r="W232" s="17"/>
      <c r="X232" s="15">
        <v>320</v>
      </c>
      <c r="Y232" s="17">
        <v>118</v>
      </c>
      <c r="Z232" s="17">
        <v>517.5</v>
      </c>
      <c r="AA232" s="17">
        <v>2432</v>
      </c>
      <c r="AB232" s="12">
        <f t="shared" si="3"/>
        <v>230</v>
      </c>
    </row>
    <row r="233" ht="14.25" spans="1:28">
      <c r="A233" s="13">
        <v>339</v>
      </c>
      <c r="B233" s="15">
        <v>8</v>
      </c>
      <c r="C233" s="16">
        <v>11</v>
      </c>
      <c r="D233" s="17" t="s">
        <v>689</v>
      </c>
      <c r="E233" s="17" t="s">
        <v>690</v>
      </c>
      <c r="F233" s="17">
        <v>90</v>
      </c>
      <c r="G233" s="17">
        <v>9312</v>
      </c>
      <c r="H233" s="17">
        <v>104.5</v>
      </c>
      <c r="I233" s="17">
        <v>2895</v>
      </c>
      <c r="J233" s="17">
        <v>98.5</v>
      </c>
      <c r="K233" s="17">
        <v>3338</v>
      </c>
      <c r="L233" s="17">
        <v>63.5</v>
      </c>
      <c r="M233" s="17">
        <v>1636</v>
      </c>
      <c r="N233" s="17"/>
      <c r="O233" s="17"/>
      <c r="P233" s="17">
        <v>83</v>
      </c>
      <c r="Q233" s="17">
        <v>1643</v>
      </c>
      <c r="R233" s="17">
        <v>78</v>
      </c>
      <c r="S233" s="17">
        <v>2906</v>
      </c>
      <c r="T233" s="17"/>
      <c r="U233" s="17"/>
      <c r="V233" s="17"/>
      <c r="W233" s="17"/>
      <c r="X233" s="15">
        <v>293</v>
      </c>
      <c r="Y233" s="17">
        <v>335</v>
      </c>
      <c r="Z233" s="17">
        <v>517.5</v>
      </c>
      <c r="AA233" s="17">
        <v>2432</v>
      </c>
      <c r="AB233" s="12">
        <f t="shared" si="3"/>
        <v>230</v>
      </c>
    </row>
    <row r="234" ht="14.25" spans="1:28">
      <c r="A234" s="13">
        <v>89</v>
      </c>
      <c r="B234" s="15">
        <v>2</v>
      </c>
      <c r="C234" s="16">
        <v>26</v>
      </c>
      <c r="D234" s="17" t="s">
        <v>191</v>
      </c>
      <c r="E234" s="17" t="s">
        <v>192</v>
      </c>
      <c r="F234" s="17">
        <v>106.5</v>
      </c>
      <c r="G234" s="17">
        <v>1059</v>
      </c>
      <c r="H234" s="17">
        <v>89</v>
      </c>
      <c r="I234" s="17">
        <v>6077</v>
      </c>
      <c r="J234" s="17">
        <v>110.25</v>
      </c>
      <c r="K234" s="17">
        <v>1435</v>
      </c>
      <c r="L234" s="17">
        <v>58.5</v>
      </c>
      <c r="M234" s="17">
        <v>2451</v>
      </c>
      <c r="N234" s="17"/>
      <c r="O234" s="17"/>
      <c r="P234" s="17"/>
      <c r="Q234" s="17"/>
      <c r="R234" s="17">
        <v>78</v>
      </c>
      <c r="S234" s="17">
        <v>2906</v>
      </c>
      <c r="T234" s="17">
        <v>75</v>
      </c>
      <c r="U234" s="17">
        <v>1363</v>
      </c>
      <c r="V234" s="17"/>
      <c r="W234" s="17"/>
      <c r="X234" s="15">
        <v>305.75</v>
      </c>
      <c r="Y234" s="17">
        <v>229</v>
      </c>
      <c r="Z234" s="17">
        <v>517.25</v>
      </c>
      <c r="AA234" s="17">
        <v>2449</v>
      </c>
      <c r="AB234" s="12">
        <f t="shared" si="3"/>
        <v>232</v>
      </c>
    </row>
    <row r="235" ht="14.25" spans="1:28">
      <c r="A235" s="13">
        <v>222</v>
      </c>
      <c r="B235" s="15">
        <v>5</v>
      </c>
      <c r="C235" s="16">
        <v>19</v>
      </c>
      <c r="D235" s="17" t="s">
        <v>457</v>
      </c>
      <c r="E235" s="17" t="s">
        <v>458</v>
      </c>
      <c r="F235" s="17">
        <v>97.5</v>
      </c>
      <c r="G235" s="17">
        <v>4695</v>
      </c>
      <c r="H235" s="17">
        <v>110.5</v>
      </c>
      <c r="I235" s="17">
        <v>1866</v>
      </c>
      <c r="J235" s="17">
        <v>88.75</v>
      </c>
      <c r="K235" s="17">
        <v>5589</v>
      </c>
      <c r="L235" s="17">
        <v>51.5</v>
      </c>
      <c r="M235" s="17">
        <v>3642</v>
      </c>
      <c r="N235" s="17"/>
      <c r="O235" s="17"/>
      <c r="P235" s="17">
        <v>81</v>
      </c>
      <c r="Q235" s="17">
        <v>2079</v>
      </c>
      <c r="R235" s="17"/>
      <c r="S235" s="17"/>
      <c r="T235" s="17"/>
      <c r="U235" s="17"/>
      <c r="V235" s="17">
        <v>88</v>
      </c>
      <c r="W235" s="17">
        <v>165</v>
      </c>
      <c r="X235" s="15">
        <v>296.75</v>
      </c>
      <c r="Y235" s="17">
        <v>303</v>
      </c>
      <c r="Z235" s="17">
        <v>517.25</v>
      </c>
      <c r="AA235" s="17">
        <v>2449</v>
      </c>
      <c r="AB235" s="12">
        <f t="shared" si="3"/>
        <v>232</v>
      </c>
    </row>
    <row r="236" ht="14.25" spans="1:28">
      <c r="A236" s="13">
        <v>455</v>
      </c>
      <c r="B236" s="15">
        <v>10</v>
      </c>
      <c r="C236" s="16">
        <v>16</v>
      </c>
      <c r="D236" s="17" t="s">
        <v>920</v>
      </c>
      <c r="E236" s="17" t="s">
        <v>921</v>
      </c>
      <c r="F236" s="17">
        <v>100.5</v>
      </c>
      <c r="G236" s="17">
        <v>3131</v>
      </c>
      <c r="H236" s="17">
        <v>112</v>
      </c>
      <c r="I236" s="17">
        <v>1617</v>
      </c>
      <c r="J236" s="17">
        <v>99.75</v>
      </c>
      <c r="K236" s="17">
        <v>3109</v>
      </c>
      <c r="L236" s="17">
        <v>61</v>
      </c>
      <c r="M236" s="17">
        <v>2008</v>
      </c>
      <c r="N236" s="17"/>
      <c r="O236" s="17"/>
      <c r="P236" s="17">
        <v>61</v>
      </c>
      <c r="Q236" s="17">
        <v>8358</v>
      </c>
      <c r="R236" s="17">
        <v>83</v>
      </c>
      <c r="S236" s="17">
        <v>1715</v>
      </c>
      <c r="T236" s="17"/>
      <c r="U236" s="17"/>
      <c r="V236" s="17"/>
      <c r="W236" s="17"/>
      <c r="X236" s="15">
        <v>312.25</v>
      </c>
      <c r="Y236" s="17">
        <v>170</v>
      </c>
      <c r="Z236" s="17">
        <v>517.25</v>
      </c>
      <c r="AA236" s="17">
        <v>2449</v>
      </c>
      <c r="AB236" s="12">
        <f t="shared" si="3"/>
        <v>232</v>
      </c>
    </row>
    <row r="237" ht="14.25" spans="1:28">
      <c r="A237" s="13">
        <v>594</v>
      </c>
      <c r="B237" s="15">
        <v>12</v>
      </c>
      <c r="C237" s="16">
        <v>44</v>
      </c>
      <c r="D237" s="17" t="s">
        <v>1196</v>
      </c>
      <c r="E237" s="17" t="s">
        <v>1197</v>
      </c>
      <c r="F237" s="17">
        <v>103.5</v>
      </c>
      <c r="G237" s="17">
        <v>1897</v>
      </c>
      <c r="H237" s="17">
        <v>115.5</v>
      </c>
      <c r="I237" s="17">
        <v>1149</v>
      </c>
      <c r="J237" s="17">
        <v>75.25</v>
      </c>
      <c r="K237" s="17">
        <v>9049</v>
      </c>
      <c r="L237" s="17">
        <v>69</v>
      </c>
      <c r="M237" s="17">
        <v>949</v>
      </c>
      <c r="N237" s="17"/>
      <c r="O237" s="17"/>
      <c r="P237" s="17">
        <v>73</v>
      </c>
      <c r="Q237" s="17">
        <v>4501</v>
      </c>
      <c r="R237" s="17">
        <v>81</v>
      </c>
      <c r="S237" s="17">
        <v>2139</v>
      </c>
      <c r="T237" s="17"/>
      <c r="U237" s="17"/>
      <c r="V237" s="17"/>
      <c r="W237" s="17"/>
      <c r="X237" s="15">
        <v>294.25</v>
      </c>
      <c r="Y237" s="17">
        <v>324</v>
      </c>
      <c r="Z237" s="17">
        <v>517.25</v>
      </c>
      <c r="AA237" s="17">
        <v>2449</v>
      </c>
      <c r="AB237" s="12">
        <f t="shared" si="3"/>
        <v>232</v>
      </c>
    </row>
    <row r="238" ht="14.25" spans="1:28">
      <c r="A238" s="13">
        <v>221</v>
      </c>
      <c r="B238" s="15">
        <v>5</v>
      </c>
      <c r="C238" s="16">
        <v>18</v>
      </c>
      <c r="D238" s="17" t="s">
        <v>455</v>
      </c>
      <c r="E238" s="17" t="s">
        <v>456</v>
      </c>
      <c r="F238" s="17">
        <v>105</v>
      </c>
      <c r="G238" s="17">
        <v>1427</v>
      </c>
      <c r="H238" s="17">
        <v>122.5</v>
      </c>
      <c r="I238" s="17">
        <v>509</v>
      </c>
      <c r="J238" s="17">
        <v>64.5</v>
      </c>
      <c r="K238" s="17">
        <v>11584</v>
      </c>
      <c r="L238" s="17">
        <v>65</v>
      </c>
      <c r="M238" s="17">
        <v>1440</v>
      </c>
      <c r="N238" s="17"/>
      <c r="O238" s="17"/>
      <c r="P238" s="17">
        <v>78</v>
      </c>
      <c r="Q238" s="17">
        <v>2908</v>
      </c>
      <c r="R238" s="17"/>
      <c r="S238" s="17"/>
      <c r="T238" s="17"/>
      <c r="U238" s="17"/>
      <c r="V238" s="17">
        <v>82</v>
      </c>
      <c r="W238" s="17">
        <v>723</v>
      </c>
      <c r="X238" s="15">
        <v>292</v>
      </c>
      <c r="Y238" s="17">
        <v>350</v>
      </c>
      <c r="Z238" s="17">
        <v>517</v>
      </c>
      <c r="AA238" s="17">
        <v>2459</v>
      </c>
      <c r="AB238" s="12">
        <f t="shared" si="3"/>
        <v>236</v>
      </c>
    </row>
    <row r="239" ht="14.25" spans="1:28">
      <c r="A239" s="13">
        <v>625</v>
      </c>
      <c r="B239" s="15">
        <v>13</v>
      </c>
      <c r="C239" s="16">
        <v>18</v>
      </c>
      <c r="D239" s="17" t="s">
        <v>1258</v>
      </c>
      <c r="E239" s="17" t="s">
        <v>1259</v>
      </c>
      <c r="F239" s="17">
        <v>104</v>
      </c>
      <c r="G239" s="17">
        <v>1709</v>
      </c>
      <c r="H239" s="17">
        <v>92</v>
      </c>
      <c r="I239" s="17">
        <v>5417</v>
      </c>
      <c r="J239" s="17">
        <v>114.5</v>
      </c>
      <c r="K239" s="17">
        <v>951</v>
      </c>
      <c r="L239" s="17">
        <v>60.5</v>
      </c>
      <c r="M239" s="17">
        <v>2106</v>
      </c>
      <c r="N239" s="17"/>
      <c r="O239" s="17"/>
      <c r="P239" s="17">
        <v>71</v>
      </c>
      <c r="Q239" s="17">
        <v>5258</v>
      </c>
      <c r="R239" s="17">
        <v>75</v>
      </c>
      <c r="S239" s="17">
        <v>3790</v>
      </c>
      <c r="T239" s="17"/>
      <c r="U239" s="17"/>
      <c r="V239" s="17"/>
      <c r="W239" s="17"/>
      <c r="X239" s="15">
        <v>310.5</v>
      </c>
      <c r="Y239" s="17">
        <v>187</v>
      </c>
      <c r="Z239" s="17">
        <v>517</v>
      </c>
      <c r="AA239" s="17">
        <v>2459</v>
      </c>
      <c r="AB239" s="12">
        <f t="shared" si="3"/>
        <v>236</v>
      </c>
    </row>
    <row r="240" ht="14.25" spans="1:28">
      <c r="A240" s="13">
        <v>280</v>
      </c>
      <c r="B240" s="15">
        <v>6</v>
      </c>
      <c r="C240" s="16">
        <v>32</v>
      </c>
      <c r="D240" s="17" t="s">
        <v>571</v>
      </c>
      <c r="E240" s="17" t="s">
        <v>572</v>
      </c>
      <c r="F240" s="17">
        <v>99</v>
      </c>
      <c r="G240" s="17">
        <v>3868</v>
      </c>
      <c r="H240" s="17">
        <v>101.5</v>
      </c>
      <c r="I240" s="17">
        <v>3477</v>
      </c>
      <c r="J240" s="17">
        <v>78.75</v>
      </c>
      <c r="K240" s="17">
        <v>8143</v>
      </c>
      <c r="L240" s="17">
        <v>61.5</v>
      </c>
      <c r="M240" s="17">
        <v>1929</v>
      </c>
      <c r="N240" s="17"/>
      <c r="O240" s="17"/>
      <c r="P240" s="17"/>
      <c r="Q240" s="17"/>
      <c r="R240" s="17">
        <v>89</v>
      </c>
      <c r="S240" s="17">
        <v>415</v>
      </c>
      <c r="T240" s="17"/>
      <c r="U240" s="17"/>
      <c r="V240" s="17">
        <v>87</v>
      </c>
      <c r="W240" s="17">
        <v>273</v>
      </c>
      <c r="X240" s="15">
        <v>279.25</v>
      </c>
      <c r="Y240" s="17">
        <v>453</v>
      </c>
      <c r="Z240" s="17">
        <v>516.75</v>
      </c>
      <c r="AA240" s="17">
        <v>2470</v>
      </c>
      <c r="AB240" s="12">
        <f t="shared" si="3"/>
        <v>238</v>
      </c>
    </row>
    <row r="241" ht="14.25" spans="1:28">
      <c r="A241" s="13">
        <v>628</v>
      </c>
      <c r="B241" s="15">
        <v>13</v>
      </c>
      <c r="C241" s="16">
        <v>21</v>
      </c>
      <c r="D241" s="17" t="s">
        <v>1264</v>
      </c>
      <c r="E241" s="17" t="s">
        <v>1265</v>
      </c>
      <c r="F241" s="17">
        <v>100.5</v>
      </c>
      <c r="G241" s="17">
        <v>3131</v>
      </c>
      <c r="H241" s="17">
        <v>104</v>
      </c>
      <c r="I241" s="17">
        <v>2999</v>
      </c>
      <c r="J241" s="17">
        <v>105.75</v>
      </c>
      <c r="K241" s="17">
        <v>2077</v>
      </c>
      <c r="L241" s="17">
        <v>46</v>
      </c>
      <c r="M241" s="17">
        <v>4785</v>
      </c>
      <c r="N241" s="17"/>
      <c r="O241" s="17"/>
      <c r="P241" s="17">
        <v>79</v>
      </c>
      <c r="Q241" s="17">
        <v>2632</v>
      </c>
      <c r="R241" s="17">
        <v>81</v>
      </c>
      <c r="S241" s="17">
        <v>2139</v>
      </c>
      <c r="T241" s="17"/>
      <c r="U241" s="17"/>
      <c r="V241" s="17"/>
      <c r="W241" s="17"/>
      <c r="X241" s="15">
        <v>310.25</v>
      </c>
      <c r="Y241" s="17">
        <v>189</v>
      </c>
      <c r="Z241" s="17">
        <v>516.25</v>
      </c>
      <c r="AA241" s="17">
        <v>2490</v>
      </c>
      <c r="AB241" s="12">
        <f t="shared" si="3"/>
        <v>239</v>
      </c>
    </row>
    <row r="242" ht="14.25" spans="1:28">
      <c r="A242" s="13">
        <v>218</v>
      </c>
      <c r="B242" s="15">
        <v>5</v>
      </c>
      <c r="C242" s="16">
        <v>15</v>
      </c>
      <c r="D242" s="17" t="s">
        <v>449</v>
      </c>
      <c r="E242" s="17" t="s">
        <v>450</v>
      </c>
      <c r="F242" s="17">
        <v>90.5</v>
      </c>
      <c r="G242" s="17">
        <v>8999</v>
      </c>
      <c r="H242" s="17">
        <v>105</v>
      </c>
      <c r="I242" s="17">
        <v>2810</v>
      </c>
      <c r="J242" s="17">
        <v>94</v>
      </c>
      <c r="K242" s="17">
        <v>4318</v>
      </c>
      <c r="L242" s="17">
        <v>60.5</v>
      </c>
      <c r="M242" s="17">
        <v>2106</v>
      </c>
      <c r="N242" s="17"/>
      <c r="O242" s="17"/>
      <c r="P242" s="17">
        <v>87</v>
      </c>
      <c r="Q242" s="17">
        <v>681</v>
      </c>
      <c r="R242" s="17"/>
      <c r="S242" s="17"/>
      <c r="T242" s="17"/>
      <c r="U242" s="17"/>
      <c r="V242" s="17">
        <v>79</v>
      </c>
      <c r="W242" s="17">
        <v>1023</v>
      </c>
      <c r="X242" s="15">
        <v>289.5</v>
      </c>
      <c r="Y242" s="17">
        <v>371</v>
      </c>
      <c r="Z242" s="17">
        <v>516</v>
      </c>
      <c r="AA242" s="17">
        <v>2500</v>
      </c>
      <c r="AB242" s="12">
        <f t="shared" si="3"/>
        <v>240</v>
      </c>
    </row>
    <row r="243" ht="14.25" spans="1:28">
      <c r="A243" s="13">
        <v>611</v>
      </c>
      <c r="B243" s="15">
        <v>13</v>
      </c>
      <c r="C243" s="16">
        <v>2</v>
      </c>
      <c r="D243" s="17" t="s">
        <v>1230</v>
      </c>
      <c r="E243" s="17" t="s">
        <v>1231</v>
      </c>
      <c r="F243" s="17">
        <v>99</v>
      </c>
      <c r="G243" s="17">
        <v>3868</v>
      </c>
      <c r="H243" s="17">
        <v>113.5</v>
      </c>
      <c r="I243" s="17">
        <v>1397</v>
      </c>
      <c r="J243" s="17">
        <v>85</v>
      </c>
      <c r="K243" s="17">
        <v>6480</v>
      </c>
      <c r="L243" s="17">
        <v>54.5</v>
      </c>
      <c r="M243" s="17">
        <v>3126</v>
      </c>
      <c r="N243" s="17"/>
      <c r="O243" s="17"/>
      <c r="P243" s="17">
        <v>82</v>
      </c>
      <c r="Q243" s="17">
        <v>1870</v>
      </c>
      <c r="R243" s="17">
        <v>82</v>
      </c>
      <c r="S243" s="17">
        <v>1915</v>
      </c>
      <c r="T243" s="17"/>
      <c r="U243" s="17"/>
      <c r="V243" s="17"/>
      <c r="W243" s="17"/>
      <c r="X243" s="15">
        <v>297.5</v>
      </c>
      <c r="Y243" s="17">
        <v>299</v>
      </c>
      <c r="Z243" s="17">
        <v>516</v>
      </c>
      <c r="AA243" s="17">
        <v>2500</v>
      </c>
      <c r="AB243" s="12">
        <f t="shared" si="3"/>
        <v>240</v>
      </c>
    </row>
    <row r="244" ht="14.25" spans="1:28">
      <c r="A244" s="13">
        <v>627</v>
      </c>
      <c r="B244" s="15">
        <v>13</v>
      </c>
      <c r="C244" s="16">
        <v>20</v>
      </c>
      <c r="D244" s="17" t="s">
        <v>1262</v>
      </c>
      <c r="E244" s="17" t="s">
        <v>1263</v>
      </c>
      <c r="F244" s="17">
        <v>96</v>
      </c>
      <c r="G244" s="17">
        <v>5544</v>
      </c>
      <c r="H244" s="17">
        <v>109.5</v>
      </c>
      <c r="I244" s="17">
        <v>2023</v>
      </c>
      <c r="J244" s="17">
        <v>104.25</v>
      </c>
      <c r="K244" s="17">
        <v>2330</v>
      </c>
      <c r="L244" s="17">
        <v>42</v>
      </c>
      <c r="M244" s="17">
        <v>5731</v>
      </c>
      <c r="N244" s="17"/>
      <c r="O244" s="17"/>
      <c r="P244" s="17">
        <v>83</v>
      </c>
      <c r="Q244" s="17">
        <v>1643</v>
      </c>
      <c r="R244" s="17">
        <v>81</v>
      </c>
      <c r="S244" s="17">
        <v>2139</v>
      </c>
      <c r="T244" s="17"/>
      <c r="U244" s="17"/>
      <c r="V244" s="17"/>
      <c r="W244" s="17"/>
      <c r="X244" s="15">
        <v>309.75</v>
      </c>
      <c r="Y244" s="17">
        <v>196</v>
      </c>
      <c r="Z244" s="17">
        <v>515.75</v>
      </c>
      <c r="AA244" s="17">
        <v>2519</v>
      </c>
      <c r="AB244" s="12">
        <f t="shared" si="3"/>
        <v>242</v>
      </c>
    </row>
    <row r="245" ht="14.25" spans="1:28">
      <c r="A245" s="13">
        <v>25</v>
      </c>
      <c r="B245" s="15">
        <v>1</v>
      </c>
      <c r="C245" s="16">
        <v>27</v>
      </c>
      <c r="D245" s="17" t="s">
        <v>64</v>
      </c>
      <c r="E245" s="17" t="s">
        <v>65</v>
      </c>
      <c r="F245" s="17">
        <v>111</v>
      </c>
      <c r="G245" s="17">
        <v>303</v>
      </c>
      <c r="H245" s="17">
        <v>107.5</v>
      </c>
      <c r="I245" s="17">
        <v>2373</v>
      </c>
      <c r="J245" s="17">
        <v>91</v>
      </c>
      <c r="K245" s="17">
        <v>5010</v>
      </c>
      <c r="L245" s="17">
        <v>56</v>
      </c>
      <c r="M245" s="17">
        <v>2878</v>
      </c>
      <c r="N245" s="17"/>
      <c r="O245" s="17"/>
      <c r="P245" s="17">
        <v>70</v>
      </c>
      <c r="Q245" s="17">
        <v>5445</v>
      </c>
      <c r="R245" s="17"/>
      <c r="S245" s="17"/>
      <c r="T245" s="17">
        <v>80</v>
      </c>
      <c r="U245" s="17">
        <v>813</v>
      </c>
      <c r="V245" s="17"/>
      <c r="W245" s="17"/>
      <c r="X245" s="15">
        <v>309.5</v>
      </c>
      <c r="Y245" s="17">
        <v>197</v>
      </c>
      <c r="Z245" s="17">
        <v>515.5</v>
      </c>
      <c r="AA245" s="17">
        <v>2526</v>
      </c>
      <c r="AB245" s="12">
        <f t="shared" si="3"/>
        <v>243</v>
      </c>
    </row>
    <row r="246" ht="14.25" spans="1:28">
      <c r="A246" s="13">
        <v>243</v>
      </c>
      <c r="B246" s="15">
        <v>5</v>
      </c>
      <c r="C246" s="16">
        <v>40</v>
      </c>
      <c r="D246" s="17" t="s">
        <v>499</v>
      </c>
      <c r="E246" s="17" t="s">
        <v>500</v>
      </c>
      <c r="F246" s="17">
        <v>103</v>
      </c>
      <c r="G246" s="17">
        <v>2094</v>
      </c>
      <c r="H246" s="17">
        <v>97.5</v>
      </c>
      <c r="I246" s="17">
        <v>4244</v>
      </c>
      <c r="J246" s="17">
        <v>112</v>
      </c>
      <c r="K246" s="17">
        <v>1229</v>
      </c>
      <c r="L246" s="17">
        <v>44</v>
      </c>
      <c r="M246" s="17">
        <v>5222</v>
      </c>
      <c r="N246" s="17"/>
      <c r="O246" s="17"/>
      <c r="P246" s="17">
        <v>77</v>
      </c>
      <c r="Q246" s="17">
        <v>3207</v>
      </c>
      <c r="R246" s="17"/>
      <c r="S246" s="17"/>
      <c r="T246" s="17"/>
      <c r="U246" s="17"/>
      <c r="V246" s="17">
        <v>82</v>
      </c>
      <c r="W246" s="17">
        <v>723</v>
      </c>
      <c r="X246" s="15">
        <v>312.5</v>
      </c>
      <c r="Y246" s="17">
        <v>168</v>
      </c>
      <c r="Z246" s="17">
        <v>515.5</v>
      </c>
      <c r="AA246" s="17">
        <v>2526</v>
      </c>
      <c r="AB246" s="12">
        <f t="shared" si="3"/>
        <v>243</v>
      </c>
    </row>
    <row r="247" ht="14.25" spans="1:28">
      <c r="A247" s="13">
        <v>304</v>
      </c>
      <c r="B247" s="15">
        <v>7</v>
      </c>
      <c r="C247" s="16">
        <v>15</v>
      </c>
      <c r="D247" s="17" t="s">
        <v>619</v>
      </c>
      <c r="E247" s="17" t="s">
        <v>620</v>
      </c>
      <c r="F247" s="17">
        <v>102</v>
      </c>
      <c r="G247" s="17">
        <v>2480</v>
      </c>
      <c r="H247" s="17">
        <v>112.5</v>
      </c>
      <c r="I247" s="17">
        <v>1543</v>
      </c>
      <c r="J247" s="17">
        <v>99.25</v>
      </c>
      <c r="K247" s="17">
        <v>3211</v>
      </c>
      <c r="L247" s="17">
        <v>49.5</v>
      </c>
      <c r="M247" s="17">
        <v>4044</v>
      </c>
      <c r="N247" s="17"/>
      <c r="O247" s="17"/>
      <c r="P247" s="17"/>
      <c r="Q247" s="17"/>
      <c r="R247" s="17">
        <v>81</v>
      </c>
      <c r="S247" s="17">
        <v>2139</v>
      </c>
      <c r="T247" s="17"/>
      <c r="U247" s="17"/>
      <c r="V247" s="17">
        <v>71</v>
      </c>
      <c r="W247" s="17">
        <v>2172</v>
      </c>
      <c r="X247" s="15">
        <v>313.75</v>
      </c>
      <c r="Y247" s="17">
        <v>161</v>
      </c>
      <c r="Z247" s="17">
        <v>515.25</v>
      </c>
      <c r="AA247" s="17">
        <v>2533</v>
      </c>
      <c r="AB247" s="12">
        <f t="shared" si="3"/>
        <v>245</v>
      </c>
    </row>
    <row r="248" ht="14.25" spans="1:28">
      <c r="A248" s="13">
        <v>502</v>
      </c>
      <c r="B248" s="15">
        <v>11</v>
      </c>
      <c r="C248" s="16">
        <v>6</v>
      </c>
      <c r="D248" s="17" t="s">
        <v>1014</v>
      </c>
      <c r="E248" s="17" t="s">
        <v>1015</v>
      </c>
      <c r="F248" s="17">
        <v>92.75</v>
      </c>
      <c r="G248" s="17">
        <v>7661</v>
      </c>
      <c r="H248" s="17">
        <v>107.5</v>
      </c>
      <c r="I248" s="17">
        <v>2373</v>
      </c>
      <c r="J248" s="17">
        <v>83.5</v>
      </c>
      <c r="K248" s="17">
        <v>6874</v>
      </c>
      <c r="L248" s="17">
        <v>64.5</v>
      </c>
      <c r="M248" s="17">
        <v>1506</v>
      </c>
      <c r="N248" s="17"/>
      <c r="O248" s="17"/>
      <c r="P248" s="17">
        <v>78</v>
      </c>
      <c r="Q248" s="17">
        <v>2908</v>
      </c>
      <c r="R248" s="17">
        <v>89</v>
      </c>
      <c r="S248" s="17">
        <v>415</v>
      </c>
      <c r="T248" s="17"/>
      <c r="U248" s="17"/>
      <c r="V248" s="17"/>
      <c r="W248" s="17"/>
      <c r="X248" s="15">
        <v>283.75</v>
      </c>
      <c r="Y248" s="17">
        <v>411</v>
      </c>
      <c r="Z248" s="17">
        <v>515.25</v>
      </c>
      <c r="AA248" s="17">
        <v>2533</v>
      </c>
      <c r="AB248" s="12">
        <f t="shared" si="3"/>
        <v>245</v>
      </c>
    </row>
    <row r="249" ht="14.25" spans="1:28">
      <c r="A249" s="13">
        <v>93</v>
      </c>
      <c r="B249" s="15">
        <v>2</v>
      </c>
      <c r="C249" s="16">
        <v>30</v>
      </c>
      <c r="D249" s="17" t="s">
        <v>199</v>
      </c>
      <c r="E249" s="17" t="s">
        <v>200</v>
      </c>
      <c r="F249" s="17">
        <v>102</v>
      </c>
      <c r="G249" s="17">
        <v>2480</v>
      </c>
      <c r="H249" s="17">
        <v>107</v>
      </c>
      <c r="I249" s="17">
        <v>2461</v>
      </c>
      <c r="J249" s="17">
        <v>99.5</v>
      </c>
      <c r="K249" s="17">
        <v>3134</v>
      </c>
      <c r="L249" s="17">
        <v>56.5</v>
      </c>
      <c r="M249" s="17">
        <v>2801</v>
      </c>
      <c r="N249" s="17"/>
      <c r="O249" s="17"/>
      <c r="P249" s="17"/>
      <c r="Q249" s="17"/>
      <c r="R249" s="17">
        <v>84</v>
      </c>
      <c r="S249" s="17">
        <v>1490</v>
      </c>
      <c r="T249" s="17">
        <v>66</v>
      </c>
      <c r="U249" s="17">
        <v>2417</v>
      </c>
      <c r="V249" s="17"/>
      <c r="W249" s="17"/>
      <c r="X249" s="15">
        <v>308.5</v>
      </c>
      <c r="Y249" s="17">
        <v>210</v>
      </c>
      <c r="Z249" s="17">
        <v>515</v>
      </c>
      <c r="AA249" s="17">
        <v>2542</v>
      </c>
      <c r="AB249" s="12">
        <f t="shared" si="3"/>
        <v>247</v>
      </c>
    </row>
    <row r="250" ht="14.25" spans="1:28">
      <c r="A250" s="13">
        <v>52</v>
      </c>
      <c r="B250" s="15">
        <v>1</v>
      </c>
      <c r="C250" s="16">
        <v>54</v>
      </c>
      <c r="D250" s="17" t="s">
        <v>118</v>
      </c>
      <c r="E250" s="17" t="s">
        <v>119</v>
      </c>
      <c r="F250" s="17">
        <v>99.5</v>
      </c>
      <c r="G250" s="17">
        <v>3607</v>
      </c>
      <c r="H250" s="17">
        <v>100.5</v>
      </c>
      <c r="I250" s="17">
        <v>3650</v>
      </c>
      <c r="J250" s="17">
        <v>109</v>
      </c>
      <c r="K250" s="17">
        <v>1584</v>
      </c>
      <c r="L250" s="17">
        <v>54.5</v>
      </c>
      <c r="M250" s="17">
        <v>3126</v>
      </c>
      <c r="N250" s="17"/>
      <c r="O250" s="17"/>
      <c r="P250" s="17">
        <v>71</v>
      </c>
      <c r="Q250" s="17">
        <v>5258</v>
      </c>
      <c r="R250" s="17"/>
      <c r="S250" s="17"/>
      <c r="T250" s="17">
        <v>80</v>
      </c>
      <c r="U250" s="17">
        <v>813</v>
      </c>
      <c r="V250" s="17"/>
      <c r="W250" s="17"/>
      <c r="X250" s="15">
        <v>309</v>
      </c>
      <c r="Y250" s="17">
        <v>203</v>
      </c>
      <c r="Z250" s="17">
        <v>514.5</v>
      </c>
      <c r="AA250" s="17">
        <v>2568</v>
      </c>
      <c r="AB250" s="12">
        <f t="shared" si="3"/>
        <v>248</v>
      </c>
    </row>
    <row r="251" ht="14.25" spans="1:28">
      <c r="A251" s="13">
        <v>71</v>
      </c>
      <c r="B251" s="15">
        <v>2</v>
      </c>
      <c r="C251" s="16">
        <v>8</v>
      </c>
      <c r="D251" s="17" t="s">
        <v>156</v>
      </c>
      <c r="E251" s="17" t="s">
        <v>157</v>
      </c>
      <c r="F251" s="17">
        <v>102</v>
      </c>
      <c r="G251" s="17">
        <v>2480</v>
      </c>
      <c r="H251" s="17">
        <v>97</v>
      </c>
      <c r="I251" s="17">
        <v>4348</v>
      </c>
      <c r="J251" s="17">
        <v>86.5</v>
      </c>
      <c r="K251" s="17">
        <v>6120</v>
      </c>
      <c r="L251" s="17">
        <v>67.5</v>
      </c>
      <c r="M251" s="17">
        <v>1130</v>
      </c>
      <c r="N251" s="17"/>
      <c r="O251" s="17"/>
      <c r="P251" s="17"/>
      <c r="Q251" s="17"/>
      <c r="R251" s="17">
        <v>87</v>
      </c>
      <c r="S251" s="17">
        <v>883</v>
      </c>
      <c r="T251" s="17">
        <v>74</v>
      </c>
      <c r="U251" s="17">
        <v>1516</v>
      </c>
      <c r="V251" s="17"/>
      <c r="W251" s="17"/>
      <c r="X251" s="15">
        <v>285.5</v>
      </c>
      <c r="Y251" s="17">
        <v>397</v>
      </c>
      <c r="Z251" s="17">
        <v>514</v>
      </c>
      <c r="AA251" s="17">
        <v>2591</v>
      </c>
      <c r="AB251" s="12">
        <f t="shared" si="3"/>
        <v>249</v>
      </c>
    </row>
    <row r="252" ht="14.25" spans="1:28">
      <c r="A252" s="13">
        <v>381</v>
      </c>
      <c r="B252" s="15">
        <v>8</v>
      </c>
      <c r="C252" s="16">
        <v>55</v>
      </c>
      <c r="D252" s="19" t="s">
        <v>772</v>
      </c>
      <c r="E252" s="17" t="s">
        <v>773</v>
      </c>
      <c r="F252" s="17">
        <v>95.5</v>
      </c>
      <c r="G252" s="17">
        <v>5877</v>
      </c>
      <c r="H252" s="17">
        <v>115.5</v>
      </c>
      <c r="I252" s="17">
        <v>1149</v>
      </c>
      <c r="J252" s="17">
        <v>106.5</v>
      </c>
      <c r="K252" s="17">
        <v>1929</v>
      </c>
      <c r="L252" s="17">
        <v>45.5</v>
      </c>
      <c r="M252" s="17">
        <v>4898</v>
      </c>
      <c r="N252" s="17"/>
      <c r="O252" s="17"/>
      <c r="P252" s="17">
        <v>74</v>
      </c>
      <c r="Q252" s="17">
        <v>4168</v>
      </c>
      <c r="R252" s="17">
        <v>77</v>
      </c>
      <c r="S252" s="17">
        <v>3183</v>
      </c>
      <c r="T252" s="17"/>
      <c r="U252" s="17"/>
      <c r="V252" s="17"/>
      <c r="W252" s="17"/>
      <c r="X252" s="15">
        <v>317.5</v>
      </c>
      <c r="Y252" s="17">
        <v>135</v>
      </c>
      <c r="Z252" s="17">
        <v>514</v>
      </c>
      <c r="AA252" s="17">
        <v>2591</v>
      </c>
      <c r="AB252" s="12">
        <f t="shared" si="3"/>
        <v>249</v>
      </c>
    </row>
    <row r="253" ht="14.25" spans="1:28">
      <c r="A253" s="13">
        <v>357</v>
      </c>
      <c r="B253" s="15">
        <v>8</v>
      </c>
      <c r="C253" s="16">
        <v>31</v>
      </c>
      <c r="D253" s="17" t="s">
        <v>725</v>
      </c>
      <c r="E253" s="17" t="s">
        <v>726</v>
      </c>
      <c r="F253" s="17">
        <v>99</v>
      </c>
      <c r="G253" s="17">
        <v>3868</v>
      </c>
      <c r="H253" s="17">
        <v>114.5</v>
      </c>
      <c r="I253" s="17">
        <v>1277</v>
      </c>
      <c r="J253" s="17">
        <v>97.25</v>
      </c>
      <c r="K253" s="17">
        <v>3624</v>
      </c>
      <c r="L253" s="17">
        <v>49</v>
      </c>
      <c r="M253" s="17">
        <v>4146</v>
      </c>
      <c r="N253" s="17"/>
      <c r="O253" s="17"/>
      <c r="P253" s="17">
        <v>76</v>
      </c>
      <c r="Q253" s="17">
        <v>3515</v>
      </c>
      <c r="R253" s="17">
        <v>78</v>
      </c>
      <c r="S253" s="17">
        <v>2906</v>
      </c>
      <c r="T253" s="17"/>
      <c r="U253" s="17"/>
      <c r="V253" s="17"/>
      <c r="W253" s="17"/>
      <c r="X253" s="15">
        <v>310.75</v>
      </c>
      <c r="Y253" s="17">
        <v>183</v>
      </c>
      <c r="Z253" s="17">
        <v>513.75</v>
      </c>
      <c r="AA253" s="17">
        <v>2604</v>
      </c>
      <c r="AB253" s="12">
        <f t="shared" si="3"/>
        <v>251</v>
      </c>
    </row>
    <row r="254" ht="14.25" spans="1:28">
      <c r="A254" s="13">
        <v>524</v>
      </c>
      <c r="B254" s="15">
        <v>11</v>
      </c>
      <c r="C254" s="16">
        <v>29</v>
      </c>
      <c r="D254" s="17" t="s">
        <v>1058</v>
      </c>
      <c r="E254" s="17" t="s">
        <v>1059</v>
      </c>
      <c r="F254" s="17">
        <v>103</v>
      </c>
      <c r="G254" s="17">
        <v>2094</v>
      </c>
      <c r="H254" s="17">
        <v>102.5</v>
      </c>
      <c r="I254" s="17">
        <v>3278</v>
      </c>
      <c r="J254" s="17">
        <v>100.75</v>
      </c>
      <c r="K254" s="17">
        <v>2915</v>
      </c>
      <c r="L254" s="17">
        <v>57.5</v>
      </c>
      <c r="M254" s="17">
        <v>2619</v>
      </c>
      <c r="N254" s="17"/>
      <c r="O254" s="17"/>
      <c r="P254" s="17">
        <v>73</v>
      </c>
      <c r="Q254" s="17">
        <v>4501</v>
      </c>
      <c r="R254" s="17">
        <v>77</v>
      </c>
      <c r="S254" s="17">
        <v>3183</v>
      </c>
      <c r="T254" s="17"/>
      <c r="U254" s="17"/>
      <c r="V254" s="17"/>
      <c r="W254" s="17"/>
      <c r="X254" s="15">
        <v>306.25</v>
      </c>
      <c r="Y254" s="17">
        <v>225</v>
      </c>
      <c r="Z254" s="17">
        <v>513.75</v>
      </c>
      <c r="AA254" s="17">
        <v>2604</v>
      </c>
      <c r="AB254" s="12">
        <f t="shared" si="3"/>
        <v>251</v>
      </c>
    </row>
    <row r="255" ht="14.25" spans="1:28">
      <c r="A255" s="13">
        <v>338</v>
      </c>
      <c r="B255" s="15">
        <v>8</v>
      </c>
      <c r="C255" s="16">
        <v>10</v>
      </c>
      <c r="D255" s="17" t="s">
        <v>687</v>
      </c>
      <c r="E255" s="17" t="s">
        <v>688</v>
      </c>
      <c r="F255" s="17">
        <v>110.5</v>
      </c>
      <c r="G255" s="17">
        <v>372</v>
      </c>
      <c r="H255" s="17">
        <v>106.5</v>
      </c>
      <c r="I255" s="17">
        <v>2542</v>
      </c>
      <c r="J255" s="17">
        <v>76</v>
      </c>
      <c r="K255" s="17">
        <v>8837</v>
      </c>
      <c r="L255" s="17">
        <v>56.5</v>
      </c>
      <c r="M255" s="17">
        <v>2801</v>
      </c>
      <c r="N255" s="17"/>
      <c r="O255" s="17"/>
      <c r="P255" s="17">
        <v>89</v>
      </c>
      <c r="Q255" s="17">
        <v>222</v>
      </c>
      <c r="R255" s="17">
        <v>75</v>
      </c>
      <c r="S255" s="17">
        <v>3790</v>
      </c>
      <c r="T255" s="17"/>
      <c r="U255" s="17"/>
      <c r="V255" s="17"/>
      <c r="W255" s="17"/>
      <c r="X255" s="15">
        <v>293</v>
      </c>
      <c r="Y255" s="17">
        <v>335</v>
      </c>
      <c r="Z255" s="17">
        <v>513.5</v>
      </c>
      <c r="AA255" s="17">
        <v>2612</v>
      </c>
      <c r="AB255" s="12">
        <f t="shared" si="3"/>
        <v>253</v>
      </c>
    </row>
    <row r="256" ht="14.25" spans="1:28">
      <c r="A256" s="13">
        <v>507</v>
      </c>
      <c r="B256" s="15">
        <v>11</v>
      </c>
      <c r="C256" s="16">
        <v>11</v>
      </c>
      <c r="D256" s="17" t="s">
        <v>1024</v>
      </c>
      <c r="E256" s="17" t="s">
        <v>1025</v>
      </c>
      <c r="F256" s="17">
        <v>95</v>
      </c>
      <c r="G256" s="17">
        <v>6168</v>
      </c>
      <c r="H256" s="17">
        <v>118</v>
      </c>
      <c r="I256" s="17">
        <v>885</v>
      </c>
      <c r="J256" s="17">
        <v>101.5</v>
      </c>
      <c r="K256" s="17">
        <v>2779</v>
      </c>
      <c r="L256" s="17">
        <v>45</v>
      </c>
      <c r="M256" s="17">
        <v>5014</v>
      </c>
      <c r="N256" s="17"/>
      <c r="O256" s="17"/>
      <c r="P256" s="17">
        <v>75</v>
      </c>
      <c r="Q256" s="17">
        <v>3841</v>
      </c>
      <c r="R256" s="17">
        <v>79</v>
      </c>
      <c r="S256" s="17">
        <v>2629</v>
      </c>
      <c r="T256" s="17"/>
      <c r="U256" s="17"/>
      <c r="V256" s="17"/>
      <c r="W256" s="17"/>
      <c r="X256" s="15">
        <v>314.5</v>
      </c>
      <c r="Y256" s="17">
        <v>152</v>
      </c>
      <c r="Z256" s="17">
        <v>513.5</v>
      </c>
      <c r="AA256" s="17">
        <v>2612</v>
      </c>
      <c r="AB256" s="12">
        <f t="shared" si="3"/>
        <v>253</v>
      </c>
    </row>
    <row r="257" ht="14.25" spans="1:28">
      <c r="A257" s="13">
        <v>634</v>
      </c>
      <c r="B257" s="15">
        <v>13</v>
      </c>
      <c r="C257" s="16">
        <v>27</v>
      </c>
      <c r="D257" s="17" t="s">
        <v>1276</v>
      </c>
      <c r="E257" s="17" t="s">
        <v>1277</v>
      </c>
      <c r="F257" s="17">
        <v>94.75</v>
      </c>
      <c r="G257" s="17">
        <v>6456</v>
      </c>
      <c r="H257" s="17">
        <v>118.5</v>
      </c>
      <c r="I257" s="17">
        <v>833</v>
      </c>
      <c r="J257" s="17">
        <v>93.75</v>
      </c>
      <c r="K257" s="17">
        <v>4401</v>
      </c>
      <c r="L257" s="17">
        <v>53.5</v>
      </c>
      <c r="M257" s="17">
        <v>3296</v>
      </c>
      <c r="N257" s="17"/>
      <c r="O257" s="17"/>
      <c r="P257" s="17">
        <v>77</v>
      </c>
      <c r="Q257" s="17">
        <v>3207</v>
      </c>
      <c r="R257" s="17">
        <v>76</v>
      </c>
      <c r="S257" s="17">
        <v>3491</v>
      </c>
      <c r="T257" s="17"/>
      <c r="U257" s="17"/>
      <c r="V257" s="17"/>
      <c r="W257" s="17"/>
      <c r="X257" s="15">
        <v>307</v>
      </c>
      <c r="Y257" s="17">
        <v>221</v>
      </c>
      <c r="Z257" s="17">
        <v>513.5</v>
      </c>
      <c r="AA257" s="17">
        <v>2612</v>
      </c>
      <c r="AB257" s="12">
        <f t="shared" si="3"/>
        <v>253</v>
      </c>
    </row>
    <row r="258" ht="14.25" spans="1:28">
      <c r="A258" s="13">
        <v>106</v>
      </c>
      <c r="B258" s="15">
        <v>2</v>
      </c>
      <c r="C258" s="16">
        <v>44</v>
      </c>
      <c r="D258" s="17" t="s">
        <v>225</v>
      </c>
      <c r="E258" s="17" t="s">
        <v>226</v>
      </c>
      <c r="F258" s="17">
        <v>113.5</v>
      </c>
      <c r="G258" s="17">
        <v>139</v>
      </c>
      <c r="H258" s="17">
        <v>94.5</v>
      </c>
      <c r="I258" s="17">
        <v>4840</v>
      </c>
      <c r="J258" s="17">
        <v>95.75</v>
      </c>
      <c r="K258" s="17">
        <v>3946</v>
      </c>
      <c r="L258" s="17">
        <v>36.5</v>
      </c>
      <c r="M258" s="17">
        <v>7270</v>
      </c>
      <c r="N258" s="17"/>
      <c r="O258" s="17"/>
      <c r="P258" s="17"/>
      <c r="Q258" s="17"/>
      <c r="R258" s="17">
        <v>86</v>
      </c>
      <c r="S258" s="17">
        <v>1176</v>
      </c>
      <c r="T258" s="17">
        <v>87</v>
      </c>
      <c r="U258" s="17">
        <v>259</v>
      </c>
      <c r="V258" s="17"/>
      <c r="W258" s="17"/>
      <c r="X258" s="15">
        <v>303.75</v>
      </c>
      <c r="Y258" s="17">
        <v>248</v>
      </c>
      <c r="Z258" s="17">
        <v>513.25</v>
      </c>
      <c r="AA258" s="17">
        <v>2629</v>
      </c>
      <c r="AB258" s="12">
        <f t="shared" si="3"/>
        <v>256</v>
      </c>
    </row>
    <row r="259" ht="14.25" spans="1:28">
      <c r="A259" s="13">
        <v>188</v>
      </c>
      <c r="B259" s="15">
        <v>4</v>
      </c>
      <c r="C259" s="16">
        <v>30</v>
      </c>
      <c r="D259" s="17" t="s">
        <v>389</v>
      </c>
      <c r="E259" s="17" t="s">
        <v>390</v>
      </c>
      <c r="F259" s="17">
        <v>100.5</v>
      </c>
      <c r="G259" s="17">
        <v>3131</v>
      </c>
      <c r="H259" s="17">
        <v>108</v>
      </c>
      <c r="I259" s="17">
        <v>2274</v>
      </c>
      <c r="J259" s="17">
        <v>100.25</v>
      </c>
      <c r="K259" s="17">
        <v>3011</v>
      </c>
      <c r="L259" s="17">
        <v>44.5</v>
      </c>
      <c r="M259" s="17">
        <v>5122</v>
      </c>
      <c r="N259" s="17"/>
      <c r="O259" s="17"/>
      <c r="P259" s="17">
        <v>78</v>
      </c>
      <c r="Q259" s="17">
        <v>2908</v>
      </c>
      <c r="R259" s="17"/>
      <c r="S259" s="17"/>
      <c r="T259" s="17"/>
      <c r="U259" s="17"/>
      <c r="V259" s="17">
        <v>82</v>
      </c>
      <c r="W259" s="17">
        <v>723</v>
      </c>
      <c r="X259" s="15">
        <v>308.75</v>
      </c>
      <c r="Y259" s="17">
        <v>206</v>
      </c>
      <c r="Z259" s="17">
        <v>513.25</v>
      </c>
      <c r="AA259" s="17">
        <v>2629</v>
      </c>
      <c r="AB259" s="12">
        <f t="shared" ref="AB259:AB322" si="4">RANK(Z259,$Z$3:$Z$696)</f>
        <v>256</v>
      </c>
    </row>
    <row r="260" ht="14.25" spans="1:28">
      <c r="A260" s="13">
        <v>626</v>
      </c>
      <c r="B260" s="15">
        <v>13</v>
      </c>
      <c r="C260" s="16">
        <v>19</v>
      </c>
      <c r="D260" s="17" t="s">
        <v>1260</v>
      </c>
      <c r="E260" s="17" t="s">
        <v>1261</v>
      </c>
      <c r="F260" s="17">
        <v>104.25</v>
      </c>
      <c r="G260" s="17">
        <v>1691</v>
      </c>
      <c r="H260" s="17">
        <v>104</v>
      </c>
      <c r="I260" s="17">
        <v>2999</v>
      </c>
      <c r="J260" s="17">
        <v>99</v>
      </c>
      <c r="K260" s="17">
        <v>3244</v>
      </c>
      <c r="L260" s="17">
        <v>53</v>
      </c>
      <c r="M260" s="17">
        <v>3368</v>
      </c>
      <c r="N260" s="17"/>
      <c r="O260" s="17"/>
      <c r="P260" s="17">
        <v>79</v>
      </c>
      <c r="Q260" s="17">
        <v>2632</v>
      </c>
      <c r="R260" s="17">
        <v>74</v>
      </c>
      <c r="S260" s="17">
        <v>4119</v>
      </c>
      <c r="T260" s="17"/>
      <c r="U260" s="17"/>
      <c r="V260" s="17"/>
      <c r="W260" s="17"/>
      <c r="X260" s="15">
        <v>307.25</v>
      </c>
      <c r="Y260" s="17">
        <v>219</v>
      </c>
      <c r="Z260" s="17">
        <v>513.25</v>
      </c>
      <c r="AA260" s="17">
        <v>2629</v>
      </c>
      <c r="AB260" s="12">
        <f t="shared" si="4"/>
        <v>256</v>
      </c>
    </row>
    <row r="261" ht="14.25" spans="1:28">
      <c r="A261" s="13">
        <v>336</v>
      </c>
      <c r="B261" s="15">
        <v>8</v>
      </c>
      <c r="C261" s="16">
        <v>8</v>
      </c>
      <c r="D261" s="17" t="s">
        <v>683</v>
      </c>
      <c r="E261" s="17" t="s">
        <v>684</v>
      </c>
      <c r="F261" s="17">
        <v>107.5</v>
      </c>
      <c r="G261" s="17">
        <v>829</v>
      </c>
      <c r="H261" s="17">
        <v>110.5</v>
      </c>
      <c r="I261" s="17">
        <v>1866</v>
      </c>
      <c r="J261" s="17">
        <v>75</v>
      </c>
      <c r="K261" s="17">
        <v>9087</v>
      </c>
      <c r="L261" s="17">
        <v>69</v>
      </c>
      <c r="M261" s="17">
        <v>949</v>
      </c>
      <c r="N261" s="17"/>
      <c r="O261" s="17"/>
      <c r="P261" s="17">
        <v>72</v>
      </c>
      <c r="Q261" s="17">
        <v>4881</v>
      </c>
      <c r="R261" s="17">
        <v>79</v>
      </c>
      <c r="S261" s="17">
        <v>2629</v>
      </c>
      <c r="T261" s="17"/>
      <c r="U261" s="17"/>
      <c r="V261" s="17"/>
      <c r="W261" s="17"/>
      <c r="X261" s="15">
        <v>293</v>
      </c>
      <c r="Y261" s="17">
        <v>335</v>
      </c>
      <c r="Z261" s="17">
        <v>513</v>
      </c>
      <c r="AA261" s="17">
        <v>2634</v>
      </c>
      <c r="AB261" s="12">
        <f t="shared" si="4"/>
        <v>259</v>
      </c>
    </row>
    <row r="262" ht="14.25" spans="1:28">
      <c r="A262" s="13">
        <v>254</v>
      </c>
      <c r="B262" s="15">
        <v>6</v>
      </c>
      <c r="C262" s="16">
        <v>5</v>
      </c>
      <c r="D262" s="17" t="s">
        <v>519</v>
      </c>
      <c r="E262" s="17" t="s">
        <v>520</v>
      </c>
      <c r="F262" s="17">
        <v>100</v>
      </c>
      <c r="G262" s="17">
        <v>3368</v>
      </c>
      <c r="H262" s="17">
        <v>90</v>
      </c>
      <c r="I262" s="17">
        <v>5850</v>
      </c>
      <c r="J262" s="17">
        <v>90.5</v>
      </c>
      <c r="K262" s="17">
        <v>5135</v>
      </c>
      <c r="L262" s="17">
        <v>61</v>
      </c>
      <c r="M262" s="17">
        <v>2008</v>
      </c>
      <c r="N262" s="17"/>
      <c r="O262" s="17"/>
      <c r="P262" s="17"/>
      <c r="Q262" s="17"/>
      <c r="R262" s="17">
        <v>84</v>
      </c>
      <c r="S262" s="17">
        <v>1490</v>
      </c>
      <c r="T262" s="17"/>
      <c r="U262" s="17"/>
      <c r="V262" s="17">
        <v>87</v>
      </c>
      <c r="W262" s="17">
        <v>273</v>
      </c>
      <c r="X262" s="15">
        <v>280.5</v>
      </c>
      <c r="Y262" s="17">
        <v>443</v>
      </c>
      <c r="Z262" s="17">
        <v>512.5</v>
      </c>
      <c r="AA262" s="17">
        <v>2652</v>
      </c>
      <c r="AB262" s="12">
        <f t="shared" si="4"/>
        <v>260</v>
      </c>
    </row>
    <row r="263" ht="14.25" spans="1:28">
      <c r="A263" s="13">
        <v>110</v>
      </c>
      <c r="B263" s="15">
        <v>2</v>
      </c>
      <c r="C263" s="16">
        <v>49</v>
      </c>
      <c r="D263" s="17" t="s">
        <v>233</v>
      </c>
      <c r="E263" s="17" t="s">
        <v>234</v>
      </c>
      <c r="F263" s="17">
        <v>95.75</v>
      </c>
      <c r="G263" s="17">
        <v>5826</v>
      </c>
      <c r="H263" s="17">
        <v>116.5</v>
      </c>
      <c r="I263" s="17">
        <v>1035</v>
      </c>
      <c r="J263" s="17">
        <v>89.75</v>
      </c>
      <c r="K263" s="17">
        <v>5344</v>
      </c>
      <c r="L263" s="17">
        <v>45</v>
      </c>
      <c r="M263" s="17">
        <v>5014</v>
      </c>
      <c r="N263" s="17"/>
      <c r="O263" s="17"/>
      <c r="P263" s="17"/>
      <c r="Q263" s="17"/>
      <c r="R263" s="17">
        <v>81</v>
      </c>
      <c r="S263" s="17">
        <v>2139</v>
      </c>
      <c r="T263" s="17">
        <v>84</v>
      </c>
      <c r="U263" s="17">
        <v>506</v>
      </c>
      <c r="V263" s="17"/>
      <c r="W263" s="17"/>
      <c r="X263" s="15">
        <v>302</v>
      </c>
      <c r="Y263" s="17">
        <v>261</v>
      </c>
      <c r="Z263" s="17">
        <v>512</v>
      </c>
      <c r="AA263" s="17">
        <v>2673</v>
      </c>
      <c r="AB263" s="12">
        <f t="shared" si="4"/>
        <v>261</v>
      </c>
    </row>
    <row r="264" ht="14.25" spans="1:28">
      <c r="A264" s="13">
        <v>121</v>
      </c>
      <c r="B264" s="15">
        <v>3</v>
      </c>
      <c r="C264" s="16">
        <v>10</v>
      </c>
      <c r="D264" s="17" t="s">
        <v>255</v>
      </c>
      <c r="E264" s="17" t="s">
        <v>256</v>
      </c>
      <c r="F264" s="17">
        <v>107</v>
      </c>
      <c r="G264" s="17">
        <v>945</v>
      </c>
      <c r="H264" s="17">
        <v>109.5</v>
      </c>
      <c r="I264" s="17">
        <v>2023</v>
      </c>
      <c r="J264" s="17">
        <v>98.5</v>
      </c>
      <c r="K264" s="17">
        <v>3338</v>
      </c>
      <c r="L264" s="17">
        <v>47</v>
      </c>
      <c r="M264" s="17">
        <v>4568</v>
      </c>
      <c r="N264" s="17"/>
      <c r="O264" s="17"/>
      <c r="P264" s="17">
        <v>73</v>
      </c>
      <c r="Q264" s="17">
        <v>4501</v>
      </c>
      <c r="R264" s="17"/>
      <c r="S264" s="17"/>
      <c r="T264" s="17"/>
      <c r="U264" s="17"/>
      <c r="V264" s="17">
        <v>77</v>
      </c>
      <c r="W264" s="17">
        <v>1318</v>
      </c>
      <c r="X264" s="15">
        <v>315</v>
      </c>
      <c r="Y264" s="17">
        <v>149</v>
      </c>
      <c r="Z264" s="17">
        <v>512</v>
      </c>
      <c r="AA264" s="17">
        <v>2673</v>
      </c>
      <c r="AB264" s="12">
        <f t="shared" si="4"/>
        <v>261</v>
      </c>
    </row>
    <row r="265" ht="14.25" spans="1:28">
      <c r="A265" s="13">
        <v>646</v>
      </c>
      <c r="B265" s="15">
        <v>13</v>
      </c>
      <c r="C265" s="16">
        <v>40</v>
      </c>
      <c r="D265" s="17" t="s">
        <v>1299</v>
      </c>
      <c r="E265" s="17" t="s">
        <v>1300</v>
      </c>
      <c r="F265" s="17">
        <v>94</v>
      </c>
      <c r="G265" s="17">
        <v>6811</v>
      </c>
      <c r="H265" s="17">
        <v>108.5</v>
      </c>
      <c r="I265" s="17">
        <v>2198</v>
      </c>
      <c r="J265" s="17">
        <v>76</v>
      </c>
      <c r="K265" s="17">
        <v>8837</v>
      </c>
      <c r="L265" s="17">
        <v>64.5</v>
      </c>
      <c r="M265" s="17">
        <v>1506</v>
      </c>
      <c r="N265" s="17"/>
      <c r="O265" s="17"/>
      <c r="P265" s="17">
        <v>79</v>
      </c>
      <c r="Q265" s="17">
        <v>2632</v>
      </c>
      <c r="R265" s="17">
        <v>90</v>
      </c>
      <c r="S265" s="17">
        <v>255</v>
      </c>
      <c r="T265" s="17"/>
      <c r="U265" s="17"/>
      <c r="V265" s="17"/>
      <c r="W265" s="17"/>
      <c r="X265" s="15">
        <v>278.5</v>
      </c>
      <c r="Y265" s="17">
        <v>462</v>
      </c>
      <c r="Z265" s="17">
        <v>512</v>
      </c>
      <c r="AA265" s="17">
        <v>2673</v>
      </c>
      <c r="AB265" s="12">
        <f t="shared" si="4"/>
        <v>261</v>
      </c>
    </row>
    <row r="266" ht="14.25" spans="1:28">
      <c r="A266" s="13">
        <v>510</v>
      </c>
      <c r="B266" s="15">
        <v>11</v>
      </c>
      <c r="C266" s="16">
        <v>14</v>
      </c>
      <c r="D266" s="17" t="s">
        <v>1030</v>
      </c>
      <c r="E266" s="17" t="s">
        <v>1031</v>
      </c>
      <c r="F266" s="17">
        <v>101.5</v>
      </c>
      <c r="G266" s="17">
        <v>2674</v>
      </c>
      <c r="H266" s="17">
        <v>94.5</v>
      </c>
      <c r="I266" s="17">
        <v>4840</v>
      </c>
      <c r="J266" s="17">
        <v>94.75</v>
      </c>
      <c r="K266" s="17">
        <v>4171</v>
      </c>
      <c r="L266" s="17">
        <v>56</v>
      </c>
      <c r="M266" s="17">
        <v>2878</v>
      </c>
      <c r="N266" s="17"/>
      <c r="O266" s="17"/>
      <c r="P266" s="17">
        <v>79</v>
      </c>
      <c r="Q266" s="17">
        <v>2632</v>
      </c>
      <c r="R266" s="17">
        <v>86</v>
      </c>
      <c r="S266" s="17">
        <v>1176</v>
      </c>
      <c r="T266" s="17"/>
      <c r="U266" s="17"/>
      <c r="V266" s="17"/>
      <c r="W266" s="17"/>
      <c r="X266" s="15">
        <v>290.75</v>
      </c>
      <c r="Y266" s="17">
        <v>361</v>
      </c>
      <c r="Z266" s="17">
        <v>511.75</v>
      </c>
      <c r="AA266" s="17">
        <v>2690</v>
      </c>
      <c r="AB266" s="12">
        <f t="shared" si="4"/>
        <v>264</v>
      </c>
    </row>
    <row r="267" ht="14.25" spans="1:28">
      <c r="A267" s="13">
        <v>574</v>
      </c>
      <c r="B267" s="15">
        <v>12</v>
      </c>
      <c r="C267" s="16">
        <v>21</v>
      </c>
      <c r="D267" s="17" t="s">
        <v>1156</v>
      </c>
      <c r="E267" s="17" t="s">
        <v>1157</v>
      </c>
      <c r="F267" s="17">
        <v>105</v>
      </c>
      <c r="G267" s="17">
        <v>1427</v>
      </c>
      <c r="H267" s="17">
        <v>94.5</v>
      </c>
      <c r="I267" s="17">
        <v>4840</v>
      </c>
      <c r="J267" s="17">
        <v>104.75</v>
      </c>
      <c r="K267" s="17">
        <v>2246</v>
      </c>
      <c r="L267" s="17">
        <v>48.5</v>
      </c>
      <c r="M267" s="17">
        <v>4255</v>
      </c>
      <c r="N267" s="17"/>
      <c r="O267" s="17"/>
      <c r="P267" s="17">
        <v>80</v>
      </c>
      <c r="Q267" s="17">
        <v>2333</v>
      </c>
      <c r="R267" s="17">
        <v>79</v>
      </c>
      <c r="S267" s="17">
        <v>2629</v>
      </c>
      <c r="T267" s="17"/>
      <c r="U267" s="17"/>
      <c r="V267" s="17"/>
      <c r="W267" s="17"/>
      <c r="X267" s="15">
        <v>304.25</v>
      </c>
      <c r="Y267" s="17">
        <v>243</v>
      </c>
      <c r="Z267" s="17">
        <v>511.75</v>
      </c>
      <c r="AA267" s="17">
        <v>2690</v>
      </c>
      <c r="AB267" s="12">
        <f t="shared" si="4"/>
        <v>264</v>
      </c>
    </row>
    <row r="268" ht="14.25" spans="1:28">
      <c r="A268" s="13">
        <v>456</v>
      </c>
      <c r="B268" s="15">
        <v>10</v>
      </c>
      <c r="C268" s="16">
        <v>17</v>
      </c>
      <c r="D268" s="17" t="s">
        <v>922</v>
      </c>
      <c r="E268" s="17" t="s">
        <v>923</v>
      </c>
      <c r="F268" s="17">
        <v>93.5</v>
      </c>
      <c r="G268" s="17">
        <v>7127</v>
      </c>
      <c r="H268" s="17">
        <v>99</v>
      </c>
      <c r="I268" s="17">
        <v>3947</v>
      </c>
      <c r="J268" s="17">
        <v>91</v>
      </c>
      <c r="K268" s="17">
        <v>5010</v>
      </c>
      <c r="L268" s="17">
        <v>66</v>
      </c>
      <c r="M268" s="17">
        <v>1304</v>
      </c>
      <c r="N268" s="17"/>
      <c r="O268" s="17"/>
      <c r="P268" s="17">
        <v>86</v>
      </c>
      <c r="Q268" s="17">
        <v>1052</v>
      </c>
      <c r="R268" s="17">
        <v>76</v>
      </c>
      <c r="S268" s="17">
        <v>3491</v>
      </c>
      <c r="T268" s="17"/>
      <c r="U268" s="17"/>
      <c r="V268" s="17"/>
      <c r="W268" s="17"/>
      <c r="X268" s="15">
        <v>283.5</v>
      </c>
      <c r="Y268" s="17">
        <v>412</v>
      </c>
      <c r="Z268" s="17">
        <v>511.5</v>
      </c>
      <c r="AA268" s="17">
        <v>2702</v>
      </c>
      <c r="AB268" s="12">
        <f t="shared" si="4"/>
        <v>266</v>
      </c>
    </row>
    <row r="269" ht="14.25" spans="1:28">
      <c r="A269" s="13">
        <v>543</v>
      </c>
      <c r="B269" s="15">
        <v>11</v>
      </c>
      <c r="C269" s="16">
        <v>49</v>
      </c>
      <c r="D269" s="17" t="s">
        <v>1094</v>
      </c>
      <c r="E269" s="17" t="s">
        <v>1095</v>
      </c>
      <c r="F269" s="17">
        <v>107</v>
      </c>
      <c r="G269" s="17">
        <v>945</v>
      </c>
      <c r="H269" s="17">
        <v>103.5</v>
      </c>
      <c r="I269" s="17">
        <v>3096</v>
      </c>
      <c r="J269" s="17">
        <v>112</v>
      </c>
      <c r="K269" s="17">
        <v>1229</v>
      </c>
      <c r="L269" s="17">
        <v>32</v>
      </c>
      <c r="M269" s="17">
        <v>8723</v>
      </c>
      <c r="N269" s="17"/>
      <c r="O269" s="17"/>
      <c r="P269" s="17">
        <v>73</v>
      </c>
      <c r="Q269" s="17">
        <v>4501</v>
      </c>
      <c r="R269" s="17">
        <v>84</v>
      </c>
      <c r="S269" s="17">
        <v>1490</v>
      </c>
      <c r="T269" s="17"/>
      <c r="U269" s="17"/>
      <c r="V269" s="17"/>
      <c r="W269" s="17"/>
      <c r="X269" s="15">
        <v>322.5</v>
      </c>
      <c r="Y269" s="17">
        <v>102</v>
      </c>
      <c r="Z269" s="17">
        <v>511.5</v>
      </c>
      <c r="AA269" s="17">
        <v>2702</v>
      </c>
      <c r="AB269" s="12">
        <f t="shared" si="4"/>
        <v>266</v>
      </c>
    </row>
    <row r="270" ht="14.25" spans="1:28">
      <c r="A270" s="13">
        <v>19</v>
      </c>
      <c r="B270" s="15">
        <v>1</v>
      </c>
      <c r="C270" s="16">
        <v>21</v>
      </c>
      <c r="D270" s="17" t="s">
        <v>52</v>
      </c>
      <c r="E270" s="17" t="s">
        <v>53</v>
      </c>
      <c r="F270" s="17">
        <v>85.5</v>
      </c>
      <c r="G270" s="17">
        <v>12079</v>
      </c>
      <c r="H270" s="17">
        <v>125</v>
      </c>
      <c r="I270" s="17">
        <v>360</v>
      </c>
      <c r="J270" s="17">
        <v>87.5</v>
      </c>
      <c r="K270" s="17">
        <v>5877</v>
      </c>
      <c r="L270" s="17">
        <v>55</v>
      </c>
      <c r="M270" s="17">
        <v>3031</v>
      </c>
      <c r="N270" s="17"/>
      <c r="O270" s="17"/>
      <c r="P270" s="17">
        <v>72</v>
      </c>
      <c r="Q270" s="17">
        <v>4881</v>
      </c>
      <c r="R270" s="17"/>
      <c r="S270" s="17"/>
      <c r="T270" s="17">
        <v>86</v>
      </c>
      <c r="U270" s="17">
        <v>377</v>
      </c>
      <c r="V270" s="17"/>
      <c r="W270" s="17"/>
      <c r="X270" s="15">
        <v>298</v>
      </c>
      <c r="Y270" s="17">
        <v>293</v>
      </c>
      <c r="Z270" s="17">
        <v>511</v>
      </c>
      <c r="AA270" s="17">
        <v>2723</v>
      </c>
      <c r="AB270" s="12">
        <f t="shared" si="4"/>
        <v>268</v>
      </c>
    </row>
    <row r="271" ht="14.25" spans="1:28">
      <c r="A271" s="13">
        <v>517</v>
      </c>
      <c r="B271" s="15">
        <v>11</v>
      </c>
      <c r="C271" s="16">
        <v>21</v>
      </c>
      <c r="D271" s="17" t="s">
        <v>1044</v>
      </c>
      <c r="E271" s="17" t="s">
        <v>1045</v>
      </c>
      <c r="F271" s="17">
        <v>105</v>
      </c>
      <c r="G271" s="17">
        <v>1427</v>
      </c>
      <c r="H271" s="17">
        <v>98</v>
      </c>
      <c r="I271" s="17">
        <v>4147</v>
      </c>
      <c r="J271" s="17">
        <v>95</v>
      </c>
      <c r="K271" s="17">
        <v>4092</v>
      </c>
      <c r="L271" s="17">
        <v>50</v>
      </c>
      <c r="M271" s="17">
        <v>3933</v>
      </c>
      <c r="N271" s="17"/>
      <c r="O271" s="17"/>
      <c r="P271" s="17">
        <v>81</v>
      </c>
      <c r="Q271" s="17">
        <v>2079</v>
      </c>
      <c r="R271" s="17">
        <v>82</v>
      </c>
      <c r="S271" s="17">
        <v>1915</v>
      </c>
      <c r="T271" s="17"/>
      <c r="U271" s="17"/>
      <c r="V271" s="17"/>
      <c r="W271" s="17"/>
      <c r="X271" s="15">
        <v>298</v>
      </c>
      <c r="Y271" s="17">
        <v>293</v>
      </c>
      <c r="Z271" s="17">
        <v>511</v>
      </c>
      <c r="AA271" s="17">
        <v>2723</v>
      </c>
      <c r="AB271" s="12">
        <f t="shared" si="4"/>
        <v>268</v>
      </c>
    </row>
    <row r="272" ht="14.25" spans="1:28">
      <c r="A272" s="13">
        <v>78</v>
      </c>
      <c r="B272" s="15">
        <v>2</v>
      </c>
      <c r="C272" s="16">
        <v>15</v>
      </c>
      <c r="D272" s="17" t="s">
        <v>169</v>
      </c>
      <c r="E272" s="17" t="s">
        <v>170</v>
      </c>
      <c r="F272" s="17">
        <v>91.5</v>
      </c>
      <c r="G272" s="17">
        <v>8306</v>
      </c>
      <c r="H272" s="17">
        <v>105.5</v>
      </c>
      <c r="I272" s="17">
        <v>2718</v>
      </c>
      <c r="J272" s="17">
        <v>107</v>
      </c>
      <c r="K272" s="17">
        <v>1871</v>
      </c>
      <c r="L272" s="17">
        <v>44.5</v>
      </c>
      <c r="M272" s="17">
        <v>5122</v>
      </c>
      <c r="N272" s="17"/>
      <c r="O272" s="17"/>
      <c r="P272" s="17"/>
      <c r="Q272" s="17"/>
      <c r="R272" s="17">
        <v>84</v>
      </c>
      <c r="S272" s="17">
        <v>1490</v>
      </c>
      <c r="T272" s="17">
        <v>78</v>
      </c>
      <c r="U272" s="17">
        <v>1013</v>
      </c>
      <c r="V272" s="17"/>
      <c r="W272" s="17"/>
      <c r="X272" s="15">
        <v>304</v>
      </c>
      <c r="Y272" s="17">
        <v>245</v>
      </c>
      <c r="Z272" s="17">
        <v>510.5</v>
      </c>
      <c r="AA272" s="17">
        <v>2753</v>
      </c>
      <c r="AB272" s="12">
        <f t="shared" si="4"/>
        <v>270</v>
      </c>
    </row>
    <row r="273" ht="14.25" spans="1:28">
      <c r="A273" s="13">
        <v>177</v>
      </c>
      <c r="B273" s="15">
        <v>4</v>
      </c>
      <c r="C273" s="16">
        <v>18</v>
      </c>
      <c r="D273" s="17" t="s">
        <v>367</v>
      </c>
      <c r="E273" s="17" t="s">
        <v>368</v>
      </c>
      <c r="F273" s="17">
        <v>98</v>
      </c>
      <c r="G273" s="17">
        <v>4423</v>
      </c>
      <c r="H273" s="17">
        <v>86</v>
      </c>
      <c r="I273" s="17">
        <v>6759</v>
      </c>
      <c r="J273" s="17">
        <v>99.5</v>
      </c>
      <c r="K273" s="17">
        <v>3134</v>
      </c>
      <c r="L273" s="17">
        <v>56</v>
      </c>
      <c r="M273" s="17">
        <v>2878</v>
      </c>
      <c r="N273" s="17"/>
      <c r="O273" s="17"/>
      <c r="P273" s="17">
        <v>83</v>
      </c>
      <c r="Q273" s="17">
        <v>1643</v>
      </c>
      <c r="R273" s="17"/>
      <c r="S273" s="17"/>
      <c r="T273" s="17"/>
      <c r="U273" s="17"/>
      <c r="V273" s="17">
        <v>88</v>
      </c>
      <c r="W273" s="17">
        <v>165</v>
      </c>
      <c r="X273" s="15">
        <v>283.5</v>
      </c>
      <c r="Y273" s="17">
        <v>412</v>
      </c>
      <c r="Z273" s="17">
        <v>510.5</v>
      </c>
      <c r="AA273" s="17">
        <v>2753</v>
      </c>
      <c r="AB273" s="12">
        <f t="shared" si="4"/>
        <v>270</v>
      </c>
    </row>
    <row r="274" ht="14.25" spans="1:28">
      <c r="A274" s="13">
        <v>175</v>
      </c>
      <c r="B274" s="15">
        <v>4</v>
      </c>
      <c r="C274" s="16">
        <v>16</v>
      </c>
      <c r="D274" s="17" t="s">
        <v>363</v>
      </c>
      <c r="E274" s="17" t="s">
        <v>364</v>
      </c>
      <c r="F274" s="17">
        <v>97.75</v>
      </c>
      <c r="G274" s="17">
        <v>4669</v>
      </c>
      <c r="H274" s="17">
        <v>103.5</v>
      </c>
      <c r="I274" s="17">
        <v>3096</v>
      </c>
      <c r="J274" s="17">
        <v>94.5</v>
      </c>
      <c r="K274" s="17">
        <v>4208</v>
      </c>
      <c r="L274" s="17">
        <v>57.5</v>
      </c>
      <c r="M274" s="17">
        <v>2619</v>
      </c>
      <c r="N274" s="17"/>
      <c r="O274" s="17"/>
      <c r="P274" s="17">
        <v>80</v>
      </c>
      <c r="Q274" s="17">
        <v>2333</v>
      </c>
      <c r="R274" s="17"/>
      <c r="S274" s="17"/>
      <c r="T274" s="17"/>
      <c r="U274" s="17"/>
      <c r="V274" s="17">
        <v>77</v>
      </c>
      <c r="W274" s="17">
        <v>1318</v>
      </c>
      <c r="X274" s="15">
        <v>295.75</v>
      </c>
      <c r="Y274" s="17">
        <v>310</v>
      </c>
      <c r="Z274" s="17">
        <v>510.25</v>
      </c>
      <c r="AA274" s="17">
        <v>2771</v>
      </c>
      <c r="AB274" s="12">
        <f t="shared" si="4"/>
        <v>272</v>
      </c>
    </row>
    <row r="275" ht="14.25" spans="1:28">
      <c r="A275" s="13">
        <v>464</v>
      </c>
      <c r="B275" s="15">
        <v>10</v>
      </c>
      <c r="C275" s="16">
        <v>25</v>
      </c>
      <c r="D275" s="17" t="s">
        <v>938</v>
      </c>
      <c r="E275" s="17" t="s">
        <v>939</v>
      </c>
      <c r="F275" s="17">
        <v>94.5</v>
      </c>
      <c r="G275" s="17">
        <v>6496</v>
      </c>
      <c r="H275" s="17">
        <v>95</v>
      </c>
      <c r="I275" s="17">
        <v>4735</v>
      </c>
      <c r="J275" s="17">
        <v>102.75</v>
      </c>
      <c r="K275" s="17">
        <v>2584</v>
      </c>
      <c r="L275" s="17">
        <v>56</v>
      </c>
      <c r="M275" s="17">
        <v>2878</v>
      </c>
      <c r="N275" s="17"/>
      <c r="O275" s="17"/>
      <c r="P275" s="17">
        <v>75</v>
      </c>
      <c r="Q275" s="17">
        <v>3841</v>
      </c>
      <c r="R275" s="17">
        <v>87</v>
      </c>
      <c r="S275" s="17">
        <v>883</v>
      </c>
      <c r="T275" s="17"/>
      <c r="U275" s="17"/>
      <c r="V275" s="17"/>
      <c r="W275" s="17"/>
      <c r="X275" s="15">
        <v>292.25</v>
      </c>
      <c r="Y275" s="17">
        <v>347</v>
      </c>
      <c r="Z275" s="17">
        <v>510.25</v>
      </c>
      <c r="AA275" s="17">
        <v>2771</v>
      </c>
      <c r="AB275" s="12">
        <f t="shared" si="4"/>
        <v>272</v>
      </c>
    </row>
    <row r="276" ht="14.25" spans="1:28">
      <c r="A276" s="13">
        <v>159</v>
      </c>
      <c r="B276" s="15">
        <v>3</v>
      </c>
      <c r="C276" s="16">
        <v>48</v>
      </c>
      <c r="D276" s="17" t="s">
        <v>331</v>
      </c>
      <c r="E276" s="17" t="s">
        <v>332</v>
      </c>
      <c r="F276" s="17">
        <v>96.5</v>
      </c>
      <c r="G276" s="17">
        <v>5262</v>
      </c>
      <c r="H276" s="17">
        <v>106</v>
      </c>
      <c r="I276" s="17">
        <v>2619</v>
      </c>
      <c r="J276" s="17">
        <v>96.75</v>
      </c>
      <c r="K276" s="17">
        <v>3707</v>
      </c>
      <c r="L276" s="17">
        <v>63.5</v>
      </c>
      <c r="M276" s="17">
        <v>1636</v>
      </c>
      <c r="N276" s="17"/>
      <c r="O276" s="17"/>
      <c r="P276" s="17">
        <v>80</v>
      </c>
      <c r="Q276" s="17">
        <v>2333</v>
      </c>
      <c r="R276" s="17"/>
      <c r="S276" s="17"/>
      <c r="T276" s="17"/>
      <c r="U276" s="17"/>
      <c r="V276" s="17">
        <v>67</v>
      </c>
      <c r="W276" s="17">
        <v>2619</v>
      </c>
      <c r="X276" s="15">
        <v>299.25</v>
      </c>
      <c r="Y276" s="17">
        <v>281</v>
      </c>
      <c r="Z276" s="17">
        <v>509.75</v>
      </c>
      <c r="AA276" s="17">
        <v>2790</v>
      </c>
      <c r="AB276" s="12">
        <f t="shared" si="4"/>
        <v>274</v>
      </c>
    </row>
    <row r="277" ht="14.25" spans="1:28">
      <c r="A277" s="13">
        <v>296</v>
      </c>
      <c r="B277" s="15">
        <v>7</v>
      </c>
      <c r="C277" s="16">
        <v>6</v>
      </c>
      <c r="D277" s="17" t="s">
        <v>603</v>
      </c>
      <c r="E277" s="17" t="s">
        <v>604</v>
      </c>
      <c r="F277" s="17">
        <v>104.25</v>
      </c>
      <c r="G277" s="17">
        <v>1691</v>
      </c>
      <c r="H277" s="17">
        <v>74</v>
      </c>
      <c r="I277" s="17">
        <v>9218</v>
      </c>
      <c r="J277" s="17">
        <v>136</v>
      </c>
      <c r="K277" s="17">
        <v>11</v>
      </c>
      <c r="L277" s="17">
        <v>32.5</v>
      </c>
      <c r="M277" s="17">
        <v>8567</v>
      </c>
      <c r="N277" s="17"/>
      <c r="O277" s="17"/>
      <c r="P277" s="17"/>
      <c r="Q277" s="17"/>
      <c r="R277" s="17">
        <v>79</v>
      </c>
      <c r="S277" s="17">
        <v>2629</v>
      </c>
      <c r="T277" s="17"/>
      <c r="U277" s="17"/>
      <c r="V277" s="17">
        <v>84</v>
      </c>
      <c r="W277" s="17">
        <v>588</v>
      </c>
      <c r="X277" s="15">
        <v>314.25</v>
      </c>
      <c r="Y277" s="17">
        <v>154</v>
      </c>
      <c r="Z277" s="17">
        <v>509.75</v>
      </c>
      <c r="AA277" s="17">
        <v>2790</v>
      </c>
      <c r="AB277" s="12">
        <f t="shared" si="4"/>
        <v>274</v>
      </c>
    </row>
    <row r="278" ht="14.25" spans="1:28">
      <c r="A278" s="13">
        <v>450</v>
      </c>
      <c r="B278" s="15">
        <v>10</v>
      </c>
      <c r="C278" s="16">
        <v>11</v>
      </c>
      <c r="D278" s="17" t="s">
        <v>910</v>
      </c>
      <c r="E278" s="17" t="s">
        <v>911</v>
      </c>
      <c r="F278" s="17">
        <v>101</v>
      </c>
      <c r="G278" s="17">
        <v>2896</v>
      </c>
      <c r="H278" s="17">
        <v>113</v>
      </c>
      <c r="I278" s="17">
        <v>1467</v>
      </c>
      <c r="J278" s="17">
        <v>109.75</v>
      </c>
      <c r="K278" s="17">
        <v>1503</v>
      </c>
      <c r="L278" s="17">
        <v>43</v>
      </c>
      <c r="M278" s="17">
        <v>5463</v>
      </c>
      <c r="N278" s="17"/>
      <c r="O278" s="17"/>
      <c r="P278" s="17">
        <v>81</v>
      </c>
      <c r="Q278" s="17">
        <v>2079</v>
      </c>
      <c r="R278" s="17">
        <v>62</v>
      </c>
      <c r="S278" s="17">
        <v>8006</v>
      </c>
      <c r="T278" s="17"/>
      <c r="U278" s="17"/>
      <c r="V278" s="17"/>
      <c r="W278" s="17"/>
      <c r="X278" s="15">
        <v>323.75</v>
      </c>
      <c r="Y278" s="17">
        <v>93</v>
      </c>
      <c r="Z278" s="17">
        <v>509.75</v>
      </c>
      <c r="AA278" s="17">
        <v>2790</v>
      </c>
      <c r="AB278" s="12">
        <f t="shared" si="4"/>
        <v>274</v>
      </c>
    </row>
    <row r="279" ht="14.25" spans="1:28">
      <c r="A279" s="13">
        <v>170</v>
      </c>
      <c r="B279" s="15">
        <v>4</v>
      </c>
      <c r="C279" s="16">
        <v>11</v>
      </c>
      <c r="D279" s="17" t="s">
        <v>353</v>
      </c>
      <c r="E279" s="17" t="s">
        <v>354</v>
      </c>
      <c r="F279" s="17">
        <v>92.5</v>
      </c>
      <c r="G279" s="17">
        <v>7705</v>
      </c>
      <c r="H279" s="17">
        <v>106.5</v>
      </c>
      <c r="I279" s="17">
        <v>2542</v>
      </c>
      <c r="J279" s="17">
        <v>109.75</v>
      </c>
      <c r="K279" s="17">
        <v>1503</v>
      </c>
      <c r="L279" s="17">
        <v>38.5</v>
      </c>
      <c r="M279" s="17">
        <v>6692</v>
      </c>
      <c r="N279" s="17"/>
      <c r="O279" s="17"/>
      <c r="P279" s="17">
        <v>78</v>
      </c>
      <c r="Q279" s="17">
        <v>2908</v>
      </c>
      <c r="R279" s="17"/>
      <c r="S279" s="17"/>
      <c r="T279" s="17"/>
      <c r="U279" s="17"/>
      <c r="V279" s="17">
        <v>84</v>
      </c>
      <c r="W279" s="17">
        <v>588</v>
      </c>
      <c r="X279" s="15">
        <v>308.75</v>
      </c>
      <c r="Y279" s="17">
        <v>206</v>
      </c>
      <c r="Z279" s="17">
        <v>509.25</v>
      </c>
      <c r="AA279" s="17">
        <v>2810</v>
      </c>
      <c r="AB279" s="12">
        <f t="shared" si="4"/>
        <v>277</v>
      </c>
    </row>
    <row r="280" ht="14.25" spans="1:28">
      <c r="A280" s="13">
        <v>230</v>
      </c>
      <c r="B280" s="15">
        <v>5</v>
      </c>
      <c r="C280" s="16">
        <v>27</v>
      </c>
      <c r="D280" s="17" t="s">
        <v>473</v>
      </c>
      <c r="E280" s="17" t="s">
        <v>474</v>
      </c>
      <c r="F280" s="17">
        <v>98</v>
      </c>
      <c r="G280" s="17">
        <v>4423</v>
      </c>
      <c r="H280" s="17">
        <v>119</v>
      </c>
      <c r="I280" s="17">
        <v>786</v>
      </c>
      <c r="J280" s="17">
        <v>84.25</v>
      </c>
      <c r="K280" s="17">
        <v>6713</v>
      </c>
      <c r="L280" s="17">
        <v>61.5</v>
      </c>
      <c r="M280" s="17">
        <v>1929</v>
      </c>
      <c r="N280" s="17"/>
      <c r="O280" s="17"/>
      <c r="P280" s="17">
        <v>66</v>
      </c>
      <c r="Q280" s="17">
        <v>6766</v>
      </c>
      <c r="R280" s="17"/>
      <c r="S280" s="17"/>
      <c r="T280" s="17"/>
      <c r="U280" s="17"/>
      <c r="V280" s="17">
        <v>80</v>
      </c>
      <c r="W280" s="17">
        <v>938</v>
      </c>
      <c r="X280" s="15">
        <v>301.25</v>
      </c>
      <c r="Y280" s="17">
        <v>268</v>
      </c>
      <c r="Z280" s="17">
        <v>508.75</v>
      </c>
      <c r="AA280" s="17">
        <v>2832</v>
      </c>
      <c r="AB280" s="12">
        <f t="shared" si="4"/>
        <v>278</v>
      </c>
    </row>
    <row r="281" ht="14.25" spans="1:28">
      <c r="A281" s="13">
        <v>29</v>
      </c>
      <c r="B281" s="15">
        <v>1</v>
      </c>
      <c r="C281" s="16">
        <v>31</v>
      </c>
      <c r="D281" s="17" t="s">
        <v>72</v>
      </c>
      <c r="E281" s="17" t="s">
        <v>73</v>
      </c>
      <c r="F281" s="17">
        <v>105.5</v>
      </c>
      <c r="G281" s="17">
        <v>1281</v>
      </c>
      <c r="H281" s="17">
        <v>120.5</v>
      </c>
      <c r="I281" s="17">
        <v>665</v>
      </c>
      <c r="J281" s="17">
        <v>92</v>
      </c>
      <c r="K281" s="17">
        <v>4787</v>
      </c>
      <c r="L281" s="17">
        <v>50.5</v>
      </c>
      <c r="M281" s="17">
        <v>3830</v>
      </c>
      <c r="N281" s="17"/>
      <c r="O281" s="17"/>
      <c r="P281" s="17">
        <v>68</v>
      </c>
      <c r="Q281" s="17">
        <v>6016</v>
      </c>
      <c r="R281" s="17"/>
      <c r="S281" s="17"/>
      <c r="T281" s="17">
        <v>72</v>
      </c>
      <c r="U281" s="17">
        <v>1741</v>
      </c>
      <c r="V281" s="17"/>
      <c r="W281" s="17"/>
      <c r="X281" s="15">
        <v>318</v>
      </c>
      <c r="Y281" s="17">
        <v>130</v>
      </c>
      <c r="Z281" s="17">
        <v>508.5</v>
      </c>
      <c r="AA281" s="17">
        <v>2836</v>
      </c>
      <c r="AB281" s="12">
        <f t="shared" si="4"/>
        <v>279</v>
      </c>
    </row>
    <row r="282" ht="14.25" spans="1:28">
      <c r="A282" s="13">
        <v>274</v>
      </c>
      <c r="B282" s="15">
        <v>6</v>
      </c>
      <c r="C282" s="16">
        <v>26</v>
      </c>
      <c r="D282" s="17" t="s">
        <v>559</v>
      </c>
      <c r="E282" s="17" t="s">
        <v>560</v>
      </c>
      <c r="F282" s="17">
        <v>96</v>
      </c>
      <c r="G282" s="17">
        <v>5544</v>
      </c>
      <c r="H282" s="17">
        <v>95</v>
      </c>
      <c r="I282" s="17">
        <v>4735</v>
      </c>
      <c r="J282" s="17">
        <v>88</v>
      </c>
      <c r="K282" s="17">
        <v>5738</v>
      </c>
      <c r="L282" s="17">
        <v>73.5</v>
      </c>
      <c r="M282" s="17">
        <v>548</v>
      </c>
      <c r="N282" s="17"/>
      <c r="O282" s="17"/>
      <c r="P282" s="17"/>
      <c r="Q282" s="17"/>
      <c r="R282" s="17">
        <v>77</v>
      </c>
      <c r="S282" s="17">
        <v>3183</v>
      </c>
      <c r="T282" s="17"/>
      <c r="U282" s="17"/>
      <c r="V282" s="17">
        <v>79</v>
      </c>
      <c r="W282" s="17">
        <v>1023</v>
      </c>
      <c r="X282" s="15">
        <v>279</v>
      </c>
      <c r="Y282" s="17">
        <v>456</v>
      </c>
      <c r="Z282" s="17">
        <v>508.5</v>
      </c>
      <c r="AA282" s="17">
        <v>2836</v>
      </c>
      <c r="AB282" s="12">
        <f t="shared" si="4"/>
        <v>279</v>
      </c>
    </row>
    <row r="283" ht="14.25" spans="1:28">
      <c r="A283" s="13">
        <v>518</v>
      </c>
      <c r="B283" s="15">
        <v>11</v>
      </c>
      <c r="C283" s="16">
        <v>22</v>
      </c>
      <c r="D283" s="17" t="s">
        <v>1046</v>
      </c>
      <c r="E283" s="17" t="s">
        <v>1047</v>
      </c>
      <c r="F283" s="17">
        <v>94.5</v>
      </c>
      <c r="G283" s="17">
        <v>6496</v>
      </c>
      <c r="H283" s="17">
        <v>84</v>
      </c>
      <c r="I283" s="17">
        <v>7206</v>
      </c>
      <c r="J283" s="17">
        <v>99.5</v>
      </c>
      <c r="K283" s="17">
        <v>3134</v>
      </c>
      <c r="L283" s="17">
        <v>62.5</v>
      </c>
      <c r="M283" s="17">
        <v>1781</v>
      </c>
      <c r="N283" s="17"/>
      <c r="O283" s="17"/>
      <c r="P283" s="17">
        <v>83</v>
      </c>
      <c r="Q283" s="17">
        <v>1643</v>
      </c>
      <c r="R283" s="17">
        <v>85</v>
      </c>
      <c r="S283" s="17">
        <v>1393</v>
      </c>
      <c r="T283" s="17"/>
      <c r="U283" s="17"/>
      <c r="V283" s="17"/>
      <c r="W283" s="17"/>
      <c r="X283" s="15">
        <v>278</v>
      </c>
      <c r="Y283" s="17">
        <v>469</v>
      </c>
      <c r="Z283" s="17">
        <v>508.5</v>
      </c>
      <c r="AA283" s="17">
        <v>2836</v>
      </c>
      <c r="AB283" s="12">
        <f t="shared" si="4"/>
        <v>279</v>
      </c>
    </row>
    <row r="284" ht="14.25" spans="1:28">
      <c r="A284" s="13">
        <v>45</v>
      </c>
      <c r="B284" s="15">
        <v>1</v>
      </c>
      <c r="C284" s="16">
        <v>47</v>
      </c>
      <c r="D284" s="17" t="s">
        <v>104</v>
      </c>
      <c r="E284" s="17" t="s">
        <v>105</v>
      </c>
      <c r="F284" s="17">
        <v>112.25</v>
      </c>
      <c r="G284" s="17">
        <v>219</v>
      </c>
      <c r="H284" s="17">
        <v>97.5</v>
      </c>
      <c r="I284" s="17">
        <v>4244</v>
      </c>
      <c r="J284" s="17">
        <v>101.5</v>
      </c>
      <c r="K284" s="17">
        <v>2779</v>
      </c>
      <c r="L284" s="17">
        <v>38</v>
      </c>
      <c r="M284" s="17">
        <v>6823</v>
      </c>
      <c r="N284" s="17"/>
      <c r="O284" s="17"/>
      <c r="P284" s="17">
        <v>72</v>
      </c>
      <c r="Q284" s="17">
        <v>4881</v>
      </c>
      <c r="R284" s="17"/>
      <c r="S284" s="17"/>
      <c r="T284" s="17">
        <v>87</v>
      </c>
      <c r="U284" s="17">
        <v>259</v>
      </c>
      <c r="V284" s="17"/>
      <c r="W284" s="17"/>
      <c r="X284" s="15">
        <v>311.25</v>
      </c>
      <c r="Y284" s="17">
        <v>176</v>
      </c>
      <c r="Z284" s="17">
        <v>508.25</v>
      </c>
      <c r="AA284" s="17">
        <v>2856</v>
      </c>
      <c r="AB284" s="12">
        <f t="shared" si="4"/>
        <v>282</v>
      </c>
    </row>
    <row r="285" ht="14.25" spans="1:28">
      <c r="A285" s="13">
        <v>445</v>
      </c>
      <c r="B285" s="15">
        <v>10</v>
      </c>
      <c r="C285" s="16">
        <v>6</v>
      </c>
      <c r="D285" s="17" t="s">
        <v>900</v>
      </c>
      <c r="E285" s="17" t="s">
        <v>901</v>
      </c>
      <c r="F285" s="17">
        <v>111.75</v>
      </c>
      <c r="G285" s="17">
        <v>259</v>
      </c>
      <c r="H285" s="17">
        <v>91</v>
      </c>
      <c r="I285" s="17">
        <v>5638</v>
      </c>
      <c r="J285" s="17">
        <v>83</v>
      </c>
      <c r="K285" s="17">
        <v>6990</v>
      </c>
      <c r="L285" s="17">
        <v>60.5</v>
      </c>
      <c r="M285" s="17">
        <v>2106</v>
      </c>
      <c r="N285" s="17"/>
      <c r="O285" s="17"/>
      <c r="P285" s="17">
        <v>76</v>
      </c>
      <c r="Q285" s="17">
        <v>3515</v>
      </c>
      <c r="R285" s="17">
        <v>86</v>
      </c>
      <c r="S285" s="17">
        <v>1176</v>
      </c>
      <c r="T285" s="17"/>
      <c r="U285" s="17"/>
      <c r="V285" s="17"/>
      <c r="W285" s="17"/>
      <c r="X285" s="15">
        <v>285.75</v>
      </c>
      <c r="Y285" s="17">
        <v>396</v>
      </c>
      <c r="Z285" s="17">
        <v>508.25</v>
      </c>
      <c r="AA285" s="17">
        <v>2856</v>
      </c>
      <c r="AB285" s="12">
        <f t="shared" si="4"/>
        <v>282</v>
      </c>
    </row>
    <row r="286" ht="14.25" spans="1:28">
      <c r="A286" s="13">
        <v>572</v>
      </c>
      <c r="B286" s="15">
        <v>12</v>
      </c>
      <c r="C286" s="16">
        <v>19</v>
      </c>
      <c r="D286" s="17" t="s">
        <v>1152</v>
      </c>
      <c r="E286" s="17" t="s">
        <v>1153</v>
      </c>
      <c r="F286" s="17">
        <v>99</v>
      </c>
      <c r="G286" s="17">
        <v>3868</v>
      </c>
      <c r="H286" s="17">
        <v>99.5</v>
      </c>
      <c r="I286" s="17">
        <v>3847</v>
      </c>
      <c r="J286" s="17">
        <v>107.5</v>
      </c>
      <c r="K286" s="17">
        <v>1810</v>
      </c>
      <c r="L286" s="17">
        <v>48</v>
      </c>
      <c r="M286" s="17">
        <v>4355</v>
      </c>
      <c r="N286" s="17"/>
      <c r="O286" s="17"/>
      <c r="P286" s="17">
        <v>79</v>
      </c>
      <c r="Q286" s="17">
        <v>2632</v>
      </c>
      <c r="R286" s="17">
        <v>75</v>
      </c>
      <c r="S286" s="17">
        <v>3790</v>
      </c>
      <c r="T286" s="17"/>
      <c r="U286" s="17"/>
      <c r="V286" s="17"/>
      <c r="W286" s="17"/>
      <c r="X286" s="15">
        <v>306</v>
      </c>
      <c r="Y286" s="17">
        <v>227</v>
      </c>
      <c r="Z286" s="17">
        <v>508</v>
      </c>
      <c r="AA286" s="17">
        <v>2863</v>
      </c>
      <c r="AB286" s="12">
        <f t="shared" si="4"/>
        <v>284</v>
      </c>
    </row>
    <row r="287" ht="14.25" spans="1:28">
      <c r="A287" s="13">
        <v>156</v>
      </c>
      <c r="B287" s="15">
        <v>3</v>
      </c>
      <c r="C287" s="16">
        <v>45</v>
      </c>
      <c r="D287" s="17" t="s">
        <v>325</v>
      </c>
      <c r="E287" s="17" t="s">
        <v>326</v>
      </c>
      <c r="F287" s="17">
        <v>89</v>
      </c>
      <c r="G287" s="17">
        <v>9959</v>
      </c>
      <c r="H287" s="17">
        <v>94.5</v>
      </c>
      <c r="I287" s="17">
        <v>4840</v>
      </c>
      <c r="J287" s="17">
        <v>84.5</v>
      </c>
      <c r="K287" s="17">
        <v>6614</v>
      </c>
      <c r="L287" s="17">
        <v>75.5</v>
      </c>
      <c r="M287" s="17">
        <v>413</v>
      </c>
      <c r="N287" s="17"/>
      <c r="O287" s="17"/>
      <c r="P287" s="17">
        <v>88</v>
      </c>
      <c r="Q287" s="17">
        <v>397</v>
      </c>
      <c r="R287" s="17"/>
      <c r="S287" s="17"/>
      <c r="T287" s="17"/>
      <c r="U287" s="17"/>
      <c r="V287" s="17">
        <v>76</v>
      </c>
      <c r="W287" s="17">
        <v>1407</v>
      </c>
      <c r="X287" s="15">
        <v>268</v>
      </c>
      <c r="Y287" s="17">
        <v>541</v>
      </c>
      <c r="Z287" s="17">
        <v>507.5</v>
      </c>
      <c r="AA287" s="17">
        <v>2883</v>
      </c>
      <c r="AB287" s="12">
        <f t="shared" si="4"/>
        <v>285</v>
      </c>
    </row>
    <row r="288" ht="14.25" spans="1:28">
      <c r="A288" s="13">
        <v>309</v>
      </c>
      <c r="B288" s="15">
        <v>7</v>
      </c>
      <c r="C288" s="16">
        <v>20</v>
      </c>
      <c r="D288" s="17" t="s">
        <v>629</v>
      </c>
      <c r="E288" s="17" t="s">
        <v>630</v>
      </c>
      <c r="F288" s="17">
        <v>95</v>
      </c>
      <c r="G288" s="17">
        <v>6168</v>
      </c>
      <c r="H288" s="17">
        <v>113.5</v>
      </c>
      <c r="I288" s="17">
        <v>1397</v>
      </c>
      <c r="J288" s="17">
        <v>84.5</v>
      </c>
      <c r="K288" s="17">
        <v>6614</v>
      </c>
      <c r="L288" s="17">
        <v>57</v>
      </c>
      <c r="M288" s="17">
        <v>2714</v>
      </c>
      <c r="N288" s="17"/>
      <c r="O288" s="17"/>
      <c r="P288" s="17"/>
      <c r="Q288" s="17"/>
      <c r="R288" s="17">
        <v>86</v>
      </c>
      <c r="S288" s="17">
        <v>1176</v>
      </c>
      <c r="T288" s="17"/>
      <c r="U288" s="17"/>
      <c r="V288" s="17">
        <v>71</v>
      </c>
      <c r="W288" s="17">
        <v>2172</v>
      </c>
      <c r="X288" s="15">
        <v>293</v>
      </c>
      <c r="Y288" s="17">
        <v>335</v>
      </c>
      <c r="Z288" s="17">
        <v>507</v>
      </c>
      <c r="AA288" s="17">
        <v>2904</v>
      </c>
      <c r="AB288" s="12">
        <f t="shared" si="4"/>
        <v>286</v>
      </c>
    </row>
    <row r="289" ht="14.25" spans="1:28">
      <c r="A289" s="13">
        <v>562</v>
      </c>
      <c r="B289" s="15">
        <v>12</v>
      </c>
      <c r="C289" s="16">
        <v>9</v>
      </c>
      <c r="D289" s="17" t="s">
        <v>1132</v>
      </c>
      <c r="E289" s="17" t="s">
        <v>1133</v>
      </c>
      <c r="F289" s="17">
        <v>107.5</v>
      </c>
      <c r="G289" s="17">
        <v>829</v>
      </c>
      <c r="H289" s="17">
        <v>99</v>
      </c>
      <c r="I289" s="17">
        <v>3947</v>
      </c>
      <c r="J289" s="17">
        <v>103.75</v>
      </c>
      <c r="K289" s="17">
        <v>2416</v>
      </c>
      <c r="L289" s="17">
        <v>44.5</v>
      </c>
      <c r="M289" s="17">
        <v>5122</v>
      </c>
      <c r="N289" s="17"/>
      <c r="O289" s="17"/>
      <c r="P289" s="17">
        <v>75</v>
      </c>
      <c r="Q289" s="17">
        <v>3841</v>
      </c>
      <c r="R289" s="17">
        <v>77</v>
      </c>
      <c r="S289" s="17">
        <v>3183</v>
      </c>
      <c r="T289" s="17"/>
      <c r="U289" s="17"/>
      <c r="V289" s="17"/>
      <c r="W289" s="17"/>
      <c r="X289" s="15">
        <v>310.25</v>
      </c>
      <c r="Y289" s="17">
        <v>189</v>
      </c>
      <c r="Z289" s="17">
        <v>506.75</v>
      </c>
      <c r="AA289" s="17">
        <v>2921</v>
      </c>
      <c r="AB289" s="12">
        <f t="shared" si="4"/>
        <v>287</v>
      </c>
    </row>
    <row r="290" ht="14.25" spans="1:28">
      <c r="A290" s="13">
        <v>318</v>
      </c>
      <c r="B290" s="15">
        <v>7</v>
      </c>
      <c r="C290" s="16">
        <v>31</v>
      </c>
      <c r="D290" s="17" t="s">
        <v>647</v>
      </c>
      <c r="E290" s="17" t="s">
        <v>648</v>
      </c>
      <c r="F290" s="17">
        <v>98</v>
      </c>
      <c r="G290" s="17">
        <v>4423</v>
      </c>
      <c r="H290" s="17">
        <v>104</v>
      </c>
      <c r="I290" s="17">
        <v>2999</v>
      </c>
      <c r="J290" s="17">
        <v>83</v>
      </c>
      <c r="K290" s="17">
        <v>6990</v>
      </c>
      <c r="L290" s="17">
        <v>56.5</v>
      </c>
      <c r="M290" s="17">
        <v>2801</v>
      </c>
      <c r="N290" s="17"/>
      <c r="O290" s="17"/>
      <c r="P290" s="17"/>
      <c r="Q290" s="17"/>
      <c r="R290" s="17">
        <v>90</v>
      </c>
      <c r="S290" s="17">
        <v>255</v>
      </c>
      <c r="T290" s="17"/>
      <c r="U290" s="17"/>
      <c r="V290" s="17">
        <v>75</v>
      </c>
      <c r="W290" s="17">
        <v>1615</v>
      </c>
      <c r="X290" s="15">
        <v>285</v>
      </c>
      <c r="Y290" s="17">
        <v>401</v>
      </c>
      <c r="Z290" s="17">
        <v>506.5</v>
      </c>
      <c r="AA290" s="17">
        <v>2930</v>
      </c>
      <c r="AB290" s="12">
        <f t="shared" si="4"/>
        <v>288</v>
      </c>
    </row>
    <row r="291" ht="14.25" spans="1:28">
      <c r="A291" s="13">
        <v>651</v>
      </c>
      <c r="B291" s="15">
        <v>13</v>
      </c>
      <c r="C291" s="16">
        <v>45</v>
      </c>
      <c r="D291" s="17" t="s">
        <v>1309</v>
      </c>
      <c r="E291" s="17" t="s">
        <v>1310</v>
      </c>
      <c r="F291" s="17">
        <v>96.5</v>
      </c>
      <c r="G291" s="17">
        <v>5262</v>
      </c>
      <c r="H291" s="17">
        <v>97.5</v>
      </c>
      <c r="I291" s="17">
        <v>4244</v>
      </c>
      <c r="J291" s="17">
        <v>98</v>
      </c>
      <c r="K291" s="17">
        <v>3454</v>
      </c>
      <c r="L291" s="17">
        <v>60.5</v>
      </c>
      <c r="M291" s="17">
        <v>2106</v>
      </c>
      <c r="N291" s="17"/>
      <c r="O291" s="17"/>
      <c r="P291" s="17">
        <v>74</v>
      </c>
      <c r="Q291" s="17">
        <v>4168</v>
      </c>
      <c r="R291" s="17">
        <v>80</v>
      </c>
      <c r="S291" s="17">
        <v>2376</v>
      </c>
      <c r="T291" s="17"/>
      <c r="U291" s="17"/>
      <c r="V291" s="17"/>
      <c r="W291" s="17"/>
      <c r="X291" s="15">
        <v>292</v>
      </c>
      <c r="Y291" s="17">
        <v>350</v>
      </c>
      <c r="Z291" s="17">
        <v>506.5</v>
      </c>
      <c r="AA291" s="17">
        <v>2930</v>
      </c>
      <c r="AB291" s="12">
        <f t="shared" si="4"/>
        <v>288</v>
      </c>
    </row>
    <row r="292" ht="14.25" spans="1:28">
      <c r="A292" s="13">
        <v>138</v>
      </c>
      <c r="B292" s="15">
        <v>3</v>
      </c>
      <c r="C292" s="16">
        <v>27</v>
      </c>
      <c r="D292" s="17" t="s">
        <v>289</v>
      </c>
      <c r="E292" s="17" t="s">
        <v>290</v>
      </c>
      <c r="F292" s="17">
        <v>96.75</v>
      </c>
      <c r="G292" s="17">
        <v>5236</v>
      </c>
      <c r="H292" s="17">
        <v>114.5</v>
      </c>
      <c r="I292" s="17">
        <v>1277</v>
      </c>
      <c r="J292" s="17">
        <v>97</v>
      </c>
      <c r="K292" s="17">
        <v>3649</v>
      </c>
      <c r="L292" s="17">
        <v>59</v>
      </c>
      <c r="M292" s="17">
        <v>2358</v>
      </c>
      <c r="N292" s="17"/>
      <c r="O292" s="17"/>
      <c r="P292" s="17">
        <v>63</v>
      </c>
      <c r="Q292" s="17">
        <v>7666</v>
      </c>
      <c r="R292" s="17"/>
      <c r="S292" s="17"/>
      <c r="T292" s="17"/>
      <c r="U292" s="17"/>
      <c r="V292" s="17">
        <v>76</v>
      </c>
      <c r="W292" s="17">
        <v>1407</v>
      </c>
      <c r="X292" s="15">
        <v>308.25</v>
      </c>
      <c r="Y292" s="17">
        <v>212</v>
      </c>
      <c r="Z292" s="17">
        <v>506.25</v>
      </c>
      <c r="AA292" s="17">
        <v>2951</v>
      </c>
      <c r="AB292" s="12">
        <f t="shared" si="4"/>
        <v>290</v>
      </c>
    </row>
    <row r="293" ht="14.25" spans="1:28">
      <c r="A293" s="13">
        <v>308</v>
      </c>
      <c r="B293" s="15">
        <v>7</v>
      </c>
      <c r="C293" s="16">
        <v>19</v>
      </c>
      <c r="D293" s="17" t="s">
        <v>627</v>
      </c>
      <c r="E293" s="17" t="s">
        <v>628</v>
      </c>
      <c r="F293" s="17">
        <v>107.5</v>
      </c>
      <c r="G293" s="17">
        <v>829</v>
      </c>
      <c r="H293" s="17">
        <v>98.5</v>
      </c>
      <c r="I293" s="17">
        <v>4047</v>
      </c>
      <c r="J293" s="17">
        <v>95.25</v>
      </c>
      <c r="K293" s="17">
        <v>4060</v>
      </c>
      <c r="L293" s="17">
        <v>55</v>
      </c>
      <c r="M293" s="17">
        <v>3031</v>
      </c>
      <c r="N293" s="17"/>
      <c r="O293" s="17"/>
      <c r="P293" s="17"/>
      <c r="Q293" s="17"/>
      <c r="R293" s="17">
        <v>81</v>
      </c>
      <c r="S293" s="17">
        <v>2139</v>
      </c>
      <c r="T293" s="17"/>
      <c r="U293" s="17"/>
      <c r="V293" s="17">
        <v>69</v>
      </c>
      <c r="W293" s="17">
        <v>2394</v>
      </c>
      <c r="X293" s="15">
        <v>301.25</v>
      </c>
      <c r="Y293" s="17">
        <v>268</v>
      </c>
      <c r="Z293" s="17">
        <v>506.25</v>
      </c>
      <c r="AA293" s="17">
        <v>2951</v>
      </c>
      <c r="AB293" s="12">
        <f t="shared" si="4"/>
        <v>290</v>
      </c>
    </row>
    <row r="294" ht="14.25" spans="1:28">
      <c r="A294" s="13">
        <v>589</v>
      </c>
      <c r="B294" s="15">
        <v>12</v>
      </c>
      <c r="C294" s="16">
        <v>39</v>
      </c>
      <c r="D294" s="17" t="s">
        <v>1186</v>
      </c>
      <c r="E294" s="17" t="s">
        <v>1187</v>
      </c>
      <c r="F294" s="17">
        <v>98</v>
      </c>
      <c r="G294" s="17">
        <v>4423</v>
      </c>
      <c r="H294" s="17">
        <v>116</v>
      </c>
      <c r="I294" s="17">
        <v>1095</v>
      </c>
      <c r="J294" s="17">
        <v>73.25</v>
      </c>
      <c r="K294" s="17">
        <v>9584</v>
      </c>
      <c r="L294" s="17">
        <v>65</v>
      </c>
      <c r="M294" s="17">
        <v>1440</v>
      </c>
      <c r="N294" s="17"/>
      <c r="O294" s="17"/>
      <c r="P294" s="17">
        <v>73</v>
      </c>
      <c r="Q294" s="17">
        <v>4501</v>
      </c>
      <c r="R294" s="17">
        <v>81</v>
      </c>
      <c r="S294" s="17">
        <v>2139</v>
      </c>
      <c r="T294" s="17"/>
      <c r="U294" s="17"/>
      <c r="V294" s="17"/>
      <c r="W294" s="17"/>
      <c r="X294" s="15">
        <v>287.25</v>
      </c>
      <c r="Y294" s="17">
        <v>384</v>
      </c>
      <c r="Z294" s="17">
        <v>506.25</v>
      </c>
      <c r="AA294" s="17">
        <v>2951</v>
      </c>
      <c r="AB294" s="12">
        <f t="shared" si="4"/>
        <v>290</v>
      </c>
    </row>
    <row r="295" ht="14.25" spans="1:28">
      <c r="A295" s="13">
        <v>342</v>
      </c>
      <c r="B295" s="15">
        <v>8</v>
      </c>
      <c r="C295" s="16">
        <v>14</v>
      </c>
      <c r="D295" s="17" t="s">
        <v>695</v>
      </c>
      <c r="E295" s="17" t="s">
        <v>696</v>
      </c>
      <c r="F295" s="17">
        <v>103.5</v>
      </c>
      <c r="G295" s="17">
        <v>1897</v>
      </c>
      <c r="H295" s="17">
        <v>97</v>
      </c>
      <c r="I295" s="17">
        <v>4348</v>
      </c>
      <c r="J295" s="17">
        <v>102.5</v>
      </c>
      <c r="K295" s="17">
        <v>2600</v>
      </c>
      <c r="L295" s="17">
        <v>55</v>
      </c>
      <c r="M295" s="17">
        <v>3031</v>
      </c>
      <c r="N295" s="17"/>
      <c r="O295" s="17"/>
      <c r="P295" s="17">
        <v>66</v>
      </c>
      <c r="Q295" s="17">
        <v>6766</v>
      </c>
      <c r="R295" s="17">
        <v>82</v>
      </c>
      <c r="S295" s="17">
        <v>1915</v>
      </c>
      <c r="T295" s="17"/>
      <c r="U295" s="17"/>
      <c r="V295" s="17"/>
      <c r="W295" s="17"/>
      <c r="X295" s="15">
        <v>303</v>
      </c>
      <c r="Y295" s="17">
        <v>251</v>
      </c>
      <c r="Z295" s="17">
        <v>506</v>
      </c>
      <c r="AA295" s="17">
        <v>2960</v>
      </c>
      <c r="AB295" s="12">
        <f t="shared" si="4"/>
        <v>293</v>
      </c>
    </row>
    <row r="296" ht="14.25" spans="1:28">
      <c r="A296" s="13">
        <v>505</v>
      </c>
      <c r="B296" s="15">
        <v>11</v>
      </c>
      <c r="C296" s="16">
        <v>9</v>
      </c>
      <c r="D296" s="17" t="s">
        <v>1020</v>
      </c>
      <c r="E296" s="17" t="s">
        <v>1021</v>
      </c>
      <c r="F296" s="17">
        <v>92.5</v>
      </c>
      <c r="G296" s="17">
        <v>7705</v>
      </c>
      <c r="H296" s="17">
        <v>100</v>
      </c>
      <c r="I296" s="17">
        <v>3741</v>
      </c>
      <c r="J296" s="17">
        <v>100</v>
      </c>
      <c r="K296" s="17">
        <v>3038</v>
      </c>
      <c r="L296" s="17">
        <v>49.5</v>
      </c>
      <c r="M296" s="17">
        <v>4044</v>
      </c>
      <c r="N296" s="17"/>
      <c r="O296" s="17"/>
      <c r="P296" s="17">
        <v>82</v>
      </c>
      <c r="Q296" s="17">
        <v>1870</v>
      </c>
      <c r="R296" s="17">
        <v>82</v>
      </c>
      <c r="S296" s="17">
        <v>1915</v>
      </c>
      <c r="T296" s="17"/>
      <c r="U296" s="17"/>
      <c r="V296" s="17"/>
      <c r="W296" s="17"/>
      <c r="X296" s="15">
        <v>292.5</v>
      </c>
      <c r="Y296" s="17">
        <v>345</v>
      </c>
      <c r="Z296" s="17">
        <v>506</v>
      </c>
      <c r="AA296" s="17">
        <v>2960</v>
      </c>
      <c r="AB296" s="12">
        <f t="shared" si="4"/>
        <v>293</v>
      </c>
    </row>
    <row r="297" ht="14.25" spans="1:28">
      <c r="A297" s="13">
        <v>558</v>
      </c>
      <c r="B297" s="15">
        <v>12</v>
      </c>
      <c r="C297" s="16">
        <v>5</v>
      </c>
      <c r="D297" s="17" t="s">
        <v>1124</v>
      </c>
      <c r="E297" s="17" t="s">
        <v>1125</v>
      </c>
      <c r="F297" s="17">
        <v>100</v>
      </c>
      <c r="G297" s="17">
        <v>3368</v>
      </c>
      <c r="H297" s="17">
        <v>101.5</v>
      </c>
      <c r="I297" s="17">
        <v>3477</v>
      </c>
      <c r="J297" s="17">
        <v>75.5</v>
      </c>
      <c r="K297" s="17">
        <v>8958</v>
      </c>
      <c r="L297" s="17">
        <v>62</v>
      </c>
      <c r="M297" s="17">
        <v>1839</v>
      </c>
      <c r="N297" s="17"/>
      <c r="O297" s="17"/>
      <c r="P297" s="17">
        <v>80</v>
      </c>
      <c r="Q297" s="17">
        <v>2333</v>
      </c>
      <c r="R297" s="17">
        <v>87</v>
      </c>
      <c r="S297" s="17">
        <v>883</v>
      </c>
      <c r="T297" s="17"/>
      <c r="U297" s="17"/>
      <c r="V297" s="17"/>
      <c r="W297" s="17"/>
      <c r="X297" s="15">
        <v>277</v>
      </c>
      <c r="Y297" s="17">
        <v>485</v>
      </c>
      <c r="Z297" s="17">
        <v>506</v>
      </c>
      <c r="AA297" s="17">
        <v>2960</v>
      </c>
      <c r="AB297" s="12">
        <f t="shared" si="4"/>
        <v>293</v>
      </c>
    </row>
    <row r="298" ht="14.25" spans="1:28">
      <c r="A298" s="13">
        <v>565</v>
      </c>
      <c r="B298" s="15">
        <v>12</v>
      </c>
      <c r="C298" s="16">
        <v>12</v>
      </c>
      <c r="D298" s="17" t="s">
        <v>1138</v>
      </c>
      <c r="E298" s="17" t="s">
        <v>1139</v>
      </c>
      <c r="F298" s="17">
        <v>98.5</v>
      </c>
      <c r="G298" s="17">
        <v>4145</v>
      </c>
      <c r="H298" s="17">
        <v>91.5</v>
      </c>
      <c r="I298" s="17">
        <v>5528</v>
      </c>
      <c r="J298" s="17">
        <v>93.5</v>
      </c>
      <c r="K298" s="17">
        <v>4431</v>
      </c>
      <c r="L298" s="17">
        <v>57.5</v>
      </c>
      <c r="M298" s="17">
        <v>2619</v>
      </c>
      <c r="N298" s="17"/>
      <c r="O298" s="17"/>
      <c r="P298" s="17">
        <v>83</v>
      </c>
      <c r="Q298" s="17">
        <v>1643</v>
      </c>
      <c r="R298" s="17">
        <v>82</v>
      </c>
      <c r="S298" s="17">
        <v>1915</v>
      </c>
      <c r="T298" s="17"/>
      <c r="U298" s="17"/>
      <c r="V298" s="17"/>
      <c r="W298" s="17"/>
      <c r="X298" s="15">
        <v>283.5</v>
      </c>
      <c r="Y298" s="17">
        <v>412</v>
      </c>
      <c r="Z298" s="17">
        <v>506</v>
      </c>
      <c r="AA298" s="17">
        <v>2960</v>
      </c>
      <c r="AB298" s="12">
        <f t="shared" si="4"/>
        <v>293</v>
      </c>
    </row>
    <row r="299" ht="14.25" spans="1:28">
      <c r="A299" s="13">
        <v>525</v>
      </c>
      <c r="B299" s="15">
        <v>11</v>
      </c>
      <c r="C299" s="16">
        <v>30</v>
      </c>
      <c r="D299" s="17" t="s">
        <v>1060</v>
      </c>
      <c r="E299" s="17" t="s">
        <v>1061</v>
      </c>
      <c r="F299" s="17">
        <v>95.5</v>
      </c>
      <c r="G299" s="17">
        <v>5877</v>
      </c>
      <c r="H299" s="17">
        <v>93.5</v>
      </c>
      <c r="I299" s="17">
        <v>5060</v>
      </c>
      <c r="J299" s="17">
        <v>110.25</v>
      </c>
      <c r="K299" s="17">
        <v>1435</v>
      </c>
      <c r="L299" s="17">
        <v>55.5</v>
      </c>
      <c r="M299" s="17">
        <v>2964</v>
      </c>
      <c r="N299" s="17"/>
      <c r="O299" s="17"/>
      <c r="P299" s="17">
        <v>80</v>
      </c>
      <c r="Q299" s="17">
        <v>2333</v>
      </c>
      <c r="R299" s="17">
        <v>71</v>
      </c>
      <c r="S299" s="17">
        <v>5151</v>
      </c>
      <c r="T299" s="17"/>
      <c r="U299" s="17"/>
      <c r="V299" s="17"/>
      <c r="W299" s="17"/>
      <c r="X299" s="15">
        <v>299.25</v>
      </c>
      <c r="Y299" s="17">
        <v>281</v>
      </c>
      <c r="Z299" s="17">
        <v>505.75</v>
      </c>
      <c r="AA299" s="17">
        <v>2981</v>
      </c>
      <c r="AB299" s="12">
        <f t="shared" si="4"/>
        <v>297</v>
      </c>
    </row>
    <row r="300" ht="14.25" spans="1:28">
      <c r="A300" s="13">
        <v>504</v>
      </c>
      <c r="B300" s="15">
        <v>11</v>
      </c>
      <c r="C300" s="16">
        <v>8</v>
      </c>
      <c r="D300" s="17" t="s">
        <v>1018</v>
      </c>
      <c r="E300" s="17" t="s">
        <v>1019</v>
      </c>
      <c r="F300" s="17">
        <v>93</v>
      </c>
      <c r="G300" s="17">
        <v>7407</v>
      </c>
      <c r="H300" s="17">
        <v>100</v>
      </c>
      <c r="I300" s="17">
        <v>3741</v>
      </c>
      <c r="J300" s="17">
        <v>80.75</v>
      </c>
      <c r="K300" s="17">
        <v>7625</v>
      </c>
      <c r="L300" s="17">
        <v>57.5</v>
      </c>
      <c r="M300" s="17">
        <v>2619</v>
      </c>
      <c r="N300" s="17"/>
      <c r="O300" s="17"/>
      <c r="P300" s="17">
        <v>83</v>
      </c>
      <c r="Q300" s="17">
        <v>1643</v>
      </c>
      <c r="R300" s="17">
        <v>91</v>
      </c>
      <c r="S300" s="17">
        <v>151</v>
      </c>
      <c r="T300" s="17"/>
      <c r="U300" s="17"/>
      <c r="V300" s="17"/>
      <c r="W300" s="17"/>
      <c r="X300" s="15">
        <v>273.75</v>
      </c>
      <c r="Y300" s="17">
        <v>504</v>
      </c>
      <c r="Z300" s="17">
        <v>505.25</v>
      </c>
      <c r="AA300" s="17">
        <v>3001</v>
      </c>
      <c r="AB300" s="12">
        <f t="shared" si="4"/>
        <v>298</v>
      </c>
    </row>
    <row r="301" ht="14.25" spans="1:28">
      <c r="A301" s="13">
        <v>217</v>
      </c>
      <c r="B301" s="15">
        <v>5</v>
      </c>
      <c r="C301" s="16">
        <v>14</v>
      </c>
      <c r="D301" s="17" t="s">
        <v>447</v>
      </c>
      <c r="E301" s="17" t="s">
        <v>448</v>
      </c>
      <c r="F301" s="17">
        <v>102</v>
      </c>
      <c r="G301" s="17">
        <v>2480</v>
      </c>
      <c r="H301" s="17">
        <v>99.5</v>
      </c>
      <c r="I301" s="17">
        <v>3847</v>
      </c>
      <c r="J301" s="17">
        <v>101.5</v>
      </c>
      <c r="K301" s="17">
        <v>2779</v>
      </c>
      <c r="L301" s="17">
        <v>41</v>
      </c>
      <c r="M301" s="17">
        <v>5993</v>
      </c>
      <c r="N301" s="17"/>
      <c r="O301" s="17"/>
      <c r="P301" s="17">
        <v>87</v>
      </c>
      <c r="Q301" s="17">
        <v>681</v>
      </c>
      <c r="R301" s="17"/>
      <c r="S301" s="17"/>
      <c r="T301" s="17"/>
      <c r="U301" s="17"/>
      <c r="V301" s="17">
        <v>74</v>
      </c>
      <c r="W301" s="17">
        <v>1732</v>
      </c>
      <c r="X301" s="15">
        <v>303</v>
      </c>
      <c r="Y301" s="17">
        <v>251</v>
      </c>
      <c r="Z301" s="17">
        <v>505</v>
      </c>
      <c r="AA301" s="17">
        <v>3011</v>
      </c>
      <c r="AB301" s="12">
        <f t="shared" si="4"/>
        <v>299</v>
      </c>
    </row>
    <row r="302" ht="14.25" spans="1:28">
      <c r="A302" s="13">
        <v>353</v>
      </c>
      <c r="B302" s="15">
        <v>8</v>
      </c>
      <c r="C302" s="16">
        <v>26</v>
      </c>
      <c r="D302" s="17" t="s">
        <v>717</v>
      </c>
      <c r="E302" s="17" t="s">
        <v>718</v>
      </c>
      <c r="F302" s="17">
        <v>91</v>
      </c>
      <c r="G302" s="17">
        <v>8620</v>
      </c>
      <c r="H302" s="17">
        <v>107</v>
      </c>
      <c r="I302" s="17">
        <v>2461</v>
      </c>
      <c r="J302" s="17">
        <v>82.75</v>
      </c>
      <c r="K302" s="17">
        <v>7077</v>
      </c>
      <c r="L302" s="17">
        <v>59</v>
      </c>
      <c r="M302" s="17">
        <v>2358</v>
      </c>
      <c r="N302" s="17"/>
      <c r="O302" s="17"/>
      <c r="P302" s="17">
        <v>82</v>
      </c>
      <c r="Q302" s="17">
        <v>1870</v>
      </c>
      <c r="R302" s="17">
        <v>83</v>
      </c>
      <c r="S302" s="17">
        <v>1715</v>
      </c>
      <c r="T302" s="17"/>
      <c r="U302" s="17"/>
      <c r="V302" s="17"/>
      <c r="W302" s="17"/>
      <c r="X302" s="15">
        <v>280.75</v>
      </c>
      <c r="Y302" s="17">
        <v>441</v>
      </c>
      <c r="Z302" s="17">
        <v>504.75</v>
      </c>
      <c r="AA302" s="17">
        <v>3026</v>
      </c>
      <c r="AB302" s="12">
        <f t="shared" si="4"/>
        <v>300</v>
      </c>
    </row>
    <row r="303" ht="14.25" spans="1:28">
      <c r="A303" s="13">
        <v>127</v>
      </c>
      <c r="B303" s="15">
        <v>3</v>
      </c>
      <c r="C303" s="16">
        <v>16</v>
      </c>
      <c r="D303" s="17" t="s">
        <v>267</v>
      </c>
      <c r="E303" s="17" t="s">
        <v>268</v>
      </c>
      <c r="F303" s="17">
        <v>100.5</v>
      </c>
      <c r="G303" s="17">
        <v>3131</v>
      </c>
      <c r="H303" s="17">
        <v>96.5</v>
      </c>
      <c r="I303" s="17">
        <v>4438</v>
      </c>
      <c r="J303" s="17">
        <v>84.5</v>
      </c>
      <c r="K303" s="17">
        <v>6614</v>
      </c>
      <c r="L303" s="17">
        <v>43</v>
      </c>
      <c r="M303" s="17">
        <v>5463</v>
      </c>
      <c r="N303" s="17"/>
      <c r="O303" s="17"/>
      <c r="P303" s="17">
        <v>90</v>
      </c>
      <c r="Q303" s="17">
        <v>119</v>
      </c>
      <c r="R303" s="17"/>
      <c r="S303" s="17"/>
      <c r="T303" s="17"/>
      <c r="U303" s="17"/>
      <c r="V303" s="17">
        <v>90</v>
      </c>
      <c r="W303" s="17">
        <v>44</v>
      </c>
      <c r="X303" s="15">
        <v>281.5</v>
      </c>
      <c r="Y303" s="17">
        <v>438</v>
      </c>
      <c r="Z303" s="17">
        <v>504.5</v>
      </c>
      <c r="AA303" s="17">
        <v>3031</v>
      </c>
      <c r="AB303" s="12">
        <f t="shared" si="4"/>
        <v>301</v>
      </c>
    </row>
    <row r="304" ht="14.25" spans="1:28">
      <c r="A304" s="13">
        <v>129</v>
      </c>
      <c r="B304" s="15">
        <v>3</v>
      </c>
      <c r="C304" s="16">
        <v>18</v>
      </c>
      <c r="D304" s="17" t="s">
        <v>271</v>
      </c>
      <c r="E304" s="17" t="s">
        <v>272</v>
      </c>
      <c r="F304" s="17">
        <v>98</v>
      </c>
      <c r="G304" s="17">
        <v>4423</v>
      </c>
      <c r="H304" s="17">
        <v>99</v>
      </c>
      <c r="I304" s="17">
        <v>3947</v>
      </c>
      <c r="J304" s="17">
        <v>84</v>
      </c>
      <c r="K304" s="17">
        <v>6761</v>
      </c>
      <c r="L304" s="17">
        <v>60.5</v>
      </c>
      <c r="M304" s="17">
        <v>2106</v>
      </c>
      <c r="N304" s="17"/>
      <c r="O304" s="17"/>
      <c r="P304" s="17">
        <v>76</v>
      </c>
      <c r="Q304" s="17">
        <v>3515</v>
      </c>
      <c r="R304" s="17"/>
      <c r="S304" s="17"/>
      <c r="T304" s="17"/>
      <c r="U304" s="17"/>
      <c r="V304" s="17">
        <v>87</v>
      </c>
      <c r="W304" s="17">
        <v>273</v>
      </c>
      <c r="X304" s="15">
        <v>281</v>
      </c>
      <c r="Y304" s="17">
        <v>439</v>
      </c>
      <c r="Z304" s="17">
        <v>504.5</v>
      </c>
      <c r="AA304" s="17">
        <v>3031</v>
      </c>
      <c r="AB304" s="12">
        <f t="shared" si="4"/>
        <v>301</v>
      </c>
    </row>
    <row r="305" ht="14.25" spans="1:28">
      <c r="A305" s="13">
        <v>474</v>
      </c>
      <c r="B305" s="15">
        <v>10</v>
      </c>
      <c r="C305" s="16">
        <v>35</v>
      </c>
      <c r="D305" s="17" t="s">
        <v>958</v>
      </c>
      <c r="E305" s="17" t="s">
        <v>959</v>
      </c>
      <c r="F305" s="17">
        <v>104.5</v>
      </c>
      <c r="G305" s="17">
        <v>1551</v>
      </c>
      <c r="H305" s="17">
        <v>92</v>
      </c>
      <c r="I305" s="17">
        <v>5417</v>
      </c>
      <c r="J305" s="17">
        <v>107.5</v>
      </c>
      <c r="K305" s="17">
        <v>1810</v>
      </c>
      <c r="L305" s="17">
        <v>42.5</v>
      </c>
      <c r="M305" s="17">
        <v>5605</v>
      </c>
      <c r="N305" s="17"/>
      <c r="O305" s="17"/>
      <c r="P305" s="17">
        <v>70</v>
      </c>
      <c r="Q305" s="17">
        <v>5445</v>
      </c>
      <c r="R305" s="17">
        <v>88</v>
      </c>
      <c r="S305" s="17">
        <v>601</v>
      </c>
      <c r="T305" s="17"/>
      <c r="U305" s="17"/>
      <c r="V305" s="17"/>
      <c r="W305" s="17"/>
      <c r="X305" s="15">
        <v>304</v>
      </c>
      <c r="Y305" s="17">
        <v>245</v>
      </c>
      <c r="Z305" s="17">
        <v>504.5</v>
      </c>
      <c r="AA305" s="17">
        <v>3031</v>
      </c>
      <c r="AB305" s="12">
        <f t="shared" si="4"/>
        <v>301</v>
      </c>
    </row>
    <row r="306" ht="14.25" spans="1:28">
      <c r="A306" s="13">
        <v>650</v>
      </c>
      <c r="B306" s="15">
        <v>13</v>
      </c>
      <c r="C306" s="16">
        <v>44</v>
      </c>
      <c r="D306" s="17" t="s">
        <v>1307</v>
      </c>
      <c r="E306" s="17" t="s">
        <v>1308</v>
      </c>
      <c r="F306" s="17">
        <v>95.5</v>
      </c>
      <c r="G306" s="17">
        <v>5877</v>
      </c>
      <c r="H306" s="17">
        <v>120.5</v>
      </c>
      <c r="I306" s="17">
        <v>665</v>
      </c>
      <c r="J306" s="17">
        <v>88</v>
      </c>
      <c r="K306" s="17">
        <v>5738</v>
      </c>
      <c r="L306" s="17">
        <v>66.5</v>
      </c>
      <c r="M306" s="17">
        <v>1237</v>
      </c>
      <c r="N306" s="17"/>
      <c r="O306" s="17"/>
      <c r="P306" s="17">
        <v>61</v>
      </c>
      <c r="Q306" s="17">
        <v>8358</v>
      </c>
      <c r="R306" s="17">
        <v>73</v>
      </c>
      <c r="S306" s="17">
        <v>4436</v>
      </c>
      <c r="T306" s="17"/>
      <c r="U306" s="17"/>
      <c r="V306" s="17"/>
      <c r="W306" s="17"/>
      <c r="X306" s="15">
        <v>304</v>
      </c>
      <c r="Y306" s="17">
        <v>245</v>
      </c>
      <c r="Z306" s="17">
        <v>504.5</v>
      </c>
      <c r="AA306" s="17">
        <v>3031</v>
      </c>
      <c r="AB306" s="12">
        <f t="shared" si="4"/>
        <v>301</v>
      </c>
    </row>
    <row r="307" ht="14.25" spans="1:28">
      <c r="A307" s="13">
        <v>24</v>
      </c>
      <c r="B307" s="15">
        <v>1</v>
      </c>
      <c r="C307" s="16">
        <v>26</v>
      </c>
      <c r="D307" s="17" t="s">
        <v>62</v>
      </c>
      <c r="E307" s="17" t="s">
        <v>63</v>
      </c>
      <c r="F307" s="17">
        <v>104.25</v>
      </c>
      <c r="G307" s="17">
        <v>1691</v>
      </c>
      <c r="H307" s="17">
        <v>94.5</v>
      </c>
      <c r="I307" s="17">
        <v>4840</v>
      </c>
      <c r="J307" s="17">
        <v>102.5</v>
      </c>
      <c r="K307" s="17">
        <v>2600</v>
      </c>
      <c r="L307" s="17">
        <v>51</v>
      </c>
      <c r="M307" s="17">
        <v>3730</v>
      </c>
      <c r="N307" s="17"/>
      <c r="O307" s="17"/>
      <c r="P307" s="17">
        <v>64</v>
      </c>
      <c r="Q307" s="17">
        <v>7304</v>
      </c>
      <c r="R307" s="17"/>
      <c r="S307" s="17"/>
      <c r="T307" s="17">
        <v>88</v>
      </c>
      <c r="U307" s="17">
        <v>161</v>
      </c>
      <c r="V307" s="17"/>
      <c r="W307" s="17"/>
      <c r="X307" s="15">
        <v>301.25</v>
      </c>
      <c r="Y307" s="17">
        <v>268</v>
      </c>
      <c r="Z307" s="17">
        <v>504.25</v>
      </c>
      <c r="AA307" s="17">
        <v>3051</v>
      </c>
      <c r="AB307" s="12">
        <f t="shared" si="4"/>
        <v>305</v>
      </c>
    </row>
    <row r="308" ht="14.25" spans="1:28">
      <c r="A308" s="13">
        <v>463</v>
      </c>
      <c r="B308" s="15">
        <v>10</v>
      </c>
      <c r="C308" s="16">
        <v>24</v>
      </c>
      <c r="D308" s="17" t="s">
        <v>936</v>
      </c>
      <c r="E308" s="17" t="s">
        <v>937</v>
      </c>
      <c r="F308" s="17">
        <v>97.5</v>
      </c>
      <c r="G308" s="17">
        <v>4695</v>
      </c>
      <c r="H308" s="17">
        <v>100</v>
      </c>
      <c r="I308" s="17">
        <v>3741</v>
      </c>
      <c r="J308" s="17">
        <v>105.5</v>
      </c>
      <c r="K308" s="17">
        <v>2098</v>
      </c>
      <c r="L308" s="17">
        <v>49</v>
      </c>
      <c r="M308" s="17">
        <v>4146</v>
      </c>
      <c r="N308" s="17"/>
      <c r="O308" s="17"/>
      <c r="P308" s="17">
        <v>71</v>
      </c>
      <c r="Q308" s="17">
        <v>5258</v>
      </c>
      <c r="R308" s="17">
        <v>81</v>
      </c>
      <c r="S308" s="17">
        <v>2139</v>
      </c>
      <c r="T308" s="17"/>
      <c r="U308" s="17"/>
      <c r="V308" s="17"/>
      <c r="W308" s="17"/>
      <c r="X308" s="15">
        <v>303</v>
      </c>
      <c r="Y308" s="17">
        <v>251</v>
      </c>
      <c r="Z308" s="17">
        <v>504</v>
      </c>
      <c r="AA308" s="17">
        <v>3061</v>
      </c>
      <c r="AB308" s="12">
        <f t="shared" si="4"/>
        <v>306</v>
      </c>
    </row>
    <row r="309" ht="14.25" spans="1:28">
      <c r="A309" s="13">
        <v>556</v>
      </c>
      <c r="B309" s="15">
        <v>12</v>
      </c>
      <c r="C309" s="16">
        <v>3</v>
      </c>
      <c r="D309" s="17" t="s">
        <v>1120</v>
      </c>
      <c r="E309" s="17" t="s">
        <v>1121</v>
      </c>
      <c r="F309" s="17">
        <v>108</v>
      </c>
      <c r="G309" s="17">
        <v>736</v>
      </c>
      <c r="H309" s="17">
        <v>85</v>
      </c>
      <c r="I309" s="17">
        <v>6959</v>
      </c>
      <c r="J309" s="17">
        <v>100</v>
      </c>
      <c r="K309" s="17">
        <v>3038</v>
      </c>
      <c r="L309" s="17">
        <v>49</v>
      </c>
      <c r="M309" s="17">
        <v>4146</v>
      </c>
      <c r="N309" s="17"/>
      <c r="O309" s="17"/>
      <c r="P309" s="17">
        <v>84</v>
      </c>
      <c r="Q309" s="17">
        <v>1443</v>
      </c>
      <c r="R309" s="17">
        <v>78</v>
      </c>
      <c r="S309" s="17">
        <v>2906</v>
      </c>
      <c r="T309" s="17"/>
      <c r="U309" s="17"/>
      <c r="V309" s="17"/>
      <c r="W309" s="17"/>
      <c r="X309" s="15">
        <v>293</v>
      </c>
      <c r="Y309" s="17">
        <v>335</v>
      </c>
      <c r="Z309" s="17">
        <v>504</v>
      </c>
      <c r="AA309" s="17">
        <v>3061</v>
      </c>
      <c r="AB309" s="12">
        <f t="shared" si="4"/>
        <v>306</v>
      </c>
    </row>
    <row r="310" ht="14.25" spans="1:28">
      <c r="A310" s="13">
        <v>5</v>
      </c>
      <c r="B310" s="15">
        <v>1</v>
      </c>
      <c r="C310" s="16">
        <v>6</v>
      </c>
      <c r="D310" s="17" t="s">
        <v>24</v>
      </c>
      <c r="E310" s="17" t="s">
        <v>25</v>
      </c>
      <c r="F310" s="17">
        <v>111</v>
      </c>
      <c r="G310" s="17">
        <v>303</v>
      </c>
      <c r="H310" s="17">
        <v>107.5</v>
      </c>
      <c r="I310" s="17">
        <v>2373</v>
      </c>
      <c r="J310" s="17">
        <v>83.5</v>
      </c>
      <c r="K310" s="17">
        <v>6874</v>
      </c>
      <c r="L310" s="17">
        <v>48.5</v>
      </c>
      <c r="M310" s="17">
        <v>4255</v>
      </c>
      <c r="N310" s="17"/>
      <c r="O310" s="17"/>
      <c r="P310" s="17">
        <v>76</v>
      </c>
      <c r="Q310" s="17">
        <v>3515</v>
      </c>
      <c r="R310" s="17"/>
      <c r="S310" s="17"/>
      <c r="T310" s="17">
        <v>77</v>
      </c>
      <c r="U310" s="17">
        <v>1152</v>
      </c>
      <c r="V310" s="17"/>
      <c r="W310" s="17"/>
      <c r="X310" s="15">
        <v>302</v>
      </c>
      <c r="Y310" s="17">
        <v>261</v>
      </c>
      <c r="Z310" s="17">
        <v>503.5</v>
      </c>
      <c r="AA310" s="17">
        <v>3078</v>
      </c>
      <c r="AB310" s="12">
        <f t="shared" si="4"/>
        <v>308</v>
      </c>
    </row>
    <row r="311" ht="14.25" spans="1:28">
      <c r="A311" s="13">
        <v>645</v>
      </c>
      <c r="B311" s="15">
        <v>13</v>
      </c>
      <c r="C311" s="16">
        <v>38</v>
      </c>
      <c r="D311" s="17" t="s">
        <v>1297</v>
      </c>
      <c r="E311" s="17" t="s">
        <v>1298</v>
      </c>
      <c r="F311" s="17">
        <v>95.5</v>
      </c>
      <c r="G311" s="17">
        <v>5877</v>
      </c>
      <c r="H311" s="17">
        <v>86.5</v>
      </c>
      <c r="I311" s="17">
        <v>6657</v>
      </c>
      <c r="J311" s="17">
        <v>102</v>
      </c>
      <c r="K311" s="17">
        <v>2685</v>
      </c>
      <c r="L311" s="17">
        <v>57.5</v>
      </c>
      <c r="M311" s="17">
        <v>2619</v>
      </c>
      <c r="N311" s="17"/>
      <c r="O311" s="17"/>
      <c r="P311" s="17">
        <v>84</v>
      </c>
      <c r="Q311" s="17">
        <v>1443</v>
      </c>
      <c r="R311" s="17">
        <v>78</v>
      </c>
      <c r="S311" s="17">
        <v>2906</v>
      </c>
      <c r="T311" s="17"/>
      <c r="U311" s="17"/>
      <c r="V311" s="17"/>
      <c r="W311" s="17"/>
      <c r="X311" s="15">
        <v>284</v>
      </c>
      <c r="Y311" s="17">
        <v>408</v>
      </c>
      <c r="Z311" s="17">
        <v>503.5</v>
      </c>
      <c r="AA311" s="17">
        <v>3078</v>
      </c>
      <c r="AB311" s="12">
        <f t="shared" si="4"/>
        <v>308</v>
      </c>
    </row>
    <row r="312" ht="14.25" spans="1:28">
      <c r="A312" s="13">
        <v>332</v>
      </c>
      <c r="B312" s="15">
        <v>8</v>
      </c>
      <c r="C312" s="16">
        <v>4</v>
      </c>
      <c r="D312" s="17" t="s">
        <v>675</v>
      </c>
      <c r="E312" s="17" t="s">
        <v>676</v>
      </c>
      <c r="F312" s="17">
        <v>103.5</v>
      </c>
      <c r="G312" s="17">
        <v>1897</v>
      </c>
      <c r="H312" s="17">
        <v>98.5</v>
      </c>
      <c r="I312" s="17">
        <v>4047</v>
      </c>
      <c r="J312" s="17">
        <v>98</v>
      </c>
      <c r="K312" s="17">
        <v>3454</v>
      </c>
      <c r="L312" s="17">
        <v>59</v>
      </c>
      <c r="M312" s="17">
        <v>2358</v>
      </c>
      <c r="N312" s="17"/>
      <c r="O312" s="17"/>
      <c r="P312" s="17">
        <v>72</v>
      </c>
      <c r="Q312" s="17">
        <v>4881</v>
      </c>
      <c r="R312" s="17">
        <v>72</v>
      </c>
      <c r="S312" s="17">
        <v>4793</v>
      </c>
      <c r="T312" s="17"/>
      <c r="U312" s="17"/>
      <c r="V312" s="17"/>
      <c r="W312" s="17"/>
      <c r="X312" s="15">
        <v>300</v>
      </c>
      <c r="Y312" s="17">
        <v>276</v>
      </c>
      <c r="Z312" s="17">
        <v>503</v>
      </c>
      <c r="AA312" s="17">
        <v>3099</v>
      </c>
      <c r="AB312" s="12">
        <f t="shared" si="4"/>
        <v>310</v>
      </c>
    </row>
    <row r="313" ht="14.25" spans="1:28">
      <c r="A313" s="13">
        <v>352</v>
      </c>
      <c r="B313" s="15">
        <v>8</v>
      </c>
      <c r="C313" s="16">
        <v>25</v>
      </c>
      <c r="D313" s="17" t="s">
        <v>715</v>
      </c>
      <c r="E313" s="17" t="s">
        <v>716</v>
      </c>
      <c r="F313" s="17">
        <v>100</v>
      </c>
      <c r="G313" s="17">
        <v>3368</v>
      </c>
      <c r="H313" s="17">
        <v>107</v>
      </c>
      <c r="I313" s="17">
        <v>2461</v>
      </c>
      <c r="J313" s="17">
        <v>102.5</v>
      </c>
      <c r="K313" s="17">
        <v>2600</v>
      </c>
      <c r="L313" s="17">
        <v>47.5</v>
      </c>
      <c r="M313" s="17">
        <v>4470</v>
      </c>
      <c r="N313" s="17"/>
      <c r="O313" s="17"/>
      <c r="P313" s="17">
        <v>61</v>
      </c>
      <c r="Q313" s="17">
        <v>8358</v>
      </c>
      <c r="R313" s="17">
        <v>85</v>
      </c>
      <c r="S313" s="17">
        <v>1393</v>
      </c>
      <c r="T313" s="17"/>
      <c r="U313" s="17"/>
      <c r="V313" s="17"/>
      <c r="W313" s="17"/>
      <c r="X313" s="15">
        <v>309.5</v>
      </c>
      <c r="Y313" s="17">
        <v>197</v>
      </c>
      <c r="Z313" s="17">
        <v>503</v>
      </c>
      <c r="AA313" s="17">
        <v>3099</v>
      </c>
      <c r="AB313" s="12">
        <f t="shared" si="4"/>
        <v>310</v>
      </c>
    </row>
    <row r="314" ht="14.25" spans="1:28">
      <c r="A314" s="13">
        <v>32</v>
      </c>
      <c r="B314" s="15">
        <v>1</v>
      </c>
      <c r="C314" s="16">
        <v>34</v>
      </c>
      <c r="D314" s="17" t="s">
        <v>78</v>
      </c>
      <c r="E314" s="17" t="s">
        <v>79</v>
      </c>
      <c r="F314" s="17">
        <v>100.5</v>
      </c>
      <c r="G314" s="17">
        <v>3131</v>
      </c>
      <c r="H314" s="17">
        <v>113</v>
      </c>
      <c r="I314" s="17">
        <v>1467</v>
      </c>
      <c r="J314" s="17">
        <v>95.5</v>
      </c>
      <c r="K314" s="17">
        <v>3977</v>
      </c>
      <c r="L314" s="17">
        <v>47.5</v>
      </c>
      <c r="M314" s="17">
        <v>4470</v>
      </c>
      <c r="N314" s="17"/>
      <c r="O314" s="17"/>
      <c r="P314" s="17">
        <v>66</v>
      </c>
      <c r="Q314" s="17">
        <v>6766</v>
      </c>
      <c r="R314" s="17"/>
      <c r="S314" s="17"/>
      <c r="T314" s="17">
        <v>80</v>
      </c>
      <c r="U314" s="17">
        <v>813</v>
      </c>
      <c r="V314" s="17"/>
      <c r="W314" s="17"/>
      <c r="X314" s="15">
        <v>309</v>
      </c>
      <c r="Y314" s="17">
        <v>203</v>
      </c>
      <c r="Z314" s="17">
        <v>502.5</v>
      </c>
      <c r="AA314" s="17">
        <v>3122</v>
      </c>
      <c r="AB314" s="12">
        <f t="shared" si="4"/>
        <v>312</v>
      </c>
    </row>
    <row r="315" ht="14.25" spans="1:28">
      <c r="A315" s="13">
        <v>116</v>
      </c>
      <c r="B315" s="15">
        <v>3</v>
      </c>
      <c r="C315" s="16">
        <v>5</v>
      </c>
      <c r="D315" s="17" t="s">
        <v>245</v>
      </c>
      <c r="E315" s="17" t="s">
        <v>246</v>
      </c>
      <c r="F315" s="17">
        <v>98.5</v>
      </c>
      <c r="G315" s="17">
        <v>4145</v>
      </c>
      <c r="H315" s="17">
        <v>79</v>
      </c>
      <c r="I315" s="17">
        <v>8244</v>
      </c>
      <c r="J315" s="17">
        <v>100.5</v>
      </c>
      <c r="K315" s="17">
        <v>2946</v>
      </c>
      <c r="L315" s="17">
        <v>50.5</v>
      </c>
      <c r="M315" s="17">
        <v>3830</v>
      </c>
      <c r="N315" s="17"/>
      <c r="O315" s="17"/>
      <c r="P315" s="17">
        <v>87</v>
      </c>
      <c r="Q315" s="17">
        <v>681</v>
      </c>
      <c r="R315" s="17"/>
      <c r="S315" s="17"/>
      <c r="T315" s="17"/>
      <c r="U315" s="17"/>
      <c r="V315" s="17">
        <v>87</v>
      </c>
      <c r="W315" s="17">
        <v>273</v>
      </c>
      <c r="X315" s="15">
        <v>278</v>
      </c>
      <c r="Y315" s="17">
        <v>469</v>
      </c>
      <c r="Z315" s="17">
        <v>502.5</v>
      </c>
      <c r="AA315" s="17">
        <v>3122</v>
      </c>
      <c r="AB315" s="12">
        <f t="shared" si="4"/>
        <v>312</v>
      </c>
    </row>
    <row r="316" ht="14.25" spans="1:28">
      <c r="A316" s="13">
        <v>567</v>
      </c>
      <c r="B316" s="15">
        <v>12</v>
      </c>
      <c r="C316" s="16">
        <v>14</v>
      </c>
      <c r="D316" s="17" t="s">
        <v>1142</v>
      </c>
      <c r="E316" s="17" t="s">
        <v>1143</v>
      </c>
      <c r="F316" s="17">
        <v>99.5</v>
      </c>
      <c r="G316" s="17">
        <v>3607</v>
      </c>
      <c r="H316" s="17">
        <v>97</v>
      </c>
      <c r="I316" s="17">
        <v>4348</v>
      </c>
      <c r="J316" s="17">
        <v>111</v>
      </c>
      <c r="K316" s="17">
        <v>1337</v>
      </c>
      <c r="L316" s="17">
        <v>54</v>
      </c>
      <c r="M316" s="17">
        <v>3208</v>
      </c>
      <c r="N316" s="17"/>
      <c r="O316" s="17"/>
      <c r="P316" s="17">
        <v>66</v>
      </c>
      <c r="Q316" s="17">
        <v>6766</v>
      </c>
      <c r="R316" s="17">
        <v>75</v>
      </c>
      <c r="S316" s="17">
        <v>3790</v>
      </c>
      <c r="T316" s="17"/>
      <c r="U316" s="17"/>
      <c r="V316" s="17"/>
      <c r="W316" s="17"/>
      <c r="X316" s="15">
        <v>307.5</v>
      </c>
      <c r="Y316" s="17">
        <v>214</v>
      </c>
      <c r="Z316" s="17">
        <v>502.5</v>
      </c>
      <c r="AA316" s="17">
        <v>3122</v>
      </c>
      <c r="AB316" s="12">
        <f t="shared" si="4"/>
        <v>312</v>
      </c>
    </row>
    <row r="317" ht="14.25" spans="1:28">
      <c r="A317" s="13">
        <v>224</v>
      </c>
      <c r="B317" s="15">
        <v>5</v>
      </c>
      <c r="C317" s="16">
        <v>21</v>
      </c>
      <c r="D317" s="17" t="s">
        <v>461</v>
      </c>
      <c r="E317" s="17" t="s">
        <v>462</v>
      </c>
      <c r="F317" s="17">
        <v>93</v>
      </c>
      <c r="G317" s="17">
        <v>7407</v>
      </c>
      <c r="H317" s="17">
        <v>103.5</v>
      </c>
      <c r="I317" s="17">
        <v>3096</v>
      </c>
      <c r="J317" s="17">
        <v>114.75</v>
      </c>
      <c r="K317" s="17">
        <v>938</v>
      </c>
      <c r="L317" s="17">
        <v>46</v>
      </c>
      <c r="M317" s="17">
        <v>4785</v>
      </c>
      <c r="N317" s="17"/>
      <c r="O317" s="17"/>
      <c r="P317" s="17">
        <v>73</v>
      </c>
      <c r="Q317" s="17">
        <v>4501</v>
      </c>
      <c r="R317" s="17"/>
      <c r="S317" s="17"/>
      <c r="T317" s="17"/>
      <c r="U317" s="17"/>
      <c r="V317" s="17">
        <v>72</v>
      </c>
      <c r="W317" s="17">
        <v>2049</v>
      </c>
      <c r="X317" s="15">
        <v>311.25</v>
      </c>
      <c r="Y317" s="17">
        <v>176</v>
      </c>
      <c r="Z317" s="17">
        <v>502.25</v>
      </c>
      <c r="AA317" s="17">
        <v>3139</v>
      </c>
      <c r="AB317" s="12">
        <f t="shared" si="4"/>
        <v>315</v>
      </c>
    </row>
    <row r="318" ht="14.25" spans="1:28">
      <c r="A318" s="13">
        <v>442</v>
      </c>
      <c r="B318" s="15">
        <v>10</v>
      </c>
      <c r="C318" s="16">
        <v>3</v>
      </c>
      <c r="D318" s="17" t="s">
        <v>894</v>
      </c>
      <c r="E318" s="17" t="s">
        <v>895</v>
      </c>
      <c r="F318" s="17">
        <v>103</v>
      </c>
      <c r="G318" s="17">
        <v>2094</v>
      </c>
      <c r="H318" s="17">
        <v>86.5</v>
      </c>
      <c r="I318" s="17">
        <v>6657</v>
      </c>
      <c r="J318" s="17">
        <v>106.5</v>
      </c>
      <c r="K318" s="17">
        <v>1929</v>
      </c>
      <c r="L318" s="17">
        <v>44</v>
      </c>
      <c r="M318" s="17">
        <v>5222</v>
      </c>
      <c r="N318" s="17"/>
      <c r="O318" s="17"/>
      <c r="P318" s="17">
        <v>71</v>
      </c>
      <c r="Q318" s="17">
        <v>5258</v>
      </c>
      <c r="R318" s="17">
        <v>91</v>
      </c>
      <c r="S318" s="17">
        <v>151</v>
      </c>
      <c r="T318" s="17"/>
      <c r="U318" s="17"/>
      <c r="V318" s="17"/>
      <c r="W318" s="17"/>
      <c r="X318" s="15">
        <v>296</v>
      </c>
      <c r="Y318" s="17">
        <v>307</v>
      </c>
      <c r="Z318" s="17">
        <v>502</v>
      </c>
      <c r="AA318" s="17">
        <v>3150</v>
      </c>
      <c r="AB318" s="12">
        <f t="shared" si="4"/>
        <v>316</v>
      </c>
    </row>
    <row r="319" ht="14.25" spans="1:28">
      <c r="A319" s="13">
        <v>657</v>
      </c>
      <c r="B319" s="15">
        <v>13</v>
      </c>
      <c r="C319" s="16">
        <v>51</v>
      </c>
      <c r="D319" s="17" t="s">
        <v>1321</v>
      </c>
      <c r="E319" s="17" t="s">
        <v>1322</v>
      </c>
      <c r="F319" s="17">
        <v>93</v>
      </c>
      <c r="G319" s="17">
        <v>7407</v>
      </c>
      <c r="H319" s="17">
        <v>101.5</v>
      </c>
      <c r="I319" s="17">
        <v>3477</v>
      </c>
      <c r="J319" s="17">
        <v>97.5</v>
      </c>
      <c r="K319" s="17">
        <v>3545</v>
      </c>
      <c r="L319" s="17">
        <v>62</v>
      </c>
      <c r="M319" s="17">
        <v>1839</v>
      </c>
      <c r="N319" s="17"/>
      <c r="O319" s="17"/>
      <c r="P319" s="17">
        <v>67</v>
      </c>
      <c r="Q319" s="17">
        <v>6384</v>
      </c>
      <c r="R319" s="17">
        <v>81</v>
      </c>
      <c r="S319" s="17">
        <v>2139</v>
      </c>
      <c r="T319" s="17"/>
      <c r="U319" s="17"/>
      <c r="V319" s="17"/>
      <c r="W319" s="17"/>
      <c r="X319" s="15">
        <v>292</v>
      </c>
      <c r="Y319" s="17">
        <v>350</v>
      </c>
      <c r="Z319" s="17">
        <v>502</v>
      </c>
      <c r="AA319" s="17">
        <v>3150</v>
      </c>
      <c r="AB319" s="12">
        <f t="shared" si="4"/>
        <v>316</v>
      </c>
    </row>
    <row r="320" ht="14.25" spans="1:28">
      <c r="A320" s="13">
        <v>275</v>
      </c>
      <c r="B320" s="15">
        <v>6</v>
      </c>
      <c r="C320" s="16">
        <v>27</v>
      </c>
      <c r="D320" s="17" t="s">
        <v>561</v>
      </c>
      <c r="E320" s="17" t="s">
        <v>562</v>
      </c>
      <c r="F320" s="17">
        <v>96.25</v>
      </c>
      <c r="G320" s="17">
        <v>5515</v>
      </c>
      <c r="H320" s="17">
        <v>98.5</v>
      </c>
      <c r="I320" s="17">
        <v>4047</v>
      </c>
      <c r="J320" s="17">
        <v>100</v>
      </c>
      <c r="K320" s="17">
        <v>3038</v>
      </c>
      <c r="L320" s="17">
        <v>54</v>
      </c>
      <c r="M320" s="17">
        <v>3208</v>
      </c>
      <c r="N320" s="17"/>
      <c r="O320" s="17"/>
      <c r="P320" s="17"/>
      <c r="Q320" s="17"/>
      <c r="R320" s="17">
        <v>79</v>
      </c>
      <c r="S320" s="17">
        <v>2629</v>
      </c>
      <c r="T320" s="17"/>
      <c r="U320" s="17"/>
      <c r="V320" s="17">
        <v>74</v>
      </c>
      <c r="W320" s="17">
        <v>1732</v>
      </c>
      <c r="X320" s="15">
        <v>294.75</v>
      </c>
      <c r="Y320" s="17">
        <v>319</v>
      </c>
      <c r="Z320" s="17">
        <v>501.75</v>
      </c>
      <c r="AA320" s="17">
        <v>3163</v>
      </c>
      <c r="AB320" s="12">
        <f t="shared" si="4"/>
        <v>318</v>
      </c>
    </row>
    <row r="321" ht="14.25" spans="1:28">
      <c r="A321" s="13">
        <v>44</v>
      </c>
      <c r="B321" s="15">
        <v>1</v>
      </c>
      <c r="C321" s="16">
        <v>46</v>
      </c>
      <c r="D321" s="17" t="s">
        <v>102</v>
      </c>
      <c r="E321" s="17" t="s">
        <v>103</v>
      </c>
      <c r="F321" s="17">
        <v>105.5</v>
      </c>
      <c r="G321" s="17">
        <v>1281</v>
      </c>
      <c r="H321" s="17">
        <v>112</v>
      </c>
      <c r="I321" s="17">
        <v>1617</v>
      </c>
      <c r="J321" s="17">
        <v>85.5</v>
      </c>
      <c r="K321" s="17">
        <v>6376</v>
      </c>
      <c r="L321" s="17">
        <v>46.5</v>
      </c>
      <c r="M321" s="17">
        <v>4690</v>
      </c>
      <c r="N321" s="17"/>
      <c r="O321" s="17"/>
      <c r="P321" s="17">
        <v>65</v>
      </c>
      <c r="Q321" s="17">
        <v>7113</v>
      </c>
      <c r="R321" s="17"/>
      <c r="S321" s="17"/>
      <c r="T321" s="17">
        <v>87</v>
      </c>
      <c r="U321" s="17">
        <v>259</v>
      </c>
      <c r="V321" s="17"/>
      <c r="W321" s="17"/>
      <c r="X321" s="15">
        <v>303</v>
      </c>
      <c r="Y321" s="17">
        <v>251</v>
      </c>
      <c r="Z321" s="17">
        <v>501.5</v>
      </c>
      <c r="AA321" s="17">
        <v>3169</v>
      </c>
      <c r="AB321" s="12">
        <f t="shared" si="4"/>
        <v>319</v>
      </c>
    </row>
    <row r="322" ht="14.25" spans="1:28">
      <c r="A322" s="13">
        <v>622</v>
      </c>
      <c r="B322" s="15">
        <v>13</v>
      </c>
      <c r="C322" s="16">
        <v>15</v>
      </c>
      <c r="D322" s="17" t="s">
        <v>1252</v>
      </c>
      <c r="E322" s="17" t="s">
        <v>1253</v>
      </c>
      <c r="F322" s="17">
        <v>90.5</v>
      </c>
      <c r="G322" s="17">
        <v>8999</v>
      </c>
      <c r="H322" s="17">
        <v>104.5</v>
      </c>
      <c r="I322" s="17">
        <v>2895</v>
      </c>
      <c r="J322" s="17">
        <v>96</v>
      </c>
      <c r="K322" s="17">
        <v>3851</v>
      </c>
      <c r="L322" s="17">
        <v>48.5</v>
      </c>
      <c r="M322" s="17">
        <v>4255</v>
      </c>
      <c r="N322" s="17"/>
      <c r="O322" s="17"/>
      <c r="P322" s="17">
        <v>89</v>
      </c>
      <c r="Q322" s="17">
        <v>222</v>
      </c>
      <c r="R322" s="17">
        <v>73</v>
      </c>
      <c r="S322" s="17">
        <v>4436</v>
      </c>
      <c r="T322" s="17"/>
      <c r="U322" s="17"/>
      <c r="V322" s="17"/>
      <c r="W322" s="17"/>
      <c r="X322" s="15">
        <v>291</v>
      </c>
      <c r="Y322" s="17">
        <v>359</v>
      </c>
      <c r="Z322" s="17">
        <v>501.5</v>
      </c>
      <c r="AA322" s="17">
        <v>3169</v>
      </c>
      <c r="AB322" s="12">
        <f t="shared" si="4"/>
        <v>319</v>
      </c>
    </row>
    <row r="323" ht="14.25" spans="1:28">
      <c r="A323" s="13">
        <v>196</v>
      </c>
      <c r="B323" s="15">
        <v>4</v>
      </c>
      <c r="C323" s="16">
        <v>39</v>
      </c>
      <c r="D323" s="17" t="s">
        <v>405</v>
      </c>
      <c r="E323" s="17" t="s">
        <v>406</v>
      </c>
      <c r="F323" s="17">
        <v>102.5</v>
      </c>
      <c r="G323" s="17">
        <v>2274</v>
      </c>
      <c r="H323" s="17">
        <v>106.5</v>
      </c>
      <c r="I323" s="17">
        <v>2542</v>
      </c>
      <c r="J323" s="17">
        <v>104.5</v>
      </c>
      <c r="K323" s="17">
        <v>2265</v>
      </c>
      <c r="L323" s="17">
        <v>47.5</v>
      </c>
      <c r="M323" s="17">
        <v>4470</v>
      </c>
      <c r="N323" s="17"/>
      <c r="O323" s="17"/>
      <c r="P323" s="17">
        <v>64</v>
      </c>
      <c r="Q323" s="17">
        <v>7304</v>
      </c>
      <c r="R323" s="17"/>
      <c r="S323" s="17"/>
      <c r="T323" s="17"/>
      <c r="U323" s="17"/>
      <c r="V323" s="17">
        <v>76</v>
      </c>
      <c r="W323" s="17">
        <v>1407</v>
      </c>
      <c r="X323" s="15">
        <v>313.5</v>
      </c>
      <c r="Y323" s="17">
        <v>164</v>
      </c>
      <c r="Z323" s="17">
        <v>501</v>
      </c>
      <c r="AA323" s="17">
        <v>3195</v>
      </c>
      <c r="AB323" s="12">
        <f t="shared" ref="AB323:AB386" si="5">RANK(Z323,$Z$3:$Z$696)</f>
        <v>321</v>
      </c>
    </row>
    <row r="324" ht="14.25" spans="1:28">
      <c r="A324" s="13">
        <v>286</v>
      </c>
      <c r="B324" s="15">
        <v>6</v>
      </c>
      <c r="C324" s="16">
        <v>38</v>
      </c>
      <c r="D324" s="17" t="s">
        <v>583</v>
      </c>
      <c r="E324" s="17" t="s">
        <v>584</v>
      </c>
      <c r="F324" s="17">
        <v>102.5</v>
      </c>
      <c r="G324" s="17">
        <v>2274</v>
      </c>
      <c r="H324" s="17">
        <v>96.5</v>
      </c>
      <c r="I324" s="17">
        <v>4438</v>
      </c>
      <c r="J324" s="17">
        <v>87</v>
      </c>
      <c r="K324" s="17">
        <v>5999</v>
      </c>
      <c r="L324" s="17">
        <v>58</v>
      </c>
      <c r="M324" s="17">
        <v>2538</v>
      </c>
      <c r="N324" s="17"/>
      <c r="O324" s="17"/>
      <c r="P324" s="17"/>
      <c r="Q324" s="17"/>
      <c r="R324" s="17">
        <v>90</v>
      </c>
      <c r="S324" s="17">
        <v>255</v>
      </c>
      <c r="T324" s="17"/>
      <c r="U324" s="17"/>
      <c r="V324" s="17">
        <v>67</v>
      </c>
      <c r="W324" s="17">
        <v>2619</v>
      </c>
      <c r="X324" s="15">
        <v>286</v>
      </c>
      <c r="Y324" s="17">
        <v>392</v>
      </c>
      <c r="Z324" s="17">
        <v>501</v>
      </c>
      <c r="AA324" s="17">
        <v>3195</v>
      </c>
      <c r="AB324" s="12">
        <f t="shared" si="5"/>
        <v>321</v>
      </c>
    </row>
    <row r="325" ht="14.25" spans="1:28">
      <c r="A325" s="13">
        <v>152</v>
      </c>
      <c r="B325" s="15">
        <v>3</v>
      </c>
      <c r="C325" s="16">
        <v>41</v>
      </c>
      <c r="D325" s="17" t="s">
        <v>317</v>
      </c>
      <c r="E325" s="17" t="s">
        <v>318</v>
      </c>
      <c r="F325" s="17">
        <v>94.5</v>
      </c>
      <c r="G325" s="17">
        <v>6496</v>
      </c>
      <c r="H325" s="17">
        <v>94</v>
      </c>
      <c r="I325" s="17">
        <v>4942</v>
      </c>
      <c r="J325" s="17">
        <v>105</v>
      </c>
      <c r="K325" s="17">
        <v>2184</v>
      </c>
      <c r="L325" s="17">
        <v>49</v>
      </c>
      <c r="M325" s="17">
        <v>4146</v>
      </c>
      <c r="N325" s="17"/>
      <c r="O325" s="17"/>
      <c r="P325" s="17">
        <v>76</v>
      </c>
      <c r="Q325" s="17">
        <v>3515</v>
      </c>
      <c r="R325" s="17"/>
      <c r="S325" s="17"/>
      <c r="T325" s="17"/>
      <c r="U325" s="17"/>
      <c r="V325" s="17">
        <v>82</v>
      </c>
      <c r="W325" s="17">
        <v>723</v>
      </c>
      <c r="X325" s="15">
        <v>293.5</v>
      </c>
      <c r="Y325" s="17">
        <v>330</v>
      </c>
      <c r="Z325" s="17">
        <v>500.5</v>
      </c>
      <c r="AA325" s="17">
        <v>3222</v>
      </c>
      <c r="AB325" s="12">
        <f t="shared" si="5"/>
        <v>323</v>
      </c>
    </row>
    <row r="326" ht="14.25" spans="1:28">
      <c r="A326" s="13">
        <v>18</v>
      </c>
      <c r="B326" s="15">
        <v>1</v>
      </c>
      <c r="C326" s="16">
        <v>20</v>
      </c>
      <c r="D326" s="17" t="s">
        <v>50</v>
      </c>
      <c r="E326" s="17" t="s">
        <v>51</v>
      </c>
      <c r="F326" s="17">
        <v>104.5</v>
      </c>
      <c r="G326" s="17">
        <v>1551</v>
      </c>
      <c r="H326" s="17">
        <v>94.5</v>
      </c>
      <c r="I326" s="17">
        <v>4840</v>
      </c>
      <c r="J326" s="17">
        <v>88.25</v>
      </c>
      <c r="K326" s="17">
        <v>5710</v>
      </c>
      <c r="L326" s="17">
        <v>62</v>
      </c>
      <c r="M326" s="17">
        <v>1839</v>
      </c>
      <c r="N326" s="17"/>
      <c r="O326" s="17"/>
      <c r="P326" s="17">
        <v>72</v>
      </c>
      <c r="Q326" s="17">
        <v>4881</v>
      </c>
      <c r="R326" s="17"/>
      <c r="S326" s="17"/>
      <c r="T326" s="17">
        <v>79</v>
      </c>
      <c r="U326" s="17">
        <v>951</v>
      </c>
      <c r="V326" s="17"/>
      <c r="W326" s="17"/>
      <c r="X326" s="15">
        <v>287.25</v>
      </c>
      <c r="Y326" s="17">
        <v>384</v>
      </c>
      <c r="Z326" s="17">
        <v>500.25</v>
      </c>
      <c r="AA326" s="17">
        <v>3240</v>
      </c>
      <c r="AB326" s="12">
        <f t="shared" si="5"/>
        <v>324</v>
      </c>
    </row>
    <row r="327" ht="14.25" spans="1:28">
      <c r="A327" s="13">
        <v>117</v>
      </c>
      <c r="B327" s="15">
        <v>3</v>
      </c>
      <c r="C327" s="16">
        <v>6</v>
      </c>
      <c r="D327" s="17" t="s">
        <v>247</v>
      </c>
      <c r="E327" s="17" t="s">
        <v>248</v>
      </c>
      <c r="F327" s="17">
        <v>99</v>
      </c>
      <c r="G327" s="17">
        <v>3868</v>
      </c>
      <c r="H327" s="17">
        <v>82.5</v>
      </c>
      <c r="I327" s="17">
        <v>7529</v>
      </c>
      <c r="J327" s="17">
        <v>100.75</v>
      </c>
      <c r="K327" s="17">
        <v>2915</v>
      </c>
      <c r="L327" s="17">
        <v>53</v>
      </c>
      <c r="M327" s="17">
        <v>3368</v>
      </c>
      <c r="N327" s="17"/>
      <c r="O327" s="17"/>
      <c r="P327" s="17">
        <v>80</v>
      </c>
      <c r="Q327" s="17">
        <v>2333</v>
      </c>
      <c r="R327" s="17"/>
      <c r="S327" s="17"/>
      <c r="T327" s="17"/>
      <c r="U327" s="17"/>
      <c r="V327" s="17">
        <v>85</v>
      </c>
      <c r="W327" s="17">
        <v>530</v>
      </c>
      <c r="X327" s="15">
        <v>282.25</v>
      </c>
      <c r="Y327" s="17">
        <v>430</v>
      </c>
      <c r="Z327" s="17">
        <v>500.25</v>
      </c>
      <c r="AA327" s="17">
        <v>3240</v>
      </c>
      <c r="AB327" s="12">
        <f t="shared" si="5"/>
        <v>324</v>
      </c>
    </row>
    <row r="328" ht="14.25" spans="1:28">
      <c r="A328" s="13">
        <v>539</v>
      </c>
      <c r="B328" s="15">
        <v>11</v>
      </c>
      <c r="C328" s="16">
        <v>45</v>
      </c>
      <c r="D328" s="17" t="s">
        <v>1086</v>
      </c>
      <c r="E328" s="17" t="s">
        <v>1087</v>
      </c>
      <c r="F328" s="17">
        <v>87</v>
      </c>
      <c r="G328" s="17">
        <v>11216</v>
      </c>
      <c r="H328" s="17">
        <v>102</v>
      </c>
      <c r="I328" s="17">
        <v>3381</v>
      </c>
      <c r="J328" s="17">
        <v>105.25</v>
      </c>
      <c r="K328" s="17">
        <v>2156</v>
      </c>
      <c r="L328" s="17">
        <v>47</v>
      </c>
      <c r="M328" s="17">
        <v>4568</v>
      </c>
      <c r="N328" s="17"/>
      <c r="O328" s="17"/>
      <c r="P328" s="17">
        <v>79</v>
      </c>
      <c r="Q328" s="17">
        <v>2632</v>
      </c>
      <c r="R328" s="17">
        <v>80</v>
      </c>
      <c r="S328" s="17">
        <v>2376</v>
      </c>
      <c r="T328" s="17"/>
      <c r="U328" s="17"/>
      <c r="V328" s="17"/>
      <c r="W328" s="17"/>
      <c r="X328" s="15">
        <v>294.25</v>
      </c>
      <c r="Y328" s="17">
        <v>324</v>
      </c>
      <c r="Z328" s="17">
        <v>500.25</v>
      </c>
      <c r="AA328" s="17">
        <v>3240</v>
      </c>
      <c r="AB328" s="12">
        <f t="shared" si="5"/>
        <v>324</v>
      </c>
    </row>
    <row r="329" ht="14.25" spans="1:28">
      <c r="A329" s="13">
        <v>101</v>
      </c>
      <c r="B329" s="15">
        <v>2</v>
      </c>
      <c r="C329" s="16">
        <v>38</v>
      </c>
      <c r="D329" s="17" t="s">
        <v>215</v>
      </c>
      <c r="E329" s="17" t="s">
        <v>216</v>
      </c>
      <c r="F329" s="17">
        <v>94.5</v>
      </c>
      <c r="G329" s="17">
        <v>6496</v>
      </c>
      <c r="H329" s="17">
        <v>93</v>
      </c>
      <c r="I329" s="17">
        <v>5192</v>
      </c>
      <c r="J329" s="17">
        <v>105.5</v>
      </c>
      <c r="K329" s="17">
        <v>2098</v>
      </c>
      <c r="L329" s="17">
        <v>46</v>
      </c>
      <c r="M329" s="17">
        <v>4785</v>
      </c>
      <c r="N329" s="17"/>
      <c r="O329" s="17"/>
      <c r="P329" s="17"/>
      <c r="Q329" s="17"/>
      <c r="R329" s="17">
        <v>84</v>
      </c>
      <c r="S329" s="17">
        <v>1490</v>
      </c>
      <c r="T329" s="17">
        <v>77</v>
      </c>
      <c r="U329" s="17">
        <v>1152</v>
      </c>
      <c r="V329" s="17"/>
      <c r="W329" s="17"/>
      <c r="X329" s="15">
        <v>293</v>
      </c>
      <c r="Y329" s="17">
        <v>335</v>
      </c>
      <c r="Z329" s="17">
        <v>500</v>
      </c>
      <c r="AA329" s="17">
        <v>3248</v>
      </c>
      <c r="AB329" s="12">
        <f t="shared" si="5"/>
        <v>327</v>
      </c>
    </row>
    <row r="330" ht="14.25" spans="1:28">
      <c r="A330" s="13">
        <v>36</v>
      </c>
      <c r="B330" s="15">
        <v>1</v>
      </c>
      <c r="C330" s="16">
        <v>38</v>
      </c>
      <c r="D330" s="17" t="s">
        <v>86</v>
      </c>
      <c r="E330" s="17" t="s">
        <v>87</v>
      </c>
      <c r="F330" s="17">
        <v>94.5</v>
      </c>
      <c r="G330" s="17">
        <v>6496</v>
      </c>
      <c r="H330" s="17">
        <v>121.5</v>
      </c>
      <c r="I330" s="17">
        <v>581</v>
      </c>
      <c r="J330" s="17">
        <v>87</v>
      </c>
      <c r="K330" s="17">
        <v>5999</v>
      </c>
      <c r="L330" s="17">
        <v>37.5</v>
      </c>
      <c r="M330" s="17">
        <v>6979</v>
      </c>
      <c r="N330" s="17"/>
      <c r="O330" s="17"/>
      <c r="P330" s="17">
        <v>86</v>
      </c>
      <c r="Q330" s="17">
        <v>1052</v>
      </c>
      <c r="R330" s="17"/>
      <c r="S330" s="17"/>
      <c r="T330" s="17">
        <v>73</v>
      </c>
      <c r="U330" s="17">
        <v>1585</v>
      </c>
      <c r="V330" s="17"/>
      <c r="W330" s="17"/>
      <c r="X330" s="15">
        <v>303</v>
      </c>
      <c r="Y330" s="17">
        <v>251</v>
      </c>
      <c r="Z330" s="17">
        <v>499.5</v>
      </c>
      <c r="AA330" s="17">
        <v>3259</v>
      </c>
      <c r="AB330" s="12">
        <f t="shared" si="5"/>
        <v>328</v>
      </c>
    </row>
    <row r="331" ht="14.25" spans="1:28">
      <c r="A331" s="13">
        <v>94</v>
      </c>
      <c r="B331" s="15">
        <v>2</v>
      </c>
      <c r="C331" s="16">
        <v>31</v>
      </c>
      <c r="D331" s="17" t="s">
        <v>201</v>
      </c>
      <c r="E331" s="17" t="s">
        <v>202</v>
      </c>
      <c r="F331" s="17">
        <v>96.5</v>
      </c>
      <c r="G331" s="17">
        <v>5262</v>
      </c>
      <c r="H331" s="17">
        <v>100.5</v>
      </c>
      <c r="I331" s="17">
        <v>3650</v>
      </c>
      <c r="J331" s="17">
        <v>101.5</v>
      </c>
      <c r="K331" s="17">
        <v>2779</v>
      </c>
      <c r="L331" s="17">
        <v>47</v>
      </c>
      <c r="M331" s="17">
        <v>4568</v>
      </c>
      <c r="N331" s="17"/>
      <c r="O331" s="17"/>
      <c r="P331" s="17"/>
      <c r="Q331" s="17"/>
      <c r="R331" s="17">
        <v>87</v>
      </c>
      <c r="S331" s="17">
        <v>883</v>
      </c>
      <c r="T331" s="17">
        <v>67</v>
      </c>
      <c r="U331" s="17">
        <v>2274</v>
      </c>
      <c r="V331" s="17"/>
      <c r="W331" s="17"/>
      <c r="X331" s="15">
        <v>298.5</v>
      </c>
      <c r="Y331" s="17">
        <v>289</v>
      </c>
      <c r="Z331" s="17">
        <v>499.5</v>
      </c>
      <c r="AA331" s="17">
        <v>3259</v>
      </c>
      <c r="AB331" s="12">
        <f t="shared" si="5"/>
        <v>328</v>
      </c>
    </row>
    <row r="332" ht="14.25" spans="1:28">
      <c r="A332" s="13">
        <v>540</v>
      </c>
      <c r="B332" s="15">
        <v>11</v>
      </c>
      <c r="C332" s="16">
        <v>46</v>
      </c>
      <c r="D332" s="17" t="s">
        <v>1088</v>
      </c>
      <c r="E332" s="17" t="s">
        <v>1089</v>
      </c>
      <c r="F332" s="17">
        <v>107</v>
      </c>
      <c r="G332" s="17">
        <v>945</v>
      </c>
      <c r="H332" s="17">
        <v>86.5</v>
      </c>
      <c r="I332" s="17">
        <v>6657</v>
      </c>
      <c r="J332" s="17">
        <v>92.5</v>
      </c>
      <c r="K332" s="17">
        <v>4660</v>
      </c>
      <c r="L332" s="17">
        <v>50.5</v>
      </c>
      <c r="M332" s="17">
        <v>3830</v>
      </c>
      <c r="N332" s="17"/>
      <c r="O332" s="17"/>
      <c r="P332" s="17">
        <v>78</v>
      </c>
      <c r="Q332" s="17">
        <v>2908</v>
      </c>
      <c r="R332" s="17">
        <v>85</v>
      </c>
      <c r="S332" s="17">
        <v>1393</v>
      </c>
      <c r="T332" s="17"/>
      <c r="U332" s="17"/>
      <c r="V332" s="17"/>
      <c r="W332" s="17"/>
      <c r="X332" s="15">
        <v>286</v>
      </c>
      <c r="Y332" s="17">
        <v>392</v>
      </c>
      <c r="Z332" s="17">
        <v>499.5</v>
      </c>
      <c r="AA332" s="17">
        <v>3259</v>
      </c>
      <c r="AB332" s="12">
        <f t="shared" si="5"/>
        <v>328</v>
      </c>
    </row>
    <row r="333" ht="14.25" spans="1:28">
      <c r="A333" s="13">
        <v>57</v>
      </c>
      <c r="B333" s="15">
        <v>1</v>
      </c>
      <c r="C333" s="16">
        <v>59</v>
      </c>
      <c r="D333" s="17" t="s">
        <v>128</v>
      </c>
      <c r="E333" s="17" t="s">
        <v>129</v>
      </c>
      <c r="F333" s="17">
        <v>104</v>
      </c>
      <c r="G333" s="17">
        <v>1709</v>
      </c>
      <c r="H333" s="17">
        <v>103.5</v>
      </c>
      <c r="I333" s="17">
        <v>3096</v>
      </c>
      <c r="J333" s="17">
        <v>115.25</v>
      </c>
      <c r="K333" s="17">
        <v>892</v>
      </c>
      <c r="L333" s="17">
        <v>46.5</v>
      </c>
      <c r="M333" s="17">
        <v>4690</v>
      </c>
      <c r="N333" s="17"/>
      <c r="O333" s="17"/>
      <c r="P333" s="17">
        <v>62</v>
      </c>
      <c r="Q333" s="17">
        <v>8021</v>
      </c>
      <c r="R333" s="17"/>
      <c r="S333" s="17"/>
      <c r="T333" s="17">
        <v>68</v>
      </c>
      <c r="U333" s="17">
        <v>2192</v>
      </c>
      <c r="V333" s="17"/>
      <c r="W333" s="17"/>
      <c r="X333" s="15">
        <v>322.75</v>
      </c>
      <c r="Y333" s="17">
        <v>101</v>
      </c>
      <c r="Z333" s="17">
        <v>499.25</v>
      </c>
      <c r="AA333" s="17">
        <v>3279</v>
      </c>
      <c r="AB333" s="12">
        <f t="shared" si="5"/>
        <v>331</v>
      </c>
    </row>
    <row r="334" ht="14.25" spans="1:28">
      <c r="A334" s="13">
        <v>9</v>
      </c>
      <c r="B334" s="15">
        <v>1</v>
      </c>
      <c r="C334" s="16">
        <v>10</v>
      </c>
      <c r="D334" s="17" t="s">
        <v>32</v>
      </c>
      <c r="E334" s="17" t="s">
        <v>33</v>
      </c>
      <c r="F334" s="17">
        <v>98.5</v>
      </c>
      <c r="G334" s="17">
        <v>4145</v>
      </c>
      <c r="H334" s="17">
        <v>94.5</v>
      </c>
      <c r="I334" s="17">
        <v>4840</v>
      </c>
      <c r="J334" s="17">
        <v>98.5</v>
      </c>
      <c r="K334" s="17">
        <v>3338</v>
      </c>
      <c r="L334" s="17">
        <v>66.5</v>
      </c>
      <c r="M334" s="17">
        <v>1237</v>
      </c>
      <c r="N334" s="17"/>
      <c r="O334" s="17"/>
      <c r="P334" s="17">
        <v>61</v>
      </c>
      <c r="Q334" s="17">
        <v>8358</v>
      </c>
      <c r="R334" s="17"/>
      <c r="S334" s="17"/>
      <c r="T334" s="17">
        <v>80</v>
      </c>
      <c r="U334" s="17">
        <v>813</v>
      </c>
      <c r="V334" s="17"/>
      <c r="W334" s="17"/>
      <c r="X334" s="15">
        <v>291.5</v>
      </c>
      <c r="Y334" s="17">
        <v>357</v>
      </c>
      <c r="Z334" s="17">
        <v>499</v>
      </c>
      <c r="AA334" s="17">
        <v>3285</v>
      </c>
      <c r="AB334" s="12">
        <f t="shared" si="5"/>
        <v>332</v>
      </c>
    </row>
    <row r="335" ht="14.25" spans="1:28">
      <c r="A335" s="13">
        <v>195</v>
      </c>
      <c r="B335" s="15">
        <v>4</v>
      </c>
      <c r="C335" s="16">
        <v>38</v>
      </c>
      <c r="D335" s="17" t="s">
        <v>403</v>
      </c>
      <c r="E335" s="17" t="s">
        <v>404</v>
      </c>
      <c r="F335" s="17">
        <v>89</v>
      </c>
      <c r="G335" s="17">
        <v>9959</v>
      </c>
      <c r="H335" s="17">
        <v>95</v>
      </c>
      <c r="I335" s="17">
        <v>4735</v>
      </c>
      <c r="J335" s="17">
        <v>92.5</v>
      </c>
      <c r="K335" s="17">
        <v>4660</v>
      </c>
      <c r="L335" s="17">
        <v>57.5</v>
      </c>
      <c r="M335" s="17">
        <v>2619</v>
      </c>
      <c r="N335" s="17"/>
      <c r="O335" s="17"/>
      <c r="P335" s="17">
        <v>86</v>
      </c>
      <c r="Q335" s="17">
        <v>1052</v>
      </c>
      <c r="R335" s="17"/>
      <c r="S335" s="17"/>
      <c r="T335" s="17"/>
      <c r="U335" s="17"/>
      <c r="V335" s="17">
        <v>79</v>
      </c>
      <c r="W335" s="17">
        <v>1023</v>
      </c>
      <c r="X335" s="15">
        <v>276.5</v>
      </c>
      <c r="Y335" s="17">
        <v>488</v>
      </c>
      <c r="Z335" s="17">
        <v>499</v>
      </c>
      <c r="AA335" s="17">
        <v>3285</v>
      </c>
      <c r="AB335" s="12">
        <f t="shared" si="5"/>
        <v>332</v>
      </c>
    </row>
    <row r="336" ht="14.25" spans="1:28">
      <c r="A336" s="13">
        <v>571</v>
      </c>
      <c r="B336" s="15">
        <v>12</v>
      </c>
      <c r="C336" s="16">
        <v>18</v>
      </c>
      <c r="D336" s="17" t="s">
        <v>1150</v>
      </c>
      <c r="E336" s="17" t="s">
        <v>1151</v>
      </c>
      <c r="F336" s="17">
        <v>109.5</v>
      </c>
      <c r="G336" s="17">
        <v>495</v>
      </c>
      <c r="H336" s="17">
        <v>91</v>
      </c>
      <c r="I336" s="17">
        <v>5638</v>
      </c>
      <c r="J336" s="17">
        <v>101</v>
      </c>
      <c r="K336" s="17">
        <v>2859</v>
      </c>
      <c r="L336" s="17">
        <v>49.5</v>
      </c>
      <c r="M336" s="17">
        <v>4044</v>
      </c>
      <c r="N336" s="17"/>
      <c r="O336" s="17"/>
      <c r="P336" s="17">
        <v>76</v>
      </c>
      <c r="Q336" s="17">
        <v>3515</v>
      </c>
      <c r="R336" s="17">
        <v>72</v>
      </c>
      <c r="S336" s="17">
        <v>4793</v>
      </c>
      <c r="T336" s="17"/>
      <c r="U336" s="17"/>
      <c r="V336" s="17"/>
      <c r="W336" s="17"/>
      <c r="X336" s="15">
        <v>301.5</v>
      </c>
      <c r="Y336" s="17">
        <v>265</v>
      </c>
      <c r="Z336" s="17">
        <v>499</v>
      </c>
      <c r="AA336" s="17">
        <v>3285</v>
      </c>
      <c r="AB336" s="12">
        <f t="shared" si="5"/>
        <v>332</v>
      </c>
    </row>
    <row r="337" ht="14.25" spans="1:28">
      <c r="A337" s="13">
        <v>17</v>
      </c>
      <c r="B337" s="15">
        <v>1</v>
      </c>
      <c r="C337" s="16">
        <v>19</v>
      </c>
      <c r="D337" s="17" t="s">
        <v>48</v>
      </c>
      <c r="E337" s="17" t="s">
        <v>49</v>
      </c>
      <c r="F337" s="17">
        <v>106</v>
      </c>
      <c r="G337" s="17">
        <v>1174</v>
      </c>
      <c r="H337" s="17">
        <v>89</v>
      </c>
      <c r="I337" s="17">
        <v>6077</v>
      </c>
      <c r="J337" s="17">
        <v>98.75</v>
      </c>
      <c r="K337" s="17">
        <v>3309</v>
      </c>
      <c r="L337" s="17">
        <v>57</v>
      </c>
      <c r="M337" s="17">
        <v>2714</v>
      </c>
      <c r="N337" s="17"/>
      <c r="O337" s="17"/>
      <c r="P337" s="17">
        <v>74</v>
      </c>
      <c r="Q337" s="17">
        <v>4168</v>
      </c>
      <c r="R337" s="17"/>
      <c r="S337" s="17"/>
      <c r="T337" s="17">
        <v>74</v>
      </c>
      <c r="U337" s="17">
        <v>1516</v>
      </c>
      <c r="V337" s="17"/>
      <c r="W337" s="17"/>
      <c r="X337" s="15">
        <v>293.75</v>
      </c>
      <c r="Y337" s="17">
        <v>328</v>
      </c>
      <c r="Z337" s="17">
        <v>498.75</v>
      </c>
      <c r="AA337" s="17">
        <v>3301</v>
      </c>
      <c r="AB337" s="12">
        <f t="shared" si="5"/>
        <v>335</v>
      </c>
    </row>
    <row r="338" ht="14.25" spans="1:28">
      <c r="A338" s="13">
        <v>31</v>
      </c>
      <c r="B338" s="15">
        <v>1</v>
      </c>
      <c r="C338" s="16">
        <v>33</v>
      </c>
      <c r="D338" s="17" t="s">
        <v>76</v>
      </c>
      <c r="E338" s="17" t="s">
        <v>77</v>
      </c>
      <c r="F338" s="17">
        <v>101.75</v>
      </c>
      <c r="G338" s="17">
        <v>2660</v>
      </c>
      <c r="H338" s="17">
        <v>114.5</v>
      </c>
      <c r="I338" s="17">
        <v>1277</v>
      </c>
      <c r="J338" s="17">
        <v>94</v>
      </c>
      <c r="K338" s="17">
        <v>4318</v>
      </c>
      <c r="L338" s="17">
        <v>41.5</v>
      </c>
      <c r="M338" s="17">
        <v>5867</v>
      </c>
      <c r="N338" s="17"/>
      <c r="O338" s="17"/>
      <c r="P338" s="17">
        <v>68</v>
      </c>
      <c r="Q338" s="17">
        <v>6016</v>
      </c>
      <c r="R338" s="17"/>
      <c r="S338" s="17"/>
      <c r="T338" s="17">
        <v>79</v>
      </c>
      <c r="U338" s="17">
        <v>951</v>
      </c>
      <c r="V338" s="17"/>
      <c r="W338" s="17"/>
      <c r="X338" s="15">
        <v>310.25</v>
      </c>
      <c r="Y338" s="17">
        <v>189</v>
      </c>
      <c r="Z338" s="17">
        <v>498.75</v>
      </c>
      <c r="AA338" s="17">
        <v>3301</v>
      </c>
      <c r="AB338" s="12">
        <f t="shared" si="5"/>
        <v>335</v>
      </c>
    </row>
    <row r="339" ht="14.25" spans="1:28">
      <c r="A339" s="13">
        <v>132</v>
      </c>
      <c r="B339" s="15">
        <v>3</v>
      </c>
      <c r="C339" s="16">
        <v>21</v>
      </c>
      <c r="D339" s="17" t="s">
        <v>277</v>
      </c>
      <c r="E339" s="17" t="s">
        <v>278</v>
      </c>
      <c r="F339" s="17">
        <v>94.5</v>
      </c>
      <c r="G339" s="17">
        <v>6496</v>
      </c>
      <c r="H339" s="17">
        <v>103.5</v>
      </c>
      <c r="I339" s="17">
        <v>3096</v>
      </c>
      <c r="J339" s="17">
        <v>104</v>
      </c>
      <c r="K339" s="17">
        <v>2352</v>
      </c>
      <c r="L339" s="17">
        <v>47.5</v>
      </c>
      <c r="M339" s="17">
        <v>4470</v>
      </c>
      <c r="N339" s="17"/>
      <c r="O339" s="17"/>
      <c r="P339" s="17">
        <v>77</v>
      </c>
      <c r="Q339" s="17">
        <v>3207</v>
      </c>
      <c r="R339" s="17"/>
      <c r="S339" s="17"/>
      <c r="T339" s="17"/>
      <c r="U339" s="17"/>
      <c r="V339" s="17">
        <v>72</v>
      </c>
      <c r="W339" s="17">
        <v>2049</v>
      </c>
      <c r="X339" s="15">
        <v>302</v>
      </c>
      <c r="Y339" s="17">
        <v>261</v>
      </c>
      <c r="Z339" s="17">
        <v>498.5</v>
      </c>
      <c r="AA339" s="17">
        <v>3314</v>
      </c>
      <c r="AB339" s="12">
        <f t="shared" si="5"/>
        <v>337</v>
      </c>
    </row>
    <row r="340" ht="14.25" spans="1:28">
      <c r="A340" s="13">
        <v>191</v>
      </c>
      <c r="B340" s="15">
        <v>4</v>
      </c>
      <c r="C340" s="16">
        <v>33</v>
      </c>
      <c r="D340" s="17" t="s">
        <v>395</v>
      </c>
      <c r="E340" s="17" t="s">
        <v>396</v>
      </c>
      <c r="F340" s="17">
        <v>95.5</v>
      </c>
      <c r="G340" s="17">
        <v>5877</v>
      </c>
      <c r="H340" s="17">
        <v>103.5</v>
      </c>
      <c r="I340" s="17">
        <v>3096</v>
      </c>
      <c r="J340" s="17">
        <v>98.75</v>
      </c>
      <c r="K340" s="17">
        <v>3309</v>
      </c>
      <c r="L340" s="17">
        <v>46.5</v>
      </c>
      <c r="M340" s="17">
        <v>4690</v>
      </c>
      <c r="N340" s="17"/>
      <c r="O340" s="17"/>
      <c r="P340" s="17">
        <v>66</v>
      </c>
      <c r="Q340" s="17">
        <v>6766</v>
      </c>
      <c r="R340" s="17"/>
      <c r="S340" s="17"/>
      <c r="T340" s="17"/>
      <c r="U340" s="17"/>
      <c r="V340" s="17">
        <v>88</v>
      </c>
      <c r="W340" s="17">
        <v>165</v>
      </c>
      <c r="X340" s="15">
        <v>297.75</v>
      </c>
      <c r="Y340" s="17">
        <v>297</v>
      </c>
      <c r="Z340" s="17">
        <v>498.25</v>
      </c>
      <c r="AA340" s="17">
        <v>3329</v>
      </c>
      <c r="AB340" s="12">
        <f t="shared" si="5"/>
        <v>338</v>
      </c>
    </row>
    <row r="341" ht="14.25" spans="1:28">
      <c r="A341" s="13">
        <v>183</v>
      </c>
      <c r="B341" s="15">
        <v>4</v>
      </c>
      <c r="C341" s="16">
        <v>24</v>
      </c>
      <c r="D341" s="17" t="s">
        <v>379</v>
      </c>
      <c r="E341" s="17" t="s">
        <v>380</v>
      </c>
      <c r="F341" s="17">
        <v>89.25</v>
      </c>
      <c r="G341" s="17">
        <v>9926</v>
      </c>
      <c r="H341" s="17">
        <v>106.5</v>
      </c>
      <c r="I341" s="17">
        <v>2542</v>
      </c>
      <c r="J341" s="17">
        <v>99.25</v>
      </c>
      <c r="K341" s="17">
        <v>3211</v>
      </c>
      <c r="L341" s="17">
        <v>71</v>
      </c>
      <c r="M341" s="17">
        <v>762</v>
      </c>
      <c r="N341" s="17"/>
      <c r="O341" s="17"/>
      <c r="P341" s="17">
        <v>50</v>
      </c>
      <c r="Q341" s="17">
        <v>10845</v>
      </c>
      <c r="R341" s="17"/>
      <c r="S341" s="17"/>
      <c r="T341" s="17"/>
      <c r="U341" s="17"/>
      <c r="V341" s="17">
        <v>82</v>
      </c>
      <c r="W341" s="17">
        <v>723</v>
      </c>
      <c r="X341" s="15">
        <v>295</v>
      </c>
      <c r="Y341" s="17">
        <v>314</v>
      </c>
      <c r="Z341" s="17">
        <v>498</v>
      </c>
      <c r="AA341" s="17">
        <v>3340</v>
      </c>
      <c r="AB341" s="12">
        <f t="shared" si="5"/>
        <v>339</v>
      </c>
    </row>
    <row r="342" ht="14.25" spans="1:28">
      <c r="A342" s="13">
        <v>235</v>
      </c>
      <c r="B342" s="15">
        <v>5</v>
      </c>
      <c r="C342" s="16">
        <v>32</v>
      </c>
      <c r="D342" s="17" t="s">
        <v>483</v>
      </c>
      <c r="E342" s="17" t="s">
        <v>484</v>
      </c>
      <c r="F342" s="17">
        <v>88</v>
      </c>
      <c r="G342" s="17">
        <v>10604</v>
      </c>
      <c r="H342" s="17">
        <v>117.5</v>
      </c>
      <c r="I342" s="17">
        <v>923</v>
      </c>
      <c r="J342" s="17">
        <v>95.5</v>
      </c>
      <c r="K342" s="17">
        <v>3977</v>
      </c>
      <c r="L342" s="17">
        <v>45</v>
      </c>
      <c r="M342" s="17">
        <v>5014</v>
      </c>
      <c r="N342" s="17"/>
      <c r="O342" s="17"/>
      <c r="P342" s="17">
        <v>73</v>
      </c>
      <c r="Q342" s="17">
        <v>4501</v>
      </c>
      <c r="R342" s="17"/>
      <c r="S342" s="17"/>
      <c r="T342" s="17"/>
      <c r="U342" s="17"/>
      <c r="V342" s="17">
        <v>79</v>
      </c>
      <c r="W342" s="17">
        <v>1023</v>
      </c>
      <c r="X342" s="15">
        <v>301</v>
      </c>
      <c r="Y342" s="17">
        <v>271</v>
      </c>
      <c r="Z342" s="17">
        <v>498</v>
      </c>
      <c r="AA342" s="17">
        <v>3340</v>
      </c>
      <c r="AB342" s="12">
        <f t="shared" si="5"/>
        <v>339</v>
      </c>
    </row>
    <row r="343" ht="14.25" spans="1:28">
      <c r="A343" s="13">
        <v>322</v>
      </c>
      <c r="B343" s="15">
        <v>7</v>
      </c>
      <c r="C343" s="16">
        <v>35</v>
      </c>
      <c r="D343" s="17" t="s">
        <v>655</v>
      </c>
      <c r="E343" s="17" t="s">
        <v>656</v>
      </c>
      <c r="F343" s="17">
        <v>101.25</v>
      </c>
      <c r="G343" s="17">
        <v>2875</v>
      </c>
      <c r="H343" s="17">
        <v>83.5</v>
      </c>
      <c r="I343" s="17">
        <v>7321</v>
      </c>
      <c r="J343" s="17">
        <v>103.75</v>
      </c>
      <c r="K343" s="17">
        <v>2416</v>
      </c>
      <c r="L343" s="17">
        <v>48.5</v>
      </c>
      <c r="M343" s="17">
        <v>4255</v>
      </c>
      <c r="N343" s="17"/>
      <c r="O343" s="17"/>
      <c r="P343" s="17"/>
      <c r="Q343" s="17"/>
      <c r="R343" s="17">
        <v>74</v>
      </c>
      <c r="S343" s="17">
        <v>4119</v>
      </c>
      <c r="T343" s="17"/>
      <c r="U343" s="17"/>
      <c r="V343" s="17">
        <v>87</v>
      </c>
      <c r="W343" s="17">
        <v>273</v>
      </c>
      <c r="X343" s="15">
        <v>288.5</v>
      </c>
      <c r="Y343" s="17">
        <v>376</v>
      </c>
      <c r="Z343" s="17">
        <v>498</v>
      </c>
      <c r="AA343" s="17">
        <v>3340</v>
      </c>
      <c r="AB343" s="12">
        <f t="shared" si="5"/>
        <v>339</v>
      </c>
    </row>
    <row r="344" ht="14.25" spans="1:28">
      <c r="A344" s="13">
        <v>167</v>
      </c>
      <c r="B344" s="15">
        <v>4</v>
      </c>
      <c r="C344" s="16">
        <v>8</v>
      </c>
      <c r="D344" s="17" t="s">
        <v>347</v>
      </c>
      <c r="E344" s="17" t="s">
        <v>348</v>
      </c>
      <c r="F344" s="17">
        <v>87.5</v>
      </c>
      <c r="G344" s="17">
        <v>10920</v>
      </c>
      <c r="H344" s="17">
        <v>101.5</v>
      </c>
      <c r="I344" s="17">
        <v>3477</v>
      </c>
      <c r="J344" s="17">
        <v>101.5</v>
      </c>
      <c r="K344" s="17">
        <v>2779</v>
      </c>
      <c r="L344" s="17">
        <v>44</v>
      </c>
      <c r="M344" s="17">
        <v>5222</v>
      </c>
      <c r="N344" s="17"/>
      <c r="O344" s="17"/>
      <c r="P344" s="17">
        <v>73</v>
      </c>
      <c r="Q344" s="17">
        <v>4501</v>
      </c>
      <c r="R344" s="17"/>
      <c r="S344" s="17"/>
      <c r="T344" s="17"/>
      <c r="U344" s="17"/>
      <c r="V344" s="17">
        <v>90</v>
      </c>
      <c r="W344" s="17">
        <v>44</v>
      </c>
      <c r="X344" s="15">
        <v>290.5</v>
      </c>
      <c r="Y344" s="17">
        <v>364</v>
      </c>
      <c r="Z344" s="17">
        <v>497.5</v>
      </c>
      <c r="AA344" s="17">
        <v>3359</v>
      </c>
      <c r="AB344" s="12">
        <f t="shared" si="5"/>
        <v>342</v>
      </c>
    </row>
    <row r="345" ht="14.25" spans="1:28">
      <c r="A345" s="13">
        <v>238</v>
      </c>
      <c r="B345" s="15">
        <v>5</v>
      </c>
      <c r="C345" s="16">
        <v>35</v>
      </c>
      <c r="D345" s="17" t="s">
        <v>489</v>
      </c>
      <c r="E345" s="17" t="s">
        <v>490</v>
      </c>
      <c r="F345" s="17">
        <v>101</v>
      </c>
      <c r="G345" s="17">
        <v>2896</v>
      </c>
      <c r="H345" s="17">
        <v>104.5</v>
      </c>
      <c r="I345" s="17">
        <v>2895</v>
      </c>
      <c r="J345" s="17">
        <v>96.5</v>
      </c>
      <c r="K345" s="17">
        <v>3746</v>
      </c>
      <c r="L345" s="17">
        <v>54.5</v>
      </c>
      <c r="M345" s="17">
        <v>3126</v>
      </c>
      <c r="N345" s="17"/>
      <c r="O345" s="17"/>
      <c r="P345" s="17">
        <v>64</v>
      </c>
      <c r="Q345" s="17">
        <v>7304</v>
      </c>
      <c r="R345" s="17"/>
      <c r="S345" s="17"/>
      <c r="T345" s="17"/>
      <c r="U345" s="17"/>
      <c r="V345" s="17">
        <v>77</v>
      </c>
      <c r="W345" s="17">
        <v>1318</v>
      </c>
      <c r="X345" s="15">
        <v>302</v>
      </c>
      <c r="Y345" s="17">
        <v>261</v>
      </c>
      <c r="Z345" s="17">
        <v>497.5</v>
      </c>
      <c r="AA345" s="17">
        <v>3359</v>
      </c>
      <c r="AB345" s="12">
        <f t="shared" si="5"/>
        <v>342</v>
      </c>
    </row>
    <row r="346" ht="14.25" spans="1:28">
      <c r="A346" s="13">
        <v>247</v>
      </c>
      <c r="B346" s="15">
        <v>5</v>
      </c>
      <c r="C346" s="16">
        <v>44</v>
      </c>
      <c r="D346" s="17" t="s">
        <v>506</v>
      </c>
      <c r="E346" s="17" t="s">
        <v>507</v>
      </c>
      <c r="F346" s="17">
        <v>101</v>
      </c>
      <c r="G346" s="17">
        <v>2896</v>
      </c>
      <c r="H346" s="17">
        <v>115</v>
      </c>
      <c r="I346" s="17">
        <v>1213</v>
      </c>
      <c r="J346" s="17">
        <v>94.75</v>
      </c>
      <c r="K346" s="17">
        <v>4171</v>
      </c>
      <c r="L346" s="17">
        <v>38.5</v>
      </c>
      <c r="M346" s="17">
        <v>6692</v>
      </c>
      <c r="N346" s="17"/>
      <c r="O346" s="17"/>
      <c r="P346" s="17">
        <v>75</v>
      </c>
      <c r="Q346" s="17">
        <v>3841</v>
      </c>
      <c r="R346" s="17"/>
      <c r="S346" s="17"/>
      <c r="T346" s="17"/>
      <c r="U346" s="17"/>
      <c r="V346" s="17">
        <v>73</v>
      </c>
      <c r="W346" s="17">
        <v>1853</v>
      </c>
      <c r="X346" s="15">
        <v>310.75</v>
      </c>
      <c r="Y346" s="17">
        <v>183</v>
      </c>
      <c r="Z346" s="17">
        <v>497.25</v>
      </c>
      <c r="AA346" s="17">
        <v>3373</v>
      </c>
      <c r="AB346" s="12">
        <f t="shared" si="5"/>
        <v>344</v>
      </c>
    </row>
    <row r="347" ht="14.25" spans="1:28">
      <c r="A347" s="13">
        <v>361</v>
      </c>
      <c r="B347" s="15">
        <v>8</v>
      </c>
      <c r="C347" s="16">
        <v>35</v>
      </c>
      <c r="D347" s="17" t="s">
        <v>732</v>
      </c>
      <c r="E347" s="17" t="s">
        <v>733</v>
      </c>
      <c r="F347" s="17">
        <v>108</v>
      </c>
      <c r="G347" s="17">
        <v>736</v>
      </c>
      <c r="H347" s="17">
        <v>95</v>
      </c>
      <c r="I347" s="17">
        <v>4735</v>
      </c>
      <c r="J347" s="17">
        <v>92</v>
      </c>
      <c r="K347" s="17">
        <v>4787</v>
      </c>
      <c r="L347" s="17">
        <v>42</v>
      </c>
      <c r="M347" s="17">
        <v>5731</v>
      </c>
      <c r="N347" s="17"/>
      <c r="O347" s="17"/>
      <c r="P347" s="17">
        <v>81</v>
      </c>
      <c r="Q347" s="17">
        <v>2079</v>
      </c>
      <c r="R347" s="17">
        <v>79</v>
      </c>
      <c r="S347" s="17">
        <v>2629</v>
      </c>
      <c r="T347" s="17"/>
      <c r="U347" s="17"/>
      <c r="V347" s="17"/>
      <c r="W347" s="17"/>
      <c r="X347" s="15">
        <v>295</v>
      </c>
      <c r="Y347" s="17">
        <v>314</v>
      </c>
      <c r="Z347" s="17">
        <v>497</v>
      </c>
      <c r="AA347" s="17">
        <v>3380</v>
      </c>
      <c r="AB347" s="12">
        <f t="shared" si="5"/>
        <v>345</v>
      </c>
    </row>
    <row r="348" ht="14.25" spans="1:28">
      <c r="A348" s="13">
        <v>473</v>
      </c>
      <c r="B348" s="15">
        <v>10</v>
      </c>
      <c r="C348" s="16">
        <v>34</v>
      </c>
      <c r="D348" s="17" t="s">
        <v>956</v>
      </c>
      <c r="E348" s="17" t="s">
        <v>957</v>
      </c>
      <c r="F348" s="17">
        <v>88.5</v>
      </c>
      <c r="G348" s="17">
        <v>10291</v>
      </c>
      <c r="H348" s="17">
        <v>100.5</v>
      </c>
      <c r="I348" s="17">
        <v>3650</v>
      </c>
      <c r="J348" s="17">
        <v>98</v>
      </c>
      <c r="K348" s="17">
        <v>3454</v>
      </c>
      <c r="L348" s="17">
        <v>61</v>
      </c>
      <c r="M348" s="17">
        <v>2008</v>
      </c>
      <c r="N348" s="17"/>
      <c r="O348" s="17"/>
      <c r="P348" s="17">
        <v>75</v>
      </c>
      <c r="Q348" s="17">
        <v>3841</v>
      </c>
      <c r="R348" s="17">
        <v>74</v>
      </c>
      <c r="S348" s="17">
        <v>4119</v>
      </c>
      <c r="T348" s="17"/>
      <c r="U348" s="17"/>
      <c r="V348" s="17"/>
      <c r="W348" s="17"/>
      <c r="X348" s="15">
        <v>287</v>
      </c>
      <c r="Y348" s="17">
        <v>386</v>
      </c>
      <c r="Z348" s="17">
        <v>497</v>
      </c>
      <c r="AA348" s="17">
        <v>3380</v>
      </c>
      <c r="AB348" s="12">
        <f t="shared" si="5"/>
        <v>345</v>
      </c>
    </row>
    <row r="349" ht="14.25" spans="1:28">
      <c r="A349" s="13">
        <v>513</v>
      </c>
      <c r="B349" s="15">
        <v>11</v>
      </c>
      <c r="C349" s="16">
        <v>17</v>
      </c>
      <c r="D349" s="17" t="s">
        <v>1036</v>
      </c>
      <c r="E349" s="17" t="s">
        <v>1037</v>
      </c>
      <c r="F349" s="17">
        <v>102</v>
      </c>
      <c r="G349" s="17">
        <v>2480</v>
      </c>
      <c r="H349" s="17">
        <v>104</v>
      </c>
      <c r="I349" s="17">
        <v>2999</v>
      </c>
      <c r="J349" s="17">
        <v>113</v>
      </c>
      <c r="K349" s="17">
        <v>1110</v>
      </c>
      <c r="L349" s="17">
        <v>24</v>
      </c>
      <c r="M349" s="17">
        <v>12052</v>
      </c>
      <c r="N349" s="17"/>
      <c r="O349" s="17"/>
      <c r="P349" s="17">
        <v>80</v>
      </c>
      <c r="Q349" s="17">
        <v>2333</v>
      </c>
      <c r="R349" s="17">
        <v>74</v>
      </c>
      <c r="S349" s="17">
        <v>4119</v>
      </c>
      <c r="T349" s="17"/>
      <c r="U349" s="17"/>
      <c r="V349" s="17"/>
      <c r="W349" s="17"/>
      <c r="X349" s="15">
        <v>319</v>
      </c>
      <c r="Y349" s="17">
        <v>124</v>
      </c>
      <c r="Z349" s="17">
        <v>497</v>
      </c>
      <c r="AA349" s="17">
        <v>3380</v>
      </c>
      <c r="AB349" s="12">
        <f t="shared" si="5"/>
        <v>345</v>
      </c>
    </row>
    <row r="350" ht="14.25" spans="1:28">
      <c r="A350" s="13">
        <v>552</v>
      </c>
      <c r="B350" s="15">
        <v>11</v>
      </c>
      <c r="C350" s="16">
        <v>58</v>
      </c>
      <c r="D350" s="17" t="s">
        <v>1112</v>
      </c>
      <c r="E350" s="17" t="s">
        <v>1113</v>
      </c>
      <c r="F350" s="17">
        <v>87</v>
      </c>
      <c r="G350" s="17">
        <v>11216</v>
      </c>
      <c r="H350" s="17">
        <v>126.5</v>
      </c>
      <c r="I350" s="17">
        <v>273</v>
      </c>
      <c r="J350" s="17">
        <v>80</v>
      </c>
      <c r="K350" s="17">
        <v>7802</v>
      </c>
      <c r="L350" s="17">
        <v>51.5</v>
      </c>
      <c r="M350" s="17">
        <v>3642</v>
      </c>
      <c r="N350" s="17"/>
      <c r="O350" s="17"/>
      <c r="P350" s="17">
        <v>75</v>
      </c>
      <c r="Q350" s="17">
        <v>3841</v>
      </c>
      <c r="R350" s="17">
        <v>77</v>
      </c>
      <c r="S350" s="17">
        <v>3183</v>
      </c>
      <c r="T350" s="17"/>
      <c r="U350" s="17"/>
      <c r="V350" s="17"/>
      <c r="W350" s="17"/>
      <c r="X350" s="15">
        <v>293.5</v>
      </c>
      <c r="Y350" s="17">
        <v>330</v>
      </c>
      <c r="Z350" s="17">
        <v>497</v>
      </c>
      <c r="AA350" s="17">
        <v>3380</v>
      </c>
      <c r="AB350" s="12">
        <f t="shared" si="5"/>
        <v>345</v>
      </c>
    </row>
    <row r="351" ht="14.25" spans="1:28">
      <c r="A351" s="13">
        <v>337</v>
      </c>
      <c r="B351" s="15">
        <v>8</v>
      </c>
      <c r="C351" s="16">
        <v>9</v>
      </c>
      <c r="D351" s="17" t="s">
        <v>685</v>
      </c>
      <c r="E351" s="17" t="s">
        <v>686</v>
      </c>
      <c r="F351" s="17">
        <v>100.5</v>
      </c>
      <c r="G351" s="17">
        <v>3131</v>
      </c>
      <c r="H351" s="17">
        <v>108.5</v>
      </c>
      <c r="I351" s="17">
        <v>2198</v>
      </c>
      <c r="J351" s="17">
        <v>87.25</v>
      </c>
      <c r="K351" s="17">
        <v>5964</v>
      </c>
      <c r="L351" s="17">
        <v>43.5</v>
      </c>
      <c r="M351" s="17">
        <v>5353</v>
      </c>
      <c r="N351" s="17"/>
      <c r="O351" s="17"/>
      <c r="P351" s="17">
        <v>77</v>
      </c>
      <c r="Q351" s="17">
        <v>3207</v>
      </c>
      <c r="R351" s="17">
        <v>80</v>
      </c>
      <c r="S351" s="17">
        <v>2376</v>
      </c>
      <c r="T351" s="17"/>
      <c r="U351" s="17"/>
      <c r="V351" s="17"/>
      <c r="W351" s="17"/>
      <c r="X351" s="15">
        <v>296.25</v>
      </c>
      <c r="Y351" s="17">
        <v>305</v>
      </c>
      <c r="Z351" s="17">
        <v>496.75</v>
      </c>
      <c r="AA351" s="17">
        <v>3408</v>
      </c>
      <c r="AB351" s="12">
        <f t="shared" si="5"/>
        <v>349</v>
      </c>
    </row>
    <row r="352" ht="14.25" spans="1:28">
      <c r="A352" s="13">
        <v>538</v>
      </c>
      <c r="B352" s="15">
        <v>11</v>
      </c>
      <c r="C352" s="16">
        <v>44</v>
      </c>
      <c r="D352" s="17" t="s">
        <v>1085</v>
      </c>
      <c r="E352" s="17" t="s">
        <v>1029</v>
      </c>
      <c r="F352" s="17">
        <v>105</v>
      </c>
      <c r="G352" s="17">
        <v>1427</v>
      </c>
      <c r="H352" s="17">
        <v>97</v>
      </c>
      <c r="I352" s="17">
        <v>4348</v>
      </c>
      <c r="J352" s="17">
        <v>105.5</v>
      </c>
      <c r="K352" s="17">
        <v>2098</v>
      </c>
      <c r="L352" s="17">
        <v>23</v>
      </c>
      <c r="M352" s="17">
        <v>12526</v>
      </c>
      <c r="N352" s="17"/>
      <c r="O352" s="17"/>
      <c r="P352" s="17">
        <v>86</v>
      </c>
      <c r="Q352" s="17">
        <v>1052</v>
      </c>
      <c r="R352" s="17">
        <v>80</v>
      </c>
      <c r="S352" s="17">
        <v>2376</v>
      </c>
      <c r="T352" s="17"/>
      <c r="U352" s="17"/>
      <c r="V352" s="17"/>
      <c r="W352" s="17"/>
      <c r="X352" s="15">
        <v>307.5</v>
      </c>
      <c r="Y352" s="17">
        <v>214</v>
      </c>
      <c r="Z352" s="17">
        <v>496.5</v>
      </c>
      <c r="AA352" s="17">
        <v>3420</v>
      </c>
      <c r="AB352" s="12">
        <f t="shared" si="5"/>
        <v>350</v>
      </c>
    </row>
    <row r="353" ht="14.25" spans="1:28">
      <c r="A353" s="13">
        <v>214</v>
      </c>
      <c r="B353" s="15">
        <v>5</v>
      </c>
      <c r="C353" s="16">
        <v>11</v>
      </c>
      <c r="D353" s="17" t="s">
        <v>441</v>
      </c>
      <c r="E353" s="17" t="s">
        <v>442</v>
      </c>
      <c r="F353" s="17">
        <v>94.5</v>
      </c>
      <c r="G353" s="17">
        <v>6496</v>
      </c>
      <c r="H353" s="17">
        <v>104</v>
      </c>
      <c r="I353" s="17">
        <v>2999</v>
      </c>
      <c r="J353" s="17">
        <v>110</v>
      </c>
      <c r="K353" s="17">
        <v>1448</v>
      </c>
      <c r="L353" s="17">
        <v>40.5</v>
      </c>
      <c r="M353" s="17">
        <v>6131</v>
      </c>
      <c r="N353" s="17"/>
      <c r="O353" s="17"/>
      <c r="P353" s="17">
        <v>60</v>
      </c>
      <c r="Q353" s="17">
        <v>8673</v>
      </c>
      <c r="R353" s="17"/>
      <c r="S353" s="17"/>
      <c r="T353" s="17"/>
      <c r="U353" s="17"/>
      <c r="V353" s="17">
        <v>87</v>
      </c>
      <c r="W353" s="17">
        <v>273</v>
      </c>
      <c r="X353" s="15">
        <v>308.5</v>
      </c>
      <c r="Y353" s="17">
        <v>210</v>
      </c>
      <c r="Z353" s="17">
        <v>496</v>
      </c>
      <c r="AA353" s="17">
        <v>3441</v>
      </c>
      <c r="AB353" s="12">
        <f t="shared" si="5"/>
        <v>351</v>
      </c>
    </row>
    <row r="354" ht="14.25" spans="1:28">
      <c r="A354" s="13">
        <v>64</v>
      </c>
      <c r="B354" s="15">
        <v>2</v>
      </c>
      <c r="C354" s="16">
        <v>1</v>
      </c>
      <c r="D354" s="17" t="s">
        <v>142</v>
      </c>
      <c r="E354" s="17" t="s">
        <v>143</v>
      </c>
      <c r="F354" s="17">
        <v>112.5</v>
      </c>
      <c r="G354" s="17">
        <v>186</v>
      </c>
      <c r="H354" s="17">
        <v>84</v>
      </c>
      <c r="I354" s="17">
        <v>7206</v>
      </c>
      <c r="J354" s="17">
        <v>103.75</v>
      </c>
      <c r="K354" s="17">
        <v>2416</v>
      </c>
      <c r="L354" s="17">
        <v>42</v>
      </c>
      <c r="M354" s="17">
        <v>5731</v>
      </c>
      <c r="N354" s="17"/>
      <c r="O354" s="17"/>
      <c r="P354" s="17"/>
      <c r="Q354" s="17"/>
      <c r="R354" s="17">
        <v>82</v>
      </c>
      <c r="S354" s="17">
        <v>1915</v>
      </c>
      <c r="T354" s="17">
        <v>71</v>
      </c>
      <c r="U354" s="17">
        <v>1907</v>
      </c>
      <c r="V354" s="17"/>
      <c r="W354" s="17"/>
      <c r="X354" s="15">
        <v>300.25</v>
      </c>
      <c r="Y354" s="17">
        <v>274</v>
      </c>
      <c r="Z354" s="17">
        <v>495.25</v>
      </c>
      <c r="AA354" s="17">
        <v>3484</v>
      </c>
      <c r="AB354" s="12">
        <f t="shared" si="5"/>
        <v>352</v>
      </c>
    </row>
    <row r="355" ht="14.25" spans="1:28">
      <c r="A355" s="13">
        <v>61</v>
      </c>
      <c r="B355" s="15">
        <v>1</v>
      </c>
      <c r="C355" s="16">
        <v>63</v>
      </c>
      <c r="D355" s="17" t="s">
        <v>136</v>
      </c>
      <c r="E355" s="17" t="s">
        <v>137</v>
      </c>
      <c r="F355" s="17">
        <v>95</v>
      </c>
      <c r="G355" s="17">
        <v>6168</v>
      </c>
      <c r="H355" s="17">
        <v>97.5</v>
      </c>
      <c r="I355" s="17">
        <v>4244</v>
      </c>
      <c r="J355" s="17">
        <v>93.5</v>
      </c>
      <c r="K355" s="17">
        <v>4431</v>
      </c>
      <c r="L355" s="17">
        <v>62</v>
      </c>
      <c r="M355" s="17">
        <v>1839</v>
      </c>
      <c r="N355" s="17"/>
      <c r="O355" s="17"/>
      <c r="P355" s="17">
        <v>75</v>
      </c>
      <c r="Q355" s="17">
        <v>3841</v>
      </c>
      <c r="R355" s="17"/>
      <c r="S355" s="17"/>
      <c r="T355" s="17">
        <v>72</v>
      </c>
      <c r="U355" s="17">
        <v>1741</v>
      </c>
      <c r="V355" s="17"/>
      <c r="W355" s="17"/>
      <c r="X355" s="15">
        <v>286</v>
      </c>
      <c r="Y355" s="17">
        <v>392</v>
      </c>
      <c r="Z355" s="17">
        <v>495</v>
      </c>
      <c r="AA355" s="17">
        <v>3492</v>
      </c>
      <c r="AB355" s="12">
        <f t="shared" si="5"/>
        <v>353</v>
      </c>
    </row>
    <row r="356" ht="14.25" spans="1:28">
      <c r="A356" s="13">
        <v>632</v>
      </c>
      <c r="B356" s="15">
        <v>13</v>
      </c>
      <c r="C356" s="16">
        <v>25</v>
      </c>
      <c r="D356" s="17" t="s">
        <v>1272</v>
      </c>
      <c r="E356" s="17" t="s">
        <v>1273</v>
      </c>
      <c r="F356" s="17">
        <v>95</v>
      </c>
      <c r="G356" s="17">
        <v>6168</v>
      </c>
      <c r="H356" s="17">
        <v>91</v>
      </c>
      <c r="I356" s="17">
        <v>5638</v>
      </c>
      <c r="J356" s="17">
        <v>79</v>
      </c>
      <c r="K356" s="17">
        <v>8048</v>
      </c>
      <c r="L356" s="17">
        <v>61</v>
      </c>
      <c r="M356" s="17">
        <v>2008</v>
      </c>
      <c r="N356" s="17"/>
      <c r="O356" s="17"/>
      <c r="P356" s="17">
        <v>88</v>
      </c>
      <c r="Q356" s="17">
        <v>397</v>
      </c>
      <c r="R356" s="17">
        <v>81</v>
      </c>
      <c r="S356" s="17">
        <v>2139</v>
      </c>
      <c r="T356" s="17"/>
      <c r="U356" s="17"/>
      <c r="V356" s="17"/>
      <c r="W356" s="17"/>
      <c r="X356" s="15">
        <v>265</v>
      </c>
      <c r="Y356" s="17">
        <v>556</v>
      </c>
      <c r="Z356" s="17">
        <v>495</v>
      </c>
      <c r="AA356" s="17">
        <v>3492</v>
      </c>
      <c r="AB356" s="12">
        <f t="shared" si="5"/>
        <v>353</v>
      </c>
    </row>
    <row r="357" ht="14.25" spans="1:28">
      <c r="A357" s="13">
        <v>351</v>
      </c>
      <c r="B357" s="15">
        <v>8</v>
      </c>
      <c r="C357" s="16">
        <v>23</v>
      </c>
      <c r="D357" s="17" t="s">
        <v>713</v>
      </c>
      <c r="E357" s="17" t="s">
        <v>714</v>
      </c>
      <c r="F357" s="17">
        <v>107.5</v>
      </c>
      <c r="G357" s="17">
        <v>829</v>
      </c>
      <c r="H357" s="17">
        <v>94</v>
      </c>
      <c r="I357" s="17">
        <v>4942</v>
      </c>
      <c r="J357" s="17">
        <v>106</v>
      </c>
      <c r="K357" s="17">
        <v>2012</v>
      </c>
      <c r="L357" s="17">
        <v>41</v>
      </c>
      <c r="M357" s="17">
        <v>5993</v>
      </c>
      <c r="N357" s="17"/>
      <c r="O357" s="17"/>
      <c r="P357" s="17">
        <v>65</v>
      </c>
      <c r="Q357" s="17">
        <v>7113</v>
      </c>
      <c r="R357" s="17">
        <v>81</v>
      </c>
      <c r="S357" s="17">
        <v>2139</v>
      </c>
      <c r="T357" s="17"/>
      <c r="U357" s="17"/>
      <c r="V357" s="17"/>
      <c r="W357" s="17"/>
      <c r="X357" s="15">
        <v>307.5</v>
      </c>
      <c r="Y357" s="17">
        <v>214</v>
      </c>
      <c r="Z357" s="17">
        <v>494.5</v>
      </c>
      <c r="AA357" s="17">
        <v>3529</v>
      </c>
      <c r="AB357" s="12">
        <f t="shared" si="5"/>
        <v>355</v>
      </c>
    </row>
    <row r="358" ht="14.25" spans="1:28">
      <c r="A358" s="13">
        <v>162</v>
      </c>
      <c r="B358" s="15">
        <v>4</v>
      </c>
      <c r="C358" s="16">
        <v>3</v>
      </c>
      <c r="D358" s="17" t="s">
        <v>337</v>
      </c>
      <c r="E358" s="17" t="s">
        <v>338</v>
      </c>
      <c r="F358" s="17">
        <v>106.5</v>
      </c>
      <c r="G358" s="17">
        <v>1059</v>
      </c>
      <c r="H358" s="17">
        <v>94</v>
      </c>
      <c r="I358" s="17">
        <v>4942</v>
      </c>
      <c r="J358" s="17">
        <v>91.75</v>
      </c>
      <c r="K358" s="17">
        <v>4882</v>
      </c>
      <c r="L358" s="17">
        <v>52</v>
      </c>
      <c r="M358" s="17">
        <v>3556</v>
      </c>
      <c r="N358" s="17"/>
      <c r="O358" s="17"/>
      <c r="P358" s="17">
        <v>72</v>
      </c>
      <c r="Q358" s="17">
        <v>4881</v>
      </c>
      <c r="R358" s="17"/>
      <c r="S358" s="17"/>
      <c r="T358" s="17"/>
      <c r="U358" s="17"/>
      <c r="V358" s="17">
        <v>78</v>
      </c>
      <c r="W358" s="17">
        <v>1218</v>
      </c>
      <c r="X358" s="15">
        <v>292.25</v>
      </c>
      <c r="Y358" s="17">
        <v>347</v>
      </c>
      <c r="Z358" s="17">
        <v>494.25</v>
      </c>
      <c r="AA358" s="17">
        <v>3552</v>
      </c>
      <c r="AB358" s="12">
        <f t="shared" si="5"/>
        <v>356</v>
      </c>
    </row>
    <row r="359" ht="14.25" spans="1:28">
      <c r="A359" s="13">
        <v>249</v>
      </c>
      <c r="B359" s="15">
        <v>5</v>
      </c>
      <c r="C359" s="16">
        <v>47</v>
      </c>
      <c r="D359" s="17" t="s">
        <v>509</v>
      </c>
      <c r="E359" s="17" t="s">
        <v>510</v>
      </c>
      <c r="F359" s="17">
        <v>99</v>
      </c>
      <c r="G359" s="17">
        <v>3868</v>
      </c>
      <c r="H359" s="17">
        <v>95.5</v>
      </c>
      <c r="I359" s="17">
        <v>4650</v>
      </c>
      <c r="J359" s="17">
        <v>81.5</v>
      </c>
      <c r="K359" s="17">
        <v>7394</v>
      </c>
      <c r="L359" s="17">
        <v>48</v>
      </c>
      <c r="M359" s="17">
        <v>4355</v>
      </c>
      <c r="N359" s="17"/>
      <c r="O359" s="17"/>
      <c r="P359" s="17">
        <v>80</v>
      </c>
      <c r="Q359" s="17">
        <v>2333</v>
      </c>
      <c r="R359" s="17"/>
      <c r="S359" s="17"/>
      <c r="T359" s="17"/>
      <c r="U359" s="17"/>
      <c r="V359" s="17">
        <v>90</v>
      </c>
      <c r="W359" s="17">
        <v>44</v>
      </c>
      <c r="X359" s="15">
        <v>276</v>
      </c>
      <c r="Y359" s="17">
        <v>490</v>
      </c>
      <c r="Z359" s="17">
        <v>494</v>
      </c>
      <c r="AA359" s="17">
        <v>3564</v>
      </c>
      <c r="AB359" s="12">
        <f t="shared" si="5"/>
        <v>357</v>
      </c>
    </row>
    <row r="360" ht="14.25" spans="1:28">
      <c r="A360" s="13">
        <v>250</v>
      </c>
      <c r="B360" s="15">
        <v>5</v>
      </c>
      <c r="C360" s="16">
        <v>48</v>
      </c>
      <c r="D360" s="17" t="s">
        <v>511</v>
      </c>
      <c r="E360" s="17" t="s">
        <v>512</v>
      </c>
      <c r="F360" s="17">
        <v>86.25</v>
      </c>
      <c r="G360" s="17">
        <v>11768</v>
      </c>
      <c r="H360" s="17">
        <v>104</v>
      </c>
      <c r="I360" s="17">
        <v>2999</v>
      </c>
      <c r="J360" s="17">
        <v>104.25</v>
      </c>
      <c r="K360" s="17">
        <v>2330</v>
      </c>
      <c r="L360" s="17">
        <v>37</v>
      </c>
      <c r="M360" s="17">
        <v>7118</v>
      </c>
      <c r="N360" s="17"/>
      <c r="O360" s="17"/>
      <c r="P360" s="17">
        <v>73</v>
      </c>
      <c r="Q360" s="17">
        <v>4501</v>
      </c>
      <c r="R360" s="17"/>
      <c r="S360" s="17"/>
      <c r="T360" s="17"/>
      <c r="U360" s="17"/>
      <c r="V360" s="17">
        <v>89</v>
      </c>
      <c r="W360" s="17">
        <v>100</v>
      </c>
      <c r="X360" s="15">
        <v>294.5</v>
      </c>
      <c r="Y360" s="17">
        <v>321</v>
      </c>
      <c r="Z360" s="17">
        <v>493.5</v>
      </c>
      <c r="AA360" s="17">
        <v>3583</v>
      </c>
      <c r="AB360" s="12">
        <f t="shared" si="5"/>
        <v>358</v>
      </c>
    </row>
    <row r="361" ht="14.25" spans="1:28">
      <c r="A361" s="13">
        <v>335</v>
      </c>
      <c r="B361" s="15">
        <v>8</v>
      </c>
      <c r="C361" s="16">
        <v>7</v>
      </c>
      <c r="D361" s="17" t="s">
        <v>681</v>
      </c>
      <c r="E361" s="17" t="s">
        <v>682</v>
      </c>
      <c r="F361" s="17">
        <v>98</v>
      </c>
      <c r="G361" s="17">
        <v>4423</v>
      </c>
      <c r="H361" s="17">
        <v>112</v>
      </c>
      <c r="I361" s="17">
        <v>1617</v>
      </c>
      <c r="J361" s="17">
        <v>71.75</v>
      </c>
      <c r="K361" s="17">
        <v>9931</v>
      </c>
      <c r="L361" s="17">
        <v>76.5</v>
      </c>
      <c r="M361" s="17">
        <v>333</v>
      </c>
      <c r="N361" s="17"/>
      <c r="O361" s="17"/>
      <c r="P361" s="17">
        <v>73</v>
      </c>
      <c r="Q361" s="17">
        <v>4501</v>
      </c>
      <c r="R361" s="17">
        <v>62</v>
      </c>
      <c r="S361" s="17">
        <v>8006</v>
      </c>
      <c r="T361" s="17"/>
      <c r="U361" s="17"/>
      <c r="V361" s="17"/>
      <c r="W361" s="17"/>
      <c r="X361" s="15">
        <v>281.75</v>
      </c>
      <c r="Y361" s="17">
        <v>437</v>
      </c>
      <c r="Z361" s="17">
        <v>493.25</v>
      </c>
      <c r="AA361" s="17">
        <v>3596</v>
      </c>
      <c r="AB361" s="12">
        <f t="shared" si="5"/>
        <v>359</v>
      </c>
    </row>
    <row r="362" ht="14.25" spans="1:28">
      <c r="A362" s="13">
        <v>96</v>
      </c>
      <c r="B362" s="15">
        <v>2</v>
      </c>
      <c r="C362" s="16">
        <v>33</v>
      </c>
      <c r="D362" s="17" t="s">
        <v>205</v>
      </c>
      <c r="E362" s="17" t="s">
        <v>206</v>
      </c>
      <c r="F362" s="17">
        <v>91.5</v>
      </c>
      <c r="G362" s="17">
        <v>8306</v>
      </c>
      <c r="H362" s="17">
        <v>95</v>
      </c>
      <c r="I362" s="17">
        <v>4735</v>
      </c>
      <c r="J362" s="17">
        <v>105.5</v>
      </c>
      <c r="K362" s="17">
        <v>2098</v>
      </c>
      <c r="L362" s="17">
        <v>39</v>
      </c>
      <c r="M362" s="17">
        <v>6535</v>
      </c>
      <c r="N362" s="17"/>
      <c r="O362" s="17"/>
      <c r="P362" s="17"/>
      <c r="Q362" s="17"/>
      <c r="R362" s="17">
        <v>84</v>
      </c>
      <c r="S362" s="17">
        <v>1490</v>
      </c>
      <c r="T362" s="17">
        <v>78</v>
      </c>
      <c r="U362" s="17">
        <v>1013</v>
      </c>
      <c r="V362" s="17"/>
      <c r="W362" s="17"/>
      <c r="X362" s="15">
        <v>292</v>
      </c>
      <c r="Y362" s="17">
        <v>350</v>
      </c>
      <c r="Z362" s="17">
        <v>493</v>
      </c>
      <c r="AA362" s="17">
        <v>3601</v>
      </c>
      <c r="AB362" s="12">
        <f t="shared" si="5"/>
        <v>360</v>
      </c>
    </row>
    <row r="363" ht="14.25" spans="1:28">
      <c r="A363" s="13">
        <v>219</v>
      </c>
      <c r="B363" s="15">
        <v>5</v>
      </c>
      <c r="C363" s="16">
        <v>16</v>
      </c>
      <c r="D363" s="17" t="s">
        <v>451</v>
      </c>
      <c r="E363" s="17" t="s">
        <v>452</v>
      </c>
      <c r="F363" s="17">
        <v>82</v>
      </c>
      <c r="G363" s="17">
        <v>13863</v>
      </c>
      <c r="H363" s="17">
        <v>114.5</v>
      </c>
      <c r="I363" s="17">
        <v>1277</v>
      </c>
      <c r="J363" s="17">
        <v>92.5</v>
      </c>
      <c r="K363" s="17">
        <v>4660</v>
      </c>
      <c r="L363" s="17">
        <v>63</v>
      </c>
      <c r="M363" s="17">
        <v>1702</v>
      </c>
      <c r="N363" s="17"/>
      <c r="O363" s="17"/>
      <c r="P363" s="17">
        <v>67</v>
      </c>
      <c r="Q363" s="17">
        <v>6384</v>
      </c>
      <c r="R363" s="17"/>
      <c r="S363" s="17"/>
      <c r="T363" s="17"/>
      <c r="U363" s="17"/>
      <c r="V363" s="17">
        <v>74</v>
      </c>
      <c r="W363" s="17">
        <v>1732</v>
      </c>
      <c r="X363" s="15">
        <v>289</v>
      </c>
      <c r="Y363" s="17">
        <v>373</v>
      </c>
      <c r="Z363" s="17">
        <v>493</v>
      </c>
      <c r="AA363" s="17">
        <v>3601</v>
      </c>
      <c r="AB363" s="12">
        <f t="shared" si="5"/>
        <v>360</v>
      </c>
    </row>
    <row r="364" ht="14.25" spans="1:28">
      <c r="A364" s="13">
        <v>141</v>
      </c>
      <c r="B364" s="15">
        <v>3</v>
      </c>
      <c r="C364" s="16">
        <v>30</v>
      </c>
      <c r="D364" s="17" t="s">
        <v>295</v>
      </c>
      <c r="E364" s="17" t="s">
        <v>296</v>
      </c>
      <c r="F364" s="17">
        <v>98.5</v>
      </c>
      <c r="G364" s="17">
        <v>4145</v>
      </c>
      <c r="H364" s="17">
        <v>82.5</v>
      </c>
      <c r="I364" s="17">
        <v>7529</v>
      </c>
      <c r="J364" s="17">
        <v>114</v>
      </c>
      <c r="K364" s="17">
        <v>991</v>
      </c>
      <c r="L364" s="17">
        <v>37.5</v>
      </c>
      <c r="M364" s="17">
        <v>6979</v>
      </c>
      <c r="N364" s="17"/>
      <c r="O364" s="17"/>
      <c r="P364" s="17">
        <v>73</v>
      </c>
      <c r="Q364" s="17">
        <v>4501</v>
      </c>
      <c r="R364" s="17"/>
      <c r="S364" s="17"/>
      <c r="T364" s="17"/>
      <c r="U364" s="17"/>
      <c r="V364" s="17">
        <v>87</v>
      </c>
      <c r="W364" s="17">
        <v>273</v>
      </c>
      <c r="X364" s="15">
        <v>295</v>
      </c>
      <c r="Y364" s="17">
        <v>314</v>
      </c>
      <c r="Z364" s="17">
        <v>492.5</v>
      </c>
      <c r="AA364" s="17">
        <v>3626</v>
      </c>
      <c r="AB364" s="12">
        <f t="shared" si="5"/>
        <v>362</v>
      </c>
    </row>
    <row r="365" ht="14.25" spans="1:28">
      <c r="A365" s="13">
        <v>168</v>
      </c>
      <c r="B365" s="15">
        <v>4</v>
      </c>
      <c r="C365" s="16">
        <v>9</v>
      </c>
      <c r="D365" s="17" t="s">
        <v>349</v>
      </c>
      <c r="E365" s="17" t="s">
        <v>350</v>
      </c>
      <c r="F365" s="17">
        <v>95.25</v>
      </c>
      <c r="G365" s="17">
        <v>6136</v>
      </c>
      <c r="H365" s="17">
        <v>89.5</v>
      </c>
      <c r="I365" s="17">
        <v>5946</v>
      </c>
      <c r="J365" s="17">
        <v>80.75</v>
      </c>
      <c r="K365" s="17">
        <v>7625</v>
      </c>
      <c r="L365" s="17">
        <v>54.5</v>
      </c>
      <c r="M365" s="17">
        <v>3126</v>
      </c>
      <c r="N365" s="17"/>
      <c r="O365" s="17"/>
      <c r="P365" s="17">
        <v>81</v>
      </c>
      <c r="Q365" s="17">
        <v>2079</v>
      </c>
      <c r="R365" s="17"/>
      <c r="S365" s="17"/>
      <c r="T365" s="17"/>
      <c r="U365" s="17"/>
      <c r="V365" s="17">
        <v>91</v>
      </c>
      <c r="W365" s="17">
        <v>15</v>
      </c>
      <c r="X365" s="15">
        <v>265.5</v>
      </c>
      <c r="Y365" s="17">
        <v>552</v>
      </c>
      <c r="Z365" s="17">
        <v>492</v>
      </c>
      <c r="AA365" s="17">
        <v>3646</v>
      </c>
      <c r="AB365" s="12">
        <f t="shared" si="5"/>
        <v>363</v>
      </c>
    </row>
    <row r="366" ht="14.25" spans="1:28">
      <c r="A366" s="13">
        <v>343</v>
      </c>
      <c r="B366" s="15">
        <v>8</v>
      </c>
      <c r="C366" s="16">
        <v>15</v>
      </c>
      <c r="D366" s="17" t="s">
        <v>697</v>
      </c>
      <c r="E366" s="17" t="s">
        <v>698</v>
      </c>
      <c r="F366" s="17">
        <v>98.5</v>
      </c>
      <c r="G366" s="17">
        <v>4145</v>
      </c>
      <c r="H366" s="17">
        <v>104.5</v>
      </c>
      <c r="I366" s="17">
        <v>2895</v>
      </c>
      <c r="J366" s="17">
        <v>91</v>
      </c>
      <c r="K366" s="17">
        <v>5010</v>
      </c>
      <c r="L366" s="17">
        <v>56</v>
      </c>
      <c r="M366" s="17">
        <v>2878</v>
      </c>
      <c r="N366" s="17"/>
      <c r="O366" s="17"/>
      <c r="P366" s="17">
        <v>63</v>
      </c>
      <c r="Q366" s="17">
        <v>7666</v>
      </c>
      <c r="R366" s="17">
        <v>79</v>
      </c>
      <c r="S366" s="17">
        <v>2629</v>
      </c>
      <c r="T366" s="17"/>
      <c r="U366" s="17"/>
      <c r="V366" s="17"/>
      <c r="W366" s="17"/>
      <c r="X366" s="15">
        <v>294</v>
      </c>
      <c r="Y366" s="17">
        <v>327</v>
      </c>
      <c r="Z366" s="17">
        <v>492</v>
      </c>
      <c r="AA366" s="17">
        <v>3646</v>
      </c>
      <c r="AB366" s="12">
        <f t="shared" si="5"/>
        <v>363</v>
      </c>
    </row>
    <row r="367" ht="14.25" spans="1:28">
      <c r="A367" s="13">
        <v>498</v>
      </c>
      <c r="B367" s="15">
        <v>11</v>
      </c>
      <c r="C367" s="16">
        <v>2</v>
      </c>
      <c r="D367" s="17" t="s">
        <v>1006</v>
      </c>
      <c r="E367" s="17" t="s">
        <v>1007</v>
      </c>
      <c r="F367" s="17">
        <v>103.5</v>
      </c>
      <c r="G367" s="17">
        <v>1897</v>
      </c>
      <c r="H367" s="17">
        <v>105.5</v>
      </c>
      <c r="I367" s="17">
        <v>2718</v>
      </c>
      <c r="J367" s="17">
        <v>92.5</v>
      </c>
      <c r="K367" s="17">
        <v>4660</v>
      </c>
      <c r="L367" s="17">
        <v>37.5</v>
      </c>
      <c r="M367" s="17">
        <v>6979</v>
      </c>
      <c r="N367" s="17"/>
      <c r="O367" s="17"/>
      <c r="P367" s="17">
        <v>77</v>
      </c>
      <c r="Q367" s="17">
        <v>3207</v>
      </c>
      <c r="R367" s="17">
        <v>76</v>
      </c>
      <c r="S367" s="17">
        <v>3491</v>
      </c>
      <c r="T367" s="17"/>
      <c r="U367" s="17"/>
      <c r="V367" s="17"/>
      <c r="W367" s="17"/>
      <c r="X367" s="15">
        <v>301.5</v>
      </c>
      <c r="Y367" s="17">
        <v>265</v>
      </c>
      <c r="Z367" s="17">
        <v>492</v>
      </c>
      <c r="AA367" s="17">
        <v>3646</v>
      </c>
      <c r="AB367" s="12">
        <f t="shared" si="5"/>
        <v>363</v>
      </c>
    </row>
    <row r="368" ht="14.25" spans="1:28">
      <c r="A368" s="13">
        <v>260</v>
      </c>
      <c r="B368" s="15">
        <v>6</v>
      </c>
      <c r="C368" s="16">
        <v>12</v>
      </c>
      <c r="D368" s="17" t="s">
        <v>531</v>
      </c>
      <c r="E368" s="17" t="s">
        <v>532</v>
      </c>
      <c r="F368" s="17">
        <v>101</v>
      </c>
      <c r="G368" s="17">
        <v>2896</v>
      </c>
      <c r="H368" s="17">
        <v>87</v>
      </c>
      <c r="I368" s="17">
        <v>6532</v>
      </c>
      <c r="J368" s="17">
        <v>108.25</v>
      </c>
      <c r="K368" s="17">
        <v>1690</v>
      </c>
      <c r="L368" s="17">
        <v>46.5</v>
      </c>
      <c r="M368" s="17">
        <v>4690</v>
      </c>
      <c r="N368" s="17"/>
      <c r="O368" s="17"/>
      <c r="P368" s="17"/>
      <c r="Q368" s="17"/>
      <c r="R368" s="17">
        <v>76</v>
      </c>
      <c r="S368" s="17">
        <v>3491</v>
      </c>
      <c r="T368" s="17"/>
      <c r="U368" s="17"/>
      <c r="V368" s="17">
        <v>73</v>
      </c>
      <c r="W368" s="17">
        <v>1853</v>
      </c>
      <c r="X368" s="15">
        <v>296.25</v>
      </c>
      <c r="Y368" s="17">
        <v>305</v>
      </c>
      <c r="Z368" s="17">
        <v>491.75</v>
      </c>
      <c r="AA368" s="17">
        <v>3657</v>
      </c>
      <c r="AB368" s="12">
        <f t="shared" si="5"/>
        <v>366</v>
      </c>
    </row>
    <row r="369" ht="14.25" spans="1:28">
      <c r="A369" s="13">
        <v>62</v>
      </c>
      <c r="B369" s="15">
        <v>1</v>
      </c>
      <c r="C369" s="16">
        <v>64</v>
      </c>
      <c r="D369" s="17" t="s">
        <v>138</v>
      </c>
      <c r="E369" s="17" t="s">
        <v>139</v>
      </c>
      <c r="F369" s="17">
        <v>98.5</v>
      </c>
      <c r="G369" s="17">
        <v>4145</v>
      </c>
      <c r="H369" s="17">
        <v>111.5</v>
      </c>
      <c r="I369" s="17">
        <v>1692</v>
      </c>
      <c r="J369" s="17">
        <v>86.5</v>
      </c>
      <c r="K369" s="17">
        <v>6120</v>
      </c>
      <c r="L369" s="17">
        <v>58</v>
      </c>
      <c r="M369" s="17">
        <v>2538</v>
      </c>
      <c r="N369" s="17"/>
      <c r="O369" s="17"/>
      <c r="P369" s="17">
        <v>79</v>
      </c>
      <c r="Q369" s="17">
        <v>2632</v>
      </c>
      <c r="R369" s="17"/>
      <c r="S369" s="17"/>
      <c r="T369" s="17">
        <v>58</v>
      </c>
      <c r="U369" s="17">
        <v>3314</v>
      </c>
      <c r="V369" s="17"/>
      <c r="W369" s="17"/>
      <c r="X369" s="15">
        <v>296.5</v>
      </c>
      <c r="Y369" s="17">
        <v>304</v>
      </c>
      <c r="Z369" s="17">
        <v>491.5</v>
      </c>
      <c r="AA369" s="17">
        <v>3664</v>
      </c>
      <c r="AB369" s="12">
        <f t="shared" si="5"/>
        <v>367</v>
      </c>
    </row>
    <row r="370" ht="14.25" spans="1:28">
      <c r="A370" s="13">
        <v>65</v>
      </c>
      <c r="B370" s="15">
        <v>2</v>
      </c>
      <c r="C370" s="16">
        <v>2</v>
      </c>
      <c r="D370" s="17" t="s">
        <v>144</v>
      </c>
      <c r="E370" s="17" t="s">
        <v>145</v>
      </c>
      <c r="F370" s="17">
        <v>99.5</v>
      </c>
      <c r="G370" s="17">
        <v>3607</v>
      </c>
      <c r="H370" s="17">
        <v>91</v>
      </c>
      <c r="I370" s="17">
        <v>5638</v>
      </c>
      <c r="J370" s="17">
        <v>92.5</v>
      </c>
      <c r="K370" s="17">
        <v>4660</v>
      </c>
      <c r="L370" s="17">
        <v>53.5</v>
      </c>
      <c r="M370" s="17">
        <v>3296</v>
      </c>
      <c r="N370" s="17"/>
      <c r="O370" s="17"/>
      <c r="P370" s="17"/>
      <c r="Q370" s="17"/>
      <c r="R370" s="17">
        <v>75</v>
      </c>
      <c r="S370" s="17">
        <v>3790</v>
      </c>
      <c r="T370" s="17">
        <v>80</v>
      </c>
      <c r="U370" s="17">
        <v>813</v>
      </c>
      <c r="V370" s="17"/>
      <c r="W370" s="17"/>
      <c r="X370" s="15">
        <v>283</v>
      </c>
      <c r="Y370" s="17">
        <v>420</v>
      </c>
      <c r="Z370" s="17">
        <v>491.5</v>
      </c>
      <c r="AA370" s="17">
        <v>3664</v>
      </c>
      <c r="AB370" s="12">
        <f t="shared" si="5"/>
        <v>367</v>
      </c>
    </row>
    <row r="371" ht="14.25" spans="1:28">
      <c r="A371" s="13">
        <v>356</v>
      </c>
      <c r="B371" s="15">
        <v>8</v>
      </c>
      <c r="C371" s="16">
        <v>29</v>
      </c>
      <c r="D371" s="17" t="s">
        <v>723</v>
      </c>
      <c r="E371" s="17" t="s">
        <v>724</v>
      </c>
      <c r="F371" s="17">
        <v>101</v>
      </c>
      <c r="G371" s="17">
        <v>2896</v>
      </c>
      <c r="H371" s="17">
        <v>107</v>
      </c>
      <c r="I371" s="17">
        <v>2461</v>
      </c>
      <c r="J371" s="17">
        <v>85.5</v>
      </c>
      <c r="K371" s="17">
        <v>6376</v>
      </c>
      <c r="L371" s="17">
        <v>52.5</v>
      </c>
      <c r="M371" s="17">
        <v>3470</v>
      </c>
      <c r="N371" s="17"/>
      <c r="O371" s="17"/>
      <c r="P371" s="17">
        <v>63</v>
      </c>
      <c r="Q371" s="17">
        <v>7666</v>
      </c>
      <c r="R371" s="17">
        <v>82</v>
      </c>
      <c r="S371" s="17">
        <v>1915</v>
      </c>
      <c r="T371" s="17"/>
      <c r="U371" s="17"/>
      <c r="V371" s="17"/>
      <c r="W371" s="17"/>
      <c r="X371" s="15">
        <v>293.5</v>
      </c>
      <c r="Y371" s="17">
        <v>330</v>
      </c>
      <c r="Z371" s="17">
        <v>491</v>
      </c>
      <c r="AA371" s="17">
        <v>3691</v>
      </c>
      <c r="AB371" s="12">
        <f t="shared" si="5"/>
        <v>369</v>
      </c>
    </row>
    <row r="372" ht="14.25" spans="1:28">
      <c r="A372" s="13">
        <v>266</v>
      </c>
      <c r="B372" s="15">
        <v>6</v>
      </c>
      <c r="C372" s="16">
        <v>18</v>
      </c>
      <c r="D372" s="17" t="s">
        <v>543</v>
      </c>
      <c r="E372" s="17" t="s">
        <v>544</v>
      </c>
      <c r="F372" s="17">
        <v>104</v>
      </c>
      <c r="G372" s="17">
        <v>1709</v>
      </c>
      <c r="H372" s="17">
        <v>79.5</v>
      </c>
      <c r="I372" s="17">
        <v>8139</v>
      </c>
      <c r="J372" s="17">
        <v>110</v>
      </c>
      <c r="K372" s="17">
        <v>1448</v>
      </c>
      <c r="L372" s="17">
        <v>53</v>
      </c>
      <c r="M372" s="17">
        <v>3368</v>
      </c>
      <c r="N372" s="17"/>
      <c r="O372" s="17"/>
      <c r="P372" s="17"/>
      <c r="Q372" s="17"/>
      <c r="R372" s="17">
        <v>81</v>
      </c>
      <c r="S372" s="17">
        <v>2139</v>
      </c>
      <c r="T372" s="17"/>
      <c r="U372" s="17"/>
      <c r="V372" s="17">
        <v>63</v>
      </c>
      <c r="W372" s="17">
        <v>3260</v>
      </c>
      <c r="X372" s="15">
        <v>293.5</v>
      </c>
      <c r="Y372" s="17">
        <v>330</v>
      </c>
      <c r="Z372" s="17">
        <v>490.5</v>
      </c>
      <c r="AA372" s="17">
        <v>3712</v>
      </c>
      <c r="AB372" s="12">
        <f t="shared" si="5"/>
        <v>370</v>
      </c>
    </row>
    <row r="373" ht="14.25" spans="1:28">
      <c r="A373" s="13">
        <v>294</v>
      </c>
      <c r="B373" s="15">
        <v>7</v>
      </c>
      <c r="C373" s="16">
        <v>4</v>
      </c>
      <c r="D373" s="17" t="s">
        <v>599</v>
      </c>
      <c r="E373" s="17" t="s">
        <v>600</v>
      </c>
      <c r="F373" s="17">
        <v>91.5</v>
      </c>
      <c r="G373" s="17">
        <v>8306</v>
      </c>
      <c r="H373" s="17">
        <v>106</v>
      </c>
      <c r="I373" s="17">
        <v>2619</v>
      </c>
      <c r="J373" s="17">
        <v>98</v>
      </c>
      <c r="K373" s="17">
        <v>3454</v>
      </c>
      <c r="L373" s="17">
        <v>43</v>
      </c>
      <c r="M373" s="17">
        <v>5463</v>
      </c>
      <c r="N373" s="17"/>
      <c r="O373" s="17"/>
      <c r="P373" s="17"/>
      <c r="Q373" s="17"/>
      <c r="R373" s="17">
        <v>68</v>
      </c>
      <c r="S373" s="17">
        <v>6079</v>
      </c>
      <c r="T373" s="17"/>
      <c r="U373" s="17"/>
      <c r="V373" s="17">
        <v>84</v>
      </c>
      <c r="W373" s="17">
        <v>588</v>
      </c>
      <c r="X373" s="15">
        <v>295.5</v>
      </c>
      <c r="Y373" s="17">
        <v>312</v>
      </c>
      <c r="Z373" s="17">
        <v>490.5</v>
      </c>
      <c r="AA373" s="17">
        <v>3712</v>
      </c>
      <c r="AB373" s="12">
        <f t="shared" si="5"/>
        <v>370</v>
      </c>
    </row>
    <row r="374" ht="14.25" spans="1:28">
      <c r="A374" s="13">
        <v>269</v>
      </c>
      <c r="B374" s="15">
        <v>6</v>
      </c>
      <c r="C374" s="16">
        <v>21</v>
      </c>
      <c r="D374" s="17" t="s">
        <v>549</v>
      </c>
      <c r="E374" s="17" t="s">
        <v>550</v>
      </c>
      <c r="F374" s="17">
        <v>93</v>
      </c>
      <c r="G374" s="17">
        <v>7407</v>
      </c>
      <c r="H374" s="17">
        <v>86.5</v>
      </c>
      <c r="I374" s="17">
        <v>6657</v>
      </c>
      <c r="J374" s="17">
        <v>81.75</v>
      </c>
      <c r="K374" s="17">
        <v>7350</v>
      </c>
      <c r="L374" s="17">
        <v>55</v>
      </c>
      <c r="M374" s="17">
        <v>3031</v>
      </c>
      <c r="N374" s="17"/>
      <c r="O374" s="17"/>
      <c r="P374" s="17"/>
      <c r="Q374" s="17"/>
      <c r="R374" s="17">
        <v>86</v>
      </c>
      <c r="S374" s="17">
        <v>1176</v>
      </c>
      <c r="T374" s="17"/>
      <c r="U374" s="17"/>
      <c r="V374" s="17">
        <v>88</v>
      </c>
      <c r="W374" s="17">
        <v>165</v>
      </c>
      <c r="X374" s="15">
        <v>261.25</v>
      </c>
      <c r="Y374" s="17">
        <v>576</v>
      </c>
      <c r="Z374" s="17">
        <v>490.25</v>
      </c>
      <c r="AA374" s="17">
        <v>3738</v>
      </c>
      <c r="AB374" s="12">
        <f t="shared" si="5"/>
        <v>372</v>
      </c>
    </row>
    <row r="375" ht="14.25" spans="1:28">
      <c r="A375" s="13">
        <v>43</v>
      </c>
      <c r="B375" s="15">
        <v>1</v>
      </c>
      <c r="C375" s="16">
        <v>45</v>
      </c>
      <c r="D375" s="17" t="s">
        <v>100</v>
      </c>
      <c r="E375" s="17" t="s">
        <v>101</v>
      </c>
      <c r="F375" s="17">
        <v>89.5</v>
      </c>
      <c r="G375" s="17">
        <v>9648</v>
      </c>
      <c r="H375" s="17">
        <v>104</v>
      </c>
      <c r="I375" s="17">
        <v>2999</v>
      </c>
      <c r="J375" s="17">
        <v>85.5</v>
      </c>
      <c r="K375" s="17">
        <v>6376</v>
      </c>
      <c r="L375" s="17">
        <v>65</v>
      </c>
      <c r="M375" s="17">
        <v>1440</v>
      </c>
      <c r="N375" s="17"/>
      <c r="O375" s="17"/>
      <c r="P375" s="17">
        <v>80</v>
      </c>
      <c r="Q375" s="17">
        <v>2333</v>
      </c>
      <c r="R375" s="17"/>
      <c r="S375" s="17"/>
      <c r="T375" s="17">
        <v>66</v>
      </c>
      <c r="U375" s="17">
        <v>2417</v>
      </c>
      <c r="V375" s="17"/>
      <c r="W375" s="17"/>
      <c r="X375" s="15">
        <v>279</v>
      </c>
      <c r="Y375" s="17">
        <v>456</v>
      </c>
      <c r="Z375" s="17">
        <v>490</v>
      </c>
      <c r="AA375" s="17">
        <v>3746</v>
      </c>
      <c r="AB375" s="12">
        <f t="shared" si="5"/>
        <v>373</v>
      </c>
    </row>
    <row r="376" ht="14.25" spans="1:28">
      <c r="A376" s="13">
        <v>548</v>
      </c>
      <c r="B376" s="15">
        <v>11</v>
      </c>
      <c r="C376" s="16">
        <v>54</v>
      </c>
      <c r="D376" s="17" t="s">
        <v>1104</v>
      </c>
      <c r="E376" s="17" t="s">
        <v>1105</v>
      </c>
      <c r="F376" s="17">
        <v>91.5</v>
      </c>
      <c r="G376" s="17">
        <v>8306</v>
      </c>
      <c r="H376" s="17">
        <v>109.5</v>
      </c>
      <c r="I376" s="17">
        <v>2023</v>
      </c>
      <c r="J376" s="17">
        <v>87</v>
      </c>
      <c r="K376" s="17">
        <v>5999</v>
      </c>
      <c r="L376" s="17">
        <v>55</v>
      </c>
      <c r="M376" s="17">
        <v>3031</v>
      </c>
      <c r="N376" s="17"/>
      <c r="O376" s="17"/>
      <c r="P376" s="17">
        <v>67</v>
      </c>
      <c r="Q376" s="17">
        <v>6384</v>
      </c>
      <c r="R376" s="17">
        <v>80</v>
      </c>
      <c r="S376" s="17">
        <v>2376</v>
      </c>
      <c r="T376" s="17"/>
      <c r="U376" s="17"/>
      <c r="V376" s="17"/>
      <c r="W376" s="17"/>
      <c r="X376" s="15">
        <v>288</v>
      </c>
      <c r="Y376" s="17">
        <v>378</v>
      </c>
      <c r="Z376" s="17">
        <v>490</v>
      </c>
      <c r="AA376" s="17">
        <v>3746</v>
      </c>
      <c r="AB376" s="12">
        <f t="shared" si="5"/>
        <v>373</v>
      </c>
    </row>
    <row r="377" ht="14.25" spans="1:28">
      <c r="A377" s="13">
        <v>66</v>
      </c>
      <c r="B377" s="15">
        <v>2</v>
      </c>
      <c r="C377" s="16">
        <v>3</v>
      </c>
      <c r="D377" s="17" t="s">
        <v>146</v>
      </c>
      <c r="E377" s="17" t="s">
        <v>147</v>
      </c>
      <c r="F377" s="17">
        <v>103.5</v>
      </c>
      <c r="G377" s="17">
        <v>1897</v>
      </c>
      <c r="H377" s="17">
        <v>84</v>
      </c>
      <c r="I377" s="17">
        <v>7206</v>
      </c>
      <c r="J377" s="17">
        <v>100.25</v>
      </c>
      <c r="K377" s="17">
        <v>3011</v>
      </c>
      <c r="L377" s="17">
        <v>35</v>
      </c>
      <c r="M377" s="17">
        <v>7732</v>
      </c>
      <c r="N377" s="17"/>
      <c r="O377" s="17"/>
      <c r="P377" s="17"/>
      <c r="Q377" s="17"/>
      <c r="R377" s="17">
        <v>81</v>
      </c>
      <c r="S377" s="17">
        <v>2139</v>
      </c>
      <c r="T377" s="17">
        <v>86</v>
      </c>
      <c r="U377" s="17">
        <v>377</v>
      </c>
      <c r="V377" s="17"/>
      <c r="W377" s="17"/>
      <c r="X377" s="15">
        <v>287.75</v>
      </c>
      <c r="Y377" s="17">
        <v>380</v>
      </c>
      <c r="Z377" s="17">
        <v>489.75</v>
      </c>
      <c r="AA377" s="17">
        <v>3763</v>
      </c>
      <c r="AB377" s="12">
        <f t="shared" si="5"/>
        <v>375</v>
      </c>
    </row>
    <row r="378" ht="14.25" spans="1:28">
      <c r="A378" s="13">
        <v>578</v>
      </c>
      <c r="B378" s="15">
        <v>12</v>
      </c>
      <c r="C378" s="16">
        <v>26</v>
      </c>
      <c r="D378" s="17" t="s">
        <v>1164</v>
      </c>
      <c r="E378" s="17" t="s">
        <v>1165</v>
      </c>
      <c r="F378" s="17">
        <v>91.25</v>
      </c>
      <c r="G378" s="17">
        <v>8581</v>
      </c>
      <c r="H378" s="17">
        <v>101</v>
      </c>
      <c r="I378" s="17">
        <v>3563</v>
      </c>
      <c r="J378" s="17">
        <v>92</v>
      </c>
      <c r="K378" s="17">
        <v>4787</v>
      </c>
      <c r="L378" s="17">
        <v>58.5</v>
      </c>
      <c r="M378" s="17">
        <v>2451</v>
      </c>
      <c r="N378" s="17"/>
      <c r="O378" s="17"/>
      <c r="P378" s="17">
        <v>78</v>
      </c>
      <c r="Q378" s="17">
        <v>2908</v>
      </c>
      <c r="R378" s="17">
        <v>69</v>
      </c>
      <c r="S378" s="17">
        <v>5677</v>
      </c>
      <c r="T378" s="17"/>
      <c r="U378" s="17"/>
      <c r="V378" s="17"/>
      <c r="W378" s="17"/>
      <c r="X378" s="15">
        <v>284.25</v>
      </c>
      <c r="Y378" s="17">
        <v>407</v>
      </c>
      <c r="Z378" s="17">
        <v>489.75</v>
      </c>
      <c r="AA378" s="17">
        <v>3763</v>
      </c>
      <c r="AB378" s="12">
        <f t="shared" si="5"/>
        <v>375</v>
      </c>
    </row>
    <row r="379" ht="14.25" spans="1:28">
      <c r="A379" s="13">
        <v>590</v>
      </c>
      <c r="B379" s="15">
        <v>12</v>
      </c>
      <c r="C379" s="16">
        <v>40</v>
      </c>
      <c r="D379" s="17" t="s">
        <v>1188</v>
      </c>
      <c r="E379" s="17" t="s">
        <v>1189</v>
      </c>
      <c r="F379" s="17">
        <v>105</v>
      </c>
      <c r="G379" s="17">
        <v>1427</v>
      </c>
      <c r="H379" s="17">
        <v>89.5</v>
      </c>
      <c r="I379" s="17">
        <v>5946</v>
      </c>
      <c r="J379" s="17">
        <v>105.5</v>
      </c>
      <c r="K379" s="17">
        <v>2098</v>
      </c>
      <c r="L379" s="17">
        <v>48.5</v>
      </c>
      <c r="M379" s="17">
        <v>4255</v>
      </c>
      <c r="N379" s="17"/>
      <c r="O379" s="17"/>
      <c r="P379" s="17">
        <v>74</v>
      </c>
      <c r="Q379" s="17">
        <v>4168</v>
      </c>
      <c r="R379" s="17">
        <v>67</v>
      </c>
      <c r="S379" s="17">
        <v>6298</v>
      </c>
      <c r="T379" s="17"/>
      <c r="U379" s="17"/>
      <c r="V379" s="17"/>
      <c r="W379" s="17"/>
      <c r="X379" s="15">
        <v>300</v>
      </c>
      <c r="Y379" s="17">
        <v>276</v>
      </c>
      <c r="Z379" s="17">
        <v>489.5</v>
      </c>
      <c r="AA379" s="17">
        <v>3772</v>
      </c>
      <c r="AB379" s="12">
        <f t="shared" si="5"/>
        <v>377</v>
      </c>
    </row>
    <row r="380" ht="14.25" spans="1:28">
      <c r="A380" s="13">
        <v>644</v>
      </c>
      <c r="B380" s="15">
        <v>13</v>
      </c>
      <c r="C380" s="16">
        <v>37</v>
      </c>
      <c r="D380" s="17" t="s">
        <v>1295</v>
      </c>
      <c r="E380" s="17" t="s">
        <v>1296</v>
      </c>
      <c r="F380" s="17">
        <v>96.5</v>
      </c>
      <c r="G380" s="17">
        <v>5262</v>
      </c>
      <c r="H380" s="17">
        <v>88</v>
      </c>
      <c r="I380" s="17">
        <v>6299</v>
      </c>
      <c r="J380" s="17">
        <v>91.5</v>
      </c>
      <c r="K380" s="17">
        <v>4916</v>
      </c>
      <c r="L380" s="17">
        <v>59.5</v>
      </c>
      <c r="M380" s="17">
        <v>2274</v>
      </c>
      <c r="N380" s="17"/>
      <c r="O380" s="17"/>
      <c r="P380" s="17">
        <v>75</v>
      </c>
      <c r="Q380" s="17">
        <v>3841</v>
      </c>
      <c r="R380" s="17">
        <v>79</v>
      </c>
      <c r="S380" s="17">
        <v>2629</v>
      </c>
      <c r="T380" s="17"/>
      <c r="U380" s="17"/>
      <c r="V380" s="17"/>
      <c r="W380" s="17"/>
      <c r="X380" s="15">
        <v>276</v>
      </c>
      <c r="Y380" s="17">
        <v>490</v>
      </c>
      <c r="Z380" s="17">
        <v>489.5</v>
      </c>
      <c r="AA380" s="17">
        <v>3772</v>
      </c>
      <c r="AB380" s="12">
        <f t="shared" si="5"/>
        <v>377</v>
      </c>
    </row>
    <row r="381" ht="14.25" spans="1:28">
      <c r="A381" s="13">
        <v>609</v>
      </c>
      <c r="B381" s="20">
        <v>12</v>
      </c>
      <c r="C381" s="16">
        <v>59</v>
      </c>
      <c r="D381" s="19" t="s">
        <v>1226</v>
      </c>
      <c r="E381" s="17" t="s">
        <v>1227</v>
      </c>
      <c r="F381" s="17">
        <v>96.25</v>
      </c>
      <c r="G381" s="17">
        <v>5515</v>
      </c>
      <c r="H381" s="17">
        <v>110</v>
      </c>
      <c r="I381" s="17">
        <v>1931</v>
      </c>
      <c r="J381" s="17">
        <v>93</v>
      </c>
      <c r="K381" s="17">
        <v>4548</v>
      </c>
      <c r="L381" s="17">
        <v>36</v>
      </c>
      <c r="M381" s="17">
        <v>7408</v>
      </c>
      <c r="N381" s="17"/>
      <c r="O381" s="17"/>
      <c r="P381" s="17">
        <v>86</v>
      </c>
      <c r="Q381" s="17">
        <v>1052</v>
      </c>
      <c r="R381" s="17">
        <v>68</v>
      </c>
      <c r="S381" s="17">
        <v>6079</v>
      </c>
      <c r="T381" s="17"/>
      <c r="U381" s="17"/>
      <c r="V381" s="17"/>
      <c r="W381" s="17"/>
      <c r="X381" s="15">
        <v>299.25</v>
      </c>
      <c r="Y381" s="17">
        <v>281</v>
      </c>
      <c r="Z381" s="17">
        <v>489.25</v>
      </c>
      <c r="AA381" s="17">
        <v>3787</v>
      </c>
      <c r="AB381" s="12">
        <f t="shared" si="5"/>
        <v>379</v>
      </c>
    </row>
    <row r="382" ht="14.25" spans="1:28">
      <c r="A382" s="13">
        <v>201</v>
      </c>
      <c r="B382" s="15">
        <v>4</v>
      </c>
      <c r="C382" s="16">
        <v>44</v>
      </c>
      <c r="D382" s="17" t="s">
        <v>415</v>
      </c>
      <c r="E382" s="17" t="s">
        <v>416</v>
      </c>
      <c r="F382" s="17">
        <v>106.5</v>
      </c>
      <c r="G382" s="17">
        <v>1059</v>
      </c>
      <c r="H382" s="17">
        <v>106.5</v>
      </c>
      <c r="I382" s="17">
        <v>2542</v>
      </c>
      <c r="J382" s="17">
        <v>103</v>
      </c>
      <c r="K382" s="17">
        <v>2527</v>
      </c>
      <c r="L382" s="17">
        <v>36</v>
      </c>
      <c r="M382" s="17">
        <v>7408</v>
      </c>
      <c r="N382" s="17"/>
      <c r="O382" s="17"/>
      <c r="P382" s="17">
        <v>67</v>
      </c>
      <c r="Q382" s="17">
        <v>6384</v>
      </c>
      <c r="R382" s="17"/>
      <c r="S382" s="17"/>
      <c r="T382" s="17"/>
      <c r="U382" s="17"/>
      <c r="V382" s="17">
        <v>70</v>
      </c>
      <c r="W382" s="17">
        <v>2293</v>
      </c>
      <c r="X382" s="15">
        <v>316</v>
      </c>
      <c r="Y382" s="17">
        <v>144</v>
      </c>
      <c r="Z382" s="17">
        <v>489</v>
      </c>
      <c r="AA382" s="17">
        <v>3796</v>
      </c>
      <c r="AB382" s="12">
        <f t="shared" si="5"/>
        <v>380</v>
      </c>
    </row>
    <row r="383" ht="14.25" spans="1:28">
      <c r="A383" s="13">
        <v>563</v>
      </c>
      <c r="B383" s="15">
        <v>12</v>
      </c>
      <c r="C383" s="16">
        <v>10</v>
      </c>
      <c r="D383" s="17" t="s">
        <v>1134</v>
      </c>
      <c r="E383" s="17" t="s">
        <v>1135</v>
      </c>
      <c r="F383" s="17">
        <v>91</v>
      </c>
      <c r="G383" s="17">
        <v>8620</v>
      </c>
      <c r="H383" s="17">
        <v>111</v>
      </c>
      <c r="I383" s="17">
        <v>1774</v>
      </c>
      <c r="J383" s="17">
        <v>73.5</v>
      </c>
      <c r="K383" s="17">
        <v>9484</v>
      </c>
      <c r="L383" s="17">
        <v>48.5</v>
      </c>
      <c r="M383" s="17">
        <v>4255</v>
      </c>
      <c r="N383" s="17"/>
      <c r="O383" s="17"/>
      <c r="P383" s="17">
        <v>86</v>
      </c>
      <c r="Q383" s="17">
        <v>1052</v>
      </c>
      <c r="R383" s="17">
        <v>79</v>
      </c>
      <c r="S383" s="17">
        <v>2629</v>
      </c>
      <c r="T383" s="17"/>
      <c r="U383" s="17"/>
      <c r="V383" s="17"/>
      <c r="W383" s="17"/>
      <c r="X383" s="15">
        <v>275.5</v>
      </c>
      <c r="Y383" s="17">
        <v>494</v>
      </c>
      <c r="Z383" s="17">
        <v>489</v>
      </c>
      <c r="AA383" s="17">
        <v>3796</v>
      </c>
      <c r="AB383" s="12">
        <f t="shared" si="5"/>
        <v>380</v>
      </c>
    </row>
    <row r="384" ht="14.25" spans="1:28">
      <c r="A384" s="13">
        <v>331</v>
      </c>
      <c r="B384" s="15">
        <v>8</v>
      </c>
      <c r="C384" s="16">
        <v>3</v>
      </c>
      <c r="D384" s="17" t="s">
        <v>673</v>
      </c>
      <c r="E384" s="17" t="s">
        <v>674</v>
      </c>
      <c r="F384" s="17">
        <v>98</v>
      </c>
      <c r="G384" s="17">
        <v>4423</v>
      </c>
      <c r="H384" s="17">
        <v>92.5</v>
      </c>
      <c r="I384" s="17">
        <v>5299</v>
      </c>
      <c r="J384" s="17">
        <v>103.25</v>
      </c>
      <c r="K384" s="17">
        <v>2503</v>
      </c>
      <c r="L384" s="17">
        <v>38</v>
      </c>
      <c r="M384" s="17">
        <v>6823</v>
      </c>
      <c r="N384" s="17"/>
      <c r="O384" s="17"/>
      <c r="P384" s="17">
        <v>77</v>
      </c>
      <c r="Q384" s="17">
        <v>3207</v>
      </c>
      <c r="R384" s="17">
        <v>80</v>
      </c>
      <c r="S384" s="17">
        <v>2376</v>
      </c>
      <c r="T384" s="17"/>
      <c r="U384" s="17"/>
      <c r="V384" s="17"/>
      <c r="W384" s="17"/>
      <c r="X384" s="15">
        <v>293.75</v>
      </c>
      <c r="Y384" s="17">
        <v>328</v>
      </c>
      <c r="Z384" s="17">
        <v>488.75</v>
      </c>
      <c r="AA384" s="17">
        <v>3814</v>
      </c>
      <c r="AB384" s="12">
        <f t="shared" si="5"/>
        <v>382</v>
      </c>
    </row>
    <row r="385" ht="14.25" spans="1:28">
      <c r="A385" s="13">
        <v>198</v>
      </c>
      <c r="B385" s="15">
        <v>4</v>
      </c>
      <c r="C385" s="16">
        <v>41</v>
      </c>
      <c r="D385" s="17" t="s">
        <v>409</v>
      </c>
      <c r="E385" s="17" t="s">
        <v>410</v>
      </c>
      <c r="F385" s="17">
        <v>89</v>
      </c>
      <c r="G385" s="17">
        <v>9959</v>
      </c>
      <c r="H385" s="17">
        <v>106.5</v>
      </c>
      <c r="I385" s="17">
        <v>2542</v>
      </c>
      <c r="J385" s="17">
        <v>88.5</v>
      </c>
      <c r="K385" s="17">
        <v>5628</v>
      </c>
      <c r="L385" s="17">
        <v>58.5</v>
      </c>
      <c r="M385" s="17">
        <v>2451</v>
      </c>
      <c r="N385" s="17"/>
      <c r="O385" s="17"/>
      <c r="P385" s="17">
        <v>80</v>
      </c>
      <c r="Q385" s="17">
        <v>2333</v>
      </c>
      <c r="R385" s="17"/>
      <c r="S385" s="17"/>
      <c r="T385" s="17"/>
      <c r="U385" s="17"/>
      <c r="V385" s="17">
        <v>66</v>
      </c>
      <c r="W385" s="17">
        <v>2820</v>
      </c>
      <c r="X385" s="15">
        <v>284</v>
      </c>
      <c r="Y385" s="17">
        <v>408</v>
      </c>
      <c r="Z385" s="17">
        <v>488.5</v>
      </c>
      <c r="AA385" s="17">
        <v>3823</v>
      </c>
      <c r="AB385" s="12">
        <f t="shared" si="5"/>
        <v>383</v>
      </c>
    </row>
    <row r="386" ht="14.25" spans="1:28">
      <c r="A386" s="13">
        <v>653</v>
      </c>
      <c r="B386" s="15">
        <v>13</v>
      </c>
      <c r="C386" s="16">
        <v>47</v>
      </c>
      <c r="D386" s="17" t="s">
        <v>1313</v>
      </c>
      <c r="E386" s="17" t="s">
        <v>1314</v>
      </c>
      <c r="F386" s="17">
        <v>99.5</v>
      </c>
      <c r="G386" s="17">
        <v>3607</v>
      </c>
      <c r="H386" s="17">
        <v>107.5</v>
      </c>
      <c r="I386" s="17">
        <v>2373</v>
      </c>
      <c r="J386" s="17">
        <v>85.5</v>
      </c>
      <c r="K386" s="17">
        <v>6376</v>
      </c>
      <c r="L386" s="17">
        <v>47</v>
      </c>
      <c r="M386" s="17">
        <v>4568</v>
      </c>
      <c r="N386" s="17"/>
      <c r="O386" s="17"/>
      <c r="P386" s="17">
        <v>74</v>
      </c>
      <c r="Q386" s="17">
        <v>4168</v>
      </c>
      <c r="R386" s="17">
        <v>75</v>
      </c>
      <c r="S386" s="17">
        <v>3790</v>
      </c>
      <c r="T386" s="17"/>
      <c r="U386" s="17"/>
      <c r="V386" s="17"/>
      <c r="W386" s="17"/>
      <c r="X386" s="15">
        <v>292.5</v>
      </c>
      <c r="Y386" s="17">
        <v>345</v>
      </c>
      <c r="Z386" s="17">
        <v>488.5</v>
      </c>
      <c r="AA386" s="17">
        <v>3823</v>
      </c>
      <c r="AB386" s="12">
        <f t="shared" si="5"/>
        <v>383</v>
      </c>
    </row>
    <row r="387" ht="14.25" spans="1:28">
      <c r="A387" s="13">
        <v>179</v>
      </c>
      <c r="B387" s="15">
        <v>4</v>
      </c>
      <c r="C387" s="16">
        <v>20</v>
      </c>
      <c r="D387" s="17" t="s">
        <v>371</v>
      </c>
      <c r="E387" s="17" t="s">
        <v>372</v>
      </c>
      <c r="F387" s="17">
        <v>104</v>
      </c>
      <c r="G387" s="17">
        <v>1709</v>
      </c>
      <c r="H387" s="17">
        <v>101.5</v>
      </c>
      <c r="I387" s="17">
        <v>3477</v>
      </c>
      <c r="J387" s="17">
        <v>96.75</v>
      </c>
      <c r="K387" s="17">
        <v>3707</v>
      </c>
      <c r="L387" s="17">
        <v>44</v>
      </c>
      <c r="M387" s="17">
        <v>5222</v>
      </c>
      <c r="N387" s="17"/>
      <c r="O387" s="17"/>
      <c r="P387" s="17">
        <v>73</v>
      </c>
      <c r="Q387" s="17">
        <v>4501</v>
      </c>
      <c r="R387" s="17"/>
      <c r="S387" s="17"/>
      <c r="T387" s="17"/>
      <c r="U387" s="17"/>
      <c r="V387" s="17">
        <v>69</v>
      </c>
      <c r="W387" s="17">
        <v>2394</v>
      </c>
      <c r="X387" s="15">
        <v>302.25</v>
      </c>
      <c r="Y387" s="17">
        <v>260</v>
      </c>
      <c r="Z387" s="17">
        <v>488.25</v>
      </c>
      <c r="AA387" s="17">
        <v>3834</v>
      </c>
      <c r="AB387" s="12">
        <f t="shared" ref="AB387:AB450" si="6">RANK(Z387,$Z$3:$Z$696)</f>
        <v>385</v>
      </c>
    </row>
    <row r="388" ht="14.25" spans="1:28">
      <c r="A388" s="13">
        <v>256</v>
      </c>
      <c r="B388" s="15">
        <v>6</v>
      </c>
      <c r="C388" s="16">
        <v>7</v>
      </c>
      <c r="D388" s="17" t="s">
        <v>523</v>
      </c>
      <c r="E388" s="17" t="s">
        <v>524</v>
      </c>
      <c r="F388" s="17">
        <v>102.5</v>
      </c>
      <c r="G388" s="17">
        <v>2274</v>
      </c>
      <c r="H388" s="17">
        <v>95</v>
      </c>
      <c r="I388" s="17">
        <v>4735</v>
      </c>
      <c r="J388" s="17">
        <v>105.75</v>
      </c>
      <c r="K388" s="17">
        <v>2077</v>
      </c>
      <c r="L388" s="17">
        <v>33</v>
      </c>
      <c r="M388" s="17">
        <v>8387</v>
      </c>
      <c r="N388" s="17"/>
      <c r="O388" s="17"/>
      <c r="P388" s="17"/>
      <c r="Q388" s="17"/>
      <c r="R388" s="17">
        <v>76</v>
      </c>
      <c r="S388" s="17">
        <v>3491</v>
      </c>
      <c r="T388" s="17"/>
      <c r="U388" s="17"/>
      <c r="V388" s="17">
        <v>76</v>
      </c>
      <c r="W388" s="17">
        <v>1407</v>
      </c>
      <c r="X388" s="15">
        <v>303.25</v>
      </c>
      <c r="Y388" s="17">
        <v>249</v>
      </c>
      <c r="Z388" s="17">
        <v>488.25</v>
      </c>
      <c r="AA388" s="17">
        <v>3834</v>
      </c>
      <c r="AB388" s="12">
        <f t="shared" si="6"/>
        <v>385</v>
      </c>
    </row>
    <row r="389" ht="14.25" spans="1:28">
      <c r="A389" s="13">
        <v>652</v>
      </c>
      <c r="B389" s="15">
        <v>13</v>
      </c>
      <c r="C389" s="16">
        <v>46</v>
      </c>
      <c r="D389" s="17" t="s">
        <v>1311</v>
      </c>
      <c r="E389" s="17" t="s">
        <v>1312</v>
      </c>
      <c r="F389" s="17">
        <v>98.25</v>
      </c>
      <c r="G389" s="17">
        <v>4392</v>
      </c>
      <c r="H389" s="17">
        <v>84</v>
      </c>
      <c r="I389" s="17">
        <v>7206</v>
      </c>
      <c r="J389" s="17">
        <v>90</v>
      </c>
      <c r="K389" s="17">
        <v>5256</v>
      </c>
      <c r="L389" s="17">
        <v>56</v>
      </c>
      <c r="M389" s="17">
        <v>2878</v>
      </c>
      <c r="N389" s="17"/>
      <c r="O389" s="17"/>
      <c r="P389" s="17">
        <v>82</v>
      </c>
      <c r="Q389" s="17">
        <v>1870</v>
      </c>
      <c r="R389" s="17">
        <v>78</v>
      </c>
      <c r="S389" s="17">
        <v>2906</v>
      </c>
      <c r="T389" s="17"/>
      <c r="U389" s="17"/>
      <c r="V389" s="17"/>
      <c r="W389" s="17"/>
      <c r="X389" s="15">
        <v>272.25</v>
      </c>
      <c r="Y389" s="17">
        <v>513</v>
      </c>
      <c r="Z389" s="17">
        <v>488.25</v>
      </c>
      <c r="AA389" s="17">
        <v>3834</v>
      </c>
      <c r="AB389" s="12">
        <f t="shared" si="6"/>
        <v>385</v>
      </c>
    </row>
    <row r="390" ht="14.25" spans="1:28">
      <c r="A390" s="13">
        <v>374</v>
      </c>
      <c r="B390" s="15">
        <v>8</v>
      </c>
      <c r="C390" s="16">
        <v>48</v>
      </c>
      <c r="D390" s="17" t="s">
        <v>758</v>
      </c>
      <c r="E390" s="17" t="s">
        <v>759</v>
      </c>
      <c r="F390" s="17">
        <v>100.5</v>
      </c>
      <c r="G390" s="17">
        <v>3131</v>
      </c>
      <c r="H390" s="17">
        <v>85.5</v>
      </c>
      <c r="I390" s="17">
        <v>6851</v>
      </c>
      <c r="J390" s="17">
        <v>115</v>
      </c>
      <c r="K390" s="17">
        <v>911</v>
      </c>
      <c r="L390" s="17">
        <v>43</v>
      </c>
      <c r="M390" s="17">
        <v>5463</v>
      </c>
      <c r="N390" s="17"/>
      <c r="O390" s="17"/>
      <c r="P390" s="17">
        <v>79</v>
      </c>
      <c r="Q390" s="17">
        <v>2632</v>
      </c>
      <c r="R390" s="17">
        <v>65</v>
      </c>
      <c r="S390" s="17">
        <v>7060</v>
      </c>
      <c r="T390" s="17"/>
      <c r="U390" s="17"/>
      <c r="V390" s="17"/>
      <c r="W390" s="17"/>
      <c r="X390" s="15">
        <v>301</v>
      </c>
      <c r="Y390" s="17">
        <v>271</v>
      </c>
      <c r="Z390" s="17">
        <v>488</v>
      </c>
      <c r="AA390" s="17">
        <v>3842</v>
      </c>
      <c r="AB390" s="12">
        <f t="shared" si="6"/>
        <v>388</v>
      </c>
    </row>
    <row r="391" ht="14.25" spans="1:28">
      <c r="A391" s="13">
        <v>99</v>
      </c>
      <c r="B391" s="15">
        <v>2</v>
      </c>
      <c r="C391" s="16">
        <v>36</v>
      </c>
      <c r="D391" s="17" t="s">
        <v>211</v>
      </c>
      <c r="E391" s="17" t="s">
        <v>212</v>
      </c>
      <c r="F391" s="17">
        <v>98</v>
      </c>
      <c r="G391" s="17">
        <v>4423</v>
      </c>
      <c r="H391" s="17">
        <v>114</v>
      </c>
      <c r="I391" s="17">
        <v>1340</v>
      </c>
      <c r="J391" s="17">
        <v>77.5</v>
      </c>
      <c r="K391" s="17">
        <v>8422</v>
      </c>
      <c r="L391" s="17">
        <v>42</v>
      </c>
      <c r="M391" s="17">
        <v>5731</v>
      </c>
      <c r="N391" s="17"/>
      <c r="O391" s="17"/>
      <c r="P391" s="17"/>
      <c r="Q391" s="17"/>
      <c r="R391" s="17">
        <v>85</v>
      </c>
      <c r="S391" s="17">
        <v>1393</v>
      </c>
      <c r="T391" s="17">
        <v>71</v>
      </c>
      <c r="U391" s="17">
        <v>1907</v>
      </c>
      <c r="V391" s="17"/>
      <c r="W391" s="17"/>
      <c r="X391" s="15">
        <v>289.5</v>
      </c>
      <c r="Y391" s="17">
        <v>371</v>
      </c>
      <c r="Z391" s="17">
        <v>487.5</v>
      </c>
      <c r="AA391" s="17">
        <v>3869</v>
      </c>
      <c r="AB391" s="12">
        <f t="shared" si="6"/>
        <v>389</v>
      </c>
    </row>
    <row r="392" ht="14.25" spans="1:28">
      <c r="A392" s="13">
        <v>147</v>
      </c>
      <c r="B392" s="15">
        <v>3</v>
      </c>
      <c r="C392" s="16">
        <v>36</v>
      </c>
      <c r="D392" s="17" t="s">
        <v>307</v>
      </c>
      <c r="E392" s="17" t="s">
        <v>308</v>
      </c>
      <c r="F392" s="17">
        <v>100</v>
      </c>
      <c r="G392" s="17">
        <v>3368</v>
      </c>
      <c r="H392" s="17">
        <v>107</v>
      </c>
      <c r="I392" s="17">
        <v>2461</v>
      </c>
      <c r="J392" s="17">
        <v>75.5</v>
      </c>
      <c r="K392" s="17">
        <v>8958</v>
      </c>
      <c r="L392" s="17">
        <v>42.5</v>
      </c>
      <c r="M392" s="17">
        <v>5605</v>
      </c>
      <c r="N392" s="17"/>
      <c r="O392" s="17"/>
      <c r="P392" s="17">
        <v>75</v>
      </c>
      <c r="Q392" s="17">
        <v>3841</v>
      </c>
      <c r="R392" s="17"/>
      <c r="S392" s="17"/>
      <c r="T392" s="17"/>
      <c r="U392" s="17"/>
      <c r="V392" s="17">
        <v>87</v>
      </c>
      <c r="W392" s="17">
        <v>273</v>
      </c>
      <c r="X392" s="15">
        <v>282.5</v>
      </c>
      <c r="Y392" s="17">
        <v>425</v>
      </c>
      <c r="Z392" s="17">
        <v>487</v>
      </c>
      <c r="AA392" s="17">
        <v>3895</v>
      </c>
      <c r="AB392" s="12">
        <f t="shared" si="6"/>
        <v>390</v>
      </c>
    </row>
    <row r="393" ht="14.25" spans="1:28">
      <c r="A393" s="13">
        <v>180</v>
      </c>
      <c r="B393" s="15">
        <v>4</v>
      </c>
      <c r="C393" s="16">
        <v>21</v>
      </c>
      <c r="D393" s="17" t="s">
        <v>373</v>
      </c>
      <c r="E393" s="17" t="s">
        <v>374</v>
      </c>
      <c r="F393" s="17">
        <v>100.5</v>
      </c>
      <c r="G393" s="17">
        <v>3131</v>
      </c>
      <c r="H393" s="17">
        <v>111.5</v>
      </c>
      <c r="I393" s="17">
        <v>1692</v>
      </c>
      <c r="J393" s="17">
        <v>91</v>
      </c>
      <c r="K393" s="17">
        <v>5010</v>
      </c>
      <c r="L393" s="17">
        <v>47</v>
      </c>
      <c r="M393" s="17">
        <v>4568</v>
      </c>
      <c r="N393" s="17"/>
      <c r="O393" s="17"/>
      <c r="P393" s="17">
        <v>72</v>
      </c>
      <c r="Q393" s="17">
        <v>4881</v>
      </c>
      <c r="R393" s="17"/>
      <c r="S393" s="17"/>
      <c r="T393" s="17"/>
      <c r="U393" s="17"/>
      <c r="V393" s="17">
        <v>65</v>
      </c>
      <c r="W393" s="17">
        <v>2935</v>
      </c>
      <c r="X393" s="15">
        <v>303</v>
      </c>
      <c r="Y393" s="17">
        <v>251</v>
      </c>
      <c r="Z393" s="17">
        <v>487</v>
      </c>
      <c r="AA393" s="17">
        <v>3895</v>
      </c>
      <c r="AB393" s="12">
        <f t="shared" si="6"/>
        <v>390</v>
      </c>
    </row>
    <row r="394" ht="14.25" spans="1:28">
      <c r="A394" s="13">
        <v>241</v>
      </c>
      <c r="B394" s="15">
        <v>5</v>
      </c>
      <c r="C394" s="16">
        <v>38</v>
      </c>
      <c r="D394" s="17" t="s">
        <v>495</v>
      </c>
      <c r="E394" s="17" t="s">
        <v>496</v>
      </c>
      <c r="F394" s="17">
        <v>90.5</v>
      </c>
      <c r="G394" s="17">
        <v>8999</v>
      </c>
      <c r="H394" s="17">
        <v>88</v>
      </c>
      <c r="I394" s="17">
        <v>6299</v>
      </c>
      <c r="J394" s="17">
        <v>93.5</v>
      </c>
      <c r="K394" s="17">
        <v>4431</v>
      </c>
      <c r="L394" s="17">
        <v>49</v>
      </c>
      <c r="M394" s="17">
        <v>4146</v>
      </c>
      <c r="N394" s="17"/>
      <c r="O394" s="17"/>
      <c r="P394" s="17">
        <v>80</v>
      </c>
      <c r="Q394" s="17">
        <v>2333</v>
      </c>
      <c r="R394" s="17"/>
      <c r="S394" s="17"/>
      <c r="T394" s="17"/>
      <c r="U394" s="17"/>
      <c r="V394" s="17">
        <v>86</v>
      </c>
      <c r="W394" s="17">
        <v>439</v>
      </c>
      <c r="X394" s="15">
        <v>272</v>
      </c>
      <c r="Y394" s="17">
        <v>514</v>
      </c>
      <c r="Z394" s="17">
        <v>487</v>
      </c>
      <c r="AA394" s="17">
        <v>3895</v>
      </c>
      <c r="AB394" s="12">
        <f t="shared" si="6"/>
        <v>390</v>
      </c>
    </row>
    <row r="395" ht="14.25" spans="1:28">
      <c r="A395" s="13">
        <v>193</v>
      </c>
      <c r="B395" s="15">
        <v>4</v>
      </c>
      <c r="C395" s="16">
        <v>35</v>
      </c>
      <c r="D395" s="17" t="s">
        <v>399</v>
      </c>
      <c r="E395" s="17" t="s">
        <v>400</v>
      </c>
      <c r="F395" s="17">
        <v>102.75</v>
      </c>
      <c r="G395" s="17">
        <v>2250</v>
      </c>
      <c r="H395" s="17">
        <v>96</v>
      </c>
      <c r="I395" s="17">
        <v>4544</v>
      </c>
      <c r="J395" s="17">
        <v>92</v>
      </c>
      <c r="K395" s="17">
        <v>4787</v>
      </c>
      <c r="L395" s="17">
        <v>44</v>
      </c>
      <c r="M395" s="17">
        <v>5222</v>
      </c>
      <c r="N395" s="17"/>
      <c r="O395" s="17"/>
      <c r="P395" s="17">
        <v>66</v>
      </c>
      <c r="Q395" s="17">
        <v>6766</v>
      </c>
      <c r="R395" s="17"/>
      <c r="S395" s="17"/>
      <c r="T395" s="17"/>
      <c r="U395" s="17"/>
      <c r="V395" s="17">
        <v>86</v>
      </c>
      <c r="W395" s="17">
        <v>439</v>
      </c>
      <c r="X395" s="15">
        <v>290.75</v>
      </c>
      <c r="Y395" s="17">
        <v>361</v>
      </c>
      <c r="Z395" s="17">
        <v>486.75</v>
      </c>
      <c r="AA395" s="17">
        <v>3913</v>
      </c>
      <c r="AB395" s="12">
        <f t="shared" si="6"/>
        <v>393</v>
      </c>
    </row>
    <row r="396" ht="14.25" spans="1:28">
      <c r="A396" s="13">
        <v>379</v>
      </c>
      <c r="B396" s="15">
        <v>8</v>
      </c>
      <c r="C396" s="16">
        <v>53</v>
      </c>
      <c r="D396" s="17" t="s">
        <v>768</v>
      </c>
      <c r="E396" s="17" t="s">
        <v>769</v>
      </c>
      <c r="F396" s="17">
        <v>101.5</v>
      </c>
      <c r="G396" s="17">
        <v>2674</v>
      </c>
      <c r="H396" s="17">
        <v>101.5</v>
      </c>
      <c r="I396" s="17">
        <v>3477</v>
      </c>
      <c r="J396" s="17">
        <v>96</v>
      </c>
      <c r="K396" s="17">
        <v>3851</v>
      </c>
      <c r="L396" s="17">
        <v>39</v>
      </c>
      <c r="M396" s="17">
        <v>6535</v>
      </c>
      <c r="N396" s="17"/>
      <c r="O396" s="17"/>
      <c r="P396" s="17">
        <v>68</v>
      </c>
      <c r="Q396" s="17">
        <v>6016</v>
      </c>
      <c r="R396" s="17">
        <v>80</v>
      </c>
      <c r="S396" s="17">
        <v>2376</v>
      </c>
      <c r="T396" s="17"/>
      <c r="U396" s="17"/>
      <c r="V396" s="17"/>
      <c r="W396" s="17"/>
      <c r="X396" s="15">
        <v>299</v>
      </c>
      <c r="Y396" s="17">
        <v>284</v>
      </c>
      <c r="Z396" s="17">
        <v>486</v>
      </c>
      <c r="AA396" s="17">
        <v>3940</v>
      </c>
      <c r="AB396" s="12">
        <f t="shared" si="6"/>
        <v>394</v>
      </c>
    </row>
    <row r="397" ht="14.25" spans="1:28">
      <c r="A397" s="13">
        <v>143</v>
      </c>
      <c r="B397" s="15">
        <v>3</v>
      </c>
      <c r="C397" s="16">
        <v>32</v>
      </c>
      <c r="D397" s="17" t="s">
        <v>299</v>
      </c>
      <c r="E397" s="17" t="s">
        <v>300</v>
      </c>
      <c r="F397" s="17">
        <v>100.5</v>
      </c>
      <c r="G397" s="17">
        <v>3131</v>
      </c>
      <c r="H397" s="17">
        <v>86.5</v>
      </c>
      <c r="I397" s="17">
        <v>6657</v>
      </c>
      <c r="J397" s="17">
        <v>84</v>
      </c>
      <c r="K397" s="17">
        <v>6761</v>
      </c>
      <c r="L397" s="17">
        <v>65.5</v>
      </c>
      <c r="M397" s="17">
        <v>1373</v>
      </c>
      <c r="N397" s="17"/>
      <c r="O397" s="17"/>
      <c r="P397" s="17">
        <v>73</v>
      </c>
      <c r="Q397" s="17">
        <v>4501</v>
      </c>
      <c r="R397" s="17"/>
      <c r="S397" s="17"/>
      <c r="T397" s="17"/>
      <c r="U397" s="17"/>
      <c r="V397" s="17">
        <v>76</v>
      </c>
      <c r="W397" s="17">
        <v>1407</v>
      </c>
      <c r="X397" s="15">
        <v>271</v>
      </c>
      <c r="Y397" s="17">
        <v>522</v>
      </c>
      <c r="Z397" s="17">
        <v>485.5</v>
      </c>
      <c r="AA397" s="17">
        <v>3956</v>
      </c>
      <c r="AB397" s="12">
        <f t="shared" si="6"/>
        <v>395</v>
      </c>
    </row>
    <row r="398" ht="14.25" spans="1:28">
      <c r="A398" s="13">
        <v>174</v>
      </c>
      <c r="B398" s="15">
        <v>4</v>
      </c>
      <c r="C398" s="16">
        <v>15</v>
      </c>
      <c r="D398" s="17" t="s">
        <v>361</v>
      </c>
      <c r="E398" s="17" t="s">
        <v>362</v>
      </c>
      <c r="F398" s="17">
        <v>98</v>
      </c>
      <c r="G398" s="17">
        <v>4423</v>
      </c>
      <c r="H398" s="17">
        <v>94</v>
      </c>
      <c r="I398" s="17">
        <v>4942</v>
      </c>
      <c r="J398" s="17">
        <v>94.5</v>
      </c>
      <c r="K398" s="17">
        <v>4208</v>
      </c>
      <c r="L398" s="17">
        <v>52</v>
      </c>
      <c r="M398" s="17">
        <v>3556</v>
      </c>
      <c r="N398" s="17"/>
      <c r="O398" s="17"/>
      <c r="P398" s="17">
        <v>65</v>
      </c>
      <c r="Q398" s="17">
        <v>7113</v>
      </c>
      <c r="R398" s="17"/>
      <c r="S398" s="17"/>
      <c r="T398" s="17"/>
      <c r="U398" s="17"/>
      <c r="V398" s="17">
        <v>82</v>
      </c>
      <c r="W398" s="17">
        <v>723</v>
      </c>
      <c r="X398" s="15">
        <v>286.5</v>
      </c>
      <c r="Y398" s="17">
        <v>388</v>
      </c>
      <c r="Z398" s="17">
        <v>485.5</v>
      </c>
      <c r="AA398" s="17">
        <v>3956</v>
      </c>
      <c r="AB398" s="12">
        <f t="shared" si="6"/>
        <v>395</v>
      </c>
    </row>
    <row r="399" ht="14.25" spans="1:28">
      <c r="A399" s="13">
        <v>655</v>
      </c>
      <c r="B399" s="15">
        <v>13</v>
      </c>
      <c r="C399" s="16">
        <v>49</v>
      </c>
      <c r="D399" s="17" t="s">
        <v>1317</v>
      </c>
      <c r="E399" s="17" t="s">
        <v>1318</v>
      </c>
      <c r="F399" s="17">
        <v>91.5</v>
      </c>
      <c r="G399" s="17">
        <v>8306</v>
      </c>
      <c r="H399" s="17">
        <v>114.5</v>
      </c>
      <c r="I399" s="17">
        <v>1277</v>
      </c>
      <c r="J399" s="17">
        <v>88.5</v>
      </c>
      <c r="K399" s="17">
        <v>5628</v>
      </c>
      <c r="L399" s="17">
        <v>33</v>
      </c>
      <c r="M399" s="17">
        <v>8387</v>
      </c>
      <c r="N399" s="17"/>
      <c r="O399" s="17"/>
      <c r="P399" s="17">
        <v>87</v>
      </c>
      <c r="Q399" s="17">
        <v>681</v>
      </c>
      <c r="R399" s="17">
        <v>71</v>
      </c>
      <c r="S399" s="17">
        <v>5151</v>
      </c>
      <c r="T399" s="17"/>
      <c r="U399" s="17"/>
      <c r="V399" s="17"/>
      <c r="W399" s="17"/>
      <c r="X399" s="15">
        <v>294.5</v>
      </c>
      <c r="Y399" s="17">
        <v>321</v>
      </c>
      <c r="Z399" s="17">
        <v>485.5</v>
      </c>
      <c r="AA399" s="17">
        <v>3956</v>
      </c>
      <c r="AB399" s="12">
        <f t="shared" si="6"/>
        <v>395</v>
      </c>
    </row>
    <row r="400" ht="14.25" spans="1:28">
      <c r="A400" s="13">
        <v>245</v>
      </c>
      <c r="B400" s="15">
        <v>5</v>
      </c>
      <c r="C400" s="16">
        <v>42</v>
      </c>
      <c r="D400" s="17" t="s">
        <v>503</v>
      </c>
      <c r="E400" s="17" t="s">
        <v>288</v>
      </c>
      <c r="F400" s="17">
        <v>93.5</v>
      </c>
      <c r="G400" s="17">
        <v>7127</v>
      </c>
      <c r="H400" s="17">
        <v>108.25</v>
      </c>
      <c r="I400" s="17">
        <v>2273</v>
      </c>
      <c r="J400" s="17">
        <v>81.75</v>
      </c>
      <c r="K400" s="17">
        <v>7350</v>
      </c>
      <c r="L400" s="17">
        <v>45.5</v>
      </c>
      <c r="M400" s="17">
        <v>4898</v>
      </c>
      <c r="N400" s="17"/>
      <c r="O400" s="17"/>
      <c r="P400" s="17">
        <v>82</v>
      </c>
      <c r="Q400" s="17">
        <v>1870</v>
      </c>
      <c r="R400" s="17"/>
      <c r="S400" s="17"/>
      <c r="T400" s="17"/>
      <c r="U400" s="17"/>
      <c r="V400" s="17">
        <v>74</v>
      </c>
      <c r="W400" s="17">
        <v>1732</v>
      </c>
      <c r="X400" s="15">
        <v>283.5</v>
      </c>
      <c r="Y400" s="17">
        <v>412</v>
      </c>
      <c r="Z400" s="17">
        <v>485</v>
      </c>
      <c r="AA400" s="17">
        <v>3985</v>
      </c>
      <c r="AB400" s="12">
        <f t="shared" si="6"/>
        <v>398</v>
      </c>
    </row>
    <row r="401" ht="14.25" spans="1:28">
      <c r="A401" s="13">
        <v>340</v>
      </c>
      <c r="B401" s="15">
        <v>8</v>
      </c>
      <c r="C401" s="16">
        <v>12</v>
      </c>
      <c r="D401" s="17" t="s">
        <v>691</v>
      </c>
      <c r="E401" s="17" t="s">
        <v>692</v>
      </c>
      <c r="F401" s="17">
        <v>87.5</v>
      </c>
      <c r="G401" s="17">
        <v>10920</v>
      </c>
      <c r="H401" s="17">
        <v>88.5</v>
      </c>
      <c r="I401" s="17">
        <v>6176</v>
      </c>
      <c r="J401" s="17">
        <v>83</v>
      </c>
      <c r="K401" s="17">
        <v>6990</v>
      </c>
      <c r="L401" s="17">
        <v>67</v>
      </c>
      <c r="M401" s="17">
        <v>1188</v>
      </c>
      <c r="N401" s="17"/>
      <c r="O401" s="17"/>
      <c r="P401" s="17">
        <v>73</v>
      </c>
      <c r="Q401" s="17">
        <v>4501</v>
      </c>
      <c r="R401" s="17">
        <v>86</v>
      </c>
      <c r="S401" s="17">
        <v>1176</v>
      </c>
      <c r="T401" s="17"/>
      <c r="U401" s="17"/>
      <c r="V401" s="17"/>
      <c r="W401" s="17"/>
      <c r="X401" s="15">
        <v>259</v>
      </c>
      <c r="Y401" s="17">
        <v>585</v>
      </c>
      <c r="Z401" s="17">
        <v>485</v>
      </c>
      <c r="AA401" s="17">
        <v>3985</v>
      </c>
      <c r="AB401" s="12">
        <f t="shared" si="6"/>
        <v>398</v>
      </c>
    </row>
    <row r="402" ht="14.25" spans="1:28">
      <c r="A402" s="13">
        <v>130</v>
      </c>
      <c r="B402" s="15">
        <v>3</v>
      </c>
      <c r="C402" s="16">
        <v>19</v>
      </c>
      <c r="D402" s="17" t="s">
        <v>273</v>
      </c>
      <c r="E402" s="17" t="s">
        <v>274</v>
      </c>
      <c r="F402" s="17">
        <v>87.5</v>
      </c>
      <c r="G402" s="17">
        <v>10920</v>
      </c>
      <c r="H402" s="17">
        <v>123.5</v>
      </c>
      <c r="I402" s="17">
        <v>452</v>
      </c>
      <c r="J402" s="17">
        <v>84.25</v>
      </c>
      <c r="K402" s="17">
        <v>6713</v>
      </c>
      <c r="L402" s="17">
        <v>48.5</v>
      </c>
      <c r="M402" s="17">
        <v>4255</v>
      </c>
      <c r="N402" s="17"/>
      <c r="O402" s="17"/>
      <c r="P402" s="17">
        <v>65</v>
      </c>
      <c r="Q402" s="17">
        <v>7113</v>
      </c>
      <c r="R402" s="17"/>
      <c r="S402" s="17"/>
      <c r="T402" s="17"/>
      <c r="U402" s="17"/>
      <c r="V402" s="17">
        <v>76</v>
      </c>
      <c r="W402" s="17">
        <v>1407</v>
      </c>
      <c r="X402" s="15">
        <v>295.25</v>
      </c>
      <c r="Y402" s="17">
        <v>313</v>
      </c>
      <c r="Z402" s="17">
        <v>484.75</v>
      </c>
      <c r="AA402" s="17">
        <v>4013</v>
      </c>
      <c r="AB402" s="12">
        <f t="shared" si="6"/>
        <v>400</v>
      </c>
    </row>
    <row r="403" ht="14.25" spans="1:28">
      <c r="A403" s="13">
        <v>620</v>
      </c>
      <c r="B403" s="15">
        <v>13</v>
      </c>
      <c r="C403" s="16">
        <v>12</v>
      </c>
      <c r="D403" s="17" t="s">
        <v>1248</v>
      </c>
      <c r="E403" s="17" t="s">
        <v>1249</v>
      </c>
      <c r="F403" s="17">
        <v>98.25</v>
      </c>
      <c r="G403" s="17">
        <v>4392</v>
      </c>
      <c r="H403" s="17">
        <v>113.5</v>
      </c>
      <c r="I403" s="17">
        <v>1397</v>
      </c>
      <c r="J403" s="17">
        <v>82.5</v>
      </c>
      <c r="K403" s="17">
        <v>7120</v>
      </c>
      <c r="L403" s="17">
        <v>39.5</v>
      </c>
      <c r="M403" s="17">
        <v>6404</v>
      </c>
      <c r="N403" s="17"/>
      <c r="O403" s="17"/>
      <c r="P403" s="17">
        <v>83</v>
      </c>
      <c r="Q403" s="17">
        <v>1643</v>
      </c>
      <c r="R403" s="17">
        <v>68</v>
      </c>
      <c r="S403" s="17">
        <v>6079</v>
      </c>
      <c r="T403" s="17"/>
      <c r="U403" s="17"/>
      <c r="V403" s="17"/>
      <c r="W403" s="17"/>
      <c r="X403" s="15">
        <v>294.25</v>
      </c>
      <c r="Y403" s="17">
        <v>324</v>
      </c>
      <c r="Z403" s="17">
        <v>484.75</v>
      </c>
      <c r="AA403" s="17">
        <v>4013</v>
      </c>
      <c r="AB403" s="12">
        <f t="shared" si="6"/>
        <v>400</v>
      </c>
    </row>
    <row r="404" ht="14.25" spans="1:28">
      <c r="A404" s="13">
        <v>341</v>
      </c>
      <c r="B404" s="15">
        <v>8</v>
      </c>
      <c r="C404" s="16">
        <v>13</v>
      </c>
      <c r="D404" s="17" t="s">
        <v>693</v>
      </c>
      <c r="E404" s="17" t="s">
        <v>694</v>
      </c>
      <c r="F404" s="17">
        <v>101.5</v>
      </c>
      <c r="G404" s="17">
        <v>2674</v>
      </c>
      <c r="H404" s="17">
        <v>94</v>
      </c>
      <c r="I404" s="17">
        <v>4942</v>
      </c>
      <c r="J404" s="17">
        <v>85.5</v>
      </c>
      <c r="K404" s="17">
        <v>6376</v>
      </c>
      <c r="L404" s="17">
        <v>55</v>
      </c>
      <c r="M404" s="17">
        <v>3031</v>
      </c>
      <c r="N404" s="17"/>
      <c r="O404" s="17"/>
      <c r="P404" s="17">
        <v>76</v>
      </c>
      <c r="Q404" s="17">
        <v>3515</v>
      </c>
      <c r="R404" s="17">
        <v>72</v>
      </c>
      <c r="S404" s="17">
        <v>4793</v>
      </c>
      <c r="T404" s="17"/>
      <c r="U404" s="17"/>
      <c r="V404" s="17"/>
      <c r="W404" s="17"/>
      <c r="X404" s="15">
        <v>281</v>
      </c>
      <c r="Y404" s="17">
        <v>439</v>
      </c>
      <c r="Z404" s="17">
        <v>484</v>
      </c>
      <c r="AA404" s="17">
        <v>4049</v>
      </c>
      <c r="AB404" s="12">
        <f t="shared" si="6"/>
        <v>402</v>
      </c>
    </row>
    <row r="405" ht="14.25" spans="1:28">
      <c r="A405" s="13">
        <v>554</v>
      </c>
      <c r="B405" s="15">
        <v>12</v>
      </c>
      <c r="C405" s="16">
        <v>1</v>
      </c>
      <c r="D405" s="17" t="s">
        <v>1116</v>
      </c>
      <c r="E405" s="17" t="s">
        <v>1117</v>
      </c>
      <c r="F405" s="17">
        <v>98</v>
      </c>
      <c r="G405" s="17">
        <v>4423</v>
      </c>
      <c r="H405" s="17">
        <v>95</v>
      </c>
      <c r="I405" s="17">
        <v>4735</v>
      </c>
      <c r="J405" s="17">
        <v>111.5</v>
      </c>
      <c r="K405" s="17">
        <v>1281</v>
      </c>
      <c r="L405" s="17">
        <v>44.5</v>
      </c>
      <c r="M405" s="17">
        <v>5122</v>
      </c>
      <c r="N405" s="17"/>
      <c r="O405" s="17"/>
      <c r="P405" s="17">
        <v>60</v>
      </c>
      <c r="Q405" s="17">
        <v>8673</v>
      </c>
      <c r="R405" s="17">
        <v>75</v>
      </c>
      <c r="S405" s="17">
        <v>3790</v>
      </c>
      <c r="T405" s="17"/>
      <c r="U405" s="17"/>
      <c r="V405" s="17"/>
      <c r="W405" s="17"/>
      <c r="X405" s="15">
        <v>304.5</v>
      </c>
      <c r="Y405" s="17">
        <v>239</v>
      </c>
      <c r="Z405" s="17">
        <v>484</v>
      </c>
      <c r="AA405" s="17">
        <v>4049</v>
      </c>
      <c r="AB405" s="12">
        <f t="shared" si="6"/>
        <v>402</v>
      </c>
    </row>
    <row r="406" ht="14.25" spans="1:28">
      <c r="A406" s="13">
        <v>598</v>
      </c>
      <c r="B406" s="15">
        <v>12</v>
      </c>
      <c r="C406" s="16">
        <v>48</v>
      </c>
      <c r="D406" s="17" t="s">
        <v>1204</v>
      </c>
      <c r="E406" s="17" t="s">
        <v>1205</v>
      </c>
      <c r="F406" s="17">
        <v>97.5</v>
      </c>
      <c r="G406" s="17">
        <v>4695</v>
      </c>
      <c r="H406" s="17">
        <v>104</v>
      </c>
      <c r="I406" s="17">
        <v>2999</v>
      </c>
      <c r="J406" s="17">
        <v>76</v>
      </c>
      <c r="K406" s="17">
        <v>8837</v>
      </c>
      <c r="L406" s="17">
        <v>58.5</v>
      </c>
      <c r="M406" s="17">
        <v>2451</v>
      </c>
      <c r="N406" s="17"/>
      <c r="O406" s="17"/>
      <c r="P406" s="17">
        <v>75</v>
      </c>
      <c r="Q406" s="17">
        <v>3841</v>
      </c>
      <c r="R406" s="17">
        <v>73</v>
      </c>
      <c r="S406" s="17">
        <v>4436</v>
      </c>
      <c r="T406" s="17"/>
      <c r="U406" s="17"/>
      <c r="V406" s="17"/>
      <c r="W406" s="17"/>
      <c r="X406" s="15">
        <v>277.5</v>
      </c>
      <c r="Y406" s="17">
        <v>480</v>
      </c>
      <c r="Z406" s="17">
        <v>484</v>
      </c>
      <c r="AA406" s="17">
        <v>4049</v>
      </c>
      <c r="AB406" s="12">
        <f t="shared" si="6"/>
        <v>402</v>
      </c>
    </row>
    <row r="407" ht="14.25" spans="1:28">
      <c r="A407" s="13">
        <v>125</v>
      </c>
      <c r="B407" s="15">
        <v>3</v>
      </c>
      <c r="C407" s="16">
        <v>14</v>
      </c>
      <c r="D407" s="17" t="s">
        <v>263</v>
      </c>
      <c r="E407" s="17" t="s">
        <v>264</v>
      </c>
      <c r="F407" s="17">
        <v>100</v>
      </c>
      <c r="G407" s="17">
        <v>3368</v>
      </c>
      <c r="H407" s="17">
        <v>97.5</v>
      </c>
      <c r="I407" s="17">
        <v>4244</v>
      </c>
      <c r="J407" s="17">
        <v>85.75</v>
      </c>
      <c r="K407" s="17">
        <v>6343</v>
      </c>
      <c r="L407" s="17">
        <v>47.5</v>
      </c>
      <c r="M407" s="17">
        <v>4470</v>
      </c>
      <c r="N407" s="17"/>
      <c r="O407" s="17"/>
      <c r="P407" s="17">
        <v>78</v>
      </c>
      <c r="Q407" s="17">
        <v>2908</v>
      </c>
      <c r="R407" s="17"/>
      <c r="S407" s="17"/>
      <c r="T407" s="17"/>
      <c r="U407" s="17"/>
      <c r="V407" s="17">
        <v>75</v>
      </c>
      <c r="W407" s="17">
        <v>1615</v>
      </c>
      <c r="X407" s="15">
        <v>283.25</v>
      </c>
      <c r="Y407" s="17">
        <v>416</v>
      </c>
      <c r="Z407" s="17">
        <v>483.75</v>
      </c>
      <c r="AA407" s="17">
        <v>4070</v>
      </c>
      <c r="AB407" s="12">
        <f t="shared" si="6"/>
        <v>405</v>
      </c>
    </row>
    <row r="408" ht="14.25" spans="1:28">
      <c r="A408" s="13">
        <v>11</v>
      </c>
      <c r="B408" s="15">
        <v>1</v>
      </c>
      <c r="C408" s="16">
        <v>12</v>
      </c>
      <c r="D408" s="17" t="s">
        <v>36</v>
      </c>
      <c r="E408" s="17" t="s">
        <v>37</v>
      </c>
      <c r="F408" s="17">
        <v>87.5</v>
      </c>
      <c r="G408" s="17">
        <v>10920</v>
      </c>
      <c r="H408" s="17">
        <v>98.5</v>
      </c>
      <c r="I408" s="17">
        <v>4047</v>
      </c>
      <c r="J408" s="17">
        <v>85.5</v>
      </c>
      <c r="K408" s="17">
        <v>6376</v>
      </c>
      <c r="L408" s="17">
        <v>55</v>
      </c>
      <c r="M408" s="17">
        <v>3031</v>
      </c>
      <c r="N408" s="17"/>
      <c r="O408" s="17"/>
      <c r="P408" s="17">
        <v>77</v>
      </c>
      <c r="Q408" s="17">
        <v>3207</v>
      </c>
      <c r="R408" s="17"/>
      <c r="S408" s="17"/>
      <c r="T408" s="17">
        <v>80</v>
      </c>
      <c r="U408" s="17">
        <v>813</v>
      </c>
      <c r="V408" s="17"/>
      <c r="W408" s="17"/>
      <c r="X408" s="15">
        <v>271.5</v>
      </c>
      <c r="Y408" s="17">
        <v>518</v>
      </c>
      <c r="Z408" s="17">
        <v>483.5</v>
      </c>
      <c r="AA408" s="17">
        <v>4074</v>
      </c>
      <c r="AB408" s="12">
        <f t="shared" si="6"/>
        <v>406</v>
      </c>
    </row>
    <row r="409" ht="14.25" spans="1:28">
      <c r="A409" s="13">
        <v>88</v>
      </c>
      <c r="B409" s="15">
        <v>2</v>
      </c>
      <c r="C409" s="16">
        <v>25</v>
      </c>
      <c r="D409" s="17" t="s">
        <v>189</v>
      </c>
      <c r="E409" s="17" t="s">
        <v>190</v>
      </c>
      <c r="F409" s="17">
        <v>103.5</v>
      </c>
      <c r="G409" s="17">
        <v>1897</v>
      </c>
      <c r="H409" s="17">
        <v>88</v>
      </c>
      <c r="I409" s="17">
        <v>6299</v>
      </c>
      <c r="J409" s="17">
        <v>75.5</v>
      </c>
      <c r="K409" s="17">
        <v>8958</v>
      </c>
      <c r="L409" s="17">
        <v>61</v>
      </c>
      <c r="M409" s="17">
        <v>2008</v>
      </c>
      <c r="N409" s="17"/>
      <c r="O409" s="17"/>
      <c r="P409" s="17"/>
      <c r="Q409" s="17"/>
      <c r="R409" s="17">
        <v>87</v>
      </c>
      <c r="S409" s="17">
        <v>883</v>
      </c>
      <c r="T409" s="17">
        <v>68</v>
      </c>
      <c r="U409" s="17">
        <v>2192</v>
      </c>
      <c r="V409" s="17"/>
      <c r="W409" s="17"/>
      <c r="X409" s="15">
        <v>267</v>
      </c>
      <c r="Y409" s="17">
        <v>545</v>
      </c>
      <c r="Z409" s="17">
        <v>483</v>
      </c>
      <c r="AA409" s="17">
        <v>4100</v>
      </c>
      <c r="AB409" s="12">
        <f t="shared" si="6"/>
        <v>407</v>
      </c>
    </row>
    <row r="410" ht="14.25" spans="1:28">
      <c r="A410" s="13">
        <v>377</v>
      </c>
      <c r="B410" s="15">
        <v>8</v>
      </c>
      <c r="C410" s="16">
        <v>51</v>
      </c>
      <c r="D410" s="17" t="s">
        <v>764</v>
      </c>
      <c r="E410" s="17" t="s">
        <v>765</v>
      </c>
      <c r="F410" s="17">
        <v>110.5</v>
      </c>
      <c r="G410" s="17">
        <v>372</v>
      </c>
      <c r="H410" s="17">
        <v>102.5</v>
      </c>
      <c r="I410" s="17">
        <v>3278</v>
      </c>
      <c r="J410" s="17">
        <v>96.5</v>
      </c>
      <c r="K410" s="17">
        <v>3746</v>
      </c>
      <c r="L410" s="17">
        <v>39.5</v>
      </c>
      <c r="M410" s="17">
        <v>6404</v>
      </c>
      <c r="N410" s="17"/>
      <c r="O410" s="17"/>
      <c r="P410" s="17">
        <v>74</v>
      </c>
      <c r="Q410" s="17">
        <v>4168</v>
      </c>
      <c r="R410" s="17">
        <v>60</v>
      </c>
      <c r="S410" s="17">
        <v>8759</v>
      </c>
      <c r="T410" s="17"/>
      <c r="U410" s="17"/>
      <c r="V410" s="17"/>
      <c r="W410" s="17"/>
      <c r="X410" s="15">
        <v>309.5</v>
      </c>
      <c r="Y410" s="17">
        <v>197</v>
      </c>
      <c r="Z410" s="17">
        <v>483</v>
      </c>
      <c r="AA410" s="17">
        <v>4100</v>
      </c>
      <c r="AB410" s="12">
        <f t="shared" si="6"/>
        <v>407</v>
      </c>
    </row>
    <row r="411" ht="14.25" spans="1:28">
      <c r="A411" s="13">
        <v>233</v>
      </c>
      <c r="B411" s="15">
        <v>5</v>
      </c>
      <c r="C411" s="16">
        <v>30</v>
      </c>
      <c r="D411" s="17" t="s">
        <v>479</v>
      </c>
      <c r="E411" s="17" t="s">
        <v>480</v>
      </c>
      <c r="F411" s="17">
        <v>100.75</v>
      </c>
      <c r="G411" s="17">
        <v>3103</v>
      </c>
      <c r="H411" s="17">
        <v>77.5</v>
      </c>
      <c r="I411" s="17">
        <v>8540</v>
      </c>
      <c r="J411" s="17">
        <v>88</v>
      </c>
      <c r="K411" s="17">
        <v>5738</v>
      </c>
      <c r="L411" s="17">
        <v>43.5</v>
      </c>
      <c r="M411" s="17">
        <v>5353</v>
      </c>
      <c r="N411" s="17"/>
      <c r="O411" s="17"/>
      <c r="P411" s="17">
        <v>86</v>
      </c>
      <c r="Q411" s="17">
        <v>1052</v>
      </c>
      <c r="R411" s="17"/>
      <c r="S411" s="17"/>
      <c r="T411" s="17"/>
      <c r="U411" s="17"/>
      <c r="V411" s="17">
        <v>87</v>
      </c>
      <c r="W411" s="17">
        <v>273</v>
      </c>
      <c r="X411" s="15">
        <v>266.25</v>
      </c>
      <c r="Y411" s="17">
        <v>548</v>
      </c>
      <c r="Z411" s="17">
        <v>482.75</v>
      </c>
      <c r="AA411" s="17">
        <v>4122</v>
      </c>
      <c r="AB411" s="12">
        <f t="shared" si="6"/>
        <v>409</v>
      </c>
    </row>
    <row r="412" ht="14.25" spans="1:28">
      <c r="A412" s="13">
        <v>329</v>
      </c>
      <c r="B412" s="15">
        <v>8</v>
      </c>
      <c r="C412" s="16">
        <v>1</v>
      </c>
      <c r="D412" s="17" t="s">
        <v>669</v>
      </c>
      <c r="E412" s="17" t="s">
        <v>670</v>
      </c>
      <c r="F412" s="17">
        <v>92</v>
      </c>
      <c r="G412" s="17">
        <v>7994</v>
      </c>
      <c r="H412" s="17">
        <v>112</v>
      </c>
      <c r="I412" s="17">
        <v>1617</v>
      </c>
      <c r="J412" s="17">
        <v>74.25</v>
      </c>
      <c r="K412" s="17">
        <v>9307</v>
      </c>
      <c r="L412" s="17">
        <v>49.5</v>
      </c>
      <c r="M412" s="17">
        <v>4044</v>
      </c>
      <c r="N412" s="17"/>
      <c r="O412" s="17"/>
      <c r="P412" s="17">
        <v>75</v>
      </c>
      <c r="Q412" s="17">
        <v>3841</v>
      </c>
      <c r="R412" s="17">
        <v>80</v>
      </c>
      <c r="S412" s="17">
        <v>2376</v>
      </c>
      <c r="T412" s="17"/>
      <c r="U412" s="17"/>
      <c r="V412" s="17"/>
      <c r="W412" s="17"/>
      <c r="X412" s="15">
        <v>278.25</v>
      </c>
      <c r="Y412" s="17">
        <v>465</v>
      </c>
      <c r="Z412" s="17">
        <v>482.75</v>
      </c>
      <c r="AA412" s="17">
        <v>4122</v>
      </c>
      <c r="AB412" s="12">
        <f t="shared" si="6"/>
        <v>409</v>
      </c>
    </row>
    <row r="413" ht="14.25" spans="1:28">
      <c r="A413" s="13">
        <v>362</v>
      </c>
      <c r="B413" s="15">
        <v>8</v>
      </c>
      <c r="C413" s="16">
        <v>36</v>
      </c>
      <c r="D413" s="17" t="s">
        <v>734</v>
      </c>
      <c r="E413" s="17" t="s">
        <v>735</v>
      </c>
      <c r="F413" s="17">
        <v>93.5</v>
      </c>
      <c r="G413" s="17">
        <v>7127</v>
      </c>
      <c r="H413" s="17">
        <v>98</v>
      </c>
      <c r="I413" s="17">
        <v>4147</v>
      </c>
      <c r="J413" s="17">
        <v>97.25</v>
      </c>
      <c r="K413" s="17">
        <v>3624</v>
      </c>
      <c r="L413" s="17">
        <v>56</v>
      </c>
      <c r="M413" s="17">
        <v>2878</v>
      </c>
      <c r="N413" s="17"/>
      <c r="O413" s="17"/>
      <c r="P413" s="17">
        <v>68</v>
      </c>
      <c r="Q413" s="17">
        <v>6016</v>
      </c>
      <c r="R413" s="17">
        <v>70</v>
      </c>
      <c r="S413" s="17">
        <v>5497</v>
      </c>
      <c r="T413" s="17"/>
      <c r="U413" s="17"/>
      <c r="V413" s="17"/>
      <c r="W413" s="17"/>
      <c r="X413" s="15">
        <v>288.75</v>
      </c>
      <c r="Y413" s="17">
        <v>375</v>
      </c>
      <c r="Z413" s="17">
        <v>482.75</v>
      </c>
      <c r="AA413" s="17">
        <v>4122</v>
      </c>
      <c r="AB413" s="12">
        <f t="shared" si="6"/>
        <v>409</v>
      </c>
    </row>
    <row r="414" ht="14.25" spans="1:28">
      <c r="A414" s="13">
        <v>595</v>
      </c>
      <c r="B414" s="15">
        <v>12</v>
      </c>
      <c r="C414" s="16">
        <v>45</v>
      </c>
      <c r="D414" s="17" t="s">
        <v>1198</v>
      </c>
      <c r="E414" s="17" t="s">
        <v>1199</v>
      </c>
      <c r="F414" s="17">
        <v>98</v>
      </c>
      <c r="G414" s="17">
        <v>4423</v>
      </c>
      <c r="H414" s="17">
        <v>110</v>
      </c>
      <c r="I414" s="17">
        <v>1931</v>
      </c>
      <c r="J414" s="17">
        <v>99.25</v>
      </c>
      <c r="K414" s="17">
        <v>3211</v>
      </c>
      <c r="L414" s="17">
        <v>39.5</v>
      </c>
      <c r="M414" s="17">
        <v>6404</v>
      </c>
      <c r="N414" s="17"/>
      <c r="O414" s="17"/>
      <c r="P414" s="17">
        <v>67</v>
      </c>
      <c r="Q414" s="17">
        <v>6384</v>
      </c>
      <c r="R414" s="17">
        <v>69</v>
      </c>
      <c r="S414" s="17">
        <v>5677</v>
      </c>
      <c r="T414" s="17"/>
      <c r="U414" s="17"/>
      <c r="V414" s="17"/>
      <c r="W414" s="17"/>
      <c r="X414" s="15">
        <v>307.25</v>
      </c>
      <c r="Y414" s="17">
        <v>219</v>
      </c>
      <c r="Z414" s="17">
        <v>482.75</v>
      </c>
      <c r="AA414" s="17">
        <v>4122</v>
      </c>
      <c r="AB414" s="12">
        <f t="shared" si="6"/>
        <v>409</v>
      </c>
    </row>
    <row r="415" ht="14.25" spans="1:28">
      <c r="A415" s="13">
        <v>383</v>
      </c>
      <c r="B415" s="15">
        <v>8</v>
      </c>
      <c r="C415" s="16">
        <v>59</v>
      </c>
      <c r="D415" s="17" t="s">
        <v>776</v>
      </c>
      <c r="E415" s="17" t="s">
        <v>777</v>
      </c>
      <c r="F415" s="17">
        <v>100.5</v>
      </c>
      <c r="G415" s="17">
        <v>3131</v>
      </c>
      <c r="H415" s="17">
        <v>97.5</v>
      </c>
      <c r="I415" s="17">
        <v>4244</v>
      </c>
      <c r="J415" s="17">
        <v>89.75</v>
      </c>
      <c r="K415" s="17">
        <v>5344</v>
      </c>
      <c r="L415" s="17">
        <v>53.5</v>
      </c>
      <c r="M415" s="17">
        <v>3296</v>
      </c>
      <c r="N415" s="17"/>
      <c r="O415" s="17"/>
      <c r="P415" s="17">
        <v>68</v>
      </c>
      <c r="Q415" s="17">
        <v>6016</v>
      </c>
      <c r="R415" s="17">
        <v>73</v>
      </c>
      <c r="S415" s="17">
        <v>4436</v>
      </c>
      <c r="T415" s="17"/>
      <c r="U415" s="17"/>
      <c r="V415" s="17"/>
      <c r="W415" s="17"/>
      <c r="X415" s="15">
        <v>287.75</v>
      </c>
      <c r="Y415" s="17">
        <v>380</v>
      </c>
      <c r="Z415" s="17">
        <v>482.25</v>
      </c>
      <c r="AA415" s="17">
        <v>4150</v>
      </c>
      <c r="AB415" s="12">
        <f t="shared" si="6"/>
        <v>413</v>
      </c>
    </row>
    <row r="416" ht="14.25" spans="1:28">
      <c r="A416" s="13">
        <v>283</v>
      </c>
      <c r="B416" s="15">
        <v>6</v>
      </c>
      <c r="C416" s="16">
        <v>35</v>
      </c>
      <c r="D416" s="17" t="s">
        <v>577</v>
      </c>
      <c r="E416" s="17" t="s">
        <v>578</v>
      </c>
      <c r="F416" s="17">
        <v>94.5</v>
      </c>
      <c r="G416" s="17">
        <v>6496</v>
      </c>
      <c r="H416" s="17">
        <v>94.5</v>
      </c>
      <c r="I416" s="17">
        <v>4840</v>
      </c>
      <c r="J416" s="17">
        <v>93</v>
      </c>
      <c r="K416" s="17">
        <v>4548</v>
      </c>
      <c r="L416" s="17">
        <v>51</v>
      </c>
      <c r="M416" s="17">
        <v>3730</v>
      </c>
      <c r="N416" s="17"/>
      <c r="O416" s="17"/>
      <c r="P416" s="17"/>
      <c r="Q416" s="17"/>
      <c r="R416" s="17">
        <v>83</v>
      </c>
      <c r="S416" s="17">
        <v>1715</v>
      </c>
      <c r="T416" s="17"/>
      <c r="U416" s="17"/>
      <c r="V416" s="17">
        <v>66</v>
      </c>
      <c r="W416" s="17">
        <v>2820</v>
      </c>
      <c r="X416" s="15">
        <v>282</v>
      </c>
      <c r="Y416" s="17">
        <v>432</v>
      </c>
      <c r="Z416" s="17">
        <v>482</v>
      </c>
      <c r="AA416" s="17">
        <v>4168</v>
      </c>
      <c r="AB416" s="12">
        <f t="shared" si="6"/>
        <v>414</v>
      </c>
    </row>
    <row r="417" ht="14.25" spans="1:28">
      <c r="A417" s="13">
        <v>81</v>
      </c>
      <c r="B417" s="15">
        <v>2</v>
      </c>
      <c r="C417" s="16">
        <v>18</v>
      </c>
      <c r="D417" s="17" t="s">
        <v>175</v>
      </c>
      <c r="E417" s="17" t="s">
        <v>176</v>
      </c>
      <c r="F417" s="17">
        <v>93.75</v>
      </c>
      <c r="G417" s="17">
        <v>7095</v>
      </c>
      <c r="H417" s="17">
        <v>89.5</v>
      </c>
      <c r="I417" s="17">
        <v>5946</v>
      </c>
      <c r="J417" s="17">
        <v>98.75</v>
      </c>
      <c r="K417" s="17">
        <v>3309</v>
      </c>
      <c r="L417" s="17">
        <v>53.5</v>
      </c>
      <c r="M417" s="17">
        <v>3296</v>
      </c>
      <c r="N417" s="17"/>
      <c r="O417" s="17"/>
      <c r="P417" s="17"/>
      <c r="Q417" s="17"/>
      <c r="R417" s="17">
        <v>75</v>
      </c>
      <c r="S417" s="17">
        <v>3790</v>
      </c>
      <c r="T417" s="17">
        <v>71</v>
      </c>
      <c r="U417" s="17">
        <v>1907</v>
      </c>
      <c r="V417" s="17"/>
      <c r="W417" s="17"/>
      <c r="X417" s="15">
        <v>282</v>
      </c>
      <c r="Y417" s="17">
        <v>432</v>
      </c>
      <c r="Z417" s="17">
        <v>481.5</v>
      </c>
      <c r="AA417" s="17">
        <v>4198</v>
      </c>
      <c r="AB417" s="12">
        <f t="shared" si="6"/>
        <v>415</v>
      </c>
    </row>
    <row r="418" ht="14.25" spans="1:28">
      <c r="A418" s="13">
        <v>616</v>
      </c>
      <c r="B418" s="15">
        <v>13</v>
      </c>
      <c r="C418" s="16">
        <v>7</v>
      </c>
      <c r="D418" s="17" t="s">
        <v>1240</v>
      </c>
      <c r="E418" s="17" t="s">
        <v>1241</v>
      </c>
      <c r="F418" s="17">
        <v>71.5</v>
      </c>
      <c r="G418" s="17">
        <v>16688</v>
      </c>
      <c r="H418" s="17">
        <v>91.5</v>
      </c>
      <c r="I418" s="17">
        <v>5528</v>
      </c>
      <c r="J418" s="17">
        <v>103.75</v>
      </c>
      <c r="K418" s="17">
        <v>2416</v>
      </c>
      <c r="L418" s="17">
        <v>56.5</v>
      </c>
      <c r="M418" s="17">
        <v>2801</v>
      </c>
      <c r="N418" s="17"/>
      <c r="O418" s="17"/>
      <c r="P418" s="17">
        <v>80</v>
      </c>
      <c r="Q418" s="17">
        <v>2333</v>
      </c>
      <c r="R418" s="17">
        <v>78</v>
      </c>
      <c r="S418" s="17">
        <v>2906</v>
      </c>
      <c r="T418" s="17"/>
      <c r="U418" s="17"/>
      <c r="V418" s="17"/>
      <c r="W418" s="17"/>
      <c r="X418" s="15">
        <v>266.75</v>
      </c>
      <c r="Y418" s="17">
        <v>547</v>
      </c>
      <c r="Z418" s="17">
        <v>481.25</v>
      </c>
      <c r="AA418" s="17">
        <v>4215</v>
      </c>
      <c r="AB418" s="12">
        <f t="shared" si="6"/>
        <v>416</v>
      </c>
    </row>
    <row r="419" ht="14.25" spans="1:28">
      <c r="A419" s="13">
        <v>306</v>
      </c>
      <c r="B419" s="15">
        <v>7</v>
      </c>
      <c r="C419" s="16">
        <v>17</v>
      </c>
      <c r="D419" s="17" t="s">
        <v>623</v>
      </c>
      <c r="E419" s="17" t="s">
        <v>624</v>
      </c>
      <c r="F419" s="17">
        <v>99</v>
      </c>
      <c r="G419" s="17">
        <v>3868</v>
      </c>
      <c r="H419" s="17">
        <v>108</v>
      </c>
      <c r="I419" s="17">
        <v>2274</v>
      </c>
      <c r="J419" s="17">
        <v>90.5</v>
      </c>
      <c r="K419" s="17">
        <v>5135</v>
      </c>
      <c r="L419" s="17">
        <v>45.5</v>
      </c>
      <c r="M419" s="17">
        <v>4898</v>
      </c>
      <c r="N419" s="17"/>
      <c r="O419" s="17"/>
      <c r="P419" s="17"/>
      <c r="Q419" s="17"/>
      <c r="R419" s="17">
        <v>73</v>
      </c>
      <c r="S419" s="17">
        <v>4436</v>
      </c>
      <c r="T419" s="17"/>
      <c r="U419" s="17"/>
      <c r="V419" s="17">
        <v>65</v>
      </c>
      <c r="W419" s="17">
        <v>2935</v>
      </c>
      <c r="X419" s="15">
        <v>297.5</v>
      </c>
      <c r="Y419" s="17">
        <v>299</v>
      </c>
      <c r="Z419" s="17">
        <v>481</v>
      </c>
      <c r="AA419" s="17">
        <v>4224</v>
      </c>
      <c r="AB419" s="12">
        <f t="shared" si="6"/>
        <v>417</v>
      </c>
    </row>
    <row r="420" ht="14.25" spans="1:28">
      <c r="A420" s="13">
        <v>588</v>
      </c>
      <c r="B420" s="15">
        <v>12</v>
      </c>
      <c r="C420" s="16">
        <v>38</v>
      </c>
      <c r="D420" s="17" t="s">
        <v>1184</v>
      </c>
      <c r="E420" s="17" t="s">
        <v>1185</v>
      </c>
      <c r="F420" s="17">
        <v>93</v>
      </c>
      <c r="G420" s="17">
        <v>7407</v>
      </c>
      <c r="H420" s="17">
        <v>89.5</v>
      </c>
      <c r="I420" s="17">
        <v>5946</v>
      </c>
      <c r="J420" s="17">
        <v>95</v>
      </c>
      <c r="K420" s="17">
        <v>4092</v>
      </c>
      <c r="L420" s="17">
        <v>64.5</v>
      </c>
      <c r="M420" s="17">
        <v>1506</v>
      </c>
      <c r="N420" s="17"/>
      <c r="O420" s="17"/>
      <c r="P420" s="17">
        <v>64</v>
      </c>
      <c r="Q420" s="17">
        <v>7304</v>
      </c>
      <c r="R420" s="17">
        <v>75</v>
      </c>
      <c r="S420" s="17">
        <v>3790</v>
      </c>
      <c r="T420" s="17"/>
      <c r="U420" s="17"/>
      <c r="V420" s="17"/>
      <c r="W420" s="17"/>
      <c r="X420" s="15">
        <v>277.5</v>
      </c>
      <c r="Y420" s="17">
        <v>480</v>
      </c>
      <c r="Z420" s="17">
        <v>481</v>
      </c>
      <c r="AA420" s="17">
        <v>4224</v>
      </c>
      <c r="AB420" s="12">
        <f t="shared" si="6"/>
        <v>417</v>
      </c>
    </row>
    <row r="421" ht="14.25" spans="1:28">
      <c r="A421" s="13">
        <v>469</v>
      </c>
      <c r="B421" s="15">
        <v>10</v>
      </c>
      <c r="C421" s="16">
        <v>30</v>
      </c>
      <c r="D421" s="17" t="s">
        <v>948</v>
      </c>
      <c r="E421" s="17" t="s">
        <v>949</v>
      </c>
      <c r="F421" s="17">
        <v>99.5</v>
      </c>
      <c r="G421" s="17">
        <v>3607</v>
      </c>
      <c r="H421" s="17">
        <v>111.5</v>
      </c>
      <c r="I421" s="17">
        <v>1692</v>
      </c>
      <c r="J421" s="17">
        <v>93.5</v>
      </c>
      <c r="K421" s="17">
        <v>4431</v>
      </c>
      <c r="L421" s="17">
        <v>45.5</v>
      </c>
      <c r="M421" s="17">
        <v>4898</v>
      </c>
      <c r="N421" s="17"/>
      <c r="O421" s="17"/>
      <c r="P421" s="17">
        <v>58</v>
      </c>
      <c r="Q421" s="17">
        <v>9299</v>
      </c>
      <c r="R421" s="17">
        <v>72</v>
      </c>
      <c r="S421" s="17">
        <v>4793</v>
      </c>
      <c r="T421" s="17"/>
      <c r="U421" s="17"/>
      <c r="V421" s="17"/>
      <c r="W421" s="17"/>
      <c r="X421" s="15">
        <v>304.5</v>
      </c>
      <c r="Y421" s="17">
        <v>239</v>
      </c>
      <c r="Z421" s="17">
        <v>480</v>
      </c>
      <c r="AA421" s="17">
        <v>4277</v>
      </c>
      <c r="AB421" s="12">
        <f t="shared" si="6"/>
        <v>419</v>
      </c>
    </row>
    <row r="422" ht="14.25" spans="1:28">
      <c r="A422" s="13">
        <v>187</v>
      </c>
      <c r="B422" s="15">
        <v>4</v>
      </c>
      <c r="C422" s="16">
        <v>29</v>
      </c>
      <c r="D422" s="17" t="s">
        <v>387</v>
      </c>
      <c r="E422" s="17" t="s">
        <v>388</v>
      </c>
      <c r="F422" s="17">
        <v>99</v>
      </c>
      <c r="G422" s="17">
        <v>3868</v>
      </c>
      <c r="H422" s="17">
        <v>106</v>
      </c>
      <c r="I422" s="17">
        <v>2619</v>
      </c>
      <c r="J422" s="17">
        <v>69.5</v>
      </c>
      <c r="K422" s="17">
        <v>10427</v>
      </c>
      <c r="L422" s="17">
        <v>51</v>
      </c>
      <c r="M422" s="17">
        <v>3730</v>
      </c>
      <c r="N422" s="17"/>
      <c r="O422" s="17"/>
      <c r="P422" s="17">
        <v>67</v>
      </c>
      <c r="Q422" s="17">
        <v>6384</v>
      </c>
      <c r="R422" s="17"/>
      <c r="S422" s="17"/>
      <c r="T422" s="17"/>
      <c r="U422" s="17"/>
      <c r="V422" s="17">
        <v>87</v>
      </c>
      <c r="W422" s="17">
        <v>273</v>
      </c>
      <c r="X422" s="15">
        <v>274.5</v>
      </c>
      <c r="Y422" s="17">
        <v>502</v>
      </c>
      <c r="Z422" s="17">
        <v>479.5</v>
      </c>
      <c r="AA422" s="17">
        <v>4305</v>
      </c>
      <c r="AB422" s="12">
        <f t="shared" si="6"/>
        <v>420</v>
      </c>
    </row>
    <row r="423" ht="14.25" spans="1:28">
      <c r="A423" s="13">
        <v>215</v>
      </c>
      <c r="B423" s="15">
        <v>5</v>
      </c>
      <c r="C423" s="16">
        <v>12</v>
      </c>
      <c r="D423" s="17" t="s">
        <v>443</v>
      </c>
      <c r="E423" s="17" t="s">
        <v>444</v>
      </c>
      <c r="F423" s="17">
        <v>97.5</v>
      </c>
      <c r="G423" s="17">
        <v>4695</v>
      </c>
      <c r="H423" s="17">
        <v>116</v>
      </c>
      <c r="I423" s="17">
        <v>1095</v>
      </c>
      <c r="J423" s="17">
        <v>74.5</v>
      </c>
      <c r="K423" s="17">
        <v>9227</v>
      </c>
      <c r="L423" s="17">
        <v>47.5</v>
      </c>
      <c r="M423" s="17">
        <v>4470</v>
      </c>
      <c r="N423" s="17"/>
      <c r="O423" s="17"/>
      <c r="P423" s="17">
        <v>73</v>
      </c>
      <c r="Q423" s="17">
        <v>4501</v>
      </c>
      <c r="R423" s="17"/>
      <c r="S423" s="17"/>
      <c r="T423" s="17"/>
      <c r="U423" s="17"/>
      <c r="V423" s="17">
        <v>71</v>
      </c>
      <c r="W423" s="17">
        <v>2172</v>
      </c>
      <c r="X423" s="15">
        <v>288</v>
      </c>
      <c r="Y423" s="17">
        <v>378</v>
      </c>
      <c r="Z423" s="17">
        <v>479.5</v>
      </c>
      <c r="AA423" s="17">
        <v>4305</v>
      </c>
      <c r="AB423" s="12">
        <f t="shared" si="6"/>
        <v>420</v>
      </c>
    </row>
    <row r="424" ht="14.25" spans="1:28">
      <c r="A424" s="13">
        <v>623</v>
      </c>
      <c r="B424" s="15">
        <v>13</v>
      </c>
      <c r="C424" s="16">
        <v>16</v>
      </c>
      <c r="D424" s="17" t="s">
        <v>1254</v>
      </c>
      <c r="E424" s="17" t="s">
        <v>1255</v>
      </c>
      <c r="F424" s="17">
        <v>95</v>
      </c>
      <c r="G424" s="17">
        <v>6168</v>
      </c>
      <c r="H424" s="17">
        <v>93.5</v>
      </c>
      <c r="I424" s="17">
        <v>5060</v>
      </c>
      <c r="J424" s="17">
        <v>100</v>
      </c>
      <c r="K424" s="17">
        <v>3038</v>
      </c>
      <c r="L424" s="17">
        <v>45</v>
      </c>
      <c r="M424" s="17">
        <v>5014</v>
      </c>
      <c r="N424" s="17"/>
      <c r="O424" s="17"/>
      <c r="P424" s="17">
        <v>73</v>
      </c>
      <c r="Q424" s="17">
        <v>4501</v>
      </c>
      <c r="R424" s="17">
        <v>73</v>
      </c>
      <c r="S424" s="17">
        <v>4436</v>
      </c>
      <c r="T424" s="17"/>
      <c r="U424" s="17"/>
      <c r="V424" s="17"/>
      <c r="W424" s="17"/>
      <c r="X424" s="15">
        <v>288.5</v>
      </c>
      <c r="Y424" s="17">
        <v>376</v>
      </c>
      <c r="Z424" s="17">
        <v>479.5</v>
      </c>
      <c r="AA424" s="17">
        <v>4305</v>
      </c>
      <c r="AB424" s="12">
        <f t="shared" si="6"/>
        <v>420</v>
      </c>
    </row>
    <row r="425" ht="14.25" spans="1:28">
      <c r="A425" s="13">
        <v>111</v>
      </c>
      <c r="B425" s="15">
        <v>2</v>
      </c>
      <c r="C425" s="16">
        <v>50</v>
      </c>
      <c r="D425" s="17" t="s">
        <v>235</v>
      </c>
      <c r="E425" s="17" t="s">
        <v>236</v>
      </c>
      <c r="F425" s="17">
        <v>99</v>
      </c>
      <c r="G425" s="17">
        <v>3868</v>
      </c>
      <c r="H425" s="17">
        <v>98</v>
      </c>
      <c r="I425" s="17">
        <v>4147</v>
      </c>
      <c r="J425" s="17">
        <v>86.25</v>
      </c>
      <c r="K425" s="17">
        <v>6223</v>
      </c>
      <c r="L425" s="17">
        <v>43</v>
      </c>
      <c r="M425" s="17">
        <v>5463</v>
      </c>
      <c r="N425" s="17"/>
      <c r="O425" s="17"/>
      <c r="P425" s="17"/>
      <c r="Q425" s="17"/>
      <c r="R425" s="17">
        <v>66</v>
      </c>
      <c r="S425" s="17">
        <v>6674</v>
      </c>
      <c r="T425" s="17">
        <v>87</v>
      </c>
      <c r="U425" s="17">
        <v>259</v>
      </c>
      <c r="V425" s="17"/>
      <c r="W425" s="17"/>
      <c r="X425" s="15">
        <v>283.25</v>
      </c>
      <c r="Y425" s="17">
        <v>416</v>
      </c>
      <c r="Z425" s="17">
        <v>479.25</v>
      </c>
      <c r="AA425" s="17">
        <v>4322</v>
      </c>
      <c r="AB425" s="12">
        <f t="shared" si="6"/>
        <v>423</v>
      </c>
    </row>
    <row r="426" ht="14.25" spans="1:28">
      <c r="A426" s="13">
        <v>74</v>
      </c>
      <c r="B426" s="15">
        <v>2</v>
      </c>
      <c r="C426" s="16">
        <v>11</v>
      </c>
      <c r="D426" s="17" t="s">
        <v>162</v>
      </c>
      <c r="E426" s="17" t="s">
        <v>121</v>
      </c>
      <c r="F426" s="17">
        <v>92.5</v>
      </c>
      <c r="G426" s="17">
        <v>7705</v>
      </c>
      <c r="H426" s="17">
        <v>96</v>
      </c>
      <c r="I426" s="17">
        <v>4544</v>
      </c>
      <c r="J426" s="17">
        <v>92</v>
      </c>
      <c r="K426" s="17">
        <v>4787</v>
      </c>
      <c r="L426" s="17">
        <v>47.5</v>
      </c>
      <c r="M426" s="17">
        <v>4470</v>
      </c>
      <c r="N426" s="17"/>
      <c r="O426" s="17"/>
      <c r="P426" s="17"/>
      <c r="Q426" s="17"/>
      <c r="R426" s="17">
        <v>76</v>
      </c>
      <c r="S426" s="17">
        <v>3491</v>
      </c>
      <c r="T426" s="17">
        <v>75</v>
      </c>
      <c r="U426" s="17">
        <v>1363</v>
      </c>
      <c r="V426" s="17"/>
      <c r="W426" s="17"/>
      <c r="X426" s="15">
        <v>280.5</v>
      </c>
      <c r="Y426" s="17">
        <v>443</v>
      </c>
      <c r="Z426" s="17">
        <v>479</v>
      </c>
      <c r="AA426" s="17">
        <v>4330</v>
      </c>
      <c r="AB426" s="12">
        <f t="shared" si="6"/>
        <v>424</v>
      </c>
    </row>
    <row r="427" ht="14.25" spans="1:28">
      <c r="A427" s="13">
        <v>97</v>
      </c>
      <c r="B427" s="15">
        <v>2</v>
      </c>
      <c r="C427" s="16">
        <v>34</v>
      </c>
      <c r="D427" s="17" t="s">
        <v>207</v>
      </c>
      <c r="E427" s="17" t="s">
        <v>208</v>
      </c>
      <c r="F427" s="17">
        <v>104</v>
      </c>
      <c r="G427" s="17">
        <v>1709</v>
      </c>
      <c r="H427" s="17">
        <v>88.5</v>
      </c>
      <c r="I427" s="17">
        <v>6176</v>
      </c>
      <c r="J427" s="17">
        <v>100.25</v>
      </c>
      <c r="K427" s="17">
        <v>3011</v>
      </c>
      <c r="L427" s="17">
        <v>47</v>
      </c>
      <c r="M427" s="17">
        <v>4568</v>
      </c>
      <c r="N427" s="17"/>
      <c r="O427" s="17"/>
      <c r="P427" s="17"/>
      <c r="Q427" s="17"/>
      <c r="R427" s="17">
        <v>70</v>
      </c>
      <c r="S427" s="17">
        <v>5497</v>
      </c>
      <c r="T427" s="17">
        <v>69</v>
      </c>
      <c r="U427" s="17">
        <v>2042</v>
      </c>
      <c r="V427" s="17"/>
      <c r="W427" s="17"/>
      <c r="X427" s="15">
        <v>292.75</v>
      </c>
      <c r="Y427" s="17">
        <v>343</v>
      </c>
      <c r="Z427" s="17">
        <v>478.75</v>
      </c>
      <c r="AA427" s="17">
        <v>4351</v>
      </c>
      <c r="AB427" s="12">
        <f t="shared" si="6"/>
        <v>425</v>
      </c>
    </row>
    <row r="428" ht="14.25" spans="1:28">
      <c r="A428" s="13">
        <v>112</v>
      </c>
      <c r="B428" s="15">
        <v>3</v>
      </c>
      <c r="C428" s="16">
        <v>1</v>
      </c>
      <c r="D428" s="17" t="s">
        <v>237</v>
      </c>
      <c r="E428" s="17" t="s">
        <v>238</v>
      </c>
      <c r="F428" s="17">
        <v>93</v>
      </c>
      <c r="G428" s="17">
        <v>7407</v>
      </c>
      <c r="H428" s="17">
        <v>103</v>
      </c>
      <c r="I428" s="17">
        <v>3209</v>
      </c>
      <c r="J428" s="17">
        <v>118.25</v>
      </c>
      <c r="K428" s="17">
        <v>630</v>
      </c>
      <c r="L428" s="17">
        <v>50</v>
      </c>
      <c r="M428" s="17">
        <v>3933</v>
      </c>
      <c r="N428" s="17"/>
      <c r="O428" s="17"/>
      <c r="P428" s="17">
        <v>51</v>
      </c>
      <c r="Q428" s="17">
        <v>10643</v>
      </c>
      <c r="R428" s="17"/>
      <c r="S428" s="17"/>
      <c r="T428" s="17"/>
      <c r="U428" s="17"/>
      <c r="V428" s="17">
        <v>63</v>
      </c>
      <c r="W428" s="17">
        <v>3260</v>
      </c>
      <c r="X428" s="15">
        <v>314.25</v>
      </c>
      <c r="Y428" s="17">
        <v>154</v>
      </c>
      <c r="Z428" s="17">
        <v>478.25</v>
      </c>
      <c r="AA428" s="17">
        <v>4381</v>
      </c>
      <c r="AB428" s="12">
        <f t="shared" si="6"/>
        <v>426</v>
      </c>
    </row>
    <row r="429" ht="14.25" spans="1:28">
      <c r="A429" s="13">
        <v>73</v>
      </c>
      <c r="B429" s="15">
        <v>2</v>
      </c>
      <c r="C429" s="16">
        <v>10</v>
      </c>
      <c r="D429" s="17" t="s">
        <v>160</v>
      </c>
      <c r="E429" s="17" t="s">
        <v>161</v>
      </c>
      <c r="F429" s="17">
        <v>99</v>
      </c>
      <c r="G429" s="17">
        <v>3868</v>
      </c>
      <c r="H429" s="17">
        <v>95</v>
      </c>
      <c r="I429" s="17">
        <v>4735</v>
      </c>
      <c r="J429" s="17">
        <v>92.5</v>
      </c>
      <c r="K429" s="17">
        <v>4660</v>
      </c>
      <c r="L429" s="17">
        <v>41.5</v>
      </c>
      <c r="M429" s="17">
        <v>5867</v>
      </c>
      <c r="N429" s="17"/>
      <c r="O429" s="17"/>
      <c r="P429" s="17"/>
      <c r="Q429" s="17"/>
      <c r="R429" s="17">
        <v>68</v>
      </c>
      <c r="S429" s="17">
        <v>6079</v>
      </c>
      <c r="T429" s="17">
        <v>82</v>
      </c>
      <c r="U429" s="17">
        <v>654</v>
      </c>
      <c r="V429" s="17"/>
      <c r="W429" s="17"/>
      <c r="X429" s="15">
        <v>286.5</v>
      </c>
      <c r="Y429" s="17">
        <v>388</v>
      </c>
      <c r="Z429" s="17">
        <v>478</v>
      </c>
      <c r="AA429" s="17">
        <v>4386</v>
      </c>
      <c r="AB429" s="12">
        <f t="shared" si="6"/>
        <v>427</v>
      </c>
    </row>
    <row r="430" ht="14.25" spans="1:28">
      <c r="A430" s="13">
        <v>47</v>
      </c>
      <c r="B430" s="15">
        <v>1</v>
      </c>
      <c r="C430" s="16">
        <v>49</v>
      </c>
      <c r="D430" s="17" t="s">
        <v>108</v>
      </c>
      <c r="E430" s="17" t="s">
        <v>109</v>
      </c>
      <c r="F430" s="17">
        <v>99.5</v>
      </c>
      <c r="G430" s="17">
        <v>3607</v>
      </c>
      <c r="H430" s="17">
        <v>108.5</v>
      </c>
      <c r="I430" s="17">
        <v>2198</v>
      </c>
      <c r="J430" s="17">
        <v>77.5</v>
      </c>
      <c r="K430" s="17">
        <v>8422</v>
      </c>
      <c r="L430" s="17">
        <v>44</v>
      </c>
      <c r="M430" s="17">
        <v>5222</v>
      </c>
      <c r="N430" s="17"/>
      <c r="O430" s="17"/>
      <c r="P430" s="17">
        <v>75</v>
      </c>
      <c r="Q430" s="17">
        <v>3841</v>
      </c>
      <c r="R430" s="17"/>
      <c r="S430" s="17"/>
      <c r="T430" s="17">
        <v>73</v>
      </c>
      <c r="U430" s="17">
        <v>1585</v>
      </c>
      <c r="V430" s="17"/>
      <c r="W430" s="17"/>
      <c r="X430" s="15">
        <v>285.5</v>
      </c>
      <c r="Y430" s="17">
        <v>397</v>
      </c>
      <c r="Z430" s="17">
        <v>477.5</v>
      </c>
      <c r="AA430" s="17">
        <v>4411</v>
      </c>
      <c r="AB430" s="12">
        <f t="shared" si="6"/>
        <v>428</v>
      </c>
    </row>
    <row r="431" ht="14.25" spans="1:28">
      <c r="A431" s="13">
        <v>50</v>
      </c>
      <c r="B431" s="15">
        <v>1</v>
      </c>
      <c r="C431" s="16">
        <v>52</v>
      </c>
      <c r="D431" s="17" t="s">
        <v>114</v>
      </c>
      <c r="E431" s="17" t="s">
        <v>115</v>
      </c>
      <c r="F431" s="17">
        <v>95</v>
      </c>
      <c r="G431" s="17">
        <v>6168</v>
      </c>
      <c r="H431" s="17">
        <v>77</v>
      </c>
      <c r="I431" s="17">
        <v>8656</v>
      </c>
      <c r="J431" s="17">
        <v>105.5</v>
      </c>
      <c r="K431" s="17">
        <v>2098</v>
      </c>
      <c r="L431" s="17">
        <v>47</v>
      </c>
      <c r="M431" s="17">
        <v>4568</v>
      </c>
      <c r="N431" s="17"/>
      <c r="O431" s="17"/>
      <c r="P431" s="17">
        <v>80</v>
      </c>
      <c r="Q431" s="17">
        <v>2333</v>
      </c>
      <c r="R431" s="17"/>
      <c r="S431" s="17"/>
      <c r="T431" s="17">
        <v>73</v>
      </c>
      <c r="U431" s="17">
        <v>1585</v>
      </c>
      <c r="V431" s="17"/>
      <c r="W431" s="17"/>
      <c r="X431" s="15">
        <v>277.5</v>
      </c>
      <c r="Y431" s="17">
        <v>480</v>
      </c>
      <c r="Z431" s="17">
        <v>477.5</v>
      </c>
      <c r="AA431" s="17">
        <v>4411</v>
      </c>
      <c r="AB431" s="12">
        <f t="shared" si="6"/>
        <v>428</v>
      </c>
    </row>
    <row r="432" ht="14.25" spans="1:28">
      <c r="A432" s="13">
        <v>253</v>
      </c>
      <c r="B432" s="15">
        <v>6</v>
      </c>
      <c r="C432" s="16">
        <v>4</v>
      </c>
      <c r="D432" s="17" t="s">
        <v>517</v>
      </c>
      <c r="E432" s="17" t="s">
        <v>518</v>
      </c>
      <c r="F432" s="17">
        <v>86.5</v>
      </c>
      <c r="G432" s="17">
        <v>11527</v>
      </c>
      <c r="H432" s="17">
        <v>87.5</v>
      </c>
      <c r="I432" s="17">
        <v>6415</v>
      </c>
      <c r="J432" s="17">
        <v>104.5</v>
      </c>
      <c r="K432" s="17">
        <v>2265</v>
      </c>
      <c r="L432" s="17">
        <v>40.5</v>
      </c>
      <c r="M432" s="17">
        <v>6131</v>
      </c>
      <c r="N432" s="17"/>
      <c r="O432" s="17"/>
      <c r="P432" s="17"/>
      <c r="Q432" s="17"/>
      <c r="R432" s="17">
        <v>82</v>
      </c>
      <c r="S432" s="17">
        <v>1915</v>
      </c>
      <c r="T432" s="17"/>
      <c r="U432" s="17"/>
      <c r="V432" s="17">
        <v>76</v>
      </c>
      <c r="W432" s="17">
        <v>1407</v>
      </c>
      <c r="X432" s="15">
        <v>278.5</v>
      </c>
      <c r="Y432" s="17">
        <v>462</v>
      </c>
      <c r="Z432" s="17">
        <v>477</v>
      </c>
      <c r="AA432" s="17">
        <v>4436</v>
      </c>
      <c r="AB432" s="12">
        <f t="shared" si="6"/>
        <v>430</v>
      </c>
    </row>
    <row r="433" ht="14.25" spans="1:28">
      <c r="A433" s="13">
        <v>80</v>
      </c>
      <c r="B433" s="15">
        <v>2</v>
      </c>
      <c r="C433" s="16">
        <v>17</v>
      </c>
      <c r="D433" s="17" t="s">
        <v>173</v>
      </c>
      <c r="E433" s="17" t="s">
        <v>174</v>
      </c>
      <c r="F433" s="17">
        <v>102.5</v>
      </c>
      <c r="G433" s="17">
        <v>2274</v>
      </c>
      <c r="H433" s="17">
        <v>96</v>
      </c>
      <c r="I433" s="17">
        <v>4544</v>
      </c>
      <c r="J433" s="17">
        <v>92.5</v>
      </c>
      <c r="K433" s="17">
        <v>4660</v>
      </c>
      <c r="L433" s="17">
        <v>31.5</v>
      </c>
      <c r="M433" s="17">
        <v>8922</v>
      </c>
      <c r="N433" s="17"/>
      <c r="O433" s="17"/>
      <c r="P433" s="17"/>
      <c r="Q433" s="17"/>
      <c r="R433" s="17">
        <v>72</v>
      </c>
      <c r="S433" s="17">
        <v>4793</v>
      </c>
      <c r="T433" s="17">
        <v>82</v>
      </c>
      <c r="U433" s="17">
        <v>654</v>
      </c>
      <c r="V433" s="17"/>
      <c r="W433" s="17"/>
      <c r="X433" s="15">
        <v>291</v>
      </c>
      <c r="Y433" s="17">
        <v>359</v>
      </c>
      <c r="Z433" s="17">
        <v>476.5</v>
      </c>
      <c r="AA433" s="17">
        <v>4460</v>
      </c>
      <c r="AB433" s="12">
        <f t="shared" si="6"/>
        <v>431</v>
      </c>
    </row>
    <row r="434" ht="14.25" spans="1:28">
      <c r="A434" s="13">
        <v>358</v>
      </c>
      <c r="B434" s="15">
        <v>8</v>
      </c>
      <c r="C434" s="16">
        <v>32</v>
      </c>
      <c r="D434" s="17" t="s">
        <v>727</v>
      </c>
      <c r="E434" s="17" t="s">
        <v>526</v>
      </c>
      <c r="F434" s="17">
        <v>92.5</v>
      </c>
      <c r="G434" s="17">
        <v>7705</v>
      </c>
      <c r="H434" s="17">
        <v>93.5</v>
      </c>
      <c r="I434" s="17">
        <v>5060</v>
      </c>
      <c r="J434" s="17">
        <v>77.5</v>
      </c>
      <c r="K434" s="17">
        <v>8422</v>
      </c>
      <c r="L434" s="17">
        <v>58.5</v>
      </c>
      <c r="M434" s="17">
        <v>2451</v>
      </c>
      <c r="N434" s="17"/>
      <c r="O434" s="17"/>
      <c r="P434" s="17">
        <v>73</v>
      </c>
      <c r="Q434" s="17">
        <v>4501</v>
      </c>
      <c r="R434" s="17">
        <v>81</v>
      </c>
      <c r="S434" s="17">
        <v>2139</v>
      </c>
      <c r="T434" s="17"/>
      <c r="U434" s="17"/>
      <c r="V434" s="17"/>
      <c r="W434" s="17"/>
      <c r="X434" s="15">
        <v>263.5</v>
      </c>
      <c r="Y434" s="17">
        <v>563</v>
      </c>
      <c r="Z434" s="17">
        <v>476</v>
      </c>
      <c r="AA434" s="17">
        <v>4490</v>
      </c>
      <c r="AB434" s="12">
        <f t="shared" si="6"/>
        <v>432</v>
      </c>
    </row>
    <row r="435" ht="14.25" spans="1:28">
      <c r="A435" s="13">
        <v>305</v>
      </c>
      <c r="B435" s="15">
        <v>7</v>
      </c>
      <c r="C435" s="16">
        <v>16</v>
      </c>
      <c r="D435" s="17" t="s">
        <v>621</v>
      </c>
      <c r="E435" s="17" t="s">
        <v>622</v>
      </c>
      <c r="F435" s="17">
        <v>100.5</v>
      </c>
      <c r="G435" s="17">
        <v>3131</v>
      </c>
      <c r="H435" s="17">
        <v>96.5</v>
      </c>
      <c r="I435" s="17">
        <v>4438</v>
      </c>
      <c r="J435" s="17">
        <v>80.75</v>
      </c>
      <c r="K435" s="17">
        <v>7625</v>
      </c>
      <c r="L435" s="17">
        <v>40</v>
      </c>
      <c r="M435" s="17">
        <v>6265</v>
      </c>
      <c r="N435" s="17"/>
      <c r="O435" s="17"/>
      <c r="P435" s="17"/>
      <c r="Q435" s="17"/>
      <c r="R435" s="17">
        <v>79</v>
      </c>
      <c r="S435" s="17">
        <v>2629</v>
      </c>
      <c r="T435" s="17"/>
      <c r="U435" s="17"/>
      <c r="V435" s="17">
        <v>79</v>
      </c>
      <c r="W435" s="17">
        <v>1023</v>
      </c>
      <c r="X435" s="15">
        <v>277.75</v>
      </c>
      <c r="Y435" s="17">
        <v>477</v>
      </c>
      <c r="Z435" s="17">
        <v>475.75</v>
      </c>
      <c r="AA435" s="17">
        <v>4505</v>
      </c>
      <c r="AB435" s="12">
        <f t="shared" si="6"/>
        <v>433</v>
      </c>
    </row>
    <row r="436" ht="14.25" spans="1:28">
      <c r="A436" s="13">
        <v>203</v>
      </c>
      <c r="B436" s="15">
        <v>4</v>
      </c>
      <c r="C436" s="16">
        <v>46</v>
      </c>
      <c r="D436" s="17" t="s">
        <v>419</v>
      </c>
      <c r="E436" s="17" t="s">
        <v>420</v>
      </c>
      <c r="F436" s="17">
        <v>89.5</v>
      </c>
      <c r="G436" s="17">
        <v>9648</v>
      </c>
      <c r="H436" s="17">
        <v>111</v>
      </c>
      <c r="I436" s="17">
        <v>1774</v>
      </c>
      <c r="J436" s="17">
        <v>77.5</v>
      </c>
      <c r="K436" s="17">
        <v>8422</v>
      </c>
      <c r="L436" s="17">
        <v>44.5</v>
      </c>
      <c r="M436" s="17">
        <v>5122</v>
      </c>
      <c r="N436" s="17"/>
      <c r="O436" s="17"/>
      <c r="P436" s="17">
        <v>74</v>
      </c>
      <c r="Q436" s="17">
        <v>4168</v>
      </c>
      <c r="R436" s="17"/>
      <c r="S436" s="17"/>
      <c r="T436" s="17"/>
      <c r="U436" s="17"/>
      <c r="V436" s="17">
        <v>79</v>
      </c>
      <c r="W436" s="17">
        <v>1023</v>
      </c>
      <c r="X436" s="15">
        <v>278</v>
      </c>
      <c r="Y436" s="17">
        <v>469</v>
      </c>
      <c r="Z436" s="17">
        <v>475.5</v>
      </c>
      <c r="AA436" s="17">
        <v>4513</v>
      </c>
      <c r="AB436" s="12">
        <f t="shared" si="6"/>
        <v>434</v>
      </c>
    </row>
    <row r="437" ht="14.25" spans="1:28">
      <c r="A437" s="13">
        <v>273</v>
      </c>
      <c r="B437" s="15">
        <v>6</v>
      </c>
      <c r="C437" s="16">
        <v>25</v>
      </c>
      <c r="D437" s="17" t="s">
        <v>557</v>
      </c>
      <c r="E437" s="17" t="s">
        <v>558</v>
      </c>
      <c r="F437" s="17">
        <v>95</v>
      </c>
      <c r="G437" s="17">
        <v>6168</v>
      </c>
      <c r="H437" s="17">
        <v>78</v>
      </c>
      <c r="I437" s="17">
        <v>8424</v>
      </c>
      <c r="J437" s="17">
        <v>110</v>
      </c>
      <c r="K437" s="17">
        <v>1448</v>
      </c>
      <c r="L437" s="17">
        <v>42.5</v>
      </c>
      <c r="M437" s="17">
        <v>5605</v>
      </c>
      <c r="N437" s="17"/>
      <c r="O437" s="17"/>
      <c r="P437" s="17"/>
      <c r="Q437" s="17"/>
      <c r="R437" s="17">
        <v>74</v>
      </c>
      <c r="S437" s="17">
        <v>4119</v>
      </c>
      <c r="T437" s="17"/>
      <c r="U437" s="17"/>
      <c r="V437" s="17">
        <v>76</v>
      </c>
      <c r="W437" s="17">
        <v>1407</v>
      </c>
      <c r="X437" s="15">
        <v>283</v>
      </c>
      <c r="Y437" s="17">
        <v>420</v>
      </c>
      <c r="Z437" s="17">
        <v>475.5</v>
      </c>
      <c r="AA437" s="17">
        <v>4513</v>
      </c>
      <c r="AB437" s="12">
        <f t="shared" si="6"/>
        <v>434</v>
      </c>
    </row>
    <row r="438" ht="14.25" spans="1:28">
      <c r="A438" s="13">
        <v>641</v>
      </c>
      <c r="B438" s="15">
        <v>13</v>
      </c>
      <c r="C438" s="16">
        <v>34</v>
      </c>
      <c r="D438" s="17" t="s">
        <v>1289</v>
      </c>
      <c r="E438" s="17" t="s">
        <v>1290</v>
      </c>
      <c r="F438" s="17">
        <v>90.5</v>
      </c>
      <c r="G438" s="17">
        <v>8999</v>
      </c>
      <c r="H438" s="17">
        <v>110</v>
      </c>
      <c r="I438" s="17">
        <v>1931</v>
      </c>
      <c r="J438" s="17">
        <v>80</v>
      </c>
      <c r="K438" s="17">
        <v>7802</v>
      </c>
      <c r="L438" s="17">
        <v>42</v>
      </c>
      <c r="M438" s="17">
        <v>5731</v>
      </c>
      <c r="N438" s="17"/>
      <c r="O438" s="17"/>
      <c r="P438" s="17">
        <v>67</v>
      </c>
      <c r="Q438" s="17">
        <v>6384</v>
      </c>
      <c r="R438" s="17">
        <v>86</v>
      </c>
      <c r="S438" s="17">
        <v>1176</v>
      </c>
      <c r="T438" s="17"/>
      <c r="U438" s="17"/>
      <c r="V438" s="17"/>
      <c r="W438" s="17"/>
      <c r="X438" s="15">
        <v>280.5</v>
      </c>
      <c r="Y438" s="17">
        <v>443</v>
      </c>
      <c r="Z438" s="17">
        <v>475.5</v>
      </c>
      <c r="AA438" s="17">
        <v>4513</v>
      </c>
      <c r="AB438" s="12">
        <f t="shared" si="6"/>
        <v>434</v>
      </c>
    </row>
    <row r="439" ht="14.25" spans="1:28">
      <c r="A439" s="13">
        <v>378</v>
      </c>
      <c r="B439" s="15">
        <v>8</v>
      </c>
      <c r="C439" s="16">
        <v>52</v>
      </c>
      <c r="D439" s="19" t="s">
        <v>766</v>
      </c>
      <c r="E439" s="17" t="s">
        <v>767</v>
      </c>
      <c r="F439" s="17">
        <v>96</v>
      </c>
      <c r="G439" s="17">
        <v>5544</v>
      </c>
      <c r="H439" s="17">
        <v>98</v>
      </c>
      <c r="I439" s="17">
        <v>4147</v>
      </c>
      <c r="J439" s="17">
        <v>82.75</v>
      </c>
      <c r="K439" s="17">
        <v>7077</v>
      </c>
      <c r="L439" s="17">
        <v>57.5</v>
      </c>
      <c r="M439" s="17">
        <v>2619</v>
      </c>
      <c r="N439" s="17"/>
      <c r="O439" s="17"/>
      <c r="P439" s="17">
        <v>69</v>
      </c>
      <c r="Q439" s="17">
        <v>5655</v>
      </c>
      <c r="R439" s="17">
        <v>72</v>
      </c>
      <c r="S439" s="17">
        <v>4793</v>
      </c>
      <c r="T439" s="17"/>
      <c r="U439" s="17"/>
      <c r="V439" s="17"/>
      <c r="W439" s="17"/>
      <c r="X439" s="15">
        <v>276.75</v>
      </c>
      <c r="Y439" s="17">
        <v>487</v>
      </c>
      <c r="Z439" s="17">
        <v>475.25</v>
      </c>
      <c r="AA439" s="17">
        <v>4533</v>
      </c>
      <c r="AB439" s="12">
        <f t="shared" si="6"/>
        <v>437</v>
      </c>
    </row>
    <row r="440" ht="14.25" spans="1:28">
      <c r="A440" s="13">
        <v>603</v>
      </c>
      <c r="B440" s="15">
        <v>12</v>
      </c>
      <c r="C440" s="16">
        <v>53</v>
      </c>
      <c r="D440" s="17" t="s">
        <v>1214</v>
      </c>
      <c r="E440" s="17" t="s">
        <v>1215</v>
      </c>
      <c r="F440" s="17">
        <v>94</v>
      </c>
      <c r="G440" s="17">
        <v>6811</v>
      </c>
      <c r="H440" s="17">
        <v>104.5</v>
      </c>
      <c r="I440" s="17">
        <v>2895</v>
      </c>
      <c r="J440" s="17">
        <v>82.25</v>
      </c>
      <c r="K440" s="17">
        <v>7208</v>
      </c>
      <c r="L440" s="17">
        <v>59.5</v>
      </c>
      <c r="M440" s="17">
        <v>2274</v>
      </c>
      <c r="N440" s="17"/>
      <c r="O440" s="17"/>
      <c r="P440" s="17">
        <v>73</v>
      </c>
      <c r="Q440" s="17">
        <v>4501</v>
      </c>
      <c r="R440" s="17">
        <v>62</v>
      </c>
      <c r="S440" s="17">
        <v>8006</v>
      </c>
      <c r="T440" s="17"/>
      <c r="U440" s="17"/>
      <c r="V440" s="17"/>
      <c r="W440" s="17"/>
      <c r="X440" s="15">
        <v>280.75</v>
      </c>
      <c r="Y440" s="17">
        <v>441</v>
      </c>
      <c r="Z440" s="17">
        <v>475.25</v>
      </c>
      <c r="AA440" s="17">
        <v>4533</v>
      </c>
      <c r="AB440" s="12">
        <f t="shared" si="6"/>
        <v>437</v>
      </c>
    </row>
    <row r="441" ht="14.25" spans="1:28">
      <c r="A441" s="13">
        <v>23</v>
      </c>
      <c r="B441" s="15">
        <v>1</v>
      </c>
      <c r="C441" s="16">
        <v>25</v>
      </c>
      <c r="D441" s="17" t="s">
        <v>60</v>
      </c>
      <c r="E441" s="17" t="s">
        <v>61</v>
      </c>
      <c r="F441" s="17">
        <v>102</v>
      </c>
      <c r="G441" s="17">
        <v>2480</v>
      </c>
      <c r="H441" s="17">
        <v>103</v>
      </c>
      <c r="I441" s="17">
        <v>3209</v>
      </c>
      <c r="J441" s="17">
        <v>95</v>
      </c>
      <c r="K441" s="17">
        <v>4092</v>
      </c>
      <c r="L441" s="17">
        <v>32.5</v>
      </c>
      <c r="M441" s="17">
        <v>8567</v>
      </c>
      <c r="N441" s="17"/>
      <c r="O441" s="17"/>
      <c r="P441" s="17">
        <v>60</v>
      </c>
      <c r="Q441" s="17">
        <v>8673</v>
      </c>
      <c r="R441" s="17"/>
      <c r="S441" s="17"/>
      <c r="T441" s="17">
        <v>82</v>
      </c>
      <c r="U441" s="17">
        <v>654</v>
      </c>
      <c r="V441" s="17"/>
      <c r="W441" s="17"/>
      <c r="X441" s="15">
        <v>300</v>
      </c>
      <c r="Y441" s="17">
        <v>276</v>
      </c>
      <c r="Z441" s="17">
        <v>474.5</v>
      </c>
      <c r="AA441" s="17">
        <v>4571</v>
      </c>
      <c r="AB441" s="12">
        <f t="shared" si="6"/>
        <v>439</v>
      </c>
    </row>
    <row r="442" ht="14.25" spans="1:28">
      <c r="A442" s="13">
        <v>155</v>
      </c>
      <c r="B442" s="15">
        <v>3</v>
      </c>
      <c r="C442" s="16">
        <v>44</v>
      </c>
      <c r="D442" s="17" t="s">
        <v>323</v>
      </c>
      <c r="E442" s="17" t="s">
        <v>324</v>
      </c>
      <c r="F442" s="17">
        <v>97</v>
      </c>
      <c r="G442" s="17">
        <v>4967</v>
      </c>
      <c r="H442" s="17">
        <v>95</v>
      </c>
      <c r="I442" s="17">
        <v>4735</v>
      </c>
      <c r="J442" s="17">
        <v>98.5</v>
      </c>
      <c r="K442" s="17">
        <v>3338</v>
      </c>
      <c r="L442" s="17">
        <v>36</v>
      </c>
      <c r="M442" s="17">
        <v>7408</v>
      </c>
      <c r="N442" s="17"/>
      <c r="O442" s="17"/>
      <c r="P442" s="17">
        <v>59</v>
      </c>
      <c r="Q442" s="17">
        <v>8996</v>
      </c>
      <c r="R442" s="17"/>
      <c r="S442" s="17"/>
      <c r="T442" s="17"/>
      <c r="U442" s="17"/>
      <c r="V442" s="17">
        <v>89</v>
      </c>
      <c r="W442" s="17">
        <v>100</v>
      </c>
      <c r="X442" s="15">
        <v>290.5</v>
      </c>
      <c r="Y442" s="17">
        <v>364</v>
      </c>
      <c r="Z442" s="17">
        <v>474.5</v>
      </c>
      <c r="AA442" s="17">
        <v>4571</v>
      </c>
      <c r="AB442" s="12">
        <f t="shared" si="6"/>
        <v>439</v>
      </c>
    </row>
    <row r="443" ht="14.25" spans="1:28">
      <c r="A443" s="13">
        <v>212</v>
      </c>
      <c r="B443" s="15">
        <v>5</v>
      </c>
      <c r="C443" s="16">
        <v>9</v>
      </c>
      <c r="D443" s="17" t="s">
        <v>437</v>
      </c>
      <c r="E443" s="17" t="s">
        <v>438</v>
      </c>
      <c r="F443" s="17">
        <v>91.5</v>
      </c>
      <c r="G443" s="17">
        <v>8306</v>
      </c>
      <c r="H443" s="17">
        <v>98</v>
      </c>
      <c r="I443" s="17">
        <v>4147</v>
      </c>
      <c r="J443" s="17">
        <v>100.5</v>
      </c>
      <c r="K443" s="17">
        <v>2946</v>
      </c>
      <c r="L443" s="17">
        <v>35.5</v>
      </c>
      <c r="M443" s="17">
        <v>7589</v>
      </c>
      <c r="N443" s="17"/>
      <c r="O443" s="17"/>
      <c r="P443" s="17">
        <v>83</v>
      </c>
      <c r="Q443" s="17">
        <v>1643</v>
      </c>
      <c r="R443" s="17"/>
      <c r="S443" s="17"/>
      <c r="T443" s="17"/>
      <c r="U443" s="17"/>
      <c r="V443" s="17">
        <v>66</v>
      </c>
      <c r="W443" s="17">
        <v>2820</v>
      </c>
      <c r="X443" s="15">
        <v>290</v>
      </c>
      <c r="Y443" s="17">
        <v>369</v>
      </c>
      <c r="Z443" s="17">
        <v>474.5</v>
      </c>
      <c r="AA443" s="17">
        <v>4571</v>
      </c>
      <c r="AB443" s="12">
        <f t="shared" si="6"/>
        <v>439</v>
      </c>
    </row>
    <row r="444" ht="14.25" spans="1:28">
      <c r="A444" s="13">
        <v>561</v>
      </c>
      <c r="B444" s="15">
        <v>12</v>
      </c>
      <c r="C444" s="16">
        <v>8</v>
      </c>
      <c r="D444" s="17" t="s">
        <v>1130</v>
      </c>
      <c r="E444" s="17" t="s">
        <v>1131</v>
      </c>
      <c r="F444" s="17">
        <v>102.5</v>
      </c>
      <c r="G444" s="17">
        <v>2274</v>
      </c>
      <c r="H444" s="17">
        <v>108</v>
      </c>
      <c r="I444" s="17">
        <v>2274</v>
      </c>
      <c r="J444" s="17">
        <v>64.5</v>
      </c>
      <c r="K444" s="17">
        <v>11584</v>
      </c>
      <c r="L444" s="17">
        <v>52.5</v>
      </c>
      <c r="M444" s="17">
        <v>3470</v>
      </c>
      <c r="N444" s="17"/>
      <c r="O444" s="17"/>
      <c r="P444" s="17">
        <v>69</v>
      </c>
      <c r="Q444" s="17">
        <v>5655</v>
      </c>
      <c r="R444" s="17">
        <v>78</v>
      </c>
      <c r="S444" s="17">
        <v>2906</v>
      </c>
      <c r="T444" s="17"/>
      <c r="U444" s="17"/>
      <c r="V444" s="17"/>
      <c r="W444" s="17"/>
      <c r="X444" s="15">
        <v>275</v>
      </c>
      <c r="Y444" s="17">
        <v>497</v>
      </c>
      <c r="Z444" s="17">
        <v>474.5</v>
      </c>
      <c r="AA444" s="17">
        <v>4571</v>
      </c>
      <c r="AB444" s="12">
        <f t="shared" si="6"/>
        <v>439</v>
      </c>
    </row>
    <row r="445" ht="14.25" spans="1:28">
      <c r="A445" s="13">
        <v>12</v>
      </c>
      <c r="B445" s="15">
        <v>1</v>
      </c>
      <c r="C445" s="16">
        <v>13</v>
      </c>
      <c r="D445" s="17" t="s">
        <v>38</v>
      </c>
      <c r="E445" s="17" t="s">
        <v>39</v>
      </c>
      <c r="F445" s="17">
        <v>98</v>
      </c>
      <c r="G445" s="17">
        <v>4423</v>
      </c>
      <c r="H445" s="17">
        <v>85</v>
      </c>
      <c r="I445" s="17">
        <v>6959</v>
      </c>
      <c r="J445" s="17">
        <v>104</v>
      </c>
      <c r="K445" s="17">
        <v>2352</v>
      </c>
      <c r="L445" s="17">
        <v>39</v>
      </c>
      <c r="M445" s="17">
        <v>6535</v>
      </c>
      <c r="N445" s="17"/>
      <c r="O445" s="17"/>
      <c r="P445" s="17">
        <v>81</v>
      </c>
      <c r="Q445" s="17">
        <v>2079</v>
      </c>
      <c r="R445" s="17"/>
      <c r="S445" s="17"/>
      <c r="T445" s="17">
        <v>67</v>
      </c>
      <c r="U445" s="17">
        <v>2274</v>
      </c>
      <c r="V445" s="17"/>
      <c r="W445" s="17"/>
      <c r="X445" s="15">
        <v>287</v>
      </c>
      <c r="Y445" s="17">
        <v>386</v>
      </c>
      <c r="Z445" s="17">
        <v>474</v>
      </c>
      <c r="AA445" s="17">
        <v>4595</v>
      </c>
      <c r="AB445" s="12">
        <f t="shared" si="6"/>
        <v>443</v>
      </c>
    </row>
    <row r="446" ht="14.25" spans="1:28">
      <c r="A446" s="13">
        <v>37</v>
      </c>
      <c r="B446" s="15">
        <v>1</v>
      </c>
      <c r="C446" s="16">
        <v>39</v>
      </c>
      <c r="D446" s="17" t="s">
        <v>88</v>
      </c>
      <c r="E446" s="17" t="s">
        <v>89</v>
      </c>
      <c r="F446" s="17">
        <v>103.5</v>
      </c>
      <c r="G446" s="17">
        <v>1897</v>
      </c>
      <c r="H446" s="17">
        <v>99</v>
      </c>
      <c r="I446" s="17">
        <v>3947</v>
      </c>
      <c r="J446" s="17">
        <v>53</v>
      </c>
      <c r="K446" s="17">
        <v>13628</v>
      </c>
      <c r="L446" s="17">
        <v>60.5</v>
      </c>
      <c r="M446" s="17">
        <v>2106</v>
      </c>
      <c r="N446" s="17"/>
      <c r="O446" s="17"/>
      <c r="P446" s="17">
        <v>77</v>
      </c>
      <c r="Q446" s="17">
        <v>3207</v>
      </c>
      <c r="R446" s="17"/>
      <c r="S446" s="17"/>
      <c r="T446" s="17">
        <v>81</v>
      </c>
      <c r="U446" s="17">
        <v>759</v>
      </c>
      <c r="V446" s="17"/>
      <c r="W446" s="17"/>
      <c r="X446" s="15">
        <v>255.5</v>
      </c>
      <c r="Y446" s="17">
        <v>595</v>
      </c>
      <c r="Z446" s="17">
        <v>474</v>
      </c>
      <c r="AA446" s="17">
        <v>4595</v>
      </c>
      <c r="AB446" s="12">
        <f t="shared" si="6"/>
        <v>443</v>
      </c>
    </row>
    <row r="447" ht="14.25" spans="1:28">
      <c r="A447" s="13">
        <v>550</v>
      </c>
      <c r="B447" s="15">
        <v>11</v>
      </c>
      <c r="C447" s="16">
        <v>56</v>
      </c>
      <c r="D447" s="17" t="s">
        <v>1108</v>
      </c>
      <c r="E447" s="17" t="s">
        <v>1109</v>
      </c>
      <c r="F447" s="17">
        <v>98</v>
      </c>
      <c r="G447" s="17">
        <v>4423</v>
      </c>
      <c r="H447" s="17">
        <v>96</v>
      </c>
      <c r="I447" s="17">
        <v>4544</v>
      </c>
      <c r="J447" s="17">
        <v>71.25</v>
      </c>
      <c r="K447" s="17">
        <v>10042</v>
      </c>
      <c r="L447" s="17">
        <v>41.5</v>
      </c>
      <c r="M447" s="17">
        <v>5867</v>
      </c>
      <c r="N447" s="17"/>
      <c r="O447" s="17"/>
      <c r="P447" s="17">
        <v>86</v>
      </c>
      <c r="Q447" s="17">
        <v>1052</v>
      </c>
      <c r="R447" s="17">
        <v>81</v>
      </c>
      <c r="S447" s="17">
        <v>2139</v>
      </c>
      <c r="T447" s="17"/>
      <c r="U447" s="17"/>
      <c r="V447" s="17"/>
      <c r="W447" s="17"/>
      <c r="X447" s="15">
        <v>265.25</v>
      </c>
      <c r="Y447" s="17">
        <v>553</v>
      </c>
      <c r="Z447" s="17">
        <v>473.75</v>
      </c>
      <c r="AA447" s="17">
        <v>4617</v>
      </c>
      <c r="AB447" s="12">
        <f t="shared" si="6"/>
        <v>445</v>
      </c>
    </row>
    <row r="448" ht="14.25" spans="1:28">
      <c r="A448" s="13">
        <v>596</v>
      </c>
      <c r="B448" s="15">
        <v>12</v>
      </c>
      <c r="C448" s="16">
        <v>46</v>
      </c>
      <c r="D448" s="17" t="s">
        <v>1200</v>
      </c>
      <c r="E448" s="17" t="s">
        <v>1201</v>
      </c>
      <c r="F448" s="17">
        <v>97</v>
      </c>
      <c r="G448" s="17">
        <v>4967</v>
      </c>
      <c r="H448" s="17">
        <v>90</v>
      </c>
      <c r="I448" s="17">
        <v>5850</v>
      </c>
      <c r="J448" s="17">
        <v>105.75</v>
      </c>
      <c r="K448" s="17">
        <v>2077</v>
      </c>
      <c r="L448" s="17">
        <v>34</v>
      </c>
      <c r="M448" s="17">
        <v>8051</v>
      </c>
      <c r="N448" s="17"/>
      <c r="O448" s="17"/>
      <c r="P448" s="17">
        <v>75</v>
      </c>
      <c r="Q448" s="17">
        <v>3841</v>
      </c>
      <c r="R448" s="17">
        <v>72</v>
      </c>
      <c r="S448" s="17">
        <v>4793</v>
      </c>
      <c r="T448" s="17"/>
      <c r="U448" s="17"/>
      <c r="V448" s="17"/>
      <c r="W448" s="17"/>
      <c r="X448" s="15">
        <v>292.75</v>
      </c>
      <c r="Y448" s="17">
        <v>343</v>
      </c>
      <c r="Z448" s="17">
        <v>473.75</v>
      </c>
      <c r="AA448" s="17">
        <v>4617</v>
      </c>
      <c r="AB448" s="12">
        <f t="shared" si="6"/>
        <v>445</v>
      </c>
    </row>
    <row r="449" ht="14.25" spans="1:28">
      <c r="A449" s="13">
        <v>314</v>
      </c>
      <c r="B449" s="15">
        <v>7</v>
      </c>
      <c r="C449" s="16">
        <v>25</v>
      </c>
      <c r="D449" s="17" t="s">
        <v>639</v>
      </c>
      <c r="E449" s="17" t="s">
        <v>640</v>
      </c>
      <c r="F449" s="17">
        <v>88.5</v>
      </c>
      <c r="G449" s="17">
        <v>10291</v>
      </c>
      <c r="H449" s="17">
        <v>103.5</v>
      </c>
      <c r="I449" s="17">
        <v>3096</v>
      </c>
      <c r="J449" s="17">
        <v>78.75</v>
      </c>
      <c r="K449" s="17">
        <v>8143</v>
      </c>
      <c r="L449" s="17">
        <v>51</v>
      </c>
      <c r="M449" s="17">
        <v>3730</v>
      </c>
      <c r="N449" s="17"/>
      <c r="O449" s="17"/>
      <c r="P449" s="17"/>
      <c r="Q449" s="17"/>
      <c r="R449" s="17">
        <v>82</v>
      </c>
      <c r="S449" s="17">
        <v>1915</v>
      </c>
      <c r="T449" s="17"/>
      <c r="U449" s="17"/>
      <c r="V449" s="17">
        <v>69</v>
      </c>
      <c r="W449" s="17">
        <v>2394</v>
      </c>
      <c r="X449" s="15">
        <v>270.75</v>
      </c>
      <c r="Y449" s="17">
        <v>525</v>
      </c>
      <c r="Z449" s="17">
        <v>472.75</v>
      </c>
      <c r="AA449" s="17">
        <v>4676</v>
      </c>
      <c r="AB449" s="12">
        <f t="shared" si="6"/>
        <v>447</v>
      </c>
    </row>
    <row r="450" ht="14.25" spans="1:28">
      <c r="A450" s="13">
        <v>16</v>
      </c>
      <c r="B450" s="15">
        <v>1</v>
      </c>
      <c r="C450" s="16">
        <v>18</v>
      </c>
      <c r="D450" s="17" t="s">
        <v>46</v>
      </c>
      <c r="E450" s="17" t="s">
        <v>47</v>
      </c>
      <c r="F450" s="17">
        <v>97.5</v>
      </c>
      <c r="G450" s="17">
        <v>4695</v>
      </c>
      <c r="H450" s="17">
        <v>87</v>
      </c>
      <c r="I450" s="17">
        <v>6532</v>
      </c>
      <c r="J450" s="17">
        <v>86</v>
      </c>
      <c r="K450" s="17">
        <v>6253</v>
      </c>
      <c r="L450" s="17">
        <v>52</v>
      </c>
      <c r="M450" s="17">
        <v>3556</v>
      </c>
      <c r="N450" s="17"/>
      <c r="O450" s="17"/>
      <c r="P450" s="17">
        <v>73</v>
      </c>
      <c r="Q450" s="17">
        <v>4501</v>
      </c>
      <c r="R450" s="17"/>
      <c r="S450" s="17"/>
      <c r="T450" s="17">
        <v>77</v>
      </c>
      <c r="U450" s="17">
        <v>1152</v>
      </c>
      <c r="V450" s="17"/>
      <c r="W450" s="17"/>
      <c r="X450" s="15">
        <v>270.5</v>
      </c>
      <c r="Y450" s="17">
        <v>526</v>
      </c>
      <c r="Z450" s="17">
        <v>472.5</v>
      </c>
      <c r="AA450" s="17">
        <v>4687</v>
      </c>
      <c r="AB450" s="12">
        <f t="shared" si="6"/>
        <v>448</v>
      </c>
    </row>
    <row r="451" ht="14.25" spans="1:28">
      <c r="A451" s="13">
        <v>63</v>
      </c>
      <c r="B451" s="15">
        <v>1</v>
      </c>
      <c r="C451" s="16">
        <v>65</v>
      </c>
      <c r="D451" s="17" t="s">
        <v>140</v>
      </c>
      <c r="E451" s="17" t="s">
        <v>141</v>
      </c>
      <c r="F451" s="17">
        <v>101</v>
      </c>
      <c r="G451" s="17">
        <v>2896</v>
      </c>
      <c r="H451" s="17">
        <v>91</v>
      </c>
      <c r="I451" s="17">
        <v>5638</v>
      </c>
      <c r="J451" s="17">
        <v>90.75</v>
      </c>
      <c r="K451" s="17">
        <v>5098</v>
      </c>
      <c r="L451" s="17">
        <v>34.5</v>
      </c>
      <c r="M451" s="17">
        <v>7899</v>
      </c>
      <c r="N451" s="17"/>
      <c r="O451" s="17"/>
      <c r="P451" s="17">
        <v>75</v>
      </c>
      <c r="Q451" s="17">
        <v>3841</v>
      </c>
      <c r="R451" s="17"/>
      <c r="S451" s="17"/>
      <c r="T451" s="17">
        <v>80</v>
      </c>
      <c r="U451" s="17">
        <v>813</v>
      </c>
      <c r="V451" s="17"/>
      <c r="W451" s="17"/>
      <c r="X451" s="15">
        <v>282.75</v>
      </c>
      <c r="Y451" s="17">
        <v>424</v>
      </c>
      <c r="Z451" s="17">
        <v>472.25</v>
      </c>
      <c r="AA451" s="17">
        <v>4710</v>
      </c>
      <c r="AB451" s="12">
        <f t="shared" ref="AB451:AB514" si="7">RANK(Z451,$Z$3:$Z$696)</f>
        <v>449</v>
      </c>
    </row>
    <row r="452" ht="14.25" spans="1:28">
      <c r="A452" s="13">
        <v>643</v>
      </c>
      <c r="B452" s="15">
        <v>13</v>
      </c>
      <c r="C452" s="16">
        <v>36</v>
      </c>
      <c r="D452" s="17" t="s">
        <v>1293</v>
      </c>
      <c r="E452" s="17" t="s">
        <v>1294</v>
      </c>
      <c r="F452" s="17">
        <v>99.5</v>
      </c>
      <c r="G452" s="17">
        <v>3607</v>
      </c>
      <c r="H452" s="17">
        <v>89</v>
      </c>
      <c r="I452" s="17">
        <v>6077</v>
      </c>
      <c r="J452" s="17">
        <v>86.75</v>
      </c>
      <c r="K452" s="17">
        <v>6087</v>
      </c>
      <c r="L452" s="17">
        <v>49</v>
      </c>
      <c r="M452" s="17">
        <v>4146</v>
      </c>
      <c r="N452" s="17"/>
      <c r="O452" s="17"/>
      <c r="P452" s="17">
        <v>74</v>
      </c>
      <c r="Q452" s="17">
        <v>4168</v>
      </c>
      <c r="R452" s="17">
        <v>74</v>
      </c>
      <c r="S452" s="17">
        <v>4119</v>
      </c>
      <c r="T452" s="17"/>
      <c r="U452" s="17"/>
      <c r="V452" s="17"/>
      <c r="W452" s="17"/>
      <c r="X452" s="15">
        <v>275.25</v>
      </c>
      <c r="Y452" s="17">
        <v>495</v>
      </c>
      <c r="Z452" s="17">
        <v>472.25</v>
      </c>
      <c r="AA452" s="17">
        <v>4710</v>
      </c>
      <c r="AB452" s="12">
        <f t="shared" si="7"/>
        <v>449</v>
      </c>
    </row>
    <row r="453" ht="14.25" spans="1:28">
      <c r="A453" s="13">
        <v>597</v>
      </c>
      <c r="B453" s="15">
        <v>12</v>
      </c>
      <c r="C453" s="16">
        <v>47</v>
      </c>
      <c r="D453" s="17" t="s">
        <v>1202</v>
      </c>
      <c r="E453" s="17" t="s">
        <v>1203</v>
      </c>
      <c r="F453" s="17">
        <v>100.5</v>
      </c>
      <c r="G453" s="17">
        <v>3131</v>
      </c>
      <c r="H453" s="17">
        <v>91</v>
      </c>
      <c r="I453" s="17">
        <v>5638</v>
      </c>
      <c r="J453" s="17">
        <v>94.5</v>
      </c>
      <c r="K453" s="17">
        <v>4208</v>
      </c>
      <c r="L453" s="17">
        <v>39</v>
      </c>
      <c r="M453" s="17">
        <v>6535</v>
      </c>
      <c r="N453" s="17"/>
      <c r="O453" s="17"/>
      <c r="P453" s="17">
        <v>73</v>
      </c>
      <c r="Q453" s="17">
        <v>4501</v>
      </c>
      <c r="R453" s="17">
        <v>74</v>
      </c>
      <c r="S453" s="17">
        <v>4119</v>
      </c>
      <c r="T453" s="17"/>
      <c r="U453" s="17"/>
      <c r="V453" s="17"/>
      <c r="W453" s="17"/>
      <c r="X453" s="15">
        <v>286</v>
      </c>
      <c r="Y453" s="17">
        <v>392</v>
      </c>
      <c r="Z453" s="17">
        <v>472</v>
      </c>
      <c r="AA453" s="17">
        <v>4725</v>
      </c>
      <c r="AB453" s="12">
        <f t="shared" si="7"/>
        <v>451</v>
      </c>
    </row>
    <row r="454" ht="14.25" spans="1:28">
      <c r="A454" s="13">
        <v>624</v>
      </c>
      <c r="B454" s="15">
        <v>13</v>
      </c>
      <c r="C454" s="16">
        <v>17</v>
      </c>
      <c r="D454" s="17" t="s">
        <v>1256</v>
      </c>
      <c r="E454" s="17" t="s">
        <v>1257</v>
      </c>
      <c r="F454" s="17">
        <v>97.5</v>
      </c>
      <c r="G454" s="17">
        <v>4695</v>
      </c>
      <c r="H454" s="17">
        <v>106</v>
      </c>
      <c r="I454" s="17">
        <v>2619</v>
      </c>
      <c r="J454" s="17">
        <v>82.75</v>
      </c>
      <c r="K454" s="17">
        <v>7077</v>
      </c>
      <c r="L454" s="17">
        <v>40.5</v>
      </c>
      <c r="M454" s="17">
        <v>6131</v>
      </c>
      <c r="N454" s="17"/>
      <c r="O454" s="17"/>
      <c r="P454" s="17">
        <v>62</v>
      </c>
      <c r="Q454" s="17">
        <v>8021</v>
      </c>
      <c r="R454" s="17">
        <v>83</v>
      </c>
      <c r="S454" s="17">
        <v>1715</v>
      </c>
      <c r="T454" s="17"/>
      <c r="U454" s="17"/>
      <c r="V454" s="17"/>
      <c r="W454" s="17"/>
      <c r="X454" s="15">
        <v>286.25</v>
      </c>
      <c r="Y454" s="17">
        <v>390</v>
      </c>
      <c r="Z454" s="17">
        <v>471.75</v>
      </c>
      <c r="AA454" s="17">
        <v>4740</v>
      </c>
      <c r="AB454" s="12">
        <f t="shared" si="7"/>
        <v>452</v>
      </c>
    </row>
    <row r="455" ht="14.25" spans="1:28">
      <c r="A455" s="13">
        <v>350</v>
      </c>
      <c r="B455" s="15">
        <v>8</v>
      </c>
      <c r="C455" s="16">
        <v>22</v>
      </c>
      <c r="D455" s="17" t="s">
        <v>711</v>
      </c>
      <c r="E455" s="17" t="s">
        <v>712</v>
      </c>
      <c r="F455" s="17">
        <v>105</v>
      </c>
      <c r="G455" s="17">
        <v>1427</v>
      </c>
      <c r="H455" s="17">
        <v>88.5</v>
      </c>
      <c r="I455" s="17">
        <v>6176</v>
      </c>
      <c r="J455" s="17">
        <v>101.5</v>
      </c>
      <c r="K455" s="17">
        <v>2779</v>
      </c>
      <c r="L455" s="17">
        <v>33.5</v>
      </c>
      <c r="M455" s="17">
        <v>8240</v>
      </c>
      <c r="N455" s="17"/>
      <c r="O455" s="17"/>
      <c r="P455" s="17">
        <v>64</v>
      </c>
      <c r="Q455" s="17">
        <v>7304</v>
      </c>
      <c r="R455" s="17">
        <v>79</v>
      </c>
      <c r="S455" s="17">
        <v>2629</v>
      </c>
      <c r="T455" s="17"/>
      <c r="U455" s="17"/>
      <c r="V455" s="17"/>
      <c r="W455" s="17"/>
      <c r="X455" s="15">
        <v>295</v>
      </c>
      <c r="Y455" s="17">
        <v>314</v>
      </c>
      <c r="Z455" s="17">
        <v>471.5</v>
      </c>
      <c r="AA455" s="17">
        <v>4755</v>
      </c>
      <c r="AB455" s="12">
        <f t="shared" si="7"/>
        <v>453</v>
      </c>
    </row>
    <row r="456" ht="14.25" spans="1:28">
      <c r="A456" s="13">
        <v>659</v>
      </c>
      <c r="B456" s="15">
        <v>13</v>
      </c>
      <c r="C456" s="16">
        <v>53</v>
      </c>
      <c r="D456" s="17" t="s">
        <v>1325</v>
      </c>
      <c r="E456" s="17" t="s">
        <v>49</v>
      </c>
      <c r="F456" s="17">
        <v>83</v>
      </c>
      <c r="G456" s="17">
        <v>13396</v>
      </c>
      <c r="H456" s="17">
        <v>104</v>
      </c>
      <c r="I456" s="17">
        <v>2999</v>
      </c>
      <c r="J456" s="17">
        <v>70.5</v>
      </c>
      <c r="K456" s="17">
        <v>10192</v>
      </c>
      <c r="L456" s="17">
        <v>60</v>
      </c>
      <c r="M456" s="17">
        <v>2185</v>
      </c>
      <c r="N456" s="17"/>
      <c r="O456" s="17"/>
      <c r="P456" s="17">
        <v>74</v>
      </c>
      <c r="Q456" s="17">
        <v>4168</v>
      </c>
      <c r="R456" s="17">
        <v>80</v>
      </c>
      <c r="S456" s="17">
        <v>2376</v>
      </c>
      <c r="T456" s="17"/>
      <c r="U456" s="17"/>
      <c r="V456" s="17"/>
      <c r="W456" s="17"/>
      <c r="X456" s="15">
        <v>257.5</v>
      </c>
      <c r="Y456" s="17">
        <v>590</v>
      </c>
      <c r="Z456" s="17">
        <v>471.5</v>
      </c>
      <c r="AA456" s="17">
        <v>4755</v>
      </c>
      <c r="AB456" s="12">
        <f t="shared" si="7"/>
        <v>453</v>
      </c>
    </row>
    <row r="457" ht="14.25" spans="1:28">
      <c r="A457" s="13">
        <v>511</v>
      </c>
      <c r="B457" s="15">
        <v>11</v>
      </c>
      <c r="C457" s="16">
        <v>15</v>
      </c>
      <c r="D457" s="17" t="s">
        <v>1032</v>
      </c>
      <c r="E457" s="17" t="s">
        <v>1033</v>
      </c>
      <c r="F457" s="17">
        <v>96</v>
      </c>
      <c r="G457" s="17">
        <v>5544</v>
      </c>
      <c r="H457" s="17">
        <v>87.5</v>
      </c>
      <c r="I457" s="17">
        <v>6415</v>
      </c>
      <c r="J457" s="17">
        <v>96.25</v>
      </c>
      <c r="K457" s="17">
        <v>3820</v>
      </c>
      <c r="L457" s="17">
        <v>40.5</v>
      </c>
      <c r="M457" s="17">
        <v>6131</v>
      </c>
      <c r="N457" s="17"/>
      <c r="O457" s="17"/>
      <c r="P457" s="17">
        <v>74</v>
      </c>
      <c r="Q457" s="17">
        <v>4168</v>
      </c>
      <c r="R457" s="17">
        <v>77</v>
      </c>
      <c r="S457" s="17">
        <v>3183</v>
      </c>
      <c r="T457" s="17"/>
      <c r="U457" s="17"/>
      <c r="V457" s="17"/>
      <c r="W457" s="17"/>
      <c r="X457" s="15">
        <v>279.75</v>
      </c>
      <c r="Y457" s="17">
        <v>450</v>
      </c>
      <c r="Z457" s="17">
        <v>471.25</v>
      </c>
      <c r="AA457" s="17">
        <v>4775</v>
      </c>
      <c r="AB457" s="12">
        <f t="shared" si="7"/>
        <v>455</v>
      </c>
    </row>
    <row r="458" ht="14.25" spans="1:28">
      <c r="A458" s="13">
        <v>48</v>
      </c>
      <c r="B458" s="15">
        <v>1</v>
      </c>
      <c r="C458" s="16">
        <v>50</v>
      </c>
      <c r="D458" s="17" t="s">
        <v>110</v>
      </c>
      <c r="E458" s="17" t="s">
        <v>111</v>
      </c>
      <c r="F458" s="17">
        <v>90</v>
      </c>
      <c r="G458" s="17">
        <v>9312</v>
      </c>
      <c r="H458" s="17">
        <v>85</v>
      </c>
      <c r="I458" s="17">
        <v>6959</v>
      </c>
      <c r="J458" s="17">
        <v>97</v>
      </c>
      <c r="K458" s="17">
        <v>3649</v>
      </c>
      <c r="L458" s="17">
        <v>38.5</v>
      </c>
      <c r="M458" s="17">
        <v>6692</v>
      </c>
      <c r="N458" s="17"/>
      <c r="O458" s="17"/>
      <c r="P458" s="17">
        <v>77</v>
      </c>
      <c r="Q458" s="17">
        <v>3207</v>
      </c>
      <c r="R458" s="17"/>
      <c r="S458" s="17"/>
      <c r="T458" s="17">
        <v>83</v>
      </c>
      <c r="U458" s="17">
        <v>561</v>
      </c>
      <c r="V458" s="17"/>
      <c r="W458" s="17"/>
      <c r="X458" s="15">
        <v>272</v>
      </c>
      <c r="Y458" s="17">
        <v>514</v>
      </c>
      <c r="Z458" s="17">
        <v>470.5</v>
      </c>
      <c r="AA458" s="17">
        <v>4810</v>
      </c>
      <c r="AB458" s="12">
        <f t="shared" si="7"/>
        <v>456</v>
      </c>
    </row>
    <row r="459" ht="14.25" spans="1:28">
      <c r="A459" s="13">
        <v>553</v>
      </c>
      <c r="B459" s="15">
        <v>11</v>
      </c>
      <c r="C459" s="16">
        <v>59</v>
      </c>
      <c r="D459" s="17" t="s">
        <v>1114</v>
      </c>
      <c r="E459" s="17" t="s">
        <v>1115</v>
      </c>
      <c r="F459" s="17">
        <v>91</v>
      </c>
      <c r="G459" s="17">
        <v>8620</v>
      </c>
      <c r="H459" s="17">
        <v>98</v>
      </c>
      <c r="I459" s="17">
        <v>4147</v>
      </c>
      <c r="J459" s="17">
        <v>96</v>
      </c>
      <c r="K459" s="17">
        <v>3851</v>
      </c>
      <c r="L459" s="17">
        <v>37.5</v>
      </c>
      <c r="M459" s="17">
        <v>6979</v>
      </c>
      <c r="N459" s="17"/>
      <c r="O459" s="17"/>
      <c r="P459" s="17">
        <v>60</v>
      </c>
      <c r="Q459" s="17">
        <v>8673</v>
      </c>
      <c r="R459" s="17">
        <v>88</v>
      </c>
      <c r="S459" s="17">
        <v>601</v>
      </c>
      <c r="T459" s="17"/>
      <c r="U459" s="17"/>
      <c r="V459" s="17"/>
      <c r="W459" s="17"/>
      <c r="X459" s="15">
        <v>285</v>
      </c>
      <c r="Y459" s="17">
        <v>401</v>
      </c>
      <c r="Z459" s="17">
        <v>470.5</v>
      </c>
      <c r="AA459" s="17">
        <v>4810</v>
      </c>
      <c r="AB459" s="12">
        <f t="shared" si="7"/>
        <v>456</v>
      </c>
    </row>
    <row r="460" ht="14.25" spans="1:28">
      <c r="A460" s="13">
        <v>629</v>
      </c>
      <c r="B460" s="15">
        <v>13</v>
      </c>
      <c r="C460" s="16">
        <v>22</v>
      </c>
      <c r="D460" s="17" t="s">
        <v>1266</v>
      </c>
      <c r="E460" s="17" t="s">
        <v>1267</v>
      </c>
      <c r="F460" s="17">
        <v>101.5</v>
      </c>
      <c r="G460" s="17">
        <v>2674</v>
      </c>
      <c r="H460" s="17">
        <v>84.5</v>
      </c>
      <c r="I460" s="17">
        <v>7091</v>
      </c>
      <c r="J460" s="17">
        <v>92</v>
      </c>
      <c r="K460" s="17">
        <v>4787</v>
      </c>
      <c r="L460" s="17">
        <v>42.5</v>
      </c>
      <c r="M460" s="17">
        <v>5605</v>
      </c>
      <c r="N460" s="17"/>
      <c r="O460" s="17"/>
      <c r="P460" s="17">
        <v>74</v>
      </c>
      <c r="Q460" s="17">
        <v>4168</v>
      </c>
      <c r="R460" s="17">
        <v>76</v>
      </c>
      <c r="S460" s="17">
        <v>3491</v>
      </c>
      <c r="T460" s="17"/>
      <c r="U460" s="17"/>
      <c r="V460" s="17"/>
      <c r="W460" s="17"/>
      <c r="X460" s="15">
        <v>278</v>
      </c>
      <c r="Y460" s="17">
        <v>469</v>
      </c>
      <c r="Z460" s="17">
        <v>470.5</v>
      </c>
      <c r="AA460" s="17">
        <v>4810</v>
      </c>
      <c r="AB460" s="12">
        <f t="shared" si="7"/>
        <v>456</v>
      </c>
    </row>
    <row r="461" ht="14.25" spans="1:28">
      <c r="A461" s="13">
        <v>523</v>
      </c>
      <c r="B461" s="15">
        <v>11</v>
      </c>
      <c r="C461" s="16">
        <v>28</v>
      </c>
      <c r="D461" s="17" t="s">
        <v>1056</v>
      </c>
      <c r="E461" s="17" t="s">
        <v>1057</v>
      </c>
      <c r="F461" s="17">
        <v>99</v>
      </c>
      <c r="G461" s="17">
        <v>3868</v>
      </c>
      <c r="H461" s="17">
        <v>86.5</v>
      </c>
      <c r="I461" s="17">
        <v>6657</v>
      </c>
      <c r="J461" s="17">
        <v>106.25</v>
      </c>
      <c r="K461" s="17">
        <v>1993</v>
      </c>
      <c r="L461" s="17">
        <v>51.5</v>
      </c>
      <c r="M461" s="17">
        <v>3642</v>
      </c>
      <c r="N461" s="17"/>
      <c r="O461" s="17"/>
      <c r="P461" s="17">
        <v>65</v>
      </c>
      <c r="Q461" s="17">
        <v>7113</v>
      </c>
      <c r="R461" s="17">
        <v>62</v>
      </c>
      <c r="S461" s="17">
        <v>8006</v>
      </c>
      <c r="T461" s="17"/>
      <c r="U461" s="17"/>
      <c r="V461" s="17"/>
      <c r="W461" s="17"/>
      <c r="X461" s="15">
        <v>291.75</v>
      </c>
      <c r="Y461" s="17">
        <v>355</v>
      </c>
      <c r="Z461" s="17">
        <v>470.25</v>
      </c>
      <c r="AA461" s="17">
        <v>4826</v>
      </c>
      <c r="AB461" s="12">
        <f t="shared" si="7"/>
        <v>459</v>
      </c>
    </row>
    <row r="462" ht="14.25" spans="1:28">
      <c r="A462" s="13">
        <v>610</v>
      </c>
      <c r="B462" s="15">
        <v>13</v>
      </c>
      <c r="C462" s="16">
        <v>1</v>
      </c>
      <c r="D462" s="17" t="s">
        <v>1228</v>
      </c>
      <c r="E462" s="17" t="s">
        <v>1229</v>
      </c>
      <c r="F462" s="17">
        <v>104</v>
      </c>
      <c r="G462" s="17">
        <v>1709</v>
      </c>
      <c r="H462" s="17">
        <v>94.5</v>
      </c>
      <c r="I462" s="17">
        <v>4840</v>
      </c>
      <c r="J462" s="17">
        <v>87</v>
      </c>
      <c r="K462" s="17">
        <v>5999</v>
      </c>
      <c r="L462" s="17">
        <v>44.5</v>
      </c>
      <c r="M462" s="17">
        <v>5122</v>
      </c>
      <c r="N462" s="17"/>
      <c r="O462" s="17"/>
      <c r="P462" s="17">
        <v>65</v>
      </c>
      <c r="Q462" s="17">
        <v>7113</v>
      </c>
      <c r="R462" s="17">
        <v>75</v>
      </c>
      <c r="S462" s="17">
        <v>3790</v>
      </c>
      <c r="T462" s="17"/>
      <c r="U462" s="17"/>
      <c r="V462" s="17"/>
      <c r="W462" s="17"/>
      <c r="X462" s="15">
        <v>285.5</v>
      </c>
      <c r="Y462" s="17">
        <v>397</v>
      </c>
      <c r="Z462" s="17">
        <v>470</v>
      </c>
      <c r="AA462" s="17">
        <v>4837</v>
      </c>
      <c r="AB462" s="12">
        <f t="shared" si="7"/>
        <v>460</v>
      </c>
    </row>
    <row r="463" ht="14.25" spans="1:28">
      <c r="A463" s="13">
        <v>136</v>
      </c>
      <c r="B463" s="15">
        <v>3</v>
      </c>
      <c r="C463" s="16">
        <v>25</v>
      </c>
      <c r="D463" s="17" t="s">
        <v>285</v>
      </c>
      <c r="E463" s="17" t="s">
        <v>286</v>
      </c>
      <c r="F463" s="17">
        <v>97.5</v>
      </c>
      <c r="G463" s="17">
        <v>4695</v>
      </c>
      <c r="H463" s="17">
        <v>92.5</v>
      </c>
      <c r="I463" s="17">
        <v>5299</v>
      </c>
      <c r="J463" s="17">
        <v>95</v>
      </c>
      <c r="K463" s="17">
        <v>4092</v>
      </c>
      <c r="L463" s="17">
        <v>35.5</v>
      </c>
      <c r="M463" s="17">
        <v>7589</v>
      </c>
      <c r="N463" s="17"/>
      <c r="O463" s="17"/>
      <c r="P463" s="17">
        <v>64</v>
      </c>
      <c r="Q463" s="17">
        <v>7304</v>
      </c>
      <c r="R463" s="17"/>
      <c r="S463" s="17"/>
      <c r="T463" s="17"/>
      <c r="U463" s="17"/>
      <c r="V463" s="17">
        <v>85</v>
      </c>
      <c r="W463" s="17">
        <v>530</v>
      </c>
      <c r="X463" s="15">
        <v>285</v>
      </c>
      <c r="Y463" s="17">
        <v>401</v>
      </c>
      <c r="Z463" s="17">
        <v>469.5</v>
      </c>
      <c r="AA463" s="17">
        <v>4866</v>
      </c>
      <c r="AB463" s="12">
        <f t="shared" si="7"/>
        <v>461</v>
      </c>
    </row>
    <row r="464" ht="14.25" spans="1:28">
      <c r="A464" s="13">
        <v>382</v>
      </c>
      <c r="B464" s="15">
        <v>8</v>
      </c>
      <c r="C464" s="16">
        <v>58</v>
      </c>
      <c r="D464" s="17" t="s">
        <v>774</v>
      </c>
      <c r="E464" s="17" t="s">
        <v>775</v>
      </c>
      <c r="F464" s="17">
        <v>102.5</v>
      </c>
      <c r="G464" s="17">
        <v>2274</v>
      </c>
      <c r="H464" s="17">
        <v>99.5</v>
      </c>
      <c r="I464" s="17">
        <v>3847</v>
      </c>
      <c r="J464" s="17">
        <v>87</v>
      </c>
      <c r="K464" s="17">
        <v>5999</v>
      </c>
      <c r="L464" s="17">
        <v>56</v>
      </c>
      <c r="M464" s="17">
        <v>2878</v>
      </c>
      <c r="N464" s="17"/>
      <c r="O464" s="17"/>
      <c r="P464" s="17">
        <v>64</v>
      </c>
      <c r="Q464" s="17">
        <v>7304</v>
      </c>
      <c r="R464" s="17">
        <v>60</v>
      </c>
      <c r="S464" s="17">
        <v>8759</v>
      </c>
      <c r="T464" s="17"/>
      <c r="U464" s="17"/>
      <c r="V464" s="17"/>
      <c r="W464" s="17"/>
      <c r="X464" s="15">
        <v>289</v>
      </c>
      <c r="Y464" s="17">
        <v>373</v>
      </c>
      <c r="Z464" s="17">
        <v>469</v>
      </c>
      <c r="AA464" s="17">
        <v>4901</v>
      </c>
      <c r="AB464" s="12">
        <f t="shared" si="7"/>
        <v>462</v>
      </c>
    </row>
    <row r="465" ht="14.25" spans="1:28">
      <c r="A465" s="13">
        <v>500</v>
      </c>
      <c r="B465" s="15">
        <v>11</v>
      </c>
      <c r="C465" s="16">
        <v>4</v>
      </c>
      <c r="D465" s="17" t="s">
        <v>1010</v>
      </c>
      <c r="E465" s="17" t="s">
        <v>1011</v>
      </c>
      <c r="F465" s="17">
        <v>99.5</v>
      </c>
      <c r="G465" s="17">
        <v>3607</v>
      </c>
      <c r="H465" s="17">
        <v>83.5</v>
      </c>
      <c r="I465" s="17">
        <v>7321</v>
      </c>
      <c r="J465" s="17">
        <v>86</v>
      </c>
      <c r="K465" s="17">
        <v>6253</v>
      </c>
      <c r="L465" s="17">
        <v>47</v>
      </c>
      <c r="M465" s="17">
        <v>4568</v>
      </c>
      <c r="N465" s="17"/>
      <c r="O465" s="17"/>
      <c r="P465" s="17">
        <v>86</v>
      </c>
      <c r="Q465" s="17">
        <v>1052</v>
      </c>
      <c r="R465" s="17">
        <v>67</v>
      </c>
      <c r="S465" s="17">
        <v>6298</v>
      </c>
      <c r="T465" s="17"/>
      <c r="U465" s="17"/>
      <c r="V465" s="17"/>
      <c r="W465" s="17"/>
      <c r="X465" s="15">
        <v>269</v>
      </c>
      <c r="Y465" s="17">
        <v>538</v>
      </c>
      <c r="Z465" s="17">
        <v>469</v>
      </c>
      <c r="AA465" s="17">
        <v>4901</v>
      </c>
      <c r="AB465" s="12">
        <f t="shared" si="7"/>
        <v>462</v>
      </c>
    </row>
    <row r="466" ht="14.25" spans="1:28">
      <c r="A466" s="13">
        <v>583</v>
      </c>
      <c r="B466" s="15">
        <v>12</v>
      </c>
      <c r="C466" s="16">
        <v>31</v>
      </c>
      <c r="D466" s="17" t="s">
        <v>1174</v>
      </c>
      <c r="E466" s="17" t="s">
        <v>1175</v>
      </c>
      <c r="F466" s="17">
        <v>103</v>
      </c>
      <c r="G466" s="17">
        <v>2094</v>
      </c>
      <c r="H466" s="17">
        <v>97</v>
      </c>
      <c r="I466" s="17">
        <v>4348</v>
      </c>
      <c r="J466" s="17">
        <v>92</v>
      </c>
      <c r="K466" s="17">
        <v>4787</v>
      </c>
      <c r="L466" s="17">
        <v>40</v>
      </c>
      <c r="M466" s="17">
        <v>6265</v>
      </c>
      <c r="N466" s="17"/>
      <c r="O466" s="17"/>
      <c r="P466" s="17">
        <v>51</v>
      </c>
      <c r="Q466" s="17">
        <v>10643</v>
      </c>
      <c r="R466" s="17">
        <v>86</v>
      </c>
      <c r="S466" s="17">
        <v>1176</v>
      </c>
      <c r="T466" s="17"/>
      <c r="U466" s="17"/>
      <c r="V466" s="17"/>
      <c r="W466" s="17"/>
      <c r="X466" s="15">
        <v>292</v>
      </c>
      <c r="Y466" s="17">
        <v>350</v>
      </c>
      <c r="Z466" s="17">
        <v>469</v>
      </c>
      <c r="AA466" s="17">
        <v>4901</v>
      </c>
      <c r="AB466" s="12">
        <f t="shared" si="7"/>
        <v>462</v>
      </c>
    </row>
    <row r="467" ht="14.25" spans="1:28">
      <c r="A467" s="13">
        <v>591</v>
      </c>
      <c r="B467" s="15">
        <v>12</v>
      </c>
      <c r="C467" s="16">
        <v>41</v>
      </c>
      <c r="D467" s="17" t="s">
        <v>1190</v>
      </c>
      <c r="E467" s="17" t="s">
        <v>1191</v>
      </c>
      <c r="F467" s="17">
        <v>91.75</v>
      </c>
      <c r="G467" s="17">
        <v>8279</v>
      </c>
      <c r="H467" s="17">
        <v>91.5</v>
      </c>
      <c r="I467" s="17">
        <v>5528</v>
      </c>
      <c r="J467" s="17">
        <v>94.75</v>
      </c>
      <c r="K467" s="17">
        <v>4171</v>
      </c>
      <c r="L467" s="17">
        <v>35</v>
      </c>
      <c r="M467" s="17">
        <v>7732</v>
      </c>
      <c r="N467" s="17"/>
      <c r="O467" s="17"/>
      <c r="P467" s="17">
        <v>69</v>
      </c>
      <c r="Q467" s="17">
        <v>5655</v>
      </c>
      <c r="R467" s="17">
        <v>87</v>
      </c>
      <c r="S467" s="17">
        <v>883</v>
      </c>
      <c r="T467" s="17"/>
      <c r="U467" s="17"/>
      <c r="V467" s="17"/>
      <c r="W467" s="17"/>
      <c r="X467" s="15">
        <v>278</v>
      </c>
      <c r="Y467" s="17">
        <v>469</v>
      </c>
      <c r="Z467" s="17">
        <v>469</v>
      </c>
      <c r="AA467" s="17">
        <v>4901</v>
      </c>
      <c r="AB467" s="12">
        <f t="shared" si="7"/>
        <v>462</v>
      </c>
    </row>
    <row r="468" ht="14.25" spans="1:28">
      <c r="A468" s="13">
        <v>58</v>
      </c>
      <c r="B468" s="15">
        <v>1</v>
      </c>
      <c r="C468" s="16">
        <v>60</v>
      </c>
      <c r="D468" s="17" t="s">
        <v>130</v>
      </c>
      <c r="E468" s="17" t="s">
        <v>131</v>
      </c>
      <c r="F468" s="17">
        <v>101</v>
      </c>
      <c r="G468" s="17">
        <v>2896</v>
      </c>
      <c r="H468" s="17">
        <v>106</v>
      </c>
      <c r="I468" s="17">
        <v>2619</v>
      </c>
      <c r="J468" s="17">
        <v>77.5</v>
      </c>
      <c r="K468" s="17">
        <v>8422</v>
      </c>
      <c r="L468" s="17">
        <v>35</v>
      </c>
      <c r="M468" s="17">
        <v>7732</v>
      </c>
      <c r="N468" s="17"/>
      <c r="O468" s="17"/>
      <c r="P468" s="17">
        <v>80</v>
      </c>
      <c r="Q468" s="17">
        <v>2333</v>
      </c>
      <c r="R468" s="17"/>
      <c r="S468" s="17"/>
      <c r="T468" s="17">
        <v>69</v>
      </c>
      <c r="U468" s="17">
        <v>2042</v>
      </c>
      <c r="V468" s="17"/>
      <c r="W468" s="17"/>
      <c r="X468" s="15">
        <v>284.5</v>
      </c>
      <c r="Y468" s="17">
        <v>405</v>
      </c>
      <c r="Z468" s="17">
        <v>468.5</v>
      </c>
      <c r="AA468" s="17">
        <v>4933</v>
      </c>
      <c r="AB468" s="12">
        <f t="shared" si="7"/>
        <v>466</v>
      </c>
    </row>
    <row r="469" ht="14.25" spans="1:28">
      <c r="A469" s="13">
        <v>587</v>
      </c>
      <c r="B469" s="15">
        <v>12</v>
      </c>
      <c r="C469" s="16">
        <v>37</v>
      </c>
      <c r="D469" s="17" t="s">
        <v>1182</v>
      </c>
      <c r="E469" s="17" t="s">
        <v>1183</v>
      </c>
      <c r="F469" s="17">
        <v>91.5</v>
      </c>
      <c r="G469" s="17">
        <v>8306</v>
      </c>
      <c r="H469" s="17">
        <v>98.5</v>
      </c>
      <c r="I469" s="17">
        <v>4047</v>
      </c>
      <c r="J469" s="17">
        <v>105</v>
      </c>
      <c r="K469" s="17">
        <v>2184</v>
      </c>
      <c r="L469" s="17">
        <v>33</v>
      </c>
      <c r="M469" s="17">
        <v>8387</v>
      </c>
      <c r="N469" s="17"/>
      <c r="O469" s="17"/>
      <c r="P469" s="17">
        <v>75</v>
      </c>
      <c r="Q469" s="17">
        <v>3841</v>
      </c>
      <c r="R469" s="17">
        <v>65</v>
      </c>
      <c r="S469" s="17">
        <v>7060</v>
      </c>
      <c r="T469" s="17"/>
      <c r="U469" s="17"/>
      <c r="V469" s="17"/>
      <c r="W469" s="17"/>
      <c r="X469" s="15">
        <v>295</v>
      </c>
      <c r="Y469" s="17">
        <v>314</v>
      </c>
      <c r="Z469" s="17">
        <v>468</v>
      </c>
      <c r="AA469" s="17">
        <v>4971</v>
      </c>
      <c r="AB469" s="12">
        <f t="shared" si="7"/>
        <v>467</v>
      </c>
    </row>
    <row r="470" ht="14.25" spans="1:28">
      <c r="A470" s="13">
        <v>647</v>
      </c>
      <c r="B470" s="15">
        <v>13</v>
      </c>
      <c r="C470" s="16">
        <v>41</v>
      </c>
      <c r="D470" s="17" t="s">
        <v>1301</v>
      </c>
      <c r="E470" s="17" t="s">
        <v>1302</v>
      </c>
      <c r="F470" s="17">
        <v>104</v>
      </c>
      <c r="G470" s="17">
        <v>1709</v>
      </c>
      <c r="H470" s="17">
        <v>94.5</v>
      </c>
      <c r="I470" s="17">
        <v>4840</v>
      </c>
      <c r="J470" s="17">
        <v>70.5</v>
      </c>
      <c r="K470" s="17">
        <v>10192</v>
      </c>
      <c r="L470" s="17">
        <v>49</v>
      </c>
      <c r="M470" s="17">
        <v>4146</v>
      </c>
      <c r="N470" s="17"/>
      <c r="O470" s="17"/>
      <c r="P470" s="17">
        <v>72</v>
      </c>
      <c r="Q470" s="17">
        <v>4881</v>
      </c>
      <c r="R470" s="17">
        <v>78</v>
      </c>
      <c r="S470" s="17">
        <v>2906</v>
      </c>
      <c r="T470" s="17"/>
      <c r="U470" s="17"/>
      <c r="V470" s="17"/>
      <c r="W470" s="17"/>
      <c r="X470" s="15">
        <v>269</v>
      </c>
      <c r="Y470" s="17">
        <v>538</v>
      </c>
      <c r="Z470" s="17">
        <v>468</v>
      </c>
      <c r="AA470" s="17">
        <v>4971</v>
      </c>
      <c r="AB470" s="12">
        <f t="shared" si="7"/>
        <v>467</v>
      </c>
    </row>
    <row r="471" ht="14.25" spans="1:28">
      <c r="A471" s="13">
        <v>194</v>
      </c>
      <c r="B471" s="15">
        <v>4</v>
      </c>
      <c r="C471" s="16">
        <v>37</v>
      </c>
      <c r="D471" s="17" t="s">
        <v>401</v>
      </c>
      <c r="E471" s="17" t="s">
        <v>402</v>
      </c>
      <c r="F471" s="17">
        <v>104.75</v>
      </c>
      <c r="G471" s="17">
        <v>1539</v>
      </c>
      <c r="H471" s="17">
        <v>74.5</v>
      </c>
      <c r="I471" s="17">
        <v>9115</v>
      </c>
      <c r="J471" s="17">
        <v>104</v>
      </c>
      <c r="K471" s="17">
        <v>2352</v>
      </c>
      <c r="L471" s="17">
        <v>41.5</v>
      </c>
      <c r="M471" s="17">
        <v>5867</v>
      </c>
      <c r="N471" s="17"/>
      <c r="O471" s="17"/>
      <c r="P471" s="17">
        <v>58</v>
      </c>
      <c r="Q471" s="17">
        <v>9299</v>
      </c>
      <c r="R471" s="17"/>
      <c r="S471" s="17"/>
      <c r="T471" s="17"/>
      <c r="U471" s="17"/>
      <c r="V471" s="17">
        <v>85</v>
      </c>
      <c r="W471" s="17">
        <v>530</v>
      </c>
      <c r="X471" s="15">
        <v>283.25</v>
      </c>
      <c r="Y471" s="17">
        <v>416</v>
      </c>
      <c r="Z471" s="17">
        <v>467.75</v>
      </c>
      <c r="AA471" s="17">
        <v>4988</v>
      </c>
      <c r="AB471" s="12">
        <f t="shared" si="7"/>
        <v>469</v>
      </c>
    </row>
    <row r="472" ht="14.25" spans="1:28">
      <c r="A472" s="13">
        <v>30</v>
      </c>
      <c r="B472" s="15">
        <v>1</v>
      </c>
      <c r="C472" s="16">
        <v>32</v>
      </c>
      <c r="D472" s="17" t="s">
        <v>74</v>
      </c>
      <c r="E472" s="17" t="s">
        <v>75</v>
      </c>
      <c r="F472" s="17">
        <v>94</v>
      </c>
      <c r="G472" s="17">
        <v>6811</v>
      </c>
      <c r="H472" s="17">
        <v>95</v>
      </c>
      <c r="I472" s="17">
        <v>4735</v>
      </c>
      <c r="J472" s="17">
        <v>81</v>
      </c>
      <c r="K472" s="17">
        <v>7529</v>
      </c>
      <c r="L472" s="17">
        <v>64.5</v>
      </c>
      <c r="M472" s="17">
        <v>1506</v>
      </c>
      <c r="N472" s="17"/>
      <c r="O472" s="17"/>
      <c r="P472" s="17">
        <v>63</v>
      </c>
      <c r="Q472" s="17">
        <v>7666</v>
      </c>
      <c r="R472" s="17"/>
      <c r="S472" s="17"/>
      <c r="T472" s="17">
        <v>70</v>
      </c>
      <c r="U472" s="17">
        <v>1974</v>
      </c>
      <c r="V472" s="17"/>
      <c r="W472" s="17"/>
      <c r="X472" s="15">
        <v>270</v>
      </c>
      <c r="Y472" s="17">
        <v>531</v>
      </c>
      <c r="Z472" s="17">
        <v>467.5</v>
      </c>
      <c r="AA472" s="17">
        <v>5000</v>
      </c>
      <c r="AB472" s="12">
        <f t="shared" si="7"/>
        <v>470</v>
      </c>
    </row>
    <row r="473" ht="14.25" spans="1:28">
      <c r="A473" s="13">
        <v>244</v>
      </c>
      <c r="B473" s="15">
        <v>5</v>
      </c>
      <c r="C473" s="16">
        <v>41</v>
      </c>
      <c r="D473" s="17" t="s">
        <v>501</v>
      </c>
      <c r="E473" s="17" t="s">
        <v>502</v>
      </c>
      <c r="F473" s="17">
        <v>101</v>
      </c>
      <c r="G473" s="17">
        <v>2896</v>
      </c>
      <c r="H473" s="17">
        <v>91</v>
      </c>
      <c r="I473" s="17">
        <v>5638</v>
      </c>
      <c r="J473" s="17">
        <v>91</v>
      </c>
      <c r="K473" s="17">
        <v>5010</v>
      </c>
      <c r="L473" s="17">
        <v>40.5</v>
      </c>
      <c r="M473" s="17">
        <v>6131</v>
      </c>
      <c r="N473" s="17"/>
      <c r="O473" s="17"/>
      <c r="P473" s="17">
        <v>79</v>
      </c>
      <c r="Q473" s="17">
        <v>2632</v>
      </c>
      <c r="R473" s="17"/>
      <c r="S473" s="17"/>
      <c r="T473" s="17"/>
      <c r="U473" s="17"/>
      <c r="V473" s="17">
        <v>65</v>
      </c>
      <c r="W473" s="17">
        <v>2935</v>
      </c>
      <c r="X473" s="15">
        <v>283</v>
      </c>
      <c r="Y473" s="17">
        <v>420</v>
      </c>
      <c r="Z473" s="17">
        <v>467.5</v>
      </c>
      <c r="AA473" s="17">
        <v>5000</v>
      </c>
      <c r="AB473" s="12">
        <f t="shared" si="7"/>
        <v>470</v>
      </c>
    </row>
    <row r="474" ht="14.25" spans="1:28">
      <c r="A474" s="13">
        <v>637</v>
      </c>
      <c r="B474" s="15">
        <v>13</v>
      </c>
      <c r="C474" s="16">
        <v>30</v>
      </c>
      <c r="D474" s="17" t="s">
        <v>1282</v>
      </c>
      <c r="E474" s="17" t="s">
        <v>1283</v>
      </c>
      <c r="F474" s="17">
        <v>104</v>
      </c>
      <c r="G474" s="17">
        <v>1709</v>
      </c>
      <c r="H474" s="17">
        <v>92.5</v>
      </c>
      <c r="I474" s="17">
        <v>5299</v>
      </c>
      <c r="J474" s="17">
        <v>79.5</v>
      </c>
      <c r="K474" s="17">
        <v>7930</v>
      </c>
      <c r="L474" s="17">
        <v>47.5</v>
      </c>
      <c r="M474" s="17">
        <v>4470</v>
      </c>
      <c r="N474" s="17"/>
      <c r="O474" s="17"/>
      <c r="P474" s="17">
        <v>64</v>
      </c>
      <c r="Q474" s="17">
        <v>7304</v>
      </c>
      <c r="R474" s="17">
        <v>80</v>
      </c>
      <c r="S474" s="17">
        <v>2376</v>
      </c>
      <c r="T474" s="17"/>
      <c r="U474" s="17"/>
      <c r="V474" s="17"/>
      <c r="W474" s="17"/>
      <c r="X474" s="15">
        <v>276</v>
      </c>
      <c r="Y474" s="17">
        <v>490</v>
      </c>
      <c r="Z474" s="17">
        <v>467.5</v>
      </c>
      <c r="AA474" s="17">
        <v>5000</v>
      </c>
      <c r="AB474" s="12">
        <f t="shared" si="7"/>
        <v>470</v>
      </c>
    </row>
    <row r="475" ht="14.25" spans="1:28">
      <c r="A475" s="13">
        <v>661</v>
      </c>
      <c r="B475" s="15">
        <v>13</v>
      </c>
      <c r="C475" s="16">
        <v>55</v>
      </c>
      <c r="D475" s="17" t="s">
        <v>1328</v>
      </c>
      <c r="E475" s="17" t="s">
        <v>1329</v>
      </c>
      <c r="F475" s="17">
        <v>97.5</v>
      </c>
      <c r="G475" s="17">
        <v>4695</v>
      </c>
      <c r="H475" s="17">
        <v>103.5</v>
      </c>
      <c r="I475" s="17">
        <v>3096</v>
      </c>
      <c r="J475" s="17">
        <v>72</v>
      </c>
      <c r="K475" s="17">
        <v>9847</v>
      </c>
      <c r="L475" s="17">
        <v>49.5</v>
      </c>
      <c r="M475" s="17">
        <v>4044</v>
      </c>
      <c r="N475" s="17"/>
      <c r="O475" s="17"/>
      <c r="P475" s="17">
        <v>68</v>
      </c>
      <c r="Q475" s="17">
        <v>6016</v>
      </c>
      <c r="R475" s="17">
        <v>77</v>
      </c>
      <c r="S475" s="17">
        <v>3183</v>
      </c>
      <c r="T475" s="17"/>
      <c r="U475" s="17"/>
      <c r="V475" s="17"/>
      <c r="W475" s="17"/>
      <c r="X475" s="15">
        <v>273</v>
      </c>
      <c r="Y475" s="17">
        <v>508</v>
      </c>
      <c r="Z475" s="17">
        <v>467.5</v>
      </c>
      <c r="AA475" s="17">
        <v>5000</v>
      </c>
      <c r="AB475" s="12">
        <f t="shared" si="7"/>
        <v>470</v>
      </c>
    </row>
    <row r="476" ht="14.25" spans="1:28">
      <c r="A476" s="13">
        <v>22</v>
      </c>
      <c r="B476" s="15">
        <v>1</v>
      </c>
      <c r="C476" s="16">
        <v>24</v>
      </c>
      <c r="D476" s="17" t="s">
        <v>58</v>
      </c>
      <c r="E476" s="17" t="s">
        <v>59</v>
      </c>
      <c r="F476" s="17">
        <v>91.25</v>
      </c>
      <c r="G476" s="17">
        <v>8581</v>
      </c>
      <c r="H476" s="17">
        <v>102</v>
      </c>
      <c r="I476" s="17">
        <v>3381</v>
      </c>
      <c r="J476" s="17">
        <v>87</v>
      </c>
      <c r="K476" s="17">
        <v>5999</v>
      </c>
      <c r="L476" s="17">
        <v>43</v>
      </c>
      <c r="M476" s="17">
        <v>5463</v>
      </c>
      <c r="N476" s="17"/>
      <c r="O476" s="17"/>
      <c r="P476" s="17">
        <v>71</v>
      </c>
      <c r="Q476" s="17">
        <v>5258</v>
      </c>
      <c r="R476" s="17"/>
      <c r="S476" s="17"/>
      <c r="T476" s="17">
        <v>73</v>
      </c>
      <c r="U476" s="17">
        <v>1585</v>
      </c>
      <c r="V476" s="17"/>
      <c r="W476" s="17"/>
      <c r="X476" s="15">
        <v>280.25</v>
      </c>
      <c r="Y476" s="17">
        <v>447</v>
      </c>
      <c r="Z476" s="17">
        <v>467.25</v>
      </c>
      <c r="AA476" s="17">
        <v>5021</v>
      </c>
      <c r="AB476" s="12">
        <f t="shared" si="7"/>
        <v>474</v>
      </c>
    </row>
    <row r="477" ht="14.25" spans="1:28">
      <c r="A477" s="13">
        <v>107</v>
      </c>
      <c r="B477" s="15">
        <v>2</v>
      </c>
      <c r="C477" s="16">
        <v>46</v>
      </c>
      <c r="D477" s="17" t="s">
        <v>227</v>
      </c>
      <c r="E477" s="17" t="s">
        <v>228</v>
      </c>
      <c r="F477" s="17">
        <v>98.25</v>
      </c>
      <c r="G477" s="17">
        <v>4392</v>
      </c>
      <c r="H477" s="17">
        <v>71.5</v>
      </c>
      <c r="I477" s="17">
        <v>9696</v>
      </c>
      <c r="J477" s="17">
        <v>122</v>
      </c>
      <c r="K477" s="17">
        <v>371</v>
      </c>
      <c r="L477" s="17">
        <v>33.5</v>
      </c>
      <c r="M477" s="17">
        <v>8240</v>
      </c>
      <c r="N477" s="17"/>
      <c r="O477" s="17"/>
      <c r="P477" s="17"/>
      <c r="Q477" s="17"/>
      <c r="R477" s="17">
        <v>67</v>
      </c>
      <c r="S477" s="17">
        <v>6298</v>
      </c>
      <c r="T477" s="17">
        <v>75</v>
      </c>
      <c r="U477" s="17">
        <v>1363</v>
      </c>
      <c r="V477" s="17"/>
      <c r="W477" s="17"/>
      <c r="X477" s="15">
        <v>291.75</v>
      </c>
      <c r="Y477" s="17">
        <v>355</v>
      </c>
      <c r="Z477" s="17">
        <v>467.25</v>
      </c>
      <c r="AA477" s="17">
        <v>5021</v>
      </c>
      <c r="AB477" s="12">
        <f t="shared" si="7"/>
        <v>474</v>
      </c>
    </row>
    <row r="478" ht="14.25" spans="1:28">
      <c r="A478" s="13">
        <v>631</v>
      </c>
      <c r="B478" s="15">
        <v>13</v>
      </c>
      <c r="C478" s="16">
        <v>24</v>
      </c>
      <c r="D478" s="17" t="s">
        <v>1270</v>
      </c>
      <c r="E478" s="17" t="s">
        <v>1271</v>
      </c>
      <c r="F478" s="17">
        <v>108</v>
      </c>
      <c r="G478" s="17">
        <v>736</v>
      </c>
      <c r="H478" s="17">
        <v>82</v>
      </c>
      <c r="I478" s="17">
        <v>7634</v>
      </c>
      <c r="J478" s="17">
        <v>95</v>
      </c>
      <c r="K478" s="17">
        <v>4092</v>
      </c>
      <c r="L478" s="17">
        <v>34</v>
      </c>
      <c r="M478" s="17">
        <v>8051</v>
      </c>
      <c r="N478" s="17"/>
      <c r="O478" s="17"/>
      <c r="P478" s="17">
        <v>64</v>
      </c>
      <c r="Q478" s="17">
        <v>7304</v>
      </c>
      <c r="R478" s="17">
        <v>84</v>
      </c>
      <c r="S478" s="17">
        <v>1490</v>
      </c>
      <c r="T478" s="17"/>
      <c r="U478" s="17"/>
      <c r="V478" s="17"/>
      <c r="W478" s="17"/>
      <c r="X478" s="15">
        <v>285</v>
      </c>
      <c r="Y478" s="17">
        <v>401</v>
      </c>
      <c r="Z478" s="17">
        <v>467</v>
      </c>
      <c r="AA478" s="17">
        <v>5030</v>
      </c>
      <c r="AB478" s="12">
        <f t="shared" si="7"/>
        <v>476</v>
      </c>
    </row>
    <row r="479" ht="14.25" spans="1:28">
      <c r="A479" s="13">
        <v>108</v>
      </c>
      <c r="B479" s="15">
        <v>2</v>
      </c>
      <c r="C479" s="16">
        <v>47</v>
      </c>
      <c r="D479" s="17" t="s">
        <v>229</v>
      </c>
      <c r="E479" s="17" t="s">
        <v>230</v>
      </c>
      <c r="F479" s="17">
        <v>98.5</v>
      </c>
      <c r="G479" s="17">
        <v>4145</v>
      </c>
      <c r="H479" s="17">
        <v>63</v>
      </c>
      <c r="I479" s="17">
        <v>11279</v>
      </c>
      <c r="J479" s="17">
        <v>116.25</v>
      </c>
      <c r="K479" s="17">
        <v>797</v>
      </c>
      <c r="L479" s="17">
        <v>35</v>
      </c>
      <c r="M479" s="17">
        <v>7732</v>
      </c>
      <c r="N479" s="17"/>
      <c r="O479" s="17"/>
      <c r="P479" s="17"/>
      <c r="Q479" s="17"/>
      <c r="R479" s="17">
        <v>76</v>
      </c>
      <c r="S479" s="17">
        <v>3491</v>
      </c>
      <c r="T479" s="17">
        <v>78</v>
      </c>
      <c r="U479" s="17">
        <v>1013</v>
      </c>
      <c r="V479" s="17"/>
      <c r="W479" s="17"/>
      <c r="X479" s="15">
        <v>277.75</v>
      </c>
      <c r="Y479" s="17">
        <v>477</v>
      </c>
      <c r="Z479" s="17">
        <v>466.75</v>
      </c>
      <c r="AA479" s="17">
        <v>5050</v>
      </c>
      <c r="AB479" s="12">
        <f t="shared" si="7"/>
        <v>477</v>
      </c>
    </row>
    <row r="480" ht="14.25" spans="1:28">
      <c r="A480" s="13">
        <v>236</v>
      </c>
      <c r="B480" s="15">
        <v>5</v>
      </c>
      <c r="C480" s="16">
        <v>33</v>
      </c>
      <c r="D480" s="17" t="s">
        <v>485</v>
      </c>
      <c r="E480" s="17" t="s">
        <v>486</v>
      </c>
      <c r="F480" s="17">
        <v>93</v>
      </c>
      <c r="G480" s="17">
        <v>7407</v>
      </c>
      <c r="H480" s="17">
        <v>110</v>
      </c>
      <c r="I480" s="17">
        <v>1931</v>
      </c>
      <c r="J480" s="17">
        <v>79.5</v>
      </c>
      <c r="K480" s="17">
        <v>7930</v>
      </c>
      <c r="L480" s="17">
        <v>34</v>
      </c>
      <c r="M480" s="17">
        <v>8051</v>
      </c>
      <c r="N480" s="17"/>
      <c r="O480" s="17"/>
      <c r="P480" s="17">
        <v>74</v>
      </c>
      <c r="Q480" s="17">
        <v>4168</v>
      </c>
      <c r="R480" s="17"/>
      <c r="S480" s="17"/>
      <c r="T480" s="17"/>
      <c r="U480" s="17"/>
      <c r="V480" s="17">
        <v>76</v>
      </c>
      <c r="W480" s="17">
        <v>1407</v>
      </c>
      <c r="X480" s="15">
        <v>282.5</v>
      </c>
      <c r="Y480" s="17">
        <v>425</v>
      </c>
      <c r="Z480" s="17">
        <v>466.5</v>
      </c>
      <c r="AA480" s="17">
        <v>5061</v>
      </c>
      <c r="AB480" s="12">
        <f t="shared" si="7"/>
        <v>478</v>
      </c>
    </row>
    <row r="481" ht="14.25" spans="1:28">
      <c r="A481" s="13">
        <v>239</v>
      </c>
      <c r="B481" s="15">
        <v>5</v>
      </c>
      <c r="C481" s="16">
        <v>36</v>
      </c>
      <c r="D481" s="17" t="s">
        <v>491</v>
      </c>
      <c r="E481" s="17" t="s">
        <v>492</v>
      </c>
      <c r="F481" s="17">
        <v>94</v>
      </c>
      <c r="G481" s="17">
        <v>6811</v>
      </c>
      <c r="H481" s="17">
        <v>93</v>
      </c>
      <c r="I481" s="17">
        <v>5192</v>
      </c>
      <c r="J481" s="17">
        <v>111.5</v>
      </c>
      <c r="K481" s="17">
        <v>1281</v>
      </c>
      <c r="L481" s="17">
        <v>30</v>
      </c>
      <c r="M481" s="17">
        <v>9441</v>
      </c>
      <c r="N481" s="17"/>
      <c r="O481" s="17"/>
      <c r="P481" s="17">
        <v>66</v>
      </c>
      <c r="Q481" s="17">
        <v>6766</v>
      </c>
      <c r="R481" s="17"/>
      <c r="S481" s="17"/>
      <c r="T481" s="17"/>
      <c r="U481" s="17"/>
      <c r="V481" s="17">
        <v>72</v>
      </c>
      <c r="W481" s="17">
        <v>2049</v>
      </c>
      <c r="X481" s="15">
        <v>298.5</v>
      </c>
      <c r="Y481" s="17">
        <v>289</v>
      </c>
      <c r="Z481" s="17">
        <v>466.5</v>
      </c>
      <c r="AA481" s="17">
        <v>5061</v>
      </c>
      <c r="AB481" s="12">
        <f t="shared" si="7"/>
        <v>478</v>
      </c>
    </row>
    <row r="482" ht="14.25" spans="1:28">
      <c r="A482" s="13">
        <v>4</v>
      </c>
      <c r="B482" s="15">
        <v>1</v>
      </c>
      <c r="C482" s="16">
        <v>5</v>
      </c>
      <c r="D482" s="17" t="s">
        <v>22</v>
      </c>
      <c r="E482" s="17" t="s">
        <v>23</v>
      </c>
      <c r="F482" s="17">
        <v>92.5</v>
      </c>
      <c r="G482" s="17">
        <v>7705</v>
      </c>
      <c r="H482" s="17">
        <v>114.5</v>
      </c>
      <c r="I482" s="17">
        <v>1277</v>
      </c>
      <c r="J482" s="17">
        <v>71.75</v>
      </c>
      <c r="K482" s="17">
        <v>9931</v>
      </c>
      <c r="L482" s="17">
        <v>48.5</v>
      </c>
      <c r="M482" s="17">
        <v>4255</v>
      </c>
      <c r="N482" s="17"/>
      <c r="O482" s="17"/>
      <c r="P482" s="17">
        <v>72</v>
      </c>
      <c r="Q482" s="17">
        <v>4881</v>
      </c>
      <c r="R482" s="17"/>
      <c r="S482" s="17"/>
      <c r="T482" s="17">
        <v>67</v>
      </c>
      <c r="U482" s="17">
        <v>2274</v>
      </c>
      <c r="V482" s="17"/>
      <c r="W482" s="17"/>
      <c r="X482" s="15">
        <v>278.75</v>
      </c>
      <c r="Y482" s="17">
        <v>459</v>
      </c>
      <c r="Z482" s="17">
        <v>466.25</v>
      </c>
      <c r="AA482" s="17">
        <v>5079</v>
      </c>
      <c r="AB482" s="12">
        <f t="shared" si="7"/>
        <v>480</v>
      </c>
    </row>
    <row r="483" ht="14.25" spans="1:28">
      <c r="A483" s="13">
        <v>373</v>
      </c>
      <c r="B483" s="15">
        <v>8</v>
      </c>
      <c r="C483" s="16">
        <v>47</v>
      </c>
      <c r="D483" s="17" t="s">
        <v>756</v>
      </c>
      <c r="E483" s="17" t="s">
        <v>757</v>
      </c>
      <c r="F483" s="17">
        <v>94.5</v>
      </c>
      <c r="G483" s="17">
        <v>6496</v>
      </c>
      <c r="H483" s="17">
        <v>89</v>
      </c>
      <c r="I483" s="17">
        <v>6077</v>
      </c>
      <c r="J483" s="17">
        <v>91.25</v>
      </c>
      <c r="K483" s="17">
        <v>4978</v>
      </c>
      <c r="L483" s="17">
        <v>55.5</v>
      </c>
      <c r="M483" s="17">
        <v>2964</v>
      </c>
      <c r="N483" s="17"/>
      <c r="O483" s="17"/>
      <c r="P483" s="17">
        <v>70</v>
      </c>
      <c r="Q483" s="17">
        <v>5445</v>
      </c>
      <c r="R483" s="17">
        <v>66</v>
      </c>
      <c r="S483" s="17">
        <v>6674</v>
      </c>
      <c r="T483" s="17"/>
      <c r="U483" s="17"/>
      <c r="V483" s="17"/>
      <c r="W483" s="17"/>
      <c r="X483" s="15">
        <v>274.75</v>
      </c>
      <c r="Y483" s="17">
        <v>501</v>
      </c>
      <c r="Z483" s="17">
        <v>466.25</v>
      </c>
      <c r="AA483" s="17">
        <v>5079</v>
      </c>
      <c r="AB483" s="12">
        <f t="shared" si="7"/>
        <v>480</v>
      </c>
    </row>
    <row r="484" ht="14.25" spans="1:28">
      <c r="A484" s="13">
        <v>364</v>
      </c>
      <c r="B484" s="15">
        <v>8</v>
      </c>
      <c r="C484" s="16">
        <v>38</v>
      </c>
      <c r="D484" s="17" t="s">
        <v>738</v>
      </c>
      <c r="E484" s="17" t="s">
        <v>739</v>
      </c>
      <c r="F484" s="17">
        <v>88</v>
      </c>
      <c r="G484" s="17">
        <v>10604</v>
      </c>
      <c r="H484" s="17">
        <v>93</v>
      </c>
      <c r="I484" s="17">
        <v>5192</v>
      </c>
      <c r="J484" s="17">
        <v>79</v>
      </c>
      <c r="K484" s="17">
        <v>8048</v>
      </c>
      <c r="L484" s="17">
        <v>44</v>
      </c>
      <c r="M484" s="17">
        <v>5222</v>
      </c>
      <c r="N484" s="17"/>
      <c r="O484" s="17"/>
      <c r="P484" s="17">
        <v>80</v>
      </c>
      <c r="Q484" s="17">
        <v>2333</v>
      </c>
      <c r="R484" s="17">
        <v>82</v>
      </c>
      <c r="S484" s="17">
        <v>1915</v>
      </c>
      <c r="T484" s="17"/>
      <c r="U484" s="17"/>
      <c r="V484" s="17"/>
      <c r="W484" s="17"/>
      <c r="X484" s="15">
        <v>260</v>
      </c>
      <c r="Y484" s="17">
        <v>583</v>
      </c>
      <c r="Z484" s="17">
        <v>466</v>
      </c>
      <c r="AA484" s="17">
        <v>5096</v>
      </c>
      <c r="AB484" s="12">
        <f t="shared" si="7"/>
        <v>482</v>
      </c>
    </row>
    <row r="485" ht="14.25" spans="1:28">
      <c r="A485" s="13">
        <v>520</v>
      </c>
      <c r="B485" s="15">
        <v>11</v>
      </c>
      <c r="C485" s="16">
        <v>25</v>
      </c>
      <c r="D485" s="17" t="s">
        <v>1050</v>
      </c>
      <c r="E485" s="17" t="s">
        <v>1051</v>
      </c>
      <c r="F485" s="17">
        <v>99</v>
      </c>
      <c r="G485" s="17">
        <v>3868</v>
      </c>
      <c r="H485" s="17">
        <v>102.5</v>
      </c>
      <c r="I485" s="17">
        <v>3278</v>
      </c>
      <c r="J485" s="17">
        <v>101.25</v>
      </c>
      <c r="K485" s="17">
        <v>2839</v>
      </c>
      <c r="L485" s="17">
        <v>23</v>
      </c>
      <c r="M485" s="17">
        <v>12526</v>
      </c>
      <c r="N485" s="17"/>
      <c r="O485" s="17"/>
      <c r="P485" s="17">
        <v>68</v>
      </c>
      <c r="Q485" s="17">
        <v>6016</v>
      </c>
      <c r="R485" s="17">
        <v>72</v>
      </c>
      <c r="S485" s="17">
        <v>4793</v>
      </c>
      <c r="T485" s="17"/>
      <c r="U485" s="17"/>
      <c r="V485" s="17"/>
      <c r="W485" s="17"/>
      <c r="X485" s="15">
        <v>302.75</v>
      </c>
      <c r="Y485" s="17">
        <v>259</v>
      </c>
      <c r="Z485" s="17">
        <v>465.75</v>
      </c>
      <c r="AA485" s="17">
        <v>5115</v>
      </c>
      <c r="AB485" s="12">
        <f t="shared" si="7"/>
        <v>483</v>
      </c>
    </row>
    <row r="486" ht="14.25" spans="1:28">
      <c r="A486" s="13">
        <v>615</v>
      </c>
      <c r="B486" s="15">
        <v>13</v>
      </c>
      <c r="C486" s="16">
        <v>6</v>
      </c>
      <c r="D486" s="17" t="s">
        <v>1238</v>
      </c>
      <c r="E486" s="17" t="s">
        <v>1239</v>
      </c>
      <c r="F486" s="17">
        <v>91</v>
      </c>
      <c r="G486" s="17">
        <v>8620</v>
      </c>
      <c r="H486" s="17">
        <v>114</v>
      </c>
      <c r="I486" s="17">
        <v>1340</v>
      </c>
      <c r="J486" s="17">
        <v>81.25</v>
      </c>
      <c r="K486" s="17">
        <v>7494</v>
      </c>
      <c r="L486" s="17">
        <v>51.5</v>
      </c>
      <c r="M486" s="17">
        <v>3642</v>
      </c>
      <c r="N486" s="17"/>
      <c r="O486" s="17"/>
      <c r="P486" s="17">
        <v>62</v>
      </c>
      <c r="Q486" s="17">
        <v>8021</v>
      </c>
      <c r="R486" s="17">
        <v>66</v>
      </c>
      <c r="S486" s="17">
        <v>6674</v>
      </c>
      <c r="T486" s="17"/>
      <c r="U486" s="17"/>
      <c r="V486" s="17"/>
      <c r="W486" s="17"/>
      <c r="X486" s="15">
        <v>286.25</v>
      </c>
      <c r="Y486" s="17">
        <v>390</v>
      </c>
      <c r="Z486" s="17">
        <v>465.75</v>
      </c>
      <c r="AA486" s="17">
        <v>5115</v>
      </c>
      <c r="AB486" s="12">
        <f t="shared" si="7"/>
        <v>483</v>
      </c>
    </row>
    <row r="487" ht="14.25" spans="1:28">
      <c r="A487" s="13">
        <v>2</v>
      </c>
      <c r="B487" s="15">
        <v>1</v>
      </c>
      <c r="C487" s="16">
        <v>2</v>
      </c>
      <c r="D487" s="17" t="s">
        <v>18</v>
      </c>
      <c r="E487" s="17" t="s">
        <v>19</v>
      </c>
      <c r="F487" s="17">
        <v>97.5</v>
      </c>
      <c r="G487" s="17">
        <v>4695</v>
      </c>
      <c r="H487" s="17">
        <v>101.5</v>
      </c>
      <c r="I487" s="17">
        <v>3477</v>
      </c>
      <c r="J487" s="17">
        <v>83.5</v>
      </c>
      <c r="K487" s="17">
        <v>6874</v>
      </c>
      <c r="L487" s="17">
        <v>32</v>
      </c>
      <c r="M487" s="17">
        <v>8723</v>
      </c>
      <c r="N487" s="17"/>
      <c r="O487" s="17"/>
      <c r="P487" s="17">
        <v>68</v>
      </c>
      <c r="Q487" s="17">
        <v>6016</v>
      </c>
      <c r="R487" s="17"/>
      <c r="S487" s="17"/>
      <c r="T487" s="17">
        <v>83</v>
      </c>
      <c r="U487" s="17">
        <v>561</v>
      </c>
      <c r="V487" s="17"/>
      <c r="W487" s="17"/>
      <c r="X487" s="15">
        <v>282.5</v>
      </c>
      <c r="Y487" s="17">
        <v>425</v>
      </c>
      <c r="Z487" s="17">
        <v>465.5</v>
      </c>
      <c r="AA487" s="17">
        <v>5127</v>
      </c>
      <c r="AB487" s="12">
        <f t="shared" si="7"/>
        <v>485</v>
      </c>
    </row>
    <row r="488" ht="14.25" spans="1:28">
      <c r="A488" s="13">
        <v>3</v>
      </c>
      <c r="B488" s="15">
        <v>1</v>
      </c>
      <c r="C488" s="16">
        <v>4</v>
      </c>
      <c r="D488" s="17" t="s">
        <v>20</v>
      </c>
      <c r="E488" s="17" t="s">
        <v>21</v>
      </c>
      <c r="F488" s="17">
        <v>83</v>
      </c>
      <c r="G488" s="17">
        <v>13396</v>
      </c>
      <c r="H488" s="17">
        <v>96.5</v>
      </c>
      <c r="I488" s="17">
        <v>4438</v>
      </c>
      <c r="J488" s="17">
        <v>90.5</v>
      </c>
      <c r="K488" s="17">
        <v>5135</v>
      </c>
      <c r="L488" s="17">
        <v>56.5</v>
      </c>
      <c r="M488" s="17">
        <v>2801</v>
      </c>
      <c r="N488" s="17"/>
      <c r="O488" s="17"/>
      <c r="P488" s="17">
        <v>66</v>
      </c>
      <c r="Q488" s="17">
        <v>6766</v>
      </c>
      <c r="R488" s="17"/>
      <c r="S488" s="17"/>
      <c r="T488" s="17">
        <v>73</v>
      </c>
      <c r="U488" s="17">
        <v>1585</v>
      </c>
      <c r="V488" s="17"/>
      <c r="W488" s="17"/>
      <c r="X488" s="15">
        <v>270</v>
      </c>
      <c r="Y488" s="17">
        <v>531</v>
      </c>
      <c r="Z488" s="17">
        <v>465.5</v>
      </c>
      <c r="AA488" s="17">
        <v>5127</v>
      </c>
      <c r="AB488" s="12">
        <f t="shared" si="7"/>
        <v>485</v>
      </c>
    </row>
    <row r="489" ht="14.25" spans="1:28">
      <c r="A489" s="13">
        <v>619</v>
      </c>
      <c r="B489" s="15">
        <v>13</v>
      </c>
      <c r="C489" s="16">
        <v>10</v>
      </c>
      <c r="D489" s="17" t="s">
        <v>1246</v>
      </c>
      <c r="E489" s="17" t="s">
        <v>1247</v>
      </c>
      <c r="F489" s="17">
        <v>98</v>
      </c>
      <c r="G489" s="17">
        <v>4423</v>
      </c>
      <c r="H489" s="17">
        <v>103.5</v>
      </c>
      <c r="I489" s="17">
        <v>3096</v>
      </c>
      <c r="J489" s="17">
        <v>69.5</v>
      </c>
      <c r="K489" s="17">
        <v>10427</v>
      </c>
      <c r="L489" s="17">
        <v>45.5</v>
      </c>
      <c r="M489" s="17">
        <v>4898</v>
      </c>
      <c r="N489" s="17"/>
      <c r="O489" s="17"/>
      <c r="P489" s="17">
        <v>74</v>
      </c>
      <c r="Q489" s="17">
        <v>4168</v>
      </c>
      <c r="R489" s="17">
        <v>75</v>
      </c>
      <c r="S489" s="17">
        <v>3790</v>
      </c>
      <c r="T489" s="17"/>
      <c r="U489" s="17"/>
      <c r="V489" s="17"/>
      <c r="W489" s="17"/>
      <c r="X489" s="15">
        <v>271</v>
      </c>
      <c r="Y489" s="17">
        <v>522</v>
      </c>
      <c r="Z489" s="17">
        <v>465.5</v>
      </c>
      <c r="AA489" s="17">
        <v>5127</v>
      </c>
      <c r="AB489" s="12">
        <f t="shared" si="7"/>
        <v>485</v>
      </c>
    </row>
    <row r="490" ht="14.25" spans="1:28">
      <c r="A490" s="13">
        <v>83</v>
      </c>
      <c r="B490" s="15">
        <v>2</v>
      </c>
      <c r="C490" s="16">
        <v>20</v>
      </c>
      <c r="D490" s="17" t="s">
        <v>179</v>
      </c>
      <c r="E490" s="17" t="s">
        <v>180</v>
      </c>
      <c r="F490" s="17">
        <v>103.5</v>
      </c>
      <c r="G490" s="17">
        <v>1897</v>
      </c>
      <c r="H490" s="17">
        <v>87.5</v>
      </c>
      <c r="I490" s="17">
        <v>6415</v>
      </c>
      <c r="J490" s="17">
        <v>87.25</v>
      </c>
      <c r="K490" s="17">
        <v>5964</v>
      </c>
      <c r="L490" s="17">
        <v>41</v>
      </c>
      <c r="M490" s="17">
        <v>5993</v>
      </c>
      <c r="N490" s="17"/>
      <c r="O490" s="17"/>
      <c r="P490" s="17"/>
      <c r="Q490" s="17"/>
      <c r="R490" s="17">
        <v>81</v>
      </c>
      <c r="S490" s="17">
        <v>2139</v>
      </c>
      <c r="T490" s="17">
        <v>65</v>
      </c>
      <c r="U490" s="17">
        <v>2551</v>
      </c>
      <c r="V490" s="17"/>
      <c r="W490" s="17"/>
      <c r="X490" s="15">
        <v>278.25</v>
      </c>
      <c r="Y490" s="17">
        <v>465</v>
      </c>
      <c r="Z490" s="17">
        <v>465.25</v>
      </c>
      <c r="AA490" s="17">
        <v>5144</v>
      </c>
      <c r="AB490" s="12">
        <f t="shared" si="7"/>
        <v>488</v>
      </c>
    </row>
    <row r="491" ht="14.25" spans="1:28">
      <c r="A491" s="13">
        <v>42</v>
      </c>
      <c r="B491" s="15">
        <v>1</v>
      </c>
      <c r="C491" s="16">
        <v>44</v>
      </c>
      <c r="D491" s="17" t="s">
        <v>98</v>
      </c>
      <c r="E491" s="17" t="s">
        <v>99</v>
      </c>
      <c r="F491" s="17">
        <v>95.5</v>
      </c>
      <c r="G491" s="17">
        <v>5877</v>
      </c>
      <c r="H491" s="17">
        <v>84.5</v>
      </c>
      <c r="I491" s="17">
        <v>7091</v>
      </c>
      <c r="J491" s="17">
        <v>83.5</v>
      </c>
      <c r="K491" s="17">
        <v>6874</v>
      </c>
      <c r="L491" s="17">
        <v>50.5</v>
      </c>
      <c r="M491" s="17">
        <v>3830</v>
      </c>
      <c r="N491" s="17"/>
      <c r="O491" s="17"/>
      <c r="P491" s="17">
        <v>86</v>
      </c>
      <c r="Q491" s="17">
        <v>1052</v>
      </c>
      <c r="R491" s="17"/>
      <c r="S491" s="17"/>
      <c r="T491" s="17">
        <v>65</v>
      </c>
      <c r="U491" s="17">
        <v>2551</v>
      </c>
      <c r="V491" s="17"/>
      <c r="W491" s="17"/>
      <c r="X491" s="15">
        <v>263.5</v>
      </c>
      <c r="Y491" s="17">
        <v>563</v>
      </c>
      <c r="Z491" s="17">
        <v>465</v>
      </c>
      <c r="AA491" s="17">
        <v>5161</v>
      </c>
      <c r="AB491" s="12">
        <f t="shared" si="7"/>
        <v>489</v>
      </c>
    </row>
    <row r="492" ht="14.25" spans="1:28">
      <c r="A492" s="13">
        <v>67</v>
      </c>
      <c r="B492" s="15">
        <v>2</v>
      </c>
      <c r="C492" s="16">
        <v>4</v>
      </c>
      <c r="D492" s="17" t="s">
        <v>148</v>
      </c>
      <c r="E492" s="17" t="s">
        <v>149</v>
      </c>
      <c r="F492" s="17">
        <v>103.5</v>
      </c>
      <c r="G492" s="17">
        <v>1897</v>
      </c>
      <c r="H492" s="17">
        <v>100</v>
      </c>
      <c r="I492" s="17">
        <v>3741</v>
      </c>
      <c r="J492" s="17">
        <v>89.5</v>
      </c>
      <c r="K492" s="17">
        <v>5383</v>
      </c>
      <c r="L492" s="17">
        <v>28.5</v>
      </c>
      <c r="M492" s="17">
        <v>10084</v>
      </c>
      <c r="N492" s="17"/>
      <c r="O492" s="17"/>
      <c r="P492" s="17"/>
      <c r="Q492" s="17"/>
      <c r="R492" s="17">
        <v>71</v>
      </c>
      <c r="S492" s="17">
        <v>5151</v>
      </c>
      <c r="T492" s="17">
        <v>72</v>
      </c>
      <c r="U492" s="17">
        <v>1741</v>
      </c>
      <c r="V492" s="17"/>
      <c r="W492" s="17"/>
      <c r="X492" s="15">
        <v>293</v>
      </c>
      <c r="Y492" s="17">
        <v>335</v>
      </c>
      <c r="Z492" s="17">
        <v>464.5</v>
      </c>
      <c r="AA492" s="17">
        <v>5196</v>
      </c>
      <c r="AB492" s="12">
        <f t="shared" si="7"/>
        <v>490</v>
      </c>
    </row>
    <row r="493" ht="14.25" spans="1:28">
      <c r="A493" s="13">
        <v>320</v>
      </c>
      <c r="B493" s="15">
        <v>7</v>
      </c>
      <c r="C493" s="16">
        <v>33</v>
      </c>
      <c r="D493" s="17" t="s">
        <v>651</v>
      </c>
      <c r="E493" s="17" t="s">
        <v>652</v>
      </c>
      <c r="F493" s="17">
        <v>92.5</v>
      </c>
      <c r="G493" s="17">
        <v>7705</v>
      </c>
      <c r="H493" s="17">
        <v>104</v>
      </c>
      <c r="I493" s="17">
        <v>2999</v>
      </c>
      <c r="J493" s="17">
        <v>101.5</v>
      </c>
      <c r="K493" s="17">
        <v>2779</v>
      </c>
      <c r="L493" s="17">
        <v>38.5</v>
      </c>
      <c r="M493" s="17">
        <v>6692</v>
      </c>
      <c r="N493" s="17"/>
      <c r="O493" s="17"/>
      <c r="P493" s="17"/>
      <c r="Q493" s="17"/>
      <c r="R493" s="17">
        <v>70</v>
      </c>
      <c r="S493" s="17">
        <v>5497</v>
      </c>
      <c r="T493" s="17"/>
      <c r="U493" s="17"/>
      <c r="V493" s="17">
        <v>58</v>
      </c>
      <c r="W493" s="17">
        <v>3948</v>
      </c>
      <c r="X493" s="15">
        <v>298</v>
      </c>
      <c r="Y493" s="17">
        <v>293</v>
      </c>
      <c r="Z493" s="17">
        <v>464.5</v>
      </c>
      <c r="AA493" s="17">
        <v>5196</v>
      </c>
      <c r="AB493" s="12">
        <f t="shared" si="7"/>
        <v>490</v>
      </c>
    </row>
    <row r="494" ht="14.25" spans="1:28">
      <c r="A494" s="13">
        <v>506</v>
      </c>
      <c r="B494" s="15">
        <v>11</v>
      </c>
      <c r="C494" s="16">
        <v>10</v>
      </c>
      <c r="D494" s="17" t="s">
        <v>1022</v>
      </c>
      <c r="E494" s="17" t="s">
        <v>1023</v>
      </c>
      <c r="F494" s="17">
        <v>98.5</v>
      </c>
      <c r="G494" s="17">
        <v>4145</v>
      </c>
      <c r="H494" s="17">
        <v>82</v>
      </c>
      <c r="I494" s="17">
        <v>7634</v>
      </c>
      <c r="J494" s="17">
        <v>99.5</v>
      </c>
      <c r="K494" s="17">
        <v>3134</v>
      </c>
      <c r="L494" s="17">
        <v>48.5</v>
      </c>
      <c r="M494" s="17">
        <v>4255</v>
      </c>
      <c r="N494" s="17"/>
      <c r="O494" s="17"/>
      <c r="P494" s="17">
        <v>62</v>
      </c>
      <c r="Q494" s="17">
        <v>8021</v>
      </c>
      <c r="R494" s="17">
        <v>74</v>
      </c>
      <c r="S494" s="17">
        <v>4119</v>
      </c>
      <c r="T494" s="17"/>
      <c r="U494" s="17"/>
      <c r="V494" s="17"/>
      <c r="W494" s="17"/>
      <c r="X494" s="15">
        <v>280</v>
      </c>
      <c r="Y494" s="17">
        <v>448</v>
      </c>
      <c r="Z494" s="17">
        <v>464.5</v>
      </c>
      <c r="AA494" s="17">
        <v>5196</v>
      </c>
      <c r="AB494" s="12">
        <f t="shared" si="7"/>
        <v>490</v>
      </c>
    </row>
    <row r="495" ht="14.25" spans="1:28">
      <c r="A495" s="13">
        <v>509</v>
      </c>
      <c r="B495" s="15">
        <v>11</v>
      </c>
      <c r="C495" s="16">
        <v>13</v>
      </c>
      <c r="D495" s="17" t="s">
        <v>1028</v>
      </c>
      <c r="E495" s="17" t="s">
        <v>1029</v>
      </c>
      <c r="F495" s="17">
        <v>99.5</v>
      </c>
      <c r="G495" s="17">
        <v>3607</v>
      </c>
      <c r="H495" s="17">
        <v>92.5</v>
      </c>
      <c r="I495" s="17">
        <v>5299</v>
      </c>
      <c r="J495" s="17">
        <v>86.75</v>
      </c>
      <c r="K495" s="17">
        <v>6087</v>
      </c>
      <c r="L495" s="17">
        <v>40</v>
      </c>
      <c r="M495" s="17">
        <v>6265</v>
      </c>
      <c r="N495" s="17"/>
      <c r="O495" s="17"/>
      <c r="P495" s="17">
        <v>62</v>
      </c>
      <c r="Q495" s="17">
        <v>8021</v>
      </c>
      <c r="R495" s="17">
        <v>83</v>
      </c>
      <c r="S495" s="17">
        <v>1715</v>
      </c>
      <c r="T495" s="17"/>
      <c r="U495" s="17"/>
      <c r="V495" s="17"/>
      <c r="W495" s="17"/>
      <c r="X495" s="15">
        <v>278.75</v>
      </c>
      <c r="Y495" s="17">
        <v>459</v>
      </c>
      <c r="Z495" s="17">
        <v>463.75</v>
      </c>
      <c r="AA495" s="17">
        <v>5255</v>
      </c>
      <c r="AB495" s="12">
        <f t="shared" si="7"/>
        <v>493</v>
      </c>
    </row>
    <row r="496" ht="14.25" spans="1:28">
      <c r="A496" s="13">
        <v>38</v>
      </c>
      <c r="B496" s="15">
        <v>1</v>
      </c>
      <c r="C496" s="16">
        <v>40</v>
      </c>
      <c r="D496" s="17" t="s">
        <v>90</v>
      </c>
      <c r="E496" s="17" t="s">
        <v>91</v>
      </c>
      <c r="F496" s="17">
        <v>102.5</v>
      </c>
      <c r="G496" s="17">
        <v>2274</v>
      </c>
      <c r="H496" s="17">
        <v>92</v>
      </c>
      <c r="I496" s="17">
        <v>5417</v>
      </c>
      <c r="J496" s="17">
        <v>80</v>
      </c>
      <c r="K496" s="17">
        <v>7802</v>
      </c>
      <c r="L496" s="17">
        <v>46</v>
      </c>
      <c r="M496" s="17">
        <v>4785</v>
      </c>
      <c r="N496" s="17"/>
      <c r="O496" s="17"/>
      <c r="P496" s="17">
        <v>74</v>
      </c>
      <c r="Q496" s="17">
        <v>4168</v>
      </c>
      <c r="R496" s="17"/>
      <c r="S496" s="17"/>
      <c r="T496" s="17">
        <v>69</v>
      </c>
      <c r="U496" s="17">
        <v>2042</v>
      </c>
      <c r="V496" s="17"/>
      <c r="W496" s="17"/>
      <c r="X496" s="15">
        <v>274.5</v>
      </c>
      <c r="Y496" s="17">
        <v>502</v>
      </c>
      <c r="Z496" s="17">
        <v>463.5</v>
      </c>
      <c r="AA496" s="17">
        <v>5265</v>
      </c>
      <c r="AB496" s="12">
        <f t="shared" si="7"/>
        <v>494</v>
      </c>
    </row>
    <row r="497" ht="14.25" spans="1:28">
      <c r="A497" s="13">
        <v>60</v>
      </c>
      <c r="B497" s="15">
        <v>1</v>
      </c>
      <c r="C497" s="16">
        <v>62</v>
      </c>
      <c r="D497" s="17" t="s">
        <v>134</v>
      </c>
      <c r="E497" s="17" t="s">
        <v>135</v>
      </c>
      <c r="F497" s="17">
        <v>99</v>
      </c>
      <c r="G497" s="17">
        <v>3868</v>
      </c>
      <c r="H497" s="17">
        <v>86</v>
      </c>
      <c r="I497" s="17">
        <v>6759</v>
      </c>
      <c r="J497" s="17">
        <v>90</v>
      </c>
      <c r="K497" s="17">
        <v>5256</v>
      </c>
      <c r="L497" s="17">
        <v>34.5</v>
      </c>
      <c r="M497" s="17">
        <v>7899</v>
      </c>
      <c r="N497" s="17"/>
      <c r="O497" s="17"/>
      <c r="P497" s="17">
        <v>74</v>
      </c>
      <c r="Q497" s="17">
        <v>4168</v>
      </c>
      <c r="R497" s="17"/>
      <c r="S497" s="17"/>
      <c r="T497" s="17">
        <v>80</v>
      </c>
      <c r="U497" s="17">
        <v>813</v>
      </c>
      <c r="V497" s="17"/>
      <c r="W497" s="17"/>
      <c r="X497" s="15">
        <v>275</v>
      </c>
      <c r="Y497" s="17">
        <v>497</v>
      </c>
      <c r="Z497" s="17">
        <v>463.5</v>
      </c>
      <c r="AA497" s="17">
        <v>5265</v>
      </c>
      <c r="AB497" s="12">
        <f t="shared" si="7"/>
        <v>494</v>
      </c>
    </row>
    <row r="498" ht="14.25" spans="1:28">
      <c r="A498" s="13">
        <v>277</v>
      </c>
      <c r="B498" s="15">
        <v>6</v>
      </c>
      <c r="C498" s="16">
        <v>29</v>
      </c>
      <c r="D498" s="17" t="s">
        <v>565</v>
      </c>
      <c r="E498" s="17" t="s">
        <v>566</v>
      </c>
      <c r="F498" s="17">
        <v>100</v>
      </c>
      <c r="G498" s="17">
        <v>3368</v>
      </c>
      <c r="H498" s="17">
        <v>58</v>
      </c>
      <c r="I498" s="17">
        <v>12196</v>
      </c>
      <c r="J498" s="17">
        <v>94</v>
      </c>
      <c r="K498" s="17">
        <v>4318</v>
      </c>
      <c r="L498" s="17">
        <v>45.5</v>
      </c>
      <c r="M498" s="17">
        <v>4898</v>
      </c>
      <c r="N498" s="17"/>
      <c r="O498" s="17"/>
      <c r="P498" s="17"/>
      <c r="Q498" s="17"/>
      <c r="R498" s="17">
        <v>85</v>
      </c>
      <c r="S498" s="17">
        <v>1393</v>
      </c>
      <c r="T498" s="17"/>
      <c r="U498" s="17"/>
      <c r="V498" s="17">
        <v>81</v>
      </c>
      <c r="W498" s="17">
        <v>860</v>
      </c>
      <c r="X498" s="15">
        <v>252</v>
      </c>
      <c r="Y498" s="17">
        <v>607</v>
      </c>
      <c r="Z498" s="17">
        <v>463.5</v>
      </c>
      <c r="AA498" s="17">
        <v>5265</v>
      </c>
      <c r="AB498" s="12">
        <f t="shared" si="7"/>
        <v>494</v>
      </c>
    </row>
    <row r="499" ht="14.25" spans="1:28">
      <c r="A499" s="13">
        <v>636</v>
      </c>
      <c r="B499" s="15">
        <v>13</v>
      </c>
      <c r="C499" s="16">
        <v>29</v>
      </c>
      <c r="D499" s="17" t="s">
        <v>1280</v>
      </c>
      <c r="E499" s="17" t="s">
        <v>1281</v>
      </c>
      <c r="F499" s="17">
        <v>91</v>
      </c>
      <c r="G499" s="17">
        <v>8620</v>
      </c>
      <c r="H499" s="17">
        <v>87.5</v>
      </c>
      <c r="I499" s="17">
        <v>6415</v>
      </c>
      <c r="J499" s="17">
        <v>82.75</v>
      </c>
      <c r="K499" s="17">
        <v>7077</v>
      </c>
      <c r="L499" s="17">
        <v>45</v>
      </c>
      <c r="M499" s="17">
        <v>5014</v>
      </c>
      <c r="N499" s="17"/>
      <c r="O499" s="17"/>
      <c r="P499" s="17">
        <v>70</v>
      </c>
      <c r="Q499" s="17">
        <v>5445</v>
      </c>
      <c r="R499" s="17">
        <v>87</v>
      </c>
      <c r="S499" s="17">
        <v>883</v>
      </c>
      <c r="T499" s="17"/>
      <c r="U499" s="17"/>
      <c r="V499" s="17"/>
      <c r="W499" s="17"/>
      <c r="X499" s="15">
        <v>261.25</v>
      </c>
      <c r="Y499" s="17">
        <v>576</v>
      </c>
      <c r="Z499" s="17">
        <v>463.25</v>
      </c>
      <c r="AA499" s="17">
        <v>5288</v>
      </c>
      <c r="AB499" s="12">
        <f t="shared" si="7"/>
        <v>497</v>
      </c>
    </row>
    <row r="500" ht="14.25" spans="1:28">
      <c r="A500" s="13">
        <v>268</v>
      </c>
      <c r="B500" s="15">
        <v>6</v>
      </c>
      <c r="C500" s="16">
        <v>20</v>
      </c>
      <c r="D500" s="17" t="s">
        <v>547</v>
      </c>
      <c r="E500" s="17" t="s">
        <v>548</v>
      </c>
      <c r="F500" s="17">
        <v>90</v>
      </c>
      <c r="G500" s="17">
        <v>9312</v>
      </c>
      <c r="H500" s="17">
        <v>88</v>
      </c>
      <c r="I500" s="17">
        <v>6299</v>
      </c>
      <c r="J500" s="17">
        <v>106.5</v>
      </c>
      <c r="K500" s="17">
        <v>1929</v>
      </c>
      <c r="L500" s="17">
        <v>33.5</v>
      </c>
      <c r="M500" s="17">
        <v>8240</v>
      </c>
      <c r="N500" s="17"/>
      <c r="O500" s="17"/>
      <c r="P500" s="17"/>
      <c r="Q500" s="17"/>
      <c r="R500" s="17">
        <v>74</v>
      </c>
      <c r="S500" s="17">
        <v>4119</v>
      </c>
      <c r="T500" s="17"/>
      <c r="U500" s="17"/>
      <c r="V500" s="17">
        <v>71</v>
      </c>
      <c r="W500" s="17">
        <v>2172</v>
      </c>
      <c r="X500" s="15">
        <v>284.5</v>
      </c>
      <c r="Y500" s="17">
        <v>405</v>
      </c>
      <c r="Z500" s="17">
        <v>463</v>
      </c>
      <c r="AA500" s="17">
        <v>5298</v>
      </c>
      <c r="AB500" s="12">
        <f t="shared" si="7"/>
        <v>498</v>
      </c>
    </row>
    <row r="501" ht="14.25" spans="1:28">
      <c r="A501" s="13">
        <v>529</v>
      </c>
      <c r="B501" s="15">
        <v>11</v>
      </c>
      <c r="C501" s="16">
        <v>34</v>
      </c>
      <c r="D501" s="17" t="s">
        <v>1067</v>
      </c>
      <c r="E501" s="17" t="s">
        <v>1068</v>
      </c>
      <c r="F501" s="17">
        <v>91</v>
      </c>
      <c r="G501" s="17">
        <v>8620</v>
      </c>
      <c r="H501" s="17">
        <v>91</v>
      </c>
      <c r="I501" s="17">
        <v>5638</v>
      </c>
      <c r="J501" s="17">
        <v>84</v>
      </c>
      <c r="K501" s="17">
        <v>6761</v>
      </c>
      <c r="L501" s="17">
        <v>42.5</v>
      </c>
      <c r="M501" s="17">
        <v>5605</v>
      </c>
      <c r="N501" s="17"/>
      <c r="O501" s="17"/>
      <c r="P501" s="17">
        <v>77</v>
      </c>
      <c r="Q501" s="17">
        <v>3207</v>
      </c>
      <c r="R501" s="17">
        <v>77</v>
      </c>
      <c r="S501" s="17">
        <v>3183</v>
      </c>
      <c r="T501" s="17"/>
      <c r="U501" s="17"/>
      <c r="V501" s="17"/>
      <c r="W501" s="17"/>
      <c r="X501" s="15">
        <v>266</v>
      </c>
      <c r="Y501" s="17">
        <v>549</v>
      </c>
      <c r="Z501" s="17">
        <v>462.5</v>
      </c>
      <c r="AA501" s="17">
        <v>5320</v>
      </c>
      <c r="AB501" s="12">
        <f t="shared" si="7"/>
        <v>499</v>
      </c>
    </row>
    <row r="502" ht="14.25" spans="1:28">
      <c r="A502" s="13">
        <v>299</v>
      </c>
      <c r="B502" s="15">
        <v>7</v>
      </c>
      <c r="C502" s="16">
        <v>10</v>
      </c>
      <c r="D502" s="17" t="s">
        <v>609</v>
      </c>
      <c r="E502" s="17" t="s">
        <v>610</v>
      </c>
      <c r="F502" s="17">
        <v>98.5</v>
      </c>
      <c r="G502" s="17">
        <v>4145</v>
      </c>
      <c r="H502" s="17">
        <v>87.5</v>
      </c>
      <c r="I502" s="17">
        <v>6415</v>
      </c>
      <c r="J502" s="17">
        <v>96.5</v>
      </c>
      <c r="K502" s="17">
        <v>3746</v>
      </c>
      <c r="L502" s="17">
        <v>27.5</v>
      </c>
      <c r="M502" s="17">
        <v>10504</v>
      </c>
      <c r="N502" s="17"/>
      <c r="O502" s="17"/>
      <c r="P502" s="17"/>
      <c r="Q502" s="17"/>
      <c r="R502" s="17">
        <v>72</v>
      </c>
      <c r="S502" s="17">
        <v>4793</v>
      </c>
      <c r="T502" s="17"/>
      <c r="U502" s="17"/>
      <c r="V502" s="17">
        <v>80</v>
      </c>
      <c r="W502" s="17">
        <v>938</v>
      </c>
      <c r="X502" s="15">
        <v>282.5</v>
      </c>
      <c r="Y502" s="17">
        <v>425</v>
      </c>
      <c r="Z502" s="17">
        <v>462</v>
      </c>
      <c r="AA502" s="17">
        <v>5355</v>
      </c>
      <c r="AB502" s="12">
        <f t="shared" si="7"/>
        <v>500</v>
      </c>
    </row>
    <row r="503" ht="14.25" spans="1:28">
      <c r="A503" s="13">
        <v>348</v>
      </c>
      <c r="B503" s="15">
        <v>8</v>
      </c>
      <c r="C503" s="16">
        <v>20</v>
      </c>
      <c r="D503" s="17" t="s">
        <v>707</v>
      </c>
      <c r="E503" s="17" t="s">
        <v>708</v>
      </c>
      <c r="F503" s="17">
        <v>98.5</v>
      </c>
      <c r="G503" s="17">
        <v>4145</v>
      </c>
      <c r="H503" s="17">
        <v>104</v>
      </c>
      <c r="I503" s="17">
        <v>2999</v>
      </c>
      <c r="J503" s="17">
        <v>77.5</v>
      </c>
      <c r="K503" s="17">
        <v>8422</v>
      </c>
      <c r="L503" s="17">
        <v>36</v>
      </c>
      <c r="M503" s="17">
        <v>7408</v>
      </c>
      <c r="N503" s="17"/>
      <c r="O503" s="17"/>
      <c r="P503" s="17">
        <v>74</v>
      </c>
      <c r="Q503" s="17">
        <v>4168</v>
      </c>
      <c r="R503" s="17">
        <v>72</v>
      </c>
      <c r="S503" s="17">
        <v>4793</v>
      </c>
      <c r="T503" s="17"/>
      <c r="U503" s="17"/>
      <c r="V503" s="17"/>
      <c r="W503" s="17"/>
      <c r="X503" s="15">
        <v>280</v>
      </c>
      <c r="Y503" s="17">
        <v>448</v>
      </c>
      <c r="Z503" s="17">
        <v>462</v>
      </c>
      <c r="AA503" s="17">
        <v>5355</v>
      </c>
      <c r="AB503" s="12">
        <f t="shared" si="7"/>
        <v>500</v>
      </c>
    </row>
    <row r="504" ht="14.25" spans="1:28">
      <c r="A504" s="13">
        <v>526</v>
      </c>
      <c r="B504" s="15">
        <v>11</v>
      </c>
      <c r="C504" s="16">
        <v>31</v>
      </c>
      <c r="D504" s="17" t="s">
        <v>1062</v>
      </c>
      <c r="E504" s="17" t="s">
        <v>630</v>
      </c>
      <c r="F504" s="17">
        <v>88.5</v>
      </c>
      <c r="G504" s="17">
        <v>10291</v>
      </c>
      <c r="H504" s="17">
        <v>101</v>
      </c>
      <c r="I504" s="17">
        <v>3563</v>
      </c>
      <c r="J504" s="17">
        <v>54.5</v>
      </c>
      <c r="K504" s="17">
        <v>13373</v>
      </c>
      <c r="L504" s="17">
        <v>57</v>
      </c>
      <c r="M504" s="17">
        <v>2714</v>
      </c>
      <c r="N504" s="17"/>
      <c r="O504" s="17"/>
      <c r="P504" s="17">
        <v>82</v>
      </c>
      <c r="Q504" s="17">
        <v>1870</v>
      </c>
      <c r="R504" s="17">
        <v>79</v>
      </c>
      <c r="S504" s="17">
        <v>2629</v>
      </c>
      <c r="T504" s="17"/>
      <c r="U504" s="17"/>
      <c r="V504" s="17"/>
      <c r="W504" s="17"/>
      <c r="X504" s="15">
        <v>244</v>
      </c>
      <c r="Y504" s="17">
        <v>620</v>
      </c>
      <c r="Z504" s="17">
        <v>462</v>
      </c>
      <c r="AA504" s="17">
        <v>5355</v>
      </c>
      <c r="AB504" s="12">
        <f t="shared" si="7"/>
        <v>500</v>
      </c>
    </row>
    <row r="505" ht="14.25" spans="1:28">
      <c r="A505" s="13">
        <v>204</v>
      </c>
      <c r="B505" s="15">
        <v>4</v>
      </c>
      <c r="C505" s="16">
        <v>47</v>
      </c>
      <c r="D505" s="17" t="s">
        <v>421</v>
      </c>
      <c r="E505" s="17" t="s">
        <v>422</v>
      </c>
      <c r="F505" s="17">
        <v>106</v>
      </c>
      <c r="G505" s="17">
        <v>1174</v>
      </c>
      <c r="H505" s="17">
        <v>90</v>
      </c>
      <c r="I505" s="17">
        <v>5850</v>
      </c>
      <c r="J505" s="17">
        <v>94.5</v>
      </c>
      <c r="K505" s="17">
        <v>4208</v>
      </c>
      <c r="L505" s="17">
        <v>40</v>
      </c>
      <c r="M505" s="17">
        <v>6265</v>
      </c>
      <c r="N505" s="17"/>
      <c r="O505" s="17"/>
      <c r="P505" s="17">
        <v>58</v>
      </c>
      <c r="Q505" s="17">
        <v>9299</v>
      </c>
      <c r="R505" s="17"/>
      <c r="S505" s="17"/>
      <c r="T505" s="17"/>
      <c r="U505" s="17"/>
      <c r="V505" s="17">
        <v>73</v>
      </c>
      <c r="W505" s="17">
        <v>1853</v>
      </c>
      <c r="X505" s="15">
        <v>290.5</v>
      </c>
      <c r="Y505" s="17">
        <v>364</v>
      </c>
      <c r="Z505" s="17">
        <v>461.5</v>
      </c>
      <c r="AA505" s="17">
        <v>5381</v>
      </c>
      <c r="AB505" s="12">
        <f t="shared" si="7"/>
        <v>503</v>
      </c>
    </row>
    <row r="506" ht="14.25" spans="1:28">
      <c r="A506" s="13">
        <v>613</v>
      </c>
      <c r="B506" s="15">
        <v>13</v>
      </c>
      <c r="C506" s="16">
        <v>4</v>
      </c>
      <c r="D506" s="17" t="s">
        <v>1234</v>
      </c>
      <c r="E506" s="17" t="s">
        <v>1235</v>
      </c>
      <c r="F506" s="17">
        <v>97</v>
      </c>
      <c r="G506" s="17">
        <v>4967</v>
      </c>
      <c r="H506" s="17">
        <v>88</v>
      </c>
      <c r="I506" s="17">
        <v>6299</v>
      </c>
      <c r="J506" s="17">
        <v>85.5</v>
      </c>
      <c r="K506" s="17">
        <v>6376</v>
      </c>
      <c r="L506" s="17">
        <v>50</v>
      </c>
      <c r="M506" s="17">
        <v>3933</v>
      </c>
      <c r="N506" s="17"/>
      <c r="O506" s="17"/>
      <c r="P506" s="17">
        <v>61</v>
      </c>
      <c r="Q506" s="17">
        <v>8358</v>
      </c>
      <c r="R506" s="17">
        <v>80</v>
      </c>
      <c r="S506" s="17">
        <v>2376</v>
      </c>
      <c r="T506" s="17"/>
      <c r="U506" s="17"/>
      <c r="V506" s="17"/>
      <c r="W506" s="17"/>
      <c r="X506" s="15">
        <v>270.5</v>
      </c>
      <c r="Y506" s="17">
        <v>526</v>
      </c>
      <c r="Z506" s="17">
        <v>461.5</v>
      </c>
      <c r="AA506" s="17">
        <v>5381</v>
      </c>
      <c r="AB506" s="12">
        <f t="shared" si="7"/>
        <v>503</v>
      </c>
    </row>
    <row r="507" ht="14.25" spans="1:28">
      <c r="A507" s="13">
        <v>21</v>
      </c>
      <c r="B507" s="15">
        <v>1</v>
      </c>
      <c r="C507" s="16">
        <v>23</v>
      </c>
      <c r="D507" s="17" t="s">
        <v>56</v>
      </c>
      <c r="E507" s="17" t="s">
        <v>57</v>
      </c>
      <c r="F507" s="17">
        <v>91</v>
      </c>
      <c r="G507" s="17">
        <v>8620</v>
      </c>
      <c r="H507" s="17">
        <v>64</v>
      </c>
      <c r="I507" s="17">
        <v>11086</v>
      </c>
      <c r="J507" s="17">
        <v>113.25</v>
      </c>
      <c r="K507" s="17">
        <v>1094</v>
      </c>
      <c r="L507" s="17">
        <v>43</v>
      </c>
      <c r="M507" s="17">
        <v>5463</v>
      </c>
      <c r="N507" s="17"/>
      <c r="O507" s="17"/>
      <c r="P507" s="17">
        <v>72</v>
      </c>
      <c r="Q507" s="17">
        <v>4881</v>
      </c>
      <c r="R507" s="17"/>
      <c r="S507" s="17"/>
      <c r="T507" s="17">
        <v>78</v>
      </c>
      <c r="U507" s="17">
        <v>1013</v>
      </c>
      <c r="V507" s="17"/>
      <c r="W507" s="17"/>
      <c r="X507" s="15">
        <v>268.25</v>
      </c>
      <c r="Y507" s="17">
        <v>540</v>
      </c>
      <c r="Z507" s="17">
        <v>461.25</v>
      </c>
      <c r="AA507" s="17">
        <v>5398</v>
      </c>
      <c r="AB507" s="12">
        <f t="shared" si="7"/>
        <v>505</v>
      </c>
    </row>
    <row r="508" ht="14.25" spans="1:28">
      <c r="A508" s="13">
        <v>630</v>
      </c>
      <c r="B508" s="15">
        <v>13</v>
      </c>
      <c r="C508" s="16">
        <v>23</v>
      </c>
      <c r="D508" s="17" t="s">
        <v>1268</v>
      </c>
      <c r="E508" s="17" t="s">
        <v>1269</v>
      </c>
      <c r="F508" s="17">
        <v>102.25</v>
      </c>
      <c r="G508" s="17">
        <v>2460</v>
      </c>
      <c r="H508" s="17">
        <v>88.5</v>
      </c>
      <c r="I508" s="17">
        <v>6176</v>
      </c>
      <c r="J508" s="17">
        <v>87</v>
      </c>
      <c r="K508" s="17">
        <v>5999</v>
      </c>
      <c r="L508" s="17">
        <v>35.5</v>
      </c>
      <c r="M508" s="17">
        <v>7589</v>
      </c>
      <c r="N508" s="17"/>
      <c r="O508" s="17"/>
      <c r="P508" s="17">
        <v>68</v>
      </c>
      <c r="Q508" s="17">
        <v>6016</v>
      </c>
      <c r="R508" s="17">
        <v>80</v>
      </c>
      <c r="S508" s="17">
        <v>2376</v>
      </c>
      <c r="T508" s="17"/>
      <c r="U508" s="17"/>
      <c r="V508" s="17"/>
      <c r="W508" s="17"/>
      <c r="X508" s="15">
        <v>277.75</v>
      </c>
      <c r="Y508" s="17">
        <v>477</v>
      </c>
      <c r="Z508" s="17">
        <v>461.25</v>
      </c>
      <c r="AA508" s="17">
        <v>5398</v>
      </c>
      <c r="AB508" s="12">
        <f t="shared" si="7"/>
        <v>505</v>
      </c>
    </row>
    <row r="509" ht="14.25" spans="1:28">
      <c r="A509" s="13">
        <v>20</v>
      </c>
      <c r="B509" s="15">
        <v>1</v>
      </c>
      <c r="C509" s="16">
        <v>22</v>
      </c>
      <c r="D509" s="17" t="s">
        <v>54</v>
      </c>
      <c r="E509" s="17" t="s">
        <v>55</v>
      </c>
      <c r="F509" s="17">
        <v>93.5</v>
      </c>
      <c r="G509" s="17">
        <v>7127</v>
      </c>
      <c r="H509" s="17">
        <v>96.5</v>
      </c>
      <c r="I509" s="17">
        <v>4438</v>
      </c>
      <c r="J509" s="17">
        <v>93.25</v>
      </c>
      <c r="K509" s="17">
        <v>4519</v>
      </c>
      <c r="L509" s="17">
        <v>46.5</v>
      </c>
      <c r="M509" s="17">
        <v>4690</v>
      </c>
      <c r="N509" s="17"/>
      <c r="O509" s="17"/>
      <c r="P509" s="17">
        <v>59</v>
      </c>
      <c r="Q509" s="17">
        <v>8996</v>
      </c>
      <c r="R509" s="17"/>
      <c r="S509" s="17"/>
      <c r="T509" s="17">
        <v>72</v>
      </c>
      <c r="U509" s="17">
        <v>1741</v>
      </c>
      <c r="V509" s="17"/>
      <c r="W509" s="17"/>
      <c r="X509" s="15">
        <v>283.25</v>
      </c>
      <c r="Y509" s="17">
        <v>416</v>
      </c>
      <c r="Z509" s="17">
        <v>460.75</v>
      </c>
      <c r="AA509" s="17">
        <v>5435</v>
      </c>
      <c r="AB509" s="12">
        <f t="shared" si="7"/>
        <v>507</v>
      </c>
    </row>
    <row r="510" ht="14.25" spans="1:28">
      <c r="A510" s="13">
        <v>124</v>
      </c>
      <c r="B510" s="15">
        <v>3</v>
      </c>
      <c r="C510" s="16">
        <v>13</v>
      </c>
      <c r="D510" s="17" t="s">
        <v>261</v>
      </c>
      <c r="E510" s="17" t="s">
        <v>262</v>
      </c>
      <c r="F510" s="17">
        <v>92.75</v>
      </c>
      <c r="G510" s="17">
        <v>7661</v>
      </c>
      <c r="H510" s="17">
        <v>76</v>
      </c>
      <c r="I510" s="17">
        <v>8835</v>
      </c>
      <c r="J510" s="17">
        <v>113.25</v>
      </c>
      <c r="K510" s="17">
        <v>1094</v>
      </c>
      <c r="L510" s="17">
        <v>48</v>
      </c>
      <c r="M510" s="17">
        <v>4355</v>
      </c>
      <c r="N510" s="17"/>
      <c r="O510" s="17"/>
      <c r="P510" s="17">
        <v>74</v>
      </c>
      <c r="Q510" s="17">
        <v>4168</v>
      </c>
      <c r="R510" s="17"/>
      <c r="S510" s="17"/>
      <c r="T510" s="17"/>
      <c r="U510" s="17"/>
      <c r="V510" s="17">
        <v>56</v>
      </c>
      <c r="W510" s="17">
        <v>4212</v>
      </c>
      <c r="X510" s="15">
        <v>282</v>
      </c>
      <c r="Y510" s="17">
        <v>432</v>
      </c>
      <c r="Z510" s="17">
        <v>460</v>
      </c>
      <c r="AA510" s="17">
        <v>5473</v>
      </c>
      <c r="AB510" s="12">
        <f t="shared" si="7"/>
        <v>508</v>
      </c>
    </row>
    <row r="511" ht="14.25" spans="1:28">
      <c r="A511" s="13">
        <v>54</v>
      </c>
      <c r="B511" s="15">
        <v>1</v>
      </c>
      <c r="C511" s="16">
        <v>56</v>
      </c>
      <c r="D511" s="17" t="s">
        <v>122</v>
      </c>
      <c r="E511" s="17" t="s">
        <v>123</v>
      </c>
      <c r="F511" s="17">
        <v>85</v>
      </c>
      <c r="G511" s="17">
        <v>12359</v>
      </c>
      <c r="H511" s="17">
        <v>98.5</v>
      </c>
      <c r="I511" s="17">
        <v>4047</v>
      </c>
      <c r="J511" s="17">
        <v>88</v>
      </c>
      <c r="K511" s="17">
        <v>5738</v>
      </c>
      <c r="L511" s="17">
        <v>35</v>
      </c>
      <c r="M511" s="17">
        <v>7732</v>
      </c>
      <c r="N511" s="17"/>
      <c r="O511" s="17"/>
      <c r="P511" s="17">
        <v>75</v>
      </c>
      <c r="Q511" s="17">
        <v>3841</v>
      </c>
      <c r="R511" s="17"/>
      <c r="S511" s="17"/>
      <c r="T511" s="17">
        <v>78</v>
      </c>
      <c r="U511" s="17">
        <v>1013</v>
      </c>
      <c r="V511" s="17"/>
      <c r="W511" s="17"/>
      <c r="X511" s="15">
        <v>271.5</v>
      </c>
      <c r="Y511" s="17">
        <v>518</v>
      </c>
      <c r="Z511" s="17">
        <v>459.5</v>
      </c>
      <c r="AA511" s="17">
        <v>5507</v>
      </c>
      <c r="AB511" s="12">
        <f t="shared" si="7"/>
        <v>509</v>
      </c>
    </row>
    <row r="512" ht="14.25" spans="1:28">
      <c r="A512" s="13">
        <v>535</v>
      </c>
      <c r="B512" s="15">
        <v>11</v>
      </c>
      <c r="C512" s="16">
        <v>41</v>
      </c>
      <c r="D512" s="17" t="s">
        <v>1079</v>
      </c>
      <c r="E512" s="17" t="s">
        <v>1080</v>
      </c>
      <c r="F512" s="17">
        <v>101</v>
      </c>
      <c r="G512" s="17">
        <v>2896</v>
      </c>
      <c r="H512" s="17">
        <v>91</v>
      </c>
      <c r="I512" s="17">
        <v>5638</v>
      </c>
      <c r="J512" s="17">
        <v>88.5</v>
      </c>
      <c r="K512" s="17">
        <v>5628</v>
      </c>
      <c r="L512" s="17">
        <v>44</v>
      </c>
      <c r="M512" s="17">
        <v>5222</v>
      </c>
      <c r="N512" s="17"/>
      <c r="O512" s="17"/>
      <c r="P512" s="17">
        <v>64</v>
      </c>
      <c r="Q512" s="17">
        <v>7304</v>
      </c>
      <c r="R512" s="17">
        <v>71</v>
      </c>
      <c r="S512" s="17">
        <v>5151</v>
      </c>
      <c r="T512" s="17"/>
      <c r="U512" s="17"/>
      <c r="V512" s="17"/>
      <c r="W512" s="17"/>
      <c r="X512" s="15">
        <v>280.5</v>
      </c>
      <c r="Y512" s="17">
        <v>443</v>
      </c>
      <c r="Z512" s="17">
        <v>459.5</v>
      </c>
      <c r="AA512" s="17">
        <v>5507</v>
      </c>
      <c r="AB512" s="12">
        <f t="shared" si="7"/>
        <v>509</v>
      </c>
    </row>
    <row r="513" ht="14.25" spans="1:28">
      <c r="A513" s="13">
        <v>599</v>
      </c>
      <c r="B513" s="15">
        <v>12</v>
      </c>
      <c r="C513" s="16">
        <v>49</v>
      </c>
      <c r="D513" s="17" t="s">
        <v>1206</v>
      </c>
      <c r="E513" s="17" t="s">
        <v>1207</v>
      </c>
      <c r="F513" s="17">
        <v>100.5</v>
      </c>
      <c r="G513" s="17">
        <v>3131</v>
      </c>
      <c r="H513" s="17">
        <v>93.5</v>
      </c>
      <c r="I513" s="17">
        <v>5060</v>
      </c>
      <c r="J513" s="17">
        <v>85.25</v>
      </c>
      <c r="K513" s="17">
        <v>6452</v>
      </c>
      <c r="L513" s="17">
        <v>43</v>
      </c>
      <c r="M513" s="17">
        <v>5463</v>
      </c>
      <c r="N513" s="17"/>
      <c r="O513" s="17"/>
      <c r="P513" s="17">
        <v>65</v>
      </c>
      <c r="Q513" s="17">
        <v>7113</v>
      </c>
      <c r="R513" s="17">
        <v>72</v>
      </c>
      <c r="S513" s="17">
        <v>4793</v>
      </c>
      <c r="T513" s="17"/>
      <c r="U513" s="17"/>
      <c r="V513" s="17"/>
      <c r="W513" s="17"/>
      <c r="X513" s="15">
        <v>279.25</v>
      </c>
      <c r="Y513" s="17">
        <v>453</v>
      </c>
      <c r="Z513" s="17">
        <v>459.25</v>
      </c>
      <c r="AA513" s="17">
        <v>5521</v>
      </c>
      <c r="AB513" s="12">
        <f t="shared" si="7"/>
        <v>511</v>
      </c>
    </row>
    <row r="514" ht="14.25" spans="1:28">
      <c r="A514" s="13">
        <v>311</v>
      </c>
      <c r="B514" s="15">
        <v>7</v>
      </c>
      <c r="C514" s="16">
        <v>22</v>
      </c>
      <c r="D514" s="17" t="s">
        <v>633</v>
      </c>
      <c r="E514" s="17" t="s">
        <v>634</v>
      </c>
      <c r="F514" s="17">
        <v>89</v>
      </c>
      <c r="G514" s="17">
        <v>9959</v>
      </c>
      <c r="H514" s="17">
        <v>84</v>
      </c>
      <c r="I514" s="17">
        <v>7206</v>
      </c>
      <c r="J514" s="17">
        <v>90.5</v>
      </c>
      <c r="K514" s="17">
        <v>5135</v>
      </c>
      <c r="L514" s="17">
        <v>37.5</v>
      </c>
      <c r="M514" s="17">
        <v>6979</v>
      </c>
      <c r="N514" s="17"/>
      <c r="O514" s="17"/>
      <c r="P514" s="17"/>
      <c r="Q514" s="17"/>
      <c r="R514" s="17">
        <v>71</v>
      </c>
      <c r="S514" s="17">
        <v>5151</v>
      </c>
      <c r="T514" s="17"/>
      <c r="U514" s="17"/>
      <c r="V514" s="17">
        <v>87</v>
      </c>
      <c r="W514" s="17">
        <v>273</v>
      </c>
      <c r="X514" s="15">
        <v>263.5</v>
      </c>
      <c r="Y514" s="17">
        <v>563</v>
      </c>
      <c r="Z514" s="17">
        <v>459</v>
      </c>
      <c r="AA514" s="17">
        <v>5533</v>
      </c>
      <c r="AB514" s="12">
        <f t="shared" si="7"/>
        <v>512</v>
      </c>
    </row>
    <row r="515" ht="14.25" spans="1:28">
      <c r="A515" s="13">
        <v>146</v>
      </c>
      <c r="B515" s="15">
        <v>3</v>
      </c>
      <c r="C515" s="16">
        <v>35</v>
      </c>
      <c r="D515" s="17" t="s">
        <v>305</v>
      </c>
      <c r="E515" s="17" t="s">
        <v>306</v>
      </c>
      <c r="F515" s="17">
        <v>84.25</v>
      </c>
      <c r="G515" s="17">
        <v>12885</v>
      </c>
      <c r="H515" s="17">
        <v>101</v>
      </c>
      <c r="I515" s="17">
        <v>3563</v>
      </c>
      <c r="J515" s="17">
        <v>93</v>
      </c>
      <c r="K515" s="17">
        <v>4548</v>
      </c>
      <c r="L515" s="17">
        <v>43.5</v>
      </c>
      <c r="M515" s="17">
        <v>5353</v>
      </c>
      <c r="N515" s="17"/>
      <c r="O515" s="17"/>
      <c r="P515" s="17">
        <v>69</v>
      </c>
      <c r="Q515" s="17">
        <v>5655</v>
      </c>
      <c r="R515" s="17"/>
      <c r="S515" s="17"/>
      <c r="T515" s="17"/>
      <c r="U515" s="17"/>
      <c r="V515" s="17">
        <v>68</v>
      </c>
      <c r="W515" s="17">
        <v>2512</v>
      </c>
      <c r="X515" s="15">
        <v>278.25</v>
      </c>
      <c r="Y515" s="17">
        <v>465</v>
      </c>
      <c r="Z515" s="17">
        <v>458.75</v>
      </c>
      <c r="AA515" s="17">
        <v>5554</v>
      </c>
      <c r="AB515" s="12">
        <f t="shared" ref="AB515:AB578" si="8">RANK(Z515,$Z$3:$Z$696)</f>
        <v>513</v>
      </c>
    </row>
    <row r="516" ht="14.25" spans="1:28">
      <c r="A516" s="13">
        <v>109</v>
      </c>
      <c r="B516" s="15">
        <v>2</v>
      </c>
      <c r="C516" s="16">
        <v>48</v>
      </c>
      <c r="D516" s="17" t="s">
        <v>231</v>
      </c>
      <c r="E516" s="17" t="s">
        <v>232</v>
      </c>
      <c r="F516" s="17">
        <v>103.5</v>
      </c>
      <c r="G516" s="17">
        <v>1897</v>
      </c>
      <c r="H516" s="17">
        <v>92.5</v>
      </c>
      <c r="I516" s="17">
        <v>5299</v>
      </c>
      <c r="J516" s="17">
        <v>77.5</v>
      </c>
      <c r="K516" s="17">
        <v>8422</v>
      </c>
      <c r="L516" s="17">
        <v>38</v>
      </c>
      <c r="M516" s="17">
        <v>6823</v>
      </c>
      <c r="N516" s="17"/>
      <c r="O516" s="17"/>
      <c r="P516" s="17"/>
      <c r="Q516" s="17"/>
      <c r="R516" s="17">
        <v>71</v>
      </c>
      <c r="S516" s="17">
        <v>5151</v>
      </c>
      <c r="T516" s="17">
        <v>76</v>
      </c>
      <c r="U516" s="17">
        <v>1295</v>
      </c>
      <c r="V516" s="17"/>
      <c r="W516" s="17"/>
      <c r="X516" s="15">
        <v>273.5</v>
      </c>
      <c r="Y516" s="17">
        <v>505</v>
      </c>
      <c r="Z516" s="17">
        <v>458.5</v>
      </c>
      <c r="AA516" s="17">
        <v>5560</v>
      </c>
      <c r="AB516" s="12">
        <f t="shared" si="8"/>
        <v>514</v>
      </c>
    </row>
    <row r="517" ht="14.25" spans="1:28">
      <c r="A517" s="13">
        <v>270</v>
      </c>
      <c r="B517" s="15">
        <v>6</v>
      </c>
      <c r="C517" s="16">
        <v>22</v>
      </c>
      <c r="D517" s="17" t="s">
        <v>551</v>
      </c>
      <c r="E517" s="17" t="s">
        <v>552</v>
      </c>
      <c r="F517" s="17">
        <v>95</v>
      </c>
      <c r="G517" s="17">
        <v>6168</v>
      </c>
      <c r="H517" s="17">
        <v>74</v>
      </c>
      <c r="I517" s="17">
        <v>9218</v>
      </c>
      <c r="J517" s="17">
        <v>109</v>
      </c>
      <c r="K517" s="17">
        <v>1584</v>
      </c>
      <c r="L517" s="17">
        <v>27.5</v>
      </c>
      <c r="M517" s="17">
        <v>10504</v>
      </c>
      <c r="N517" s="17"/>
      <c r="O517" s="17"/>
      <c r="P517" s="17"/>
      <c r="Q517" s="17"/>
      <c r="R517" s="17">
        <v>73</v>
      </c>
      <c r="S517" s="17">
        <v>4436</v>
      </c>
      <c r="T517" s="17"/>
      <c r="U517" s="17"/>
      <c r="V517" s="17">
        <v>80</v>
      </c>
      <c r="W517" s="17">
        <v>938</v>
      </c>
      <c r="X517" s="15">
        <v>278</v>
      </c>
      <c r="Y517" s="17">
        <v>469</v>
      </c>
      <c r="Z517" s="17">
        <v>458.5</v>
      </c>
      <c r="AA517" s="17">
        <v>5560</v>
      </c>
      <c r="AB517" s="12">
        <f t="shared" si="8"/>
        <v>514</v>
      </c>
    </row>
    <row r="518" ht="14.25" spans="1:28">
      <c r="A518" s="13">
        <v>248</v>
      </c>
      <c r="B518" s="15">
        <v>5</v>
      </c>
      <c r="C518" s="16">
        <v>45</v>
      </c>
      <c r="D518" s="17" t="s">
        <v>508</v>
      </c>
      <c r="E518" s="17" t="s">
        <v>362</v>
      </c>
      <c r="F518" s="17">
        <v>91</v>
      </c>
      <c r="G518" s="17">
        <v>8620</v>
      </c>
      <c r="H518" s="17">
        <v>89.5</v>
      </c>
      <c r="I518" s="17">
        <v>5946</v>
      </c>
      <c r="J518" s="17">
        <v>82.75</v>
      </c>
      <c r="K518" s="17">
        <v>7077</v>
      </c>
      <c r="L518" s="17">
        <v>48</v>
      </c>
      <c r="M518" s="17">
        <v>4355</v>
      </c>
      <c r="N518" s="17"/>
      <c r="O518" s="17"/>
      <c r="P518" s="17">
        <v>62</v>
      </c>
      <c r="Q518" s="17">
        <v>8021</v>
      </c>
      <c r="R518" s="17"/>
      <c r="S518" s="17"/>
      <c r="T518" s="17"/>
      <c r="U518" s="17"/>
      <c r="V518" s="17">
        <v>85</v>
      </c>
      <c r="W518" s="17">
        <v>530</v>
      </c>
      <c r="X518" s="15">
        <v>263.25</v>
      </c>
      <c r="Y518" s="17">
        <v>568</v>
      </c>
      <c r="Z518" s="17">
        <v>458.25</v>
      </c>
      <c r="AA518" s="17">
        <v>5578</v>
      </c>
      <c r="AB518" s="12">
        <f t="shared" si="8"/>
        <v>516</v>
      </c>
    </row>
    <row r="519" ht="14.25" spans="1:28">
      <c r="A519" s="13">
        <v>276</v>
      </c>
      <c r="B519" s="15">
        <v>6</v>
      </c>
      <c r="C519" s="16">
        <v>28</v>
      </c>
      <c r="D519" s="17" t="s">
        <v>563</v>
      </c>
      <c r="E519" s="17" t="s">
        <v>564</v>
      </c>
      <c r="F519" s="17">
        <v>88.75</v>
      </c>
      <c r="G519" s="17">
        <v>10255</v>
      </c>
      <c r="H519" s="17">
        <v>91</v>
      </c>
      <c r="I519" s="17">
        <v>5638</v>
      </c>
      <c r="J519" s="17">
        <v>80.5</v>
      </c>
      <c r="K519" s="17">
        <v>7667</v>
      </c>
      <c r="L519" s="17">
        <v>55</v>
      </c>
      <c r="M519" s="17">
        <v>3031</v>
      </c>
      <c r="N519" s="17"/>
      <c r="O519" s="17"/>
      <c r="P519" s="17"/>
      <c r="Q519" s="17"/>
      <c r="R519" s="17">
        <v>69</v>
      </c>
      <c r="S519" s="17">
        <v>5677</v>
      </c>
      <c r="T519" s="17"/>
      <c r="U519" s="17"/>
      <c r="V519" s="17">
        <v>74</v>
      </c>
      <c r="W519" s="17">
        <v>1732</v>
      </c>
      <c r="X519" s="15">
        <v>260.25</v>
      </c>
      <c r="Y519" s="17">
        <v>582</v>
      </c>
      <c r="Z519" s="17">
        <v>458.25</v>
      </c>
      <c r="AA519" s="17">
        <v>5578</v>
      </c>
      <c r="AB519" s="12">
        <f t="shared" si="8"/>
        <v>516</v>
      </c>
    </row>
    <row r="520" ht="14.25" spans="1:28">
      <c r="A520" s="13">
        <v>119</v>
      </c>
      <c r="B520" s="15">
        <v>3</v>
      </c>
      <c r="C520" s="16">
        <v>8</v>
      </c>
      <c r="D520" s="17" t="s">
        <v>251</v>
      </c>
      <c r="E520" s="17" t="s">
        <v>252</v>
      </c>
      <c r="F520" s="17">
        <v>92.25</v>
      </c>
      <c r="G520" s="17">
        <v>7961</v>
      </c>
      <c r="H520" s="17">
        <v>104.5</v>
      </c>
      <c r="I520" s="17">
        <v>2895</v>
      </c>
      <c r="J520" s="17">
        <v>69.25</v>
      </c>
      <c r="K520" s="17">
        <v>10515</v>
      </c>
      <c r="L520" s="17">
        <v>48.5</v>
      </c>
      <c r="M520" s="17">
        <v>4255</v>
      </c>
      <c r="N520" s="17"/>
      <c r="O520" s="17"/>
      <c r="P520" s="17">
        <v>61</v>
      </c>
      <c r="Q520" s="17">
        <v>8358</v>
      </c>
      <c r="R520" s="17"/>
      <c r="S520" s="17"/>
      <c r="T520" s="17"/>
      <c r="U520" s="17"/>
      <c r="V520" s="17">
        <v>82</v>
      </c>
      <c r="W520" s="17">
        <v>723</v>
      </c>
      <c r="X520" s="15">
        <v>266</v>
      </c>
      <c r="Y520" s="17">
        <v>549</v>
      </c>
      <c r="Z520" s="17">
        <v>457.5</v>
      </c>
      <c r="AA520" s="17">
        <v>5634</v>
      </c>
      <c r="AB520" s="12">
        <f t="shared" si="8"/>
        <v>518</v>
      </c>
    </row>
    <row r="521" ht="14.25" spans="1:28">
      <c r="A521" s="13">
        <v>226</v>
      </c>
      <c r="B521" s="15">
        <v>5</v>
      </c>
      <c r="C521" s="16">
        <v>23</v>
      </c>
      <c r="D521" s="17" t="s">
        <v>465</v>
      </c>
      <c r="E521" s="17" t="s">
        <v>466</v>
      </c>
      <c r="F521" s="17">
        <v>84</v>
      </c>
      <c r="G521" s="17">
        <v>12898</v>
      </c>
      <c r="H521" s="17">
        <v>104.5</v>
      </c>
      <c r="I521" s="17">
        <v>2895</v>
      </c>
      <c r="J521" s="17">
        <v>84.5</v>
      </c>
      <c r="K521" s="17">
        <v>6614</v>
      </c>
      <c r="L521" s="17">
        <v>43.5</v>
      </c>
      <c r="M521" s="17">
        <v>5353</v>
      </c>
      <c r="N521" s="17"/>
      <c r="O521" s="17"/>
      <c r="P521" s="17">
        <v>68</v>
      </c>
      <c r="Q521" s="17">
        <v>6016</v>
      </c>
      <c r="R521" s="17"/>
      <c r="S521" s="17"/>
      <c r="T521" s="17"/>
      <c r="U521" s="17"/>
      <c r="V521" s="17">
        <v>73</v>
      </c>
      <c r="W521" s="17">
        <v>1853</v>
      </c>
      <c r="X521" s="15">
        <v>273</v>
      </c>
      <c r="Y521" s="17">
        <v>508</v>
      </c>
      <c r="Z521" s="17">
        <v>457.5</v>
      </c>
      <c r="AA521" s="17">
        <v>5634</v>
      </c>
      <c r="AB521" s="12">
        <f t="shared" si="8"/>
        <v>518</v>
      </c>
    </row>
    <row r="522" ht="14.25" spans="1:28">
      <c r="A522" s="13">
        <v>145</v>
      </c>
      <c r="B522" s="15">
        <v>3</v>
      </c>
      <c r="C522" s="16">
        <v>34</v>
      </c>
      <c r="D522" s="17" t="s">
        <v>303</v>
      </c>
      <c r="E522" s="17" t="s">
        <v>304</v>
      </c>
      <c r="F522" s="17">
        <v>96</v>
      </c>
      <c r="G522" s="17">
        <v>5544</v>
      </c>
      <c r="H522" s="17">
        <v>82</v>
      </c>
      <c r="I522" s="17">
        <v>7634</v>
      </c>
      <c r="J522" s="17">
        <v>97.25</v>
      </c>
      <c r="K522" s="17">
        <v>3624</v>
      </c>
      <c r="L522" s="17">
        <v>39</v>
      </c>
      <c r="M522" s="17">
        <v>6535</v>
      </c>
      <c r="N522" s="17"/>
      <c r="O522" s="17"/>
      <c r="P522" s="17">
        <v>66</v>
      </c>
      <c r="Q522" s="17">
        <v>6766</v>
      </c>
      <c r="R522" s="17"/>
      <c r="S522" s="17"/>
      <c r="T522" s="17"/>
      <c r="U522" s="17"/>
      <c r="V522" s="17">
        <v>77</v>
      </c>
      <c r="W522" s="17">
        <v>1318</v>
      </c>
      <c r="X522" s="15">
        <v>275.25</v>
      </c>
      <c r="Y522" s="17">
        <v>495</v>
      </c>
      <c r="Z522" s="17">
        <v>457.25</v>
      </c>
      <c r="AA522" s="17">
        <v>5659</v>
      </c>
      <c r="AB522" s="12">
        <f t="shared" si="8"/>
        <v>520</v>
      </c>
    </row>
    <row r="523" ht="14.25" spans="1:28">
      <c r="A523" s="13">
        <v>555</v>
      </c>
      <c r="B523" s="15">
        <v>12</v>
      </c>
      <c r="C523" s="16">
        <v>2</v>
      </c>
      <c r="D523" s="17" t="s">
        <v>1118</v>
      </c>
      <c r="E523" s="17" t="s">
        <v>1119</v>
      </c>
      <c r="F523" s="17">
        <v>88</v>
      </c>
      <c r="G523" s="17">
        <v>10604</v>
      </c>
      <c r="H523" s="17">
        <v>96</v>
      </c>
      <c r="I523" s="17">
        <v>4544</v>
      </c>
      <c r="J523" s="17">
        <v>94</v>
      </c>
      <c r="K523" s="17">
        <v>4318</v>
      </c>
      <c r="L523" s="17">
        <v>39</v>
      </c>
      <c r="M523" s="17">
        <v>6535</v>
      </c>
      <c r="N523" s="17"/>
      <c r="O523" s="17"/>
      <c r="P523" s="17">
        <v>68</v>
      </c>
      <c r="Q523" s="17">
        <v>6016</v>
      </c>
      <c r="R523" s="17">
        <v>72</v>
      </c>
      <c r="S523" s="17">
        <v>4793</v>
      </c>
      <c r="T523" s="17"/>
      <c r="U523" s="17"/>
      <c r="V523" s="17"/>
      <c r="W523" s="17"/>
      <c r="X523" s="15">
        <v>278</v>
      </c>
      <c r="Y523" s="17">
        <v>469</v>
      </c>
      <c r="Z523" s="17">
        <v>457</v>
      </c>
      <c r="AA523" s="17">
        <v>5673</v>
      </c>
      <c r="AB523" s="12">
        <f t="shared" si="8"/>
        <v>521</v>
      </c>
    </row>
    <row r="524" ht="14.25" spans="1:28">
      <c r="A524" s="13">
        <v>577</v>
      </c>
      <c r="B524" s="15">
        <v>12</v>
      </c>
      <c r="C524" s="16">
        <v>25</v>
      </c>
      <c r="D524" s="17" t="s">
        <v>1162</v>
      </c>
      <c r="E524" s="17" t="s">
        <v>1163</v>
      </c>
      <c r="F524" s="17">
        <v>103</v>
      </c>
      <c r="G524" s="17">
        <v>2094</v>
      </c>
      <c r="H524" s="17">
        <v>97.5</v>
      </c>
      <c r="I524" s="17">
        <v>4244</v>
      </c>
      <c r="J524" s="17">
        <v>82</v>
      </c>
      <c r="K524" s="17">
        <v>7249</v>
      </c>
      <c r="L524" s="17">
        <v>48</v>
      </c>
      <c r="M524" s="17">
        <v>4355</v>
      </c>
      <c r="N524" s="17"/>
      <c r="O524" s="17"/>
      <c r="P524" s="17">
        <v>51</v>
      </c>
      <c r="Q524" s="17">
        <v>10643</v>
      </c>
      <c r="R524" s="17">
        <v>75</v>
      </c>
      <c r="S524" s="17">
        <v>3790</v>
      </c>
      <c r="T524" s="17"/>
      <c r="U524" s="17"/>
      <c r="V524" s="17"/>
      <c r="W524" s="17"/>
      <c r="X524" s="15">
        <v>282.5</v>
      </c>
      <c r="Y524" s="17">
        <v>425</v>
      </c>
      <c r="Z524" s="17">
        <v>456.5</v>
      </c>
      <c r="AA524" s="17">
        <v>5705</v>
      </c>
      <c r="AB524" s="12">
        <f t="shared" si="8"/>
        <v>522</v>
      </c>
    </row>
    <row r="525" ht="14.25" spans="1:28">
      <c r="A525" s="13">
        <v>151</v>
      </c>
      <c r="B525" s="15">
        <v>3</v>
      </c>
      <c r="C525" s="16">
        <v>40</v>
      </c>
      <c r="D525" s="17" t="s">
        <v>315</v>
      </c>
      <c r="E525" s="17" t="s">
        <v>316</v>
      </c>
      <c r="F525" s="17">
        <v>92.75</v>
      </c>
      <c r="G525" s="17">
        <v>7661</v>
      </c>
      <c r="H525" s="17">
        <v>96.5</v>
      </c>
      <c r="I525" s="17">
        <v>4438</v>
      </c>
      <c r="J525" s="17">
        <v>98.5</v>
      </c>
      <c r="K525" s="17">
        <v>3338</v>
      </c>
      <c r="L525" s="17">
        <v>46.5</v>
      </c>
      <c r="M525" s="17">
        <v>4690</v>
      </c>
      <c r="N525" s="17"/>
      <c r="O525" s="17"/>
      <c r="P525" s="17">
        <v>63</v>
      </c>
      <c r="Q525" s="17">
        <v>7666</v>
      </c>
      <c r="R525" s="17"/>
      <c r="S525" s="17"/>
      <c r="T525" s="17"/>
      <c r="U525" s="17"/>
      <c r="V525" s="17">
        <v>59</v>
      </c>
      <c r="W525" s="17">
        <v>3835</v>
      </c>
      <c r="X525" s="15">
        <v>287.75</v>
      </c>
      <c r="Y525" s="17">
        <v>380</v>
      </c>
      <c r="Z525" s="17">
        <v>456.25</v>
      </c>
      <c r="AA525" s="17">
        <v>5724</v>
      </c>
      <c r="AB525" s="12">
        <f t="shared" si="8"/>
        <v>523</v>
      </c>
    </row>
    <row r="526" ht="14.25" spans="1:28">
      <c r="A526" s="13">
        <v>103</v>
      </c>
      <c r="B526" s="15">
        <v>2</v>
      </c>
      <c r="C526" s="16">
        <v>40</v>
      </c>
      <c r="D526" s="17" t="s">
        <v>219</v>
      </c>
      <c r="E526" s="17" t="s">
        <v>220</v>
      </c>
      <c r="F526" s="17">
        <v>104</v>
      </c>
      <c r="G526" s="17">
        <v>1709</v>
      </c>
      <c r="H526" s="17">
        <v>75</v>
      </c>
      <c r="I526" s="17">
        <v>9019</v>
      </c>
      <c r="J526" s="17">
        <v>93</v>
      </c>
      <c r="K526" s="17">
        <v>4548</v>
      </c>
      <c r="L526" s="17">
        <v>41</v>
      </c>
      <c r="M526" s="17">
        <v>5993</v>
      </c>
      <c r="N526" s="17"/>
      <c r="O526" s="17"/>
      <c r="P526" s="17"/>
      <c r="Q526" s="17"/>
      <c r="R526" s="17">
        <v>72</v>
      </c>
      <c r="S526" s="17">
        <v>4793</v>
      </c>
      <c r="T526" s="17">
        <v>71</v>
      </c>
      <c r="U526" s="17">
        <v>1907</v>
      </c>
      <c r="V526" s="17"/>
      <c r="W526" s="17"/>
      <c r="X526" s="15">
        <v>272</v>
      </c>
      <c r="Y526" s="17">
        <v>514</v>
      </c>
      <c r="Z526" s="17">
        <v>456</v>
      </c>
      <c r="AA526" s="17">
        <v>5731</v>
      </c>
      <c r="AB526" s="12">
        <f t="shared" si="8"/>
        <v>524</v>
      </c>
    </row>
    <row r="527" ht="14.25" spans="1:28">
      <c r="A527" s="13">
        <v>291</v>
      </c>
      <c r="B527" s="15">
        <v>7</v>
      </c>
      <c r="C527" s="16">
        <v>1</v>
      </c>
      <c r="D527" s="17" t="s">
        <v>593</v>
      </c>
      <c r="E527" s="17" t="s">
        <v>594</v>
      </c>
      <c r="F527" s="17">
        <v>96</v>
      </c>
      <c r="G527" s="17">
        <v>5544</v>
      </c>
      <c r="H527" s="17">
        <v>89</v>
      </c>
      <c r="I527" s="17">
        <v>6077</v>
      </c>
      <c r="J527" s="17">
        <v>92.5</v>
      </c>
      <c r="K527" s="17">
        <v>4660</v>
      </c>
      <c r="L527" s="17">
        <v>37.5</v>
      </c>
      <c r="M527" s="17">
        <v>6979</v>
      </c>
      <c r="N527" s="17"/>
      <c r="O527" s="17"/>
      <c r="P527" s="17"/>
      <c r="Q527" s="17"/>
      <c r="R527" s="17">
        <v>71</v>
      </c>
      <c r="S527" s="17">
        <v>5151</v>
      </c>
      <c r="T527" s="17"/>
      <c r="U527" s="17"/>
      <c r="V527" s="17">
        <v>70</v>
      </c>
      <c r="W527" s="17">
        <v>2293</v>
      </c>
      <c r="X527" s="15">
        <v>277.5</v>
      </c>
      <c r="Y527" s="17">
        <v>480</v>
      </c>
      <c r="Z527" s="17">
        <v>456</v>
      </c>
      <c r="AA527" s="17">
        <v>5731</v>
      </c>
      <c r="AB527" s="12">
        <f t="shared" si="8"/>
        <v>524</v>
      </c>
    </row>
    <row r="528" ht="14.25" spans="1:28">
      <c r="A528" s="13">
        <v>328</v>
      </c>
      <c r="B528" s="15">
        <v>7</v>
      </c>
      <c r="C528" s="16">
        <v>41</v>
      </c>
      <c r="D528" s="17" t="s">
        <v>667</v>
      </c>
      <c r="E528" s="17" t="s">
        <v>668</v>
      </c>
      <c r="F528" s="17">
        <v>99.5</v>
      </c>
      <c r="G528" s="17">
        <v>3607</v>
      </c>
      <c r="H528" s="17">
        <v>117</v>
      </c>
      <c r="I528" s="17">
        <v>975</v>
      </c>
      <c r="J528" s="17">
        <v>66.5</v>
      </c>
      <c r="K528" s="17">
        <v>11129</v>
      </c>
      <c r="L528" s="17">
        <v>32</v>
      </c>
      <c r="M528" s="17">
        <v>8723</v>
      </c>
      <c r="N528" s="17"/>
      <c r="O528" s="17"/>
      <c r="P528" s="17"/>
      <c r="Q528" s="17"/>
      <c r="R528" s="17">
        <v>73</v>
      </c>
      <c r="S528" s="17">
        <v>4436</v>
      </c>
      <c r="T528" s="17"/>
      <c r="U528" s="17"/>
      <c r="V528" s="17">
        <v>68</v>
      </c>
      <c r="W528" s="17">
        <v>2512</v>
      </c>
      <c r="X528" s="15">
        <v>283</v>
      </c>
      <c r="Y528" s="17">
        <v>420</v>
      </c>
      <c r="Z528" s="17">
        <v>456</v>
      </c>
      <c r="AA528" s="17">
        <v>5731</v>
      </c>
      <c r="AB528" s="12">
        <f t="shared" si="8"/>
        <v>524</v>
      </c>
    </row>
    <row r="529" ht="14.25" spans="1:28">
      <c r="A529" s="13">
        <v>576</v>
      </c>
      <c r="B529" s="15">
        <v>12</v>
      </c>
      <c r="C529" s="16">
        <v>23</v>
      </c>
      <c r="D529" s="17" t="s">
        <v>1160</v>
      </c>
      <c r="E529" s="17" t="s">
        <v>1161</v>
      </c>
      <c r="F529" s="17">
        <v>92</v>
      </c>
      <c r="G529" s="17">
        <v>7994</v>
      </c>
      <c r="H529" s="17">
        <v>93.5</v>
      </c>
      <c r="I529" s="17">
        <v>5060</v>
      </c>
      <c r="J529" s="17">
        <v>78</v>
      </c>
      <c r="K529" s="17">
        <v>8318</v>
      </c>
      <c r="L529" s="17">
        <v>63.5</v>
      </c>
      <c r="M529" s="17">
        <v>1636</v>
      </c>
      <c r="N529" s="17"/>
      <c r="O529" s="17"/>
      <c r="P529" s="17">
        <v>56</v>
      </c>
      <c r="Q529" s="17">
        <v>9899</v>
      </c>
      <c r="R529" s="17">
        <v>73</v>
      </c>
      <c r="S529" s="17">
        <v>4436</v>
      </c>
      <c r="T529" s="17"/>
      <c r="U529" s="17"/>
      <c r="V529" s="17"/>
      <c r="W529" s="17"/>
      <c r="X529" s="15">
        <v>263.5</v>
      </c>
      <c r="Y529" s="17">
        <v>563</v>
      </c>
      <c r="Z529" s="17">
        <v>456</v>
      </c>
      <c r="AA529" s="17">
        <v>5731</v>
      </c>
      <c r="AB529" s="12">
        <f t="shared" si="8"/>
        <v>524</v>
      </c>
    </row>
    <row r="530" ht="14.25" spans="1:28">
      <c r="A530" s="13">
        <v>606</v>
      </c>
      <c r="B530" s="15">
        <v>12</v>
      </c>
      <c r="C530" s="16">
        <v>56</v>
      </c>
      <c r="D530" s="17" t="s">
        <v>1220</v>
      </c>
      <c r="E530" s="17" t="s">
        <v>1221</v>
      </c>
      <c r="F530" s="17">
        <v>95</v>
      </c>
      <c r="G530" s="17">
        <v>6168</v>
      </c>
      <c r="H530" s="17">
        <v>88</v>
      </c>
      <c r="I530" s="17">
        <v>6299</v>
      </c>
      <c r="J530" s="17">
        <v>93</v>
      </c>
      <c r="K530" s="17">
        <v>4548</v>
      </c>
      <c r="L530" s="17">
        <v>46</v>
      </c>
      <c r="M530" s="17">
        <v>4785</v>
      </c>
      <c r="N530" s="17"/>
      <c r="O530" s="17"/>
      <c r="P530" s="17">
        <v>60</v>
      </c>
      <c r="Q530" s="17">
        <v>8673</v>
      </c>
      <c r="R530" s="17">
        <v>74</v>
      </c>
      <c r="S530" s="17">
        <v>4119</v>
      </c>
      <c r="T530" s="17"/>
      <c r="U530" s="17"/>
      <c r="V530" s="17"/>
      <c r="W530" s="17"/>
      <c r="X530" s="15">
        <v>276</v>
      </c>
      <c r="Y530" s="17">
        <v>490</v>
      </c>
      <c r="Z530" s="17">
        <v>456</v>
      </c>
      <c r="AA530" s="17">
        <v>5731</v>
      </c>
      <c r="AB530" s="12">
        <f t="shared" si="8"/>
        <v>524</v>
      </c>
    </row>
    <row r="531" ht="14.25" spans="1:28">
      <c r="A531" s="13">
        <v>69</v>
      </c>
      <c r="B531" s="15">
        <v>2</v>
      </c>
      <c r="C531" s="16">
        <v>6</v>
      </c>
      <c r="D531" s="17" t="s">
        <v>152</v>
      </c>
      <c r="E531" s="17" t="s">
        <v>153</v>
      </c>
      <c r="F531" s="17">
        <v>95.5</v>
      </c>
      <c r="G531" s="17">
        <v>5877</v>
      </c>
      <c r="H531" s="17">
        <v>80</v>
      </c>
      <c r="I531" s="17">
        <v>8038</v>
      </c>
      <c r="J531" s="17">
        <v>94.25</v>
      </c>
      <c r="K531" s="17">
        <v>4296</v>
      </c>
      <c r="L531" s="17">
        <v>38</v>
      </c>
      <c r="M531" s="17">
        <v>6823</v>
      </c>
      <c r="N531" s="17"/>
      <c r="O531" s="17"/>
      <c r="P531" s="17"/>
      <c r="Q531" s="17"/>
      <c r="R531" s="17">
        <v>65</v>
      </c>
      <c r="S531" s="17">
        <v>7060</v>
      </c>
      <c r="T531" s="17">
        <v>83</v>
      </c>
      <c r="U531" s="17">
        <v>561</v>
      </c>
      <c r="V531" s="17"/>
      <c r="W531" s="17"/>
      <c r="X531" s="15">
        <v>269.75</v>
      </c>
      <c r="Y531" s="17">
        <v>535</v>
      </c>
      <c r="Z531" s="17">
        <v>455.75</v>
      </c>
      <c r="AA531" s="17">
        <v>5761</v>
      </c>
      <c r="AB531" s="12">
        <f t="shared" si="8"/>
        <v>529</v>
      </c>
    </row>
    <row r="532" ht="14.25" spans="1:28">
      <c r="A532" s="13">
        <v>189</v>
      </c>
      <c r="B532" s="15">
        <v>4</v>
      </c>
      <c r="C532" s="16">
        <v>31</v>
      </c>
      <c r="D532" s="17" t="s">
        <v>391</v>
      </c>
      <c r="E532" s="17" t="s">
        <v>392</v>
      </c>
      <c r="F532" s="17">
        <v>91</v>
      </c>
      <c r="G532" s="17">
        <v>8620</v>
      </c>
      <c r="H532" s="17">
        <v>106</v>
      </c>
      <c r="I532" s="17">
        <v>2619</v>
      </c>
      <c r="J532" s="17">
        <v>100.75</v>
      </c>
      <c r="K532" s="17">
        <v>2915</v>
      </c>
      <c r="L532" s="17">
        <v>32</v>
      </c>
      <c r="M532" s="17">
        <v>8723</v>
      </c>
      <c r="N532" s="17"/>
      <c r="O532" s="17"/>
      <c r="P532" s="17">
        <v>72</v>
      </c>
      <c r="Q532" s="17">
        <v>4881</v>
      </c>
      <c r="R532" s="17"/>
      <c r="S532" s="17"/>
      <c r="T532" s="17"/>
      <c r="U532" s="17"/>
      <c r="V532" s="17">
        <v>52</v>
      </c>
      <c r="W532" s="17">
        <v>4491</v>
      </c>
      <c r="X532" s="15">
        <v>297.75</v>
      </c>
      <c r="Y532" s="17">
        <v>297</v>
      </c>
      <c r="Z532" s="17">
        <v>453.75</v>
      </c>
      <c r="AA532" s="17">
        <v>5880</v>
      </c>
      <c r="AB532" s="12">
        <f t="shared" si="8"/>
        <v>530</v>
      </c>
    </row>
    <row r="533" ht="14.25" spans="1:28">
      <c r="A533" s="13">
        <v>640</v>
      </c>
      <c r="B533" s="15">
        <v>13</v>
      </c>
      <c r="C533" s="16">
        <v>33</v>
      </c>
      <c r="D533" s="17" t="s">
        <v>1287</v>
      </c>
      <c r="E533" s="17" t="s">
        <v>1288</v>
      </c>
      <c r="F533" s="17">
        <v>101</v>
      </c>
      <c r="G533" s="17">
        <v>2896</v>
      </c>
      <c r="H533" s="17">
        <v>87.5</v>
      </c>
      <c r="I533" s="17">
        <v>6415</v>
      </c>
      <c r="J533" s="17">
        <v>89</v>
      </c>
      <c r="K533" s="17">
        <v>5512</v>
      </c>
      <c r="L533" s="17">
        <v>45</v>
      </c>
      <c r="M533" s="17">
        <v>5014</v>
      </c>
      <c r="N533" s="17"/>
      <c r="O533" s="17"/>
      <c r="P533" s="17">
        <v>57</v>
      </c>
      <c r="Q533" s="17">
        <v>9600</v>
      </c>
      <c r="R533" s="17">
        <v>74</v>
      </c>
      <c r="S533" s="17">
        <v>4119</v>
      </c>
      <c r="T533" s="17"/>
      <c r="U533" s="17"/>
      <c r="V533" s="17"/>
      <c r="W533" s="17"/>
      <c r="X533" s="15">
        <v>277.5</v>
      </c>
      <c r="Y533" s="17">
        <v>480</v>
      </c>
      <c r="Z533" s="17">
        <v>453.5</v>
      </c>
      <c r="AA533" s="17">
        <v>5886</v>
      </c>
      <c r="AB533" s="12">
        <f t="shared" si="8"/>
        <v>531</v>
      </c>
    </row>
    <row r="534" ht="14.25" spans="1:28">
      <c r="A534" s="13">
        <v>1</v>
      </c>
      <c r="B534" s="15">
        <v>1</v>
      </c>
      <c r="C534" s="16">
        <v>1</v>
      </c>
      <c r="D534" s="17" t="s">
        <v>16</v>
      </c>
      <c r="E534" s="17" t="s">
        <v>17</v>
      </c>
      <c r="F534" s="17">
        <v>95.5</v>
      </c>
      <c r="G534" s="17">
        <v>5877</v>
      </c>
      <c r="H534" s="17">
        <v>86.5</v>
      </c>
      <c r="I534" s="17">
        <v>6657</v>
      </c>
      <c r="J534" s="17">
        <v>96.5</v>
      </c>
      <c r="K534" s="17">
        <v>3746</v>
      </c>
      <c r="L534" s="17">
        <v>39.5</v>
      </c>
      <c r="M534" s="17">
        <v>6404</v>
      </c>
      <c r="N534" s="17"/>
      <c r="O534" s="17"/>
      <c r="P534" s="17">
        <v>62</v>
      </c>
      <c r="Q534" s="17">
        <v>8021</v>
      </c>
      <c r="R534" s="17"/>
      <c r="S534" s="17"/>
      <c r="T534" s="17">
        <v>73</v>
      </c>
      <c r="U534" s="17">
        <v>1585</v>
      </c>
      <c r="V534" s="17"/>
      <c r="W534" s="17"/>
      <c r="X534" s="15">
        <v>278.5</v>
      </c>
      <c r="Y534" s="17">
        <v>462</v>
      </c>
      <c r="Z534" s="17">
        <v>453</v>
      </c>
      <c r="AA534" s="17">
        <v>5915</v>
      </c>
      <c r="AB534" s="12">
        <f t="shared" si="8"/>
        <v>532</v>
      </c>
    </row>
    <row r="535" ht="14.25" spans="1:28">
      <c r="A535" s="13">
        <v>333</v>
      </c>
      <c r="B535" s="15">
        <v>8</v>
      </c>
      <c r="C535" s="16">
        <v>5</v>
      </c>
      <c r="D535" s="17" t="s">
        <v>677</v>
      </c>
      <c r="E535" s="17" t="s">
        <v>678</v>
      </c>
      <c r="F535" s="17">
        <v>84</v>
      </c>
      <c r="G535" s="17">
        <v>12898</v>
      </c>
      <c r="H535" s="17">
        <v>79.5</v>
      </c>
      <c r="I535" s="17">
        <v>8139</v>
      </c>
      <c r="J535" s="17">
        <v>86.5</v>
      </c>
      <c r="K535" s="17">
        <v>6120</v>
      </c>
      <c r="L535" s="17">
        <v>54</v>
      </c>
      <c r="M535" s="17">
        <v>3208</v>
      </c>
      <c r="N535" s="17"/>
      <c r="O535" s="17"/>
      <c r="P535" s="17">
        <v>70</v>
      </c>
      <c r="Q535" s="17">
        <v>5445</v>
      </c>
      <c r="R535" s="17">
        <v>79</v>
      </c>
      <c r="S535" s="17">
        <v>2629</v>
      </c>
      <c r="T535" s="17"/>
      <c r="U535" s="17"/>
      <c r="V535" s="17"/>
      <c r="W535" s="17"/>
      <c r="X535" s="15">
        <v>250</v>
      </c>
      <c r="Y535" s="17">
        <v>609</v>
      </c>
      <c r="Z535" s="17">
        <v>453</v>
      </c>
      <c r="AA535" s="17">
        <v>5915</v>
      </c>
      <c r="AB535" s="12">
        <f t="shared" si="8"/>
        <v>532</v>
      </c>
    </row>
    <row r="536" ht="14.25" spans="1:28">
      <c r="A536" s="13">
        <v>593</v>
      </c>
      <c r="B536" s="15">
        <v>12</v>
      </c>
      <c r="C536" s="16">
        <v>43</v>
      </c>
      <c r="D536" s="17" t="s">
        <v>1194</v>
      </c>
      <c r="E536" s="17" t="s">
        <v>1195</v>
      </c>
      <c r="F536" s="17">
        <v>82</v>
      </c>
      <c r="G536" s="17">
        <v>13863</v>
      </c>
      <c r="H536" s="17">
        <v>109</v>
      </c>
      <c r="I536" s="17">
        <v>2105</v>
      </c>
      <c r="J536" s="17">
        <v>73.5</v>
      </c>
      <c r="K536" s="17">
        <v>9484</v>
      </c>
      <c r="L536" s="17">
        <v>43.5</v>
      </c>
      <c r="M536" s="17">
        <v>5353</v>
      </c>
      <c r="N536" s="17"/>
      <c r="O536" s="17"/>
      <c r="P536" s="17">
        <v>72</v>
      </c>
      <c r="Q536" s="17">
        <v>4881</v>
      </c>
      <c r="R536" s="17">
        <v>73</v>
      </c>
      <c r="S536" s="17">
        <v>4436</v>
      </c>
      <c r="T536" s="17"/>
      <c r="U536" s="17"/>
      <c r="V536" s="17"/>
      <c r="W536" s="17"/>
      <c r="X536" s="15">
        <v>264.5</v>
      </c>
      <c r="Y536" s="17">
        <v>560</v>
      </c>
      <c r="Z536" s="17">
        <v>453</v>
      </c>
      <c r="AA536" s="17">
        <v>5915</v>
      </c>
      <c r="AB536" s="12">
        <f t="shared" si="8"/>
        <v>532</v>
      </c>
    </row>
    <row r="537" ht="14.25" spans="1:28">
      <c r="A537" s="13">
        <v>325</v>
      </c>
      <c r="B537" s="15">
        <v>7</v>
      </c>
      <c r="C537" s="16">
        <v>38</v>
      </c>
      <c r="D537" s="17" t="s">
        <v>661</v>
      </c>
      <c r="E537" s="17" t="s">
        <v>662</v>
      </c>
      <c r="F537" s="17">
        <v>101.25</v>
      </c>
      <c r="G537" s="17">
        <v>2875</v>
      </c>
      <c r="H537" s="17">
        <v>93</v>
      </c>
      <c r="I537" s="17">
        <v>5192</v>
      </c>
      <c r="J537" s="17">
        <v>76</v>
      </c>
      <c r="K537" s="17">
        <v>8837</v>
      </c>
      <c r="L537" s="17">
        <v>41.5</v>
      </c>
      <c r="M537" s="17">
        <v>5867</v>
      </c>
      <c r="N537" s="17"/>
      <c r="O537" s="17"/>
      <c r="P537" s="17"/>
      <c r="Q537" s="17"/>
      <c r="R537" s="17">
        <v>65</v>
      </c>
      <c r="S537" s="17">
        <v>7060</v>
      </c>
      <c r="T537" s="17"/>
      <c r="U537" s="17"/>
      <c r="V537" s="17">
        <v>76</v>
      </c>
      <c r="W537" s="17">
        <v>1407</v>
      </c>
      <c r="X537" s="15">
        <v>270.25</v>
      </c>
      <c r="Y537" s="17">
        <v>529</v>
      </c>
      <c r="Z537" s="17">
        <v>452.75</v>
      </c>
      <c r="AA537" s="17">
        <v>5946</v>
      </c>
      <c r="AB537" s="12">
        <f t="shared" si="8"/>
        <v>535</v>
      </c>
    </row>
    <row r="538" ht="14.25" spans="1:28">
      <c r="A538" s="13">
        <v>123</v>
      </c>
      <c r="B538" s="15">
        <v>3</v>
      </c>
      <c r="C538" s="16">
        <v>12</v>
      </c>
      <c r="D538" s="17" t="s">
        <v>259</v>
      </c>
      <c r="E538" s="17" t="s">
        <v>260</v>
      </c>
      <c r="F538" s="17">
        <v>93.5</v>
      </c>
      <c r="G538" s="17">
        <v>7127</v>
      </c>
      <c r="H538" s="17">
        <v>90</v>
      </c>
      <c r="I538" s="17">
        <v>5850</v>
      </c>
      <c r="J538" s="17">
        <v>102</v>
      </c>
      <c r="K538" s="17">
        <v>2685</v>
      </c>
      <c r="L538" s="17">
        <v>38</v>
      </c>
      <c r="M538" s="17">
        <v>6823</v>
      </c>
      <c r="N538" s="17"/>
      <c r="O538" s="17"/>
      <c r="P538" s="17">
        <v>65</v>
      </c>
      <c r="Q538" s="17">
        <v>7113</v>
      </c>
      <c r="R538" s="17"/>
      <c r="S538" s="17"/>
      <c r="T538" s="17"/>
      <c r="U538" s="17"/>
      <c r="V538" s="17">
        <v>64</v>
      </c>
      <c r="W538" s="17">
        <v>3146</v>
      </c>
      <c r="X538" s="15">
        <v>285.5</v>
      </c>
      <c r="Y538" s="17">
        <v>397</v>
      </c>
      <c r="Z538" s="17">
        <v>452.5</v>
      </c>
      <c r="AA538" s="17">
        <v>5957</v>
      </c>
      <c r="AB538" s="12">
        <f t="shared" si="8"/>
        <v>536</v>
      </c>
    </row>
    <row r="539" ht="14.25" spans="1:28">
      <c r="A539" s="13">
        <v>133</v>
      </c>
      <c r="B539" s="15">
        <v>3</v>
      </c>
      <c r="C539" s="16">
        <v>22</v>
      </c>
      <c r="D539" s="17" t="s">
        <v>279</v>
      </c>
      <c r="E539" s="17" t="s">
        <v>280</v>
      </c>
      <c r="F539" s="17">
        <v>94</v>
      </c>
      <c r="G539" s="17">
        <v>6811</v>
      </c>
      <c r="H539" s="17">
        <v>80</v>
      </c>
      <c r="I539" s="17">
        <v>8038</v>
      </c>
      <c r="J539" s="17">
        <v>96.5</v>
      </c>
      <c r="K539" s="17">
        <v>3746</v>
      </c>
      <c r="L539" s="17">
        <v>35</v>
      </c>
      <c r="M539" s="17">
        <v>7732</v>
      </c>
      <c r="N539" s="17"/>
      <c r="O539" s="17"/>
      <c r="P539" s="17">
        <v>65</v>
      </c>
      <c r="Q539" s="17">
        <v>7113</v>
      </c>
      <c r="R539" s="17"/>
      <c r="S539" s="17"/>
      <c r="T539" s="17"/>
      <c r="U539" s="17"/>
      <c r="V539" s="17">
        <v>82</v>
      </c>
      <c r="W539" s="17">
        <v>723</v>
      </c>
      <c r="X539" s="15">
        <v>270.5</v>
      </c>
      <c r="Y539" s="17">
        <v>526</v>
      </c>
      <c r="Z539" s="17">
        <v>452.5</v>
      </c>
      <c r="AA539" s="17">
        <v>5957</v>
      </c>
      <c r="AB539" s="12">
        <f t="shared" si="8"/>
        <v>536</v>
      </c>
    </row>
    <row r="540" ht="14.25" spans="1:28">
      <c r="A540" s="13">
        <v>252</v>
      </c>
      <c r="B540" s="15">
        <v>6</v>
      </c>
      <c r="C540" s="16">
        <v>3</v>
      </c>
      <c r="D540" s="17" t="s">
        <v>515</v>
      </c>
      <c r="E540" s="17" t="s">
        <v>516</v>
      </c>
      <c r="F540" s="17">
        <v>100.5</v>
      </c>
      <c r="G540" s="17">
        <v>3131</v>
      </c>
      <c r="H540" s="17">
        <v>82.5</v>
      </c>
      <c r="I540" s="17">
        <v>7529</v>
      </c>
      <c r="J540" s="17">
        <v>73</v>
      </c>
      <c r="K540" s="17">
        <v>9622</v>
      </c>
      <c r="L540" s="17">
        <v>37.5</v>
      </c>
      <c r="M540" s="17">
        <v>6979</v>
      </c>
      <c r="N540" s="17"/>
      <c r="O540" s="17"/>
      <c r="P540" s="17"/>
      <c r="Q540" s="17"/>
      <c r="R540" s="17">
        <v>75</v>
      </c>
      <c r="S540" s="17">
        <v>3790</v>
      </c>
      <c r="T540" s="17"/>
      <c r="U540" s="17"/>
      <c r="V540" s="17">
        <v>84</v>
      </c>
      <c r="W540" s="17">
        <v>588</v>
      </c>
      <c r="X540" s="15">
        <v>256</v>
      </c>
      <c r="Y540" s="17">
        <v>593</v>
      </c>
      <c r="Z540" s="17">
        <v>452.5</v>
      </c>
      <c r="AA540" s="17">
        <v>5957</v>
      </c>
      <c r="AB540" s="12">
        <f t="shared" si="8"/>
        <v>536</v>
      </c>
    </row>
    <row r="541" ht="14.25" spans="1:28">
      <c r="A541" s="13">
        <v>313</v>
      </c>
      <c r="B541" s="15">
        <v>7</v>
      </c>
      <c r="C541" s="16">
        <v>24</v>
      </c>
      <c r="D541" s="17" t="s">
        <v>637</v>
      </c>
      <c r="E541" s="17" t="s">
        <v>638</v>
      </c>
      <c r="F541" s="17">
        <v>88</v>
      </c>
      <c r="G541" s="17">
        <v>10604</v>
      </c>
      <c r="H541" s="17">
        <v>74.5</v>
      </c>
      <c r="I541" s="17">
        <v>9115</v>
      </c>
      <c r="J541" s="17">
        <v>100</v>
      </c>
      <c r="K541" s="17">
        <v>102</v>
      </c>
      <c r="L541" s="17">
        <v>53</v>
      </c>
      <c r="M541" s="17">
        <v>3368</v>
      </c>
      <c r="N541" s="17"/>
      <c r="O541" s="17"/>
      <c r="P541" s="17"/>
      <c r="Q541" s="17"/>
      <c r="R541" s="17">
        <v>75</v>
      </c>
      <c r="S541" s="17">
        <v>3790</v>
      </c>
      <c r="T541" s="17"/>
      <c r="U541" s="17"/>
      <c r="V541" s="17">
        <v>62</v>
      </c>
      <c r="W541" s="17">
        <v>3367</v>
      </c>
      <c r="X541" s="15">
        <v>262.5</v>
      </c>
      <c r="Y541" s="17">
        <v>573</v>
      </c>
      <c r="Z541" s="17">
        <v>452.5</v>
      </c>
      <c r="AA541" s="17">
        <v>5957</v>
      </c>
      <c r="AB541" s="12">
        <f t="shared" si="8"/>
        <v>536</v>
      </c>
    </row>
    <row r="542" ht="14.25" spans="1:28">
      <c r="A542" s="13">
        <v>85</v>
      </c>
      <c r="B542" s="15">
        <v>2</v>
      </c>
      <c r="C542" s="16">
        <v>22</v>
      </c>
      <c r="D542" s="17" t="s">
        <v>183</v>
      </c>
      <c r="E542" s="17" t="s">
        <v>184</v>
      </c>
      <c r="F542" s="17">
        <v>94.5</v>
      </c>
      <c r="G542" s="17">
        <v>6496</v>
      </c>
      <c r="H542" s="17">
        <v>88.5</v>
      </c>
      <c r="I542" s="17">
        <v>6176</v>
      </c>
      <c r="J542" s="17">
        <v>74.25</v>
      </c>
      <c r="K542" s="17">
        <v>9307</v>
      </c>
      <c r="L542" s="17">
        <v>38.5</v>
      </c>
      <c r="M542" s="17">
        <v>6692</v>
      </c>
      <c r="N542" s="17"/>
      <c r="O542" s="17"/>
      <c r="P542" s="17"/>
      <c r="Q542" s="17"/>
      <c r="R542" s="17">
        <v>86</v>
      </c>
      <c r="S542" s="17">
        <v>1176</v>
      </c>
      <c r="T542" s="17">
        <v>68</v>
      </c>
      <c r="U542" s="17">
        <v>2192</v>
      </c>
      <c r="V542" s="17"/>
      <c r="W542" s="17"/>
      <c r="X542" s="15">
        <v>257.25</v>
      </c>
      <c r="Y542" s="17">
        <v>591</v>
      </c>
      <c r="Z542" s="17">
        <v>449.75</v>
      </c>
      <c r="AA542" s="17">
        <v>6148</v>
      </c>
      <c r="AB542" s="12">
        <f t="shared" si="8"/>
        <v>540</v>
      </c>
    </row>
    <row r="543" ht="14.25" spans="1:28">
      <c r="A543" s="13">
        <v>148</v>
      </c>
      <c r="B543" s="15">
        <v>3</v>
      </c>
      <c r="C543" s="16">
        <v>37</v>
      </c>
      <c r="D543" s="17" t="s">
        <v>309</v>
      </c>
      <c r="E543" s="17" t="s">
        <v>310</v>
      </c>
      <c r="F543" s="17">
        <v>85.75</v>
      </c>
      <c r="G543" s="17">
        <v>12052</v>
      </c>
      <c r="H543" s="17">
        <v>75.5</v>
      </c>
      <c r="I543" s="17">
        <v>8934</v>
      </c>
      <c r="J543" s="17">
        <v>83</v>
      </c>
      <c r="K543" s="17">
        <v>6990</v>
      </c>
      <c r="L543" s="17">
        <v>49.5</v>
      </c>
      <c r="M543" s="17">
        <v>4044</v>
      </c>
      <c r="N543" s="17"/>
      <c r="O543" s="17"/>
      <c r="P543" s="17">
        <v>65</v>
      </c>
      <c r="Q543" s="17">
        <v>7113</v>
      </c>
      <c r="R543" s="17"/>
      <c r="S543" s="17"/>
      <c r="T543" s="17"/>
      <c r="U543" s="17"/>
      <c r="V543" s="17">
        <v>91</v>
      </c>
      <c r="W543" s="17">
        <v>15</v>
      </c>
      <c r="X543" s="15">
        <v>244.25</v>
      </c>
      <c r="Y543" s="17">
        <v>619</v>
      </c>
      <c r="Z543" s="17">
        <v>449.75</v>
      </c>
      <c r="AA543" s="17">
        <v>6148</v>
      </c>
      <c r="AB543" s="12">
        <f t="shared" si="8"/>
        <v>540</v>
      </c>
    </row>
    <row r="544" ht="14.25" spans="1:28">
      <c r="A544" s="13">
        <v>114</v>
      </c>
      <c r="B544" s="15">
        <v>3</v>
      </c>
      <c r="C544" s="16">
        <v>3</v>
      </c>
      <c r="D544" s="17" t="s">
        <v>241</v>
      </c>
      <c r="E544" s="17" t="s">
        <v>242</v>
      </c>
      <c r="F544" s="17">
        <v>89.5</v>
      </c>
      <c r="G544" s="17">
        <v>9648</v>
      </c>
      <c r="H544" s="17">
        <v>89.5</v>
      </c>
      <c r="I544" s="17">
        <v>5946</v>
      </c>
      <c r="J544" s="17">
        <v>85.75</v>
      </c>
      <c r="K544" s="17">
        <v>6343</v>
      </c>
      <c r="L544" s="17">
        <v>48.5</v>
      </c>
      <c r="M544" s="17">
        <v>4255</v>
      </c>
      <c r="N544" s="17"/>
      <c r="O544" s="17"/>
      <c r="P544" s="17">
        <v>63</v>
      </c>
      <c r="Q544" s="17">
        <v>7666</v>
      </c>
      <c r="R544" s="17"/>
      <c r="S544" s="17"/>
      <c r="T544" s="17"/>
      <c r="U544" s="17"/>
      <c r="V544" s="17">
        <v>73</v>
      </c>
      <c r="W544" s="17">
        <v>1853</v>
      </c>
      <c r="X544" s="15">
        <v>264.75</v>
      </c>
      <c r="Y544" s="17">
        <v>557</v>
      </c>
      <c r="Z544" s="17">
        <v>449.25</v>
      </c>
      <c r="AA544" s="17">
        <v>6185</v>
      </c>
      <c r="AB544" s="12">
        <f t="shared" si="8"/>
        <v>542</v>
      </c>
    </row>
    <row r="545" ht="14.25" spans="1:28">
      <c r="A545" s="13">
        <v>255</v>
      </c>
      <c r="B545" s="15">
        <v>6</v>
      </c>
      <c r="C545" s="16">
        <v>6</v>
      </c>
      <c r="D545" s="17" t="s">
        <v>521</v>
      </c>
      <c r="E545" s="17" t="s">
        <v>522</v>
      </c>
      <c r="F545" s="17">
        <v>102.5</v>
      </c>
      <c r="G545" s="17">
        <v>2274</v>
      </c>
      <c r="H545" s="17">
        <v>55</v>
      </c>
      <c r="I545" s="17">
        <v>12703</v>
      </c>
      <c r="J545" s="17">
        <v>101.75</v>
      </c>
      <c r="K545" s="17">
        <v>2754</v>
      </c>
      <c r="L545" s="17">
        <v>34</v>
      </c>
      <c r="M545" s="17">
        <v>8051</v>
      </c>
      <c r="N545" s="17"/>
      <c r="O545" s="17"/>
      <c r="P545" s="17"/>
      <c r="Q545" s="17"/>
      <c r="R545" s="17">
        <v>79</v>
      </c>
      <c r="S545" s="17">
        <v>2629</v>
      </c>
      <c r="T545" s="17"/>
      <c r="U545" s="17"/>
      <c r="V545" s="17">
        <v>77</v>
      </c>
      <c r="W545" s="17">
        <v>1318</v>
      </c>
      <c r="X545" s="15">
        <v>259.25</v>
      </c>
      <c r="Y545" s="17">
        <v>584</v>
      </c>
      <c r="Z545" s="17">
        <v>449.25</v>
      </c>
      <c r="AA545" s="17">
        <v>6185</v>
      </c>
      <c r="AB545" s="12">
        <f t="shared" si="8"/>
        <v>542</v>
      </c>
    </row>
    <row r="546" ht="14.25" spans="1:28">
      <c r="A546" s="13">
        <v>287</v>
      </c>
      <c r="B546" s="15">
        <v>6</v>
      </c>
      <c r="C546" s="16">
        <v>39</v>
      </c>
      <c r="D546" s="17" t="s">
        <v>585</v>
      </c>
      <c r="E546" s="17" t="s">
        <v>586</v>
      </c>
      <c r="F546" s="17">
        <v>88.25</v>
      </c>
      <c r="G546" s="17">
        <v>10576</v>
      </c>
      <c r="H546" s="17">
        <v>95</v>
      </c>
      <c r="I546" s="17">
        <v>4735</v>
      </c>
      <c r="J546" s="17">
        <v>95.5</v>
      </c>
      <c r="K546" s="17">
        <v>3977</v>
      </c>
      <c r="L546" s="17">
        <v>46.5</v>
      </c>
      <c r="M546" s="17">
        <v>4690</v>
      </c>
      <c r="N546" s="17"/>
      <c r="O546" s="17"/>
      <c r="P546" s="17"/>
      <c r="Q546" s="17"/>
      <c r="R546" s="17">
        <v>62</v>
      </c>
      <c r="S546" s="17">
        <v>8006</v>
      </c>
      <c r="T546" s="17"/>
      <c r="U546" s="17"/>
      <c r="V546" s="17">
        <v>62</v>
      </c>
      <c r="W546" s="17">
        <v>3367</v>
      </c>
      <c r="X546" s="15">
        <v>278.75</v>
      </c>
      <c r="Y546" s="17">
        <v>459</v>
      </c>
      <c r="Z546" s="17">
        <v>449.25</v>
      </c>
      <c r="AA546" s="17">
        <v>6185</v>
      </c>
      <c r="AB546" s="12">
        <f t="shared" si="8"/>
        <v>542</v>
      </c>
    </row>
    <row r="547" ht="14.25" spans="1:28">
      <c r="A547" s="13">
        <v>288</v>
      </c>
      <c r="B547" s="15">
        <v>6</v>
      </c>
      <c r="C547" s="16">
        <v>40</v>
      </c>
      <c r="D547" s="17" t="s">
        <v>587</v>
      </c>
      <c r="E547" s="17" t="s">
        <v>588</v>
      </c>
      <c r="F547" s="17">
        <v>100.25</v>
      </c>
      <c r="G547" s="17">
        <v>3338</v>
      </c>
      <c r="H547" s="17">
        <v>87.5</v>
      </c>
      <c r="I547" s="17">
        <v>6415</v>
      </c>
      <c r="J547" s="17">
        <v>91.5</v>
      </c>
      <c r="K547" s="17">
        <v>4916</v>
      </c>
      <c r="L547" s="17">
        <v>25</v>
      </c>
      <c r="M547" s="17">
        <v>11593</v>
      </c>
      <c r="N547" s="17"/>
      <c r="O547" s="17"/>
      <c r="P547" s="17"/>
      <c r="Q547" s="17"/>
      <c r="R547" s="17">
        <v>76</v>
      </c>
      <c r="S547" s="17">
        <v>3491</v>
      </c>
      <c r="T547" s="17"/>
      <c r="U547" s="17"/>
      <c r="V547" s="17">
        <v>69</v>
      </c>
      <c r="W547" s="17">
        <v>2394</v>
      </c>
      <c r="X547" s="15">
        <v>279.25</v>
      </c>
      <c r="Y547" s="17">
        <v>453</v>
      </c>
      <c r="Z547" s="17">
        <v>449.25</v>
      </c>
      <c r="AA547" s="17">
        <v>6185</v>
      </c>
      <c r="AB547" s="12">
        <f t="shared" si="8"/>
        <v>542</v>
      </c>
    </row>
    <row r="548" ht="14.25" spans="1:28">
      <c r="A548" s="13">
        <v>321</v>
      </c>
      <c r="B548" s="15">
        <v>7</v>
      </c>
      <c r="C548" s="16">
        <v>34</v>
      </c>
      <c r="D548" s="17" t="s">
        <v>653</v>
      </c>
      <c r="E548" s="17" t="s">
        <v>654</v>
      </c>
      <c r="F548" s="17">
        <v>89.75</v>
      </c>
      <c r="G548" s="17">
        <v>9608</v>
      </c>
      <c r="H548" s="17">
        <v>109</v>
      </c>
      <c r="I548" s="17">
        <v>2105</v>
      </c>
      <c r="J548" s="17">
        <v>79.5</v>
      </c>
      <c r="K548" s="17">
        <v>7930</v>
      </c>
      <c r="L548" s="17">
        <v>27</v>
      </c>
      <c r="M548" s="17">
        <v>10690</v>
      </c>
      <c r="N548" s="17"/>
      <c r="O548" s="17"/>
      <c r="P548" s="17"/>
      <c r="Q548" s="17"/>
      <c r="R548" s="17">
        <v>58</v>
      </c>
      <c r="S548" s="17">
        <v>9300</v>
      </c>
      <c r="T548" s="17"/>
      <c r="U548" s="17"/>
      <c r="V548" s="17">
        <v>86</v>
      </c>
      <c r="W548" s="17">
        <v>439</v>
      </c>
      <c r="X548" s="15">
        <v>278.25</v>
      </c>
      <c r="Y548" s="17">
        <v>465</v>
      </c>
      <c r="Z548" s="17">
        <v>449.25</v>
      </c>
      <c r="AA548" s="17">
        <v>6185</v>
      </c>
      <c r="AB548" s="12">
        <f t="shared" si="8"/>
        <v>542</v>
      </c>
    </row>
    <row r="549" ht="14.25" spans="1:28">
      <c r="A549" s="13">
        <v>272</v>
      </c>
      <c r="B549" s="15">
        <v>6</v>
      </c>
      <c r="C549" s="16">
        <v>24</v>
      </c>
      <c r="D549" s="17" t="s">
        <v>555</v>
      </c>
      <c r="E549" s="17" t="s">
        <v>556</v>
      </c>
      <c r="F549" s="17">
        <v>95.75</v>
      </c>
      <c r="G549" s="17">
        <v>5826</v>
      </c>
      <c r="H549" s="17">
        <v>83</v>
      </c>
      <c r="I549" s="17">
        <v>7420</v>
      </c>
      <c r="J549" s="17">
        <v>71</v>
      </c>
      <c r="K549" s="17">
        <v>10072</v>
      </c>
      <c r="L549" s="17">
        <v>43.5</v>
      </c>
      <c r="M549" s="17">
        <v>5353</v>
      </c>
      <c r="N549" s="17"/>
      <c r="O549" s="17"/>
      <c r="P549" s="17"/>
      <c r="Q549" s="17"/>
      <c r="R549" s="17">
        <v>77</v>
      </c>
      <c r="S549" s="17">
        <v>3183</v>
      </c>
      <c r="T549" s="17"/>
      <c r="U549" s="17"/>
      <c r="V549" s="17">
        <v>78</v>
      </c>
      <c r="W549" s="17">
        <v>1218</v>
      </c>
      <c r="X549" s="15">
        <v>249.75</v>
      </c>
      <c r="Y549" s="17">
        <v>610</v>
      </c>
      <c r="Z549" s="17">
        <v>448.25</v>
      </c>
      <c r="AA549" s="17">
        <v>6257</v>
      </c>
      <c r="AB549" s="12">
        <f t="shared" si="8"/>
        <v>547</v>
      </c>
    </row>
    <row r="550" ht="14.25" spans="1:28">
      <c r="A550" s="13">
        <v>307</v>
      </c>
      <c r="B550" s="15">
        <v>7</v>
      </c>
      <c r="C550" s="16">
        <v>18</v>
      </c>
      <c r="D550" s="17" t="s">
        <v>625</v>
      </c>
      <c r="E550" s="17" t="s">
        <v>626</v>
      </c>
      <c r="F550" s="17">
        <v>106</v>
      </c>
      <c r="G550" s="17">
        <v>1174</v>
      </c>
      <c r="H550" s="17">
        <v>74</v>
      </c>
      <c r="I550" s="17">
        <v>9218</v>
      </c>
      <c r="J550" s="17">
        <v>99</v>
      </c>
      <c r="K550" s="17">
        <v>3244</v>
      </c>
      <c r="L550" s="17">
        <v>39.5</v>
      </c>
      <c r="M550" s="17">
        <v>6404</v>
      </c>
      <c r="N550" s="17"/>
      <c r="O550" s="17"/>
      <c r="P550" s="17"/>
      <c r="Q550" s="17"/>
      <c r="R550" s="17">
        <v>63</v>
      </c>
      <c r="S550" s="17">
        <v>7638</v>
      </c>
      <c r="T550" s="17"/>
      <c r="U550" s="17"/>
      <c r="V550" s="17">
        <v>66</v>
      </c>
      <c r="W550" s="17">
        <v>2820</v>
      </c>
      <c r="X550" s="15">
        <v>279</v>
      </c>
      <c r="Y550" s="17">
        <v>456</v>
      </c>
      <c r="Z550" s="17">
        <v>447.5</v>
      </c>
      <c r="AA550" s="17">
        <v>6298</v>
      </c>
      <c r="AB550" s="12">
        <f t="shared" si="8"/>
        <v>548</v>
      </c>
    </row>
    <row r="551" ht="14.25" spans="1:28">
      <c r="A551" s="13">
        <v>91</v>
      </c>
      <c r="B551" s="15">
        <v>2</v>
      </c>
      <c r="C551" s="16">
        <v>28</v>
      </c>
      <c r="D551" s="17" t="s">
        <v>195</v>
      </c>
      <c r="E551" s="17" t="s">
        <v>196</v>
      </c>
      <c r="F551" s="17">
        <v>81.5</v>
      </c>
      <c r="G551" s="17">
        <v>14072</v>
      </c>
      <c r="H551" s="17">
        <v>90.5</v>
      </c>
      <c r="I551" s="17">
        <v>5743</v>
      </c>
      <c r="J551" s="17">
        <v>98</v>
      </c>
      <c r="K551" s="17">
        <v>3454</v>
      </c>
      <c r="L551" s="17">
        <v>39</v>
      </c>
      <c r="M551" s="17">
        <v>6535</v>
      </c>
      <c r="N551" s="17"/>
      <c r="O551" s="17"/>
      <c r="P551" s="17"/>
      <c r="Q551" s="17"/>
      <c r="R551" s="17">
        <v>73</v>
      </c>
      <c r="S551" s="17">
        <v>4436</v>
      </c>
      <c r="T551" s="17">
        <v>65</v>
      </c>
      <c r="U551" s="17">
        <v>2551</v>
      </c>
      <c r="V551" s="17"/>
      <c r="W551" s="17"/>
      <c r="X551" s="15">
        <v>270</v>
      </c>
      <c r="Y551" s="17">
        <v>531</v>
      </c>
      <c r="Z551" s="17">
        <v>447</v>
      </c>
      <c r="AA551" s="17">
        <v>6327</v>
      </c>
      <c r="AB551" s="12">
        <f t="shared" si="8"/>
        <v>549</v>
      </c>
    </row>
    <row r="552" ht="14.25" spans="1:28">
      <c r="A552" s="13">
        <v>649</v>
      </c>
      <c r="B552" s="15">
        <v>13</v>
      </c>
      <c r="C552" s="16">
        <v>43</v>
      </c>
      <c r="D552" s="17" t="s">
        <v>1305</v>
      </c>
      <c r="E552" s="17" t="s">
        <v>1306</v>
      </c>
      <c r="F552" s="17">
        <v>93.5</v>
      </c>
      <c r="G552" s="17">
        <v>7127</v>
      </c>
      <c r="H552" s="17">
        <v>102</v>
      </c>
      <c r="I552" s="17">
        <v>3381</v>
      </c>
      <c r="J552" s="17">
        <v>84</v>
      </c>
      <c r="K552" s="17">
        <v>6761</v>
      </c>
      <c r="L552" s="17">
        <v>32.5</v>
      </c>
      <c r="M552" s="17">
        <v>8567</v>
      </c>
      <c r="N552" s="17"/>
      <c r="O552" s="17"/>
      <c r="P552" s="17">
        <v>64</v>
      </c>
      <c r="Q552" s="17">
        <v>7304</v>
      </c>
      <c r="R552" s="17">
        <v>71</v>
      </c>
      <c r="S552" s="17">
        <v>5151</v>
      </c>
      <c r="T552" s="17"/>
      <c r="U552" s="17"/>
      <c r="V552" s="17"/>
      <c r="W552" s="17"/>
      <c r="X552" s="15">
        <v>279.5</v>
      </c>
      <c r="Y552" s="17">
        <v>451</v>
      </c>
      <c r="Z552" s="17">
        <v>447</v>
      </c>
      <c r="AA552" s="17">
        <v>6327</v>
      </c>
      <c r="AB552" s="12">
        <f t="shared" si="8"/>
        <v>549</v>
      </c>
    </row>
    <row r="553" ht="14.25" spans="1:28">
      <c r="A553" s="13">
        <v>49</v>
      </c>
      <c r="B553" s="15">
        <v>1</v>
      </c>
      <c r="C553" s="16">
        <v>51</v>
      </c>
      <c r="D553" s="17" t="s">
        <v>112</v>
      </c>
      <c r="E553" s="17" t="s">
        <v>113</v>
      </c>
      <c r="F553" s="17">
        <v>101.5</v>
      </c>
      <c r="G553" s="17">
        <v>2674</v>
      </c>
      <c r="H553" s="17">
        <v>85</v>
      </c>
      <c r="I553" s="17">
        <v>6959</v>
      </c>
      <c r="J553" s="17">
        <v>93</v>
      </c>
      <c r="K553" s="17">
        <v>4548</v>
      </c>
      <c r="L553" s="17">
        <v>30</v>
      </c>
      <c r="M553" s="17">
        <v>9441</v>
      </c>
      <c r="N553" s="17"/>
      <c r="O553" s="17"/>
      <c r="P553" s="17">
        <v>71</v>
      </c>
      <c r="Q553" s="17">
        <v>5258</v>
      </c>
      <c r="R553" s="17"/>
      <c r="S553" s="17"/>
      <c r="T553" s="17">
        <v>66</v>
      </c>
      <c r="U553" s="17">
        <v>2417</v>
      </c>
      <c r="V553" s="17"/>
      <c r="W553" s="17"/>
      <c r="X553" s="15">
        <v>279.5</v>
      </c>
      <c r="Y553" s="17">
        <v>451</v>
      </c>
      <c r="Z553" s="17">
        <v>446.5</v>
      </c>
      <c r="AA553" s="17">
        <v>6354</v>
      </c>
      <c r="AB553" s="12">
        <f t="shared" si="8"/>
        <v>551</v>
      </c>
    </row>
    <row r="554" ht="14.25" spans="1:28">
      <c r="A554" s="13">
        <v>207</v>
      </c>
      <c r="B554" s="15">
        <v>5</v>
      </c>
      <c r="C554" s="16">
        <v>4</v>
      </c>
      <c r="D554" s="17" t="s">
        <v>427</v>
      </c>
      <c r="E554" s="17" t="s">
        <v>428</v>
      </c>
      <c r="F554" s="17">
        <v>84.5</v>
      </c>
      <c r="G554" s="17">
        <v>12633</v>
      </c>
      <c r="H554" s="17">
        <v>96</v>
      </c>
      <c r="I554" s="17">
        <v>4544</v>
      </c>
      <c r="J554" s="17">
        <v>101.75</v>
      </c>
      <c r="K554" s="17">
        <v>2754</v>
      </c>
      <c r="L554" s="17">
        <v>34.5</v>
      </c>
      <c r="M554" s="17">
        <v>7899</v>
      </c>
      <c r="N554" s="17"/>
      <c r="O554" s="17"/>
      <c r="P554" s="17">
        <v>55</v>
      </c>
      <c r="Q554" s="17">
        <v>10022</v>
      </c>
      <c r="R554" s="17"/>
      <c r="S554" s="17"/>
      <c r="T554" s="17"/>
      <c r="U554" s="17"/>
      <c r="V554" s="17">
        <v>74</v>
      </c>
      <c r="W554" s="17">
        <v>1732</v>
      </c>
      <c r="X554" s="15">
        <v>282.25</v>
      </c>
      <c r="Y554" s="17">
        <v>430</v>
      </c>
      <c r="Z554" s="17">
        <v>445.75</v>
      </c>
      <c r="AA554" s="17">
        <v>6412</v>
      </c>
      <c r="AB554" s="12">
        <f t="shared" si="8"/>
        <v>552</v>
      </c>
    </row>
    <row r="555" ht="14.25" spans="1:28">
      <c r="A555" s="13">
        <v>551</v>
      </c>
      <c r="B555" s="15">
        <v>11</v>
      </c>
      <c r="C555" s="16">
        <v>57</v>
      </c>
      <c r="D555" s="17" t="s">
        <v>1110</v>
      </c>
      <c r="E555" s="17" t="s">
        <v>1111</v>
      </c>
      <c r="F555" s="17">
        <v>92.5</v>
      </c>
      <c r="G555" s="17">
        <v>7705</v>
      </c>
      <c r="H555" s="17">
        <v>87.5</v>
      </c>
      <c r="I555" s="17">
        <v>6415</v>
      </c>
      <c r="J555" s="17">
        <v>81.5</v>
      </c>
      <c r="K555" s="17">
        <v>7394</v>
      </c>
      <c r="L555" s="17">
        <v>41</v>
      </c>
      <c r="M555" s="17">
        <v>5993</v>
      </c>
      <c r="N555" s="17"/>
      <c r="O555" s="17"/>
      <c r="P555" s="17">
        <v>75</v>
      </c>
      <c r="Q555" s="17">
        <v>3841</v>
      </c>
      <c r="R555" s="17">
        <v>68</v>
      </c>
      <c r="S555" s="17">
        <v>6079</v>
      </c>
      <c r="T555" s="17"/>
      <c r="U555" s="17"/>
      <c r="V555" s="17"/>
      <c r="W555" s="17"/>
      <c r="X555" s="15">
        <v>261.5</v>
      </c>
      <c r="Y555" s="17">
        <v>575</v>
      </c>
      <c r="Z555" s="17">
        <v>445.5</v>
      </c>
      <c r="AA555" s="17">
        <v>6425</v>
      </c>
      <c r="AB555" s="12">
        <f t="shared" si="8"/>
        <v>553</v>
      </c>
    </row>
    <row r="556" ht="14.25" spans="1:28">
      <c r="A556" s="13">
        <v>257</v>
      </c>
      <c r="B556" s="15">
        <v>6</v>
      </c>
      <c r="C556" s="16">
        <v>8</v>
      </c>
      <c r="D556" s="17" t="s">
        <v>525</v>
      </c>
      <c r="E556" s="17" t="s">
        <v>526</v>
      </c>
      <c r="F556" s="17">
        <v>83.5</v>
      </c>
      <c r="G556" s="17">
        <v>13160</v>
      </c>
      <c r="H556" s="17">
        <v>80.5</v>
      </c>
      <c r="I556" s="17">
        <v>7938</v>
      </c>
      <c r="J556" s="17">
        <v>101.25</v>
      </c>
      <c r="K556" s="17">
        <v>2839</v>
      </c>
      <c r="L556" s="17">
        <v>28.5</v>
      </c>
      <c r="M556" s="17">
        <v>10084</v>
      </c>
      <c r="N556" s="17"/>
      <c r="O556" s="17"/>
      <c r="P556" s="17"/>
      <c r="Q556" s="17"/>
      <c r="R556" s="17">
        <v>77</v>
      </c>
      <c r="S556" s="17">
        <v>3183</v>
      </c>
      <c r="T556" s="17"/>
      <c r="U556" s="17"/>
      <c r="V556" s="17">
        <v>74</v>
      </c>
      <c r="W556" s="17">
        <v>1732</v>
      </c>
      <c r="X556" s="15">
        <v>265.25</v>
      </c>
      <c r="Y556" s="17">
        <v>553</v>
      </c>
      <c r="Z556" s="17">
        <v>444.75</v>
      </c>
      <c r="AA556" s="17">
        <v>6478</v>
      </c>
      <c r="AB556" s="12">
        <f t="shared" si="8"/>
        <v>554</v>
      </c>
    </row>
    <row r="557" ht="14.25" spans="1:28">
      <c r="A557" s="13">
        <v>295</v>
      </c>
      <c r="B557" s="15">
        <v>7</v>
      </c>
      <c r="C557" s="16">
        <v>5</v>
      </c>
      <c r="D557" s="17" t="s">
        <v>601</v>
      </c>
      <c r="E557" s="17" t="s">
        <v>602</v>
      </c>
      <c r="F557" s="17">
        <v>97</v>
      </c>
      <c r="G557" s="17">
        <v>4967</v>
      </c>
      <c r="H557" s="17">
        <v>84.5</v>
      </c>
      <c r="I557" s="17">
        <v>7091</v>
      </c>
      <c r="J557" s="17">
        <v>82.75</v>
      </c>
      <c r="K557" s="17">
        <v>7077</v>
      </c>
      <c r="L557" s="17">
        <v>40.5</v>
      </c>
      <c r="M557" s="17">
        <v>6131</v>
      </c>
      <c r="N557" s="17"/>
      <c r="O557" s="17"/>
      <c r="P557" s="17"/>
      <c r="Q557" s="17"/>
      <c r="R557" s="17">
        <v>73</v>
      </c>
      <c r="S557" s="17">
        <v>4436</v>
      </c>
      <c r="T557" s="17"/>
      <c r="U557" s="17"/>
      <c r="V557" s="17">
        <v>67</v>
      </c>
      <c r="W557" s="17">
        <v>2619</v>
      </c>
      <c r="X557" s="15">
        <v>264.25</v>
      </c>
      <c r="Y557" s="17">
        <v>561</v>
      </c>
      <c r="Z557" s="17">
        <v>444.75</v>
      </c>
      <c r="AA557" s="17">
        <v>6478</v>
      </c>
      <c r="AB557" s="12">
        <f t="shared" si="8"/>
        <v>554</v>
      </c>
    </row>
    <row r="558" ht="14.25" spans="1:28">
      <c r="A558" s="13">
        <v>605</v>
      </c>
      <c r="B558" s="15">
        <v>12</v>
      </c>
      <c r="C558" s="16">
        <v>55</v>
      </c>
      <c r="D558" s="17" t="s">
        <v>1218</v>
      </c>
      <c r="E558" s="17" t="s">
        <v>1219</v>
      </c>
      <c r="F558" s="17">
        <v>103.5</v>
      </c>
      <c r="G558" s="17">
        <v>1897</v>
      </c>
      <c r="H558" s="17">
        <v>82</v>
      </c>
      <c r="I558" s="17">
        <v>7634</v>
      </c>
      <c r="J558" s="17">
        <v>120</v>
      </c>
      <c r="K558" s="17">
        <v>503</v>
      </c>
      <c r="L558" s="17">
        <v>17.5</v>
      </c>
      <c r="M558" s="17">
        <v>15175</v>
      </c>
      <c r="N558" s="17"/>
      <c r="O558" s="17"/>
      <c r="P558" s="17">
        <v>56</v>
      </c>
      <c r="Q558" s="17">
        <v>9899</v>
      </c>
      <c r="R558" s="17">
        <v>65</v>
      </c>
      <c r="S558" s="17">
        <v>7060</v>
      </c>
      <c r="T558" s="17"/>
      <c r="U558" s="17"/>
      <c r="V558" s="17"/>
      <c r="W558" s="17"/>
      <c r="X558" s="15">
        <v>305.5</v>
      </c>
      <c r="Y558" s="17">
        <v>233</v>
      </c>
      <c r="Z558" s="17">
        <v>444</v>
      </c>
      <c r="AA558" s="17">
        <v>6525</v>
      </c>
      <c r="AB558" s="12">
        <f t="shared" si="8"/>
        <v>556</v>
      </c>
    </row>
    <row r="559" ht="14.25" spans="1:28">
      <c r="A559" s="13">
        <v>324</v>
      </c>
      <c r="B559" s="15">
        <v>7</v>
      </c>
      <c r="C559" s="16">
        <v>37</v>
      </c>
      <c r="D559" s="17" t="s">
        <v>659</v>
      </c>
      <c r="E559" s="17" t="s">
        <v>660</v>
      </c>
      <c r="F559" s="17">
        <v>90</v>
      </c>
      <c r="G559" s="17">
        <v>9312</v>
      </c>
      <c r="H559" s="17">
        <v>104.5</v>
      </c>
      <c r="I559" s="17">
        <v>2895</v>
      </c>
      <c r="J559" s="17">
        <v>67.5</v>
      </c>
      <c r="K559" s="17">
        <v>10902</v>
      </c>
      <c r="L559" s="17">
        <v>28.5</v>
      </c>
      <c r="M559" s="17">
        <v>10084</v>
      </c>
      <c r="N559" s="17"/>
      <c r="O559" s="17"/>
      <c r="P559" s="17"/>
      <c r="Q559" s="17"/>
      <c r="R559" s="17">
        <v>82</v>
      </c>
      <c r="S559" s="17">
        <v>1915</v>
      </c>
      <c r="T559" s="17"/>
      <c r="U559" s="17"/>
      <c r="V559" s="17">
        <v>71</v>
      </c>
      <c r="W559" s="17">
        <v>2172</v>
      </c>
      <c r="X559" s="15">
        <v>262</v>
      </c>
      <c r="Y559" s="17">
        <v>574</v>
      </c>
      <c r="Z559" s="17">
        <v>443.5</v>
      </c>
      <c r="AA559" s="17">
        <v>6560</v>
      </c>
      <c r="AB559" s="12">
        <f t="shared" si="8"/>
        <v>557</v>
      </c>
    </row>
    <row r="560" ht="14.25" spans="1:28">
      <c r="A560" s="13">
        <v>33</v>
      </c>
      <c r="B560" s="15">
        <v>1</v>
      </c>
      <c r="C560" s="16">
        <v>35</v>
      </c>
      <c r="D560" s="17" t="s">
        <v>80</v>
      </c>
      <c r="E560" s="17" t="s">
        <v>81</v>
      </c>
      <c r="F560" s="17">
        <v>85</v>
      </c>
      <c r="G560" s="17">
        <v>12359</v>
      </c>
      <c r="H560" s="17">
        <v>77.5</v>
      </c>
      <c r="I560" s="17">
        <v>8540</v>
      </c>
      <c r="J560" s="17">
        <v>83</v>
      </c>
      <c r="K560" s="17">
        <v>6990</v>
      </c>
      <c r="L560" s="17">
        <v>65.5</v>
      </c>
      <c r="M560" s="17">
        <v>1373</v>
      </c>
      <c r="N560" s="17"/>
      <c r="O560" s="17"/>
      <c r="P560" s="17">
        <v>73</v>
      </c>
      <c r="Q560" s="17">
        <v>4501</v>
      </c>
      <c r="R560" s="17"/>
      <c r="S560" s="17"/>
      <c r="T560" s="17">
        <v>59</v>
      </c>
      <c r="U560" s="17">
        <v>3217</v>
      </c>
      <c r="V560" s="17"/>
      <c r="W560" s="17"/>
      <c r="X560" s="15">
        <v>245.5</v>
      </c>
      <c r="Y560" s="17">
        <v>617</v>
      </c>
      <c r="Z560" s="17">
        <v>443</v>
      </c>
      <c r="AA560" s="17">
        <v>6599</v>
      </c>
      <c r="AB560" s="12">
        <f t="shared" si="8"/>
        <v>558</v>
      </c>
    </row>
    <row r="561" ht="14.25" spans="1:28">
      <c r="A561" s="13">
        <v>190</v>
      </c>
      <c r="B561" s="15">
        <v>4</v>
      </c>
      <c r="C561" s="16">
        <v>32</v>
      </c>
      <c r="D561" s="17" t="s">
        <v>393</v>
      </c>
      <c r="E561" s="17" t="s">
        <v>394</v>
      </c>
      <c r="F561" s="17">
        <v>85</v>
      </c>
      <c r="G561" s="17">
        <v>12359</v>
      </c>
      <c r="H561" s="17">
        <v>91</v>
      </c>
      <c r="I561" s="17">
        <v>5638</v>
      </c>
      <c r="J561" s="17">
        <v>99</v>
      </c>
      <c r="K561" s="17">
        <v>3244</v>
      </c>
      <c r="L561" s="17">
        <v>30</v>
      </c>
      <c r="M561" s="17">
        <v>9441</v>
      </c>
      <c r="N561" s="17"/>
      <c r="O561" s="17"/>
      <c r="P561" s="17">
        <v>60</v>
      </c>
      <c r="Q561" s="17">
        <v>8673</v>
      </c>
      <c r="R561" s="17"/>
      <c r="S561" s="17"/>
      <c r="T561" s="17"/>
      <c r="U561" s="17"/>
      <c r="V561" s="17">
        <v>78</v>
      </c>
      <c r="W561" s="17">
        <v>1218</v>
      </c>
      <c r="X561" s="15">
        <v>275</v>
      </c>
      <c r="Y561" s="17">
        <v>497</v>
      </c>
      <c r="Z561" s="17">
        <v>443</v>
      </c>
      <c r="AA561" s="17">
        <v>6599</v>
      </c>
      <c r="AB561" s="12">
        <f t="shared" si="8"/>
        <v>558</v>
      </c>
    </row>
    <row r="562" ht="14.25" spans="1:28">
      <c r="A562" s="13">
        <v>284</v>
      </c>
      <c r="B562" s="15">
        <v>6</v>
      </c>
      <c r="C562" s="16">
        <v>36</v>
      </c>
      <c r="D562" s="17" t="s">
        <v>579</v>
      </c>
      <c r="E562" s="17" t="s">
        <v>580</v>
      </c>
      <c r="F562" s="17">
        <v>106</v>
      </c>
      <c r="G562" s="17">
        <v>1174</v>
      </c>
      <c r="H562" s="17">
        <v>86</v>
      </c>
      <c r="I562" s="17">
        <v>6759</v>
      </c>
      <c r="J562" s="17">
        <v>80.5</v>
      </c>
      <c r="K562" s="17">
        <v>7667</v>
      </c>
      <c r="L562" s="17">
        <v>39.5</v>
      </c>
      <c r="M562" s="17">
        <v>6404</v>
      </c>
      <c r="N562" s="17"/>
      <c r="O562" s="17"/>
      <c r="P562" s="17"/>
      <c r="Q562" s="17"/>
      <c r="R562" s="17">
        <v>69</v>
      </c>
      <c r="S562" s="17">
        <v>5677</v>
      </c>
      <c r="T562" s="17"/>
      <c r="U562" s="17"/>
      <c r="V562" s="17">
        <v>62</v>
      </c>
      <c r="W562" s="17">
        <v>3367</v>
      </c>
      <c r="X562" s="15">
        <v>272.5</v>
      </c>
      <c r="Y562" s="17">
        <v>510</v>
      </c>
      <c r="Z562" s="17">
        <v>443</v>
      </c>
      <c r="AA562" s="17">
        <v>6599</v>
      </c>
      <c r="AB562" s="12">
        <f t="shared" si="8"/>
        <v>558</v>
      </c>
    </row>
    <row r="563" ht="14.25" spans="1:28">
      <c r="A563" s="13">
        <v>292</v>
      </c>
      <c r="B563" s="15">
        <v>7</v>
      </c>
      <c r="C563" s="16">
        <v>2</v>
      </c>
      <c r="D563" s="17" t="s">
        <v>595</v>
      </c>
      <c r="E563" s="17" t="s">
        <v>596</v>
      </c>
      <c r="F563" s="17">
        <v>98.5</v>
      </c>
      <c r="G563" s="17">
        <v>4145</v>
      </c>
      <c r="H563" s="17">
        <v>90</v>
      </c>
      <c r="I563" s="17">
        <v>5850</v>
      </c>
      <c r="J563" s="17">
        <v>85</v>
      </c>
      <c r="K563" s="17">
        <v>6480</v>
      </c>
      <c r="L563" s="17">
        <v>36.5</v>
      </c>
      <c r="M563" s="17">
        <v>7270</v>
      </c>
      <c r="N563" s="17"/>
      <c r="O563" s="17"/>
      <c r="P563" s="17"/>
      <c r="Q563" s="17"/>
      <c r="R563" s="17">
        <v>69</v>
      </c>
      <c r="S563" s="17">
        <v>5677</v>
      </c>
      <c r="T563" s="17"/>
      <c r="U563" s="17"/>
      <c r="V563" s="17">
        <v>64</v>
      </c>
      <c r="W563" s="17">
        <v>3146</v>
      </c>
      <c r="X563" s="15">
        <v>273.5</v>
      </c>
      <c r="Y563" s="17">
        <v>505</v>
      </c>
      <c r="Z563" s="17">
        <v>443</v>
      </c>
      <c r="AA563" s="17">
        <v>6599</v>
      </c>
      <c r="AB563" s="12">
        <f t="shared" si="8"/>
        <v>558</v>
      </c>
    </row>
    <row r="564" ht="14.25" spans="1:28">
      <c r="A564" s="13">
        <v>300</v>
      </c>
      <c r="B564" s="15">
        <v>7</v>
      </c>
      <c r="C564" s="16">
        <v>11</v>
      </c>
      <c r="D564" s="17" t="s">
        <v>611</v>
      </c>
      <c r="E564" s="17" t="s">
        <v>612</v>
      </c>
      <c r="F564" s="17">
        <v>84.5</v>
      </c>
      <c r="G564" s="17">
        <v>12633</v>
      </c>
      <c r="H564" s="17">
        <v>93.5</v>
      </c>
      <c r="I564" s="17">
        <v>5060</v>
      </c>
      <c r="J564" s="17">
        <v>80</v>
      </c>
      <c r="K564" s="17">
        <v>7802</v>
      </c>
      <c r="L564" s="17">
        <v>42</v>
      </c>
      <c r="M564" s="17">
        <v>5731</v>
      </c>
      <c r="N564" s="17"/>
      <c r="O564" s="17"/>
      <c r="P564" s="17"/>
      <c r="Q564" s="17"/>
      <c r="R564" s="17">
        <v>80</v>
      </c>
      <c r="S564" s="17">
        <v>2376</v>
      </c>
      <c r="T564" s="17"/>
      <c r="U564" s="17"/>
      <c r="V564" s="17">
        <v>63</v>
      </c>
      <c r="W564" s="17">
        <v>3260</v>
      </c>
      <c r="X564" s="15">
        <v>258</v>
      </c>
      <c r="Y564" s="17">
        <v>589</v>
      </c>
      <c r="Z564" s="17">
        <v>443</v>
      </c>
      <c r="AA564" s="17">
        <v>6599</v>
      </c>
      <c r="AB564" s="12">
        <f t="shared" si="8"/>
        <v>558</v>
      </c>
    </row>
    <row r="565" ht="14.25" spans="1:28">
      <c r="A565" s="13">
        <v>303</v>
      </c>
      <c r="B565" s="15">
        <v>7</v>
      </c>
      <c r="C565" s="16">
        <v>14</v>
      </c>
      <c r="D565" s="17" t="s">
        <v>617</v>
      </c>
      <c r="E565" s="17" t="s">
        <v>618</v>
      </c>
      <c r="F565" s="17">
        <v>101.5</v>
      </c>
      <c r="G565" s="17">
        <v>2674</v>
      </c>
      <c r="H565" s="17">
        <v>94</v>
      </c>
      <c r="I565" s="17">
        <v>4942</v>
      </c>
      <c r="J565" s="17">
        <v>74.75</v>
      </c>
      <c r="K565" s="17">
        <v>9182</v>
      </c>
      <c r="L565" s="17">
        <v>35.5</v>
      </c>
      <c r="M565" s="17">
        <v>7589</v>
      </c>
      <c r="N565" s="17"/>
      <c r="O565" s="17"/>
      <c r="P565" s="17"/>
      <c r="Q565" s="17"/>
      <c r="R565" s="17">
        <v>62</v>
      </c>
      <c r="S565" s="17">
        <v>8006</v>
      </c>
      <c r="T565" s="17"/>
      <c r="U565" s="17"/>
      <c r="V565" s="17">
        <v>75</v>
      </c>
      <c r="W565" s="17">
        <v>1615</v>
      </c>
      <c r="X565" s="15">
        <v>270.25</v>
      </c>
      <c r="Y565" s="17">
        <v>529</v>
      </c>
      <c r="Z565" s="17">
        <v>442.75</v>
      </c>
      <c r="AA565" s="17">
        <v>6625</v>
      </c>
      <c r="AB565" s="12">
        <f t="shared" si="8"/>
        <v>563</v>
      </c>
    </row>
    <row r="566" ht="14.25" spans="1:28">
      <c r="A566" s="13">
        <v>297</v>
      </c>
      <c r="B566" s="15">
        <v>7</v>
      </c>
      <c r="C566" s="16">
        <v>7</v>
      </c>
      <c r="D566" s="17" t="s">
        <v>605</v>
      </c>
      <c r="E566" s="17" t="s">
        <v>606</v>
      </c>
      <c r="F566" s="17">
        <v>107</v>
      </c>
      <c r="G566" s="17">
        <v>945</v>
      </c>
      <c r="H566" s="17">
        <v>95</v>
      </c>
      <c r="I566" s="17">
        <v>4735</v>
      </c>
      <c r="J566" s="17">
        <v>69.5</v>
      </c>
      <c r="K566" s="17">
        <v>10427</v>
      </c>
      <c r="L566" s="17">
        <v>36.5</v>
      </c>
      <c r="M566" s="17">
        <v>7270</v>
      </c>
      <c r="N566" s="17"/>
      <c r="O566" s="17"/>
      <c r="P566" s="17"/>
      <c r="Q566" s="17"/>
      <c r="R566" s="17">
        <v>57</v>
      </c>
      <c r="S566" s="17">
        <v>9659</v>
      </c>
      <c r="T566" s="17"/>
      <c r="U566" s="17"/>
      <c r="V566" s="17">
        <v>77</v>
      </c>
      <c r="W566" s="17">
        <v>1318</v>
      </c>
      <c r="X566" s="15">
        <v>271.5</v>
      </c>
      <c r="Y566" s="17">
        <v>518</v>
      </c>
      <c r="Z566" s="17">
        <v>442</v>
      </c>
      <c r="AA566" s="17">
        <v>6674</v>
      </c>
      <c r="AB566" s="12">
        <f t="shared" si="8"/>
        <v>564</v>
      </c>
    </row>
    <row r="567" ht="14.25" spans="1:28">
      <c r="A567" s="13">
        <v>499</v>
      </c>
      <c r="B567" s="15">
        <v>11</v>
      </c>
      <c r="C567" s="16">
        <v>3</v>
      </c>
      <c r="D567" s="17" t="s">
        <v>1008</v>
      </c>
      <c r="E567" s="17" t="s">
        <v>1009</v>
      </c>
      <c r="F567" s="17">
        <v>90.5</v>
      </c>
      <c r="G567" s="17">
        <v>8999</v>
      </c>
      <c r="H567" s="17">
        <v>81.5</v>
      </c>
      <c r="I567" s="17">
        <v>7740</v>
      </c>
      <c r="J567" s="17">
        <v>77.5</v>
      </c>
      <c r="K567" s="17">
        <v>8422</v>
      </c>
      <c r="L567" s="17">
        <v>32</v>
      </c>
      <c r="M567" s="17">
        <v>8723</v>
      </c>
      <c r="N567" s="17"/>
      <c r="O567" s="17"/>
      <c r="P567" s="17">
        <v>81</v>
      </c>
      <c r="Q567" s="17">
        <v>2079</v>
      </c>
      <c r="R567" s="17">
        <v>79</v>
      </c>
      <c r="S567" s="17">
        <v>2629</v>
      </c>
      <c r="T567" s="17"/>
      <c r="U567" s="17"/>
      <c r="V567" s="17"/>
      <c r="W567" s="17"/>
      <c r="X567" s="15">
        <v>249.5</v>
      </c>
      <c r="Y567" s="17">
        <v>611</v>
      </c>
      <c r="Z567" s="17">
        <v>441.5</v>
      </c>
      <c r="AA567" s="17">
        <v>6712</v>
      </c>
      <c r="AB567" s="12">
        <f t="shared" si="8"/>
        <v>565</v>
      </c>
    </row>
    <row r="568" ht="14.25" spans="1:28">
      <c r="A568" s="13">
        <v>607</v>
      </c>
      <c r="B568" s="15">
        <v>12</v>
      </c>
      <c r="C568" s="16">
        <v>57</v>
      </c>
      <c r="D568" s="17" t="s">
        <v>1222</v>
      </c>
      <c r="E568" s="17" t="s">
        <v>1223</v>
      </c>
      <c r="F568" s="17">
        <v>83.5</v>
      </c>
      <c r="G568" s="17">
        <v>13160</v>
      </c>
      <c r="H568" s="17">
        <v>89.5</v>
      </c>
      <c r="I568" s="17">
        <v>5946</v>
      </c>
      <c r="J568" s="17">
        <v>80</v>
      </c>
      <c r="K568" s="17">
        <v>7802</v>
      </c>
      <c r="L568" s="17">
        <v>35.5</v>
      </c>
      <c r="M568" s="17">
        <v>7589</v>
      </c>
      <c r="N568" s="17"/>
      <c r="O568" s="17"/>
      <c r="P568" s="17">
        <v>82</v>
      </c>
      <c r="Q568" s="17">
        <v>1870</v>
      </c>
      <c r="R568" s="17">
        <v>71</v>
      </c>
      <c r="S568" s="17">
        <v>5151</v>
      </c>
      <c r="T568" s="17"/>
      <c r="U568" s="17"/>
      <c r="V568" s="17"/>
      <c r="W568" s="17"/>
      <c r="X568" s="15">
        <v>253</v>
      </c>
      <c r="Y568" s="17">
        <v>603</v>
      </c>
      <c r="Z568" s="17">
        <v>441.5</v>
      </c>
      <c r="AA568" s="17">
        <v>6712</v>
      </c>
      <c r="AB568" s="12">
        <f t="shared" si="8"/>
        <v>565</v>
      </c>
    </row>
    <row r="569" ht="14.25" spans="1:28">
      <c r="A569" s="13">
        <v>537</v>
      </c>
      <c r="B569" s="15">
        <v>11</v>
      </c>
      <c r="C569" s="16">
        <v>43</v>
      </c>
      <c r="D569" s="17" t="s">
        <v>1083</v>
      </c>
      <c r="E569" s="17" t="s">
        <v>1084</v>
      </c>
      <c r="F569" s="17">
        <v>86.75</v>
      </c>
      <c r="G569" s="17">
        <v>11488</v>
      </c>
      <c r="H569" s="17">
        <v>105.5</v>
      </c>
      <c r="I569" s="17">
        <v>2718</v>
      </c>
      <c r="J569" s="17">
        <v>72.5</v>
      </c>
      <c r="K569" s="17">
        <v>9729</v>
      </c>
      <c r="L569" s="17">
        <v>38.5</v>
      </c>
      <c r="M569" s="17">
        <v>6692</v>
      </c>
      <c r="N569" s="17"/>
      <c r="O569" s="17"/>
      <c r="P569" s="17">
        <v>76</v>
      </c>
      <c r="Q569" s="17">
        <v>3515</v>
      </c>
      <c r="R569" s="17">
        <v>62</v>
      </c>
      <c r="S569" s="17">
        <v>8006</v>
      </c>
      <c r="T569" s="17"/>
      <c r="U569" s="17"/>
      <c r="V569" s="17"/>
      <c r="W569" s="17"/>
      <c r="X569" s="15">
        <v>264.75</v>
      </c>
      <c r="Y569" s="17">
        <v>557</v>
      </c>
      <c r="Z569" s="17">
        <v>441.25</v>
      </c>
      <c r="AA569" s="17">
        <v>6734</v>
      </c>
      <c r="AB569" s="12">
        <f t="shared" si="8"/>
        <v>567</v>
      </c>
    </row>
    <row r="570" ht="14.25" spans="1:28">
      <c r="A570" s="13">
        <v>163</v>
      </c>
      <c r="B570" s="15">
        <v>4</v>
      </c>
      <c r="C570" s="16">
        <v>4</v>
      </c>
      <c r="D570" s="17" t="s">
        <v>339</v>
      </c>
      <c r="E570" s="17" t="s">
        <v>340</v>
      </c>
      <c r="F570" s="17">
        <v>91.5</v>
      </c>
      <c r="G570" s="17">
        <v>8306</v>
      </c>
      <c r="H570" s="17">
        <v>88.5</v>
      </c>
      <c r="I570" s="17">
        <v>6176</v>
      </c>
      <c r="J570" s="17">
        <v>74</v>
      </c>
      <c r="K570" s="17">
        <v>9352</v>
      </c>
      <c r="L570" s="17">
        <v>35</v>
      </c>
      <c r="M570" s="17">
        <v>7732</v>
      </c>
      <c r="N570" s="17"/>
      <c r="O570" s="17"/>
      <c r="P570" s="17">
        <v>64</v>
      </c>
      <c r="Q570" s="17">
        <v>7304</v>
      </c>
      <c r="R570" s="17"/>
      <c r="S570" s="17"/>
      <c r="T570" s="17"/>
      <c r="U570" s="17"/>
      <c r="V570" s="17">
        <v>88</v>
      </c>
      <c r="W570" s="17">
        <v>165</v>
      </c>
      <c r="X570" s="15">
        <v>254</v>
      </c>
      <c r="Y570" s="17">
        <v>599</v>
      </c>
      <c r="Z570" s="17">
        <v>441</v>
      </c>
      <c r="AA570" s="17">
        <v>6744</v>
      </c>
      <c r="AB570" s="12">
        <f t="shared" si="8"/>
        <v>568</v>
      </c>
    </row>
    <row r="571" ht="14.25" spans="1:28">
      <c r="A571" s="13">
        <v>546</v>
      </c>
      <c r="B571" s="15">
        <v>11</v>
      </c>
      <c r="C571" s="16">
        <v>52</v>
      </c>
      <c r="D571" s="17" t="s">
        <v>1100</v>
      </c>
      <c r="E571" s="17" t="s">
        <v>1101</v>
      </c>
      <c r="F571" s="17">
        <v>95.5</v>
      </c>
      <c r="G571" s="17">
        <v>5877</v>
      </c>
      <c r="H571" s="17">
        <v>99.5</v>
      </c>
      <c r="I571" s="17">
        <v>3847</v>
      </c>
      <c r="J571" s="17">
        <v>75</v>
      </c>
      <c r="K571" s="17">
        <v>9087</v>
      </c>
      <c r="L571" s="17">
        <v>40.5</v>
      </c>
      <c r="M571" s="17">
        <v>6131</v>
      </c>
      <c r="N571" s="17"/>
      <c r="O571" s="17"/>
      <c r="P571" s="17">
        <v>58</v>
      </c>
      <c r="Q571" s="17">
        <v>9299</v>
      </c>
      <c r="R571" s="17">
        <v>72</v>
      </c>
      <c r="S571" s="17">
        <v>4793</v>
      </c>
      <c r="T571" s="17"/>
      <c r="U571" s="17"/>
      <c r="V571" s="17"/>
      <c r="W571" s="17"/>
      <c r="X571" s="15">
        <v>270</v>
      </c>
      <c r="Y571" s="17">
        <v>531</v>
      </c>
      <c r="Z571" s="17">
        <v>440.5</v>
      </c>
      <c r="AA571" s="17">
        <v>6781</v>
      </c>
      <c r="AB571" s="12">
        <f t="shared" si="8"/>
        <v>569</v>
      </c>
    </row>
    <row r="572" ht="14.25" spans="1:28">
      <c r="A572" s="13">
        <v>150</v>
      </c>
      <c r="B572" s="15">
        <v>3</v>
      </c>
      <c r="C572" s="16">
        <v>39</v>
      </c>
      <c r="D572" s="17" t="s">
        <v>313</v>
      </c>
      <c r="E572" s="17" t="s">
        <v>314</v>
      </c>
      <c r="F572" s="17">
        <v>93.5</v>
      </c>
      <c r="G572" s="17">
        <v>7127</v>
      </c>
      <c r="H572" s="17">
        <v>71</v>
      </c>
      <c r="I572" s="17">
        <v>9797</v>
      </c>
      <c r="J572" s="17">
        <v>89.5</v>
      </c>
      <c r="K572" s="17">
        <v>5383</v>
      </c>
      <c r="L572" s="17">
        <v>29</v>
      </c>
      <c r="M572" s="17">
        <v>9872</v>
      </c>
      <c r="N572" s="17"/>
      <c r="O572" s="17"/>
      <c r="P572" s="17">
        <v>68</v>
      </c>
      <c r="Q572" s="17">
        <v>6016</v>
      </c>
      <c r="R572" s="17"/>
      <c r="S572" s="17"/>
      <c r="T572" s="17"/>
      <c r="U572" s="17"/>
      <c r="V572" s="17">
        <v>89</v>
      </c>
      <c r="W572" s="17">
        <v>100</v>
      </c>
      <c r="X572" s="15">
        <v>254</v>
      </c>
      <c r="Y572" s="17">
        <v>599</v>
      </c>
      <c r="Z572" s="17">
        <v>440</v>
      </c>
      <c r="AA572" s="17">
        <v>6820</v>
      </c>
      <c r="AB572" s="12">
        <f t="shared" si="8"/>
        <v>570</v>
      </c>
    </row>
    <row r="573" ht="14.25" spans="1:28">
      <c r="A573" s="13">
        <v>346</v>
      </c>
      <c r="B573" s="15">
        <v>8</v>
      </c>
      <c r="C573" s="16">
        <v>18</v>
      </c>
      <c r="D573" s="17" t="s">
        <v>703</v>
      </c>
      <c r="E573" s="17" t="s">
        <v>704</v>
      </c>
      <c r="F573" s="17">
        <v>97</v>
      </c>
      <c r="G573" s="17">
        <v>4967</v>
      </c>
      <c r="H573" s="17">
        <v>96</v>
      </c>
      <c r="I573" s="17">
        <v>4544</v>
      </c>
      <c r="J573" s="17">
        <v>75</v>
      </c>
      <c r="K573" s="17">
        <v>9087</v>
      </c>
      <c r="L573" s="17">
        <v>40.5</v>
      </c>
      <c r="M573" s="17">
        <v>6131</v>
      </c>
      <c r="N573" s="17"/>
      <c r="O573" s="17"/>
      <c r="P573" s="17">
        <v>59</v>
      </c>
      <c r="Q573" s="17">
        <v>8996</v>
      </c>
      <c r="R573" s="17">
        <v>72</v>
      </c>
      <c r="S573" s="17">
        <v>4793</v>
      </c>
      <c r="T573" s="17"/>
      <c r="U573" s="17"/>
      <c r="V573" s="17"/>
      <c r="W573" s="17"/>
      <c r="X573" s="15">
        <v>268</v>
      </c>
      <c r="Y573" s="17">
        <v>541</v>
      </c>
      <c r="Z573" s="17">
        <v>439.5</v>
      </c>
      <c r="AA573" s="17">
        <v>6846</v>
      </c>
      <c r="AB573" s="12">
        <f t="shared" si="8"/>
        <v>571</v>
      </c>
    </row>
    <row r="574" ht="14.25" spans="1:28">
      <c r="A574" s="13">
        <v>240</v>
      </c>
      <c r="B574" s="15">
        <v>5</v>
      </c>
      <c r="C574" s="16">
        <v>37</v>
      </c>
      <c r="D574" s="17" t="s">
        <v>493</v>
      </c>
      <c r="E574" s="17" t="s">
        <v>494</v>
      </c>
      <c r="F574" s="17">
        <v>90.5</v>
      </c>
      <c r="G574" s="17">
        <v>8999</v>
      </c>
      <c r="H574" s="17">
        <v>93.5</v>
      </c>
      <c r="I574" s="17">
        <v>5060</v>
      </c>
      <c r="J574" s="17">
        <v>79</v>
      </c>
      <c r="K574" s="17">
        <v>8048</v>
      </c>
      <c r="L574" s="17">
        <v>38</v>
      </c>
      <c r="M574" s="17">
        <v>6823</v>
      </c>
      <c r="N574" s="17"/>
      <c r="O574" s="17"/>
      <c r="P574" s="17">
        <v>66</v>
      </c>
      <c r="Q574" s="17">
        <v>6766</v>
      </c>
      <c r="R574" s="17"/>
      <c r="S574" s="17"/>
      <c r="T574" s="17"/>
      <c r="U574" s="17"/>
      <c r="V574" s="17">
        <v>72</v>
      </c>
      <c r="W574" s="17">
        <v>2049</v>
      </c>
      <c r="X574" s="15">
        <v>263</v>
      </c>
      <c r="Y574" s="17">
        <v>569</v>
      </c>
      <c r="Z574" s="17">
        <v>439</v>
      </c>
      <c r="AA574" s="17">
        <v>6886</v>
      </c>
      <c r="AB574" s="12">
        <f t="shared" si="8"/>
        <v>572</v>
      </c>
    </row>
    <row r="575" ht="14.25" spans="1:28">
      <c r="A575" s="13">
        <v>330</v>
      </c>
      <c r="B575" s="15">
        <v>8</v>
      </c>
      <c r="C575" s="16">
        <v>2</v>
      </c>
      <c r="D575" s="17" t="s">
        <v>671</v>
      </c>
      <c r="E575" s="17" t="s">
        <v>672</v>
      </c>
      <c r="F575" s="17">
        <v>101.5</v>
      </c>
      <c r="G575" s="17">
        <v>2674</v>
      </c>
      <c r="H575" s="17">
        <v>89</v>
      </c>
      <c r="I575" s="17">
        <v>6077</v>
      </c>
      <c r="J575" s="17">
        <v>99.5</v>
      </c>
      <c r="K575" s="17">
        <v>3134</v>
      </c>
      <c r="L575" s="17">
        <v>25</v>
      </c>
      <c r="M575" s="17">
        <v>11593</v>
      </c>
      <c r="N575" s="17"/>
      <c r="O575" s="17"/>
      <c r="P575" s="17">
        <v>67</v>
      </c>
      <c r="Q575" s="17">
        <v>6384</v>
      </c>
      <c r="R575" s="17">
        <v>57</v>
      </c>
      <c r="S575" s="17">
        <v>9659</v>
      </c>
      <c r="T575" s="17"/>
      <c r="U575" s="17"/>
      <c r="V575" s="17"/>
      <c r="W575" s="17"/>
      <c r="X575" s="15">
        <v>290</v>
      </c>
      <c r="Y575" s="17">
        <v>369</v>
      </c>
      <c r="Z575" s="17">
        <v>439</v>
      </c>
      <c r="AA575" s="17">
        <v>6886</v>
      </c>
      <c r="AB575" s="12">
        <f t="shared" si="8"/>
        <v>572</v>
      </c>
    </row>
    <row r="576" ht="14.25" spans="1:28">
      <c r="A576" s="13">
        <v>602</v>
      </c>
      <c r="B576" s="15">
        <v>12</v>
      </c>
      <c r="C576" s="16">
        <v>52</v>
      </c>
      <c r="D576" s="17" t="s">
        <v>1212</v>
      </c>
      <c r="E576" s="17" t="s">
        <v>1213</v>
      </c>
      <c r="F576" s="17">
        <v>99</v>
      </c>
      <c r="G576" s="17">
        <v>3868</v>
      </c>
      <c r="H576" s="17">
        <v>105.5</v>
      </c>
      <c r="I576" s="17">
        <v>2718</v>
      </c>
      <c r="J576" s="17">
        <v>59.5</v>
      </c>
      <c r="K576" s="17">
        <v>12535</v>
      </c>
      <c r="L576" s="17">
        <v>45</v>
      </c>
      <c r="M576" s="17">
        <v>5014</v>
      </c>
      <c r="N576" s="17"/>
      <c r="O576" s="17"/>
      <c r="P576" s="17">
        <v>58</v>
      </c>
      <c r="Q576" s="17">
        <v>9299</v>
      </c>
      <c r="R576" s="17">
        <v>72</v>
      </c>
      <c r="S576" s="17">
        <v>4793</v>
      </c>
      <c r="T576" s="17"/>
      <c r="U576" s="17"/>
      <c r="V576" s="17"/>
      <c r="W576" s="17"/>
      <c r="X576" s="15">
        <v>264</v>
      </c>
      <c r="Y576" s="17">
        <v>562</v>
      </c>
      <c r="Z576" s="17">
        <v>439</v>
      </c>
      <c r="AA576" s="17">
        <v>6886</v>
      </c>
      <c r="AB576" s="12">
        <f t="shared" si="8"/>
        <v>572</v>
      </c>
    </row>
    <row r="577" ht="14.25" spans="1:28">
      <c r="A577" s="13">
        <v>131</v>
      </c>
      <c r="B577" s="15">
        <v>3</v>
      </c>
      <c r="C577" s="16">
        <v>20</v>
      </c>
      <c r="D577" s="17" t="s">
        <v>275</v>
      </c>
      <c r="E577" s="17" t="s">
        <v>276</v>
      </c>
      <c r="F577" s="17">
        <v>78.75</v>
      </c>
      <c r="G577" s="17">
        <v>15139</v>
      </c>
      <c r="H577" s="17">
        <v>95.5</v>
      </c>
      <c r="I577" s="17">
        <v>4650</v>
      </c>
      <c r="J577" s="17">
        <v>73.5</v>
      </c>
      <c r="K577" s="17">
        <v>9484</v>
      </c>
      <c r="L577" s="17">
        <v>41</v>
      </c>
      <c r="M577" s="17">
        <v>5993</v>
      </c>
      <c r="N577" s="17"/>
      <c r="O577" s="17"/>
      <c r="P577" s="17">
        <v>63</v>
      </c>
      <c r="Q577" s="17">
        <v>7666</v>
      </c>
      <c r="R577" s="17"/>
      <c r="S577" s="17"/>
      <c r="T577" s="17"/>
      <c r="U577" s="17"/>
      <c r="V577" s="17">
        <v>87</v>
      </c>
      <c r="W577" s="17">
        <v>273</v>
      </c>
      <c r="X577" s="15">
        <v>247.75</v>
      </c>
      <c r="Y577" s="17">
        <v>615</v>
      </c>
      <c r="Z577" s="17">
        <v>438.75</v>
      </c>
      <c r="AA577" s="17">
        <v>6904</v>
      </c>
      <c r="AB577" s="12">
        <f t="shared" si="8"/>
        <v>575</v>
      </c>
    </row>
    <row r="578" ht="14.25" spans="1:28">
      <c r="A578" s="13">
        <v>293</v>
      </c>
      <c r="B578" s="15">
        <v>7</v>
      </c>
      <c r="C578" s="16">
        <v>3</v>
      </c>
      <c r="D578" s="17" t="s">
        <v>597</v>
      </c>
      <c r="E578" s="17" t="s">
        <v>598</v>
      </c>
      <c r="F578" s="17">
        <v>101</v>
      </c>
      <c r="G578" s="17">
        <v>2896</v>
      </c>
      <c r="H578" s="17">
        <v>92</v>
      </c>
      <c r="I578" s="17">
        <v>5417</v>
      </c>
      <c r="J578" s="17">
        <v>78</v>
      </c>
      <c r="K578" s="17">
        <v>8318</v>
      </c>
      <c r="L578" s="17">
        <v>21</v>
      </c>
      <c r="M578" s="17">
        <v>13491</v>
      </c>
      <c r="N578" s="17"/>
      <c r="O578" s="17"/>
      <c r="P578" s="17"/>
      <c r="Q578" s="17"/>
      <c r="R578" s="17">
        <v>79</v>
      </c>
      <c r="S578" s="17">
        <v>2629</v>
      </c>
      <c r="T578" s="17"/>
      <c r="U578" s="17"/>
      <c r="V578" s="17">
        <v>67</v>
      </c>
      <c r="W578" s="17">
        <v>2619</v>
      </c>
      <c r="X578" s="15">
        <v>271</v>
      </c>
      <c r="Y578" s="17">
        <v>522</v>
      </c>
      <c r="Z578" s="17">
        <v>438</v>
      </c>
      <c r="AA578" s="17">
        <v>6959</v>
      </c>
      <c r="AB578" s="12">
        <f t="shared" si="8"/>
        <v>576</v>
      </c>
    </row>
    <row r="579" ht="14.25" spans="1:28">
      <c r="A579" s="13">
        <v>614</v>
      </c>
      <c r="B579" s="15">
        <v>13</v>
      </c>
      <c r="C579" s="16">
        <v>5</v>
      </c>
      <c r="D579" s="17" t="s">
        <v>1236</v>
      </c>
      <c r="E579" s="17" t="s">
        <v>1237</v>
      </c>
      <c r="F579" s="17">
        <v>103.5</v>
      </c>
      <c r="G579" s="17">
        <v>1897</v>
      </c>
      <c r="H579" s="17">
        <v>62.5</v>
      </c>
      <c r="I579" s="17">
        <v>11385</v>
      </c>
      <c r="J579" s="17">
        <v>106.5</v>
      </c>
      <c r="K579" s="17">
        <v>1929</v>
      </c>
      <c r="L579" s="17">
        <v>29.5</v>
      </c>
      <c r="M579" s="17">
        <v>9688</v>
      </c>
      <c r="N579" s="17"/>
      <c r="O579" s="17"/>
      <c r="P579" s="17">
        <v>66</v>
      </c>
      <c r="Q579" s="17">
        <v>6766</v>
      </c>
      <c r="R579" s="17">
        <v>70</v>
      </c>
      <c r="S579" s="17">
        <v>5497</v>
      </c>
      <c r="T579" s="17"/>
      <c r="U579" s="17"/>
      <c r="V579" s="17"/>
      <c r="W579" s="17"/>
      <c r="X579" s="15">
        <v>272.5</v>
      </c>
      <c r="Y579" s="17">
        <v>510</v>
      </c>
      <c r="Z579" s="17">
        <v>438</v>
      </c>
      <c r="AA579" s="17">
        <v>6959</v>
      </c>
      <c r="AB579" s="12">
        <f t="shared" ref="AB579:AB642" si="9">RANK(Z579,$Z$3:$Z$696)</f>
        <v>576</v>
      </c>
    </row>
    <row r="580" ht="14.25" spans="1:28">
      <c r="A580" s="13">
        <v>157</v>
      </c>
      <c r="B580" s="15">
        <v>3</v>
      </c>
      <c r="C580" s="16">
        <v>46</v>
      </c>
      <c r="D580" s="17" t="s">
        <v>327</v>
      </c>
      <c r="E580" s="17" t="s">
        <v>328</v>
      </c>
      <c r="F580" s="17">
        <v>99.25</v>
      </c>
      <c r="G580" s="17">
        <v>3846</v>
      </c>
      <c r="H580" s="17">
        <v>69.5</v>
      </c>
      <c r="I580" s="17">
        <v>10065</v>
      </c>
      <c r="J580" s="17">
        <v>87.5</v>
      </c>
      <c r="K580" s="17">
        <v>5877</v>
      </c>
      <c r="L580" s="17">
        <v>45</v>
      </c>
      <c r="M580" s="17">
        <v>5014</v>
      </c>
      <c r="N580" s="17"/>
      <c r="O580" s="17"/>
      <c r="P580" s="17">
        <v>50</v>
      </c>
      <c r="Q580" s="17">
        <v>10845</v>
      </c>
      <c r="R580" s="17"/>
      <c r="S580" s="17"/>
      <c r="T580" s="17"/>
      <c r="U580" s="17"/>
      <c r="V580" s="17">
        <v>86</v>
      </c>
      <c r="W580" s="17">
        <v>439</v>
      </c>
      <c r="X580" s="15">
        <v>256.25</v>
      </c>
      <c r="Y580" s="17">
        <v>592</v>
      </c>
      <c r="Z580" s="17">
        <v>437.25</v>
      </c>
      <c r="AA580" s="17">
        <v>7022</v>
      </c>
      <c r="AB580" s="12">
        <f t="shared" si="9"/>
        <v>578</v>
      </c>
    </row>
    <row r="581" ht="14.25" spans="1:28">
      <c r="A581" s="13">
        <v>197</v>
      </c>
      <c r="B581" s="15">
        <v>4</v>
      </c>
      <c r="C581" s="16">
        <v>40</v>
      </c>
      <c r="D581" s="17" t="s">
        <v>407</v>
      </c>
      <c r="E581" s="17" t="s">
        <v>408</v>
      </c>
      <c r="F581" s="17">
        <v>95.5</v>
      </c>
      <c r="G581" s="17">
        <v>5877</v>
      </c>
      <c r="H581" s="17">
        <v>83</v>
      </c>
      <c r="I581" s="17">
        <v>7420</v>
      </c>
      <c r="J581" s="17">
        <v>70.25</v>
      </c>
      <c r="K581" s="17">
        <v>10279</v>
      </c>
      <c r="L581" s="17">
        <v>44</v>
      </c>
      <c r="M581" s="17">
        <v>5222</v>
      </c>
      <c r="N581" s="17"/>
      <c r="O581" s="17"/>
      <c r="P581" s="17">
        <v>64</v>
      </c>
      <c r="Q581" s="17">
        <v>7304</v>
      </c>
      <c r="R581" s="17"/>
      <c r="S581" s="17"/>
      <c r="T581" s="17"/>
      <c r="U581" s="17"/>
      <c r="V581" s="17">
        <v>80</v>
      </c>
      <c r="W581" s="17">
        <v>938</v>
      </c>
      <c r="X581" s="15">
        <v>248.75</v>
      </c>
      <c r="Y581" s="17">
        <v>612</v>
      </c>
      <c r="Z581" s="17">
        <v>436.75</v>
      </c>
      <c r="AA581" s="17">
        <v>7056</v>
      </c>
      <c r="AB581" s="12">
        <f t="shared" si="9"/>
        <v>579</v>
      </c>
    </row>
    <row r="582" ht="14.25" spans="1:28">
      <c r="A582" s="13">
        <v>633</v>
      </c>
      <c r="B582" s="15">
        <v>13</v>
      </c>
      <c r="C582" s="16">
        <v>26</v>
      </c>
      <c r="D582" s="17" t="s">
        <v>1274</v>
      </c>
      <c r="E582" s="17" t="s">
        <v>1275</v>
      </c>
      <c r="F582" s="17">
        <v>84.5</v>
      </c>
      <c r="G582" s="17">
        <v>12633</v>
      </c>
      <c r="H582" s="17">
        <v>83</v>
      </c>
      <c r="I582" s="17">
        <v>7420</v>
      </c>
      <c r="J582" s="17">
        <v>88.25</v>
      </c>
      <c r="K582" s="17">
        <v>5710</v>
      </c>
      <c r="L582" s="17">
        <v>42</v>
      </c>
      <c r="M582" s="17">
        <v>5731</v>
      </c>
      <c r="N582" s="17"/>
      <c r="O582" s="17"/>
      <c r="P582" s="17">
        <v>64</v>
      </c>
      <c r="Q582" s="17">
        <v>7304</v>
      </c>
      <c r="R582" s="17">
        <v>75</v>
      </c>
      <c r="S582" s="17">
        <v>3790</v>
      </c>
      <c r="T582" s="17"/>
      <c r="U582" s="17"/>
      <c r="V582" s="17"/>
      <c r="W582" s="17"/>
      <c r="X582" s="15">
        <v>255.75</v>
      </c>
      <c r="Y582" s="17">
        <v>594</v>
      </c>
      <c r="Z582" s="17">
        <v>436.75</v>
      </c>
      <c r="AA582" s="17">
        <v>7056</v>
      </c>
      <c r="AB582" s="12">
        <f t="shared" si="9"/>
        <v>579</v>
      </c>
    </row>
    <row r="583" ht="14.25" spans="1:28">
      <c r="A583" s="13">
        <v>258</v>
      </c>
      <c r="B583" s="15">
        <v>6</v>
      </c>
      <c r="C583" s="16">
        <v>9</v>
      </c>
      <c r="D583" s="17" t="s">
        <v>527</v>
      </c>
      <c r="E583" s="17" t="s">
        <v>528</v>
      </c>
      <c r="F583" s="17">
        <v>91.5</v>
      </c>
      <c r="G583" s="17">
        <v>8306</v>
      </c>
      <c r="H583" s="17">
        <v>89.5</v>
      </c>
      <c r="I583" s="17">
        <v>5946</v>
      </c>
      <c r="J583" s="17">
        <v>84.75</v>
      </c>
      <c r="K583" s="17">
        <v>6579</v>
      </c>
      <c r="L583" s="17">
        <v>40.5</v>
      </c>
      <c r="M583" s="17">
        <v>6131</v>
      </c>
      <c r="N583" s="17"/>
      <c r="O583" s="17"/>
      <c r="P583" s="17"/>
      <c r="Q583" s="17"/>
      <c r="R583" s="17">
        <v>67</v>
      </c>
      <c r="S583" s="17">
        <v>6298</v>
      </c>
      <c r="T583" s="17"/>
      <c r="U583" s="17"/>
      <c r="V583" s="17">
        <v>63</v>
      </c>
      <c r="W583" s="17">
        <v>3260</v>
      </c>
      <c r="X583" s="15">
        <v>265.75</v>
      </c>
      <c r="Y583" s="17">
        <v>551</v>
      </c>
      <c r="Z583" s="17">
        <v>436.25</v>
      </c>
      <c r="AA583" s="17">
        <v>7085</v>
      </c>
      <c r="AB583" s="12">
        <f t="shared" si="9"/>
        <v>581</v>
      </c>
    </row>
    <row r="584" ht="14.25" spans="1:28">
      <c r="A584" s="13">
        <v>55</v>
      </c>
      <c r="B584" s="15">
        <v>1</v>
      </c>
      <c r="C584" s="16">
        <v>57</v>
      </c>
      <c r="D584" s="17" t="s">
        <v>124</v>
      </c>
      <c r="E584" s="17" t="s">
        <v>125</v>
      </c>
      <c r="F584" s="17">
        <v>101</v>
      </c>
      <c r="G584" s="17">
        <v>2896</v>
      </c>
      <c r="H584" s="17">
        <v>72.5</v>
      </c>
      <c r="I584" s="17">
        <v>9501</v>
      </c>
      <c r="J584" s="17">
        <v>87.5</v>
      </c>
      <c r="K584" s="17">
        <v>5877</v>
      </c>
      <c r="L584" s="17">
        <v>40</v>
      </c>
      <c r="M584" s="17">
        <v>6265</v>
      </c>
      <c r="N584" s="17"/>
      <c r="O584" s="17"/>
      <c r="P584" s="17">
        <v>68</v>
      </c>
      <c r="Q584" s="17">
        <v>6016</v>
      </c>
      <c r="R584" s="17"/>
      <c r="S584" s="17"/>
      <c r="T584" s="17">
        <v>67</v>
      </c>
      <c r="U584" s="17">
        <v>2274</v>
      </c>
      <c r="V584" s="17"/>
      <c r="W584" s="17"/>
      <c r="X584" s="15">
        <v>261</v>
      </c>
      <c r="Y584" s="17">
        <v>580</v>
      </c>
      <c r="Z584" s="17">
        <v>436</v>
      </c>
      <c r="AA584" s="17">
        <v>7096</v>
      </c>
      <c r="AB584" s="12">
        <f t="shared" si="9"/>
        <v>582</v>
      </c>
    </row>
    <row r="585" ht="14.25" spans="1:28">
      <c r="A585" s="13">
        <v>122</v>
      </c>
      <c r="B585" s="15">
        <v>3</v>
      </c>
      <c r="C585" s="16">
        <v>11</v>
      </c>
      <c r="D585" s="17" t="s">
        <v>257</v>
      </c>
      <c r="E585" s="17" t="s">
        <v>258</v>
      </c>
      <c r="F585" s="17">
        <v>91.25</v>
      </c>
      <c r="G585" s="17">
        <v>8581</v>
      </c>
      <c r="H585" s="17">
        <v>83.5</v>
      </c>
      <c r="I585" s="17">
        <v>7321</v>
      </c>
      <c r="J585" s="17">
        <v>77.75</v>
      </c>
      <c r="K585" s="17">
        <v>8398</v>
      </c>
      <c r="L585" s="17">
        <v>41.5</v>
      </c>
      <c r="M585" s="17">
        <v>5867</v>
      </c>
      <c r="N585" s="17"/>
      <c r="O585" s="17"/>
      <c r="P585" s="17">
        <v>83</v>
      </c>
      <c r="Q585" s="17">
        <v>1643</v>
      </c>
      <c r="R585" s="17"/>
      <c r="S585" s="17"/>
      <c r="T585" s="17"/>
      <c r="U585" s="17"/>
      <c r="V585" s="17">
        <v>59</v>
      </c>
      <c r="W585" s="17">
        <v>3835</v>
      </c>
      <c r="X585" s="15">
        <v>252.5</v>
      </c>
      <c r="Y585" s="17">
        <v>605</v>
      </c>
      <c r="Z585" s="17">
        <v>436</v>
      </c>
      <c r="AA585" s="17">
        <v>7096</v>
      </c>
      <c r="AB585" s="12">
        <f t="shared" si="9"/>
        <v>582</v>
      </c>
    </row>
    <row r="586" ht="14.25" spans="1:28">
      <c r="A586" s="13">
        <v>166</v>
      </c>
      <c r="B586" s="15">
        <v>4</v>
      </c>
      <c r="C586" s="16">
        <v>7</v>
      </c>
      <c r="D586" s="17" t="s">
        <v>345</v>
      </c>
      <c r="E586" s="17" t="s">
        <v>346</v>
      </c>
      <c r="F586" s="17">
        <v>78</v>
      </c>
      <c r="G586" s="17">
        <v>15316</v>
      </c>
      <c r="H586" s="17">
        <v>98</v>
      </c>
      <c r="I586" s="17">
        <v>4147</v>
      </c>
      <c r="J586" s="17">
        <v>88.75</v>
      </c>
      <c r="K586" s="17">
        <v>5589</v>
      </c>
      <c r="L586" s="17">
        <v>40</v>
      </c>
      <c r="M586" s="17">
        <v>6265</v>
      </c>
      <c r="N586" s="17"/>
      <c r="O586" s="17"/>
      <c r="P586" s="17">
        <v>63</v>
      </c>
      <c r="Q586" s="17">
        <v>7666</v>
      </c>
      <c r="R586" s="17"/>
      <c r="S586" s="17"/>
      <c r="T586" s="17"/>
      <c r="U586" s="17"/>
      <c r="V586" s="17">
        <v>68</v>
      </c>
      <c r="W586" s="17">
        <v>2512</v>
      </c>
      <c r="X586" s="15">
        <v>264.75</v>
      </c>
      <c r="Y586" s="17">
        <v>557</v>
      </c>
      <c r="Z586" s="17">
        <v>435.75</v>
      </c>
      <c r="AA586" s="17">
        <v>7116</v>
      </c>
      <c r="AB586" s="12">
        <f t="shared" si="9"/>
        <v>584</v>
      </c>
    </row>
    <row r="587" ht="14.25" spans="1:28">
      <c r="A587" s="13">
        <v>315</v>
      </c>
      <c r="B587" s="15">
        <v>7</v>
      </c>
      <c r="C587" s="16">
        <v>28</v>
      </c>
      <c r="D587" s="17" t="s">
        <v>641</v>
      </c>
      <c r="E587" s="17" t="s">
        <v>642</v>
      </c>
      <c r="F587" s="17">
        <v>101</v>
      </c>
      <c r="G587" s="17">
        <v>2896</v>
      </c>
      <c r="H587" s="17">
        <v>73.5</v>
      </c>
      <c r="I587" s="17">
        <v>9309</v>
      </c>
      <c r="J587" s="17">
        <v>80</v>
      </c>
      <c r="K587" s="17">
        <v>7802</v>
      </c>
      <c r="L587" s="17">
        <v>47</v>
      </c>
      <c r="M587" s="17">
        <v>4568</v>
      </c>
      <c r="N587" s="17"/>
      <c r="O587" s="17"/>
      <c r="P587" s="17"/>
      <c r="Q587" s="17"/>
      <c r="R587" s="17">
        <v>68</v>
      </c>
      <c r="S587" s="17">
        <v>6079</v>
      </c>
      <c r="T587" s="17"/>
      <c r="U587" s="17"/>
      <c r="V587" s="17">
        <v>66</v>
      </c>
      <c r="W587" s="17">
        <v>2820</v>
      </c>
      <c r="X587" s="15">
        <v>254.5</v>
      </c>
      <c r="Y587" s="17">
        <v>598</v>
      </c>
      <c r="Z587" s="17">
        <v>435.5</v>
      </c>
      <c r="AA587" s="17">
        <v>7125</v>
      </c>
      <c r="AB587" s="12">
        <f t="shared" si="9"/>
        <v>585</v>
      </c>
    </row>
    <row r="588" ht="14.25" spans="1:28">
      <c r="A588" s="13">
        <v>363</v>
      </c>
      <c r="B588" s="15">
        <v>8</v>
      </c>
      <c r="C588" s="16">
        <v>37</v>
      </c>
      <c r="D588" s="17" t="s">
        <v>736</v>
      </c>
      <c r="E588" s="17" t="s">
        <v>737</v>
      </c>
      <c r="F588" s="17">
        <v>104</v>
      </c>
      <c r="G588" s="17">
        <v>1709</v>
      </c>
      <c r="H588" s="17">
        <v>70</v>
      </c>
      <c r="I588" s="17">
        <v>9977</v>
      </c>
      <c r="J588" s="17">
        <v>81.5</v>
      </c>
      <c r="K588" s="17">
        <v>7394</v>
      </c>
      <c r="L588" s="17">
        <v>36.5</v>
      </c>
      <c r="M588" s="17">
        <v>7270</v>
      </c>
      <c r="N588" s="17"/>
      <c r="O588" s="17"/>
      <c r="P588" s="17">
        <v>81</v>
      </c>
      <c r="Q588" s="17">
        <v>2079</v>
      </c>
      <c r="R588" s="17">
        <v>62</v>
      </c>
      <c r="S588" s="17">
        <v>8006</v>
      </c>
      <c r="T588" s="17"/>
      <c r="U588" s="17"/>
      <c r="V588" s="17"/>
      <c r="W588" s="17"/>
      <c r="X588" s="15">
        <v>255.5</v>
      </c>
      <c r="Y588" s="17">
        <v>595</v>
      </c>
      <c r="Z588" s="17">
        <v>435</v>
      </c>
      <c r="AA588" s="17">
        <v>7153</v>
      </c>
      <c r="AB588" s="12">
        <f t="shared" si="9"/>
        <v>586</v>
      </c>
    </row>
    <row r="589" ht="14.25" spans="1:28">
      <c r="A589" s="13">
        <v>521</v>
      </c>
      <c r="B589" s="15">
        <v>11</v>
      </c>
      <c r="C589" s="16">
        <v>26</v>
      </c>
      <c r="D589" s="17" t="s">
        <v>1052</v>
      </c>
      <c r="E589" s="17" t="s">
        <v>1053</v>
      </c>
      <c r="F589" s="17">
        <v>98.5</v>
      </c>
      <c r="G589" s="17">
        <v>4145</v>
      </c>
      <c r="H589" s="17">
        <v>96</v>
      </c>
      <c r="I589" s="17">
        <v>4544</v>
      </c>
      <c r="J589" s="17">
        <v>87.5</v>
      </c>
      <c r="K589" s="17">
        <v>5877</v>
      </c>
      <c r="L589" s="17">
        <v>31</v>
      </c>
      <c r="M589" s="17">
        <v>9078</v>
      </c>
      <c r="N589" s="17"/>
      <c r="O589" s="17"/>
      <c r="P589" s="17">
        <v>52</v>
      </c>
      <c r="Q589" s="17">
        <v>10512</v>
      </c>
      <c r="R589" s="17">
        <v>70</v>
      </c>
      <c r="S589" s="17">
        <v>5497</v>
      </c>
      <c r="T589" s="17"/>
      <c r="U589" s="17"/>
      <c r="V589" s="17"/>
      <c r="W589" s="17"/>
      <c r="X589" s="15">
        <v>282</v>
      </c>
      <c r="Y589" s="17">
        <v>432</v>
      </c>
      <c r="Z589" s="17">
        <v>435</v>
      </c>
      <c r="AA589" s="17">
        <v>7153</v>
      </c>
      <c r="AB589" s="12">
        <f t="shared" si="9"/>
        <v>586</v>
      </c>
    </row>
    <row r="590" ht="14.25" spans="1:28">
      <c r="A590" s="13">
        <v>102</v>
      </c>
      <c r="B590" s="15">
        <v>2</v>
      </c>
      <c r="C590" s="16">
        <v>39</v>
      </c>
      <c r="D590" s="17" t="s">
        <v>217</v>
      </c>
      <c r="E590" s="17" t="s">
        <v>218</v>
      </c>
      <c r="F590" s="17">
        <v>91.5</v>
      </c>
      <c r="G590" s="17">
        <v>8306</v>
      </c>
      <c r="H590" s="17">
        <v>84.5</v>
      </c>
      <c r="I590" s="17">
        <v>7091</v>
      </c>
      <c r="J590" s="17">
        <v>91.5</v>
      </c>
      <c r="K590" s="17">
        <v>4916</v>
      </c>
      <c r="L590" s="17">
        <v>37</v>
      </c>
      <c r="M590" s="17">
        <v>7118</v>
      </c>
      <c r="N590" s="17"/>
      <c r="O590" s="17"/>
      <c r="P590" s="17"/>
      <c r="Q590" s="17"/>
      <c r="R590" s="17">
        <v>59</v>
      </c>
      <c r="S590" s="17">
        <v>8934</v>
      </c>
      <c r="T590" s="17">
        <v>71</v>
      </c>
      <c r="U590" s="17">
        <v>1907</v>
      </c>
      <c r="V590" s="17"/>
      <c r="W590" s="17"/>
      <c r="X590" s="15">
        <v>267.5</v>
      </c>
      <c r="Y590" s="17">
        <v>543</v>
      </c>
      <c r="Z590" s="17">
        <v>434.5</v>
      </c>
      <c r="AA590" s="17">
        <v>7170</v>
      </c>
      <c r="AB590" s="12">
        <f t="shared" si="9"/>
        <v>588</v>
      </c>
    </row>
    <row r="591" ht="14.25" spans="1:28">
      <c r="A591" s="13">
        <v>369</v>
      </c>
      <c r="B591" s="15">
        <v>8</v>
      </c>
      <c r="C591" s="16">
        <v>43</v>
      </c>
      <c r="D591" s="17" t="s">
        <v>748</v>
      </c>
      <c r="E591" s="17" t="s">
        <v>749</v>
      </c>
      <c r="F591" s="17">
        <v>90.5</v>
      </c>
      <c r="G591" s="17">
        <v>8999</v>
      </c>
      <c r="H591" s="17">
        <v>82.5</v>
      </c>
      <c r="I591" s="17">
        <v>7529</v>
      </c>
      <c r="J591" s="17">
        <v>94.5</v>
      </c>
      <c r="K591" s="17">
        <v>4208</v>
      </c>
      <c r="L591" s="17">
        <v>51</v>
      </c>
      <c r="M591" s="17">
        <v>3730</v>
      </c>
      <c r="N591" s="17"/>
      <c r="O591" s="17"/>
      <c r="P591" s="17">
        <v>61</v>
      </c>
      <c r="Q591" s="17">
        <v>8358</v>
      </c>
      <c r="R591" s="17">
        <v>55</v>
      </c>
      <c r="S591" s="17">
        <v>10186</v>
      </c>
      <c r="T591" s="17"/>
      <c r="U591" s="17"/>
      <c r="V591" s="17"/>
      <c r="W591" s="17"/>
      <c r="X591" s="15">
        <v>267.5</v>
      </c>
      <c r="Y591" s="17">
        <v>543</v>
      </c>
      <c r="Z591" s="17">
        <v>434.5</v>
      </c>
      <c r="AA591" s="17">
        <v>7170</v>
      </c>
      <c r="AB591" s="12">
        <f t="shared" si="9"/>
        <v>588</v>
      </c>
    </row>
    <row r="592" ht="14.25" spans="1:28">
      <c r="A592" s="13">
        <v>334</v>
      </c>
      <c r="B592" s="15">
        <v>8</v>
      </c>
      <c r="C592" s="16">
        <v>6</v>
      </c>
      <c r="D592" s="17" t="s">
        <v>679</v>
      </c>
      <c r="E592" s="17" t="s">
        <v>680</v>
      </c>
      <c r="F592" s="17">
        <v>96</v>
      </c>
      <c r="G592" s="17">
        <v>5544</v>
      </c>
      <c r="H592" s="17">
        <v>91</v>
      </c>
      <c r="I592" s="17">
        <v>5638</v>
      </c>
      <c r="J592" s="17">
        <v>84.75</v>
      </c>
      <c r="K592" s="17">
        <v>6579</v>
      </c>
      <c r="L592" s="17">
        <v>38.5</v>
      </c>
      <c r="M592" s="17">
        <v>6692</v>
      </c>
      <c r="N592" s="17"/>
      <c r="O592" s="17"/>
      <c r="P592" s="17">
        <v>48</v>
      </c>
      <c r="Q592" s="17">
        <v>11124</v>
      </c>
      <c r="R592" s="17">
        <v>76</v>
      </c>
      <c r="S592" s="17">
        <v>3491</v>
      </c>
      <c r="T592" s="17"/>
      <c r="U592" s="17"/>
      <c r="V592" s="17"/>
      <c r="W592" s="17"/>
      <c r="X592" s="15">
        <v>271.75</v>
      </c>
      <c r="Y592" s="17">
        <v>517</v>
      </c>
      <c r="Z592" s="17">
        <v>434.25</v>
      </c>
      <c r="AA592" s="17">
        <v>7194</v>
      </c>
      <c r="AB592" s="12">
        <f t="shared" si="9"/>
        <v>590</v>
      </c>
    </row>
    <row r="593" ht="14.25" spans="1:28">
      <c r="A593" s="13">
        <v>656</v>
      </c>
      <c r="B593" s="15">
        <v>13</v>
      </c>
      <c r="C593" s="16">
        <v>50</v>
      </c>
      <c r="D593" s="17" t="s">
        <v>1319</v>
      </c>
      <c r="E593" s="17" t="s">
        <v>1320</v>
      </c>
      <c r="F593" s="17">
        <v>99.5</v>
      </c>
      <c r="G593" s="17">
        <v>3607</v>
      </c>
      <c r="H593" s="17">
        <v>78</v>
      </c>
      <c r="I593" s="17">
        <v>8424</v>
      </c>
      <c r="J593" s="17">
        <v>59.75</v>
      </c>
      <c r="K593" s="17">
        <v>12508</v>
      </c>
      <c r="L593" s="17">
        <v>37.5</v>
      </c>
      <c r="M593" s="17">
        <v>6979</v>
      </c>
      <c r="N593" s="17"/>
      <c r="O593" s="17"/>
      <c r="P593" s="17">
        <v>72</v>
      </c>
      <c r="Q593" s="17">
        <v>4881</v>
      </c>
      <c r="R593" s="17">
        <v>87</v>
      </c>
      <c r="S593" s="17">
        <v>883</v>
      </c>
      <c r="T593" s="17"/>
      <c r="U593" s="17"/>
      <c r="V593" s="17"/>
      <c r="W593" s="17"/>
      <c r="X593" s="15">
        <v>237.25</v>
      </c>
      <c r="Y593" s="17">
        <v>636</v>
      </c>
      <c r="Z593" s="17">
        <v>433.75</v>
      </c>
      <c r="AA593" s="17">
        <v>7239</v>
      </c>
      <c r="AB593" s="12">
        <f t="shared" si="9"/>
        <v>591</v>
      </c>
    </row>
    <row r="594" ht="14.25" spans="1:28">
      <c r="A594" s="13">
        <v>120</v>
      </c>
      <c r="B594" s="15">
        <v>3</v>
      </c>
      <c r="C594" s="16">
        <v>9</v>
      </c>
      <c r="D594" s="17" t="s">
        <v>253</v>
      </c>
      <c r="E594" s="17" t="s">
        <v>254</v>
      </c>
      <c r="F594" s="17">
        <v>98</v>
      </c>
      <c r="G594" s="17">
        <v>4423</v>
      </c>
      <c r="H594" s="17">
        <v>95</v>
      </c>
      <c r="I594" s="17">
        <v>4735</v>
      </c>
      <c r="J594" s="17">
        <v>82</v>
      </c>
      <c r="K594" s="17">
        <v>7249</v>
      </c>
      <c r="L594" s="17">
        <v>51.5</v>
      </c>
      <c r="M594" s="17">
        <v>3642</v>
      </c>
      <c r="N594" s="17"/>
      <c r="O594" s="17"/>
      <c r="P594" s="17">
        <v>54</v>
      </c>
      <c r="Q594" s="17">
        <v>10153</v>
      </c>
      <c r="R594" s="17"/>
      <c r="S594" s="17"/>
      <c r="T594" s="17"/>
      <c r="U594" s="17"/>
      <c r="V594" s="17">
        <v>53</v>
      </c>
      <c r="W594" s="17">
        <v>4421</v>
      </c>
      <c r="X594" s="15">
        <v>275</v>
      </c>
      <c r="Y594" s="17">
        <v>497</v>
      </c>
      <c r="Z594" s="17">
        <v>433.5</v>
      </c>
      <c r="AA594" s="17">
        <v>7257</v>
      </c>
      <c r="AB594" s="12">
        <f t="shared" si="9"/>
        <v>592</v>
      </c>
    </row>
    <row r="595" ht="14.25" spans="1:28">
      <c r="A595" s="13">
        <v>360</v>
      </c>
      <c r="B595" s="15">
        <v>8</v>
      </c>
      <c r="C595" s="16">
        <v>34</v>
      </c>
      <c r="D595" s="17" t="s">
        <v>730</v>
      </c>
      <c r="E595" s="17" t="s">
        <v>731</v>
      </c>
      <c r="F595" s="17">
        <v>73.25</v>
      </c>
      <c r="G595" s="17">
        <v>16463</v>
      </c>
      <c r="H595" s="17">
        <v>88.5</v>
      </c>
      <c r="I595" s="17">
        <v>6176</v>
      </c>
      <c r="J595" s="17">
        <v>81.5</v>
      </c>
      <c r="K595" s="17">
        <v>7394</v>
      </c>
      <c r="L595" s="17">
        <v>48</v>
      </c>
      <c r="M595" s="17">
        <v>4355</v>
      </c>
      <c r="N595" s="17"/>
      <c r="O595" s="17"/>
      <c r="P595" s="17">
        <v>64</v>
      </c>
      <c r="Q595" s="17">
        <v>7304</v>
      </c>
      <c r="R595" s="17">
        <v>78</v>
      </c>
      <c r="S595" s="17">
        <v>2906</v>
      </c>
      <c r="T595" s="17"/>
      <c r="U595" s="17"/>
      <c r="V595" s="17"/>
      <c r="W595" s="17"/>
      <c r="X595" s="15">
        <v>243.25</v>
      </c>
      <c r="Y595" s="17">
        <v>622</v>
      </c>
      <c r="Z595" s="17">
        <v>433.25</v>
      </c>
      <c r="AA595" s="17">
        <v>7277</v>
      </c>
      <c r="AB595" s="12">
        <f t="shared" si="9"/>
        <v>593</v>
      </c>
    </row>
    <row r="596" ht="14.25" spans="1:28">
      <c r="A596" s="13">
        <v>566</v>
      </c>
      <c r="B596" s="15">
        <v>12</v>
      </c>
      <c r="C596" s="16">
        <v>13</v>
      </c>
      <c r="D596" s="17" t="s">
        <v>1140</v>
      </c>
      <c r="E596" s="17" t="s">
        <v>1141</v>
      </c>
      <c r="F596" s="17">
        <v>96</v>
      </c>
      <c r="G596" s="17">
        <v>5544</v>
      </c>
      <c r="H596" s="17">
        <v>108</v>
      </c>
      <c r="I596" s="17">
        <v>2274</v>
      </c>
      <c r="J596" s="17">
        <v>26</v>
      </c>
      <c r="K596" s="17">
        <v>15980</v>
      </c>
      <c r="L596" s="17">
        <v>43.5</v>
      </c>
      <c r="M596" s="17">
        <v>5353</v>
      </c>
      <c r="N596" s="17"/>
      <c r="O596" s="17"/>
      <c r="P596" s="17">
        <v>77</v>
      </c>
      <c r="Q596" s="17">
        <v>3207</v>
      </c>
      <c r="R596" s="17">
        <v>82</v>
      </c>
      <c r="S596" s="17">
        <v>1915</v>
      </c>
      <c r="T596" s="17"/>
      <c r="U596" s="17"/>
      <c r="V596" s="17"/>
      <c r="W596" s="17"/>
      <c r="X596" s="15">
        <v>230</v>
      </c>
      <c r="Y596" s="17">
        <v>648</v>
      </c>
      <c r="Z596" s="17">
        <v>432.5</v>
      </c>
      <c r="AA596" s="17">
        <v>7322</v>
      </c>
      <c r="AB596" s="12">
        <f t="shared" si="9"/>
        <v>594</v>
      </c>
    </row>
    <row r="597" ht="14.25" spans="1:28">
      <c r="A597" s="13">
        <v>560</v>
      </c>
      <c r="B597" s="15">
        <v>12</v>
      </c>
      <c r="C597" s="16">
        <v>7</v>
      </c>
      <c r="D597" s="17" t="s">
        <v>1128</v>
      </c>
      <c r="E597" s="17" t="s">
        <v>1129</v>
      </c>
      <c r="F597" s="17">
        <v>99</v>
      </c>
      <c r="G597" s="17">
        <v>3868</v>
      </c>
      <c r="H597" s="17">
        <v>92.5</v>
      </c>
      <c r="I597" s="17">
        <v>5299</v>
      </c>
      <c r="J597" s="17">
        <v>75.5</v>
      </c>
      <c r="K597" s="17">
        <v>8958</v>
      </c>
      <c r="L597" s="17">
        <v>40</v>
      </c>
      <c r="M597" s="17">
        <v>6265</v>
      </c>
      <c r="N597" s="17"/>
      <c r="O597" s="17"/>
      <c r="P597" s="17">
        <v>62</v>
      </c>
      <c r="Q597" s="17">
        <v>8021</v>
      </c>
      <c r="R597" s="17">
        <v>62</v>
      </c>
      <c r="S597" s="17">
        <v>8006</v>
      </c>
      <c r="T597" s="17"/>
      <c r="U597" s="17"/>
      <c r="V597" s="17"/>
      <c r="W597" s="17"/>
      <c r="X597" s="15">
        <v>267</v>
      </c>
      <c r="Y597" s="17">
        <v>545</v>
      </c>
      <c r="Z597" s="17">
        <v>431</v>
      </c>
      <c r="AA597" s="17">
        <v>7418</v>
      </c>
      <c r="AB597" s="12">
        <f t="shared" si="9"/>
        <v>595</v>
      </c>
    </row>
    <row r="598" ht="14.25" spans="1:28">
      <c r="A598" s="13">
        <v>662</v>
      </c>
      <c r="B598" s="15">
        <v>13</v>
      </c>
      <c r="C598" s="16">
        <v>56</v>
      </c>
      <c r="D598" s="17" t="s">
        <v>1330</v>
      </c>
      <c r="E598" s="17" t="s">
        <v>1331</v>
      </c>
      <c r="F598" s="17">
        <v>103.5</v>
      </c>
      <c r="G598" s="17">
        <v>1897</v>
      </c>
      <c r="H598" s="17">
        <v>73</v>
      </c>
      <c r="I598" s="17">
        <v>9411</v>
      </c>
      <c r="J598" s="17">
        <v>87</v>
      </c>
      <c r="K598" s="17">
        <v>5999</v>
      </c>
      <c r="L598" s="17">
        <v>27.5</v>
      </c>
      <c r="M598" s="17">
        <v>10504</v>
      </c>
      <c r="N598" s="17"/>
      <c r="O598" s="17"/>
      <c r="P598" s="17">
        <v>68</v>
      </c>
      <c r="Q598" s="17">
        <v>6016</v>
      </c>
      <c r="R598" s="17">
        <v>72</v>
      </c>
      <c r="S598" s="17">
        <v>4793</v>
      </c>
      <c r="T598" s="17"/>
      <c r="U598" s="17"/>
      <c r="V598" s="17"/>
      <c r="W598" s="17"/>
      <c r="X598" s="15">
        <v>263.5</v>
      </c>
      <c r="Y598" s="17">
        <v>563</v>
      </c>
      <c r="Z598" s="17">
        <v>431</v>
      </c>
      <c r="AA598" s="17">
        <v>7418</v>
      </c>
      <c r="AB598" s="12">
        <f t="shared" si="9"/>
        <v>595</v>
      </c>
    </row>
    <row r="599" ht="14.25" spans="1:28">
      <c r="A599" s="13">
        <v>663</v>
      </c>
      <c r="B599" s="15">
        <v>13</v>
      </c>
      <c r="C599" s="16">
        <v>58</v>
      </c>
      <c r="D599" s="17" t="s">
        <v>1332</v>
      </c>
      <c r="E599" s="17" t="s">
        <v>1333</v>
      </c>
      <c r="F599" s="17">
        <v>94.5</v>
      </c>
      <c r="G599" s="17">
        <v>6496</v>
      </c>
      <c r="H599" s="17">
        <v>67.5</v>
      </c>
      <c r="I599" s="17">
        <v>10411</v>
      </c>
      <c r="J599" s="17">
        <v>82.5</v>
      </c>
      <c r="K599" s="17">
        <v>7120</v>
      </c>
      <c r="L599" s="17">
        <v>42.5</v>
      </c>
      <c r="M599" s="17">
        <v>5605</v>
      </c>
      <c r="N599" s="17"/>
      <c r="O599" s="17"/>
      <c r="P599" s="17">
        <v>69</v>
      </c>
      <c r="Q599" s="17">
        <v>5655</v>
      </c>
      <c r="R599" s="17">
        <v>75</v>
      </c>
      <c r="S599" s="17">
        <v>3790</v>
      </c>
      <c r="T599" s="17"/>
      <c r="U599" s="17"/>
      <c r="V599" s="17"/>
      <c r="W599" s="17"/>
      <c r="X599" s="15">
        <v>244.5</v>
      </c>
      <c r="Y599" s="17">
        <v>618</v>
      </c>
      <c r="Z599" s="17">
        <v>431</v>
      </c>
      <c r="AA599" s="17">
        <v>7418</v>
      </c>
      <c r="AB599" s="12">
        <f t="shared" si="9"/>
        <v>595</v>
      </c>
    </row>
    <row r="600" ht="14.25" spans="1:28">
      <c r="A600" s="13">
        <v>206</v>
      </c>
      <c r="B600" s="15">
        <v>5</v>
      </c>
      <c r="C600" s="16">
        <v>2</v>
      </c>
      <c r="D600" s="17" t="s">
        <v>425</v>
      </c>
      <c r="E600" s="17" t="s">
        <v>426</v>
      </c>
      <c r="F600" s="17">
        <v>93</v>
      </c>
      <c r="G600" s="17">
        <v>7407</v>
      </c>
      <c r="H600" s="17">
        <v>99</v>
      </c>
      <c r="I600" s="17">
        <v>3947</v>
      </c>
      <c r="J600" s="17">
        <v>81.5</v>
      </c>
      <c r="K600" s="17">
        <v>7394</v>
      </c>
      <c r="L600" s="17">
        <v>19</v>
      </c>
      <c r="M600" s="17">
        <v>14435</v>
      </c>
      <c r="N600" s="17"/>
      <c r="O600" s="17"/>
      <c r="P600" s="17">
        <v>50</v>
      </c>
      <c r="Q600" s="17">
        <v>10845</v>
      </c>
      <c r="R600" s="17"/>
      <c r="S600" s="17"/>
      <c r="T600" s="17"/>
      <c r="U600" s="17"/>
      <c r="V600" s="17">
        <v>88</v>
      </c>
      <c r="W600" s="17">
        <v>165</v>
      </c>
      <c r="X600" s="15">
        <v>273.5</v>
      </c>
      <c r="Y600" s="17">
        <v>505</v>
      </c>
      <c r="Z600" s="17">
        <v>430.5</v>
      </c>
      <c r="AA600" s="17">
        <v>7460</v>
      </c>
      <c r="AB600" s="12">
        <f t="shared" si="9"/>
        <v>598</v>
      </c>
    </row>
    <row r="601" ht="14.25" spans="1:28">
      <c r="A601" s="13">
        <v>316</v>
      </c>
      <c r="B601" s="15">
        <v>7</v>
      </c>
      <c r="C601" s="16">
        <v>29</v>
      </c>
      <c r="D601" s="17" t="s">
        <v>643</v>
      </c>
      <c r="E601" s="17" t="s">
        <v>644</v>
      </c>
      <c r="F601" s="17">
        <v>93</v>
      </c>
      <c r="G601" s="17">
        <v>7407</v>
      </c>
      <c r="H601" s="17">
        <v>78.5</v>
      </c>
      <c r="I601" s="17">
        <v>8336</v>
      </c>
      <c r="J601" s="17">
        <v>87.5</v>
      </c>
      <c r="K601" s="17">
        <v>5877</v>
      </c>
      <c r="L601" s="17">
        <v>30.5</v>
      </c>
      <c r="M601" s="17">
        <v>9285</v>
      </c>
      <c r="N601" s="17"/>
      <c r="O601" s="17"/>
      <c r="P601" s="17"/>
      <c r="Q601" s="17"/>
      <c r="R601" s="17">
        <v>56</v>
      </c>
      <c r="S601" s="17">
        <v>10021</v>
      </c>
      <c r="T601" s="17"/>
      <c r="U601" s="17"/>
      <c r="V601" s="17">
        <v>85</v>
      </c>
      <c r="W601" s="17">
        <v>530</v>
      </c>
      <c r="X601" s="15">
        <v>259</v>
      </c>
      <c r="Y601" s="17">
        <v>585</v>
      </c>
      <c r="Z601" s="17">
        <v>430.5</v>
      </c>
      <c r="AA601" s="17">
        <v>7460</v>
      </c>
      <c r="AB601" s="12">
        <f t="shared" si="9"/>
        <v>598</v>
      </c>
    </row>
    <row r="602" ht="14.25" spans="1:28">
      <c r="A602" s="13">
        <v>547</v>
      </c>
      <c r="B602" s="15">
        <v>11</v>
      </c>
      <c r="C602" s="16">
        <v>53</v>
      </c>
      <c r="D602" s="17" t="s">
        <v>1102</v>
      </c>
      <c r="E602" s="17" t="s">
        <v>1103</v>
      </c>
      <c r="F602" s="17">
        <v>97.5</v>
      </c>
      <c r="G602" s="17">
        <v>4695</v>
      </c>
      <c r="H602" s="17">
        <v>78</v>
      </c>
      <c r="I602" s="17">
        <v>8424</v>
      </c>
      <c r="J602" s="17">
        <v>87.25</v>
      </c>
      <c r="K602" s="17">
        <v>5964</v>
      </c>
      <c r="L602" s="17">
        <v>32.5</v>
      </c>
      <c r="M602" s="17">
        <v>8567</v>
      </c>
      <c r="N602" s="17"/>
      <c r="O602" s="17"/>
      <c r="P602" s="17">
        <v>59</v>
      </c>
      <c r="Q602" s="17">
        <v>8996</v>
      </c>
      <c r="R602" s="17">
        <v>76</v>
      </c>
      <c r="S602" s="17">
        <v>3491</v>
      </c>
      <c r="T602" s="17"/>
      <c r="U602" s="17"/>
      <c r="V602" s="17"/>
      <c r="W602" s="17"/>
      <c r="X602" s="15">
        <v>262.75</v>
      </c>
      <c r="Y602" s="17">
        <v>571</v>
      </c>
      <c r="Z602" s="17">
        <v>430.25</v>
      </c>
      <c r="AA602" s="17">
        <v>7488</v>
      </c>
      <c r="AB602" s="12">
        <f t="shared" si="9"/>
        <v>600</v>
      </c>
    </row>
    <row r="603" ht="14.25" spans="1:28">
      <c r="A603" s="13">
        <v>312</v>
      </c>
      <c r="B603" s="15">
        <v>7</v>
      </c>
      <c r="C603" s="16">
        <v>23</v>
      </c>
      <c r="D603" s="17" t="s">
        <v>635</v>
      </c>
      <c r="E603" s="17" t="s">
        <v>636</v>
      </c>
      <c r="F603" s="17">
        <v>94.25</v>
      </c>
      <c r="G603" s="17">
        <v>6778</v>
      </c>
      <c r="H603" s="17">
        <v>85</v>
      </c>
      <c r="I603" s="17">
        <v>6959</v>
      </c>
      <c r="J603" s="17">
        <v>54.25</v>
      </c>
      <c r="K603" s="17">
        <v>13444</v>
      </c>
      <c r="L603" s="17">
        <v>43.5</v>
      </c>
      <c r="M603" s="17">
        <v>5353</v>
      </c>
      <c r="N603" s="17"/>
      <c r="O603" s="17"/>
      <c r="P603" s="17"/>
      <c r="Q603" s="17"/>
      <c r="R603" s="17">
        <v>82</v>
      </c>
      <c r="S603" s="17">
        <v>1915</v>
      </c>
      <c r="T603" s="17"/>
      <c r="U603" s="17"/>
      <c r="V603" s="17">
        <v>71</v>
      </c>
      <c r="W603" s="17">
        <v>2172</v>
      </c>
      <c r="X603" s="15">
        <v>233.5</v>
      </c>
      <c r="Y603" s="17">
        <v>639</v>
      </c>
      <c r="Z603" s="17">
        <v>430</v>
      </c>
      <c r="AA603" s="17">
        <v>7499</v>
      </c>
      <c r="AB603" s="12">
        <f t="shared" si="9"/>
        <v>601</v>
      </c>
    </row>
    <row r="604" ht="14.25" spans="1:28">
      <c r="A604" s="13">
        <v>56</v>
      </c>
      <c r="B604" s="15">
        <v>1</v>
      </c>
      <c r="C604" s="16">
        <v>58</v>
      </c>
      <c r="D604" s="17" t="s">
        <v>126</v>
      </c>
      <c r="E604" s="17" t="s">
        <v>127</v>
      </c>
      <c r="F604" s="17">
        <v>91</v>
      </c>
      <c r="G604" s="17">
        <v>8620</v>
      </c>
      <c r="H604" s="17">
        <v>86</v>
      </c>
      <c r="I604" s="17">
        <v>6759</v>
      </c>
      <c r="J604" s="17">
        <v>84.25</v>
      </c>
      <c r="K604" s="17">
        <v>6713</v>
      </c>
      <c r="L604" s="17">
        <v>36.5</v>
      </c>
      <c r="M604" s="17">
        <v>7270</v>
      </c>
      <c r="N604" s="17"/>
      <c r="O604" s="17"/>
      <c r="P604" s="17">
        <v>64</v>
      </c>
      <c r="Q604" s="17">
        <v>7304</v>
      </c>
      <c r="R604" s="17"/>
      <c r="S604" s="17"/>
      <c r="T604" s="17">
        <v>68</v>
      </c>
      <c r="U604" s="17">
        <v>2192</v>
      </c>
      <c r="V604" s="17"/>
      <c r="W604" s="17"/>
      <c r="X604" s="15">
        <v>261.25</v>
      </c>
      <c r="Y604" s="17">
        <v>576</v>
      </c>
      <c r="Z604" s="17">
        <v>429.75</v>
      </c>
      <c r="AA604" s="17">
        <v>7516</v>
      </c>
      <c r="AB604" s="12">
        <f t="shared" si="9"/>
        <v>602</v>
      </c>
    </row>
    <row r="605" ht="14.25" spans="1:28">
      <c r="A605" s="13">
        <v>533</v>
      </c>
      <c r="B605" s="15">
        <v>11</v>
      </c>
      <c r="C605" s="16">
        <v>39</v>
      </c>
      <c r="D605" s="17" t="s">
        <v>1075</v>
      </c>
      <c r="E605" s="17" t="s">
        <v>1076</v>
      </c>
      <c r="F605" s="17">
        <v>101</v>
      </c>
      <c r="G605" s="17">
        <v>2896</v>
      </c>
      <c r="H605" s="17">
        <v>53</v>
      </c>
      <c r="I605" s="17">
        <v>12991</v>
      </c>
      <c r="J605" s="17">
        <v>76.75</v>
      </c>
      <c r="K605" s="17">
        <v>8663</v>
      </c>
      <c r="L605" s="17">
        <v>41</v>
      </c>
      <c r="M605" s="17">
        <v>5993</v>
      </c>
      <c r="N605" s="17"/>
      <c r="O605" s="17"/>
      <c r="P605" s="17">
        <v>70</v>
      </c>
      <c r="Q605" s="17">
        <v>5445</v>
      </c>
      <c r="R605" s="17">
        <v>88</v>
      </c>
      <c r="S605" s="17">
        <v>601</v>
      </c>
      <c r="T605" s="17"/>
      <c r="U605" s="17"/>
      <c r="V605" s="17"/>
      <c r="W605" s="17"/>
      <c r="X605" s="15">
        <v>230.75</v>
      </c>
      <c r="Y605" s="17">
        <v>646</v>
      </c>
      <c r="Z605" s="17">
        <v>429.75</v>
      </c>
      <c r="AA605" s="17">
        <v>7516</v>
      </c>
      <c r="AB605" s="12">
        <f t="shared" si="9"/>
        <v>602</v>
      </c>
    </row>
    <row r="606" ht="14.25" spans="1:28">
      <c r="A606" s="13">
        <v>153</v>
      </c>
      <c r="B606" s="15">
        <v>3</v>
      </c>
      <c r="C606" s="16">
        <v>42</v>
      </c>
      <c r="D606" s="17" t="s">
        <v>319</v>
      </c>
      <c r="E606" s="17" t="s">
        <v>320</v>
      </c>
      <c r="F606" s="17">
        <v>91.25</v>
      </c>
      <c r="G606" s="17">
        <v>8581</v>
      </c>
      <c r="H606" s="17">
        <v>67.5</v>
      </c>
      <c r="I606" s="17">
        <v>10411</v>
      </c>
      <c r="J606" s="17">
        <v>95</v>
      </c>
      <c r="K606" s="17">
        <v>4092</v>
      </c>
      <c r="L606" s="17">
        <v>26</v>
      </c>
      <c r="M606" s="17">
        <v>11124</v>
      </c>
      <c r="N606" s="17"/>
      <c r="O606" s="17"/>
      <c r="P606" s="17">
        <v>61</v>
      </c>
      <c r="Q606" s="17">
        <v>8358</v>
      </c>
      <c r="R606" s="17"/>
      <c r="S606" s="17"/>
      <c r="T606" s="17"/>
      <c r="U606" s="17"/>
      <c r="V606" s="17">
        <v>88</v>
      </c>
      <c r="W606" s="17">
        <v>165</v>
      </c>
      <c r="X606" s="15">
        <v>253.75</v>
      </c>
      <c r="Y606" s="17">
        <v>601</v>
      </c>
      <c r="Z606" s="17">
        <v>428.75</v>
      </c>
      <c r="AA606" s="17">
        <v>7595</v>
      </c>
      <c r="AB606" s="12">
        <f t="shared" si="9"/>
        <v>604</v>
      </c>
    </row>
    <row r="607" ht="14.25" spans="1:28">
      <c r="A607" s="13">
        <v>271</v>
      </c>
      <c r="B607" s="15">
        <v>6</v>
      </c>
      <c r="C607" s="16">
        <v>23</v>
      </c>
      <c r="D607" s="17" t="s">
        <v>553</v>
      </c>
      <c r="E607" s="17" t="s">
        <v>554</v>
      </c>
      <c r="F607" s="17">
        <v>108</v>
      </c>
      <c r="G607" s="17">
        <v>736</v>
      </c>
      <c r="H607" s="17">
        <v>87.5</v>
      </c>
      <c r="I607" s="17">
        <v>6415</v>
      </c>
      <c r="J607" s="17">
        <v>52.5</v>
      </c>
      <c r="K607" s="17">
        <v>13699</v>
      </c>
      <c r="L607" s="17">
        <v>53.5</v>
      </c>
      <c r="M607" s="17">
        <v>3296</v>
      </c>
      <c r="N607" s="17"/>
      <c r="O607" s="17"/>
      <c r="P607" s="17"/>
      <c r="Q607" s="17"/>
      <c r="R607" s="17">
        <v>64</v>
      </c>
      <c r="S607" s="17">
        <v>7440</v>
      </c>
      <c r="T607" s="17"/>
      <c r="U607" s="17"/>
      <c r="V607" s="17">
        <v>63</v>
      </c>
      <c r="W607" s="17">
        <v>3260</v>
      </c>
      <c r="X607" s="15">
        <v>248</v>
      </c>
      <c r="Y607" s="17">
        <v>613</v>
      </c>
      <c r="Z607" s="17">
        <v>428.5</v>
      </c>
      <c r="AA607" s="17">
        <v>7613</v>
      </c>
      <c r="AB607" s="12">
        <f t="shared" si="9"/>
        <v>605</v>
      </c>
    </row>
    <row r="608" ht="14.25" spans="1:28">
      <c r="A608" s="13">
        <v>604</v>
      </c>
      <c r="B608" s="15">
        <v>12</v>
      </c>
      <c r="C608" s="16">
        <v>54</v>
      </c>
      <c r="D608" s="17" t="s">
        <v>1216</v>
      </c>
      <c r="E608" s="17" t="s">
        <v>1217</v>
      </c>
      <c r="F608" s="17">
        <v>85.5</v>
      </c>
      <c r="G608" s="17">
        <v>12079</v>
      </c>
      <c r="H608" s="17">
        <v>94.5</v>
      </c>
      <c r="I608" s="17">
        <v>4840</v>
      </c>
      <c r="J608" s="17">
        <v>67</v>
      </c>
      <c r="K608" s="17">
        <v>11015</v>
      </c>
      <c r="L608" s="17">
        <v>44</v>
      </c>
      <c r="M608" s="17">
        <v>5222</v>
      </c>
      <c r="N608" s="17"/>
      <c r="O608" s="17"/>
      <c r="P608" s="17">
        <v>64</v>
      </c>
      <c r="Q608" s="17">
        <v>7304</v>
      </c>
      <c r="R608" s="17">
        <v>73</v>
      </c>
      <c r="S608" s="17">
        <v>4436</v>
      </c>
      <c r="T608" s="17"/>
      <c r="U608" s="17"/>
      <c r="V608" s="17"/>
      <c r="W608" s="17"/>
      <c r="X608" s="15">
        <v>247</v>
      </c>
      <c r="Y608" s="17">
        <v>616</v>
      </c>
      <c r="Z608" s="17">
        <v>428</v>
      </c>
      <c r="AA608" s="17">
        <v>7643</v>
      </c>
      <c r="AB608" s="12">
        <f t="shared" si="9"/>
        <v>606</v>
      </c>
    </row>
    <row r="609" ht="14.25" spans="1:28">
      <c r="A609" s="13">
        <v>100</v>
      </c>
      <c r="B609" s="15">
        <v>2</v>
      </c>
      <c r="C609" s="16">
        <v>37</v>
      </c>
      <c r="D609" s="17" t="s">
        <v>213</v>
      </c>
      <c r="E609" s="17" t="s">
        <v>214</v>
      </c>
      <c r="F609" s="17">
        <v>90</v>
      </c>
      <c r="G609" s="17">
        <v>9312</v>
      </c>
      <c r="H609" s="17">
        <v>66</v>
      </c>
      <c r="I609" s="17">
        <v>10699</v>
      </c>
      <c r="J609" s="17">
        <v>63.75</v>
      </c>
      <c r="K609" s="17">
        <v>11743</v>
      </c>
      <c r="L609" s="17">
        <v>49</v>
      </c>
      <c r="M609" s="17">
        <v>4146</v>
      </c>
      <c r="N609" s="17"/>
      <c r="O609" s="17"/>
      <c r="P609" s="17"/>
      <c r="Q609" s="17"/>
      <c r="R609" s="17">
        <v>87</v>
      </c>
      <c r="S609" s="17">
        <v>883</v>
      </c>
      <c r="T609" s="17">
        <v>72</v>
      </c>
      <c r="U609" s="17">
        <v>1741</v>
      </c>
      <c r="V609" s="17"/>
      <c r="W609" s="17"/>
      <c r="X609" s="15">
        <v>219.75</v>
      </c>
      <c r="Y609" s="17">
        <v>653</v>
      </c>
      <c r="Z609" s="17">
        <v>427.75</v>
      </c>
      <c r="AA609" s="17">
        <v>7663</v>
      </c>
      <c r="AB609" s="12">
        <f t="shared" si="9"/>
        <v>607</v>
      </c>
    </row>
    <row r="610" ht="14.25" spans="1:28">
      <c r="A610" s="13">
        <v>559</v>
      </c>
      <c r="B610" s="15">
        <v>12</v>
      </c>
      <c r="C610" s="16">
        <v>6</v>
      </c>
      <c r="D610" s="17" t="s">
        <v>1126</v>
      </c>
      <c r="E610" s="17" t="s">
        <v>1127</v>
      </c>
      <c r="F610" s="17">
        <v>85.5</v>
      </c>
      <c r="G610" s="17">
        <v>12079</v>
      </c>
      <c r="H610" s="17">
        <v>113</v>
      </c>
      <c r="I610" s="17">
        <v>1467</v>
      </c>
      <c r="J610" s="17">
        <v>64.25</v>
      </c>
      <c r="K610" s="17">
        <v>11649</v>
      </c>
      <c r="L610" s="17">
        <v>51</v>
      </c>
      <c r="M610" s="17">
        <v>3730</v>
      </c>
      <c r="N610" s="17"/>
      <c r="O610" s="17"/>
      <c r="P610" s="17">
        <v>56</v>
      </c>
      <c r="Q610" s="17">
        <v>9899</v>
      </c>
      <c r="R610" s="17">
        <v>58</v>
      </c>
      <c r="S610" s="17">
        <v>9300</v>
      </c>
      <c r="T610" s="17"/>
      <c r="U610" s="17"/>
      <c r="V610" s="17"/>
      <c r="W610" s="17"/>
      <c r="X610" s="15">
        <v>262.75</v>
      </c>
      <c r="Y610" s="17">
        <v>571</v>
      </c>
      <c r="Z610" s="17">
        <v>427.75</v>
      </c>
      <c r="AA610" s="17">
        <v>7663</v>
      </c>
      <c r="AB610" s="12">
        <f t="shared" si="9"/>
        <v>607</v>
      </c>
    </row>
    <row r="611" ht="14.25" spans="1:28">
      <c r="A611" s="13">
        <v>317</v>
      </c>
      <c r="B611" s="15">
        <v>7</v>
      </c>
      <c r="C611" s="16">
        <v>30</v>
      </c>
      <c r="D611" s="17" t="s">
        <v>645</v>
      </c>
      <c r="E611" s="17" t="s">
        <v>646</v>
      </c>
      <c r="F611" s="17">
        <v>97.5</v>
      </c>
      <c r="G611" s="17">
        <v>4695</v>
      </c>
      <c r="H611" s="17">
        <v>79</v>
      </c>
      <c r="I611" s="17">
        <v>8244</v>
      </c>
      <c r="J611" s="17">
        <v>67</v>
      </c>
      <c r="K611" s="17">
        <v>11015</v>
      </c>
      <c r="L611" s="17">
        <v>29.5</v>
      </c>
      <c r="M611" s="17">
        <v>9688</v>
      </c>
      <c r="N611" s="17"/>
      <c r="O611" s="17"/>
      <c r="P611" s="17"/>
      <c r="Q611" s="17"/>
      <c r="R611" s="17">
        <v>73</v>
      </c>
      <c r="S611" s="17">
        <v>4436</v>
      </c>
      <c r="T611" s="17"/>
      <c r="U611" s="17"/>
      <c r="V611" s="17">
        <v>81</v>
      </c>
      <c r="W611" s="17">
        <v>860</v>
      </c>
      <c r="X611" s="15">
        <v>243.5</v>
      </c>
      <c r="Y611" s="17">
        <v>621</v>
      </c>
      <c r="Z611" s="17">
        <v>427</v>
      </c>
      <c r="AA611" s="17">
        <v>7709</v>
      </c>
      <c r="AB611" s="12">
        <f t="shared" si="9"/>
        <v>609</v>
      </c>
    </row>
    <row r="612" ht="14.25" spans="1:28">
      <c r="A612" s="13">
        <v>326</v>
      </c>
      <c r="B612" s="15">
        <v>7</v>
      </c>
      <c r="C612" s="16">
        <v>39</v>
      </c>
      <c r="D612" s="17" t="s">
        <v>663</v>
      </c>
      <c r="E612" s="17" t="s">
        <v>664</v>
      </c>
      <c r="F612" s="17">
        <v>98</v>
      </c>
      <c r="G612" s="17">
        <v>4423</v>
      </c>
      <c r="H612" s="17">
        <v>59</v>
      </c>
      <c r="I612" s="17">
        <v>12003</v>
      </c>
      <c r="J612" s="17">
        <v>79</v>
      </c>
      <c r="K612" s="17">
        <v>8048</v>
      </c>
      <c r="L612" s="17">
        <v>27</v>
      </c>
      <c r="M612" s="17">
        <v>10690</v>
      </c>
      <c r="N612" s="17"/>
      <c r="O612" s="17"/>
      <c r="P612" s="17"/>
      <c r="Q612" s="17"/>
      <c r="R612" s="17">
        <v>76</v>
      </c>
      <c r="S612" s="17">
        <v>3491</v>
      </c>
      <c r="T612" s="17"/>
      <c r="U612" s="17"/>
      <c r="V612" s="17">
        <v>88</v>
      </c>
      <c r="W612" s="17">
        <v>165</v>
      </c>
      <c r="X612" s="15">
        <v>236</v>
      </c>
      <c r="Y612" s="17">
        <v>638</v>
      </c>
      <c r="Z612" s="17">
        <v>427</v>
      </c>
      <c r="AA612" s="17">
        <v>7709</v>
      </c>
      <c r="AB612" s="12">
        <f t="shared" si="9"/>
        <v>609</v>
      </c>
    </row>
    <row r="613" ht="14.25" spans="1:28">
      <c r="A613" s="13">
        <v>536</v>
      </c>
      <c r="B613" s="15">
        <v>11</v>
      </c>
      <c r="C613" s="16">
        <v>42</v>
      </c>
      <c r="D613" s="17" t="s">
        <v>1081</v>
      </c>
      <c r="E613" s="17" t="s">
        <v>1082</v>
      </c>
      <c r="F613" s="17">
        <v>94.5</v>
      </c>
      <c r="G613" s="17">
        <v>6496</v>
      </c>
      <c r="H613" s="17">
        <v>100.5</v>
      </c>
      <c r="I613" s="17">
        <v>3650</v>
      </c>
      <c r="J613" s="17">
        <v>37.75</v>
      </c>
      <c r="K613" s="17">
        <v>15283</v>
      </c>
      <c r="L613" s="17">
        <v>54.5</v>
      </c>
      <c r="M613" s="17">
        <v>3126</v>
      </c>
      <c r="N613" s="17"/>
      <c r="O613" s="17"/>
      <c r="P613" s="17">
        <v>61</v>
      </c>
      <c r="Q613" s="17">
        <v>8358</v>
      </c>
      <c r="R613" s="17">
        <v>78</v>
      </c>
      <c r="S613" s="17">
        <v>2906</v>
      </c>
      <c r="T613" s="17"/>
      <c r="U613" s="17"/>
      <c r="V613" s="17"/>
      <c r="W613" s="17"/>
      <c r="X613" s="15">
        <v>232.75</v>
      </c>
      <c r="Y613" s="17">
        <v>641</v>
      </c>
      <c r="Z613" s="17">
        <v>426.25</v>
      </c>
      <c r="AA613" s="17">
        <v>7778</v>
      </c>
      <c r="AB613" s="12">
        <f t="shared" si="9"/>
        <v>611</v>
      </c>
    </row>
    <row r="614" ht="14.25" spans="1:28">
      <c r="A614" s="13">
        <v>327</v>
      </c>
      <c r="B614" s="15">
        <v>7</v>
      </c>
      <c r="C614" s="16">
        <v>40</v>
      </c>
      <c r="D614" s="17" t="s">
        <v>665</v>
      </c>
      <c r="E614" s="17" t="s">
        <v>666</v>
      </c>
      <c r="F614" s="17">
        <v>107</v>
      </c>
      <c r="G614" s="17">
        <v>945</v>
      </c>
      <c r="H614" s="17">
        <v>89.5</v>
      </c>
      <c r="I614" s="17">
        <v>5946</v>
      </c>
      <c r="J614" s="17">
        <v>76</v>
      </c>
      <c r="K614" s="17">
        <v>8837</v>
      </c>
      <c r="L614" s="17">
        <v>17.5</v>
      </c>
      <c r="M614" s="17">
        <v>15175</v>
      </c>
      <c r="N614" s="17"/>
      <c r="O614" s="17"/>
      <c r="P614" s="17"/>
      <c r="Q614" s="17"/>
      <c r="R614" s="17">
        <v>57</v>
      </c>
      <c r="S614" s="17">
        <v>9659</v>
      </c>
      <c r="T614" s="17"/>
      <c r="U614" s="17"/>
      <c r="V614" s="17">
        <v>79</v>
      </c>
      <c r="W614" s="17">
        <v>1023</v>
      </c>
      <c r="X614" s="15">
        <v>272.5</v>
      </c>
      <c r="Y614" s="17">
        <v>510</v>
      </c>
      <c r="Z614" s="17">
        <v>426</v>
      </c>
      <c r="AA614" s="17">
        <v>7793</v>
      </c>
      <c r="AB614" s="12">
        <f t="shared" si="9"/>
        <v>612</v>
      </c>
    </row>
    <row r="615" ht="14.25" spans="1:28">
      <c r="A615" s="13">
        <v>289</v>
      </c>
      <c r="B615" s="15">
        <v>6</v>
      </c>
      <c r="C615" s="16">
        <v>41</v>
      </c>
      <c r="D615" s="17" t="s">
        <v>589</v>
      </c>
      <c r="E615" s="17" t="s">
        <v>590</v>
      </c>
      <c r="F615" s="17">
        <v>86</v>
      </c>
      <c r="G615" s="17">
        <v>11803</v>
      </c>
      <c r="H615" s="17">
        <v>79.5</v>
      </c>
      <c r="I615" s="17">
        <v>8139</v>
      </c>
      <c r="J615" s="17">
        <v>72</v>
      </c>
      <c r="K615" s="17">
        <v>9847</v>
      </c>
      <c r="L615" s="17">
        <v>58</v>
      </c>
      <c r="M615" s="17">
        <v>2538</v>
      </c>
      <c r="N615" s="17"/>
      <c r="O615" s="17"/>
      <c r="P615" s="17"/>
      <c r="Q615" s="17"/>
      <c r="R615" s="17">
        <v>68</v>
      </c>
      <c r="S615" s="17">
        <v>6079</v>
      </c>
      <c r="T615" s="17"/>
      <c r="U615" s="17"/>
      <c r="V615" s="17">
        <v>62</v>
      </c>
      <c r="W615" s="17">
        <v>3367</v>
      </c>
      <c r="X615" s="15">
        <v>237.5</v>
      </c>
      <c r="Y615" s="17">
        <v>635</v>
      </c>
      <c r="Z615" s="17">
        <v>425.5</v>
      </c>
      <c r="AA615" s="17">
        <v>7824</v>
      </c>
      <c r="AB615" s="12">
        <f t="shared" si="9"/>
        <v>613</v>
      </c>
    </row>
    <row r="616" ht="14.25" spans="1:28">
      <c r="A616" s="13">
        <v>220</v>
      </c>
      <c r="B616" s="15">
        <v>5</v>
      </c>
      <c r="C616" s="16">
        <v>17</v>
      </c>
      <c r="D616" s="17" t="s">
        <v>453</v>
      </c>
      <c r="E616" s="17" t="s">
        <v>454</v>
      </c>
      <c r="F616" s="17">
        <v>103.5</v>
      </c>
      <c r="G616" s="17">
        <v>1897</v>
      </c>
      <c r="H616" s="17">
        <v>69</v>
      </c>
      <c r="I616" s="17">
        <v>10159</v>
      </c>
      <c r="J616" s="17">
        <v>78</v>
      </c>
      <c r="K616" s="17">
        <v>8318</v>
      </c>
      <c r="L616" s="17">
        <v>36.5</v>
      </c>
      <c r="M616" s="17">
        <v>7270</v>
      </c>
      <c r="N616" s="17"/>
      <c r="O616" s="17"/>
      <c r="P616" s="17">
        <v>73</v>
      </c>
      <c r="Q616" s="17">
        <v>4501</v>
      </c>
      <c r="R616" s="17"/>
      <c r="S616" s="17"/>
      <c r="T616" s="17"/>
      <c r="U616" s="17"/>
      <c r="V616" s="17">
        <v>65</v>
      </c>
      <c r="W616" s="17">
        <v>2935</v>
      </c>
      <c r="X616" s="15">
        <v>250.5</v>
      </c>
      <c r="Y616" s="17">
        <v>608</v>
      </c>
      <c r="Z616" s="17">
        <v>425</v>
      </c>
      <c r="AA616" s="17">
        <v>7858</v>
      </c>
      <c r="AB616" s="12">
        <f t="shared" si="9"/>
        <v>614</v>
      </c>
    </row>
    <row r="617" ht="14.25" spans="1:28">
      <c r="A617" s="13">
        <v>298</v>
      </c>
      <c r="B617" s="15">
        <v>7</v>
      </c>
      <c r="C617" s="16">
        <v>9</v>
      </c>
      <c r="D617" s="17" t="s">
        <v>607</v>
      </c>
      <c r="E617" s="17" t="s">
        <v>608</v>
      </c>
      <c r="F617" s="17">
        <v>94</v>
      </c>
      <c r="G617" s="17">
        <v>6811</v>
      </c>
      <c r="H617" s="17">
        <v>88</v>
      </c>
      <c r="I617" s="17">
        <v>6299</v>
      </c>
      <c r="J617" s="17">
        <v>81</v>
      </c>
      <c r="K617" s="17">
        <v>7529</v>
      </c>
      <c r="L617" s="17">
        <v>17</v>
      </c>
      <c r="M617" s="17">
        <v>15308</v>
      </c>
      <c r="N617" s="17"/>
      <c r="O617" s="17"/>
      <c r="P617" s="17"/>
      <c r="Q617" s="17"/>
      <c r="R617" s="17">
        <v>64</v>
      </c>
      <c r="S617" s="17">
        <v>7440</v>
      </c>
      <c r="T617" s="17"/>
      <c r="U617" s="17"/>
      <c r="V617" s="17">
        <v>81</v>
      </c>
      <c r="W617" s="17">
        <v>860</v>
      </c>
      <c r="X617" s="15">
        <v>263</v>
      </c>
      <c r="Y617" s="17">
        <v>569</v>
      </c>
      <c r="Z617" s="17">
        <v>425</v>
      </c>
      <c r="AA617" s="17">
        <v>7858</v>
      </c>
      <c r="AB617" s="12">
        <f t="shared" si="9"/>
        <v>614</v>
      </c>
    </row>
    <row r="618" ht="14.25" spans="1:28">
      <c r="A618" s="13">
        <v>367</v>
      </c>
      <c r="B618" s="15">
        <v>8</v>
      </c>
      <c r="C618" s="16">
        <v>41</v>
      </c>
      <c r="D618" s="17" t="s">
        <v>744</v>
      </c>
      <c r="E618" s="17" t="s">
        <v>745</v>
      </c>
      <c r="F618" s="17">
        <v>93</v>
      </c>
      <c r="G618" s="17">
        <v>7407</v>
      </c>
      <c r="H618" s="17">
        <v>77.5</v>
      </c>
      <c r="I618" s="17">
        <v>8540</v>
      </c>
      <c r="J618" s="17">
        <v>88.5</v>
      </c>
      <c r="K618" s="17">
        <v>5628</v>
      </c>
      <c r="L618" s="17">
        <v>44</v>
      </c>
      <c r="M618" s="17">
        <v>5222</v>
      </c>
      <c r="N618" s="17"/>
      <c r="O618" s="17"/>
      <c r="P618" s="17">
        <v>58</v>
      </c>
      <c r="Q618" s="17">
        <v>9299</v>
      </c>
      <c r="R618" s="17">
        <v>63</v>
      </c>
      <c r="S618" s="17">
        <v>7638</v>
      </c>
      <c r="T618" s="17"/>
      <c r="U618" s="17"/>
      <c r="V618" s="17"/>
      <c r="W618" s="17"/>
      <c r="X618" s="15">
        <v>259</v>
      </c>
      <c r="Y618" s="17">
        <v>585</v>
      </c>
      <c r="Z618" s="17">
        <v>424</v>
      </c>
      <c r="AA618" s="17">
        <v>7921</v>
      </c>
      <c r="AB618" s="12">
        <f t="shared" si="9"/>
        <v>616</v>
      </c>
    </row>
    <row r="619" ht="14.25" spans="1:28">
      <c r="A619" s="13">
        <v>104</v>
      </c>
      <c r="B619" s="15">
        <v>2</v>
      </c>
      <c r="C619" s="16">
        <v>41</v>
      </c>
      <c r="D619" s="17" t="s">
        <v>221</v>
      </c>
      <c r="E619" s="17" t="s">
        <v>222</v>
      </c>
      <c r="F619" s="17">
        <v>96</v>
      </c>
      <c r="G619" s="17">
        <v>5544</v>
      </c>
      <c r="H619" s="17">
        <v>45.5</v>
      </c>
      <c r="I619" s="17">
        <v>14140</v>
      </c>
      <c r="J619" s="17">
        <v>99.25</v>
      </c>
      <c r="K619" s="17">
        <v>3211</v>
      </c>
      <c r="L619" s="17">
        <v>28</v>
      </c>
      <c r="M619" s="17">
        <v>10280</v>
      </c>
      <c r="N619" s="17"/>
      <c r="O619" s="17"/>
      <c r="P619" s="17"/>
      <c r="Q619" s="17"/>
      <c r="R619" s="17">
        <v>86</v>
      </c>
      <c r="S619" s="17">
        <v>1176</v>
      </c>
      <c r="T619" s="17">
        <v>69</v>
      </c>
      <c r="U619" s="17">
        <v>2042</v>
      </c>
      <c r="V619" s="17"/>
      <c r="W619" s="17"/>
      <c r="X619" s="15">
        <v>240.75</v>
      </c>
      <c r="Y619" s="17">
        <v>631</v>
      </c>
      <c r="Z619" s="17">
        <v>423.75</v>
      </c>
      <c r="AA619" s="17">
        <v>7946</v>
      </c>
      <c r="AB619" s="12">
        <f t="shared" si="9"/>
        <v>617</v>
      </c>
    </row>
    <row r="620" ht="14.25" spans="1:28">
      <c r="A620" s="13">
        <v>281</v>
      </c>
      <c r="B620" s="15">
        <v>6</v>
      </c>
      <c r="C620" s="16">
        <v>33</v>
      </c>
      <c r="D620" s="17" t="s">
        <v>573</v>
      </c>
      <c r="E620" s="17" t="s">
        <v>574</v>
      </c>
      <c r="F620" s="17">
        <v>95.5</v>
      </c>
      <c r="G620" s="17">
        <v>5877</v>
      </c>
      <c r="H620" s="17">
        <v>88.5</v>
      </c>
      <c r="I620" s="17">
        <v>6176</v>
      </c>
      <c r="J620" s="17">
        <v>92.5</v>
      </c>
      <c r="K620" s="17">
        <v>4660</v>
      </c>
      <c r="L620" s="17">
        <v>35</v>
      </c>
      <c r="M620" s="17">
        <v>7732</v>
      </c>
      <c r="N620" s="17"/>
      <c r="O620" s="17"/>
      <c r="P620" s="17"/>
      <c r="Q620" s="17"/>
      <c r="R620" s="17">
        <v>45</v>
      </c>
      <c r="S620" s="17">
        <v>11991</v>
      </c>
      <c r="T620" s="17"/>
      <c r="U620" s="17"/>
      <c r="V620" s="17">
        <v>67</v>
      </c>
      <c r="W620" s="17">
        <v>2619</v>
      </c>
      <c r="X620" s="15">
        <v>276.5</v>
      </c>
      <c r="Y620" s="17">
        <v>488</v>
      </c>
      <c r="Z620" s="17">
        <v>423.5</v>
      </c>
      <c r="AA620" s="17">
        <v>7960</v>
      </c>
      <c r="AB620" s="12">
        <f t="shared" si="9"/>
        <v>618</v>
      </c>
    </row>
    <row r="621" ht="14.25" spans="1:28">
      <c r="A621" s="13">
        <v>10</v>
      </c>
      <c r="B621" s="15">
        <v>1</v>
      </c>
      <c r="C621" s="16">
        <v>11</v>
      </c>
      <c r="D621" s="17" t="s">
        <v>34</v>
      </c>
      <c r="E621" s="17" t="s">
        <v>35</v>
      </c>
      <c r="F621" s="17">
        <v>104.5</v>
      </c>
      <c r="G621" s="17">
        <v>1551</v>
      </c>
      <c r="H621" s="17">
        <v>75</v>
      </c>
      <c r="I621" s="17">
        <v>9019</v>
      </c>
      <c r="J621" s="17">
        <v>85.75</v>
      </c>
      <c r="K621" s="17">
        <v>6343</v>
      </c>
      <c r="L621" s="17">
        <v>21</v>
      </c>
      <c r="M621" s="17">
        <v>13491</v>
      </c>
      <c r="N621" s="17"/>
      <c r="O621" s="17"/>
      <c r="P621" s="17">
        <v>73</v>
      </c>
      <c r="Q621" s="17">
        <v>4501</v>
      </c>
      <c r="R621" s="17"/>
      <c r="S621" s="17"/>
      <c r="T621" s="17">
        <v>64</v>
      </c>
      <c r="U621" s="17">
        <v>2679</v>
      </c>
      <c r="V621" s="17"/>
      <c r="W621" s="17"/>
      <c r="X621" s="15">
        <v>265.25</v>
      </c>
      <c r="Y621" s="17">
        <v>553</v>
      </c>
      <c r="Z621" s="17">
        <v>423.25</v>
      </c>
      <c r="AA621" s="17">
        <v>7986</v>
      </c>
      <c r="AB621" s="12">
        <f t="shared" si="9"/>
        <v>619</v>
      </c>
    </row>
    <row r="622" ht="14.25" spans="1:28">
      <c r="A622" s="13">
        <v>310</v>
      </c>
      <c r="B622" s="15">
        <v>7</v>
      </c>
      <c r="C622" s="16">
        <v>21</v>
      </c>
      <c r="D622" s="17" t="s">
        <v>631</v>
      </c>
      <c r="E622" s="17" t="s">
        <v>632</v>
      </c>
      <c r="F622" s="17">
        <v>93.5</v>
      </c>
      <c r="G622" s="17">
        <v>7127</v>
      </c>
      <c r="H622" s="17">
        <v>83.5</v>
      </c>
      <c r="I622" s="17">
        <v>7321</v>
      </c>
      <c r="J622" s="17">
        <v>62.5</v>
      </c>
      <c r="K622" s="17">
        <v>11974</v>
      </c>
      <c r="L622" s="17">
        <v>37.5</v>
      </c>
      <c r="M622" s="17">
        <v>6979</v>
      </c>
      <c r="N622" s="17"/>
      <c r="O622" s="17"/>
      <c r="P622" s="17"/>
      <c r="Q622" s="17"/>
      <c r="R622" s="17">
        <v>73</v>
      </c>
      <c r="S622" s="17">
        <v>4436</v>
      </c>
      <c r="T622" s="17"/>
      <c r="U622" s="17"/>
      <c r="V622" s="17">
        <v>73</v>
      </c>
      <c r="W622" s="17">
        <v>1853</v>
      </c>
      <c r="X622" s="15">
        <v>239.5</v>
      </c>
      <c r="Y622" s="17">
        <v>633</v>
      </c>
      <c r="Z622" s="17">
        <v>423</v>
      </c>
      <c r="AA622" s="17">
        <v>7996</v>
      </c>
      <c r="AB622" s="12">
        <f t="shared" si="9"/>
        <v>620</v>
      </c>
    </row>
    <row r="623" ht="14.25" spans="1:28">
      <c r="A623" s="13">
        <v>192</v>
      </c>
      <c r="B623" s="15">
        <v>4</v>
      </c>
      <c r="C623" s="16">
        <v>34</v>
      </c>
      <c r="D623" s="17" t="s">
        <v>397</v>
      </c>
      <c r="E623" s="17" t="s">
        <v>398</v>
      </c>
      <c r="F623" s="17">
        <v>84.5</v>
      </c>
      <c r="G623" s="17">
        <v>12633</v>
      </c>
      <c r="H623" s="17">
        <v>86</v>
      </c>
      <c r="I623" s="17">
        <v>6759</v>
      </c>
      <c r="J623" s="17">
        <v>70</v>
      </c>
      <c r="K623" s="17">
        <v>10322</v>
      </c>
      <c r="L623" s="17">
        <v>54.5</v>
      </c>
      <c r="M623" s="17">
        <v>3126</v>
      </c>
      <c r="N623" s="17"/>
      <c r="O623" s="17"/>
      <c r="P623" s="17">
        <v>54</v>
      </c>
      <c r="Q623" s="17">
        <v>10153</v>
      </c>
      <c r="R623" s="17"/>
      <c r="S623" s="17"/>
      <c r="T623" s="17"/>
      <c r="U623" s="17"/>
      <c r="V623" s="17">
        <v>73</v>
      </c>
      <c r="W623" s="17">
        <v>1853</v>
      </c>
      <c r="X623" s="15">
        <v>240.5</v>
      </c>
      <c r="Y623" s="17">
        <v>632</v>
      </c>
      <c r="Z623" s="17">
        <v>422</v>
      </c>
      <c r="AA623" s="17">
        <v>8072</v>
      </c>
      <c r="AB623" s="12">
        <f t="shared" si="9"/>
        <v>621</v>
      </c>
    </row>
    <row r="624" ht="14.25" spans="1:28">
      <c r="A624" s="13">
        <v>501</v>
      </c>
      <c r="B624" s="15">
        <v>11</v>
      </c>
      <c r="C624" s="16">
        <v>5</v>
      </c>
      <c r="D624" s="17" t="s">
        <v>1012</v>
      </c>
      <c r="E624" s="17" t="s">
        <v>1013</v>
      </c>
      <c r="F624" s="17">
        <v>90</v>
      </c>
      <c r="G624" s="17">
        <v>9312</v>
      </c>
      <c r="H624" s="17">
        <v>75</v>
      </c>
      <c r="I624" s="17">
        <v>9019</v>
      </c>
      <c r="J624" s="17">
        <v>76.5</v>
      </c>
      <c r="K624" s="17">
        <v>8698</v>
      </c>
      <c r="L624" s="17">
        <v>51.5</v>
      </c>
      <c r="M624" s="17">
        <v>3642</v>
      </c>
      <c r="N624" s="17"/>
      <c r="O624" s="17"/>
      <c r="P624" s="17">
        <v>62</v>
      </c>
      <c r="Q624" s="17">
        <v>8021</v>
      </c>
      <c r="R624" s="17">
        <v>67</v>
      </c>
      <c r="S624" s="17">
        <v>6298</v>
      </c>
      <c r="T624" s="17"/>
      <c r="U624" s="17"/>
      <c r="V624" s="17"/>
      <c r="W624" s="17"/>
      <c r="X624" s="15">
        <v>241.5</v>
      </c>
      <c r="Y624" s="17">
        <v>628</v>
      </c>
      <c r="Z624" s="17">
        <v>422</v>
      </c>
      <c r="AA624" s="17">
        <v>8072</v>
      </c>
      <c r="AB624" s="12">
        <f t="shared" si="9"/>
        <v>621</v>
      </c>
    </row>
    <row r="625" ht="14.25" spans="1:28">
      <c r="A625" s="13">
        <v>542</v>
      </c>
      <c r="B625" s="15">
        <v>11</v>
      </c>
      <c r="C625" s="16">
        <v>48</v>
      </c>
      <c r="D625" s="17" t="s">
        <v>1092</v>
      </c>
      <c r="E625" s="17" t="s">
        <v>1093</v>
      </c>
      <c r="F625" s="17">
        <v>109</v>
      </c>
      <c r="G625" s="17">
        <v>567</v>
      </c>
      <c r="H625" s="17">
        <v>85</v>
      </c>
      <c r="I625" s="17">
        <v>6959</v>
      </c>
      <c r="J625" s="17">
        <v>47.5</v>
      </c>
      <c r="K625" s="17">
        <v>14303</v>
      </c>
      <c r="L625" s="17">
        <v>49.5</v>
      </c>
      <c r="M625" s="17">
        <v>4044</v>
      </c>
      <c r="N625" s="17"/>
      <c r="O625" s="17"/>
      <c r="P625" s="17">
        <v>65</v>
      </c>
      <c r="Q625" s="17">
        <v>7113</v>
      </c>
      <c r="R625" s="17">
        <v>66</v>
      </c>
      <c r="S625" s="17">
        <v>6674</v>
      </c>
      <c r="T625" s="17"/>
      <c r="U625" s="17"/>
      <c r="V625" s="17"/>
      <c r="W625" s="17"/>
      <c r="X625" s="15">
        <v>241.5</v>
      </c>
      <c r="Y625" s="17">
        <v>628</v>
      </c>
      <c r="Z625" s="17">
        <v>422</v>
      </c>
      <c r="AA625" s="17">
        <v>8072</v>
      </c>
      <c r="AB625" s="12">
        <f t="shared" si="9"/>
        <v>621</v>
      </c>
    </row>
    <row r="626" ht="14.25" spans="1:28">
      <c r="A626" s="13">
        <v>53</v>
      </c>
      <c r="B626" s="15">
        <v>1</v>
      </c>
      <c r="C626" s="16">
        <v>55</v>
      </c>
      <c r="D626" s="17" t="s">
        <v>120</v>
      </c>
      <c r="E626" s="17" t="s">
        <v>121</v>
      </c>
      <c r="F626" s="17">
        <v>98.25</v>
      </c>
      <c r="G626" s="17">
        <v>4392</v>
      </c>
      <c r="H626" s="17">
        <v>50</v>
      </c>
      <c r="I626" s="17">
        <v>13465</v>
      </c>
      <c r="J626" s="17">
        <v>94.5</v>
      </c>
      <c r="K626" s="17">
        <v>4208</v>
      </c>
      <c r="L626" s="17">
        <v>27.5</v>
      </c>
      <c r="M626" s="17">
        <v>10504</v>
      </c>
      <c r="N626" s="17"/>
      <c r="O626" s="17"/>
      <c r="P626" s="17">
        <v>68</v>
      </c>
      <c r="Q626" s="17">
        <v>6016</v>
      </c>
      <c r="R626" s="17"/>
      <c r="S626" s="17"/>
      <c r="T626" s="17">
        <v>83</v>
      </c>
      <c r="U626" s="17">
        <v>561</v>
      </c>
      <c r="V626" s="17"/>
      <c r="W626" s="17"/>
      <c r="X626" s="15">
        <v>242.75</v>
      </c>
      <c r="Y626" s="17">
        <v>623</v>
      </c>
      <c r="Z626" s="17">
        <v>421.25</v>
      </c>
      <c r="AA626" s="17">
        <v>8126</v>
      </c>
      <c r="AB626" s="12">
        <f t="shared" si="9"/>
        <v>624</v>
      </c>
    </row>
    <row r="627" ht="14.25" spans="1:28">
      <c r="A627" s="13">
        <v>161</v>
      </c>
      <c r="B627" s="15">
        <v>4</v>
      </c>
      <c r="C627" s="16">
        <v>2</v>
      </c>
      <c r="D627" s="17" t="s">
        <v>335</v>
      </c>
      <c r="E627" s="17" t="s">
        <v>336</v>
      </c>
      <c r="F627" s="17">
        <v>77.5</v>
      </c>
      <c r="G627" s="17">
        <v>15477</v>
      </c>
      <c r="H627" s="17">
        <v>88</v>
      </c>
      <c r="I627" s="17">
        <v>6299</v>
      </c>
      <c r="J627" s="17">
        <v>71</v>
      </c>
      <c r="K627" s="17">
        <v>10072</v>
      </c>
      <c r="L627" s="17">
        <v>36</v>
      </c>
      <c r="M627" s="17">
        <v>7408</v>
      </c>
      <c r="N627" s="17"/>
      <c r="O627" s="17"/>
      <c r="P627" s="17">
        <v>63</v>
      </c>
      <c r="Q627" s="17">
        <v>7666</v>
      </c>
      <c r="R627" s="17"/>
      <c r="S627" s="17"/>
      <c r="T627" s="17"/>
      <c r="U627" s="17"/>
      <c r="V627" s="17">
        <v>82</v>
      </c>
      <c r="W627" s="17">
        <v>723</v>
      </c>
      <c r="X627" s="15">
        <v>236.5</v>
      </c>
      <c r="Y627" s="17">
        <v>637</v>
      </c>
      <c r="Z627" s="17">
        <v>417.5</v>
      </c>
      <c r="AA627" s="17">
        <v>8404</v>
      </c>
      <c r="AB627" s="12">
        <f t="shared" si="9"/>
        <v>625</v>
      </c>
    </row>
    <row r="628" ht="14.25" spans="1:28">
      <c r="A628" s="13">
        <v>279</v>
      </c>
      <c r="B628" s="15">
        <v>6</v>
      </c>
      <c r="C628" s="16">
        <v>31</v>
      </c>
      <c r="D628" s="17" t="s">
        <v>569</v>
      </c>
      <c r="E628" s="17" t="s">
        <v>570</v>
      </c>
      <c r="F628" s="17">
        <v>97</v>
      </c>
      <c r="G628" s="17">
        <v>4967</v>
      </c>
      <c r="H628" s="17">
        <v>99</v>
      </c>
      <c r="I628" s="17">
        <v>3947</v>
      </c>
      <c r="J628" s="17">
        <v>81</v>
      </c>
      <c r="K628" s="17">
        <v>7529</v>
      </c>
      <c r="L628" s="17">
        <v>28.5</v>
      </c>
      <c r="M628" s="17">
        <v>10084</v>
      </c>
      <c r="N628" s="17"/>
      <c r="O628" s="17"/>
      <c r="P628" s="17"/>
      <c r="Q628" s="17"/>
      <c r="R628" s="17">
        <v>53</v>
      </c>
      <c r="S628" s="17">
        <v>10501</v>
      </c>
      <c r="T628" s="17"/>
      <c r="U628" s="17"/>
      <c r="V628" s="17">
        <v>57</v>
      </c>
      <c r="W628" s="17">
        <v>4040</v>
      </c>
      <c r="X628" s="15">
        <v>277</v>
      </c>
      <c r="Y628" s="17">
        <v>485</v>
      </c>
      <c r="Z628" s="17">
        <v>415.5</v>
      </c>
      <c r="AA628" s="17">
        <v>8538</v>
      </c>
      <c r="AB628" s="12">
        <f t="shared" si="9"/>
        <v>626</v>
      </c>
    </row>
    <row r="629" ht="14.25" spans="1:28">
      <c r="A629" s="13">
        <v>582</v>
      </c>
      <c r="B629" s="15">
        <v>12</v>
      </c>
      <c r="C629" s="16">
        <v>30</v>
      </c>
      <c r="D629" s="17" t="s">
        <v>1172</v>
      </c>
      <c r="E629" s="17" t="s">
        <v>1173</v>
      </c>
      <c r="F629" s="17">
        <v>93</v>
      </c>
      <c r="G629" s="17">
        <v>7407</v>
      </c>
      <c r="H629" s="17">
        <v>73.5</v>
      </c>
      <c r="I629" s="17">
        <v>9309</v>
      </c>
      <c r="J629" s="17">
        <v>65.25</v>
      </c>
      <c r="K629" s="17">
        <v>11436</v>
      </c>
      <c r="L629" s="17">
        <v>36.5</v>
      </c>
      <c r="M629" s="17">
        <v>7270</v>
      </c>
      <c r="N629" s="17"/>
      <c r="O629" s="17"/>
      <c r="P629" s="17">
        <v>75</v>
      </c>
      <c r="Q629" s="17">
        <v>3841</v>
      </c>
      <c r="R629" s="17">
        <v>71</v>
      </c>
      <c r="S629" s="17">
        <v>5151</v>
      </c>
      <c r="T629" s="17"/>
      <c r="U629" s="17"/>
      <c r="V629" s="17"/>
      <c r="W629" s="17"/>
      <c r="X629" s="15">
        <v>231.75</v>
      </c>
      <c r="Y629" s="17">
        <v>644</v>
      </c>
      <c r="Z629" s="17">
        <v>414.25</v>
      </c>
      <c r="AA629" s="17">
        <v>8636</v>
      </c>
      <c r="AB629" s="12">
        <f t="shared" si="9"/>
        <v>627</v>
      </c>
    </row>
    <row r="630" ht="14.25" spans="1:28">
      <c r="A630" s="13">
        <v>232</v>
      </c>
      <c r="B630" s="15">
        <v>5</v>
      </c>
      <c r="C630" s="16">
        <v>29</v>
      </c>
      <c r="D630" s="17" t="s">
        <v>477</v>
      </c>
      <c r="E630" s="17" t="s">
        <v>478</v>
      </c>
      <c r="F630" s="17">
        <v>76</v>
      </c>
      <c r="G630" s="17">
        <v>15887</v>
      </c>
      <c r="H630" s="17">
        <v>111</v>
      </c>
      <c r="I630" s="17">
        <v>1774</v>
      </c>
      <c r="J630" s="17">
        <v>82.25</v>
      </c>
      <c r="K630" s="17">
        <v>7208</v>
      </c>
      <c r="L630" s="17">
        <v>29.5</v>
      </c>
      <c r="M630" s="17">
        <v>9688</v>
      </c>
      <c r="N630" s="17"/>
      <c r="O630" s="17"/>
      <c r="P630" s="17">
        <v>56</v>
      </c>
      <c r="Q630" s="17">
        <v>9899</v>
      </c>
      <c r="R630" s="17"/>
      <c r="S630" s="17"/>
      <c r="T630" s="17"/>
      <c r="U630" s="17"/>
      <c r="V630" s="17">
        <v>58</v>
      </c>
      <c r="W630" s="17">
        <v>3948</v>
      </c>
      <c r="X630" s="15">
        <v>269.25</v>
      </c>
      <c r="Y630" s="17">
        <v>537</v>
      </c>
      <c r="Z630" s="17">
        <v>412.75</v>
      </c>
      <c r="AA630" s="17">
        <v>8754</v>
      </c>
      <c r="AB630" s="12">
        <f t="shared" si="9"/>
        <v>628</v>
      </c>
    </row>
    <row r="631" ht="14.25" spans="1:28">
      <c r="A631" s="13">
        <v>621</v>
      </c>
      <c r="B631" s="15">
        <v>13</v>
      </c>
      <c r="C631" s="16">
        <v>13</v>
      </c>
      <c r="D631" s="17" t="s">
        <v>1250</v>
      </c>
      <c r="E631" s="17" t="s">
        <v>1251</v>
      </c>
      <c r="F631" s="17">
        <v>88</v>
      </c>
      <c r="G631" s="17">
        <v>10604</v>
      </c>
      <c r="H631" s="17">
        <v>80</v>
      </c>
      <c r="I631" s="17">
        <v>8038</v>
      </c>
      <c r="J631" s="17">
        <v>84.75</v>
      </c>
      <c r="K631" s="17">
        <v>6579</v>
      </c>
      <c r="L631" s="17">
        <v>35</v>
      </c>
      <c r="M631" s="17">
        <v>7732</v>
      </c>
      <c r="N631" s="17"/>
      <c r="O631" s="17"/>
      <c r="P631" s="17">
        <v>63</v>
      </c>
      <c r="Q631" s="17">
        <v>7666</v>
      </c>
      <c r="R631" s="17">
        <v>61</v>
      </c>
      <c r="S631" s="17">
        <v>8408</v>
      </c>
      <c r="T631" s="17"/>
      <c r="U631" s="17"/>
      <c r="V631" s="17"/>
      <c r="W631" s="17"/>
      <c r="X631" s="15">
        <v>252.75</v>
      </c>
      <c r="Y631" s="17">
        <v>604</v>
      </c>
      <c r="Z631" s="17">
        <v>411.75</v>
      </c>
      <c r="AA631" s="17">
        <v>8824</v>
      </c>
      <c r="AB631" s="12">
        <f t="shared" si="9"/>
        <v>629</v>
      </c>
    </row>
    <row r="632" ht="14.25" spans="1:28">
      <c r="A632" s="13">
        <v>648</v>
      </c>
      <c r="B632" s="15">
        <v>13</v>
      </c>
      <c r="C632" s="16">
        <v>42</v>
      </c>
      <c r="D632" s="17" t="s">
        <v>1303</v>
      </c>
      <c r="E632" s="17" t="s">
        <v>1304</v>
      </c>
      <c r="F632" s="17">
        <v>89</v>
      </c>
      <c r="G632" s="17">
        <v>9959</v>
      </c>
      <c r="H632" s="17">
        <v>81</v>
      </c>
      <c r="I632" s="17">
        <v>7859</v>
      </c>
      <c r="J632" s="17">
        <v>72.25</v>
      </c>
      <c r="K632" s="17">
        <v>9814</v>
      </c>
      <c r="L632" s="17">
        <v>34.5</v>
      </c>
      <c r="M632" s="17">
        <v>7899</v>
      </c>
      <c r="N632" s="17"/>
      <c r="O632" s="17"/>
      <c r="P632" s="17">
        <v>64</v>
      </c>
      <c r="Q632" s="17">
        <v>7304</v>
      </c>
      <c r="R632" s="17">
        <v>71</v>
      </c>
      <c r="S632" s="17">
        <v>5151</v>
      </c>
      <c r="T632" s="17"/>
      <c r="U632" s="17"/>
      <c r="V632" s="17"/>
      <c r="W632" s="17"/>
      <c r="X632" s="15">
        <v>242.25</v>
      </c>
      <c r="Y632" s="17">
        <v>625</v>
      </c>
      <c r="Z632" s="17">
        <v>411.75</v>
      </c>
      <c r="AA632" s="17">
        <v>8824</v>
      </c>
      <c r="AB632" s="12">
        <f t="shared" si="9"/>
        <v>629</v>
      </c>
    </row>
    <row r="633" ht="14.25" spans="1:28">
      <c r="A633" s="13">
        <v>115</v>
      </c>
      <c r="B633" s="15">
        <v>3</v>
      </c>
      <c r="C633" s="16">
        <v>4</v>
      </c>
      <c r="D633" s="17" t="s">
        <v>243</v>
      </c>
      <c r="E633" s="17" t="s">
        <v>244</v>
      </c>
      <c r="F633" s="17">
        <v>90.5</v>
      </c>
      <c r="G633" s="17">
        <v>8999</v>
      </c>
      <c r="H633" s="17">
        <v>69.5</v>
      </c>
      <c r="I633" s="17">
        <v>10065</v>
      </c>
      <c r="J633" s="17">
        <v>92.5</v>
      </c>
      <c r="K633" s="17">
        <v>4660</v>
      </c>
      <c r="L633" s="17">
        <v>40</v>
      </c>
      <c r="M633" s="17">
        <v>6265</v>
      </c>
      <c r="N633" s="17"/>
      <c r="O633" s="17"/>
      <c r="P633" s="17">
        <v>51</v>
      </c>
      <c r="Q633" s="17">
        <v>10643</v>
      </c>
      <c r="R633" s="17"/>
      <c r="S633" s="17"/>
      <c r="T633" s="17"/>
      <c r="U633" s="17"/>
      <c r="V633" s="17">
        <v>67</v>
      </c>
      <c r="W633" s="17">
        <v>2619</v>
      </c>
      <c r="X633" s="15">
        <v>252.5</v>
      </c>
      <c r="Y633" s="17">
        <v>605</v>
      </c>
      <c r="Z633" s="17">
        <v>410.5</v>
      </c>
      <c r="AA633" s="17">
        <v>8910</v>
      </c>
      <c r="AB633" s="12">
        <f t="shared" si="9"/>
        <v>631</v>
      </c>
    </row>
    <row r="634" ht="14.25" spans="1:28">
      <c r="A634" s="13">
        <v>164</v>
      </c>
      <c r="B634" s="15">
        <v>4</v>
      </c>
      <c r="C634" s="16">
        <v>5</v>
      </c>
      <c r="D634" s="17" t="s">
        <v>341</v>
      </c>
      <c r="E634" s="17" t="s">
        <v>342</v>
      </c>
      <c r="F634" s="17">
        <v>83</v>
      </c>
      <c r="G634" s="17">
        <v>13396</v>
      </c>
      <c r="H634" s="17">
        <v>62.5</v>
      </c>
      <c r="I634" s="17">
        <v>11385</v>
      </c>
      <c r="J634" s="17">
        <v>87.5</v>
      </c>
      <c r="K634" s="17">
        <v>5877</v>
      </c>
      <c r="L634" s="17">
        <v>23.5</v>
      </c>
      <c r="M634" s="17">
        <v>12312</v>
      </c>
      <c r="N634" s="17"/>
      <c r="O634" s="17"/>
      <c r="P634" s="17">
        <v>73</v>
      </c>
      <c r="Q634" s="17">
        <v>4501</v>
      </c>
      <c r="R634" s="17"/>
      <c r="S634" s="17"/>
      <c r="T634" s="17"/>
      <c r="U634" s="17"/>
      <c r="V634" s="17">
        <v>81</v>
      </c>
      <c r="W634" s="17">
        <v>860</v>
      </c>
      <c r="X634" s="15">
        <v>233</v>
      </c>
      <c r="Y634" s="17">
        <v>640</v>
      </c>
      <c r="Z634" s="17">
        <v>410.5</v>
      </c>
      <c r="AA634" s="17">
        <v>8910</v>
      </c>
      <c r="AB634" s="12">
        <f t="shared" si="9"/>
        <v>631</v>
      </c>
    </row>
    <row r="635" ht="14.25" spans="1:28">
      <c r="A635" s="13">
        <v>586</v>
      </c>
      <c r="B635" s="15">
        <v>12</v>
      </c>
      <c r="C635" s="16">
        <v>35</v>
      </c>
      <c r="D635" s="17" t="s">
        <v>1180</v>
      </c>
      <c r="E635" s="17" t="s">
        <v>1181</v>
      </c>
      <c r="F635" s="17">
        <v>86.75</v>
      </c>
      <c r="G635" s="17">
        <v>11488</v>
      </c>
      <c r="H635" s="17">
        <v>106.5</v>
      </c>
      <c r="I635" s="17">
        <v>2542</v>
      </c>
      <c r="J635" s="17">
        <v>65</v>
      </c>
      <c r="K635" s="17">
        <v>11480</v>
      </c>
      <c r="L635" s="17">
        <v>47</v>
      </c>
      <c r="M635" s="17">
        <v>4568</v>
      </c>
      <c r="N635" s="17"/>
      <c r="O635" s="17"/>
      <c r="P635" s="17">
        <v>54</v>
      </c>
      <c r="Q635" s="17">
        <v>10153</v>
      </c>
      <c r="R635" s="17">
        <v>50</v>
      </c>
      <c r="S635" s="17">
        <v>11165</v>
      </c>
      <c r="T635" s="17"/>
      <c r="U635" s="17"/>
      <c r="V635" s="17"/>
      <c r="W635" s="17"/>
      <c r="X635" s="15">
        <v>258.25</v>
      </c>
      <c r="Y635" s="17">
        <v>588</v>
      </c>
      <c r="Z635" s="17">
        <v>409.25</v>
      </c>
      <c r="AA635" s="17">
        <v>8999</v>
      </c>
      <c r="AB635" s="12">
        <f t="shared" si="9"/>
        <v>633</v>
      </c>
    </row>
    <row r="636" ht="14.25" spans="1:28">
      <c r="A636" s="13">
        <v>154</v>
      </c>
      <c r="B636" s="15">
        <v>3</v>
      </c>
      <c r="C636" s="16">
        <v>43</v>
      </c>
      <c r="D636" s="17" t="s">
        <v>321</v>
      </c>
      <c r="E636" s="17" t="s">
        <v>322</v>
      </c>
      <c r="F636" s="17">
        <v>99</v>
      </c>
      <c r="G636" s="17">
        <v>3868</v>
      </c>
      <c r="H636" s="17">
        <v>105.5</v>
      </c>
      <c r="I636" s="17">
        <v>2718</v>
      </c>
      <c r="J636" s="17">
        <v>77.5</v>
      </c>
      <c r="K636" s="17">
        <v>8422</v>
      </c>
      <c r="L636" s="17">
        <v>25</v>
      </c>
      <c r="M636" s="17">
        <v>11593</v>
      </c>
      <c r="N636" s="17"/>
      <c r="O636" s="17"/>
      <c r="P636" s="17">
        <v>50</v>
      </c>
      <c r="Q636" s="17">
        <v>10845</v>
      </c>
      <c r="R636" s="17"/>
      <c r="S636" s="17"/>
      <c r="T636" s="17"/>
      <c r="U636" s="17"/>
      <c r="V636" s="17">
        <v>51</v>
      </c>
      <c r="W636" s="17">
        <v>4622</v>
      </c>
      <c r="X636" s="15">
        <v>282</v>
      </c>
      <c r="Y636" s="17">
        <v>432</v>
      </c>
      <c r="Z636" s="17">
        <v>408</v>
      </c>
      <c r="AA636" s="17">
        <v>9086</v>
      </c>
      <c r="AB636" s="12">
        <f t="shared" si="9"/>
        <v>634</v>
      </c>
    </row>
    <row r="637" ht="14.25" spans="1:28">
      <c r="A637" s="13">
        <v>200</v>
      </c>
      <c r="B637" s="15">
        <v>4</v>
      </c>
      <c r="C637" s="16">
        <v>43</v>
      </c>
      <c r="D637" s="17" t="s">
        <v>413</v>
      </c>
      <c r="E637" s="17" t="s">
        <v>414</v>
      </c>
      <c r="F637" s="17">
        <v>100.75</v>
      </c>
      <c r="G637" s="17">
        <v>3103</v>
      </c>
      <c r="H637" s="17">
        <v>74.5</v>
      </c>
      <c r="I637" s="17">
        <v>9115</v>
      </c>
      <c r="J637" s="17">
        <v>86</v>
      </c>
      <c r="K637" s="17">
        <v>6253</v>
      </c>
      <c r="L637" s="17">
        <v>17</v>
      </c>
      <c r="M637" s="17">
        <v>15308</v>
      </c>
      <c r="N637" s="17"/>
      <c r="O637" s="17"/>
      <c r="P637" s="17">
        <v>57</v>
      </c>
      <c r="Q637" s="17">
        <v>9600</v>
      </c>
      <c r="R637" s="17"/>
      <c r="S637" s="17"/>
      <c r="T637" s="17"/>
      <c r="U637" s="17"/>
      <c r="V637" s="17">
        <v>72</v>
      </c>
      <c r="W637" s="17">
        <v>2049</v>
      </c>
      <c r="X637" s="15">
        <v>261.25</v>
      </c>
      <c r="Y637" s="17">
        <v>576</v>
      </c>
      <c r="Z637" s="17">
        <v>407.25</v>
      </c>
      <c r="AA637" s="17">
        <v>9147</v>
      </c>
      <c r="AB637" s="12">
        <f t="shared" si="9"/>
        <v>635</v>
      </c>
    </row>
    <row r="638" ht="14.25" spans="1:28">
      <c r="A638" s="13">
        <v>545</v>
      </c>
      <c r="B638" s="15">
        <v>11</v>
      </c>
      <c r="C638" s="16">
        <v>51</v>
      </c>
      <c r="D638" s="17" t="s">
        <v>1098</v>
      </c>
      <c r="E638" s="17" t="s">
        <v>1099</v>
      </c>
      <c r="F638" s="17">
        <v>93.5</v>
      </c>
      <c r="G638" s="17">
        <v>7127</v>
      </c>
      <c r="H638" s="17">
        <v>80.5</v>
      </c>
      <c r="I638" s="17">
        <v>7938</v>
      </c>
      <c r="J638" s="17">
        <v>79.75</v>
      </c>
      <c r="K638" s="17">
        <v>7889</v>
      </c>
      <c r="L638" s="17">
        <v>23.5</v>
      </c>
      <c r="M638" s="17">
        <v>12312</v>
      </c>
      <c r="N638" s="17"/>
      <c r="O638" s="17"/>
      <c r="P638" s="17">
        <v>70</v>
      </c>
      <c r="Q638" s="17">
        <v>5445</v>
      </c>
      <c r="R638" s="17">
        <v>60</v>
      </c>
      <c r="S638" s="17">
        <v>8759</v>
      </c>
      <c r="T638" s="17"/>
      <c r="U638" s="17"/>
      <c r="V638" s="17"/>
      <c r="W638" s="17"/>
      <c r="X638" s="15">
        <v>253.75</v>
      </c>
      <c r="Y638" s="17">
        <v>601</v>
      </c>
      <c r="Z638" s="17">
        <v>407.25</v>
      </c>
      <c r="AA638" s="17">
        <v>9147</v>
      </c>
      <c r="AB638" s="12">
        <f t="shared" si="9"/>
        <v>635</v>
      </c>
    </row>
    <row r="639" ht="14.25" spans="1:28">
      <c r="A639" s="13">
        <v>302</v>
      </c>
      <c r="B639" s="15">
        <v>7</v>
      </c>
      <c r="C639" s="16">
        <v>13</v>
      </c>
      <c r="D639" s="17" t="s">
        <v>615</v>
      </c>
      <c r="E639" s="17" t="s">
        <v>616</v>
      </c>
      <c r="F639" s="17">
        <v>98.5</v>
      </c>
      <c r="G639" s="17">
        <v>4145</v>
      </c>
      <c r="H639" s="17">
        <v>77.5</v>
      </c>
      <c r="I639" s="17">
        <v>8540</v>
      </c>
      <c r="J639" s="17">
        <v>72</v>
      </c>
      <c r="K639" s="17">
        <v>9847</v>
      </c>
      <c r="L639" s="17">
        <v>29</v>
      </c>
      <c r="M639" s="17">
        <v>9872</v>
      </c>
      <c r="N639" s="17"/>
      <c r="O639" s="17"/>
      <c r="P639" s="17"/>
      <c r="Q639" s="17"/>
      <c r="R639" s="17">
        <v>56</v>
      </c>
      <c r="S639" s="17">
        <v>10021</v>
      </c>
      <c r="T639" s="17"/>
      <c r="U639" s="17"/>
      <c r="V639" s="17">
        <v>73</v>
      </c>
      <c r="W639" s="17">
        <v>1853</v>
      </c>
      <c r="X639" s="15">
        <v>248</v>
      </c>
      <c r="Y639" s="17">
        <v>613</v>
      </c>
      <c r="Z639" s="17">
        <v>406</v>
      </c>
      <c r="AA639" s="17">
        <v>9230</v>
      </c>
      <c r="AB639" s="12">
        <f t="shared" si="9"/>
        <v>637</v>
      </c>
    </row>
    <row r="640" ht="14.25" spans="1:28">
      <c r="A640" s="13">
        <v>216</v>
      </c>
      <c r="B640" s="15">
        <v>5</v>
      </c>
      <c r="C640" s="16">
        <v>13</v>
      </c>
      <c r="D640" s="17" t="s">
        <v>445</v>
      </c>
      <c r="E640" s="17" t="s">
        <v>446</v>
      </c>
      <c r="F640" s="17">
        <v>104</v>
      </c>
      <c r="G640" s="17">
        <v>1709</v>
      </c>
      <c r="H640" s="17">
        <v>79</v>
      </c>
      <c r="I640" s="17">
        <v>8244</v>
      </c>
      <c r="J640" s="17">
        <v>71.75</v>
      </c>
      <c r="K640" s="17">
        <v>9931</v>
      </c>
      <c r="L640" s="17">
        <v>22</v>
      </c>
      <c r="M640" s="17">
        <v>12994</v>
      </c>
      <c r="N640" s="17"/>
      <c r="O640" s="17"/>
      <c r="P640" s="17">
        <v>58</v>
      </c>
      <c r="Q640" s="17">
        <v>9299</v>
      </c>
      <c r="R640" s="17"/>
      <c r="S640" s="17"/>
      <c r="T640" s="17"/>
      <c r="U640" s="17"/>
      <c r="V640" s="17">
        <v>71</v>
      </c>
      <c r="W640" s="17">
        <v>2172</v>
      </c>
      <c r="X640" s="15">
        <v>254.75</v>
      </c>
      <c r="Y640" s="17">
        <v>597</v>
      </c>
      <c r="Z640" s="17">
        <v>405.75</v>
      </c>
      <c r="AA640" s="17">
        <v>9259</v>
      </c>
      <c r="AB640" s="12">
        <f t="shared" si="9"/>
        <v>638</v>
      </c>
    </row>
    <row r="641" ht="14.25" spans="1:28">
      <c r="A641" s="13">
        <v>580</v>
      </c>
      <c r="B641" s="15">
        <v>12</v>
      </c>
      <c r="C641" s="16">
        <v>28</v>
      </c>
      <c r="D641" s="17" t="s">
        <v>1168</v>
      </c>
      <c r="E641" s="17" t="s">
        <v>1169</v>
      </c>
      <c r="F641" s="17">
        <v>88.75</v>
      </c>
      <c r="G641" s="17">
        <v>10255</v>
      </c>
      <c r="H641" s="17">
        <v>98.5</v>
      </c>
      <c r="I641" s="17">
        <v>4047</v>
      </c>
      <c r="J641" s="17">
        <v>82.25</v>
      </c>
      <c r="K641" s="17">
        <v>7208</v>
      </c>
      <c r="L641" s="17">
        <v>38.5</v>
      </c>
      <c r="M641" s="17">
        <v>6692</v>
      </c>
      <c r="N641" s="17"/>
      <c r="O641" s="17"/>
      <c r="P641" s="17">
        <v>58</v>
      </c>
      <c r="Q641" s="17">
        <v>9299</v>
      </c>
      <c r="R641" s="17">
        <v>37</v>
      </c>
      <c r="S641" s="17">
        <v>12748</v>
      </c>
      <c r="T641" s="17"/>
      <c r="U641" s="17"/>
      <c r="V641" s="17"/>
      <c r="W641" s="17"/>
      <c r="X641" s="15">
        <v>269.5</v>
      </c>
      <c r="Y641" s="17">
        <v>536</v>
      </c>
      <c r="Z641" s="17">
        <v>403</v>
      </c>
      <c r="AA641" s="17">
        <v>9452</v>
      </c>
      <c r="AB641" s="12">
        <f t="shared" si="9"/>
        <v>639</v>
      </c>
    </row>
    <row r="642" ht="14.25" spans="1:28">
      <c r="A642" s="13">
        <v>544</v>
      </c>
      <c r="B642" s="15">
        <v>11</v>
      </c>
      <c r="C642" s="16">
        <v>50</v>
      </c>
      <c r="D642" s="17" t="s">
        <v>1096</v>
      </c>
      <c r="E642" s="17" t="s">
        <v>1097</v>
      </c>
      <c r="F642" s="17">
        <v>94.75</v>
      </c>
      <c r="G642" s="17">
        <v>6456</v>
      </c>
      <c r="H642" s="17">
        <v>66.5</v>
      </c>
      <c r="I642" s="17">
        <v>10595</v>
      </c>
      <c r="J642" s="17">
        <v>55</v>
      </c>
      <c r="K642" s="17">
        <v>13286</v>
      </c>
      <c r="L642" s="17">
        <v>38.5</v>
      </c>
      <c r="M642" s="17">
        <v>6692</v>
      </c>
      <c r="N642" s="17"/>
      <c r="O642" s="17"/>
      <c r="P642" s="17">
        <v>69</v>
      </c>
      <c r="Q642" s="17">
        <v>5655</v>
      </c>
      <c r="R642" s="17">
        <v>75</v>
      </c>
      <c r="S642" s="17">
        <v>3790</v>
      </c>
      <c r="T642" s="17"/>
      <c r="U642" s="17"/>
      <c r="V642" s="17"/>
      <c r="W642" s="17"/>
      <c r="X642" s="15">
        <v>216.25</v>
      </c>
      <c r="Y642" s="17">
        <v>656</v>
      </c>
      <c r="Z642" s="17">
        <v>398.75</v>
      </c>
      <c r="AA642" s="17">
        <v>9720</v>
      </c>
      <c r="AB642" s="12">
        <f t="shared" si="9"/>
        <v>640</v>
      </c>
    </row>
    <row r="643" ht="14.25" spans="1:28">
      <c r="A643" s="13">
        <v>259</v>
      </c>
      <c r="B643" s="15">
        <v>6</v>
      </c>
      <c r="C643" s="16">
        <v>10</v>
      </c>
      <c r="D643" s="17" t="s">
        <v>529</v>
      </c>
      <c r="E643" s="17" t="s">
        <v>530</v>
      </c>
      <c r="F643" s="17">
        <v>91</v>
      </c>
      <c r="G643" s="17">
        <v>8620</v>
      </c>
      <c r="H643" s="17">
        <v>80</v>
      </c>
      <c r="I643" s="17">
        <v>8038</v>
      </c>
      <c r="J643" s="17">
        <v>56</v>
      </c>
      <c r="K643" s="17">
        <v>13140</v>
      </c>
      <c r="L643" s="17">
        <v>47</v>
      </c>
      <c r="M643" s="17">
        <v>4568</v>
      </c>
      <c r="N643" s="17"/>
      <c r="O643" s="17"/>
      <c r="P643" s="17"/>
      <c r="Q643" s="17"/>
      <c r="R643" s="17">
        <v>72</v>
      </c>
      <c r="S643" s="17">
        <v>4793</v>
      </c>
      <c r="T643" s="17"/>
      <c r="U643" s="17"/>
      <c r="V643" s="17">
        <v>46</v>
      </c>
      <c r="W643" s="17">
        <v>4943</v>
      </c>
      <c r="X643" s="15">
        <v>227</v>
      </c>
      <c r="Y643" s="17">
        <v>649</v>
      </c>
      <c r="Z643" s="17">
        <v>392</v>
      </c>
      <c r="AA643" s="17">
        <v>10200</v>
      </c>
      <c r="AB643" s="12">
        <f t="shared" ref="AB643:AB665" si="10">RANK(Z643,$Z$3:$Z$696)</f>
        <v>641</v>
      </c>
    </row>
    <row r="644" ht="14.25" spans="1:28">
      <c r="A644" s="13">
        <v>278</v>
      </c>
      <c r="B644" s="15">
        <v>6</v>
      </c>
      <c r="C644" s="16">
        <v>30</v>
      </c>
      <c r="D644" s="17" t="s">
        <v>567</v>
      </c>
      <c r="E644" s="17" t="s">
        <v>568</v>
      </c>
      <c r="F644" s="17">
        <v>89.5</v>
      </c>
      <c r="G644" s="17">
        <v>9648</v>
      </c>
      <c r="H644" s="17">
        <v>60</v>
      </c>
      <c r="I644" s="17">
        <v>11839</v>
      </c>
      <c r="J644" s="17">
        <v>82.5</v>
      </c>
      <c r="K644" s="17">
        <v>7120</v>
      </c>
      <c r="L644" s="17">
        <v>26</v>
      </c>
      <c r="M644" s="17">
        <v>11124</v>
      </c>
      <c r="N644" s="17"/>
      <c r="O644" s="17"/>
      <c r="P644" s="17"/>
      <c r="Q644" s="17"/>
      <c r="R644" s="17">
        <v>72</v>
      </c>
      <c r="S644" s="17">
        <v>4793</v>
      </c>
      <c r="T644" s="17"/>
      <c r="U644" s="17"/>
      <c r="V644" s="17">
        <v>62</v>
      </c>
      <c r="W644" s="17">
        <v>3367</v>
      </c>
      <c r="X644" s="15">
        <v>232</v>
      </c>
      <c r="Y644" s="17">
        <v>642</v>
      </c>
      <c r="Z644" s="17">
        <v>392</v>
      </c>
      <c r="AA644" s="17">
        <v>10200</v>
      </c>
      <c r="AB644" s="12">
        <f t="shared" si="10"/>
        <v>641</v>
      </c>
    </row>
    <row r="645" ht="14.25" spans="1:28">
      <c r="A645" s="13">
        <v>113</v>
      </c>
      <c r="B645" s="15">
        <v>3</v>
      </c>
      <c r="C645" s="16">
        <v>2</v>
      </c>
      <c r="D645" s="17" t="s">
        <v>239</v>
      </c>
      <c r="E645" s="17" t="s">
        <v>240</v>
      </c>
      <c r="F645" s="17">
        <v>75</v>
      </c>
      <c r="G645" s="17">
        <v>16100</v>
      </c>
      <c r="H645" s="17">
        <v>82</v>
      </c>
      <c r="I645" s="17">
        <v>7634</v>
      </c>
      <c r="J645" s="17">
        <v>73.25</v>
      </c>
      <c r="K645" s="17">
        <v>9584</v>
      </c>
      <c r="L645" s="17">
        <v>34.5</v>
      </c>
      <c r="M645" s="17">
        <v>7899</v>
      </c>
      <c r="N645" s="17"/>
      <c r="O645" s="17"/>
      <c r="P645" s="17">
        <v>67</v>
      </c>
      <c r="Q645" s="17">
        <v>6384</v>
      </c>
      <c r="R645" s="17"/>
      <c r="S645" s="17"/>
      <c r="T645" s="17"/>
      <c r="U645" s="17"/>
      <c r="V645" s="17">
        <v>60</v>
      </c>
      <c r="W645" s="17">
        <v>3646</v>
      </c>
      <c r="X645" s="15">
        <v>230.25</v>
      </c>
      <c r="Y645" s="17">
        <v>647</v>
      </c>
      <c r="Z645" s="17">
        <v>391.75</v>
      </c>
      <c r="AA645" s="17">
        <v>10230</v>
      </c>
      <c r="AB645" s="12">
        <f t="shared" si="10"/>
        <v>643</v>
      </c>
    </row>
    <row r="646" ht="14.25" spans="1:28">
      <c r="A646" s="13">
        <v>579</v>
      </c>
      <c r="B646" s="15">
        <v>12</v>
      </c>
      <c r="C646" s="16">
        <v>27</v>
      </c>
      <c r="D646" s="17" t="s">
        <v>1166</v>
      </c>
      <c r="E646" s="17" t="s">
        <v>1167</v>
      </c>
      <c r="F646" s="17">
        <v>93</v>
      </c>
      <c r="G646" s="17">
        <v>7407</v>
      </c>
      <c r="H646" s="17">
        <v>84.5</v>
      </c>
      <c r="I646" s="17">
        <v>7091</v>
      </c>
      <c r="J646" s="17">
        <v>83</v>
      </c>
      <c r="K646" s="17">
        <v>6990</v>
      </c>
      <c r="L646" s="17">
        <v>26</v>
      </c>
      <c r="M646" s="17">
        <v>11124</v>
      </c>
      <c r="N646" s="17"/>
      <c r="O646" s="17"/>
      <c r="P646" s="17">
        <v>55</v>
      </c>
      <c r="Q646" s="17">
        <v>10022</v>
      </c>
      <c r="R646" s="17">
        <v>50</v>
      </c>
      <c r="S646" s="17">
        <v>11165</v>
      </c>
      <c r="T646" s="17"/>
      <c r="U646" s="17"/>
      <c r="V646" s="17"/>
      <c r="W646" s="17"/>
      <c r="X646" s="15">
        <v>260.5</v>
      </c>
      <c r="Y646" s="17">
        <v>581</v>
      </c>
      <c r="Z646" s="17">
        <v>391.5</v>
      </c>
      <c r="AA646" s="17">
        <v>10244</v>
      </c>
      <c r="AB646" s="12">
        <f t="shared" si="10"/>
        <v>644</v>
      </c>
    </row>
    <row r="647" ht="14.25" spans="1:28">
      <c r="A647" s="13">
        <v>79</v>
      </c>
      <c r="B647" s="15">
        <v>2</v>
      </c>
      <c r="C647" s="16">
        <v>16</v>
      </c>
      <c r="D647" s="17" t="s">
        <v>171</v>
      </c>
      <c r="E647" s="17" t="s">
        <v>172</v>
      </c>
      <c r="F647" s="17">
        <v>95</v>
      </c>
      <c r="G647" s="17">
        <v>6168</v>
      </c>
      <c r="H647" s="17">
        <v>54.5</v>
      </c>
      <c r="I647" s="17">
        <v>12776</v>
      </c>
      <c r="J647" s="17">
        <v>93</v>
      </c>
      <c r="K647" s="17">
        <v>4548</v>
      </c>
      <c r="L647" s="17">
        <v>23</v>
      </c>
      <c r="M647" s="17">
        <v>12526</v>
      </c>
      <c r="N647" s="17"/>
      <c r="O647" s="17"/>
      <c r="P647" s="17"/>
      <c r="Q647" s="17"/>
      <c r="R647" s="17">
        <v>58</v>
      </c>
      <c r="S647" s="17">
        <v>9300</v>
      </c>
      <c r="T647" s="17">
        <v>66</v>
      </c>
      <c r="U647" s="17">
        <v>2417</v>
      </c>
      <c r="V647" s="17"/>
      <c r="W647" s="17"/>
      <c r="X647" s="15">
        <v>242.5</v>
      </c>
      <c r="Y647" s="17">
        <v>624</v>
      </c>
      <c r="Z647" s="17">
        <v>389.5</v>
      </c>
      <c r="AA647" s="17">
        <v>10396</v>
      </c>
      <c r="AB647" s="12">
        <f t="shared" si="10"/>
        <v>645</v>
      </c>
    </row>
    <row r="648" ht="14.25" spans="1:28">
      <c r="A648" s="13">
        <v>371</v>
      </c>
      <c r="B648" s="15">
        <v>8</v>
      </c>
      <c r="C648" s="16">
        <v>45</v>
      </c>
      <c r="D648" s="17" t="s">
        <v>752</v>
      </c>
      <c r="E648" s="17" t="s">
        <v>753</v>
      </c>
      <c r="F648" s="17">
        <v>87</v>
      </c>
      <c r="G648" s="17">
        <v>11216</v>
      </c>
      <c r="H648" s="17">
        <v>83.5</v>
      </c>
      <c r="I648" s="17">
        <v>7321</v>
      </c>
      <c r="J648" s="17">
        <v>61</v>
      </c>
      <c r="K648" s="17">
        <v>12262</v>
      </c>
      <c r="L648" s="17">
        <v>33.5</v>
      </c>
      <c r="M648" s="17">
        <v>8240</v>
      </c>
      <c r="N648" s="17"/>
      <c r="O648" s="17"/>
      <c r="P648" s="17">
        <v>52</v>
      </c>
      <c r="Q648" s="17">
        <v>10512</v>
      </c>
      <c r="R648" s="17">
        <v>71</v>
      </c>
      <c r="S648" s="17">
        <v>5151</v>
      </c>
      <c r="T648" s="17"/>
      <c r="U648" s="17"/>
      <c r="V648" s="17"/>
      <c r="W648" s="17"/>
      <c r="X648" s="15">
        <v>231.5</v>
      </c>
      <c r="Y648" s="17">
        <v>645</v>
      </c>
      <c r="Z648" s="17">
        <v>388</v>
      </c>
      <c r="AA648" s="17">
        <v>10517</v>
      </c>
      <c r="AB648" s="12">
        <f t="shared" si="10"/>
        <v>646</v>
      </c>
    </row>
    <row r="649" ht="14.25" spans="1:28">
      <c r="A649" s="13">
        <v>581</v>
      </c>
      <c r="B649" s="15">
        <v>12</v>
      </c>
      <c r="C649" s="16">
        <v>29</v>
      </c>
      <c r="D649" s="17" t="s">
        <v>1170</v>
      </c>
      <c r="E649" s="17" t="s">
        <v>1171</v>
      </c>
      <c r="F649" s="17">
        <v>90</v>
      </c>
      <c r="G649" s="17">
        <v>9312</v>
      </c>
      <c r="H649" s="17">
        <v>63.5</v>
      </c>
      <c r="I649" s="17">
        <v>11189</v>
      </c>
      <c r="J649" s="17">
        <v>88.5</v>
      </c>
      <c r="K649" s="17">
        <v>5628</v>
      </c>
      <c r="L649" s="17">
        <v>21</v>
      </c>
      <c r="M649" s="17">
        <v>13491</v>
      </c>
      <c r="N649" s="17"/>
      <c r="O649" s="17"/>
      <c r="P649" s="17">
        <v>55</v>
      </c>
      <c r="Q649" s="17">
        <v>10022</v>
      </c>
      <c r="R649" s="17">
        <v>70</v>
      </c>
      <c r="S649" s="17">
        <v>5497</v>
      </c>
      <c r="T649" s="17"/>
      <c r="U649" s="17"/>
      <c r="V649" s="17"/>
      <c r="W649" s="17"/>
      <c r="X649" s="15">
        <v>242</v>
      </c>
      <c r="Y649" s="17">
        <v>626</v>
      </c>
      <c r="Z649" s="17">
        <v>388</v>
      </c>
      <c r="AA649" s="17">
        <v>10517</v>
      </c>
      <c r="AB649" s="12">
        <f t="shared" si="10"/>
        <v>646</v>
      </c>
    </row>
    <row r="650" ht="14.25" spans="1:28">
      <c r="A650" s="13">
        <v>165</v>
      </c>
      <c r="B650" s="15">
        <v>4</v>
      </c>
      <c r="C650" s="16">
        <v>6</v>
      </c>
      <c r="D650" s="17" t="s">
        <v>343</v>
      </c>
      <c r="E650" s="17" t="s">
        <v>344</v>
      </c>
      <c r="F650" s="17">
        <v>84</v>
      </c>
      <c r="G650" s="17">
        <v>12898</v>
      </c>
      <c r="H650" s="17">
        <v>83</v>
      </c>
      <c r="I650" s="17">
        <v>7420</v>
      </c>
      <c r="J650" s="17">
        <v>54.5</v>
      </c>
      <c r="K650" s="17">
        <v>13373</v>
      </c>
      <c r="L650" s="17">
        <v>28</v>
      </c>
      <c r="M650" s="17">
        <v>10280</v>
      </c>
      <c r="N650" s="17"/>
      <c r="O650" s="17"/>
      <c r="P650" s="17">
        <v>59</v>
      </c>
      <c r="Q650" s="17">
        <v>8996</v>
      </c>
      <c r="R650" s="17"/>
      <c r="S650" s="17"/>
      <c r="T650" s="17"/>
      <c r="U650" s="17"/>
      <c r="V650" s="17">
        <v>79</v>
      </c>
      <c r="W650" s="17">
        <v>1023</v>
      </c>
      <c r="X650" s="15">
        <v>221.5</v>
      </c>
      <c r="Y650" s="17">
        <v>652</v>
      </c>
      <c r="Z650" s="17">
        <v>387.5</v>
      </c>
      <c r="AA650" s="17">
        <v>10542</v>
      </c>
      <c r="AB650" s="12">
        <f t="shared" si="10"/>
        <v>648</v>
      </c>
    </row>
    <row r="651" ht="14.25" spans="1:28">
      <c r="A651" s="13">
        <v>59</v>
      </c>
      <c r="B651" s="15">
        <v>1</v>
      </c>
      <c r="C651" s="16">
        <v>61</v>
      </c>
      <c r="D651" s="17" t="s">
        <v>132</v>
      </c>
      <c r="E651" s="17" t="s">
        <v>133</v>
      </c>
      <c r="F651" s="17">
        <v>98</v>
      </c>
      <c r="G651" s="17">
        <v>4423</v>
      </c>
      <c r="H651" s="17">
        <v>79.5</v>
      </c>
      <c r="I651" s="17">
        <v>8139</v>
      </c>
      <c r="J651" s="17">
        <v>64.25</v>
      </c>
      <c r="K651" s="17">
        <v>11649</v>
      </c>
      <c r="L651" s="17">
        <v>20.5</v>
      </c>
      <c r="M651" s="17">
        <v>13774</v>
      </c>
      <c r="N651" s="17"/>
      <c r="O651" s="17"/>
      <c r="P651" s="17">
        <v>64</v>
      </c>
      <c r="Q651" s="17">
        <v>7304</v>
      </c>
      <c r="R651" s="17"/>
      <c r="S651" s="17"/>
      <c r="T651" s="17">
        <v>61</v>
      </c>
      <c r="U651" s="17">
        <v>3026</v>
      </c>
      <c r="V651" s="17"/>
      <c r="W651" s="17"/>
      <c r="X651" s="15">
        <v>241.75</v>
      </c>
      <c r="Y651" s="17">
        <v>627</v>
      </c>
      <c r="Z651" s="17">
        <v>387.25</v>
      </c>
      <c r="AA651" s="17">
        <v>10564</v>
      </c>
      <c r="AB651" s="12">
        <f t="shared" si="10"/>
        <v>649</v>
      </c>
    </row>
    <row r="652" ht="14.25" spans="1:28">
      <c r="A652" s="13">
        <v>98</v>
      </c>
      <c r="B652" s="15">
        <v>2</v>
      </c>
      <c r="C652" s="16">
        <v>35</v>
      </c>
      <c r="D652" s="17" t="s">
        <v>209</v>
      </c>
      <c r="E652" s="17" t="s">
        <v>210</v>
      </c>
      <c r="F652" s="17">
        <v>95.75</v>
      </c>
      <c r="G652" s="17">
        <v>5826</v>
      </c>
      <c r="H652" s="17">
        <v>59.5</v>
      </c>
      <c r="I652" s="17">
        <v>11928</v>
      </c>
      <c r="J652" s="17">
        <v>64.5</v>
      </c>
      <c r="K652" s="17">
        <v>11584</v>
      </c>
      <c r="L652" s="17">
        <v>18.5</v>
      </c>
      <c r="M652" s="17">
        <v>14721</v>
      </c>
      <c r="N652" s="17"/>
      <c r="O652" s="17"/>
      <c r="P652" s="17"/>
      <c r="Q652" s="17"/>
      <c r="R652" s="17">
        <v>68</v>
      </c>
      <c r="S652" s="17">
        <v>6079</v>
      </c>
      <c r="T652" s="17">
        <v>80</v>
      </c>
      <c r="U652" s="17">
        <v>813</v>
      </c>
      <c r="V652" s="17"/>
      <c r="W652" s="17"/>
      <c r="X652" s="15">
        <v>219.75</v>
      </c>
      <c r="Y652" s="17">
        <v>653</v>
      </c>
      <c r="Z652" s="17">
        <v>386.25</v>
      </c>
      <c r="AA652" s="17">
        <v>10644</v>
      </c>
      <c r="AB652" s="12">
        <f t="shared" si="10"/>
        <v>650</v>
      </c>
    </row>
    <row r="653" ht="14.25" spans="1:28">
      <c r="A653" s="13">
        <v>160</v>
      </c>
      <c r="B653" s="15">
        <v>3</v>
      </c>
      <c r="C653" s="16">
        <v>49</v>
      </c>
      <c r="D653" s="17" t="s">
        <v>333</v>
      </c>
      <c r="E653" s="17" t="s">
        <v>334</v>
      </c>
      <c r="F653" s="17">
        <v>89</v>
      </c>
      <c r="G653" s="17">
        <v>9959</v>
      </c>
      <c r="H653" s="17">
        <v>65.5</v>
      </c>
      <c r="I653" s="17">
        <v>10794</v>
      </c>
      <c r="J653" s="17">
        <v>87</v>
      </c>
      <c r="K653" s="17">
        <v>5999</v>
      </c>
      <c r="L653" s="17">
        <v>23.5</v>
      </c>
      <c r="M653" s="17">
        <v>12312</v>
      </c>
      <c r="N653" s="17"/>
      <c r="O653" s="17"/>
      <c r="P653" s="17">
        <v>68</v>
      </c>
      <c r="Q653" s="17">
        <v>6016</v>
      </c>
      <c r="R653" s="17"/>
      <c r="S653" s="17"/>
      <c r="T653" s="17"/>
      <c r="U653" s="17"/>
      <c r="V653" s="17">
        <v>50</v>
      </c>
      <c r="W653" s="17">
        <v>4674</v>
      </c>
      <c r="X653" s="15">
        <v>241.5</v>
      </c>
      <c r="Y653" s="17">
        <v>628</v>
      </c>
      <c r="Z653" s="17">
        <v>383</v>
      </c>
      <c r="AA653" s="17">
        <v>10868</v>
      </c>
      <c r="AB653" s="12">
        <f t="shared" si="10"/>
        <v>651</v>
      </c>
    </row>
    <row r="654" ht="14.25" spans="1:28">
      <c r="A654" s="13">
        <v>617</v>
      </c>
      <c r="B654" s="15">
        <v>13</v>
      </c>
      <c r="C654" s="16">
        <v>8</v>
      </c>
      <c r="D654" s="17" t="s">
        <v>1242</v>
      </c>
      <c r="E654" s="17" t="s">
        <v>1243</v>
      </c>
      <c r="F654" s="17">
        <v>86.5</v>
      </c>
      <c r="G654" s="17">
        <v>11527</v>
      </c>
      <c r="H654" s="17">
        <v>93</v>
      </c>
      <c r="I654" s="17">
        <v>5192</v>
      </c>
      <c r="J654" s="17">
        <v>45.5</v>
      </c>
      <c r="K654" s="17">
        <v>14548</v>
      </c>
      <c r="L654" s="17">
        <v>30</v>
      </c>
      <c r="M654" s="17">
        <v>9441</v>
      </c>
      <c r="N654" s="17"/>
      <c r="O654" s="17"/>
      <c r="P654" s="17">
        <v>51</v>
      </c>
      <c r="Q654" s="17">
        <v>10643</v>
      </c>
      <c r="R654" s="17">
        <v>73</v>
      </c>
      <c r="S654" s="17">
        <v>4436</v>
      </c>
      <c r="T654" s="17"/>
      <c r="U654" s="17"/>
      <c r="V654" s="17"/>
      <c r="W654" s="17"/>
      <c r="X654" s="15">
        <v>225</v>
      </c>
      <c r="Y654" s="17">
        <v>650</v>
      </c>
      <c r="Z654" s="17">
        <v>379</v>
      </c>
      <c r="AA654" s="17">
        <v>11109</v>
      </c>
      <c r="AB654" s="12">
        <f t="shared" si="10"/>
        <v>652</v>
      </c>
    </row>
    <row r="655" ht="14.25" spans="1:28">
      <c r="A655" s="13">
        <v>601</v>
      </c>
      <c r="B655" s="15">
        <v>12</v>
      </c>
      <c r="C655" s="16">
        <v>51</v>
      </c>
      <c r="D655" s="17" t="s">
        <v>1210</v>
      </c>
      <c r="E655" s="17" t="s">
        <v>1211</v>
      </c>
      <c r="F655" s="17">
        <v>92</v>
      </c>
      <c r="G655" s="17">
        <v>7994</v>
      </c>
      <c r="H655" s="17">
        <v>65</v>
      </c>
      <c r="I655" s="17">
        <v>10886</v>
      </c>
      <c r="J655" s="17">
        <v>75</v>
      </c>
      <c r="K655" s="17">
        <v>9087</v>
      </c>
      <c r="L655" s="17">
        <v>26.5</v>
      </c>
      <c r="M655" s="17">
        <v>10911</v>
      </c>
      <c r="N655" s="17"/>
      <c r="O655" s="17"/>
      <c r="P655" s="17">
        <v>60</v>
      </c>
      <c r="Q655" s="17">
        <v>8673</v>
      </c>
      <c r="R655" s="17">
        <v>60</v>
      </c>
      <c r="S655" s="17">
        <v>8759</v>
      </c>
      <c r="T655" s="17"/>
      <c r="U655" s="17"/>
      <c r="V655" s="17"/>
      <c r="W655" s="17"/>
      <c r="X655" s="15">
        <v>232</v>
      </c>
      <c r="Y655" s="17">
        <v>642</v>
      </c>
      <c r="Z655" s="17">
        <v>378.5</v>
      </c>
      <c r="AA655" s="17">
        <v>11140</v>
      </c>
      <c r="AB655" s="12">
        <f t="shared" si="10"/>
        <v>653</v>
      </c>
    </row>
    <row r="656" ht="14.25" spans="1:28">
      <c r="A656" s="13">
        <v>370</v>
      </c>
      <c r="B656" s="15">
        <v>8</v>
      </c>
      <c r="C656" s="16">
        <v>44</v>
      </c>
      <c r="D656" s="17" t="s">
        <v>750</v>
      </c>
      <c r="E656" s="17" t="s">
        <v>751</v>
      </c>
      <c r="F656" s="17">
        <v>106.25</v>
      </c>
      <c r="G656" s="17">
        <v>1151</v>
      </c>
      <c r="H656" s="17">
        <v>58</v>
      </c>
      <c r="I656" s="17">
        <v>12196</v>
      </c>
      <c r="J656" s="17">
        <v>49.25</v>
      </c>
      <c r="K656" s="17">
        <v>14103</v>
      </c>
      <c r="L656" s="17">
        <v>39</v>
      </c>
      <c r="M656" s="17">
        <v>6535</v>
      </c>
      <c r="N656" s="17"/>
      <c r="O656" s="17"/>
      <c r="P656" s="17">
        <v>60</v>
      </c>
      <c r="Q656" s="17">
        <v>8673</v>
      </c>
      <c r="R656" s="17">
        <v>64</v>
      </c>
      <c r="S656" s="17">
        <v>7440</v>
      </c>
      <c r="T656" s="17"/>
      <c r="U656" s="17"/>
      <c r="V656" s="17"/>
      <c r="W656" s="17"/>
      <c r="X656" s="15">
        <v>213.5</v>
      </c>
      <c r="Y656" s="17">
        <v>658</v>
      </c>
      <c r="Z656" s="17">
        <v>376.5</v>
      </c>
      <c r="AA656" s="17">
        <v>11265</v>
      </c>
      <c r="AB656" s="12">
        <f t="shared" si="10"/>
        <v>654</v>
      </c>
    </row>
    <row r="657" ht="14.25" spans="1:28">
      <c r="A657" s="13">
        <v>512</v>
      </c>
      <c r="B657" s="15">
        <v>11</v>
      </c>
      <c r="C657" s="16">
        <v>16</v>
      </c>
      <c r="D657" s="17" t="s">
        <v>1034</v>
      </c>
      <c r="E657" s="17" t="s">
        <v>1035</v>
      </c>
      <c r="F657" s="17">
        <v>85.5</v>
      </c>
      <c r="G657" s="17">
        <v>12079</v>
      </c>
      <c r="H657" s="17">
        <v>70</v>
      </c>
      <c r="I657" s="17">
        <v>9977</v>
      </c>
      <c r="J657" s="17">
        <v>64</v>
      </c>
      <c r="K657" s="17">
        <v>11677</v>
      </c>
      <c r="L657" s="17">
        <v>35</v>
      </c>
      <c r="M657" s="17">
        <v>7732</v>
      </c>
      <c r="N657" s="17"/>
      <c r="O657" s="17"/>
      <c r="P657" s="17">
        <v>51</v>
      </c>
      <c r="Q657" s="17">
        <v>10643</v>
      </c>
      <c r="R657" s="17">
        <v>60</v>
      </c>
      <c r="S657" s="17">
        <v>8759</v>
      </c>
      <c r="T657" s="17"/>
      <c r="U657" s="17"/>
      <c r="V657" s="17"/>
      <c r="W657" s="17"/>
      <c r="X657" s="15">
        <v>219.5</v>
      </c>
      <c r="Y657" s="17">
        <v>655</v>
      </c>
      <c r="Z657" s="17">
        <v>365.5</v>
      </c>
      <c r="AA657" s="17">
        <v>11953</v>
      </c>
      <c r="AB657" s="12">
        <f t="shared" si="10"/>
        <v>655</v>
      </c>
    </row>
    <row r="658" ht="14.25" spans="1:28">
      <c r="A658" s="13">
        <v>584</v>
      </c>
      <c r="B658" s="15">
        <v>12</v>
      </c>
      <c r="C658" s="16">
        <v>33</v>
      </c>
      <c r="D658" s="17" t="s">
        <v>1176</v>
      </c>
      <c r="E658" s="17" t="s">
        <v>1177</v>
      </c>
      <c r="F658" s="17">
        <v>78.5</v>
      </c>
      <c r="G658" s="17">
        <v>15156</v>
      </c>
      <c r="H658" s="17">
        <v>98.5</v>
      </c>
      <c r="I658" s="17">
        <v>4047</v>
      </c>
      <c r="J658" s="17">
        <v>61</v>
      </c>
      <c r="K658" s="17">
        <v>12262</v>
      </c>
      <c r="L658" s="17">
        <v>29</v>
      </c>
      <c r="M658" s="17">
        <v>9872</v>
      </c>
      <c r="N658" s="17"/>
      <c r="O658" s="17"/>
      <c r="P658" s="17">
        <v>46</v>
      </c>
      <c r="Q658" s="17">
        <v>11292</v>
      </c>
      <c r="R658" s="17">
        <v>50</v>
      </c>
      <c r="S658" s="17">
        <v>11165</v>
      </c>
      <c r="T658" s="17"/>
      <c r="U658" s="17"/>
      <c r="V658" s="17"/>
      <c r="W658" s="17"/>
      <c r="X658" s="15">
        <v>238</v>
      </c>
      <c r="Y658" s="17">
        <v>634</v>
      </c>
      <c r="Z658" s="17">
        <v>363</v>
      </c>
      <c r="AA658" s="17">
        <v>12102</v>
      </c>
      <c r="AB658" s="12">
        <f t="shared" si="10"/>
        <v>656</v>
      </c>
    </row>
    <row r="659" ht="14.25" spans="1:28">
      <c r="A659" s="13">
        <v>51</v>
      </c>
      <c r="B659" s="15">
        <v>1</v>
      </c>
      <c r="C659" s="16">
        <v>53</v>
      </c>
      <c r="D659" s="17" t="s">
        <v>116</v>
      </c>
      <c r="E659" s="17" t="s">
        <v>117</v>
      </c>
      <c r="F659" s="17">
        <v>91</v>
      </c>
      <c r="G659" s="17">
        <v>8620</v>
      </c>
      <c r="H659" s="17">
        <v>50</v>
      </c>
      <c r="I659" s="17">
        <v>13465</v>
      </c>
      <c r="J659" s="17">
        <v>74</v>
      </c>
      <c r="K659" s="17">
        <v>9352</v>
      </c>
      <c r="L659" s="17">
        <v>27</v>
      </c>
      <c r="M659" s="17">
        <v>10690</v>
      </c>
      <c r="N659" s="17"/>
      <c r="O659" s="17"/>
      <c r="P659" s="17">
        <v>51</v>
      </c>
      <c r="Q659" s="17">
        <v>10643</v>
      </c>
      <c r="R659" s="17"/>
      <c r="S659" s="17"/>
      <c r="T659" s="17">
        <v>66</v>
      </c>
      <c r="U659" s="17">
        <v>2417</v>
      </c>
      <c r="V659" s="17"/>
      <c r="W659" s="17"/>
      <c r="X659" s="15">
        <v>215</v>
      </c>
      <c r="Y659" s="17">
        <v>657</v>
      </c>
      <c r="Z659" s="17">
        <v>359</v>
      </c>
      <c r="AA659" s="17">
        <v>12337</v>
      </c>
      <c r="AB659" s="12">
        <f t="shared" si="10"/>
        <v>657</v>
      </c>
    </row>
    <row r="660" ht="14.25" spans="1:28">
      <c r="A660" s="13">
        <v>549</v>
      </c>
      <c r="B660" s="15">
        <v>11</v>
      </c>
      <c r="C660" s="16">
        <v>55</v>
      </c>
      <c r="D660" s="17" t="s">
        <v>1106</v>
      </c>
      <c r="E660" s="17" t="s">
        <v>1107</v>
      </c>
      <c r="F660" s="17">
        <v>86</v>
      </c>
      <c r="G660" s="17">
        <v>11803</v>
      </c>
      <c r="H660" s="17">
        <v>73</v>
      </c>
      <c r="I660" s="17">
        <v>9411</v>
      </c>
      <c r="J660" s="17">
        <v>63.5</v>
      </c>
      <c r="K660" s="17">
        <v>11774</v>
      </c>
      <c r="L660" s="17">
        <v>17</v>
      </c>
      <c r="M660" s="17">
        <v>15308</v>
      </c>
      <c r="N660" s="17"/>
      <c r="O660" s="17"/>
      <c r="P660" s="17">
        <v>57</v>
      </c>
      <c r="Q660" s="17">
        <v>9600</v>
      </c>
      <c r="R660" s="17">
        <v>61</v>
      </c>
      <c r="S660" s="17">
        <v>8408</v>
      </c>
      <c r="T660" s="17"/>
      <c r="U660" s="17"/>
      <c r="V660" s="17"/>
      <c r="W660" s="17"/>
      <c r="X660" s="15">
        <v>222.5</v>
      </c>
      <c r="Y660" s="17">
        <v>651</v>
      </c>
      <c r="Z660" s="17">
        <v>357.5</v>
      </c>
      <c r="AA660" s="17">
        <v>12443</v>
      </c>
      <c r="AB660" s="12">
        <f t="shared" si="10"/>
        <v>658</v>
      </c>
    </row>
    <row r="661" ht="14.25" spans="1:28">
      <c r="A661" s="13">
        <v>575</v>
      </c>
      <c r="B661" s="15">
        <v>12</v>
      </c>
      <c r="C661" s="16">
        <v>22</v>
      </c>
      <c r="D661" s="17" t="s">
        <v>1158</v>
      </c>
      <c r="E661" s="17" t="s">
        <v>1159</v>
      </c>
      <c r="F661" s="17">
        <v>78</v>
      </c>
      <c r="G661" s="17">
        <v>15316</v>
      </c>
      <c r="H661" s="17">
        <v>63</v>
      </c>
      <c r="I661" s="17">
        <v>11279</v>
      </c>
      <c r="J661" s="17">
        <v>68.5</v>
      </c>
      <c r="K661" s="17">
        <v>10662</v>
      </c>
      <c r="L661" s="17">
        <v>34.5</v>
      </c>
      <c r="M661" s="17">
        <v>7899</v>
      </c>
      <c r="N661" s="17"/>
      <c r="O661" s="17"/>
      <c r="P661" s="17">
        <v>39</v>
      </c>
      <c r="Q661" s="17">
        <v>11920</v>
      </c>
      <c r="R661" s="17">
        <v>71</v>
      </c>
      <c r="S661" s="17">
        <v>5151</v>
      </c>
      <c r="T661" s="17"/>
      <c r="U661" s="17"/>
      <c r="V661" s="17"/>
      <c r="W661" s="17"/>
      <c r="X661" s="15">
        <v>209.5</v>
      </c>
      <c r="Y661" s="17">
        <v>660</v>
      </c>
      <c r="Z661" s="17">
        <v>354</v>
      </c>
      <c r="AA661" s="17">
        <v>12660</v>
      </c>
      <c r="AB661" s="12">
        <f t="shared" si="10"/>
        <v>659</v>
      </c>
    </row>
    <row r="662" ht="14.25" spans="1:28">
      <c r="A662" s="13">
        <v>564</v>
      </c>
      <c r="B662" s="20">
        <v>12</v>
      </c>
      <c r="C662" s="16">
        <v>11</v>
      </c>
      <c r="D662" s="19" t="s">
        <v>1136</v>
      </c>
      <c r="E662" s="17" t="s">
        <v>1137</v>
      </c>
      <c r="F662" s="17">
        <v>82.5</v>
      </c>
      <c r="G662" s="17">
        <v>13630</v>
      </c>
      <c r="H662" s="17">
        <v>55.5</v>
      </c>
      <c r="I662" s="17">
        <v>12624</v>
      </c>
      <c r="J662" s="17">
        <v>70.75</v>
      </c>
      <c r="K662" s="17">
        <v>10151</v>
      </c>
      <c r="L662" s="17">
        <v>23</v>
      </c>
      <c r="M662" s="17">
        <v>12526</v>
      </c>
      <c r="N662" s="17"/>
      <c r="O662" s="17"/>
      <c r="P662" s="17">
        <v>55</v>
      </c>
      <c r="Q662" s="17">
        <v>10022</v>
      </c>
      <c r="R662" s="17">
        <v>58</v>
      </c>
      <c r="S662" s="17">
        <v>9300</v>
      </c>
      <c r="T662" s="17"/>
      <c r="U662" s="17"/>
      <c r="V662" s="17"/>
      <c r="W662" s="17"/>
      <c r="X662" s="15">
        <v>208.75</v>
      </c>
      <c r="Y662" s="17">
        <v>661</v>
      </c>
      <c r="Z662" s="17">
        <v>344.75</v>
      </c>
      <c r="AA662" s="17">
        <v>13231</v>
      </c>
      <c r="AB662" s="12">
        <f t="shared" si="10"/>
        <v>660</v>
      </c>
    </row>
    <row r="663" ht="14.25" spans="1:28">
      <c r="A663" s="13">
        <v>573</v>
      </c>
      <c r="B663" s="15">
        <v>12</v>
      </c>
      <c r="C663" s="16">
        <v>20</v>
      </c>
      <c r="D663" s="17" t="s">
        <v>1154</v>
      </c>
      <c r="E663" s="17" t="s">
        <v>1155</v>
      </c>
      <c r="F663" s="17">
        <v>75.25</v>
      </c>
      <c r="G663" s="17">
        <v>16090</v>
      </c>
      <c r="H663" s="17">
        <v>41.5</v>
      </c>
      <c r="I663" s="17">
        <v>14695</v>
      </c>
      <c r="J663" s="17">
        <v>93.75</v>
      </c>
      <c r="K663" s="17">
        <v>4401</v>
      </c>
      <c r="L663" s="17">
        <v>21</v>
      </c>
      <c r="M663" s="17">
        <v>13491</v>
      </c>
      <c r="N663" s="17"/>
      <c r="O663" s="17"/>
      <c r="P663" s="17">
        <v>50</v>
      </c>
      <c r="Q663" s="17">
        <v>10845</v>
      </c>
      <c r="R663" s="17">
        <v>57</v>
      </c>
      <c r="S663" s="17">
        <v>9659</v>
      </c>
      <c r="T663" s="17"/>
      <c r="U663" s="17"/>
      <c r="V663" s="17"/>
      <c r="W663" s="17"/>
      <c r="X663" s="15">
        <v>210.5</v>
      </c>
      <c r="Y663" s="17">
        <v>659</v>
      </c>
      <c r="Z663" s="17">
        <v>338.5</v>
      </c>
      <c r="AA663" s="17">
        <v>13549</v>
      </c>
      <c r="AB663" s="12">
        <f t="shared" si="10"/>
        <v>661</v>
      </c>
    </row>
    <row r="664" ht="14.25" spans="1:28">
      <c r="A664" s="13">
        <v>503</v>
      </c>
      <c r="B664" s="15">
        <v>11</v>
      </c>
      <c r="C664" s="16">
        <v>7</v>
      </c>
      <c r="D664" s="17" t="s">
        <v>1016</v>
      </c>
      <c r="E664" s="17" t="s">
        <v>1017</v>
      </c>
      <c r="F664" s="17">
        <v>101</v>
      </c>
      <c r="G664" s="17">
        <v>2896</v>
      </c>
      <c r="H664" s="17">
        <v>21.5</v>
      </c>
      <c r="I664" s="17">
        <v>16816</v>
      </c>
      <c r="J664" s="17">
        <v>38</v>
      </c>
      <c r="K664" s="17">
        <v>15249</v>
      </c>
      <c r="L664" s="17">
        <v>14</v>
      </c>
      <c r="M664" s="17">
        <v>16299</v>
      </c>
      <c r="N664" s="17"/>
      <c r="O664" s="17"/>
      <c r="P664" s="17">
        <v>44</v>
      </c>
      <c r="Q664" s="17">
        <v>11531</v>
      </c>
      <c r="R664" s="17">
        <v>52</v>
      </c>
      <c r="S664" s="17">
        <v>10788</v>
      </c>
      <c r="T664" s="17"/>
      <c r="U664" s="17"/>
      <c r="V664" s="17"/>
      <c r="W664" s="17"/>
      <c r="X664" s="15">
        <v>160.5</v>
      </c>
      <c r="Y664" s="17">
        <v>662</v>
      </c>
      <c r="Z664" s="17">
        <v>270.5</v>
      </c>
      <c r="AA664" s="17">
        <v>16435</v>
      </c>
      <c r="AB664" s="12">
        <f t="shared" si="10"/>
        <v>662</v>
      </c>
    </row>
    <row r="665" ht="14.25" spans="1:28">
      <c r="A665" s="13">
        <v>349</v>
      </c>
      <c r="B665" s="15">
        <v>8</v>
      </c>
      <c r="C665" s="16">
        <v>21</v>
      </c>
      <c r="D665" s="17" t="s">
        <v>709</v>
      </c>
      <c r="E665" s="17" t="s">
        <v>710</v>
      </c>
      <c r="F665" s="17">
        <v>64</v>
      </c>
      <c r="G665" s="17">
        <v>17227</v>
      </c>
      <c r="H665" s="17">
        <v>12</v>
      </c>
      <c r="I665" s="17">
        <v>17289</v>
      </c>
      <c r="J665" s="17">
        <v>36.25</v>
      </c>
      <c r="K665" s="17">
        <v>15398</v>
      </c>
      <c r="L665" s="17">
        <v>17</v>
      </c>
      <c r="M665" s="17">
        <v>15308</v>
      </c>
      <c r="N665" s="17"/>
      <c r="O665" s="17"/>
      <c r="P665" s="17">
        <v>38</v>
      </c>
      <c r="Q665" s="17">
        <v>12013</v>
      </c>
      <c r="R665" s="17">
        <v>38</v>
      </c>
      <c r="S665" s="17">
        <v>12664</v>
      </c>
      <c r="T665" s="17"/>
      <c r="U665" s="17"/>
      <c r="V665" s="17"/>
      <c r="W665" s="17"/>
      <c r="X665" s="15">
        <v>112.25</v>
      </c>
      <c r="Y665" s="17">
        <v>663</v>
      </c>
      <c r="Z665" s="17">
        <v>205.25</v>
      </c>
      <c r="AA665" s="17">
        <v>17345</v>
      </c>
      <c r="AB665" s="12">
        <f t="shared" si="10"/>
        <v>663</v>
      </c>
    </row>
    <row r="666" spans="1:25">
      <c r="A666" s="148"/>
      <c r="B666" s="148"/>
      <c r="C666" s="148"/>
      <c r="D666" s="154"/>
      <c r="E666" s="154"/>
      <c r="N666" s="146"/>
      <c r="O666" s="146"/>
      <c r="Q666" s="12">
        <f>MIN(Q3:Q665)</f>
        <v>10</v>
      </c>
      <c r="S666" s="12">
        <f>MIN(S3:S665)</f>
        <v>10</v>
      </c>
      <c r="U666" s="12">
        <f>MIN(U3:U665)</f>
        <v>46</v>
      </c>
      <c r="W666" s="12">
        <f>MIN(W3:W665)</f>
        <v>2</v>
      </c>
      <c r="X666" s="21"/>
      <c r="Y666" s="21"/>
    </row>
    <row r="667" spans="1:15">
      <c r="A667" s="148"/>
      <c r="B667" s="148"/>
      <c r="C667" s="148"/>
      <c r="D667" s="154"/>
      <c r="E667" s="154"/>
      <c r="N667" s="146"/>
      <c r="O667" s="146"/>
    </row>
    <row r="668" spans="1:15">
      <c r="A668" s="148"/>
      <c r="B668" s="148"/>
      <c r="C668" s="148"/>
      <c r="D668" s="154"/>
      <c r="E668" s="154"/>
      <c r="N668" s="146"/>
      <c r="O668" s="146"/>
    </row>
    <row r="669" spans="1:15">
      <c r="A669" s="148"/>
      <c r="B669" s="148"/>
      <c r="C669" s="148"/>
      <c r="D669" s="154"/>
      <c r="E669" s="154"/>
      <c r="N669" s="146"/>
      <c r="O669" s="146"/>
    </row>
    <row r="670" spans="1:15">
      <c r="A670" s="148"/>
      <c r="B670" s="148"/>
      <c r="C670" s="148"/>
      <c r="D670" s="154"/>
      <c r="E670" s="154"/>
      <c r="N670" s="146"/>
      <c r="O670" s="146"/>
    </row>
    <row r="671" spans="1:15">
      <c r="A671" s="148"/>
      <c r="B671" s="148"/>
      <c r="C671" s="148"/>
      <c r="D671" s="154"/>
      <c r="E671" s="154"/>
      <c r="N671" s="146"/>
      <c r="O671" s="146"/>
    </row>
    <row r="672" spans="1:15">
      <c r="A672" s="148"/>
      <c r="B672" s="148"/>
      <c r="C672" s="148"/>
      <c r="D672" s="154"/>
      <c r="E672" s="154"/>
      <c r="N672" s="146"/>
      <c r="O672" s="146"/>
    </row>
    <row r="673" spans="1:15">
      <c r="A673" s="148"/>
      <c r="B673" s="148"/>
      <c r="C673" s="148"/>
      <c r="D673" s="154"/>
      <c r="E673" s="154"/>
      <c r="N673" s="146"/>
      <c r="O673" s="146"/>
    </row>
    <row r="674" spans="1:15">
      <c r="A674" s="148"/>
      <c r="B674" s="148"/>
      <c r="C674" s="148"/>
      <c r="D674" s="154"/>
      <c r="E674" s="154"/>
      <c r="N674" s="146"/>
      <c r="O674" s="146"/>
    </row>
    <row r="675" spans="1:15">
      <c r="A675" s="148"/>
      <c r="B675" s="148"/>
      <c r="C675" s="148"/>
      <c r="D675" s="154"/>
      <c r="E675" s="154"/>
      <c r="N675" s="146"/>
      <c r="O675" s="146"/>
    </row>
    <row r="676" spans="1:15">
      <c r="A676" s="148"/>
      <c r="B676" s="148"/>
      <c r="C676" s="148"/>
      <c r="D676" s="154"/>
      <c r="E676" s="154"/>
      <c r="N676" s="146"/>
      <c r="O676" s="146"/>
    </row>
    <row r="677" spans="1:15">
      <c r="A677" s="148"/>
      <c r="B677" s="148"/>
      <c r="C677" s="148"/>
      <c r="D677" s="154"/>
      <c r="E677" s="154"/>
      <c r="N677" s="146"/>
      <c r="O677" s="146"/>
    </row>
    <row r="678" spans="1:15">
      <c r="A678" s="148"/>
      <c r="B678" s="148"/>
      <c r="C678" s="148"/>
      <c r="D678" s="154"/>
      <c r="E678" s="154"/>
      <c r="N678" s="146"/>
      <c r="O678" s="146"/>
    </row>
    <row r="679" spans="1:15">
      <c r="A679" s="148"/>
      <c r="B679" s="148"/>
      <c r="C679" s="148"/>
      <c r="D679" s="154"/>
      <c r="E679" s="154"/>
      <c r="N679" s="146"/>
      <c r="O679" s="146"/>
    </row>
    <row r="680" spans="1:15">
      <c r="A680" s="148"/>
      <c r="B680" s="148"/>
      <c r="C680" s="148"/>
      <c r="D680" s="154"/>
      <c r="E680" s="154"/>
      <c r="N680" s="146"/>
      <c r="O680" s="146"/>
    </row>
    <row r="681" spans="1:15">
      <c r="A681" s="148"/>
      <c r="B681" s="148"/>
      <c r="C681" s="148"/>
      <c r="D681" s="154"/>
      <c r="E681" s="154"/>
      <c r="N681" s="146"/>
      <c r="O681" s="146"/>
    </row>
    <row r="682" spans="1:15">
      <c r="A682" s="148"/>
      <c r="B682" s="148"/>
      <c r="C682" s="148"/>
      <c r="D682" s="154"/>
      <c r="E682" s="154"/>
      <c r="N682" s="146"/>
      <c r="O682" s="146"/>
    </row>
    <row r="683" spans="1:15">
      <c r="A683" s="148"/>
      <c r="B683" s="148"/>
      <c r="C683" s="148"/>
      <c r="D683" s="154"/>
      <c r="E683" s="154"/>
      <c r="N683" s="146"/>
      <c r="O683" s="146"/>
    </row>
    <row r="684" spans="1:15">
      <c r="A684" s="148"/>
      <c r="B684" s="148"/>
      <c r="C684" s="148"/>
      <c r="D684" s="154"/>
      <c r="E684" s="154"/>
      <c r="N684" s="146"/>
      <c r="O684" s="146"/>
    </row>
    <row r="685" spans="1:15">
      <c r="A685" s="148"/>
      <c r="B685" s="148"/>
      <c r="C685" s="148"/>
      <c r="D685" s="154"/>
      <c r="E685" s="154"/>
      <c r="N685" s="146"/>
      <c r="O685" s="146"/>
    </row>
    <row r="686" spans="1:15">
      <c r="A686" s="148"/>
      <c r="B686" s="148"/>
      <c r="C686" s="148"/>
      <c r="D686" s="154"/>
      <c r="E686" s="154"/>
      <c r="N686" s="146"/>
      <c r="O686" s="146"/>
    </row>
    <row r="687" spans="1:15">
      <c r="A687" s="148"/>
      <c r="B687" s="148"/>
      <c r="C687" s="148"/>
      <c r="D687" s="154"/>
      <c r="E687" s="154"/>
      <c r="N687" s="146"/>
      <c r="O687" s="146"/>
    </row>
    <row r="688" spans="1:15">
      <c r="A688" s="148"/>
      <c r="B688" s="148"/>
      <c r="C688" s="148"/>
      <c r="D688" s="154"/>
      <c r="E688" s="154"/>
      <c r="N688" s="146"/>
      <c r="O688" s="146"/>
    </row>
    <row r="689" spans="1:15">
      <c r="A689" s="148"/>
      <c r="B689" s="148"/>
      <c r="C689" s="148"/>
      <c r="D689" s="154"/>
      <c r="E689" s="154"/>
      <c r="N689" s="146"/>
      <c r="O689" s="146"/>
    </row>
    <row r="690" spans="1:15">
      <c r="A690" s="148"/>
      <c r="B690" s="148"/>
      <c r="C690" s="148"/>
      <c r="D690" s="154"/>
      <c r="E690" s="154"/>
      <c r="N690" s="146"/>
      <c r="O690" s="146"/>
    </row>
    <row r="691" spans="1:15">
      <c r="A691" s="148"/>
      <c r="B691" s="148"/>
      <c r="C691" s="148"/>
      <c r="D691" s="154"/>
      <c r="E691" s="154"/>
      <c r="N691" s="146"/>
      <c r="O691" s="146"/>
    </row>
    <row r="692" spans="1:15">
      <c r="A692" s="148"/>
      <c r="B692" s="148"/>
      <c r="C692" s="148"/>
      <c r="D692" s="154"/>
      <c r="E692" s="154"/>
      <c r="N692" s="146"/>
      <c r="O692" s="146"/>
    </row>
    <row r="693" spans="1:15">
      <c r="A693" s="148"/>
      <c r="B693" s="148"/>
      <c r="C693" s="148"/>
      <c r="D693" s="154"/>
      <c r="E693" s="154"/>
      <c r="N693" s="146"/>
      <c r="O693" s="146"/>
    </row>
    <row r="694" spans="1:15">
      <c r="A694" s="148"/>
      <c r="B694" s="148"/>
      <c r="C694" s="148"/>
      <c r="D694" s="154"/>
      <c r="E694" s="154"/>
      <c r="N694" s="146"/>
      <c r="O694" s="146"/>
    </row>
    <row r="695" spans="1:15">
      <c r="A695" s="148"/>
      <c r="B695" s="148"/>
      <c r="C695" s="148"/>
      <c r="D695" s="154"/>
      <c r="E695" s="154"/>
      <c r="N695" s="146"/>
      <c r="O695" s="146"/>
    </row>
    <row r="696" spans="1:15">
      <c r="A696" s="148"/>
      <c r="B696" s="148"/>
      <c r="C696" s="148"/>
      <c r="D696" s="154"/>
      <c r="E696" s="154"/>
      <c r="N696" s="146"/>
      <c r="O696" s="146"/>
    </row>
    <row r="697" spans="1:15">
      <c r="A697" s="148"/>
      <c r="B697" s="148"/>
      <c r="C697" s="148"/>
      <c r="D697" s="154"/>
      <c r="E697" s="154"/>
      <c r="N697" s="146"/>
      <c r="O697" s="146"/>
    </row>
    <row r="698" spans="1:15">
      <c r="A698" s="148"/>
      <c r="B698" s="148"/>
      <c r="C698" s="148"/>
      <c r="D698" s="154"/>
      <c r="E698" s="154"/>
      <c r="N698" s="146"/>
      <c r="O698" s="146"/>
    </row>
    <row r="699" spans="1:15">
      <c r="A699" s="148"/>
      <c r="B699" s="148"/>
      <c r="C699" s="148"/>
      <c r="D699" s="154"/>
      <c r="E699" s="154"/>
      <c r="N699" s="146"/>
      <c r="O699" s="146"/>
    </row>
    <row r="700" spans="1:15">
      <c r="A700" s="148"/>
      <c r="B700" s="148"/>
      <c r="C700" s="148"/>
      <c r="D700" s="154"/>
      <c r="E700" s="154"/>
      <c r="N700" s="146"/>
      <c r="O700" s="146"/>
    </row>
    <row r="701" spans="1:15">
      <c r="A701" s="148"/>
      <c r="B701" s="148"/>
      <c r="C701" s="148"/>
      <c r="D701" s="154"/>
      <c r="E701" s="154"/>
      <c r="N701" s="146"/>
      <c r="O701" s="146"/>
    </row>
    <row r="702" spans="1:15">
      <c r="A702" s="148"/>
      <c r="B702" s="148"/>
      <c r="C702" s="148"/>
      <c r="D702" s="154"/>
      <c r="E702" s="154"/>
      <c r="N702" s="146"/>
      <c r="O702" s="146"/>
    </row>
    <row r="703" spans="1:15">
      <c r="A703" s="148"/>
      <c r="B703" s="148"/>
      <c r="C703" s="148"/>
      <c r="D703" s="154"/>
      <c r="E703" s="154"/>
      <c r="N703" s="146"/>
      <c r="O703" s="146"/>
    </row>
    <row r="704" spans="1:15">
      <c r="A704" s="148"/>
      <c r="B704" s="148"/>
      <c r="C704" s="148"/>
      <c r="D704" s="154"/>
      <c r="E704" s="154"/>
      <c r="N704" s="146"/>
      <c r="O704" s="146"/>
    </row>
    <row r="705" spans="1:15">
      <c r="A705" s="148"/>
      <c r="B705" s="148"/>
      <c r="C705" s="148"/>
      <c r="D705" s="154"/>
      <c r="E705" s="154"/>
      <c r="N705" s="146"/>
      <c r="O705" s="146"/>
    </row>
    <row r="706" spans="1:15">
      <c r="A706" s="148"/>
      <c r="B706" s="148"/>
      <c r="C706" s="148"/>
      <c r="D706" s="154"/>
      <c r="E706" s="154"/>
      <c r="N706" s="146"/>
      <c r="O706" s="146"/>
    </row>
    <row r="707" spans="1:15">
      <c r="A707" s="148"/>
      <c r="B707" s="148"/>
      <c r="C707" s="148"/>
      <c r="D707" s="154"/>
      <c r="E707" s="154"/>
      <c r="N707" s="146"/>
      <c r="O707" s="146"/>
    </row>
    <row r="708" spans="1:15">
      <c r="A708" s="148"/>
      <c r="B708" s="148"/>
      <c r="C708" s="148"/>
      <c r="D708" s="154"/>
      <c r="E708" s="154"/>
      <c r="N708" s="146"/>
      <c r="O708" s="146"/>
    </row>
    <row r="709" spans="1:15">
      <c r="A709" s="148"/>
      <c r="B709" s="148"/>
      <c r="C709" s="148"/>
      <c r="D709" s="154"/>
      <c r="E709" s="154"/>
      <c r="N709" s="146"/>
      <c r="O709" s="146"/>
    </row>
    <row r="710" spans="1:15">
      <c r="A710" s="148"/>
      <c r="B710" s="148"/>
      <c r="C710" s="148"/>
      <c r="D710" s="154"/>
      <c r="E710" s="154"/>
      <c r="N710" s="146"/>
      <c r="O710" s="146"/>
    </row>
    <row r="711" spans="1:15">
      <c r="A711" s="148"/>
      <c r="B711" s="148"/>
      <c r="C711" s="148"/>
      <c r="D711" s="154"/>
      <c r="E711" s="154"/>
      <c r="N711" s="146"/>
      <c r="O711" s="146"/>
    </row>
    <row r="712" spans="1:15">
      <c r="A712" s="148"/>
      <c r="B712" s="148"/>
      <c r="C712" s="148"/>
      <c r="D712" s="154"/>
      <c r="E712" s="154"/>
      <c r="N712" s="146"/>
      <c r="O712" s="146"/>
    </row>
    <row r="713" spans="1:15">
      <c r="A713" s="148"/>
      <c r="B713" s="148"/>
      <c r="C713" s="148"/>
      <c r="D713" s="154"/>
      <c r="E713" s="154"/>
      <c r="N713" s="146"/>
      <c r="O713" s="146"/>
    </row>
    <row r="714" spans="1:15">
      <c r="A714" s="148"/>
      <c r="B714" s="148"/>
      <c r="C714" s="148"/>
      <c r="D714" s="154"/>
      <c r="E714" s="154"/>
      <c r="N714" s="146"/>
      <c r="O714" s="146"/>
    </row>
    <row r="715" spans="1:15">
      <c r="A715" s="148"/>
      <c r="B715" s="148"/>
      <c r="C715" s="148"/>
      <c r="D715" s="154"/>
      <c r="E715" s="154"/>
      <c r="N715" s="146"/>
      <c r="O715" s="146"/>
    </row>
    <row r="716" spans="1:15">
      <c r="A716" s="148"/>
      <c r="B716" s="148"/>
      <c r="C716" s="148"/>
      <c r="D716" s="154"/>
      <c r="E716" s="154"/>
      <c r="N716" s="146"/>
      <c r="O716" s="146"/>
    </row>
    <row r="717" spans="1:15">
      <c r="A717" s="148"/>
      <c r="B717" s="148"/>
      <c r="C717" s="148"/>
      <c r="D717" s="154"/>
      <c r="E717" s="154"/>
      <c r="N717" s="146"/>
      <c r="O717" s="146"/>
    </row>
    <row r="718" spans="1:15">
      <c r="A718" s="148"/>
      <c r="B718" s="148"/>
      <c r="C718" s="148"/>
      <c r="D718" s="154"/>
      <c r="E718" s="154"/>
      <c r="N718" s="146"/>
      <c r="O718" s="146"/>
    </row>
    <row r="719" spans="1:15">
      <c r="A719" s="148"/>
      <c r="B719" s="148"/>
      <c r="C719" s="148"/>
      <c r="D719" s="154"/>
      <c r="E719" s="154"/>
      <c r="N719" s="146"/>
      <c r="O719" s="146"/>
    </row>
    <row r="720" spans="1:15">
      <c r="A720" s="148"/>
      <c r="B720" s="148"/>
      <c r="C720" s="148"/>
      <c r="D720" s="154"/>
      <c r="E720" s="154"/>
      <c r="N720" s="146"/>
      <c r="O720" s="146"/>
    </row>
    <row r="721" spans="1:15">
      <c r="A721" s="148"/>
      <c r="B721" s="148"/>
      <c r="C721" s="148"/>
      <c r="D721" s="154"/>
      <c r="E721" s="154"/>
      <c r="N721" s="146"/>
      <c r="O721" s="146"/>
    </row>
    <row r="722" spans="1:15">
      <c r="A722" s="148"/>
      <c r="B722" s="148"/>
      <c r="C722" s="148"/>
      <c r="D722" s="154"/>
      <c r="E722" s="154"/>
      <c r="N722" s="146"/>
      <c r="O722" s="146"/>
    </row>
    <row r="723" spans="1:15">
      <c r="A723" s="148"/>
      <c r="B723" s="148"/>
      <c r="C723" s="148"/>
      <c r="D723" s="154"/>
      <c r="E723" s="154"/>
      <c r="N723" s="146"/>
      <c r="O723" s="146"/>
    </row>
    <row r="724" spans="1:15">
      <c r="A724" s="148"/>
      <c r="B724" s="148"/>
      <c r="C724" s="148"/>
      <c r="D724" s="154"/>
      <c r="E724" s="154"/>
      <c r="N724" s="146"/>
      <c r="O724" s="146"/>
    </row>
    <row r="725" spans="1:15">
      <c r="A725" s="148"/>
      <c r="B725" s="148"/>
      <c r="C725" s="148"/>
      <c r="D725" s="154"/>
      <c r="E725" s="154"/>
      <c r="N725" s="146"/>
      <c r="O725" s="146"/>
    </row>
    <row r="726" spans="1:15">
      <c r="A726" s="148"/>
      <c r="B726" s="148"/>
      <c r="C726" s="148"/>
      <c r="D726" s="154"/>
      <c r="E726" s="154"/>
      <c r="N726" s="146"/>
      <c r="O726" s="146"/>
    </row>
    <row r="727" spans="1:15">
      <c r="A727" s="148"/>
      <c r="B727" s="148"/>
      <c r="C727" s="148"/>
      <c r="D727" s="154"/>
      <c r="E727" s="154"/>
      <c r="N727" s="146"/>
      <c r="O727" s="146"/>
    </row>
    <row r="728" spans="1:15">
      <c r="A728" s="148"/>
      <c r="B728" s="148"/>
      <c r="C728" s="148"/>
      <c r="D728" s="154"/>
      <c r="E728" s="154"/>
      <c r="N728" s="146"/>
      <c r="O728" s="146"/>
    </row>
    <row r="729" spans="1:15">
      <c r="A729" s="148"/>
      <c r="B729" s="148"/>
      <c r="C729" s="148"/>
      <c r="D729" s="154"/>
      <c r="E729" s="154"/>
      <c r="N729" s="146"/>
      <c r="O729" s="146"/>
    </row>
    <row r="730" spans="1:15">
      <c r="A730" s="148"/>
      <c r="B730" s="148"/>
      <c r="C730" s="148"/>
      <c r="D730" s="154"/>
      <c r="E730" s="154"/>
      <c r="N730" s="146"/>
      <c r="O730" s="146"/>
    </row>
    <row r="731" spans="1:15">
      <c r="A731" s="148"/>
      <c r="B731" s="148"/>
      <c r="C731" s="148"/>
      <c r="D731" s="154"/>
      <c r="E731" s="154"/>
      <c r="N731" s="146"/>
      <c r="O731" s="146"/>
    </row>
    <row r="732" spans="1:15">
      <c r="A732" s="148"/>
      <c r="B732" s="148"/>
      <c r="C732" s="148"/>
      <c r="D732" s="154"/>
      <c r="E732" s="154"/>
      <c r="N732" s="146"/>
      <c r="O732" s="146"/>
    </row>
    <row r="733" spans="1:15">
      <c r="A733" s="148"/>
      <c r="B733" s="148"/>
      <c r="C733" s="148"/>
      <c r="D733" s="154"/>
      <c r="E733" s="154"/>
      <c r="N733" s="146"/>
      <c r="O733" s="146"/>
    </row>
    <row r="734" spans="1:15">
      <c r="A734" s="148"/>
      <c r="B734" s="148"/>
      <c r="C734" s="148"/>
      <c r="D734" s="154"/>
      <c r="E734" s="154"/>
      <c r="N734" s="146"/>
      <c r="O734" s="146"/>
    </row>
    <row r="735" spans="1:15">
      <c r="A735" s="148"/>
      <c r="B735" s="148"/>
      <c r="C735" s="148"/>
      <c r="D735" s="154"/>
      <c r="E735" s="154"/>
      <c r="N735" s="146"/>
      <c r="O735" s="146"/>
    </row>
    <row r="736" spans="1:15">
      <c r="A736" s="148"/>
      <c r="B736" s="148"/>
      <c r="C736" s="148"/>
      <c r="D736" s="154"/>
      <c r="E736" s="154"/>
      <c r="N736" s="146"/>
      <c r="O736" s="146"/>
    </row>
    <row r="737" spans="1:15">
      <c r="A737" s="148"/>
      <c r="B737" s="148"/>
      <c r="C737" s="148"/>
      <c r="D737" s="154"/>
      <c r="E737" s="154"/>
      <c r="N737" s="146"/>
      <c r="O737" s="146"/>
    </row>
    <row r="738" spans="1:15">
      <c r="A738" s="148"/>
      <c r="B738" s="148"/>
      <c r="C738" s="148"/>
      <c r="D738" s="154"/>
      <c r="E738" s="154"/>
      <c r="N738" s="146"/>
      <c r="O738" s="146"/>
    </row>
    <row r="739" spans="1:15">
      <c r="A739" s="148"/>
      <c r="B739" s="148"/>
      <c r="C739" s="148"/>
      <c r="D739" s="154"/>
      <c r="E739" s="154"/>
      <c r="N739" s="146"/>
      <c r="O739" s="146"/>
    </row>
    <row r="740" spans="1:15">
      <c r="A740" s="148"/>
      <c r="B740" s="148"/>
      <c r="C740" s="148"/>
      <c r="D740" s="154"/>
      <c r="E740" s="154"/>
      <c r="N740" s="146"/>
      <c r="O740" s="146"/>
    </row>
    <row r="741" spans="1:15">
      <c r="A741" s="148"/>
      <c r="B741" s="148"/>
      <c r="C741" s="148"/>
      <c r="D741" s="154"/>
      <c r="E741" s="154"/>
      <c r="N741" s="146"/>
      <c r="O741" s="146"/>
    </row>
    <row r="742" spans="1:15">
      <c r="A742" s="148"/>
      <c r="B742" s="148"/>
      <c r="C742" s="148"/>
      <c r="D742" s="154"/>
      <c r="E742" s="154"/>
      <c r="N742" s="146"/>
      <c r="O742" s="146"/>
    </row>
    <row r="743" spans="1:15">
      <c r="A743" s="148"/>
      <c r="B743" s="148"/>
      <c r="C743" s="148"/>
      <c r="D743" s="154"/>
      <c r="E743" s="154"/>
      <c r="N743" s="146"/>
      <c r="O743" s="146"/>
    </row>
    <row r="744" spans="1:15">
      <c r="A744" s="148"/>
      <c r="B744" s="148"/>
      <c r="C744" s="148"/>
      <c r="D744" s="154"/>
      <c r="E744" s="154"/>
      <c r="N744" s="146"/>
      <c r="O744" s="146"/>
    </row>
    <row r="745" spans="1:15">
      <c r="A745" s="148"/>
      <c r="B745" s="148"/>
      <c r="C745" s="148"/>
      <c r="D745" s="154"/>
      <c r="E745" s="154"/>
      <c r="N745" s="146"/>
      <c r="O745" s="146"/>
    </row>
    <row r="746" spans="1:15">
      <c r="A746" s="148"/>
      <c r="B746" s="148"/>
      <c r="C746" s="148"/>
      <c r="D746" s="154"/>
      <c r="E746" s="154"/>
      <c r="N746" s="146"/>
      <c r="O746" s="146"/>
    </row>
    <row r="747" spans="1:15">
      <c r="A747" s="148"/>
      <c r="B747" s="148"/>
      <c r="C747" s="148"/>
      <c r="D747" s="154"/>
      <c r="E747" s="154"/>
      <c r="N747" s="146"/>
      <c r="O747" s="146"/>
    </row>
    <row r="748" spans="1:15">
      <c r="A748" s="148"/>
      <c r="B748" s="148"/>
      <c r="C748" s="148"/>
      <c r="D748" s="154"/>
      <c r="E748" s="154"/>
      <c r="N748" s="146"/>
      <c r="O748" s="146"/>
    </row>
    <row r="749" spans="1:15">
      <c r="A749" s="148"/>
      <c r="B749" s="148"/>
      <c r="C749" s="148"/>
      <c r="D749" s="154"/>
      <c r="E749" s="154"/>
      <c r="N749" s="146"/>
      <c r="O749" s="146"/>
    </row>
    <row r="750" spans="1:15">
      <c r="A750" s="148"/>
      <c r="B750" s="148"/>
      <c r="C750" s="148"/>
      <c r="D750" s="154"/>
      <c r="E750" s="154"/>
      <c r="N750" s="146"/>
      <c r="O750" s="146"/>
    </row>
    <row r="751" spans="1:15">
      <c r="A751" s="148"/>
      <c r="B751" s="148"/>
      <c r="C751" s="148"/>
      <c r="D751" s="154"/>
      <c r="E751" s="154"/>
      <c r="N751" s="146"/>
      <c r="O751" s="146"/>
    </row>
    <row r="752" spans="1:15">
      <c r="A752" s="148"/>
      <c r="B752" s="148"/>
      <c r="C752" s="148"/>
      <c r="D752" s="154"/>
      <c r="E752" s="154"/>
      <c r="N752" s="146"/>
      <c r="O752" s="146"/>
    </row>
    <row r="753" spans="1:15">
      <c r="A753" s="148"/>
      <c r="B753" s="148"/>
      <c r="C753" s="148"/>
      <c r="D753" s="154"/>
      <c r="E753" s="154"/>
      <c r="N753" s="146"/>
      <c r="O753" s="146"/>
    </row>
    <row r="754" spans="1:15">
      <c r="A754" s="148"/>
      <c r="B754" s="148"/>
      <c r="C754" s="148"/>
      <c r="D754" s="154"/>
      <c r="E754" s="154"/>
      <c r="N754" s="146"/>
      <c r="O754" s="146"/>
    </row>
    <row r="755" spans="1:15">
      <c r="A755" s="148"/>
      <c r="B755" s="148"/>
      <c r="C755" s="148"/>
      <c r="D755" s="154"/>
      <c r="E755" s="154"/>
      <c r="N755" s="146"/>
      <c r="O755" s="146"/>
    </row>
    <row r="756" spans="1:15">
      <c r="A756" s="148"/>
      <c r="B756" s="148"/>
      <c r="C756" s="148"/>
      <c r="D756" s="154"/>
      <c r="E756" s="154"/>
      <c r="N756" s="146"/>
      <c r="O756" s="146"/>
    </row>
    <row r="757" spans="1:15">
      <c r="A757" s="148"/>
      <c r="B757" s="148"/>
      <c r="C757" s="148"/>
      <c r="D757" s="154"/>
      <c r="E757" s="154"/>
      <c r="N757" s="146"/>
      <c r="O757" s="146"/>
    </row>
    <row r="758" spans="1:15">
      <c r="A758" s="148"/>
      <c r="B758" s="148"/>
      <c r="C758" s="148"/>
      <c r="D758" s="154"/>
      <c r="E758" s="154"/>
      <c r="N758" s="146"/>
      <c r="O758" s="146"/>
    </row>
    <row r="759" spans="1:15">
      <c r="A759" s="148"/>
      <c r="B759" s="148"/>
      <c r="C759" s="148"/>
      <c r="D759" s="154"/>
      <c r="E759" s="154"/>
      <c r="N759" s="146"/>
      <c r="O759" s="146"/>
    </row>
    <row r="760" spans="1:15">
      <c r="A760" s="148"/>
      <c r="B760" s="148"/>
      <c r="C760" s="148"/>
      <c r="D760" s="154"/>
      <c r="E760" s="154"/>
      <c r="N760" s="146"/>
      <c r="O760" s="146"/>
    </row>
    <row r="761" spans="1:15">
      <c r="A761" s="148"/>
      <c r="B761" s="148"/>
      <c r="C761" s="148"/>
      <c r="D761" s="154"/>
      <c r="E761" s="154"/>
      <c r="N761" s="146"/>
      <c r="O761" s="146"/>
    </row>
    <row r="762" spans="1:15">
      <c r="A762" s="148"/>
      <c r="B762" s="148"/>
      <c r="C762" s="148"/>
      <c r="D762" s="154"/>
      <c r="E762" s="154"/>
      <c r="N762" s="146"/>
      <c r="O762" s="146"/>
    </row>
    <row r="763" spans="1:15">
      <c r="A763" s="148"/>
      <c r="B763" s="148"/>
      <c r="C763" s="148"/>
      <c r="D763" s="154"/>
      <c r="E763" s="154"/>
      <c r="N763" s="146"/>
      <c r="O763" s="146"/>
    </row>
    <row r="764" spans="1:15">
      <c r="A764" s="148"/>
      <c r="B764" s="148"/>
      <c r="C764" s="148"/>
      <c r="D764" s="154"/>
      <c r="E764" s="154"/>
      <c r="N764" s="146"/>
      <c r="O764" s="146"/>
    </row>
    <row r="765" spans="1:15">
      <c r="A765" s="148"/>
      <c r="B765" s="148"/>
      <c r="C765" s="148"/>
      <c r="D765" s="154"/>
      <c r="E765" s="154"/>
      <c r="N765" s="146"/>
      <c r="O765" s="146"/>
    </row>
    <row r="766" spans="1:15">
      <c r="A766" s="148"/>
      <c r="B766" s="148"/>
      <c r="C766" s="148"/>
      <c r="D766" s="154"/>
      <c r="E766" s="154"/>
      <c r="N766" s="146"/>
      <c r="O766" s="146"/>
    </row>
    <row r="767" spans="1:15">
      <c r="A767" s="148"/>
      <c r="B767" s="148"/>
      <c r="C767" s="148"/>
      <c r="D767" s="154"/>
      <c r="E767" s="154"/>
      <c r="N767" s="146"/>
      <c r="O767" s="146"/>
    </row>
    <row r="768" spans="1:15">
      <c r="A768" s="148"/>
      <c r="B768" s="148"/>
      <c r="C768" s="148"/>
      <c r="D768" s="154"/>
      <c r="E768" s="154"/>
      <c r="N768" s="146"/>
      <c r="O768" s="146"/>
    </row>
    <row r="769" spans="1:15">
      <c r="A769" s="148"/>
      <c r="B769" s="148"/>
      <c r="C769" s="148"/>
      <c r="D769" s="154"/>
      <c r="E769" s="154"/>
      <c r="N769" s="146"/>
      <c r="O769" s="146"/>
    </row>
    <row r="770" spans="1:15">
      <c r="A770" s="148"/>
      <c r="B770" s="148"/>
      <c r="C770" s="148"/>
      <c r="D770" s="154"/>
      <c r="E770" s="154"/>
      <c r="N770" s="146"/>
      <c r="O770" s="146"/>
    </row>
    <row r="771" spans="1:15">
      <c r="A771" s="148"/>
      <c r="B771" s="148"/>
      <c r="C771" s="148"/>
      <c r="D771" s="154"/>
      <c r="E771" s="154"/>
      <c r="N771" s="146"/>
      <c r="O771" s="146"/>
    </row>
    <row r="772" spans="1:15">
      <c r="A772" s="148"/>
      <c r="B772" s="148"/>
      <c r="C772" s="148"/>
      <c r="D772" s="154"/>
      <c r="E772" s="154"/>
      <c r="N772" s="146"/>
      <c r="O772" s="146"/>
    </row>
    <row r="773" spans="1:15">
      <c r="A773" s="148"/>
      <c r="B773" s="148"/>
      <c r="C773" s="148"/>
      <c r="D773" s="154"/>
      <c r="E773" s="154"/>
      <c r="N773" s="146"/>
      <c r="O773" s="146"/>
    </row>
    <row r="774" spans="1:15">
      <c r="A774" s="148"/>
      <c r="B774" s="148"/>
      <c r="C774" s="148"/>
      <c r="D774" s="154"/>
      <c r="E774" s="154"/>
      <c r="N774" s="146"/>
      <c r="O774" s="146"/>
    </row>
    <row r="775" spans="1:15">
      <c r="A775" s="148"/>
      <c r="B775" s="148"/>
      <c r="C775" s="148"/>
      <c r="D775" s="154"/>
      <c r="E775" s="154"/>
      <c r="N775" s="146"/>
      <c r="O775" s="146"/>
    </row>
    <row r="776" spans="1:15">
      <c r="A776" s="148"/>
      <c r="B776" s="148"/>
      <c r="C776" s="148"/>
      <c r="D776" s="154"/>
      <c r="E776" s="154"/>
      <c r="N776" s="146"/>
      <c r="O776" s="146"/>
    </row>
    <row r="777" spans="1:15">
      <c r="A777" s="148"/>
      <c r="B777" s="148"/>
      <c r="C777" s="148"/>
      <c r="D777" s="154"/>
      <c r="E777" s="154"/>
      <c r="N777" s="146"/>
      <c r="O777" s="146"/>
    </row>
    <row r="778" spans="1:15">
      <c r="A778" s="148"/>
      <c r="B778" s="148"/>
      <c r="C778" s="148"/>
      <c r="D778" s="154"/>
      <c r="E778" s="154"/>
      <c r="N778" s="146"/>
      <c r="O778" s="146"/>
    </row>
    <row r="779" spans="1:15">
      <c r="A779" s="148"/>
      <c r="B779" s="148"/>
      <c r="C779" s="148"/>
      <c r="D779" s="154"/>
      <c r="E779" s="154"/>
      <c r="N779" s="146"/>
      <c r="O779" s="146"/>
    </row>
    <row r="780" spans="1:15">
      <c r="A780" s="148"/>
      <c r="B780" s="148"/>
      <c r="C780" s="148"/>
      <c r="D780" s="154"/>
      <c r="E780" s="154"/>
      <c r="N780" s="146"/>
      <c r="O780" s="146"/>
    </row>
    <row r="781" spans="1:15">
      <c r="A781" s="148"/>
      <c r="B781" s="148"/>
      <c r="C781" s="148"/>
      <c r="D781" s="154"/>
      <c r="E781" s="154"/>
      <c r="N781" s="146"/>
      <c r="O781" s="146"/>
    </row>
    <row r="782" spans="1:15">
      <c r="A782" s="148"/>
      <c r="B782" s="148"/>
      <c r="C782" s="148"/>
      <c r="D782" s="154"/>
      <c r="E782" s="154"/>
      <c r="N782" s="146"/>
      <c r="O782" s="146"/>
    </row>
    <row r="783" spans="1:15">
      <c r="A783" s="148"/>
      <c r="B783" s="148"/>
      <c r="C783" s="148"/>
      <c r="D783" s="154"/>
      <c r="E783" s="154"/>
      <c r="N783" s="146"/>
      <c r="O783" s="146"/>
    </row>
    <row r="784" spans="1:15">
      <c r="A784" s="148"/>
      <c r="B784" s="148"/>
      <c r="C784" s="148"/>
      <c r="D784" s="154"/>
      <c r="E784" s="154"/>
      <c r="N784" s="146"/>
      <c r="O784" s="146"/>
    </row>
    <row r="785" spans="1:15">
      <c r="A785" s="148"/>
      <c r="B785" s="148"/>
      <c r="C785" s="148"/>
      <c r="D785" s="154"/>
      <c r="E785" s="154"/>
      <c r="N785" s="146"/>
      <c r="O785" s="146"/>
    </row>
    <row r="786" spans="1:15">
      <c r="A786" s="148"/>
      <c r="B786" s="148"/>
      <c r="C786" s="148"/>
      <c r="D786" s="154"/>
      <c r="E786" s="154"/>
      <c r="N786" s="146"/>
      <c r="O786" s="146"/>
    </row>
    <row r="787" spans="1:15">
      <c r="A787" s="148"/>
      <c r="B787" s="148"/>
      <c r="C787" s="148"/>
      <c r="D787" s="154"/>
      <c r="E787" s="154"/>
      <c r="N787" s="146"/>
      <c r="O787" s="146"/>
    </row>
    <row r="788" spans="1:15">
      <c r="A788" s="148"/>
      <c r="B788" s="148"/>
      <c r="C788" s="148"/>
      <c r="D788" s="154"/>
      <c r="E788" s="154"/>
      <c r="N788" s="146"/>
      <c r="O788" s="146"/>
    </row>
    <row r="789" spans="1:15">
      <c r="A789" s="148"/>
      <c r="B789" s="148"/>
      <c r="C789" s="148"/>
      <c r="D789" s="154"/>
      <c r="E789" s="154"/>
      <c r="N789" s="146"/>
      <c r="O789" s="146"/>
    </row>
    <row r="790" spans="1:15">
      <c r="A790" s="148"/>
      <c r="B790" s="148"/>
      <c r="C790" s="148"/>
      <c r="D790" s="154"/>
      <c r="E790" s="154"/>
      <c r="N790" s="146"/>
      <c r="O790" s="146"/>
    </row>
    <row r="791" spans="1:15">
      <c r="A791" s="148"/>
      <c r="B791" s="148"/>
      <c r="C791" s="148"/>
      <c r="D791" s="154"/>
      <c r="E791" s="154"/>
      <c r="N791" s="146"/>
      <c r="O791" s="146"/>
    </row>
    <row r="792" spans="1:15">
      <c r="A792" s="148"/>
      <c r="B792" s="148"/>
      <c r="C792" s="148"/>
      <c r="D792" s="154"/>
      <c r="E792" s="154"/>
      <c r="N792" s="146"/>
      <c r="O792" s="146"/>
    </row>
    <row r="793" spans="1:15">
      <c r="A793" s="148"/>
      <c r="B793" s="148"/>
      <c r="C793" s="148"/>
      <c r="D793" s="154"/>
      <c r="E793" s="154"/>
      <c r="N793" s="146"/>
      <c r="O793" s="146"/>
    </row>
    <row r="794" spans="1:15">
      <c r="A794" s="148"/>
      <c r="B794" s="148"/>
      <c r="C794" s="148"/>
      <c r="D794" s="154"/>
      <c r="E794" s="154"/>
      <c r="N794" s="146"/>
      <c r="O794" s="146"/>
    </row>
    <row r="795" spans="1:15">
      <c r="A795" s="148"/>
      <c r="B795" s="148"/>
      <c r="C795" s="148"/>
      <c r="D795" s="154"/>
      <c r="E795" s="154"/>
      <c r="N795" s="146"/>
      <c r="O795" s="146"/>
    </row>
    <row r="796" spans="1:15">
      <c r="A796" s="148"/>
      <c r="B796" s="148"/>
      <c r="C796" s="148"/>
      <c r="D796" s="154"/>
      <c r="E796" s="154"/>
      <c r="N796" s="146"/>
      <c r="O796" s="146"/>
    </row>
    <row r="797" spans="1:15">
      <c r="A797" s="148"/>
      <c r="B797" s="148"/>
      <c r="C797" s="148"/>
      <c r="D797" s="154"/>
      <c r="E797" s="154"/>
      <c r="N797" s="146"/>
      <c r="O797" s="146"/>
    </row>
    <row r="798" spans="1:15">
      <c r="A798" s="148"/>
      <c r="B798" s="148"/>
      <c r="C798" s="148"/>
      <c r="D798" s="154"/>
      <c r="E798" s="154"/>
      <c r="N798" s="146"/>
      <c r="O798" s="146"/>
    </row>
    <row r="799" spans="1:15">
      <c r="A799" s="148"/>
      <c r="B799" s="148"/>
      <c r="C799" s="148"/>
      <c r="D799" s="154"/>
      <c r="E799" s="154"/>
      <c r="N799" s="146"/>
      <c r="O799" s="146"/>
    </row>
    <row r="800" spans="1:15">
      <c r="A800" s="148"/>
      <c r="B800" s="148"/>
      <c r="C800" s="148"/>
      <c r="D800" s="154"/>
      <c r="E800" s="154"/>
      <c r="N800" s="146"/>
      <c r="O800" s="146"/>
    </row>
    <row r="801" spans="1:15">
      <c r="A801" s="148"/>
      <c r="B801" s="148"/>
      <c r="C801" s="148"/>
      <c r="D801" s="154"/>
      <c r="E801" s="154"/>
      <c r="N801" s="146"/>
      <c r="O801" s="146"/>
    </row>
    <row r="802" spans="1:15">
      <c r="A802" s="148"/>
      <c r="B802" s="148"/>
      <c r="C802" s="148"/>
      <c r="D802" s="154"/>
      <c r="E802" s="154"/>
      <c r="N802" s="146"/>
      <c r="O802" s="146"/>
    </row>
    <row r="803" spans="1:15">
      <c r="A803" s="148"/>
      <c r="B803" s="148"/>
      <c r="C803" s="148"/>
      <c r="D803" s="154"/>
      <c r="E803" s="154"/>
      <c r="N803" s="146"/>
      <c r="O803" s="146"/>
    </row>
    <row r="804" spans="1:15">
      <c r="A804" s="148"/>
      <c r="B804" s="148"/>
      <c r="C804" s="148"/>
      <c r="D804" s="154"/>
      <c r="E804" s="154"/>
      <c r="N804" s="146"/>
      <c r="O804" s="146"/>
    </row>
    <row r="805" spans="1:15">
      <c r="A805" s="148"/>
      <c r="B805" s="148"/>
      <c r="C805" s="148"/>
      <c r="D805" s="154"/>
      <c r="E805" s="154"/>
      <c r="N805" s="146"/>
      <c r="O805" s="146"/>
    </row>
    <row r="806" spans="1:15">
      <c r="A806" s="148"/>
      <c r="B806" s="148"/>
      <c r="C806" s="148"/>
      <c r="D806" s="154"/>
      <c r="E806" s="154"/>
      <c r="N806" s="146"/>
      <c r="O806" s="146"/>
    </row>
    <row r="807" spans="1:15">
      <c r="A807" s="148"/>
      <c r="B807" s="148"/>
      <c r="C807" s="148"/>
      <c r="D807" s="154"/>
      <c r="E807" s="154"/>
      <c r="N807" s="146"/>
      <c r="O807" s="146"/>
    </row>
    <row r="808" spans="1:15">
      <c r="A808" s="148"/>
      <c r="B808" s="148"/>
      <c r="C808" s="148"/>
      <c r="D808" s="154"/>
      <c r="E808" s="154"/>
      <c r="N808" s="146"/>
      <c r="O808" s="146"/>
    </row>
    <row r="809" spans="1:15">
      <c r="A809" s="148"/>
      <c r="B809" s="148"/>
      <c r="C809" s="148"/>
      <c r="D809" s="154"/>
      <c r="E809" s="154"/>
      <c r="N809" s="146"/>
      <c r="O809" s="146"/>
    </row>
    <row r="810" spans="1:15">
      <c r="A810" s="148"/>
      <c r="B810" s="148"/>
      <c r="C810" s="148"/>
      <c r="D810" s="154"/>
      <c r="E810" s="154"/>
      <c r="N810" s="146"/>
      <c r="O810" s="146"/>
    </row>
    <row r="811" spans="1:15">
      <c r="A811" s="148"/>
      <c r="B811" s="148"/>
      <c r="C811" s="148"/>
      <c r="D811" s="154"/>
      <c r="E811" s="154"/>
      <c r="N811" s="146"/>
      <c r="O811" s="146"/>
    </row>
    <row r="812" spans="1:15">
      <c r="A812" s="148"/>
      <c r="B812" s="148"/>
      <c r="C812" s="148"/>
      <c r="D812" s="154"/>
      <c r="E812" s="154"/>
      <c r="N812" s="146"/>
      <c r="O812" s="146"/>
    </row>
    <row r="813" spans="1:15">
      <c r="A813" s="148"/>
      <c r="B813" s="148"/>
      <c r="C813" s="148"/>
      <c r="D813" s="154"/>
      <c r="E813" s="154"/>
      <c r="N813" s="146"/>
      <c r="O813" s="146"/>
    </row>
    <row r="814" spans="1:15">
      <c r="A814" s="148"/>
      <c r="B814" s="148"/>
      <c r="C814" s="148"/>
      <c r="D814" s="154"/>
      <c r="E814" s="154"/>
      <c r="N814" s="146"/>
      <c r="O814" s="146"/>
    </row>
    <row r="815" spans="1:15">
      <c r="A815" s="148"/>
      <c r="B815" s="148"/>
      <c r="C815" s="148"/>
      <c r="D815" s="154"/>
      <c r="E815" s="154"/>
      <c r="N815" s="146"/>
      <c r="O815" s="146"/>
    </row>
    <row r="816" spans="1:15">
      <c r="A816" s="148"/>
      <c r="B816" s="148"/>
      <c r="C816" s="148"/>
      <c r="D816" s="154"/>
      <c r="E816" s="154"/>
      <c r="N816" s="146"/>
      <c r="O816" s="146"/>
    </row>
    <row r="817" spans="1:15">
      <c r="A817" s="148"/>
      <c r="B817" s="148"/>
      <c r="C817" s="148"/>
      <c r="D817" s="154"/>
      <c r="E817" s="154"/>
      <c r="N817" s="146"/>
      <c r="O817" s="146"/>
    </row>
    <row r="818" spans="1:15">
      <c r="A818" s="148"/>
      <c r="B818" s="148"/>
      <c r="C818" s="148"/>
      <c r="D818" s="154"/>
      <c r="E818" s="154"/>
      <c r="N818" s="146"/>
      <c r="O818" s="146"/>
    </row>
    <row r="819" spans="1:15">
      <c r="A819" s="148"/>
      <c r="B819" s="148"/>
      <c r="C819" s="148"/>
      <c r="D819" s="154"/>
      <c r="E819" s="154"/>
      <c r="N819" s="146"/>
      <c r="O819" s="146"/>
    </row>
    <row r="820" spans="1:15">
      <c r="A820" s="148"/>
      <c r="B820" s="148"/>
      <c r="C820" s="148"/>
      <c r="D820" s="154"/>
      <c r="E820" s="154"/>
      <c r="N820" s="146"/>
      <c r="O820" s="146"/>
    </row>
    <row r="821" spans="1:15">
      <c r="A821" s="148"/>
      <c r="B821" s="148"/>
      <c r="C821" s="148"/>
      <c r="D821" s="154"/>
      <c r="E821" s="154"/>
      <c r="N821" s="146"/>
      <c r="O821" s="146"/>
    </row>
    <row r="822" spans="1:15">
      <c r="A822" s="148"/>
      <c r="B822" s="148"/>
      <c r="C822" s="148"/>
      <c r="D822" s="154"/>
      <c r="E822" s="154"/>
      <c r="N822" s="146"/>
      <c r="O822" s="146"/>
    </row>
    <row r="823" spans="1:15">
      <c r="A823" s="148"/>
      <c r="B823" s="148"/>
      <c r="C823" s="148"/>
      <c r="D823" s="154"/>
      <c r="E823" s="154"/>
      <c r="N823" s="146"/>
      <c r="O823" s="146"/>
    </row>
    <row r="824" spans="1:15">
      <c r="A824" s="148"/>
      <c r="B824" s="148"/>
      <c r="C824" s="148"/>
      <c r="D824" s="154"/>
      <c r="E824" s="154"/>
      <c r="N824" s="146"/>
      <c r="O824" s="146"/>
    </row>
    <row r="825" spans="1:15">
      <c r="A825" s="148"/>
      <c r="B825" s="148"/>
      <c r="C825" s="148"/>
      <c r="D825" s="154"/>
      <c r="E825" s="154"/>
      <c r="N825" s="146"/>
      <c r="O825" s="146"/>
    </row>
    <row r="826" spans="1:15">
      <c r="A826" s="148"/>
      <c r="B826" s="148"/>
      <c r="C826" s="148"/>
      <c r="D826" s="154"/>
      <c r="E826" s="154"/>
      <c r="N826" s="146"/>
      <c r="O826" s="146"/>
    </row>
    <row r="827" spans="1:15">
      <c r="A827" s="148"/>
      <c r="B827" s="148"/>
      <c r="C827" s="148"/>
      <c r="D827" s="154"/>
      <c r="E827" s="154"/>
      <c r="N827" s="146"/>
      <c r="O827" s="146"/>
    </row>
    <row r="828" spans="1:15">
      <c r="A828" s="148"/>
      <c r="B828" s="148"/>
      <c r="C828" s="148"/>
      <c r="D828" s="154"/>
      <c r="E828" s="154"/>
      <c r="N828" s="146"/>
      <c r="O828" s="146"/>
    </row>
    <row r="829" spans="1:15">
      <c r="A829" s="148"/>
      <c r="B829" s="148"/>
      <c r="C829" s="148"/>
      <c r="D829" s="154"/>
      <c r="E829" s="154"/>
      <c r="N829" s="146"/>
      <c r="O829" s="146"/>
    </row>
    <row r="830" spans="1:15">
      <c r="A830" s="148"/>
      <c r="B830" s="148"/>
      <c r="C830" s="148"/>
      <c r="D830" s="154"/>
      <c r="E830" s="154"/>
      <c r="N830" s="146"/>
      <c r="O830" s="146"/>
    </row>
    <row r="831" spans="1:15">
      <c r="A831" s="148"/>
      <c r="B831" s="148"/>
      <c r="C831" s="148"/>
      <c r="D831" s="154"/>
      <c r="E831" s="154"/>
      <c r="N831" s="146"/>
      <c r="O831" s="146"/>
    </row>
    <row r="832" spans="1:15">
      <c r="A832" s="148"/>
      <c r="B832" s="148"/>
      <c r="C832" s="148"/>
      <c r="D832" s="154"/>
      <c r="E832" s="154"/>
      <c r="N832" s="146"/>
      <c r="O832" s="146"/>
    </row>
    <row r="833" spans="1:15">
      <c r="A833" s="148"/>
      <c r="B833" s="148"/>
      <c r="C833" s="148"/>
      <c r="D833" s="154"/>
      <c r="E833" s="154"/>
      <c r="N833" s="146"/>
      <c r="O833" s="146"/>
    </row>
    <row r="834" spans="1:15">
      <c r="A834" s="148"/>
      <c r="B834" s="148"/>
      <c r="C834" s="148"/>
      <c r="D834" s="154"/>
      <c r="E834" s="154"/>
      <c r="N834" s="146"/>
      <c r="O834" s="146"/>
    </row>
    <row r="835" spans="1:15">
      <c r="A835" s="148"/>
      <c r="B835" s="148"/>
      <c r="C835" s="148"/>
      <c r="D835" s="154"/>
      <c r="E835" s="154"/>
      <c r="N835" s="146"/>
      <c r="O835" s="146"/>
    </row>
    <row r="836" spans="1:15">
      <c r="A836" s="148"/>
      <c r="B836" s="148"/>
      <c r="C836" s="148"/>
      <c r="D836" s="154"/>
      <c r="E836" s="154"/>
      <c r="N836" s="146"/>
      <c r="O836" s="146"/>
    </row>
    <row r="837" spans="1:15">
      <c r="A837" s="148"/>
      <c r="B837" s="148"/>
      <c r="C837" s="148"/>
      <c r="D837" s="154"/>
      <c r="E837" s="154"/>
      <c r="N837" s="146"/>
      <c r="O837" s="146"/>
    </row>
    <row r="838" spans="1:15">
      <c r="A838" s="148"/>
      <c r="B838" s="148"/>
      <c r="C838" s="148"/>
      <c r="D838" s="154"/>
      <c r="E838" s="154"/>
      <c r="N838" s="146"/>
      <c r="O838" s="146"/>
    </row>
    <row r="839" spans="1:15">
      <c r="A839" s="148"/>
      <c r="B839" s="148"/>
      <c r="C839" s="148"/>
      <c r="D839" s="154"/>
      <c r="E839" s="154"/>
      <c r="N839" s="146"/>
      <c r="O839" s="146"/>
    </row>
    <row r="840" spans="1:15">
      <c r="A840" s="148"/>
      <c r="B840" s="148"/>
      <c r="C840" s="148"/>
      <c r="D840" s="154"/>
      <c r="E840" s="154"/>
      <c r="N840" s="146"/>
      <c r="O840" s="146"/>
    </row>
    <row r="841" spans="1:15">
      <c r="A841" s="148"/>
      <c r="B841" s="148"/>
      <c r="C841" s="148"/>
      <c r="D841" s="154"/>
      <c r="E841" s="154"/>
      <c r="N841" s="146"/>
      <c r="O841" s="146"/>
    </row>
    <row r="842" spans="1:15">
      <c r="A842" s="148"/>
      <c r="B842" s="148"/>
      <c r="C842" s="148"/>
      <c r="D842" s="154"/>
      <c r="E842" s="154"/>
      <c r="N842" s="146"/>
      <c r="O842" s="146"/>
    </row>
    <row r="843" spans="1:15">
      <c r="A843" s="148"/>
      <c r="B843" s="148"/>
      <c r="C843" s="148"/>
      <c r="D843" s="154"/>
      <c r="E843" s="154"/>
      <c r="N843" s="146"/>
      <c r="O843" s="146"/>
    </row>
    <row r="844" spans="1:15">
      <c r="A844" s="148"/>
      <c r="B844" s="148"/>
      <c r="C844" s="148"/>
      <c r="D844" s="154"/>
      <c r="E844" s="154"/>
      <c r="N844" s="146"/>
      <c r="O844" s="146"/>
    </row>
    <row r="845" spans="1:15">
      <c r="A845" s="148"/>
      <c r="B845" s="148"/>
      <c r="C845" s="148"/>
      <c r="D845" s="154"/>
      <c r="E845" s="154"/>
      <c r="N845" s="146"/>
      <c r="O845" s="146"/>
    </row>
    <row r="846" spans="1:15">
      <c r="A846" s="148"/>
      <c r="B846" s="148"/>
      <c r="C846" s="148"/>
      <c r="D846" s="154"/>
      <c r="E846" s="154"/>
      <c r="N846" s="146"/>
      <c r="O846" s="146"/>
    </row>
    <row r="847" spans="1:15">
      <c r="A847" s="148"/>
      <c r="B847" s="148"/>
      <c r="C847" s="148"/>
      <c r="D847" s="154"/>
      <c r="E847" s="154"/>
      <c r="N847" s="146"/>
      <c r="O847" s="146"/>
    </row>
    <row r="848" spans="1:15">
      <c r="A848" s="148"/>
      <c r="B848" s="148"/>
      <c r="C848" s="148"/>
      <c r="D848" s="154"/>
      <c r="E848" s="154"/>
      <c r="N848" s="146"/>
      <c r="O848" s="146"/>
    </row>
    <row r="849" spans="1:15">
      <c r="A849" s="148"/>
      <c r="B849" s="148"/>
      <c r="C849" s="148"/>
      <c r="D849" s="154"/>
      <c r="E849" s="154"/>
      <c r="N849" s="146"/>
      <c r="O849" s="146"/>
    </row>
    <row r="850" spans="1:15">
      <c r="A850" s="148"/>
      <c r="B850" s="148"/>
      <c r="C850" s="148"/>
      <c r="D850" s="154"/>
      <c r="E850" s="154"/>
      <c r="N850" s="146"/>
      <c r="O850" s="146"/>
    </row>
    <row r="851" spans="1:15">
      <c r="A851" s="148"/>
      <c r="B851" s="148"/>
      <c r="C851" s="148"/>
      <c r="D851" s="154"/>
      <c r="E851" s="154"/>
      <c r="N851" s="146"/>
      <c r="O851" s="146"/>
    </row>
    <row r="852" spans="1:15">
      <c r="A852" s="148"/>
      <c r="B852" s="148"/>
      <c r="C852" s="148"/>
      <c r="D852" s="154"/>
      <c r="E852" s="154"/>
      <c r="N852" s="146"/>
      <c r="O852" s="146"/>
    </row>
    <row r="853" spans="1:15">
      <c r="A853" s="148"/>
      <c r="B853" s="148"/>
      <c r="C853" s="148"/>
      <c r="D853" s="154"/>
      <c r="E853" s="154"/>
      <c r="N853" s="146"/>
      <c r="O853" s="146"/>
    </row>
    <row r="854" spans="1:15">
      <c r="A854" s="148"/>
      <c r="B854" s="148"/>
      <c r="C854" s="148"/>
      <c r="D854" s="154"/>
      <c r="E854" s="154"/>
      <c r="N854" s="146"/>
      <c r="O854" s="146"/>
    </row>
    <row r="855" spans="1:15">
      <c r="A855" s="148"/>
      <c r="B855" s="148"/>
      <c r="C855" s="148"/>
      <c r="D855" s="154"/>
      <c r="E855" s="154"/>
      <c r="N855" s="146"/>
      <c r="O855" s="146"/>
    </row>
    <row r="856" spans="1:15">
      <c r="A856" s="148"/>
      <c r="B856" s="148"/>
      <c r="C856" s="148"/>
      <c r="D856" s="154"/>
      <c r="E856" s="154"/>
      <c r="N856" s="146"/>
      <c r="O856" s="146"/>
    </row>
    <row r="857" spans="1:15">
      <c r="A857" s="148"/>
      <c r="B857" s="148"/>
      <c r="C857" s="148"/>
      <c r="D857" s="154"/>
      <c r="E857" s="154"/>
      <c r="N857" s="146"/>
      <c r="O857" s="146"/>
    </row>
    <row r="858" spans="1:15">
      <c r="A858" s="148"/>
      <c r="B858" s="148"/>
      <c r="C858" s="148"/>
      <c r="D858" s="154"/>
      <c r="E858" s="154"/>
      <c r="N858" s="146"/>
      <c r="O858" s="146"/>
    </row>
    <row r="859" spans="1:15">
      <c r="A859" s="148"/>
      <c r="B859" s="148"/>
      <c r="C859" s="148"/>
      <c r="D859" s="154"/>
      <c r="E859" s="154"/>
      <c r="N859" s="146"/>
      <c r="O859" s="146"/>
    </row>
    <row r="860" spans="1:15">
      <c r="A860" s="148"/>
      <c r="B860" s="148"/>
      <c r="C860" s="148"/>
      <c r="D860" s="154"/>
      <c r="E860" s="154"/>
      <c r="N860" s="146"/>
      <c r="O860" s="146"/>
    </row>
    <row r="861" spans="1:15">
      <c r="A861" s="148"/>
      <c r="B861" s="148"/>
      <c r="C861" s="148"/>
      <c r="D861" s="154"/>
      <c r="E861" s="154"/>
      <c r="N861" s="146"/>
      <c r="O861" s="146"/>
    </row>
    <row r="862" spans="1:15">
      <c r="A862" s="148"/>
      <c r="B862" s="148"/>
      <c r="C862" s="148"/>
      <c r="D862" s="154"/>
      <c r="E862" s="154"/>
      <c r="N862" s="146"/>
      <c r="O862" s="146"/>
    </row>
    <row r="863" spans="1:15">
      <c r="A863" s="148"/>
      <c r="B863" s="148"/>
      <c r="C863" s="148"/>
      <c r="D863" s="154"/>
      <c r="E863" s="154"/>
      <c r="N863" s="146"/>
      <c r="O863" s="146"/>
    </row>
    <row r="864" spans="1:15">
      <c r="A864" s="148"/>
      <c r="B864" s="148"/>
      <c r="C864" s="148"/>
      <c r="D864" s="154"/>
      <c r="E864" s="154"/>
      <c r="N864" s="146"/>
      <c r="O864" s="146"/>
    </row>
    <row r="865" spans="1:15">
      <c r="A865" s="148"/>
      <c r="B865" s="148"/>
      <c r="C865" s="148"/>
      <c r="D865" s="154"/>
      <c r="E865" s="154"/>
      <c r="N865" s="146"/>
      <c r="O865" s="146"/>
    </row>
    <row r="866" spans="1:15">
      <c r="A866" s="148"/>
      <c r="B866" s="148"/>
      <c r="C866" s="148"/>
      <c r="D866" s="154"/>
      <c r="E866" s="154"/>
      <c r="N866" s="146"/>
      <c r="O866" s="146"/>
    </row>
    <row r="867" spans="14:15">
      <c r="N867" s="146"/>
      <c r="O867" s="146"/>
    </row>
    <row r="868" spans="14:15">
      <c r="N868" s="146"/>
      <c r="O868" s="146"/>
    </row>
    <row r="869" spans="14:15">
      <c r="N869" s="146"/>
      <c r="O869" s="146"/>
    </row>
    <row r="870" spans="14:15">
      <c r="N870" s="146"/>
      <c r="O870" s="146"/>
    </row>
    <row r="871" spans="14:15">
      <c r="N871" s="146"/>
      <c r="O871" s="146"/>
    </row>
    <row r="872" spans="14:15">
      <c r="N872" s="146"/>
      <c r="O872" s="146"/>
    </row>
    <row r="873" spans="14:15">
      <c r="N873" s="146"/>
      <c r="O873" s="146"/>
    </row>
    <row r="874" spans="14:15">
      <c r="N874" s="146"/>
      <c r="O874" s="146"/>
    </row>
    <row r="875" spans="14:15">
      <c r="N875" s="146"/>
      <c r="O875" s="146"/>
    </row>
    <row r="876" spans="14:15">
      <c r="N876" s="146"/>
      <c r="O876" s="146"/>
    </row>
    <row r="877" spans="14:15">
      <c r="N877" s="146"/>
      <c r="O877" s="146"/>
    </row>
    <row r="878" spans="14:15">
      <c r="N878" s="146"/>
      <c r="O878" s="146"/>
    </row>
    <row r="879" spans="14:15">
      <c r="N879" s="146"/>
      <c r="O879" s="146"/>
    </row>
    <row r="880" spans="14:15">
      <c r="N880" s="146"/>
      <c r="O880" s="146"/>
    </row>
    <row r="881" spans="14:15">
      <c r="N881" s="146"/>
      <c r="O881" s="146"/>
    </row>
    <row r="882" spans="14:15">
      <c r="N882" s="146"/>
      <c r="O882" s="146"/>
    </row>
    <row r="883" spans="14:15">
      <c r="N883" s="146"/>
      <c r="O883" s="146"/>
    </row>
    <row r="884" spans="14:15">
      <c r="N884" s="146"/>
      <c r="O884" s="146"/>
    </row>
    <row r="885" spans="14:15">
      <c r="N885" s="146"/>
      <c r="O885" s="146"/>
    </row>
    <row r="886" spans="14:15">
      <c r="N886" s="146"/>
      <c r="O886" s="146"/>
    </row>
    <row r="887" spans="14:15">
      <c r="N887" s="146"/>
      <c r="O887" s="146"/>
    </row>
    <row r="888" spans="14:15">
      <c r="N888" s="146"/>
      <c r="O888" s="146"/>
    </row>
    <row r="889" spans="14:15">
      <c r="N889" s="146"/>
      <c r="O889" s="146"/>
    </row>
    <row r="890" spans="14:15">
      <c r="N890" s="146"/>
      <c r="O890" s="146"/>
    </row>
    <row r="891" spans="14:15">
      <c r="N891" s="146"/>
      <c r="O891" s="146"/>
    </row>
    <row r="892" spans="14:15">
      <c r="N892" s="146"/>
      <c r="O892" s="146"/>
    </row>
    <row r="893" spans="14:15">
      <c r="N893" s="146"/>
      <c r="O893" s="146"/>
    </row>
    <row r="894" spans="14:15">
      <c r="N894" s="146"/>
      <c r="O894" s="146"/>
    </row>
    <row r="895" spans="14:15">
      <c r="N895" s="146"/>
      <c r="O895" s="146"/>
    </row>
    <row r="896" spans="14:15">
      <c r="N896" s="146"/>
      <c r="O896" s="146"/>
    </row>
    <row r="897" spans="14:15">
      <c r="N897" s="146"/>
      <c r="O897" s="146"/>
    </row>
    <row r="898" spans="14:15">
      <c r="N898" s="146"/>
      <c r="O898" s="146"/>
    </row>
    <row r="899" spans="14:15">
      <c r="N899" s="146"/>
      <c r="O899" s="146"/>
    </row>
    <row r="900" spans="14:15">
      <c r="N900" s="146"/>
      <c r="O900" s="146"/>
    </row>
    <row r="901" spans="14:15">
      <c r="N901" s="146"/>
      <c r="O901" s="146"/>
    </row>
    <row r="902" spans="14:15">
      <c r="N902" s="146"/>
      <c r="O902" s="146"/>
    </row>
    <row r="903" spans="14:15">
      <c r="N903" s="146"/>
      <c r="O903" s="146"/>
    </row>
    <row r="904" spans="14:15">
      <c r="N904" s="146"/>
      <c r="O904" s="146"/>
    </row>
    <row r="905" spans="14:15">
      <c r="N905" s="146"/>
      <c r="O905" s="146"/>
    </row>
    <row r="906" spans="14:15">
      <c r="N906" s="146"/>
      <c r="O906" s="146"/>
    </row>
    <row r="907" spans="14:15">
      <c r="N907" s="146"/>
      <c r="O907" s="146"/>
    </row>
    <row r="908" spans="14:15">
      <c r="N908" s="146"/>
      <c r="O908" s="146"/>
    </row>
    <row r="909" spans="14:15">
      <c r="N909" s="146"/>
      <c r="O909" s="146"/>
    </row>
    <row r="910" spans="14:15">
      <c r="N910" s="146"/>
      <c r="O910" s="146"/>
    </row>
    <row r="911" spans="14:15">
      <c r="N911" s="146"/>
      <c r="O911" s="146"/>
    </row>
    <row r="912" spans="14:15">
      <c r="N912" s="146"/>
      <c r="O912" s="146"/>
    </row>
    <row r="913" spans="14:15">
      <c r="N913" s="146"/>
      <c r="O913" s="146"/>
    </row>
    <row r="914" spans="14:15">
      <c r="N914" s="146"/>
      <c r="O914" s="146"/>
    </row>
    <row r="915" spans="14:15">
      <c r="N915" s="146"/>
      <c r="O915" s="146"/>
    </row>
    <row r="916" spans="14:15">
      <c r="N916" s="146"/>
      <c r="O916" s="146"/>
    </row>
    <row r="917" spans="14:15">
      <c r="N917" s="146"/>
      <c r="O917" s="146"/>
    </row>
    <row r="918" spans="14:15">
      <c r="N918" s="146"/>
      <c r="O918" s="146"/>
    </row>
    <row r="919" spans="14:15">
      <c r="N919" s="146"/>
      <c r="O919" s="146"/>
    </row>
    <row r="920" spans="14:15">
      <c r="N920" s="146"/>
      <c r="O920" s="146"/>
    </row>
    <row r="921" spans="14:15">
      <c r="N921" s="146"/>
      <c r="O921" s="146"/>
    </row>
    <row r="922" spans="14:15">
      <c r="N922" s="146"/>
      <c r="O922" s="146"/>
    </row>
    <row r="923" spans="14:15">
      <c r="N923" s="146"/>
      <c r="O923" s="146"/>
    </row>
    <row r="924" spans="14:15">
      <c r="N924" s="146"/>
      <c r="O924" s="146"/>
    </row>
    <row r="925" spans="14:15">
      <c r="N925" s="146"/>
      <c r="O925" s="146"/>
    </row>
    <row r="926" spans="14:15">
      <c r="N926" s="146"/>
      <c r="O926" s="146"/>
    </row>
    <row r="927" spans="14:15">
      <c r="N927" s="146"/>
      <c r="O927" s="146"/>
    </row>
    <row r="928" spans="14:15">
      <c r="N928" s="146"/>
      <c r="O928" s="146"/>
    </row>
    <row r="929" spans="14:15">
      <c r="N929" s="146"/>
      <c r="O929" s="146"/>
    </row>
    <row r="930" spans="14:15">
      <c r="N930" s="146"/>
      <c r="O930" s="146"/>
    </row>
    <row r="931" spans="14:15">
      <c r="N931" s="146"/>
      <c r="O931" s="146"/>
    </row>
    <row r="932" spans="14:15">
      <c r="N932" s="146"/>
      <c r="O932" s="146"/>
    </row>
    <row r="933" spans="14:15">
      <c r="N933" s="146"/>
      <c r="O933" s="146"/>
    </row>
    <row r="934" spans="14:15">
      <c r="N934" s="146"/>
      <c r="O934" s="146"/>
    </row>
    <row r="935" spans="14:15">
      <c r="N935" s="146"/>
      <c r="O935" s="146"/>
    </row>
    <row r="936" spans="14:15">
      <c r="N936" s="146"/>
      <c r="O936" s="146"/>
    </row>
    <row r="937" spans="14:15">
      <c r="N937" s="146"/>
      <c r="O937" s="146"/>
    </row>
    <row r="938" spans="14:15">
      <c r="N938" s="146"/>
      <c r="O938" s="146"/>
    </row>
    <row r="939" spans="14:15">
      <c r="N939" s="146"/>
      <c r="O939" s="146"/>
    </row>
    <row r="940" spans="14:15">
      <c r="N940" s="146"/>
      <c r="O940" s="146"/>
    </row>
    <row r="941" spans="14:15">
      <c r="N941" s="146"/>
      <c r="O941" s="146"/>
    </row>
    <row r="942" spans="14:15">
      <c r="N942" s="146"/>
      <c r="O942" s="146"/>
    </row>
    <row r="943" spans="14:15">
      <c r="N943" s="146"/>
      <c r="O943" s="146"/>
    </row>
    <row r="944" spans="14:15">
      <c r="N944" s="146"/>
      <c r="O944" s="146"/>
    </row>
    <row r="945" spans="14:15">
      <c r="N945" s="146"/>
      <c r="O945" s="146"/>
    </row>
    <row r="946" spans="14:15">
      <c r="N946" s="146"/>
      <c r="O946" s="146"/>
    </row>
    <row r="947" spans="14:15">
      <c r="N947" s="146"/>
      <c r="O947" s="146"/>
    </row>
    <row r="948" spans="14:15">
      <c r="N948" s="146"/>
      <c r="O948" s="146"/>
    </row>
    <row r="949" spans="14:15">
      <c r="N949" s="146"/>
      <c r="O949" s="146"/>
    </row>
    <row r="950" spans="14:15">
      <c r="N950" s="146"/>
      <c r="O950" s="146"/>
    </row>
    <row r="951" spans="14:15">
      <c r="N951" s="146"/>
      <c r="O951" s="146"/>
    </row>
    <row r="952" spans="14:15">
      <c r="N952" s="146"/>
      <c r="O952" s="146"/>
    </row>
    <row r="953" spans="14:15">
      <c r="N953" s="146"/>
      <c r="O953" s="146"/>
    </row>
    <row r="954" spans="14:15">
      <c r="N954" s="146"/>
      <c r="O954" s="146"/>
    </row>
    <row r="955" spans="14:15">
      <c r="N955" s="146"/>
      <c r="O955" s="146"/>
    </row>
    <row r="956" spans="14:15">
      <c r="N956" s="146"/>
      <c r="O956" s="146"/>
    </row>
    <row r="957" spans="14:15">
      <c r="N957" s="146"/>
      <c r="O957" s="146"/>
    </row>
    <row r="958" spans="14:15">
      <c r="N958" s="146"/>
      <c r="O958" s="146"/>
    </row>
    <row r="959" spans="14:15">
      <c r="N959" s="146"/>
      <c r="O959" s="146"/>
    </row>
    <row r="960" spans="14:15">
      <c r="N960" s="146"/>
      <c r="O960" s="146"/>
    </row>
    <row r="961" spans="14:15">
      <c r="N961" s="146"/>
      <c r="O961" s="146"/>
    </row>
    <row r="962" spans="14:15">
      <c r="N962" s="146"/>
      <c r="O962" s="146"/>
    </row>
    <row r="963" spans="14:15">
      <c r="N963" s="146"/>
      <c r="O963" s="146"/>
    </row>
    <row r="964" spans="14:15">
      <c r="N964" s="146"/>
      <c r="O964" s="146"/>
    </row>
    <row r="965" spans="14:15">
      <c r="N965" s="146"/>
      <c r="O965" s="146"/>
    </row>
    <row r="966" spans="14:15">
      <c r="N966" s="146"/>
      <c r="O966" s="146"/>
    </row>
    <row r="967" spans="14:15">
      <c r="N967" s="146"/>
      <c r="O967" s="146"/>
    </row>
    <row r="968" spans="14:15">
      <c r="N968" s="146"/>
      <c r="O968" s="146"/>
    </row>
    <row r="969" spans="14:15">
      <c r="N969" s="146"/>
      <c r="O969" s="146"/>
    </row>
    <row r="970" spans="14:15">
      <c r="N970" s="146"/>
      <c r="O970" s="146"/>
    </row>
    <row r="971" spans="14:15">
      <c r="N971" s="146"/>
      <c r="O971" s="146"/>
    </row>
    <row r="972" spans="14:15">
      <c r="N972" s="146"/>
      <c r="O972" s="146"/>
    </row>
    <row r="973" spans="14:15">
      <c r="N973" s="146"/>
      <c r="O973" s="146"/>
    </row>
    <row r="974" spans="14:15">
      <c r="N974" s="146"/>
      <c r="O974" s="146"/>
    </row>
    <row r="975" spans="14:15">
      <c r="N975" s="146"/>
      <c r="O975" s="146"/>
    </row>
    <row r="976" spans="14:15">
      <c r="N976" s="146"/>
      <c r="O976" s="146"/>
    </row>
    <row r="977" spans="14:15">
      <c r="N977" s="146"/>
      <c r="O977" s="146"/>
    </row>
    <row r="978" spans="14:15">
      <c r="N978" s="146"/>
      <c r="O978" s="146"/>
    </row>
    <row r="979" spans="14:15">
      <c r="N979" s="146"/>
      <c r="O979" s="146"/>
    </row>
    <row r="980" spans="14:15">
      <c r="N980" s="146"/>
      <c r="O980" s="146"/>
    </row>
    <row r="981" spans="14:15">
      <c r="N981" s="146"/>
      <c r="O981" s="146"/>
    </row>
    <row r="982" spans="14:15">
      <c r="N982" s="146"/>
      <c r="O982" s="146"/>
    </row>
    <row r="983" spans="14:15">
      <c r="N983" s="146"/>
      <c r="O983" s="146"/>
    </row>
    <row r="984" spans="14:15">
      <c r="N984" s="146"/>
      <c r="O984" s="146"/>
    </row>
    <row r="985" spans="14:15">
      <c r="N985" s="146"/>
      <c r="O985" s="146"/>
    </row>
    <row r="986" spans="14:15">
      <c r="N986" s="146"/>
      <c r="O986" s="146"/>
    </row>
    <row r="987" spans="14:15">
      <c r="N987" s="146"/>
      <c r="O987" s="146"/>
    </row>
    <row r="988" spans="14:15">
      <c r="N988" s="146"/>
      <c r="O988" s="146"/>
    </row>
    <row r="989" spans="14:15">
      <c r="N989" s="146"/>
      <c r="O989" s="146"/>
    </row>
    <row r="990" spans="14:15">
      <c r="N990" s="146"/>
      <c r="O990" s="146"/>
    </row>
    <row r="991" spans="14:15">
      <c r="N991" s="146"/>
      <c r="O991" s="146"/>
    </row>
    <row r="992" spans="14:15">
      <c r="N992" s="146"/>
      <c r="O992" s="146"/>
    </row>
    <row r="993" spans="14:15">
      <c r="N993" s="146"/>
      <c r="O993" s="146"/>
    </row>
    <row r="994" spans="14:15">
      <c r="N994" s="146"/>
      <c r="O994" s="146"/>
    </row>
    <row r="995" spans="14:15">
      <c r="N995" s="146"/>
      <c r="O995" s="146"/>
    </row>
    <row r="996" spans="14:15">
      <c r="N996" s="146"/>
      <c r="O996" s="146"/>
    </row>
    <row r="997" spans="14:15">
      <c r="N997" s="146"/>
      <c r="O997" s="146"/>
    </row>
    <row r="998" spans="14:15">
      <c r="N998" s="146"/>
      <c r="O998" s="146"/>
    </row>
    <row r="999" spans="14:15">
      <c r="N999" s="146"/>
      <c r="O999" s="146"/>
    </row>
    <row r="1000" spans="14:15">
      <c r="N1000" s="146"/>
      <c r="O1000" s="146"/>
    </row>
    <row r="1001" spans="14:15">
      <c r="N1001" s="146"/>
      <c r="O1001" s="146"/>
    </row>
    <row r="1002" spans="14:15">
      <c r="N1002" s="146"/>
      <c r="O1002" s="146"/>
    </row>
    <row r="1003" spans="14:15">
      <c r="N1003" s="146"/>
      <c r="O1003" s="146"/>
    </row>
    <row r="1004" spans="14:15">
      <c r="N1004" s="146"/>
      <c r="O1004" s="146"/>
    </row>
    <row r="1005" spans="14:15">
      <c r="N1005" s="146"/>
      <c r="O1005" s="146"/>
    </row>
    <row r="1006" spans="14:15">
      <c r="N1006" s="146"/>
      <c r="O1006" s="146"/>
    </row>
    <row r="1007" spans="14:15">
      <c r="N1007" s="146"/>
      <c r="O1007" s="146"/>
    </row>
    <row r="1008" spans="14:15">
      <c r="N1008" s="146"/>
      <c r="O1008" s="146"/>
    </row>
    <row r="1009" spans="14:15">
      <c r="N1009" s="146"/>
      <c r="O1009" s="146"/>
    </row>
    <row r="1010" spans="14:15">
      <c r="N1010" s="146"/>
      <c r="O1010" s="146"/>
    </row>
    <row r="1011" spans="14:15">
      <c r="N1011" s="146"/>
      <c r="O1011" s="146"/>
    </row>
    <row r="1012" spans="14:15">
      <c r="N1012" s="146"/>
      <c r="O1012" s="146"/>
    </row>
    <row r="1013" spans="14:15">
      <c r="N1013" s="146"/>
      <c r="O1013" s="146"/>
    </row>
    <row r="1014" spans="14:15">
      <c r="N1014" s="146"/>
      <c r="O1014" s="146"/>
    </row>
    <row r="1015" spans="14:15">
      <c r="N1015" s="146"/>
      <c r="O1015" s="146"/>
    </row>
    <row r="1016" spans="14:15">
      <c r="N1016" s="146"/>
      <c r="O1016" s="146"/>
    </row>
    <row r="1017" spans="14:15">
      <c r="N1017" s="146"/>
      <c r="O1017" s="146"/>
    </row>
    <row r="1018" spans="14:15">
      <c r="N1018" s="146"/>
      <c r="O1018" s="146"/>
    </row>
    <row r="1019" spans="14:15">
      <c r="N1019" s="146"/>
      <c r="O1019" s="146"/>
    </row>
    <row r="1020" spans="14:15">
      <c r="N1020" s="146"/>
      <c r="O1020" s="146"/>
    </row>
    <row r="1021" spans="14:15">
      <c r="N1021" s="146"/>
      <c r="O1021" s="146"/>
    </row>
    <row r="1022" spans="14:15">
      <c r="N1022" s="146"/>
      <c r="O1022" s="146"/>
    </row>
    <row r="1023" spans="14:15">
      <c r="N1023" s="146"/>
      <c r="O1023" s="146"/>
    </row>
    <row r="1024" spans="14:15">
      <c r="N1024" s="146"/>
      <c r="O1024" s="146"/>
    </row>
    <row r="1025" spans="14:15">
      <c r="N1025" s="146"/>
      <c r="O1025" s="146"/>
    </row>
    <row r="1026" spans="14:15">
      <c r="N1026" s="146"/>
      <c r="O1026" s="146"/>
    </row>
    <row r="1027" spans="14:15">
      <c r="N1027" s="146"/>
      <c r="O1027" s="146"/>
    </row>
    <row r="1028" spans="14:15">
      <c r="N1028" s="146"/>
      <c r="O1028" s="146"/>
    </row>
    <row r="1029" spans="14:15">
      <c r="N1029" s="146"/>
      <c r="O1029" s="146"/>
    </row>
    <row r="1030" spans="14:15">
      <c r="N1030" s="146"/>
      <c r="O1030" s="146"/>
    </row>
    <row r="1031" spans="14:15">
      <c r="N1031" s="146"/>
      <c r="O1031" s="146"/>
    </row>
    <row r="1032" spans="2:27">
      <c r="B1032" s="151"/>
      <c r="C1032" s="151"/>
      <c r="D1032" s="151"/>
      <c r="E1032" s="151"/>
      <c r="F1032" s="151"/>
      <c r="G1032" s="151"/>
      <c r="H1032" s="151"/>
      <c r="I1032" s="151"/>
      <c r="J1032" s="151"/>
      <c r="K1032" s="151"/>
      <c r="L1032" s="151"/>
      <c r="M1032" s="151"/>
      <c r="N1032" s="146"/>
      <c r="O1032" s="146"/>
      <c r="P1032" s="151"/>
      <c r="Q1032" s="151"/>
      <c r="R1032" s="151"/>
      <c r="S1032" s="151"/>
      <c r="T1032" s="151"/>
      <c r="U1032" s="151"/>
      <c r="V1032" s="151"/>
      <c r="W1032" s="151"/>
      <c r="X1032" s="152"/>
      <c r="Z1032" s="152"/>
      <c r="AA1032" s="151"/>
    </row>
    <row r="1033" spans="14:15">
      <c r="N1033" s="146"/>
      <c r="O1033" s="146"/>
    </row>
    <row r="1034" spans="14:15">
      <c r="N1034" s="146"/>
      <c r="O1034" s="146"/>
    </row>
    <row r="1035" spans="14:15">
      <c r="N1035" s="146"/>
      <c r="O1035" s="146"/>
    </row>
    <row r="1036" spans="14:15">
      <c r="N1036" s="146"/>
      <c r="O1036" s="146"/>
    </row>
    <row r="1037" spans="14:15">
      <c r="N1037" s="146"/>
      <c r="O1037" s="146"/>
    </row>
    <row r="1038" spans="14:15">
      <c r="N1038" s="146"/>
      <c r="O1038" s="146"/>
    </row>
    <row r="1039" spans="14:15">
      <c r="N1039" s="146"/>
      <c r="O1039" s="146"/>
    </row>
    <row r="1040" spans="14:15">
      <c r="N1040" s="146"/>
      <c r="O1040" s="146"/>
    </row>
    <row r="1041" spans="14:15">
      <c r="N1041" s="146"/>
      <c r="O1041" s="146"/>
    </row>
    <row r="1042" spans="14:15">
      <c r="N1042" s="146"/>
      <c r="O1042" s="146"/>
    </row>
    <row r="1043" spans="14:15">
      <c r="N1043" s="146"/>
      <c r="O1043" s="146"/>
    </row>
    <row r="1044" spans="14:15">
      <c r="N1044" s="146"/>
      <c r="O1044" s="146"/>
    </row>
    <row r="1045" spans="14:15">
      <c r="N1045" s="146"/>
      <c r="O1045" s="146"/>
    </row>
    <row r="1046" spans="14:15">
      <c r="N1046" s="146"/>
      <c r="O1046" s="146"/>
    </row>
    <row r="1047" spans="14:15">
      <c r="N1047" s="146"/>
      <c r="O1047" s="146"/>
    </row>
    <row r="1048" spans="14:15">
      <c r="N1048" s="146"/>
      <c r="O1048" s="146"/>
    </row>
    <row r="1049" spans="14:15">
      <c r="N1049" s="146"/>
      <c r="O1049" s="146"/>
    </row>
    <row r="1050" spans="14:15">
      <c r="N1050" s="146"/>
      <c r="O1050" s="146"/>
    </row>
    <row r="1051" spans="14:15">
      <c r="N1051" s="146"/>
      <c r="O1051" s="146"/>
    </row>
    <row r="1052" spans="14:15">
      <c r="N1052" s="146"/>
      <c r="O1052" s="146"/>
    </row>
    <row r="1053" spans="14:15">
      <c r="N1053" s="146"/>
      <c r="O1053" s="146"/>
    </row>
    <row r="1054" spans="14:15">
      <c r="N1054" s="146"/>
      <c r="O1054" s="146"/>
    </row>
    <row r="1055" spans="14:15">
      <c r="N1055" s="146"/>
      <c r="O1055" s="146"/>
    </row>
    <row r="1056" spans="14:15">
      <c r="N1056" s="146"/>
      <c r="O1056" s="146"/>
    </row>
    <row r="1057" spans="14:15">
      <c r="N1057" s="146"/>
      <c r="O1057" s="146"/>
    </row>
    <row r="1058" spans="14:15">
      <c r="N1058" s="146"/>
      <c r="O1058" s="146"/>
    </row>
    <row r="1059" spans="14:15">
      <c r="N1059" s="146"/>
      <c r="O1059" s="146"/>
    </row>
    <row r="1060" spans="14:15">
      <c r="N1060" s="146"/>
      <c r="O1060" s="146"/>
    </row>
    <row r="1061" spans="14:15">
      <c r="N1061" s="146"/>
      <c r="O1061" s="146"/>
    </row>
    <row r="1062" spans="14:15">
      <c r="N1062" s="146"/>
      <c r="O1062" s="146"/>
    </row>
    <row r="1063" spans="14:15">
      <c r="N1063" s="146"/>
      <c r="O1063" s="146"/>
    </row>
    <row r="1064" spans="14:15">
      <c r="N1064" s="146"/>
      <c r="O1064" s="146"/>
    </row>
    <row r="1065" spans="14:15">
      <c r="N1065" s="146"/>
      <c r="O1065" s="146"/>
    </row>
    <row r="1066" spans="14:15">
      <c r="N1066" s="146"/>
      <c r="O1066" s="146"/>
    </row>
    <row r="1067" spans="14:15">
      <c r="N1067" s="146"/>
      <c r="O1067" s="146"/>
    </row>
    <row r="1068" spans="14:15">
      <c r="N1068" s="146"/>
      <c r="O1068" s="146"/>
    </row>
    <row r="1069" spans="14:15">
      <c r="N1069" s="146"/>
      <c r="O1069" s="146"/>
    </row>
    <row r="1070" spans="14:15">
      <c r="N1070" s="146"/>
      <c r="O1070" s="146"/>
    </row>
    <row r="1071" spans="14:15">
      <c r="N1071" s="146"/>
      <c r="O1071" s="146"/>
    </row>
    <row r="1072" spans="14:15">
      <c r="N1072" s="146"/>
      <c r="O1072" s="146"/>
    </row>
    <row r="1073" spans="14:15">
      <c r="N1073" s="146"/>
      <c r="O1073" s="146"/>
    </row>
    <row r="1074" spans="14:15">
      <c r="N1074" s="146"/>
      <c r="O1074" s="146"/>
    </row>
    <row r="1075" spans="14:15">
      <c r="N1075" s="146"/>
      <c r="O1075" s="146"/>
    </row>
    <row r="1076" spans="14:15">
      <c r="N1076" s="146"/>
      <c r="O1076" s="146"/>
    </row>
    <row r="1077" spans="14:15">
      <c r="N1077" s="146"/>
      <c r="O1077" s="146"/>
    </row>
    <row r="1078" spans="14:15">
      <c r="N1078" s="146"/>
      <c r="O1078" s="146"/>
    </row>
    <row r="1079" spans="14:15">
      <c r="N1079" s="146"/>
      <c r="O1079" s="146"/>
    </row>
    <row r="1080" spans="14:15">
      <c r="N1080" s="146"/>
      <c r="O1080" s="146"/>
    </row>
    <row r="1081" spans="14:15">
      <c r="N1081" s="146"/>
      <c r="O1081" s="146"/>
    </row>
    <row r="1082" spans="14:15">
      <c r="N1082" s="146"/>
      <c r="O1082" s="146"/>
    </row>
    <row r="1083" spans="14:15">
      <c r="N1083" s="146"/>
      <c r="O1083" s="146"/>
    </row>
    <row r="1084" spans="14:15">
      <c r="N1084" s="146"/>
      <c r="O1084" s="146"/>
    </row>
    <row r="1085" spans="14:15">
      <c r="N1085" s="146"/>
      <c r="O1085" s="146"/>
    </row>
    <row r="1086" spans="14:15">
      <c r="N1086" s="146"/>
      <c r="O1086" s="146"/>
    </row>
    <row r="1087" spans="14:15">
      <c r="N1087" s="146"/>
      <c r="O1087" s="146"/>
    </row>
    <row r="1088" spans="14:15">
      <c r="N1088" s="146"/>
      <c r="O1088" s="146"/>
    </row>
    <row r="1089" spans="14:15">
      <c r="N1089" s="146"/>
      <c r="O1089" s="146"/>
    </row>
    <row r="1090" spans="14:15">
      <c r="N1090" s="146"/>
      <c r="O1090" s="146"/>
    </row>
    <row r="1091" spans="14:15">
      <c r="N1091" s="146"/>
      <c r="O1091" s="146"/>
    </row>
    <row r="1092" spans="14:15">
      <c r="N1092" s="146"/>
      <c r="O1092" s="146"/>
    </row>
    <row r="1093" spans="14:15">
      <c r="N1093" s="146"/>
      <c r="O1093" s="146"/>
    </row>
    <row r="1094" spans="14:15">
      <c r="N1094" s="146"/>
      <c r="O1094" s="146"/>
    </row>
    <row r="1095" spans="14:15">
      <c r="N1095" s="146"/>
      <c r="O1095" s="146"/>
    </row>
    <row r="1096" spans="14:15">
      <c r="N1096" s="146"/>
      <c r="O1096" s="146"/>
    </row>
    <row r="1097" spans="14:15">
      <c r="N1097" s="146"/>
      <c r="O1097" s="146"/>
    </row>
    <row r="1098" spans="14:15">
      <c r="N1098" s="146"/>
      <c r="O1098" s="146"/>
    </row>
    <row r="1099" spans="14:15">
      <c r="N1099" s="146"/>
      <c r="O1099" s="146"/>
    </row>
    <row r="1100" spans="14:15">
      <c r="N1100" s="146"/>
      <c r="O1100" s="146"/>
    </row>
    <row r="1101" spans="14:15">
      <c r="N1101" s="146"/>
      <c r="O1101" s="146"/>
    </row>
    <row r="1102" spans="14:15">
      <c r="N1102" s="146"/>
      <c r="O1102" s="146"/>
    </row>
    <row r="1103" spans="14:15">
      <c r="N1103" s="146"/>
      <c r="O1103" s="146"/>
    </row>
    <row r="1104" spans="14:15">
      <c r="N1104" s="146"/>
      <c r="O1104" s="146"/>
    </row>
    <row r="1105" spans="14:15">
      <c r="N1105" s="146"/>
      <c r="O1105" s="146"/>
    </row>
    <row r="1106" spans="14:15">
      <c r="N1106" s="146"/>
      <c r="O1106" s="146"/>
    </row>
    <row r="1107" spans="14:15">
      <c r="N1107" s="146"/>
      <c r="O1107" s="146"/>
    </row>
    <row r="1108" spans="14:15">
      <c r="N1108" s="146"/>
      <c r="O1108" s="146"/>
    </row>
    <row r="1109" spans="14:15">
      <c r="N1109" s="146"/>
      <c r="O1109" s="146"/>
    </row>
    <row r="1110" spans="14:15">
      <c r="N1110" s="146"/>
      <c r="O1110" s="146"/>
    </row>
    <row r="1111" spans="14:15">
      <c r="N1111" s="146"/>
      <c r="O1111" s="146"/>
    </row>
    <row r="1112" spans="14:15">
      <c r="N1112" s="146"/>
      <c r="O1112" s="146"/>
    </row>
    <row r="1113" spans="14:15">
      <c r="N1113" s="146"/>
      <c r="O1113" s="146"/>
    </row>
    <row r="1114" spans="14:15">
      <c r="N1114" s="146"/>
      <c r="O1114" s="146"/>
    </row>
    <row r="1115" spans="14:15">
      <c r="N1115" s="146"/>
      <c r="O1115" s="146"/>
    </row>
    <row r="1116" spans="14:15">
      <c r="N1116" s="146"/>
      <c r="O1116" s="146"/>
    </row>
    <row r="1117" spans="14:15">
      <c r="N1117" s="146"/>
      <c r="O1117" s="146"/>
    </row>
    <row r="1118" spans="14:15">
      <c r="N1118" s="146"/>
      <c r="O1118" s="146"/>
    </row>
    <row r="1119" spans="14:15">
      <c r="N1119" s="146"/>
      <c r="O1119" s="146"/>
    </row>
    <row r="1120" spans="14:15">
      <c r="N1120" s="146"/>
      <c r="O1120" s="146"/>
    </row>
    <row r="1121" spans="14:15">
      <c r="N1121" s="146"/>
      <c r="O1121" s="146"/>
    </row>
    <row r="1122" spans="14:15">
      <c r="N1122" s="146"/>
      <c r="O1122" s="146"/>
    </row>
    <row r="1123" spans="14:15">
      <c r="N1123" s="146"/>
      <c r="O1123" s="146"/>
    </row>
    <row r="1124" spans="14:15">
      <c r="N1124" s="146"/>
      <c r="O1124" s="146"/>
    </row>
    <row r="1125" spans="14:15">
      <c r="N1125" s="146"/>
      <c r="O1125" s="146"/>
    </row>
    <row r="1126" spans="14:15">
      <c r="N1126" s="146"/>
      <c r="O1126" s="146"/>
    </row>
    <row r="1127" spans="14:15">
      <c r="N1127" s="146"/>
      <c r="O1127" s="146"/>
    </row>
    <row r="1128" spans="14:15">
      <c r="N1128" s="146"/>
      <c r="O1128" s="146"/>
    </row>
    <row r="1129" spans="14:15">
      <c r="N1129" s="146"/>
      <c r="O1129" s="146"/>
    </row>
    <row r="1130" spans="14:15">
      <c r="N1130" s="146"/>
      <c r="O1130" s="146"/>
    </row>
    <row r="1131" spans="14:15">
      <c r="N1131" s="146"/>
      <c r="O1131" s="146"/>
    </row>
    <row r="1132" spans="14:15">
      <c r="N1132" s="146"/>
      <c r="O1132" s="146"/>
    </row>
    <row r="1133" spans="14:15">
      <c r="N1133" s="146"/>
      <c r="O1133" s="146"/>
    </row>
    <row r="1134" spans="14:15">
      <c r="N1134" s="146"/>
      <c r="O1134" s="146"/>
    </row>
    <row r="1135" spans="14:15">
      <c r="N1135" s="146"/>
      <c r="O1135" s="146"/>
    </row>
    <row r="1136" spans="14:15">
      <c r="N1136" s="146"/>
      <c r="O1136" s="146"/>
    </row>
    <row r="1137" spans="14:15">
      <c r="N1137" s="146"/>
      <c r="O1137" s="146"/>
    </row>
    <row r="1138" spans="14:15">
      <c r="N1138" s="146"/>
      <c r="O1138" s="146"/>
    </row>
    <row r="1139" spans="14:15">
      <c r="N1139" s="146"/>
      <c r="O1139" s="146"/>
    </row>
    <row r="1140" spans="14:15">
      <c r="N1140" s="146"/>
      <c r="O1140" s="146"/>
    </row>
    <row r="1141" spans="14:15">
      <c r="N1141" s="146"/>
      <c r="O1141" s="146"/>
    </row>
    <row r="1142" spans="14:15">
      <c r="N1142" s="146"/>
      <c r="O1142" s="146"/>
    </row>
    <row r="1143" spans="14:15">
      <c r="N1143" s="146"/>
      <c r="O1143" s="146"/>
    </row>
    <row r="1144" spans="14:15">
      <c r="N1144" s="146"/>
      <c r="O1144" s="146"/>
    </row>
    <row r="1145" spans="14:15">
      <c r="N1145" s="146"/>
      <c r="O1145" s="146"/>
    </row>
    <row r="1146" spans="14:15">
      <c r="N1146" s="146"/>
      <c r="O1146" s="146"/>
    </row>
    <row r="1147" spans="14:15">
      <c r="N1147" s="146"/>
      <c r="O1147" s="146"/>
    </row>
    <row r="1148" spans="14:15">
      <c r="N1148" s="146"/>
      <c r="O1148" s="146"/>
    </row>
    <row r="1149" spans="14:15">
      <c r="N1149" s="146"/>
      <c r="O1149" s="146"/>
    </row>
    <row r="1150" spans="14:15">
      <c r="N1150" s="146"/>
      <c r="O1150" s="146"/>
    </row>
    <row r="1151" spans="14:15">
      <c r="N1151" s="146"/>
      <c r="O1151" s="146"/>
    </row>
    <row r="1152" spans="14:15">
      <c r="N1152" s="146"/>
      <c r="O1152" s="146"/>
    </row>
    <row r="1153" spans="14:15">
      <c r="N1153" s="146"/>
      <c r="O1153" s="146"/>
    </row>
    <row r="1154" spans="14:15">
      <c r="N1154" s="146"/>
      <c r="O1154" s="146"/>
    </row>
    <row r="1155" spans="14:15">
      <c r="N1155" s="146"/>
      <c r="O1155" s="146"/>
    </row>
    <row r="1156" spans="14:15">
      <c r="N1156" s="146"/>
      <c r="O1156" s="146"/>
    </row>
    <row r="1157" spans="14:15">
      <c r="N1157" s="146"/>
      <c r="O1157" s="146"/>
    </row>
    <row r="1158" spans="14:15">
      <c r="N1158" s="146"/>
      <c r="O1158" s="146"/>
    </row>
    <row r="1159" spans="14:15">
      <c r="N1159" s="146"/>
      <c r="O1159" s="146"/>
    </row>
    <row r="1160" spans="14:15">
      <c r="N1160" s="146"/>
      <c r="O1160" s="146"/>
    </row>
    <row r="1161" spans="14:15">
      <c r="N1161" s="146"/>
      <c r="O1161" s="146"/>
    </row>
    <row r="1162" spans="14:15">
      <c r="N1162" s="146"/>
      <c r="O1162" s="146"/>
    </row>
    <row r="1163" spans="14:15">
      <c r="N1163" s="146"/>
      <c r="O1163" s="146"/>
    </row>
    <row r="1164" spans="14:15">
      <c r="N1164" s="146"/>
      <c r="O1164" s="146"/>
    </row>
    <row r="1165" spans="14:15">
      <c r="N1165" s="146"/>
      <c r="O1165" s="146"/>
    </row>
    <row r="1166" spans="14:15">
      <c r="N1166" s="146"/>
      <c r="O1166" s="146"/>
    </row>
    <row r="1167" spans="14:15">
      <c r="N1167" s="146"/>
      <c r="O1167" s="146"/>
    </row>
    <row r="1168" spans="14:15">
      <c r="N1168" s="146"/>
      <c r="O1168" s="146"/>
    </row>
    <row r="1169" spans="14:15">
      <c r="N1169" s="146"/>
      <c r="O1169" s="146"/>
    </row>
    <row r="1170" spans="14:15">
      <c r="N1170" s="146"/>
      <c r="O1170" s="146"/>
    </row>
    <row r="1171" spans="14:15">
      <c r="N1171" s="146"/>
      <c r="O1171" s="146"/>
    </row>
    <row r="1172" spans="14:15">
      <c r="N1172" s="146"/>
      <c r="O1172" s="146"/>
    </row>
    <row r="1173" spans="14:15">
      <c r="N1173" s="146"/>
      <c r="O1173" s="146"/>
    </row>
    <row r="1174" spans="14:15">
      <c r="N1174" s="146"/>
      <c r="O1174" s="146"/>
    </row>
    <row r="1175" spans="14:15">
      <c r="N1175" s="146"/>
      <c r="O1175" s="146"/>
    </row>
    <row r="1176" spans="14:15">
      <c r="N1176" s="146"/>
      <c r="O1176" s="146"/>
    </row>
    <row r="1177" spans="14:15">
      <c r="N1177" s="146"/>
      <c r="O1177" s="146"/>
    </row>
    <row r="1178" spans="14:15">
      <c r="N1178" s="146"/>
      <c r="O1178" s="146"/>
    </row>
    <row r="1179" spans="14:15">
      <c r="N1179" s="146"/>
      <c r="O1179" s="146"/>
    </row>
    <row r="1180" spans="14:15">
      <c r="N1180" s="146"/>
      <c r="O1180" s="146"/>
    </row>
    <row r="1181" spans="14:15">
      <c r="N1181" s="146"/>
      <c r="O1181" s="146"/>
    </row>
    <row r="1182" spans="14:15">
      <c r="N1182" s="146"/>
      <c r="O1182" s="146"/>
    </row>
    <row r="1183" spans="14:15">
      <c r="N1183" s="146"/>
      <c r="O1183" s="146"/>
    </row>
    <row r="1184" spans="14:15">
      <c r="N1184" s="146"/>
      <c r="O1184" s="146"/>
    </row>
    <row r="1185" spans="14:15">
      <c r="N1185" s="146"/>
      <c r="O1185" s="146"/>
    </row>
    <row r="1186" spans="14:15">
      <c r="N1186" s="146"/>
      <c r="O1186" s="146"/>
    </row>
    <row r="1187" spans="14:15">
      <c r="N1187" s="146"/>
      <c r="O1187" s="146"/>
    </row>
    <row r="1188" spans="14:15">
      <c r="N1188" s="146"/>
      <c r="O1188" s="146"/>
    </row>
    <row r="1189" spans="14:15">
      <c r="N1189" s="146"/>
      <c r="O1189" s="146"/>
    </row>
    <row r="1190" spans="14:15">
      <c r="N1190" s="146"/>
      <c r="O1190" s="146"/>
    </row>
    <row r="1191" spans="14:15">
      <c r="N1191" s="146"/>
      <c r="O1191" s="146"/>
    </row>
    <row r="1192" spans="14:15">
      <c r="N1192" s="146"/>
      <c r="O1192" s="146"/>
    </row>
    <row r="1193" spans="14:15">
      <c r="N1193" s="146"/>
      <c r="O1193" s="146"/>
    </row>
    <row r="1194" spans="14:15">
      <c r="N1194" s="146"/>
      <c r="O1194" s="146"/>
    </row>
    <row r="1195" spans="14:15">
      <c r="N1195" s="146"/>
      <c r="O1195" s="146"/>
    </row>
    <row r="1196" spans="14:15">
      <c r="N1196" s="146"/>
      <c r="O1196" s="146"/>
    </row>
    <row r="1197" spans="14:15">
      <c r="N1197" s="146"/>
      <c r="O1197" s="146"/>
    </row>
    <row r="1198" spans="14:15">
      <c r="N1198" s="146"/>
      <c r="O1198" s="146"/>
    </row>
    <row r="1199" spans="14:15">
      <c r="N1199" s="146"/>
      <c r="O1199" s="146"/>
    </row>
    <row r="1200" spans="14:15">
      <c r="N1200" s="146"/>
      <c r="O1200" s="146"/>
    </row>
    <row r="1201" spans="14:15">
      <c r="N1201" s="146"/>
      <c r="O1201" s="146"/>
    </row>
    <row r="1202" spans="14:15">
      <c r="N1202" s="146"/>
      <c r="O1202" s="146"/>
    </row>
    <row r="1203" spans="14:15">
      <c r="N1203" s="146"/>
      <c r="O1203" s="146"/>
    </row>
    <row r="1204" spans="14:15">
      <c r="N1204" s="146"/>
      <c r="O1204" s="146"/>
    </row>
    <row r="1205" spans="14:15">
      <c r="N1205" s="146"/>
      <c r="O1205" s="146"/>
    </row>
    <row r="1206" spans="14:15">
      <c r="N1206" s="146"/>
      <c r="O1206" s="146"/>
    </row>
    <row r="1207" spans="14:15">
      <c r="N1207" s="146"/>
      <c r="O1207" s="146"/>
    </row>
    <row r="1208" spans="14:15">
      <c r="N1208" s="146"/>
      <c r="O1208" s="146"/>
    </row>
    <row r="1209" spans="14:15">
      <c r="N1209" s="146"/>
      <c r="O1209" s="146"/>
    </row>
    <row r="1210" spans="14:15">
      <c r="N1210" s="146"/>
      <c r="O1210" s="146"/>
    </row>
    <row r="1211" spans="14:15">
      <c r="N1211" s="146"/>
      <c r="O1211" s="146"/>
    </row>
    <row r="1212" spans="14:15">
      <c r="N1212" s="146"/>
      <c r="O1212" s="146"/>
    </row>
    <row r="1213" spans="14:15">
      <c r="N1213" s="146"/>
      <c r="O1213" s="146"/>
    </row>
    <row r="1214" spans="14:15">
      <c r="N1214" s="146"/>
      <c r="O1214" s="146"/>
    </row>
    <row r="1215" spans="14:15">
      <c r="N1215" s="146"/>
      <c r="O1215" s="146"/>
    </row>
    <row r="1216" spans="14:15">
      <c r="N1216" s="146"/>
      <c r="O1216" s="146"/>
    </row>
    <row r="1217" spans="14:15">
      <c r="N1217" s="146"/>
      <c r="O1217" s="146"/>
    </row>
    <row r="1218" spans="14:15">
      <c r="N1218" s="146"/>
      <c r="O1218" s="146"/>
    </row>
    <row r="1219" spans="14:15">
      <c r="N1219" s="146"/>
      <c r="O1219" s="146"/>
    </row>
    <row r="1220" spans="14:15">
      <c r="N1220" s="146"/>
      <c r="O1220" s="146"/>
    </row>
    <row r="1221" spans="14:15">
      <c r="N1221" s="146"/>
      <c r="O1221" s="146"/>
    </row>
    <row r="1222" spans="14:15">
      <c r="N1222" s="146"/>
      <c r="O1222" s="146"/>
    </row>
    <row r="1223" spans="14:15">
      <c r="N1223" s="146"/>
      <c r="O1223" s="146"/>
    </row>
    <row r="1224" spans="14:15">
      <c r="N1224" s="146"/>
      <c r="O1224" s="146"/>
    </row>
    <row r="1225" spans="14:15">
      <c r="N1225" s="146"/>
      <c r="O1225" s="146"/>
    </row>
    <row r="1226" spans="14:15">
      <c r="N1226" s="146"/>
      <c r="O1226" s="146"/>
    </row>
    <row r="1227" spans="14:15">
      <c r="N1227" s="146"/>
      <c r="O1227" s="146"/>
    </row>
    <row r="1228" spans="14:15">
      <c r="N1228" s="146"/>
      <c r="O1228" s="146"/>
    </row>
    <row r="1229" ht="14.25" spans="6:25">
      <c r="F1229" s="153"/>
      <c r="G1229" s="153"/>
      <c r="H1229" s="153"/>
      <c r="I1229" s="153"/>
      <c r="J1229" s="153"/>
      <c r="K1229" s="153"/>
      <c r="L1229" s="153"/>
      <c r="M1229" s="153"/>
      <c r="N1229" s="153"/>
      <c r="O1229" s="153"/>
      <c r="P1229" s="153"/>
      <c r="Q1229" s="153"/>
      <c r="R1229" s="153"/>
      <c r="S1229" s="153"/>
      <c r="T1229" s="153"/>
      <c r="U1229" s="153"/>
      <c r="V1229" s="153"/>
      <c r="W1229" s="153"/>
      <c r="Y1229" s="153"/>
    </row>
  </sheetData>
  <sortState ref="A3:AB666">
    <sortCondition ref="AB3"/>
  </sortState>
  <mergeCells count="1">
    <mergeCell ref="A1:AA1"/>
  </mergeCells>
  <conditionalFormatting sqref="D3:D665">
    <cfRule type="duplicateValues" dxfId="0" priority="1"/>
  </conditionalFormatting>
  <printOptions horizontalCentered="1"/>
  <pageMargins left="0.554166666666667" right="0.554166666666667" top="0.605555555555556" bottom="0.605555555555556" header="0.511805555555556" footer="0.511805555555556"/>
  <pageSetup paperSize="9" scale="87" orientation="portrait"/>
  <headerFooter/>
  <rowBreaks count="2" manualBreakCount="2">
    <brk id="62" max="16383" man="1"/>
    <brk id="122" max="16383" man="1"/>
  </rowBreaks>
  <colBreaks count="1" manualBreakCount="1">
    <brk id="27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041"/>
  <sheetViews>
    <sheetView view="pageBreakPreview" zoomScaleNormal="100" workbookViewId="0">
      <selection activeCell="AE15" sqref="AE15"/>
    </sheetView>
  </sheetViews>
  <sheetFormatPr defaultColWidth="9" defaultRowHeight="13.5"/>
  <cols>
    <col min="1" max="3" width="5.125" style="12" customWidth="1"/>
    <col min="4" max="4" width="5.375" style="145" customWidth="1"/>
    <col min="5" max="6" width="7.375" style="12" customWidth="1"/>
    <col min="7" max="7" width="5.375" style="12" customWidth="1"/>
    <col min="8" max="8" width="6.375" style="12" customWidth="1"/>
    <col min="9" max="9" width="5.375" style="12" customWidth="1"/>
    <col min="10" max="10" width="7.375" style="12" customWidth="1"/>
    <col min="11" max="11" width="5.375" style="12" customWidth="1"/>
    <col min="12" max="12" width="5.125" style="12" customWidth="1"/>
    <col min="13" max="13" width="4.25" style="12" customWidth="1"/>
    <col min="14" max="14" width="6.375" style="12" customWidth="1"/>
    <col min="15" max="15" width="5.375" style="12" customWidth="1"/>
    <col min="16" max="16" width="5.125" style="12" customWidth="1"/>
    <col min="17" max="17" width="4.25" style="12" customWidth="1"/>
    <col min="18" max="18" width="5.125" style="12" customWidth="1"/>
    <col min="19" max="19" width="5.375" style="12" customWidth="1"/>
    <col min="20" max="20" width="5.125" style="12" customWidth="1"/>
    <col min="21" max="21" width="5.375" style="12" customWidth="1"/>
    <col min="22" max="22" width="5.125" style="12" customWidth="1"/>
    <col min="23" max="23" width="5.375" style="12" customWidth="1"/>
    <col min="24" max="24" width="7.375" style="146" customWidth="1"/>
    <col min="25" max="25" width="5.25" style="12" customWidth="1"/>
    <col min="26" max="26" width="7.375" style="146" customWidth="1"/>
    <col min="27" max="27" width="5.375" style="12" customWidth="1"/>
    <col min="28" max="28" width="4.375" style="12" customWidth="1"/>
    <col min="29" max="16384" width="9" style="12"/>
  </cols>
  <sheetData>
    <row r="1" ht="20.25" spans="1:27">
      <c r="A1" s="147" t="s">
        <v>1890</v>
      </c>
      <c r="B1" s="147"/>
      <c r="C1" s="147"/>
      <c r="D1" s="147"/>
      <c r="E1" s="147"/>
      <c r="F1" s="147"/>
      <c r="G1" s="147"/>
      <c r="H1" s="147"/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50"/>
      <c r="Y1" s="147"/>
      <c r="Z1" s="150"/>
      <c r="AA1" s="147"/>
    </row>
    <row r="2" spans="1:27">
      <c r="A2" s="148" t="s">
        <v>0</v>
      </c>
      <c r="B2" s="148" t="s">
        <v>1</v>
      </c>
      <c r="C2" s="148" t="s">
        <v>2</v>
      </c>
      <c r="D2" s="149" t="s">
        <v>3</v>
      </c>
      <c r="E2" s="149" t="s">
        <v>4</v>
      </c>
      <c r="F2" s="12" t="s">
        <v>5</v>
      </c>
      <c r="G2" s="12" t="s">
        <v>1837</v>
      </c>
      <c r="H2" s="12" t="s">
        <v>6</v>
      </c>
      <c r="I2" s="12" t="s">
        <v>1838</v>
      </c>
      <c r="J2" s="12" t="s">
        <v>7</v>
      </c>
      <c r="K2" s="12" t="s">
        <v>1839</v>
      </c>
      <c r="L2" s="12" t="s">
        <v>8</v>
      </c>
      <c r="M2" s="12" t="s">
        <v>1840</v>
      </c>
      <c r="N2" s="146" t="s">
        <v>9</v>
      </c>
      <c r="O2" s="146" t="s">
        <v>1841</v>
      </c>
      <c r="P2" s="12" t="s">
        <v>10</v>
      </c>
      <c r="Q2" s="12" t="s">
        <v>1842</v>
      </c>
      <c r="R2" s="12" t="s">
        <v>11</v>
      </c>
      <c r="S2" s="12" t="s">
        <v>1843</v>
      </c>
      <c r="T2" s="12" t="s">
        <v>12</v>
      </c>
      <c r="U2" s="12" t="s">
        <v>1844</v>
      </c>
      <c r="V2" s="12" t="s">
        <v>13</v>
      </c>
      <c r="W2" s="12" t="s">
        <v>1845</v>
      </c>
      <c r="X2" s="146" t="s">
        <v>14</v>
      </c>
      <c r="Y2" s="12" t="s">
        <v>1846</v>
      </c>
      <c r="Z2" s="146" t="s">
        <v>15</v>
      </c>
      <c r="AA2" s="12" t="s">
        <v>1847</v>
      </c>
    </row>
    <row r="3" ht="14.25" spans="1:28">
      <c r="A3" s="13">
        <v>752</v>
      </c>
      <c r="B3" s="15">
        <v>16</v>
      </c>
      <c r="C3" s="16">
        <v>7</v>
      </c>
      <c r="D3" s="17" t="s">
        <v>1504</v>
      </c>
      <c r="E3" s="17" t="s">
        <v>1505</v>
      </c>
      <c r="F3" s="17">
        <v>114.5</v>
      </c>
      <c r="G3" s="17">
        <v>52</v>
      </c>
      <c r="H3" s="17">
        <v>130</v>
      </c>
      <c r="I3" s="17">
        <v>9</v>
      </c>
      <c r="J3" s="17">
        <v>122.25</v>
      </c>
      <c r="K3" s="17">
        <v>123</v>
      </c>
      <c r="L3" s="17"/>
      <c r="M3" s="17"/>
      <c r="N3" s="17">
        <v>64</v>
      </c>
      <c r="O3" s="17">
        <v>232</v>
      </c>
      <c r="P3" s="17"/>
      <c r="Q3" s="17"/>
      <c r="R3" s="17"/>
      <c r="S3" s="17"/>
      <c r="T3" s="17">
        <v>94</v>
      </c>
      <c r="U3" s="17">
        <v>8</v>
      </c>
      <c r="V3" s="17">
        <v>91</v>
      </c>
      <c r="W3" s="17">
        <v>9</v>
      </c>
      <c r="X3" s="15">
        <v>366.75</v>
      </c>
      <c r="Y3" s="17">
        <v>1</v>
      </c>
      <c r="Z3" s="17">
        <v>615.75</v>
      </c>
      <c r="AA3" s="17">
        <v>11</v>
      </c>
      <c r="AB3" s="12">
        <f t="shared" ref="AB3:AB66" si="0">RANK(Z3,$Z$3:$Z$700)</f>
        <v>1</v>
      </c>
    </row>
    <row r="4" ht="14.25" spans="1:28">
      <c r="A4" s="13">
        <v>747</v>
      </c>
      <c r="B4" s="15">
        <v>16</v>
      </c>
      <c r="C4" s="16">
        <v>2</v>
      </c>
      <c r="D4" s="17" t="s">
        <v>1496</v>
      </c>
      <c r="E4" s="17" t="s">
        <v>1497</v>
      </c>
      <c r="F4" s="17">
        <v>107</v>
      </c>
      <c r="G4" s="17">
        <v>307</v>
      </c>
      <c r="H4" s="17">
        <v>124</v>
      </c>
      <c r="I4" s="17">
        <v>18</v>
      </c>
      <c r="J4" s="17">
        <v>135</v>
      </c>
      <c r="K4" s="17">
        <v>7</v>
      </c>
      <c r="L4" s="17"/>
      <c r="M4" s="17"/>
      <c r="N4" s="17">
        <v>58.5</v>
      </c>
      <c r="O4" s="17">
        <v>550</v>
      </c>
      <c r="P4" s="17">
        <v>84</v>
      </c>
      <c r="Q4" s="17">
        <v>3</v>
      </c>
      <c r="R4" s="17"/>
      <c r="S4" s="17"/>
      <c r="T4" s="17"/>
      <c r="U4" s="17"/>
      <c r="V4" s="17">
        <v>93</v>
      </c>
      <c r="W4" s="17">
        <v>3</v>
      </c>
      <c r="X4" s="15">
        <v>366</v>
      </c>
      <c r="Y4" s="17">
        <v>2</v>
      </c>
      <c r="Z4" s="17">
        <v>601.5</v>
      </c>
      <c r="AA4" s="17">
        <v>28</v>
      </c>
      <c r="AB4" s="12">
        <f t="shared" si="0"/>
        <v>2</v>
      </c>
    </row>
    <row r="5" ht="14.25" spans="1:28">
      <c r="A5" s="13">
        <v>755</v>
      </c>
      <c r="B5" s="15">
        <v>16</v>
      </c>
      <c r="C5" s="16">
        <v>10</v>
      </c>
      <c r="D5" s="17" t="s">
        <v>1510</v>
      </c>
      <c r="E5" s="17" t="s">
        <v>1511</v>
      </c>
      <c r="F5" s="17">
        <v>99.5</v>
      </c>
      <c r="G5" s="17">
        <v>1010</v>
      </c>
      <c r="H5" s="17">
        <v>118.5</v>
      </c>
      <c r="I5" s="17">
        <v>43</v>
      </c>
      <c r="J5" s="17">
        <v>131</v>
      </c>
      <c r="K5" s="17">
        <v>23</v>
      </c>
      <c r="L5" s="17"/>
      <c r="M5" s="17"/>
      <c r="N5" s="17">
        <v>67.5</v>
      </c>
      <c r="O5" s="17">
        <v>103</v>
      </c>
      <c r="P5" s="17"/>
      <c r="Q5" s="17"/>
      <c r="R5" s="17"/>
      <c r="S5" s="17"/>
      <c r="T5" s="17">
        <v>85</v>
      </c>
      <c r="U5" s="17">
        <v>537</v>
      </c>
      <c r="V5" s="17">
        <v>88</v>
      </c>
      <c r="W5" s="17">
        <v>30</v>
      </c>
      <c r="X5" s="15">
        <v>349</v>
      </c>
      <c r="Y5" s="17">
        <v>5</v>
      </c>
      <c r="Z5" s="17">
        <v>589.5</v>
      </c>
      <c r="AA5" s="17">
        <v>49</v>
      </c>
      <c r="AB5" s="12">
        <f t="shared" si="0"/>
        <v>3</v>
      </c>
    </row>
    <row r="6" ht="14.25" spans="1:28">
      <c r="A6" s="13">
        <v>771</v>
      </c>
      <c r="B6" s="15">
        <v>16</v>
      </c>
      <c r="C6" s="16">
        <v>27</v>
      </c>
      <c r="D6" s="17" t="s">
        <v>1540</v>
      </c>
      <c r="E6" s="17" t="s">
        <v>1541</v>
      </c>
      <c r="F6" s="17">
        <v>105</v>
      </c>
      <c r="G6" s="17">
        <v>437</v>
      </c>
      <c r="H6" s="17">
        <v>113</v>
      </c>
      <c r="I6" s="17">
        <v>86</v>
      </c>
      <c r="J6" s="17">
        <v>120.5</v>
      </c>
      <c r="K6" s="17">
        <v>153</v>
      </c>
      <c r="L6" s="17"/>
      <c r="M6" s="17"/>
      <c r="N6" s="17">
        <v>66.5</v>
      </c>
      <c r="O6" s="17">
        <v>139</v>
      </c>
      <c r="P6" s="17"/>
      <c r="Q6" s="17"/>
      <c r="R6" s="17">
        <v>93</v>
      </c>
      <c r="S6" s="17">
        <v>12</v>
      </c>
      <c r="T6" s="17">
        <v>89</v>
      </c>
      <c r="U6" s="17">
        <v>137</v>
      </c>
      <c r="V6" s="17"/>
      <c r="W6" s="17"/>
      <c r="X6" s="15">
        <v>338.5</v>
      </c>
      <c r="Y6" s="17">
        <v>13</v>
      </c>
      <c r="Z6" s="17">
        <v>587</v>
      </c>
      <c r="AA6" s="17">
        <v>54</v>
      </c>
      <c r="AB6" s="12">
        <f t="shared" si="0"/>
        <v>4</v>
      </c>
    </row>
    <row r="7" ht="14.25" spans="1:28">
      <c r="A7" s="13">
        <v>777</v>
      </c>
      <c r="B7" s="15">
        <v>16</v>
      </c>
      <c r="C7" s="16">
        <v>34</v>
      </c>
      <c r="D7" s="17" t="s">
        <v>1552</v>
      </c>
      <c r="E7" s="17" t="s">
        <v>1553</v>
      </c>
      <c r="F7" s="17">
        <v>107.5</v>
      </c>
      <c r="G7" s="17">
        <v>270</v>
      </c>
      <c r="H7" s="17">
        <v>119</v>
      </c>
      <c r="I7" s="17">
        <v>37</v>
      </c>
      <c r="J7" s="17">
        <v>114</v>
      </c>
      <c r="K7" s="17">
        <v>281</v>
      </c>
      <c r="L7" s="17"/>
      <c r="M7" s="17"/>
      <c r="N7" s="17">
        <v>70.5</v>
      </c>
      <c r="O7" s="17">
        <v>40</v>
      </c>
      <c r="P7" s="17"/>
      <c r="Q7" s="17"/>
      <c r="R7" s="17">
        <v>92</v>
      </c>
      <c r="S7" s="17">
        <v>16</v>
      </c>
      <c r="T7" s="17">
        <v>84</v>
      </c>
      <c r="U7" s="17">
        <v>578</v>
      </c>
      <c r="V7" s="17"/>
      <c r="W7" s="17"/>
      <c r="X7" s="15">
        <v>340.5</v>
      </c>
      <c r="Y7" s="17">
        <v>12</v>
      </c>
      <c r="Z7" s="17">
        <v>587</v>
      </c>
      <c r="AA7" s="17">
        <v>54</v>
      </c>
      <c r="AB7" s="12">
        <f t="shared" si="0"/>
        <v>4</v>
      </c>
    </row>
    <row r="8" ht="14.25" spans="1:28">
      <c r="A8" s="13">
        <v>765</v>
      </c>
      <c r="B8" s="15">
        <v>16</v>
      </c>
      <c r="C8" s="16">
        <v>20</v>
      </c>
      <c r="D8" s="17" t="s">
        <v>1529</v>
      </c>
      <c r="E8" s="17" t="s">
        <v>1530</v>
      </c>
      <c r="F8" s="17">
        <v>117.5</v>
      </c>
      <c r="G8" s="17">
        <v>26</v>
      </c>
      <c r="H8" s="17">
        <v>113</v>
      </c>
      <c r="I8" s="17">
        <v>86</v>
      </c>
      <c r="J8" s="17">
        <v>120</v>
      </c>
      <c r="K8" s="17">
        <v>160</v>
      </c>
      <c r="L8" s="17"/>
      <c r="M8" s="17"/>
      <c r="N8" s="17">
        <v>51.5</v>
      </c>
      <c r="O8" s="17">
        <v>1342</v>
      </c>
      <c r="P8" s="17"/>
      <c r="Q8" s="17"/>
      <c r="R8" s="17"/>
      <c r="S8" s="17"/>
      <c r="T8" s="17">
        <v>92</v>
      </c>
      <c r="U8" s="17">
        <v>30</v>
      </c>
      <c r="V8" s="17">
        <v>88</v>
      </c>
      <c r="W8" s="17">
        <v>30</v>
      </c>
      <c r="X8" s="15">
        <v>350.5</v>
      </c>
      <c r="Y8" s="17">
        <v>4</v>
      </c>
      <c r="Z8" s="17">
        <v>582</v>
      </c>
      <c r="AA8" s="17">
        <v>70</v>
      </c>
      <c r="AB8" s="12">
        <f t="shared" si="0"/>
        <v>6</v>
      </c>
    </row>
    <row r="9" ht="14.25" spans="1:28">
      <c r="A9" s="13">
        <v>750</v>
      </c>
      <c r="B9" s="15">
        <v>16</v>
      </c>
      <c r="C9" s="16">
        <v>5</v>
      </c>
      <c r="D9" s="17" t="s">
        <v>1501</v>
      </c>
      <c r="E9" s="17" t="s">
        <v>1502</v>
      </c>
      <c r="F9" s="17">
        <v>103.5</v>
      </c>
      <c r="G9" s="17">
        <v>577</v>
      </c>
      <c r="H9" s="17">
        <v>119</v>
      </c>
      <c r="I9" s="17">
        <v>37</v>
      </c>
      <c r="J9" s="17">
        <v>123</v>
      </c>
      <c r="K9" s="17">
        <v>102</v>
      </c>
      <c r="L9" s="17"/>
      <c r="M9" s="17"/>
      <c r="N9" s="17">
        <v>64.5</v>
      </c>
      <c r="O9" s="17">
        <v>210</v>
      </c>
      <c r="P9" s="17"/>
      <c r="Q9" s="17"/>
      <c r="R9" s="17"/>
      <c r="S9" s="17"/>
      <c r="T9" s="17">
        <v>84</v>
      </c>
      <c r="U9" s="17">
        <v>578</v>
      </c>
      <c r="V9" s="17">
        <v>86</v>
      </c>
      <c r="W9" s="17">
        <v>73</v>
      </c>
      <c r="X9" s="15">
        <v>345.5</v>
      </c>
      <c r="Y9" s="17">
        <v>7</v>
      </c>
      <c r="Z9" s="17">
        <v>580</v>
      </c>
      <c r="AA9" s="17">
        <v>77</v>
      </c>
      <c r="AB9" s="12">
        <f t="shared" si="0"/>
        <v>7</v>
      </c>
    </row>
    <row r="10" ht="14.25" spans="1:28">
      <c r="A10" s="13">
        <v>764</v>
      </c>
      <c r="B10" s="15">
        <v>16</v>
      </c>
      <c r="C10" s="16">
        <v>19</v>
      </c>
      <c r="D10" s="17" t="s">
        <v>1527</v>
      </c>
      <c r="E10" s="17" t="s">
        <v>1528</v>
      </c>
      <c r="F10" s="17">
        <v>103.5</v>
      </c>
      <c r="G10" s="17">
        <v>577</v>
      </c>
      <c r="H10" s="17">
        <v>107.5</v>
      </c>
      <c r="I10" s="17">
        <v>160</v>
      </c>
      <c r="J10" s="17">
        <v>121.5</v>
      </c>
      <c r="K10" s="17">
        <v>134</v>
      </c>
      <c r="L10" s="17"/>
      <c r="M10" s="17"/>
      <c r="N10" s="17">
        <v>67</v>
      </c>
      <c r="O10" s="17">
        <v>119</v>
      </c>
      <c r="P10" s="17"/>
      <c r="Q10" s="17"/>
      <c r="R10" s="17"/>
      <c r="S10" s="17"/>
      <c r="T10" s="17">
        <v>93</v>
      </c>
      <c r="U10" s="17">
        <v>12</v>
      </c>
      <c r="V10" s="17">
        <v>87</v>
      </c>
      <c r="W10" s="17">
        <v>54</v>
      </c>
      <c r="X10" s="15">
        <v>332.5</v>
      </c>
      <c r="Y10" s="17">
        <v>22</v>
      </c>
      <c r="Z10" s="17">
        <v>579.5</v>
      </c>
      <c r="AA10" s="17">
        <v>80</v>
      </c>
      <c r="AB10" s="12">
        <f t="shared" si="0"/>
        <v>8</v>
      </c>
    </row>
    <row r="11" ht="14.25" spans="1:28">
      <c r="A11" s="13">
        <v>748</v>
      </c>
      <c r="B11" s="15">
        <v>16</v>
      </c>
      <c r="C11" s="16">
        <v>3</v>
      </c>
      <c r="D11" s="17" t="s">
        <v>1498</v>
      </c>
      <c r="E11" s="17" t="s">
        <v>75</v>
      </c>
      <c r="F11" s="17">
        <v>102.5</v>
      </c>
      <c r="G11" s="17">
        <v>686</v>
      </c>
      <c r="H11" s="17">
        <v>126</v>
      </c>
      <c r="I11" s="17">
        <v>15</v>
      </c>
      <c r="J11" s="17">
        <v>106.25</v>
      </c>
      <c r="K11" s="17">
        <v>506</v>
      </c>
      <c r="L11" s="17"/>
      <c r="M11" s="17"/>
      <c r="N11" s="17">
        <v>62.5</v>
      </c>
      <c r="O11" s="17">
        <v>292</v>
      </c>
      <c r="P11" s="17"/>
      <c r="Q11" s="17"/>
      <c r="R11" s="17">
        <v>91</v>
      </c>
      <c r="S11" s="17">
        <v>30</v>
      </c>
      <c r="T11" s="17">
        <v>89</v>
      </c>
      <c r="U11" s="17">
        <v>137</v>
      </c>
      <c r="V11" s="17"/>
      <c r="W11" s="17"/>
      <c r="X11" s="15">
        <v>334.75</v>
      </c>
      <c r="Y11" s="17">
        <v>18</v>
      </c>
      <c r="Z11" s="17">
        <v>577.25</v>
      </c>
      <c r="AA11" s="17">
        <v>91</v>
      </c>
      <c r="AB11" s="12">
        <f t="shared" si="0"/>
        <v>9</v>
      </c>
    </row>
    <row r="12" ht="14.25" spans="1:28">
      <c r="A12" s="13">
        <v>774</v>
      </c>
      <c r="B12" s="15">
        <v>16</v>
      </c>
      <c r="C12" s="16">
        <v>31</v>
      </c>
      <c r="D12" s="17" t="s">
        <v>1546</v>
      </c>
      <c r="E12" s="17" t="s">
        <v>1547</v>
      </c>
      <c r="F12" s="17">
        <v>114.5</v>
      </c>
      <c r="G12" s="17">
        <v>52</v>
      </c>
      <c r="H12" s="17">
        <v>80</v>
      </c>
      <c r="I12" s="17">
        <v>745</v>
      </c>
      <c r="J12" s="17">
        <v>124.75</v>
      </c>
      <c r="K12" s="17">
        <v>83</v>
      </c>
      <c r="L12" s="17"/>
      <c r="M12" s="17"/>
      <c r="N12" s="17">
        <v>82.5</v>
      </c>
      <c r="O12" s="17">
        <v>1</v>
      </c>
      <c r="P12" s="17"/>
      <c r="Q12" s="17"/>
      <c r="R12" s="17">
        <v>88</v>
      </c>
      <c r="S12" s="17">
        <v>123</v>
      </c>
      <c r="T12" s="17">
        <v>87</v>
      </c>
      <c r="U12" s="17">
        <v>333</v>
      </c>
      <c r="V12" s="17"/>
      <c r="W12" s="17"/>
      <c r="X12" s="15">
        <v>319.25</v>
      </c>
      <c r="Y12" s="17">
        <v>43</v>
      </c>
      <c r="Z12" s="17">
        <v>576.75</v>
      </c>
      <c r="AA12" s="17">
        <v>96</v>
      </c>
      <c r="AB12" s="12">
        <f t="shared" si="0"/>
        <v>10</v>
      </c>
    </row>
    <row r="13" ht="14.25" spans="1:28">
      <c r="A13" s="13">
        <v>768</v>
      </c>
      <c r="B13" s="15">
        <v>16</v>
      </c>
      <c r="C13" s="16">
        <v>23</v>
      </c>
      <c r="D13" s="17" t="s">
        <v>1535</v>
      </c>
      <c r="E13" s="17" t="s">
        <v>1536</v>
      </c>
      <c r="F13" s="17">
        <v>113</v>
      </c>
      <c r="G13" s="17">
        <v>78</v>
      </c>
      <c r="H13" s="17">
        <v>111.5</v>
      </c>
      <c r="I13" s="17">
        <v>106</v>
      </c>
      <c r="J13" s="17">
        <v>111</v>
      </c>
      <c r="K13" s="17">
        <v>356</v>
      </c>
      <c r="L13" s="17"/>
      <c r="M13" s="17"/>
      <c r="N13" s="17">
        <v>62</v>
      </c>
      <c r="O13" s="17">
        <v>315</v>
      </c>
      <c r="P13" s="17"/>
      <c r="Q13" s="17"/>
      <c r="R13" s="17"/>
      <c r="S13" s="17"/>
      <c r="T13" s="17">
        <v>96</v>
      </c>
      <c r="U13" s="17">
        <v>2</v>
      </c>
      <c r="V13" s="17">
        <v>83</v>
      </c>
      <c r="W13" s="17">
        <v>115</v>
      </c>
      <c r="X13" s="15">
        <v>335.5</v>
      </c>
      <c r="Y13" s="17">
        <v>16</v>
      </c>
      <c r="Z13" s="17">
        <v>576.5</v>
      </c>
      <c r="AA13" s="17">
        <v>98</v>
      </c>
      <c r="AB13" s="12">
        <f t="shared" si="0"/>
        <v>11</v>
      </c>
    </row>
    <row r="14" ht="14.25" spans="1:28">
      <c r="A14" s="13">
        <v>766</v>
      </c>
      <c r="B14" s="15">
        <v>16</v>
      </c>
      <c r="C14" s="16">
        <v>21</v>
      </c>
      <c r="D14" s="17" t="s">
        <v>1531</v>
      </c>
      <c r="E14" s="17" t="s">
        <v>1532</v>
      </c>
      <c r="F14" s="17">
        <v>102.75</v>
      </c>
      <c r="G14" s="17">
        <v>678</v>
      </c>
      <c r="H14" s="17">
        <v>124</v>
      </c>
      <c r="I14" s="17">
        <v>18</v>
      </c>
      <c r="J14" s="17">
        <v>126</v>
      </c>
      <c r="K14" s="17">
        <v>66</v>
      </c>
      <c r="L14" s="17"/>
      <c r="M14" s="17"/>
      <c r="N14" s="17">
        <v>59</v>
      </c>
      <c r="O14" s="17">
        <v>524</v>
      </c>
      <c r="P14" s="17"/>
      <c r="Q14" s="17"/>
      <c r="R14" s="17"/>
      <c r="S14" s="17"/>
      <c r="T14" s="17">
        <v>80</v>
      </c>
      <c r="U14" s="17">
        <v>854</v>
      </c>
      <c r="V14" s="17">
        <v>84</v>
      </c>
      <c r="W14" s="17">
        <v>104</v>
      </c>
      <c r="X14" s="15">
        <v>352.75</v>
      </c>
      <c r="Y14" s="17">
        <v>3</v>
      </c>
      <c r="Z14" s="17">
        <v>575.75</v>
      </c>
      <c r="AA14" s="17">
        <v>102</v>
      </c>
      <c r="AB14" s="12">
        <f t="shared" si="0"/>
        <v>12</v>
      </c>
    </row>
    <row r="15" ht="14.25" spans="1:28">
      <c r="A15" s="13">
        <v>780</v>
      </c>
      <c r="B15" s="15">
        <v>16</v>
      </c>
      <c r="C15" s="16">
        <v>37</v>
      </c>
      <c r="D15" s="17" t="s">
        <v>1558</v>
      </c>
      <c r="E15" s="17" t="s">
        <v>1559</v>
      </c>
      <c r="F15" s="17">
        <v>118</v>
      </c>
      <c r="G15" s="17">
        <v>15</v>
      </c>
      <c r="H15" s="17">
        <v>109</v>
      </c>
      <c r="I15" s="17">
        <v>140</v>
      </c>
      <c r="J15" s="17">
        <v>116.25</v>
      </c>
      <c r="K15" s="17">
        <v>236</v>
      </c>
      <c r="L15" s="17"/>
      <c r="M15" s="17"/>
      <c r="N15" s="17">
        <v>71.5</v>
      </c>
      <c r="O15" s="17">
        <v>24</v>
      </c>
      <c r="P15" s="17"/>
      <c r="Q15" s="17"/>
      <c r="R15" s="17">
        <v>75</v>
      </c>
      <c r="S15" s="17">
        <v>873</v>
      </c>
      <c r="T15" s="17">
        <v>86</v>
      </c>
      <c r="U15" s="17">
        <v>465</v>
      </c>
      <c r="V15" s="17"/>
      <c r="W15" s="17"/>
      <c r="X15" s="15">
        <v>343.25</v>
      </c>
      <c r="Y15" s="17">
        <v>10</v>
      </c>
      <c r="Z15" s="17">
        <v>575.75</v>
      </c>
      <c r="AA15" s="17">
        <v>102</v>
      </c>
      <c r="AB15" s="12">
        <f t="shared" si="0"/>
        <v>12</v>
      </c>
    </row>
    <row r="16" ht="14.25" spans="1:28">
      <c r="A16" s="13">
        <v>762</v>
      </c>
      <c r="B16" s="15">
        <v>16</v>
      </c>
      <c r="C16" s="16">
        <v>17</v>
      </c>
      <c r="D16" s="17" t="s">
        <v>1523</v>
      </c>
      <c r="E16" s="17" t="s">
        <v>1524</v>
      </c>
      <c r="F16" s="17">
        <v>111</v>
      </c>
      <c r="G16" s="17">
        <v>130</v>
      </c>
      <c r="H16" s="17">
        <v>102.5</v>
      </c>
      <c r="I16" s="17">
        <v>229</v>
      </c>
      <c r="J16" s="17">
        <v>122.5</v>
      </c>
      <c r="K16" s="17">
        <v>117</v>
      </c>
      <c r="L16" s="17"/>
      <c r="M16" s="17"/>
      <c r="N16" s="17">
        <v>61.5</v>
      </c>
      <c r="O16" s="17">
        <v>347</v>
      </c>
      <c r="P16" s="17"/>
      <c r="Q16" s="17"/>
      <c r="R16" s="17"/>
      <c r="S16" s="17"/>
      <c r="T16" s="17">
        <v>88</v>
      </c>
      <c r="U16" s="17">
        <v>227</v>
      </c>
      <c r="V16" s="17">
        <v>87</v>
      </c>
      <c r="W16" s="17">
        <v>54</v>
      </c>
      <c r="X16" s="15">
        <v>336</v>
      </c>
      <c r="Y16" s="17">
        <v>15</v>
      </c>
      <c r="Z16" s="17">
        <v>572.5</v>
      </c>
      <c r="AA16" s="17">
        <v>111</v>
      </c>
      <c r="AB16" s="12">
        <f t="shared" si="0"/>
        <v>14</v>
      </c>
    </row>
    <row r="17" ht="14.25" spans="1:28">
      <c r="A17" s="13">
        <v>775</v>
      </c>
      <c r="B17" s="15">
        <v>16</v>
      </c>
      <c r="C17" s="16">
        <v>32</v>
      </c>
      <c r="D17" s="17" t="s">
        <v>1548</v>
      </c>
      <c r="E17" s="17" t="s">
        <v>1549</v>
      </c>
      <c r="F17" s="17">
        <v>110</v>
      </c>
      <c r="G17" s="17">
        <v>165</v>
      </c>
      <c r="H17" s="17">
        <v>106</v>
      </c>
      <c r="I17" s="17">
        <v>175</v>
      </c>
      <c r="J17" s="17">
        <v>119</v>
      </c>
      <c r="K17" s="17">
        <v>179</v>
      </c>
      <c r="L17" s="17"/>
      <c r="M17" s="17"/>
      <c r="N17" s="17">
        <v>66</v>
      </c>
      <c r="O17" s="17">
        <v>163</v>
      </c>
      <c r="P17" s="17"/>
      <c r="Q17" s="17"/>
      <c r="R17" s="17">
        <v>91</v>
      </c>
      <c r="S17" s="17">
        <v>30</v>
      </c>
      <c r="T17" s="17">
        <v>80</v>
      </c>
      <c r="U17" s="17">
        <v>854</v>
      </c>
      <c r="V17" s="17"/>
      <c r="W17" s="17"/>
      <c r="X17" s="15">
        <v>335</v>
      </c>
      <c r="Y17" s="17">
        <v>17</v>
      </c>
      <c r="Z17" s="17">
        <v>572</v>
      </c>
      <c r="AA17" s="17">
        <v>118</v>
      </c>
      <c r="AB17" s="12">
        <f t="shared" si="0"/>
        <v>15</v>
      </c>
    </row>
    <row r="18" ht="14.25" spans="1:28">
      <c r="A18" s="13">
        <v>749</v>
      </c>
      <c r="B18" s="15">
        <v>16</v>
      </c>
      <c r="C18" s="16">
        <v>4</v>
      </c>
      <c r="D18" s="17" t="s">
        <v>1499</v>
      </c>
      <c r="E18" s="17" t="s">
        <v>1500</v>
      </c>
      <c r="F18" s="17">
        <v>103.5</v>
      </c>
      <c r="G18" s="17">
        <v>577</v>
      </c>
      <c r="H18" s="17">
        <v>112</v>
      </c>
      <c r="I18" s="17">
        <v>96</v>
      </c>
      <c r="J18" s="17">
        <v>113.75</v>
      </c>
      <c r="K18" s="17">
        <v>293</v>
      </c>
      <c r="L18" s="17"/>
      <c r="M18" s="17"/>
      <c r="N18" s="17">
        <v>69.5</v>
      </c>
      <c r="O18" s="17">
        <v>58</v>
      </c>
      <c r="P18" s="17"/>
      <c r="Q18" s="17"/>
      <c r="R18" s="17"/>
      <c r="S18" s="17"/>
      <c r="T18" s="17">
        <v>93</v>
      </c>
      <c r="U18" s="17">
        <v>12</v>
      </c>
      <c r="V18" s="17">
        <v>80</v>
      </c>
      <c r="W18" s="17">
        <v>158</v>
      </c>
      <c r="X18" s="15">
        <v>329.25</v>
      </c>
      <c r="Y18" s="17">
        <v>25</v>
      </c>
      <c r="Z18" s="17">
        <v>571.75</v>
      </c>
      <c r="AA18" s="17">
        <v>119</v>
      </c>
      <c r="AB18" s="12">
        <f t="shared" si="0"/>
        <v>16</v>
      </c>
    </row>
    <row r="19" ht="14.25" spans="1:28">
      <c r="A19" s="13">
        <v>770</v>
      </c>
      <c r="B19" s="15">
        <v>16</v>
      </c>
      <c r="C19" s="16">
        <v>26</v>
      </c>
      <c r="D19" s="17" t="s">
        <v>1538</v>
      </c>
      <c r="E19" s="17" t="s">
        <v>1539</v>
      </c>
      <c r="F19" s="17">
        <v>108.5</v>
      </c>
      <c r="G19" s="17">
        <v>223</v>
      </c>
      <c r="H19" s="17">
        <v>98.5</v>
      </c>
      <c r="I19" s="17">
        <v>305</v>
      </c>
      <c r="J19" s="17">
        <v>118.5</v>
      </c>
      <c r="K19" s="17">
        <v>189</v>
      </c>
      <c r="L19" s="17"/>
      <c r="M19" s="17"/>
      <c r="N19" s="17">
        <v>64</v>
      </c>
      <c r="O19" s="17">
        <v>232</v>
      </c>
      <c r="P19" s="17"/>
      <c r="Q19" s="17"/>
      <c r="R19" s="17">
        <v>94</v>
      </c>
      <c r="S19" s="17">
        <v>5</v>
      </c>
      <c r="T19" s="17">
        <v>88</v>
      </c>
      <c r="U19" s="17">
        <v>227</v>
      </c>
      <c r="V19" s="17"/>
      <c r="W19" s="17"/>
      <c r="X19" s="15">
        <v>325.5</v>
      </c>
      <c r="Y19" s="17">
        <v>32</v>
      </c>
      <c r="Z19" s="17">
        <v>571.5</v>
      </c>
      <c r="AA19" s="17">
        <v>120</v>
      </c>
      <c r="AB19" s="12">
        <f t="shared" si="0"/>
        <v>17</v>
      </c>
    </row>
    <row r="20" ht="14.25" spans="1:28">
      <c r="A20" s="13">
        <v>828</v>
      </c>
      <c r="B20" s="15">
        <v>18</v>
      </c>
      <c r="C20" s="16">
        <v>4</v>
      </c>
      <c r="D20" s="17" t="s">
        <v>1654</v>
      </c>
      <c r="E20" s="17" t="s">
        <v>1655</v>
      </c>
      <c r="F20" s="17">
        <v>103.5</v>
      </c>
      <c r="G20" s="17">
        <v>577</v>
      </c>
      <c r="H20" s="17">
        <v>111.5</v>
      </c>
      <c r="I20" s="17">
        <v>106</v>
      </c>
      <c r="J20" s="17">
        <v>110</v>
      </c>
      <c r="K20" s="17">
        <v>386</v>
      </c>
      <c r="L20" s="17"/>
      <c r="M20" s="17"/>
      <c r="N20" s="17">
        <v>68.5</v>
      </c>
      <c r="O20" s="17">
        <v>82</v>
      </c>
      <c r="P20" s="17"/>
      <c r="Q20" s="17"/>
      <c r="R20" s="17">
        <v>91</v>
      </c>
      <c r="S20" s="17">
        <v>30</v>
      </c>
      <c r="T20" s="17">
        <v>86</v>
      </c>
      <c r="U20" s="17">
        <v>465</v>
      </c>
      <c r="V20" s="17"/>
      <c r="W20" s="17"/>
      <c r="X20" s="15">
        <v>325</v>
      </c>
      <c r="Y20" s="17">
        <v>34</v>
      </c>
      <c r="Z20" s="17">
        <v>570.5</v>
      </c>
      <c r="AA20" s="17">
        <v>125</v>
      </c>
      <c r="AB20" s="12">
        <f t="shared" si="0"/>
        <v>18</v>
      </c>
    </row>
    <row r="21" ht="14.25" spans="1:28">
      <c r="A21" s="13">
        <v>751</v>
      </c>
      <c r="B21" s="15">
        <v>16</v>
      </c>
      <c r="C21" s="16">
        <v>6</v>
      </c>
      <c r="D21" s="17" t="s">
        <v>1503</v>
      </c>
      <c r="E21" s="17" t="s">
        <v>1029</v>
      </c>
      <c r="F21" s="17">
        <v>104</v>
      </c>
      <c r="G21" s="17">
        <v>526</v>
      </c>
      <c r="H21" s="17">
        <v>109.5</v>
      </c>
      <c r="I21" s="17">
        <v>136</v>
      </c>
      <c r="J21" s="17">
        <v>125</v>
      </c>
      <c r="K21" s="17">
        <v>77</v>
      </c>
      <c r="L21" s="17"/>
      <c r="M21" s="17"/>
      <c r="N21" s="17">
        <v>53</v>
      </c>
      <c r="O21" s="17">
        <v>1155</v>
      </c>
      <c r="P21" s="17"/>
      <c r="Q21" s="17"/>
      <c r="R21" s="17"/>
      <c r="S21" s="17"/>
      <c r="T21" s="17">
        <v>93</v>
      </c>
      <c r="U21" s="17">
        <v>12</v>
      </c>
      <c r="V21" s="17">
        <v>84</v>
      </c>
      <c r="W21" s="17">
        <v>104</v>
      </c>
      <c r="X21" s="15">
        <v>338.5</v>
      </c>
      <c r="Y21" s="17">
        <v>13</v>
      </c>
      <c r="Z21" s="17">
        <v>568.5</v>
      </c>
      <c r="AA21" s="17">
        <v>137</v>
      </c>
      <c r="AB21" s="12">
        <f t="shared" si="0"/>
        <v>19</v>
      </c>
    </row>
    <row r="22" ht="14.25" spans="1:28">
      <c r="A22" s="13">
        <v>714</v>
      </c>
      <c r="B22" s="15">
        <v>15</v>
      </c>
      <c r="C22" s="16">
        <v>13</v>
      </c>
      <c r="D22" s="17" t="s">
        <v>1431</v>
      </c>
      <c r="E22" s="17" t="s">
        <v>1432</v>
      </c>
      <c r="F22" s="17">
        <v>113</v>
      </c>
      <c r="G22" s="17">
        <v>78</v>
      </c>
      <c r="H22" s="17">
        <v>111</v>
      </c>
      <c r="I22" s="17">
        <v>115</v>
      </c>
      <c r="J22" s="17">
        <v>110.75</v>
      </c>
      <c r="K22" s="17">
        <v>369</v>
      </c>
      <c r="L22" s="17"/>
      <c r="M22" s="17"/>
      <c r="N22" s="17">
        <v>64.5</v>
      </c>
      <c r="O22" s="17">
        <v>210</v>
      </c>
      <c r="P22" s="17"/>
      <c r="Q22" s="17"/>
      <c r="R22" s="17"/>
      <c r="S22" s="17"/>
      <c r="T22" s="17">
        <v>82</v>
      </c>
      <c r="U22" s="17">
        <v>702</v>
      </c>
      <c r="V22" s="17">
        <v>87</v>
      </c>
      <c r="W22" s="17">
        <v>54</v>
      </c>
      <c r="X22" s="15">
        <v>334.75</v>
      </c>
      <c r="Y22" s="17">
        <v>18</v>
      </c>
      <c r="Z22" s="17">
        <v>568.25</v>
      </c>
      <c r="AA22" s="17">
        <v>139</v>
      </c>
      <c r="AB22" s="12">
        <f t="shared" si="0"/>
        <v>20</v>
      </c>
    </row>
    <row r="23" ht="14.25" spans="1:28">
      <c r="A23" s="13">
        <v>756</v>
      </c>
      <c r="B23" s="15">
        <v>16</v>
      </c>
      <c r="C23" s="16">
        <v>11</v>
      </c>
      <c r="D23" s="17" t="s">
        <v>1512</v>
      </c>
      <c r="E23" s="17" t="s">
        <v>65</v>
      </c>
      <c r="F23" s="17">
        <v>100</v>
      </c>
      <c r="G23" s="17">
        <v>958</v>
      </c>
      <c r="H23" s="17">
        <v>125</v>
      </c>
      <c r="I23" s="17">
        <v>16</v>
      </c>
      <c r="J23" s="17">
        <v>118.25</v>
      </c>
      <c r="K23" s="17">
        <v>196</v>
      </c>
      <c r="L23" s="17"/>
      <c r="M23" s="17"/>
      <c r="N23" s="17">
        <v>56</v>
      </c>
      <c r="O23" s="17">
        <v>804</v>
      </c>
      <c r="P23" s="17"/>
      <c r="Q23" s="17"/>
      <c r="R23" s="17"/>
      <c r="S23" s="17"/>
      <c r="T23" s="17">
        <v>87</v>
      </c>
      <c r="U23" s="17">
        <v>333</v>
      </c>
      <c r="V23" s="17">
        <v>82</v>
      </c>
      <c r="W23" s="17">
        <v>124</v>
      </c>
      <c r="X23" s="15">
        <v>343.25</v>
      </c>
      <c r="Y23" s="17">
        <v>10</v>
      </c>
      <c r="Z23" s="17">
        <v>568.25</v>
      </c>
      <c r="AA23" s="17">
        <v>139</v>
      </c>
      <c r="AB23" s="12">
        <f t="shared" si="0"/>
        <v>20</v>
      </c>
    </row>
    <row r="24" ht="14.25" spans="1:28">
      <c r="A24" s="13">
        <v>767</v>
      </c>
      <c r="B24" s="15">
        <v>16</v>
      </c>
      <c r="C24" s="16">
        <v>22</v>
      </c>
      <c r="D24" s="17" t="s">
        <v>1533</v>
      </c>
      <c r="E24" s="17" t="s">
        <v>1534</v>
      </c>
      <c r="F24" s="17">
        <v>107.5</v>
      </c>
      <c r="G24" s="17">
        <v>270</v>
      </c>
      <c r="H24" s="17">
        <v>108</v>
      </c>
      <c r="I24" s="17">
        <v>154</v>
      </c>
      <c r="J24" s="17">
        <v>130.5</v>
      </c>
      <c r="K24" s="17">
        <v>27</v>
      </c>
      <c r="L24" s="17"/>
      <c r="M24" s="17"/>
      <c r="N24" s="17">
        <v>58</v>
      </c>
      <c r="O24" s="17">
        <v>588</v>
      </c>
      <c r="P24" s="17"/>
      <c r="Q24" s="17"/>
      <c r="R24" s="17"/>
      <c r="S24" s="17"/>
      <c r="T24" s="17">
        <v>83</v>
      </c>
      <c r="U24" s="17">
        <v>616</v>
      </c>
      <c r="V24" s="17">
        <v>81</v>
      </c>
      <c r="W24" s="17">
        <v>135</v>
      </c>
      <c r="X24" s="15">
        <v>346</v>
      </c>
      <c r="Y24" s="17">
        <v>6</v>
      </c>
      <c r="Z24" s="17">
        <v>568</v>
      </c>
      <c r="AA24" s="17">
        <v>142</v>
      </c>
      <c r="AB24" s="12">
        <f t="shared" si="0"/>
        <v>22</v>
      </c>
    </row>
    <row r="25" ht="14.25" spans="1:28">
      <c r="A25" s="13">
        <v>772</v>
      </c>
      <c r="B25" s="15">
        <v>16</v>
      </c>
      <c r="C25" s="16">
        <v>28</v>
      </c>
      <c r="D25" s="17" t="s">
        <v>1542</v>
      </c>
      <c r="E25" s="17" t="s">
        <v>1543</v>
      </c>
      <c r="F25" s="17">
        <v>112.5</v>
      </c>
      <c r="G25" s="17">
        <v>92</v>
      </c>
      <c r="H25" s="17">
        <v>89</v>
      </c>
      <c r="I25" s="17">
        <v>515</v>
      </c>
      <c r="J25" s="17">
        <v>122</v>
      </c>
      <c r="K25" s="17">
        <v>129</v>
      </c>
      <c r="L25" s="17"/>
      <c r="M25" s="17"/>
      <c r="N25" s="17">
        <v>63.5</v>
      </c>
      <c r="O25" s="17">
        <v>253</v>
      </c>
      <c r="P25" s="17"/>
      <c r="Q25" s="17"/>
      <c r="R25" s="17">
        <v>92</v>
      </c>
      <c r="S25" s="17">
        <v>16</v>
      </c>
      <c r="T25" s="17">
        <v>88</v>
      </c>
      <c r="U25" s="17">
        <v>227</v>
      </c>
      <c r="V25" s="17"/>
      <c r="W25" s="17"/>
      <c r="X25" s="15">
        <v>323.5</v>
      </c>
      <c r="Y25" s="17">
        <v>38</v>
      </c>
      <c r="Z25" s="17">
        <v>567</v>
      </c>
      <c r="AA25" s="17">
        <v>145</v>
      </c>
      <c r="AB25" s="12">
        <f t="shared" si="0"/>
        <v>23</v>
      </c>
    </row>
    <row r="26" ht="14.25" spans="1:28">
      <c r="A26" s="13">
        <v>791</v>
      </c>
      <c r="B26" s="15">
        <v>17</v>
      </c>
      <c r="C26" s="16">
        <v>12</v>
      </c>
      <c r="D26" s="17" t="s">
        <v>1580</v>
      </c>
      <c r="E26" s="17" t="s">
        <v>1581</v>
      </c>
      <c r="F26" s="17">
        <v>113</v>
      </c>
      <c r="G26" s="17">
        <v>78</v>
      </c>
      <c r="H26" s="17">
        <v>103.5</v>
      </c>
      <c r="I26" s="17">
        <v>209</v>
      </c>
      <c r="J26" s="17">
        <v>117.25</v>
      </c>
      <c r="K26" s="17">
        <v>217</v>
      </c>
      <c r="L26" s="17"/>
      <c r="M26" s="17"/>
      <c r="N26" s="17">
        <v>58</v>
      </c>
      <c r="O26" s="17">
        <v>588</v>
      </c>
      <c r="P26" s="17"/>
      <c r="Q26" s="17"/>
      <c r="R26" s="17">
        <v>87</v>
      </c>
      <c r="S26" s="17">
        <v>202</v>
      </c>
      <c r="T26" s="17">
        <v>88</v>
      </c>
      <c r="U26" s="17">
        <v>227</v>
      </c>
      <c r="V26" s="17"/>
      <c r="W26" s="17"/>
      <c r="X26" s="15">
        <v>333.75</v>
      </c>
      <c r="Y26" s="17">
        <v>21</v>
      </c>
      <c r="Z26" s="17">
        <v>566.75</v>
      </c>
      <c r="AA26" s="17">
        <v>148</v>
      </c>
      <c r="AB26" s="12">
        <f t="shared" si="0"/>
        <v>24</v>
      </c>
    </row>
    <row r="27" ht="14.25" spans="1:28">
      <c r="A27" s="13">
        <v>797</v>
      </c>
      <c r="B27" s="15">
        <v>17</v>
      </c>
      <c r="C27" s="16">
        <v>20</v>
      </c>
      <c r="D27" s="17" t="s">
        <v>1592</v>
      </c>
      <c r="E27" s="17" t="s">
        <v>1593</v>
      </c>
      <c r="F27" s="17">
        <v>112.5</v>
      </c>
      <c r="G27" s="17">
        <v>92</v>
      </c>
      <c r="H27" s="17">
        <v>94.5</v>
      </c>
      <c r="I27" s="17">
        <v>381</v>
      </c>
      <c r="J27" s="17">
        <v>116.5</v>
      </c>
      <c r="K27" s="17">
        <v>233</v>
      </c>
      <c r="L27" s="17"/>
      <c r="M27" s="17"/>
      <c r="N27" s="17">
        <v>65.5</v>
      </c>
      <c r="O27" s="17">
        <v>173</v>
      </c>
      <c r="P27" s="17"/>
      <c r="Q27" s="17"/>
      <c r="R27" s="17">
        <v>87</v>
      </c>
      <c r="S27" s="17">
        <v>202</v>
      </c>
      <c r="T27" s="17">
        <v>89</v>
      </c>
      <c r="U27" s="17">
        <v>137</v>
      </c>
      <c r="V27" s="17"/>
      <c r="W27" s="17"/>
      <c r="X27" s="15">
        <v>323.5</v>
      </c>
      <c r="Y27" s="17">
        <v>38</v>
      </c>
      <c r="Z27" s="17">
        <v>565</v>
      </c>
      <c r="AA27" s="17">
        <v>156</v>
      </c>
      <c r="AB27" s="12">
        <f t="shared" si="0"/>
        <v>25</v>
      </c>
    </row>
    <row r="28" ht="14.25" spans="1:28">
      <c r="A28" s="13">
        <v>761</v>
      </c>
      <c r="B28" s="15">
        <v>16</v>
      </c>
      <c r="C28" s="16">
        <v>16</v>
      </c>
      <c r="D28" s="17" t="s">
        <v>1521</v>
      </c>
      <c r="E28" s="17" t="s">
        <v>1522</v>
      </c>
      <c r="F28" s="17">
        <v>111</v>
      </c>
      <c r="G28" s="17">
        <v>130</v>
      </c>
      <c r="H28" s="17">
        <v>110</v>
      </c>
      <c r="I28" s="17">
        <v>132</v>
      </c>
      <c r="J28" s="17">
        <v>123.5</v>
      </c>
      <c r="K28" s="17">
        <v>92</v>
      </c>
      <c r="L28" s="17"/>
      <c r="M28" s="17"/>
      <c r="N28" s="17">
        <v>50.5</v>
      </c>
      <c r="O28" s="17">
        <v>1493</v>
      </c>
      <c r="P28" s="17"/>
      <c r="Q28" s="17"/>
      <c r="R28" s="17"/>
      <c r="S28" s="17"/>
      <c r="T28" s="17">
        <v>88</v>
      </c>
      <c r="U28" s="17">
        <v>227</v>
      </c>
      <c r="V28" s="17">
        <v>81</v>
      </c>
      <c r="W28" s="17">
        <v>135</v>
      </c>
      <c r="X28" s="15">
        <v>344.5</v>
      </c>
      <c r="Y28" s="17">
        <v>8</v>
      </c>
      <c r="Z28" s="17">
        <v>564</v>
      </c>
      <c r="AA28" s="17">
        <v>161</v>
      </c>
      <c r="AB28" s="12">
        <f t="shared" si="0"/>
        <v>26</v>
      </c>
    </row>
    <row r="29" ht="14.25" spans="1:28">
      <c r="A29" s="13">
        <v>798</v>
      </c>
      <c r="B29" s="15">
        <v>17</v>
      </c>
      <c r="C29" s="16">
        <v>21</v>
      </c>
      <c r="D29" s="17" t="s">
        <v>1594</v>
      </c>
      <c r="E29" s="17" t="s">
        <v>1595</v>
      </c>
      <c r="F29" s="17">
        <v>100</v>
      </c>
      <c r="G29" s="17">
        <v>958</v>
      </c>
      <c r="H29" s="17">
        <v>114</v>
      </c>
      <c r="I29" s="17">
        <v>77</v>
      </c>
      <c r="J29" s="17">
        <v>117</v>
      </c>
      <c r="K29" s="17">
        <v>222</v>
      </c>
      <c r="L29" s="17"/>
      <c r="M29" s="17"/>
      <c r="N29" s="17">
        <v>66</v>
      </c>
      <c r="O29" s="17">
        <v>163</v>
      </c>
      <c r="P29" s="17"/>
      <c r="Q29" s="17"/>
      <c r="R29" s="17">
        <v>79</v>
      </c>
      <c r="S29" s="17">
        <v>590</v>
      </c>
      <c r="T29" s="17">
        <v>87</v>
      </c>
      <c r="U29" s="17">
        <v>333</v>
      </c>
      <c r="V29" s="17"/>
      <c r="W29" s="17"/>
      <c r="X29" s="15">
        <v>331</v>
      </c>
      <c r="Y29" s="17">
        <v>24</v>
      </c>
      <c r="Z29" s="17">
        <v>563</v>
      </c>
      <c r="AA29" s="17">
        <v>163</v>
      </c>
      <c r="AB29" s="12">
        <f t="shared" si="0"/>
        <v>27</v>
      </c>
    </row>
    <row r="30" ht="14.25" spans="1:28">
      <c r="A30" s="13">
        <v>674</v>
      </c>
      <c r="B30" s="15">
        <v>14</v>
      </c>
      <c r="C30" s="16">
        <v>14</v>
      </c>
      <c r="D30" s="17" t="s">
        <v>1354</v>
      </c>
      <c r="E30" s="17" t="s">
        <v>1355</v>
      </c>
      <c r="F30" s="17">
        <v>116</v>
      </c>
      <c r="G30" s="17">
        <v>34</v>
      </c>
      <c r="H30" s="17">
        <v>98</v>
      </c>
      <c r="I30" s="17">
        <v>314</v>
      </c>
      <c r="J30" s="17">
        <v>103.75</v>
      </c>
      <c r="K30" s="17">
        <v>574</v>
      </c>
      <c r="L30" s="17"/>
      <c r="M30" s="17"/>
      <c r="N30" s="17">
        <v>69</v>
      </c>
      <c r="O30" s="17">
        <v>71</v>
      </c>
      <c r="P30" s="17"/>
      <c r="Q30" s="17"/>
      <c r="R30" s="17"/>
      <c r="S30" s="17"/>
      <c r="T30" s="17">
        <v>92</v>
      </c>
      <c r="U30" s="17">
        <v>30</v>
      </c>
      <c r="V30" s="17">
        <v>84</v>
      </c>
      <c r="W30" s="17">
        <v>104</v>
      </c>
      <c r="X30" s="15">
        <v>317.75</v>
      </c>
      <c r="Y30" s="17">
        <v>48</v>
      </c>
      <c r="Z30" s="17">
        <v>562.75</v>
      </c>
      <c r="AA30" s="17">
        <v>166</v>
      </c>
      <c r="AB30" s="12">
        <f t="shared" si="0"/>
        <v>28</v>
      </c>
    </row>
    <row r="31" ht="14.25" spans="1:28">
      <c r="A31" s="13">
        <v>753</v>
      </c>
      <c r="B31" s="15">
        <v>16</v>
      </c>
      <c r="C31" s="16">
        <v>8</v>
      </c>
      <c r="D31" s="17" t="s">
        <v>1506</v>
      </c>
      <c r="E31" s="17" t="s">
        <v>1507</v>
      </c>
      <c r="F31" s="17">
        <v>104.5</v>
      </c>
      <c r="G31" s="17">
        <v>475</v>
      </c>
      <c r="H31" s="17">
        <v>93.5</v>
      </c>
      <c r="I31" s="17">
        <v>401</v>
      </c>
      <c r="J31" s="17">
        <v>114.5</v>
      </c>
      <c r="K31" s="17">
        <v>271</v>
      </c>
      <c r="L31" s="17"/>
      <c r="M31" s="17"/>
      <c r="N31" s="17">
        <v>69</v>
      </c>
      <c r="O31" s="17">
        <v>71</v>
      </c>
      <c r="P31" s="17"/>
      <c r="Q31" s="17"/>
      <c r="R31" s="17"/>
      <c r="S31" s="17"/>
      <c r="T31" s="17">
        <v>92</v>
      </c>
      <c r="U31" s="17">
        <v>30</v>
      </c>
      <c r="V31" s="17">
        <v>88</v>
      </c>
      <c r="W31" s="17">
        <v>30</v>
      </c>
      <c r="X31" s="15">
        <v>312.5</v>
      </c>
      <c r="Y31" s="17">
        <v>64</v>
      </c>
      <c r="Z31" s="17">
        <v>561.5</v>
      </c>
      <c r="AA31" s="17">
        <v>172</v>
      </c>
      <c r="AB31" s="12">
        <f t="shared" si="0"/>
        <v>29</v>
      </c>
    </row>
    <row r="32" ht="14.25" spans="1:28">
      <c r="A32" s="13">
        <v>781</v>
      </c>
      <c r="B32" s="15">
        <v>16</v>
      </c>
      <c r="C32" s="16">
        <v>38</v>
      </c>
      <c r="D32" s="17" t="s">
        <v>1560</v>
      </c>
      <c r="E32" s="17" t="s">
        <v>1561</v>
      </c>
      <c r="F32" s="17">
        <v>90</v>
      </c>
      <c r="G32" s="17">
        <v>2340</v>
      </c>
      <c r="H32" s="17">
        <v>116.5</v>
      </c>
      <c r="I32" s="17">
        <v>57</v>
      </c>
      <c r="J32" s="17">
        <v>125</v>
      </c>
      <c r="K32" s="17">
        <v>77</v>
      </c>
      <c r="L32" s="17"/>
      <c r="M32" s="17"/>
      <c r="N32" s="17">
        <v>67</v>
      </c>
      <c r="O32" s="17">
        <v>119</v>
      </c>
      <c r="P32" s="17"/>
      <c r="Q32" s="17"/>
      <c r="R32" s="17">
        <v>79</v>
      </c>
      <c r="S32" s="17">
        <v>590</v>
      </c>
      <c r="T32" s="17">
        <v>84</v>
      </c>
      <c r="U32" s="17">
        <v>578</v>
      </c>
      <c r="V32" s="17"/>
      <c r="W32" s="17"/>
      <c r="X32" s="15">
        <v>331.5</v>
      </c>
      <c r="Y32" s="17">
        <v>23</v>
      </c>
      <c r="Z32" s="17">
        <v>561.5</v>
      </c>
      <c r="AA32" s="17">
        <v>172</v>
      </c>
      <c r="AB32" s="12">
        <f t="shared" si="0"/>
        <v>29</v>
      </c>
    </row>
    <row r="33" ht="14.25" spans="1:28">
      <c r="A33" s="13">
        <v>746</v>
      </c>
      <c r="B33" s="15">
        <v>16</v>
      </c>
      <c r="C33" s="16">
        <v>1</v>
      </c>
      <c r="D33" s="17" t="s">
        <v>1494</v>
      </c>
      <c r="E33" s="17" t="s">
        <v>1495</v>
      </c>
      <c r="F33" s="17">
        <v>107</v>
      </c>
      <c r="G33" s="17">
        <v>307</v>
      </c>
      <c r="H33" s="17">
        <v>119.5</v>
      </c>
      <c r="I33" s="17">
        <v>35</v>
      </c>
      <c r="J33" s="17">
        <v>117</v>
      </c>
      <c r="K33" s="17">
        <v>222</v>
      </c>
      <c r="L33" s="17"/>
      <c r="M33" s="17"/>
      <c r="N33" s="17">
        <v>55</v>
      </c>
      <c r="O33" s="17">
        <v>914</v>
      </c>
      <c r="P33" s="17">
        <v>74</v>
      </c>
      <c r="Q33" s="17">
        <v>8</v>
      </c>
      <c r="R33" s="17"/>
      <c r="S33" s="17"/>
      <c r="T33" s="17"/>
      <c r="U33" s="17"/>
      <c r="V33" s="17">
        <v>86</v>
      </c>
      <c r="W33" s="17">
        <v>73</v>
      </c>
      <c r="X33" s="15">
        <v>343.5</v>
      </c>
      <c r="Y33" s="17">
        <v>9</v>
      </c>
      <c r="Z33" s="17">
        <v>558.5</v>
      </c>
      <c r="AA33" s="17">
        <v>186</v>
      </c>
      <c r="AB33" s="12">
        <f t="shared" si="0"/>
        <v>31</v>
      </c>
    </row>
    <row r="34" ht="14.25" spans="1:28">
      <c r="A34" s="13">
        <v>776</v>
      </c>
      <c r="B34" s="15">
        <v>16</v>
      </c>
      <c r="C34" s="16">
        <v>33</v>
      </c>
      <c r="D34" s="17" t="s">
        <v>1550</v>
      </c>
      <c r="E34" s="17" t="s">
        <v>1551</v>
      </c>
      <c r="F34" s="17">
        <v>108.5</v>
      </c>
      <c r="G34" s="17">
        <v>223</v>
      </c>
      <c r="H34" s="17">
        <v>95</v>
      </c>
      <c r="I34" s="17">
        <v>372</v>
      </c>
      <c r="J34" s="17">
        <v>123.25</v>
      </c>
      <c r="K34" s="17">
        <v>100</v>
      </c>
      <c r="L34" s="17"/>
      <c r="M34" s="17"/>
      <c r="N34" s="17">
        <v>61.5</v>
      </c>
      <c r="O34" s="17">
        <v>347</v>
      </c>
      <c r="P34" s="17"/>
      <c r="Q34" s="17"/>
      <c r="R34" s="17">
        <v>86</v>
      </c>
      <c r="S34" s="17">
        <v>293</v>
      </c>
      <c r="T34" s="17">
        <v>83</v>
      </c>
      <c r="U34" s="17">
        <v>616</v>
      </c>
      <c r="V34" s="17"/>
      <c r="W34" s="17"/>
      <c r="X34" s="15">
        <v>326.75</v>
      </c>
      <c r="Y34" s="17">
        <v>28</v>
      </c>
      <c r="Z34" s="17">
        <v>557.25</v>
      </c>
      <c r="AA34" s="17">
        <v>192</v>
      </c>
      <c r="AB34" s="12">
        <f t="shared" si="0"/>
        <v>32</v>
      </c>
    </row>
    <row r="35" ht="14.25" spans="1:28">
      <c r="A35" s="13">
        <v>773</v>
      </c>
      <c r="B35" s="15">
        <v>16</v>
      </c>
      <c r="C35" s="16">
        <v>29</v>
      </c>
      <c r="D35" s="17" t="s">
        <v>1544</v>
      </c>
      <c r="E35" s="17" t="s">
        <v>1545</v>
      </c>
      <c r="F35" s="17">
        <v>101</v>
      </c>
      <c r="G35" s="17">
        <v>861</v>
      </c>
      <c r="H35" s="17">
        <v>119</v>
      </c>
      <c r="I35" s="17">
        <v>37</v>
      </c>
      <c r="J35" s="17">
        <v>105.5</v>
      </c>
      <c r="K35" s="17">
        <v>523</v>
      </c>
      <c r="L35" s="17"/>
      <c r="M35" s="17"/>
      <c r="N35" s="17">
        <v>56.5</v>
      </c>
      <c r="O35" s="17">
        <v>750</v>
      </c>
      <c r="P35" s="17"/>
      <c r="Q35" s="17"/>
      <c r="R35" s="17">
        <v>87</v>
      </c>
      <c r="S35" s="17">
        <v>202</v>
      </c>
      <c r="T35" s="17">
        <v>88</v>
      </c>
      <c r="U35" s="17">
        <v>227</v>
      </c>
      <c r="V35" s="17"/>
      <c r="W35" s="17"/>
      <c r="X35" s="15">
        <v>325.5</v>
      </c>
      <c r="Y35" s="17">
        <v>32</v>
      </c>
      <c r="Z35" s="17">
        <v>557</v>
      </c>
      <c r="AA35" s="17">
        <v>193</v>
      </c>
      <c r="AB35" s="12">
        <f t="shared" si="0"/>
        <v>33</v>
      </c>
    </row>
    <row r="36" ht="14.25" spans="1:28">
      <c r="A36" s="13">
        <v>678</v>
      </c>
      <c r="B36" s="15">
        <v>14</v>
      </c>
      <c r="C36" s="16">
        <v>19</v>
      </c>
      <c r="D36" s="17" t="s">
        <v>1362</v>
      </c>
      <c r="E36" s="17" t="s">
        <v>1363</v>
      </c>
      <c r="F36" s="17">
        <v>107</v>
      </c>
      <c r="G36" s="17">
        <v>307</v>
      </c>
      <c r="H36" s="17">
        <v>98.5</v>
      </c>
      <c r="I36" s="17">
        <v>305</v>
      </c>
      <c r="J36" s="17">
        <v>105.5</v>
      </c>
      <c r="K36" s="17">
        <v>523</v>
      </c>
      <c r="L36" s="17"/>
      <c r="M36" s="17"/>
      <c r="N36" s="17">
        <v>70</v>
      </c>
      <c r="O36" s="17">
        <v>52</v>
      </c>
      <c r="P36" s="17"/>
      <c r="Q36" s="17"/>
      <c r="R36" s="17"/>
      <c r="S36" s="17"/>
      <c r="T36" s="17">
        <v>87</v>
      </c>
      <c r="U36" s="17">
        <v>333</v>
      </c>
      <c r="V36" s="17">
        <v>88</v>
      </c>
      <c r="W36" s="17">
        <v>30</v>
      </c>
      <c r="X36" s="15">
        <v>311</v>
      </c>
      <c r="Y36" s="17">
        <v>69</v>
      </c>
      <c r="Z36" s="17">
        <v>556</v>
      </c>
      <c r="AA36" s="17">
        <v>199</v>
      </c>
      <c r="AB36" s="12">
        <f t="shared" si="0"/>
        <v>34</v>
      </c>
    </row>
    <row r="37" ht="14.25" spans="1:28">
      <c r="A37" s="13">
        <v>763</v>
      </c>
      <c r="B37" s="15">
        <v>16</v>
      </c>
      <c r="C37" s="16">
        <v>18</v>
      </c>
      <c r="D37" s="17" t="s">
        <v>1525</v>
      </c>
      <c r="E37" s="17" t="s">
        <v>1526</v>
      </c>
      <c r="F37" s="17">
        <v>107.5</v>
      </c>
      <c r="G37" s="17">
        <v>270</v>
      </c>
      <c r="H37" s="17">
        <v>97.5</v>
      </c>
      <c r="I37" s="17">
        <v>318</v>
      </c>
      <c r="J37" s="17">
        <v>113</v>
      </c>
      <c r="K37" s="17">
        <v>307</v>
      </c>
      <c r="L37" s="17"/>
      <c r="M37" s="17"/>
      <c r="N37" s="17">
        <v>60</v>
      </c>
      <c r="O37" s="17">
        <v>457</v>
      </c>
      <c r="P37" s="17"/>
      <c r="Q37" s="17"/>
      <c r="R37" s="17"/>
      <c r="S37" s="17"/>
      <c r="T37" s="17">
        <v>89</v>
      </c>
      <c r="U37" s="17">
        <v>137</v>
      </c>
      <c r="V37" s="17">
        <v>89</v>
      </c>
      <c r="W37" s="17">
        <v>23</v>
      </c>
      <c r="X37" s="15">
        <v>318</v>
      </c>
      <c r="Y37" s="17">
        <v>46</v>
      </c>
      <c r="Z37" s="17">
        <v>556</v>
      </c>
      <c r="AA37" s="17">
        <v>199</v>
      </c>
      <c r="AB37" s="12">
        <f t="shared" si="0"/>
        <v>34</v>
      </c>
    </row>
    <row r="38" ht="14.25" spans="1:28">
      <c r="A38" s="13">
        <v>705</v>
      </c>
      <c r="B38" s="15">
        <v>15</v>
      </c>
      <c r="C38" s="16">
        <v>2</v>
      </c>
      <c r="D38" s="17" t="s">
        <v>1414</v>
      </c>
      <c r="E38" s="17" t="s">
        <v>1415</v>
      </c>
      <c r="F38" s="17">
        <v>110.5</v>
      </c>
      <c r="G38" s="17">
        <v>151</v>
      </c>
      <c r="H38" s="17">
        <v>114</v>
      </c>
      <c r="I38" s="17">
        <v>77</v>
      </c>
      <c r="J38" s="17">
        <v>93</v>
      </c>
      <c r="K38" s="17">
        <v>1008</v>
      </c>
      <c r="L38" s="17"/>
      <c r="M38" s="17"/>
      <c r="N38" s="17">
        <v>62.5</v>
      </c>
      <c r="O38" s="17">
        <v>292</v>
      </c>
      <c r="P38" s="17"/>
      <c r="Q38" s="17"/>
      <c r="R38" s="17"/>
      <c r="S38" s="17"/>
      <c r="T38" s="17">
        <v>87</v>
      </c>
      <c r="U38" s="17">
        <v>333</v>
      </c>
      <c r="V38" s="17">
        <v>87</v>
      </c>
      <c r="W38" s="17">
        <v>54</v>
      </c>
      <c r="X38" s="15">
        <v>317.5</v>
      </c>
      <c r="Y38" s="17">
        <v>50</v>
      </c>
      <c r="Z38" s="17">
        <v>554</v>
      </c>
      <c r="AA38" s="17">
        <v>205</v>
      </c>
      <c r="AB38" s="12">
        <f t="shared" si="0"/>
        <v>36</v>
      </c>
    </row>
    <row r="39" ht="14.25" spans="1:28">
      <c r="A39" s="13">
        <v>760</v>
      </c>
      <c r="B39" s="15">
        <v>16</v>
      </c>
      <c r="C39" s="16">
        <v>15</v>
      </c>
      <c r="D39" s="17" t="s">
        <v>1519</v>
      </c>
      <c r="E39" s="17" t="s">
        <v>1520</v>
      </c>
      <c r="F39" s="17">
        <v>105</v>
      </c>
      <c r="G39" s="17">
        <v>437</v>
      </c>
      <c r="H39" s="17">
        <v>105</v>
      </c>
      <c r="I39" s="17">
        <v>189</v>
      </c>
      <c r="J39" s="17">
        <v>124</v>
      </c>
      <c r="K39" s="17">
        <v>89</v>
      </c>
      <c r="L39" s="17"/>
      <c r="M39" s="17"/>
      <c r="N39" s="17">
        <v>67</v>
      </c>
      <c r="O39" s="17">
        <v>119</v>
      </c>
      <c r="P39" s="17"/>
      <c r="Q39" s="17"/>
      <c r="R39" s="17"/>
      <c r="S39" s="17"/>
      <c r="T39" s="17">
        <v>75</v>
      </c>
      <c r="U39" s="17">
        <v>1272</v>
      </c>
      <c r="V39" s="17">
        <v>78</v>
      </c>
      <c r="W39" s="17">
        <v>215</v>
      </c>
      <c r="X39" s="15">
        <v>334</v>
      </c>
      <c r="Y39" s="17">
        <v>20</v>
      </c>
      <c r="Z39" s="17">
        <v>554</v>
      </c>
      <c r="AA39" s="17">
        <v>205</v>
      </c>
      <c r="AB39" s="12">
        <f t="shared" si="0"/>
        <v>36</v>
      </c>
    </row>
    <row r="40" ht="14.25" spans="1:28">
      <c r="A40" s="13">
        <v>792</v>
      </c>
      <c r="B40" s="15">
        <v>17</v>
      </c>
      <c r="C40" s="16">
        <v>13</v>
      </c>
      <c r="D40" s="17" t="s">
        <v>1582</v>
      </c>
      <c r="E40" s="17" t="s">
        <v>1583</v>
      </c>
      <c r="F40" s="17">
        <v>109.5</v>
      </c>
      <c r="G40" s="17">
        <v>183</v>
      </c>
      <c r="H40" s="17">
        <v>98.5</v>
      </c>
      <c r="I40" s="17">
        <v>305</v>
      </c>
      <c r="J40" s="17">
        <v>112</v>
      </c>
      <c r="K40" s="17">
        <v>334</v>
      </c>
      <c r="L40" s="17"/>
      <c r="M40" s="17"/>
      <c r="N40" s="17">
        <v>62</v>
      </c>
      <c r="O40" s="17">
        <v>315</v>
      </c>
      <c r="P40" s="17"/>
      <c r="Q40" s="17"/>
      <c r="R40" s="17">
        <v>85</v>
      </c>
      <c r="S40" s="17">
        <v>343</v>
      </c>
      <c r="T40" s="17">
        <v>87</v>
      </c>
      <c r="U40" s="17">
        <v>333</v>
      </c>
      <c r="V40" s="17"/>
      <c r="W40" s="17"/>
      <c r="X40" s="15">
        <v>320</v>
      </c>
      <c r="Y40" s="17">
        <v>42</v>
      </c>
      <c r="Z40" s="17">
        <v>554</v>
      </c>
      <c r="AA40" s="17">
        <v>205</v>
      </c>
      <c r="AB40" s="12">
        <f t="shared" si="0"/>
        <v>36</v>
      </c>
    </row>
    <row r="41" ht="14.25" spans="1:28">
      <c r="A41" s="13">
        <v>757</v>
      </c>
      <c r="B41" s="15">
        <v>16</v>
      </c>
      <c r="C41" s="16">
        <v>12</v>
      </c>
      <c r="D41" s="17" t="s">
        <v>1513</v>
      </c>
      <c r="E41" s="17" t="s">
        <v>1514</v>
      </c>
      <c r="F41" s="17">
        <v>101.5</v>
      </c>
      <c r="G41" s="17">
        <v>805</v>
      </c>
      <c r="H41" s="17">
        <v>102.5</v>
      </c>
      <c r="I41" s="17">
        <v>229</v>
      </c>
      <c r="J41" s="17">
        <v>114</v>
      </c>
      <c r="K41" s="17">
        <v>281</v>
      </c>
      <c r="L41" s="17"/>
      <c r="M41" s="17"/>
      <c r="N41" s="17">
        <v>57.25</v>
      </c>
      <c r="O41" s="17">
        <v>688</v>
      </c>
      <c r="P41" s="17"/>
      <c r="Q41" s="17"/>
      <c r="R41" s="17"/>
      <c r="S41" s="17"/>
      <c r="T41" s="17">
        <v>91</v>
      </c>
      <c r="U41" s="17">
        <v>51</v>
      </c>
      <c r="V41" s="17">
        <v>87</v>
      </c>
      <c r="W41" s="17">
        <v>54</v>
      </c>
      <c r="X41" s="15">
        <v>318</v>
      </c>
      <c r="Y41" s="17">
        <v>46</v>
      </c>
      <c r="Z41" s="17">
        <v>553.25</v>
      </c>
      <c r="AA41" s="17">
        <v>211</v>
      </c>
      <c r="AB41" s="12">
        <f t="shared" si="0"/>
        <v>39</v>
      </c>
    </row>
    <row r="42" ht="14.25" spans="1:28">
      <c r="A42" s="13">
        <v>779</v>
      </c>
      <c r="B42" s="15">
        <v>16</v>
      </c>
      <c r="C42" s="16">
        <v>36</v>
      </c>
      <c r="D42" s="17" t="s">
        <v>1556</v>
      </c>
      <c r="E42" s="17" t="s">
        <v>1557</v>
      </c>
      <c r="F42" s="17">
        <v>112.5</v>
      </c>
      <c r="G42" s="17">
        <v>92</v>
      </c>
      <c r="H42" s="17">
        <v>94</v>
      </c>
      <c r="I42" s="17">
        <v>391</v>
      </c>
      <c r="J42" s="17">
        <v>118.5</v>
      </c>
      <c r="K42" s="17">
        <v>189</v>
      </c>
      <c r="L42" s="17"/>
      <c r="M42" s="17"/>
      <c r="N42" s="17">
        <v>67</v>
      </c>
      <c r="O42" s="17">
        <v>119</v>
      </c>
      <c r="P42" s="17"/>
      <c r="Q42" s="17"/>
      <c r="R42" s="17">
        <v>71</v>
      </c>
      <c r="S42" s="17">
        <v>1117</v>
      </c>
      <c r="T42" s="17">
        <v>87</v>
      </c>
      <c r="U42" s="17">
        <v>333</v>
      </c>
      <c r="V42" s="17"/>
      <c r="W42" s="17"/>
      <c r="X42" s="15">
        <v>325</v>
      </c>
      <c r="Y42" s="17">
        <v>34</v>
      </c>
      <c r="Z42" s="17">
        <v>550</v>
      </c>
      <c r="AA42" s="17">
        <v>224</v>
      </c>
      <c r="AB42" s="12">
        <f t="shared" si="0"/>
        <v>40</v>
      </c>
    </row>
    <row r="43" ht="14.25" spans="1:28">
      <c r="A43" s="13">
        <v>842</v>
      </c>
      <c r="B43" s="15">
        <v>18</v>
      </c>
      <c r="C43" s="16">
        <v>22</v>
      </c>
      <c r="D43" s="17" t="s">
        <v>1682</v>
      </c>
      <c r="E43" s="17" t="s">
        <v>1683</v>
      </c>
      <c r="F43" s="17">
        <v>98.5</v>
      </c>
      <c r="G43" s="17">
        <v>1145</v>
      </c>
      <c r="H43" s="17">
        <v>110.5</v>
      </c>
      <c r="I43" s="17">
        <v>121</v>
      </c>
      <c r="J43" s="17">
        <v>83.5</v>
      </c>
      <c r="K43" s="17">
        <v>1487</v>
      </c>
      <c r="L43" s="17"/>
      <c r="M43" s="17"/>
      <c r="N43" s="17">
        <v>76</v>
      </c>
      <c r="O43" s="17">
        <v>4</v>
      </c>
      <c r="P43" s="17"/>
      <c r="Q43" s="17"/>
      <c r="R43" s="17">
        <v>92</v>
      </c>
      <c r="S43" s="17">
        <v>16</v>
      </c>
      <c r="T43" s="17">
        <v>89</v>
      </c>
      <c r="U43" s="17">
        <v>137</v>
      </c>
      <c r="V43" s="17"/>
      <c r="W43" s="17"/>
      <c r="X43" s="15">
        <v>292.5</v>
      </c>
      <c r="Y43" s="17">
        <v>122</v>
      </c>
      <c r="Z43" s="17">
        <v>549.5</v>
      </c>
      <c r="AA43" s="17">
        <v>229</v>
      </c>
      <c r="AB43" s="12">
        <f t="shared" si="0"/>
        <v>41</v>
      </c>
    </row>
    <row r="44" ht="14.25" spans="1:28">
      <c r="A44" s="13">
        <v>843</v>
      </c>
      <c r="B44" s="15">
        <v>18</v>
      </c>
      <c r="C44" s="16">
        <v>23</v>
      </c>
      <c r="D44" s="17" t="s">
        <v>1684</v>
      </c>
      <c r="E44" s="17" t="s">
        <v>1685</v>
      </c>
      <c r="F44" s="17">
        <v>111</v>
      </c>
      <c r="G44" s="17">
        <v>130</v>
      </c>
      <c r="H44" s="17">
        <v>99.5</v>
      </c>
      <c r="I44" s="17">
        <v>281</v>
      </c>
      <c r="J44" s="17">
        <v>110.5</v>
      </c>
      <c r="K44" s="17">
        <v>373</v>
      </c>
      <c r="L44" s="17"/>
      <c r="M44" s="17"/>
      <c r="N44" s="17">
        <v>57.5</v>
      </c>
      <c r="O44" s="17">
        <v>638</v>
      </c>
      <c r="P44" s="17"/>
      <c r="Q44" s="17"/>
      <c r="R44" s="17">
        <v>86</v>
      </c>
      <c r="S44" s="17">
        <v>293</v>
      </c>
      <c r="T44" s="17">
        <v>85</v>
      </c>
      <c r="U44" s="17">
        <v>537</v>
      </c>
      <c r="V44" s="17"/>
      <c r="W44" s="17"/>
      <c r="X44" s="15">
        <v>321</v>
      </c>
      <c r="Y44" s="17">
        <v>41</v>
      </c>
      <c r="Z44" s="17">
        <v>549.5</v>
      </c>
      <c r="AA44" s="17">
        <v>229</v>
      </c>
      <c r="AB44" s="12">
        <f t="shared" si="0"/>
        <v>41</v>
      </c>
    </row>
    <row r="45" ht="14.25" spans="1:28">
      <c r="A45" s="13">
        <v>684</v>
      </c>
      <c r="B45" s="15">
        <v>14</v>
      </c>
      <c r="C45" s="16">
        <v>25</v>
      </c>
      <c r="D45" s="17" t="s">
        <v>1374</v>
      </c>
      <c r="E45" s="17" t="s">
        <v>1375</v>
      </c>
      <c r="F45" s="17">
        <v>107</v>
      </c>
      <c r="G45" s="17">
        <v>307</v>
      </c>
      <c r="H45" s="17">
        <v>95</v>
      </c>
      <c r="I45" s="17">
        <v>372</v>
      </c>
      <c r="J45" s="17">
        <v>113.25</v>
      </c>
      <c r="K45" s="17">
        <v>304</v>
      </c>
      <c r="L45" s="17"/>
      <c r="M45" s="17"/>
      <c r="N45" s="17">
        <v>66</v>
      </c>
      <c r="O45" s="17">
        <v>163</v>
      </c>
      <c r="P45" s="17"/>
      <c r="Q45" s="17"/>
      <c r="R45" s="17"/>
      <c r="S45" s="17"/>
      <c r="T45" s="17">
        <v>88</v>
      </c>
      <c r="U45" s="17">
        <v>227</v>
      </c>
      <c r="V45" s="17">
        <v>80</v>
      </c>
      <c r="W45" s="17">
        <v>158</v>
      </c>
      <c r="X45" s="15">
        <v>315.25</v>
      </c>
      <c r="Y45" s="17">
        <v>54</v>
      </c>
      <c r="Z45" s="17">
        <v>549.25</v>
      </c>
      <c r="AA45" s="17">
        <v>233</v>
      </c>
      <c r="AB45" s="12">
        <f t="shared" si="0"/>
        <v>43</v>
      </c>
    </row>
    <row r="46" ht="14.25" spans="1:28">
      <c r="A46" s="13">
        <v>754</v>
      </c>
      <c r="B46" s="15">
        <v>16</v>
      </c>
      <c r="C46" s="16">
        <v>9</v>
      </c>
      <c r="D46" s="17" t="s">
        <v>1508</v>
      </c>
      <c r="E46" s="17" t="s">
        <v>1509</v>
      </c>
      <c r="F46" s="17">
        <v>100.5</v>
      </c>
      <c r="G46" s="17">
        <v>901</v>
      </c>
      <c r="H46" s="17">
        <v>97.5</v>
      </c>
      <c r="I46" s="17">
        <v>318</v>
      </c>
      <c r="J46" s="17">
        <v>111.5</v>
      </c>
      <c r="K46" s="17">
        <v>346</v>
      </c>
      <c r="L46" s="17"/>
      <c r="M46" s="17"/>
      <c r="N46" s="17">
        <v>72</v>
      </c>
      <c r="O46" s="17">
        <v>20</v>
      </c>
      <c r="P46" s="17"/>
      <c r="Q46" s="17"/>
      <c r="R46" s="17"/>
      <c r="S46" s="17"/>
      <c r="T46" s="17">
        <v>88</v>
      </c>
      <c r="U46" s="17">
        <v>227</v>
      </c>
      <c r="V46" s="17">
        <v>79</v>
      </c>
      <c r="W46" s="17">
        <v>194</v>
      </c>
      <c r="X46" s="15">
        <v>309.5</v>
      </c>
      <c r="Y46" s="17">
        <v>73</v>
      </c>
      <c r="Z46" s="17">
        <v>548.5</v>
      </c>
      <c r="AA46" s="17">
        <v>238</v>
      </c>
      <c r="AB46" s="12">
        <f t="shared" si="0"/>
        <v>44</v>
      </c>
    </row>
    <row r="47" ht="14.25" spans="1:28">
      <c r="A47" s="13">
        <v>778</v>
      </c>
      <c r="B47" s="15">
        <v>16</v>
      </c>
      <c r="C47" s="16">
        <v>35</v>
      </c>
      <c r="D47" s="17" t="s">
        <v>1554</v>
      </c>
      <c r="E47" s="17" t="s">
        <v>1555</v>
      </c>
      <c r="F47" s="17">
        <v>101.25</v>
      </c>
      <c r="G47" s="17">
        <v>857</v>
      </c>
      <c r="H47" s="17">
        <v>107.5</v>
      </c>
      <c r="I47" s="17">
        <v>160</v>
      </c>
      <c r="J47" s="17">
        <v>120.5</v>
      </c>
      <c r="K47" s="17">
        <v>153</v>
      </c>
      <c r="L47" s="17"/>
      <c r="M47" s="17"/>
      <c r="N47" s="17">
        <v>58.5</v>
      </c>
      <c r="O47" s="17">
        <v>550</v>
      </c>
      <c r="P47" s="17"/>
      <c r="Q47" s="17"/>
      <c r="R47" s="17">
        <v>84</v>
      </c>
      <c r="S47" s="17">
        <v>369</v>
      </c>
      <c r="T47" s="17">
        <v>76</v>
      </c>
      <c r="U47" s="17">
        <v>1218</v>
      </c>
      <c r="V47" s="17"/>
      <c r="W47" s="17"/>
      <c r="X47" s="15">
        <v>329.25</v>
      </c>
      <c r="Y47" s="17">
        <v>25</v>
      </c>
      <c r="Z47" s="17">
        <v>547.75</v>
      </c>
      <c r="AA47" s="17">
        <v>242</v>
      </c>
      <c r="AB47" s="12">
        <f t="shared" si="0"/>
        <v>45</v>
      </c>
    </row>
    <row r="48" ht="14.25" spans="1:28">
      <c r="A48" s="13">
        <v>833</v>
      </c>
      <c r="B48" s="15">
        <v>18</v>
      </c>
      <c r="C48" s="16">
        <v>11</v>
      </c>
      <c r="D48" s="17" t="s">
        <v>1664</v>
      </c>
      <c r="E48" s="17" t="s">
        <v>1665</v>
      </c>
      <c r="F48" s="17">
        <v>108</v>
      </c>
      <c r="G48" s="17">
        <v>247</v>
      </c>
      <c r="H48" s="17">
        <v>91.5</v>
      </c>
      <c r="I48" s="17">
        <v>450</v>
      </c>
      <c r="J48" s="17">
        <v>102</v>
      </c>
      <c r="K48" s="17">
        <v>632</v>
      </c>
      <c r="L48" s="17"/>
      <c r="M48" s="17"/>
      <c r="N48" s="17">
        <v>71</v>
      </c>
      <c r="O48" s="17">
        <v>28</v>
      </c>
      <c r="P48" s="17"/>
      <c r="Q48" s="17"/>
      <c r="R48" s="17">
        <v>91</v>
      </c>
      <c r="S48" s="17">
        <v>30</v>
      </c>
      <c r="T48" s="17">
        <v>84</v>
      </c>
      <c r="U48" s="17">
        <v>578</v>
      </c>
      <c r="V48" s="17"/>
      <c r="W48" s="17"/>
      <c r="X48" s="15">
        <v>301.5</v>
      </c>
      <c r="Y48" s="17">
        <v>93</v>
      </c>
      <c r="Z48" s="17">
        <v>547.5</v>
      </c>
      <c r="AA48" s="17">
        <v>245</v>
      </c>
      <c r="AB48" s="12">
        <f t="shared" si="0"/>
        <v>46</v>
      </c>
    </row>
    <row r="49" ht="14.25" spans="1:28">
      <c r="A49" s="13">
        <v>783</v>
      </c>
      <c r="B49" s="15">
        <v>16</v>
      </c>
      <c r="C49" s="16">
        <v>40</v>
      </c>
      <c r="D49" s="17" t="s">
        <v>1564</v>
      </c>
      <c r="E49" s="17" t="s">
        <v>1565</v>
      </c>
      <c r="F49" s="17">
        <v>99.25</v>
      </c>
      <c r="G49" s="17">
        <v>1060</v>
      </c>
      <c r="H49" s="17">
        <v>95.5</v>
      </c>
      <c r="I49" s="17">
        <v>360</v>
      </c>
      <c r="J49" s="17">
        <v>120.5</v>
      </c>
      <c r="K49" s="17">
        <v>153</v>
      </c>
      <c r="L49" s="17"/>
      <c r="M49" s="17"/>
      <c r="N49" s="17">
        <v>68</v>
      </c>
      <c r="O49" s="17">
        <v>93</v>
      </c>
      <c r="P49" s="17"/>
      <c r="Q49" s="17"/>
      <c r="R49" s="17">
        <v>76</v>
      </c>
      <c r="S49" s="17">
        <v>788</v>
      </c>
      <c r="T49" s="17">
        <v>88</v>
      </c>
      <c r="U49" s="17">
        <v>227</v>
      </c>
      <c r="V49" s="17"/>
      <c r="W49" s="17"/>
      <c r="X49" s="15">
        <v>315.25</v>
      </c>
      <c r="Y49" s="17">
        <v>54</v>
      </c>
      <c r="Z49" s="17">
        <v>547.25</v>
      </c>
      <c r="AA49" s="17">
        <v>246</v>
      </c>
      <c r="AB49" s="12">
        <f t="shared" si="0"/>
        <v>47</v>
      </c>
    </row>
    <row r="50" ht="14.25" spans="1:28">
      <c r="A50" s="13">
        <v>717</v>
      </c>
      <c r="B50" s="15">
        <v>15</v>
      </c>
      <c r="C50" s="16">
        <v>16</v>
      </c>
      <c r="D50" s="17" t="s">
        <v>1437</v>
      </c>
      <c r="E50" s="17" t="s">
        <v>1438</v>
      </c>
      <c r="F50" s="17">
        <v>107.5</v>
      </c>
      <c r="G50" s="17">
        <v>270</v>
      </c>
      <c r="H50" s="17">
        <v>88.5</v>
      </c>
      <c r="I50" s="17">
        <v>526</v>
      </c>
      <c r="J50" s="17">
        <v>129</v>
      </c>
      <c r="K50" s="17">
        <v>40</v>
      </c>
      <c r="L50" s="17"/>
      <c r="M50" s="17"/>
      <c r="N50" s="17">
        <v>52</v>
      </c>
      <c r="O50" s="17">
        <v>1281</v>
      </c>
      <c r="P50" s="17"/>
      <c r="Q50" s="17"/>
      <c r="R50" s="17"/>
      <c r="S50" s="17"/>
      <c r="T50" s="17">
        <v>81</v>
      </c>
      <c r="U50" s="17">
        <v>808</v>
      </c>
      <c r="V50" s="17">
        <v>89</v>
      </c>
      <c r="W50" s="17">
        <v>23</v>
      </c>
      <c r="X50" s="15">
        <v>325</v>
      </c>
      <c r="Y50" s="17">
        <v>34</v>
      </c>
      <c r="Z50" s="17">
        <v>547</v>
      </c>
      <c r="AA50" s="17">
        <v>249</v>
      </c>
      <c r="AB50" s="12">
        <f t="shared" si="0"/>
        <v>48</v>
      </c>
    </row>
    <row r="51" ht="14.25" spans="1:28">
      <c r="A51" s="13">
        <v>800</v>
      </c>
      <c r="B51" s="15">
        <v>17</v>
      </c>
      <c r="C51" s="16">
        <v>23</v>
      </c>
      <c r="D51" s="17" t="s">
        <v>1598</v>
      </c>
      <c r="E51" s="17" t="s">
        <v>1599</v>
      </c>
      <c r="F51" s="17">
        <v>105</v>
      </c>
      <c r="G51" s="17">
        <v>437</v>
      </c>
      <c r="H51" s="17">
        <v>104</v>
      </c>
      <c r="I51" s="17">
        <v>203</v>
      </c>
      <c r="J51" s="17">
        <v>99.25</v>
      </c>
      <c r="K51" s="17">
        <v>742</v>
      </c>
      <c r="L51" s="17"/>
      <c r="M51" s="17"/>
      <c r="N51" s="17">
        <v>65.5</v>
      </c>
      <c r="O51" s="17">
        <v>173</v>
      </c>
      <c r="P51" s="17"/>
      <c r="Q51" s="17"/>
      <c r="R51" s="17">
        <v>85</v>
      </c>
      <c r="S51" s="17">
        <v>343</v>
      </c>
      <c r="T51" s="17">
        <v>87</v>
      </c>
      <c r="U51" s="17">
        <v>333</v>
      </c>
      <c r="V51" s="17"/>
      <c r="W51" s="17"/>
      <c r="X51" s="15">
        <v>308.25</v>
      </c>
      <c r="Y51" s="17">
        <v>75</v>
      </c>
      <c r="Z51" s="17">
        <v>545.75</v>
      </c>
      <c r="AA51" s="17">
        <v>256</v>
      </c>
      <c r="AB51" s="12">
        <f t="shared" si="0"/>
        <v>49</v>
      </c>
    </row>
    <row r="52" ht="14.25" spans="1:28">
      <c r="A52" s="13">
        <v>759</v>
      </c>
      <c r="B52" s="15">
        <v>16</v>
      </c>
      <c r="C52" s="16">
        <v>14</v>
      </c>
      <c r="D52" s="17" t="s">
        <v>1517</v>
      </c>
      <c r="E52" s="17" t="s">
        <v>1518</v>
      </c>
      <c r="F52" s="17">
        <v>113</v>
      </c>
      <c r="G52" s="17">
        <v>78</v>
      </c>
      <c r="H52" s="17">
        <v>93</v>
      </c>
      <c r="I52" s="17">
        <v>412</v>
      </c>
      <c r="J52" s="17">
        <v>118.5</v>
      </c>
      <c r="K52" s="17">
        <v>189</v>
      </c>
      <c r="L52" s="17"/>
      <c r="M52" s="17"/>
      <c r="N52" s="17">
        <v>63</v>
      </c>
      <c r="O52" s="17">
        <v>270</v>
      </c>
      <c r="P52" s="17"/>
      <c r="Q52" s="17"/>
      <c r="R52" s="17"/>
      <c r="S52" s="17"/>
      <c r="T52" s="17">
        <v>77</v>
      </c>
      <c r="U52" s="17">
        <v>1108</v>
      </c>
      <c r="V52" s="17">
        <v>81</v>
      </c>
      <c r="W52" s="17">
        <v>135</v>
      </c>
      <c r="X52" s="15">
        <v>324.5</v>
      </c>
      <c r="Y52" s="17">
        <v>37</v>
      </c>
      <c r="Z52" s="17">
        <v>545.5</v>
      </c>
      <c r="AA52" s="17">
        <v>258</v>
      </c>
      <c r="AB52" s="12">
        <f t="shared" si="0"/>
        <v>50</v>
      </c>
    </row>
    <row r="53" ht="14.25" spans="1:28">
      <c r="A53" s="13">
        <v>803</v>
      </c>
      <c r="B53" s="15">
        <v>17</v>
      </c>
      <c r="C53" s="16">
        <v>26</v>
      </c>
      <c r="D53" s="17" t="s">
        <v>1604</v>
      </c>
      <c r="E53" s="17" t="s">
        <v>1605</v>
      </c>
      <c r="F53" s="17">
        <v>104.5</v>
      </c>
      <c r="G53" s="17">
        <v>475</v>
      </c>
      <c r="H53" s="17">
        <v>100.5</v>
      </c>
      <c r="I53" s="17">
        <v>263</v>
      </c>
      <c r="J53" s="17">
        <v>113.75</v>
      </c>
      <c r="K53" s="17">
        <v>293</v>
      </c>
      <c r="L53" s="17"/>
      <c r="M53" s="17"/>
      <c r="N53" s="17">
        <v>59.5</v>
      </c>
      <c r="O53" s="17">
        <v>483</v>
      </c>
      <c r="P53" s="17"/>
      <c r="Q53" s="17"/>
      <c r="R53" s="17">
        <v>80</v>
      </c>
      <c r="S53" s="17">
        <v>535</v>
      </c>
      <c r="T53" s="17">
        <v>86</v>
      </c>
      <c r="U53" s="17">
        <v>465</v>
      </c>
      <c r="V53" s="17"/>
      <c r="W53" s="17"/>
      <c r="X53" s="15">
        <v>318.75</v>
      </c>
      <c r="Y53" s="17">
        <v>44</v>
      </c>
      <c r="Z53" s="17">
        <v>544.25</v>
      </c>
      <c r="AA53" s="17">
        <v>263</v>
      </c>
      <c r="AB53" s="12">
        <f t="shared" si="0"/>
        <v>51</v>
      </c>
    </row>
    <row r="54" ht="14.25" spans="1:28">
      <c r="A54" s="13">
        <v>848</v>
      </c>
      <c r="B54" s="15">
        <v>18</v>
      </c>
      <c r="C54" s="16">
        <v>28</v>
      </c>
      <c r="D54" s="17" t="s">
        <v>1694</v>
      </c>
      <c r="E54" s="17" t="s">
        <v>1695</v>
      </c>
      <c r="F54" s="17">
        <v>100.5</v>
      </c>
      <c r="G54" s="17">
        <v>901</v>
      </c>
      <c r="H54" s="17">
        <v>93.5</v>
      </c>
      <c r="I54" s="17">
        <v>401</v>
      </c>
      <c r="J54" s="17">
        <v>116</v>
      </c>
      <c r="K54" s="17">
        <v>241</v>
      </c>
      <c r="L54" s="17"/>
      <c r="M54" s="17"/>
      <c r="N54" s="17">
        <v>56.5</v>
      </c>
      <c r="O54" s="17">
        <v>750</v>
      </c>
      <c r="P54" s="17"/>
      <c r="Q54" s="17"/>
      <c r="R54" s="17">
        <v>89</v>
      </c>
      <c r="S54" s="17">
        <v>77</v>
      </c>
      <c r="T54" s="17">
        <v>88</v>
      </c>
      <c r="U54" s="17">
        <v>227</v>
      </c>
      <c r="V54" s="17"/>
      <c r="W54" s="17"/>
      <c r="X54" s="15">
        <v>310</v>
      </c>
      <c r="Y54" s="17">
        <v>72</v>
      </c>
      <c r="Z54" s="17">
        <v>543.5</v>
      </c>
      <c r="AA54" s="17">
        <v>268</v>
      </c>
      <c r="AB54" s="12">
        <f t="shared" si="0"/>
        <v>52</v>
      </c>
    </row>
    <row r="55" ht="14.25" spans="1:28">
      <c r="A55" s="13">
        <v>721</v>
      </c>
      <c r="B55" s="15">
        <v>15</v>
      </c>
      <c r="C55" s="16">
        <v>20</v>
      </c>
      <c r="D55" s="17" t="s">
        <v>1445</v>
      </c>
      <c r="E55" s="17" t="s">
        <v>1446</v>
      </c>
      <c r="F55" s="17">
        <v>94.5</v>
      </c>
      <c r="G55" s="17">
        <v>1687</v>
      </c>
      <c r="H55" s="17">
        <v>110.5</v>
      </c>
      <c r="I55" s="17">
        <v>121</v>
      </c>
      <c r="J55" s="17">
        <v>110</v>
      </c>
      <c r="K55" s="17">
        <v>386</v>
      </c>
      <c r="L55" s="17"/>
      <c r="M55" s="17"/>
      <c r="N55" s="17">
        <v>63</v>
      </c>
      <c r="O55" s="17">
        <v>270</v>
      </c>
      <c r="P55" s="17"/>
      <c r="Q55" s="17"/>
      <c r="R55" s="17"/>
      <c r="S55" s="17"/>
      <c r="T55" s="17">
        <v>87</v>
      </c>
      <c r="U55" s="17">
        <v>333</v>
      </c>
      <c r="V55" s="17">
        <v>78</v>
      </c>
      <c r="W55" s="17">
        <v>215</v>
      </c>
      <c r="X55" s="15">
        <v>315</v>
      </c>
      <c r="Y55" s="17">
        <v>56</v>
      </c>
      <c r="Z55" s="17">
        <v>543</v>
      </c>
      <c r="AA55" s="17">
        <v>272</v>
      </c>
      <c r="AB55" s="12">
        <f t="shared" si="0"/>
        <v>53</v>
      </c>
    </row>
    <row r="56" ht="14.25" spans="1:28">
      <c r="A56" s="13">
        <v>730</v>
      </c>
      <c r="B56" s="15">
        <v>15</v>
      </c>
      <c r="C56" s="16">
        <v>30</v>
      </c>
      <c r="D56" s="17" t="s">
        <v>1462</v>
      </c>
      <c r="E56" s="17" t="s">
        <v>1463</v>
      </c>
      <c r="F56" s="17">
        <v>104.5</v>
      </c>
      <c r="G56" s="17">
        <v>475</v>
      </c>
      <c r="H56" s="17">
        <v>101</v>
      </c>
      <c r="I56" s="17">
        <v>253</v>
      </c>
      <c r="J56" s="17">
        <v>109</v>
      </c>
      <c r="K56" s="17">
        <v>423</v>
      </c>
      <c r="L56" s="17"/>
      <c r="M56" s="17"/>
      <c r="N56" s="17">
        <v>67</v>
      </c>
      <c r="O56" s="17">
        <v>119</v>
      </c>
      <c r="P56" s="17"/>
      <c r="Q56" s="17"/>
      <c r="R56" s="17"/>
      <c r="S56" s="17"/>
      <c r="T56" s="17">
        <v>87</v>
      </c>
      <c r="U56" s="17">
        <v>333</v>
      </c>
      <c r="V56" s="17">
        <v>74</v>
      </c>
      <c r="W56" s="17">
        <v>320</v>
      </c>
      <c r="X56" s="15">
        <v>314.5</v>
      </c>
      <c r="Y56" s="17">
        <v>58</v>
      </c>
      <c r="Z56" s="17">
        <v>542.5</v>
      </c>
      <c r="AA56" s="17">
        <v>275</v>
      </c>
      <c r="AB56" s="12">
        <f t="shared" si="0"/>
        <v>54</v>
      </c>
    </row>
    <row r="57" ht="14.25" spans="1:28">
      <c r="A57" s="13">
        <v>808</v>
      </c>
      <c r="B57" s="15">
        <v>17</v>
      </c>
      <c r="C57" s="16">
        <v>31</v>
      </c>
      <c r="D57" s="17" t="s">
        <v>1614</v>
      </c>
      <c r="E57" s="17" t="s">
        <v>1615</v>
      </c>
      <c r="F57" s="17">
        <v>115.5</v>
      </c>
      <c r="G57" s="17">
        <v>41</v>
      </c>
      <c r="H57" s="17">
        <v>102.5</v>
      </c>
      <c r="I57" s="17">
        <v>229</v>
      </c>
      <c r="J57" s="17">
        <v>90</v>
      </c>
      <c r="K57" s="17">
        <v>1140</v>
      </c>
      <c r="L57" s="17"/>
      <c r="M57" s="17"/>
      <c r="N57" s="17">
        <v>54.5</v>
      </c>
      <c r="O57" s="17">
        <v>986</v>
      </c>
      <c r="P57" s="17"/>
      <c r="Q57" s="17"/>
      <c r="R57" s="17">
        <v>91</v>
      </c>
      <c r="S57" s="17">
        <v>30</v>
      </c>
      <c r="T57" s="17">
        <v>89</v>
      </c>
      <c r="U57" s="17">
        <v>137</v>
      </c>
      <c r="V57" s="17"/>
      <c r="W57" s="17"/>
      <c r="X57" s="15">
        <v>308</v>
      </c>
      <c r="Y57" s="17">
        <v>77</v>
      </c>
      <c r="Z57" s="17">
        <v>542.5</v>
      </c>
      <c r="AA57" s="17">
        <v>275</v>
      </c>
      <c r="AB57" s="12">
        <f t="shared" si="0"/>
        <v>54</v>
      </c>
    </row>
    <row r="58" ht="14.25" spans="1:28">
      <c r="A58" s="13">
        <v>852</v>
      </c>
      <c r="B58" s="15">
        <v>18</v>
      </c>
      <c r="C58" s="16">
        <v>32</v>
      </c>
      <c r="D58" s="17" t="s">
        <v>1702</v>
      </c>
      <c r="E58" s="17" t="s">
        <v>1703</v>
      </c>
      <c r="F58" s="17">
        <v>105.5</v>
      </c>
      <c r="G58" s="17">
        <v>406</v>
      </c>
      <c r="H58" s="17">
        <v>91</v>
      </c>
      <c r="I58" s="17">
        <v>467</v>
      </c>
      <c r="J58" s="17">
        <v>116.25</v>
      </c>
      <c r="K58" s="17">
        <v>236</v>
      </c>
      <c r="L58" s="17"/>
      <c r="M58" s="17"/>
      <c r="N58" s="17">
        <v>62</v>
      </c>
      <c r="O58" s="17">
        <v>315</v>
      </c>
      <c r="P58" s="17"/>
      <c r="Q58" s="17"/>
      <c r="R58" s="17">
        <v>80</v>
      </c>
      <c r="S58" s="17">
        <v>535</v>
      </c>
      <c r="T58" s="17">
        <v>87</v>
      </c>
      <c r="U58" s="17">
        <v>333</v>
      </c>
      <c r="V58" s="17"/>
      <c r="W58" s="17"/>
      <c r="X58" s="15">
        <v>312.75</v>
      </c>
      <c r="Y58" s="17">
        <v>62</v>
      </c>
      <c r="Z58" s="17">
        <v>541.75</v>
      </c>
      <c r="AA58" s="17">
        <v>282</v>
      </c>
      <c r="AB58" s="12">
        <f t="shared" si="0"/>
        <v>56</v>
      </c>
    </row>
    <row r="59" ht="14.25" spans="1:28">
      <c r="A59" s="13">
        <v>667</v>
      </c>
      <c r="B59" s="15">
        <v>14</v>
      </c>
      <c r="C59" s="16">
        <v>4</v>
      </c>
      <c r="D59" s="17" t="s">
        <v>1340</v>
      </c>
      <c r="E59" s="17" t="s">
        <v>1341</v>
      </c>
      <c r="F59" s="17">
        <v>100.75</v>
      </c>
      <c r="G59" s="17">
        <v>893</v>
      </c>
      <c r="H59" s="17">
        <v>110</v>
      </c>
      <c r="I59" s="17">
        <v>132</v>
      </c>
      <c r="J59" s="17">
        <v>115.75</v>
      </c>
      <c r="K59" s="17">
        <v>253</v>
      </c>
      <c r="L59" s="17"/>
      <c r="M59" s="17"/>
      <c r="N59" s="17">
        <v>56</v>
      </c>
      <c r="O59" s="17">
        <v>804</v>
      </c>
      <c r="P59" s="17"/>
      <c r="Q59" s="17"/>
      <c r="R59" s="17"/>
      <c r="S59" s="17"/>
      <c r="T59" s="17">
        <v>85</v>
      </c>
      <c r="U59" s="17">
        <v>537</v>
      </c>
      <c r="V59" s="17">
        <v>73</v>
      </c>
      <c r="W59" s="17">
        <v>356</v>
      </c>
      <c r="X59" s="15">
        <v>326.5</v>
      </c>
      <c r="Y59" s="17">
        <v>31</v>
      </c>
      <c r="Z59" s="17">
        <v>540.5</v>
      </c>
      <c r="AA59" s="17">
        <v>286</v>
      </c>
      <c r="AB59" s="12">
        <f t="shared" si="0"/>
        <v>57</v>
      </c>
    </row>
    <row r="60" ht="14.25" spans="1:28">
      <c r="A60" s="13">
        <v>807</v>
      </c>
      <c r="B60" s="15">
        <v>17</v>
      </c>
      <c r="C60" s="16">
        <v>30</v>
      </c>
      <c r="D60" s="17" t="s">
        <v>1612</v>
      </c>
      <c r="E60" s="17" t="s">
        <v>1613</v>
      </c>
      <c r="F60" s="17">
        <v>90.25</v>
      </c>
      <c r="G60" s="17">
        <v>2328</v>
      </c>
      <c r="H60" s="17">
        <v>103</v>
      </c>
      <c r="I60" s="17">
        <v>216</v>
      </c>
      <c r="J60" s="17">
        <v>107.25</v>
      </c>
      <c r="K60" s="17">
        <v>475</v>
      </c>
      <c r="L60" s="17"/>
      <c r="M60" s="17"/>
      <c r="N60" s="17">
        <v>54.5</v>
      </c>
      <c r="O60" s="17">
        <v>986</v>
      </c>
      <c r="P60" s="17"/>
      <c r="Q60" s="17"/>
      <c r="R60" s="17">
        <v>94</v>
      </c>
      <c r="S60" s="17">
        <v>5</v>
      </c>
      <c r="T60" s="17">
        <v>91</v>
      </c>
      <c r="U60" s="17">
        <v>51</v>
      </c>
      <c r="V60" s="17"/>
      <c r="W60" s="17"/>
      <c r="X60" s="15">
        <v>300.5</v>
      </c>
      <c r="Y60" s="17">
        <v>97</v>
      </c>
      <c r="Z60" s="17">
        <v>540</v>
      </c>
      <c r="AA60" s="17">
        <v>289</v>
      </c>
      <c r="AB60" s="12">
        <f t="shared" si="0"/>
        <v>58</v>
      </c>
    </row>
    <row r="61" ht="14.25" spans="1:28">
      <c r="A61" s="13">
        <v>683</v>
      </c>
      <c r="B61" s="15">
        <v>14</v>
      </c>
      <c r="C61" s="16">
        <v>24</v>
      </c>
      <c r="D61" s="17" t="s">
        <v>1372</v>
      </c>
      <c r="E61" s="17" t="s">
        <v>1373</v>
      </c>
      <c r="F61" s="17">
        <v>98.5</v>
      </c>
      <c r="G61" s="17">
        <v>1145</v>
      </c>
      <c r="H61" s="17">
        <v>102.5</v>
      </c>
      <c r="I61" s="17">
        <v>229</v>
      </c>
      <c r="J61" s="17">
        <v>101</v>
      </c>
      <c r="K61" s="17">
        <v>667</v>
      </c>
      <c r="L61" s="17"/>
      <c r="M61" s="17"/>
      <c r="N61" s="17">
        <v>62.5</v>
      </c>
      <c r="O61" s="17">
        <v>292</v>
      </c>
      <c r="P61" s="17"/>
      <c r="Q61" s="17"/>
      <c r="R61" s="17"/>
      <c r="S61" s="17"/>
      <c r="T61" s="17">
        <v>87</v>
      </c>
      <c r="U61" s="17">
        <v>333</v>
      </c>
      <c r="V61" s="17">
        <v>87</v>
      </c>
      <c r="W61" s="17">
        <v>54</v>
      </c>
      <c r="X61" s="15">
        <v>302</v>
      </c>
      <c r="Y61" s="17">
        <v>88</v>
      </c>
      <c r="Z61" s="17">
        <v>538.5</v>
      </c>
      <c r="AA61" s="17">
        <v>293</v>
      </c>
      <c r="AB61" s="12">
        <f t="shared" si="0"/>
        <v>59</v>
      </c>
    </row>
    <row r="62" ht="14.25" spans="1:28">
      <c r="A62" s="13">
        <v>722</v>
      </c>
      <c r="B62" s="15">
        <v>15</v>
      </c>
      <c r="C62" s="16">
        <v>21</v>
      </c>
      <c r="D62" s="17" t="s">
        <v>1447</v>
      </c>
      <c r="E62" s="17" t="s">
        <v>1448</v>
      </c>
      <c r="F62" s="17">
        <v>101.75</v>
      </c>
      <c r="G62" s="17">
        <v>799</v>
      </c>
      <c r="H62" s="17">
        <v>120.5</v>
      </c>
      <c r="I62" s="17">
        <v>31</v>
      </c>
      <c r="J62" s="17">
        <v>95.5</v>
      </c>
      <c r="K62" s="17">
        <v>902</v>
      </c>
      <c r="L62" s="17"/>
      <c r="M62" s="17"/>
      <c r="N62" s="17">
        <v>59.5</v>
      </c>
      <c r="O62" s="17">
        <v>483</v>
      </c>
      <c r="P62" s="17"/>
      <c r="Q62" s="17"/>
      <c r="R62" s="17"/>
      <c r="S62" s="17"/>
      <c r="T62" s="17">
        <v>83</v>
      </c>
      <c r="U62" s="17">
        <v>616</v>
      </c>
      <c r="V62" s="17">
        <v>78</v>
      </c>
      <c r="W62" s="17">
        <v>215</v>
      </c>
      <c r="X62" s="15">
        <v>317.75</v>
      </c>
      <c r="Y62" s="17">
        <v>48</v>
      </c>
      <c r="Z62" s="17">
        <v>538.25</v>
      </c>
      <c r="AA62" s="17">
        <v>294</v>
      </c>
      <c r="AB62" s="12">
        <f t="shared" si="0"/>
        <v>60</v>
      </c>
    </row>
    <row r="63" ht="14.25" spans="1:28">
      <c r="A63" s="13">
        <v>847</v>
      </c>
      <c r="B63" s="15">
        <v>18</v>
      </c>
      <c r="C63" s="16">
        <v>27</v>
      </c>
      <c r="D63" s="17" t="s">
        <v>1692</v>
      </c>
      <c r="E63" s="17" t="s">
        <v>1693</v>
      </c>
      <c r="F63" s="17">
        <v>95.5</v>
      </c>
      <c r="G63" s="17">
        <v>1544</v>
      </c>
      <c r="H63" s="17">
        <v>101</v>
      </c>
      <c r="I63" s="17">
        <v>253</v>
      </c>
      <c r="J63" s="17">
        <v>108</v>
      </c>
      <c r="K63" s="17">
        <v>449</v>
      </c>
      <c r="L63" s="17"/>
      <c r="M63" s="17"/>
      <c r="N63" s="17">
        <v>65.5</v>
      </c>
      <c r="O63" s="17">
        <v>173</v>
      </c>
      <c r="P63" s="17"/>
      <c r="Q63" s="17"/>
      <c r="R63" s="17">
        <v>89</v>
      </c>
      <c r="S63" s="17">
        <v>77</v>
      </c>
      <c r="T63" s="17">
        <v>79</v>
      </c>
      <c r="U63" s="17">
        <v>952</v>
      </c>
      <c r="V63" s="17"/>
      <c r="W63" s="17"/>
      <c r="X63" s="15">
        <v>304.5</v>
      </c>
      <c r="Y63" s="17">
        <v>82</v>
      </c>
      <c r="Z63" s="17">
        <v>538</v>
      </c>
      <c r="AA63" s="17">
        <v>297</v>
      </c>
      <c r="AB63" s="12">
        <f t="shared" si="0"/>
        <v>61</v>
      </c>
    </row>
    <row r="64" ht="14.25" spans="1:28">
      <c r="A64" s="13">
        <v>831</v>
      </c>
      <c r="B64" s="15">
        <v>18</v>
      </c>
      <c r="C64" s="16">
        <v>8</v>
      </c>
      <c r="D64" s="17" t="s">
        <v>1660</v>
      </c>
      <c r="E64" s="17" t="s">
        <v>1661</v>
      </c>
      <c r="F64" s="17">
        <v>112.5</v>
      </c>
      <c r="G64" s="17">
        <v>92</v>
      </c>
      <c r="H64" s="17">
        <v>96</v>
      </c>
      <c r="I64" s="17">
        <v>351</v>
      </c>
      <c r="J64" s="17">
        <v>107.75</v>
      </c>
      <c r="K64" s="17">
        <v>464</v>
      </c>
      <c r="L64" s="17"/>
      <c r="M64" s="17"/>
      <c r="N64" s="17">
        <v>56</v>
      </c>
      <c r="O64" s="17">
        <v>804</v>
      </c>
      <c r="P64" s="17"/>
      <c r="Q64" s="17"/>
      <c r="R64" s="17">
        <v>88</v>
      </c>
      <c r="S64" s="17">
        <v>123</v>
      </c>
      <c r="T64" s="17">
        <v>77</v>
      </c>
      <c r="U64" s="17">
        <v>1108</v>
      </c>
      <c r="V64" s="17"/>
      <c r="W64" s="17"/>
      <c r="X64" s="15">
        <v>316.25</v>
      </c>
      <c r="Y64" s="17">
        <v>52</v>
      </c>
      <c r="Z64" s="17">
        <v>537.25</v>
      </c>
      <c r="AA64" s="17">
        <v>301</v>
      </c>
      <c r="AB64" s="12">
        <f t="shared" si="0"/>
        <v>62</v>
      </c>
    </row>
    <row r="65" ht="14.25" spans="1:28">
      <c r="A65" s="13">
        <v>782</v>
      </c>
      <c r="B65" s="15">
        <v>16</v>
      </c>
      <c r="C65" s="16">
        <v>39</v>
      </c>
      <c r="D65" s="17" t="s">
        <v>1562</v>
      </c>
      <c r="E65" s="17" t="s">
        <v>1563</v>
      </c>
      <c r="F65" s="17">
        <v>106</v>
      </c>
      <c r="G65" s="17">
        <v>367</v>
      </c>
      <c r="H65" s="17">
        <v>95.5</v>
      </c>
      <c r="I65" s="17">
        <v>360</v>
      </c>
      <c r="J65" s="17">
        <v>117</v>
      </c>
      <c r="K65" s="17">
        <v>222</v>
      </c>
      <c r="L65" s="17"/>
      <c r="M65" s="17"/>
      <c r="N65" s="17">
        <v>56</v>
      </c>
      <c r="O65" s="17">
        <v>804</v>
      </c>
      <c r="P65" s="17"/>
      <c r="Q65" s="17"/>
      <c r="R65" s="17">
        <v>87</v>
      </c>
      <c r="S65" s="17">
        <v>202</v>
      </c>
      <c r="T65" s="17">
        <v>75</v>
      </c>
      <c r="U65" s="17">
        <v>1272</v>
      </c>
      <c r="V65" s="17"/>
      <c r="W65" s="17"/>
      <c r="X65" s="15">
        <v>318.5</v>
      </c>
      <c r="Y65" s="17">
        <v>45</v>
      </c>
      <c r="Z65" s="17">
        <v>536.5</v>
      </c>
      <c r="AA65" s="17">
        <v>305</v>
      </c>
      <c r="AB65" s="12">
        <f t="shared" si="0"/>
        <v>63</v>
      </c>
    </row>
    <row r="66" ht="14.25" spans="1:28">
      <c r="A66" s="13">
        <v>849</v>
      </c>
      <c r="B66" s="15">
        <v>18</v>
      </c>
      <c r="C66" s="16">
        <v>29</v>
      </c>
      <c r="D66" s="17" t="s">
        <v>1696</v>
      </c>
      <c r="E66" s="17" t="s">
        <v>1697</v>
      </c>
      <c r="F66" s="17">
        <v>107</v>
      </c>
      <c r="G66" s="17">
        <v>307</v>
      </c>
      <c r="H66" s="17">
        <v>88.5</v>
      </c>
      <c r="I66" s="17">
        <v>526</v>
      </c>
      <c r="J66" s="17">
        <v>116</v>
      </c>
      <c r="K66" s="17">
        <v>241</v>
      </c>
      <c r="L66" s="17"/>
      <c r="M66" s="17"/>
      <c r="N66" s="17">
        <v>56</v>
      </c>
      <c r="O66" s="17">
        <v>804</v>
      </c>
      <c r="P66" s="17"/>
      <c r="Q66" s="17"/>
      <c r="R66" s="17">
        <v>89</v>
      </c>
      <c r="S66" s="17">
        <v>77</v>
      </c>
      <c r="T66" s="17">
        <v>80</v>
      </c>
      <c r="U66" s="17">
        <v>854</v>
      </c>
      <c r="V66" s="17"/>
      <c r="W66" s="17"/>
      <c r="X66" s="15">
        <v>311.5</v>
      </c>
      <c r="Y66" s="17">
        <v>67</v>
      </c>
      <c r="Z66" s="17">
        <v>536.5</v>
      </c>
      <c r="AA66" s="17">
        <v>305</v>
      </c>
      <c r="AB66" s="12">
        <f t="shared" si="0"/>
        <v>63</v>
      </c>
    </row>
    <row r="67" ht="14.25" spans="1:28">
      <c r="A67" s="13">
        <v>812</v>
      </c>
      <c r="B67" s="15">
        <v>17</v>
      </c>
      <c r="C67" s="16">
        <v>37</v>
      </c>
      <c r="D67" s="17" t="s">
        <v>1622</v>
      </c>
      <c r="E67" s="17" t="s">
        <v>1623</v>
      </c>
      <c r="F67" s="17">
        <v>101.5</v>
      </c>
      <c r="G67" s="17">
        <v>805</v>
      </c>
      <c r="H67" s="17">
        <v>102</v>
      </c>
      <c r="I67" s="17">
        <v>241</v>
      </c>
      <c r="J67" s="17">
        <v>111.25</v>
      </c>
      <c r="K67" s="17">
        <v>355</v>
      </c>
      <c r="L67" s="17"/>
      <c r="M67" s="17"/>
      <c r="N67" s="17">
        <v>61.5</v>
      </c>
      <c r="O67" s="17">
        <v>347</v>
      </c>
      <c r="P67" s="17"/>
      <c r="Q67" s="17"/>
      <c r="R67" s="17">
        <v>86</v>
      </c>
      <c r="S67" s="17">
        <v>293</v>
      </c>
      <c r="T67" s="17">
        <v>74</v>
      </c>
      <c r="U67" s="17">
        <v>1396</v>
      </c>
      <c r="V67" s="17"/>
      <c r="W67" s="17"/>
      <c r="X67" s="15">
        <v>314.75</v>
      </c>
      <c r="Y67" s="17">
        <v>57</v>
      </c>
      <c r="Z67" s="17">
        <v>536.25</v>
      </c>
      <c r="AA67" s="17">
        <v>307</v>
      </c>
      <c r="AB67" s="12">
        <f t="shared" ref="AB67:AB130" si="1">RANK(Z67,$Z$3:$Z$700)</f>
        <v>65</v>
      </c>
    </row>
    <row r="68" ht="14.25" spans="1:28">
      <c r="A68" s="13">
        <v>806</v>
      </c>
      <c r="B68" s="15">
        <v>17</v>
      </c>
      <c r="C68" s="16">
        <v>29</v>
      </c>
      <c r="D68" s="17" t="s">
        <v>1610</v>
      </c>
      <c r="E68" s="17" t="s">
        <v>1611</v>
      </c>
      <c r="F68" s="17">
        <v>102.5</v>
      </c>
      <c r="G68" s="17">
        <v>686</v>
      </c>
      <c r="H68" s="17">
        <v>106</v>
      </c>
      <c r="I68" s="17">
        <v>175</v>
      </c>
      <c r="J68" s="17">
        <v>109</v>
      </c>
      <c r="K68" s="17">
        <v>423</v>
      </c>
      <c r="L68" s="17"/>
      <c r="M68" s="17"/>
      <c r="N68" s="17">
        <v>57</v>
      </c>
      <c r="O68" s="17">
        <v>689</v>
      </c>
      <c r="P68" s="17"/>
      <c r="Q68" s="17"/>
      <c r="R68" s="17">
        <v>78</v>
      </c>
      <c r="S68" s="17">
        <v>682</v>
      </c>
      <c r="T68" s="17">
        <v>83</v>
      </c>
      <c r="U68" s="17">
        <v>616</v>
      </c>
      <c r="V68" s="17"/>
      <c r="W68" s="17"/>
      <c r="X68" s="15">
        <v>317.5</v>
      </c>
      <c r="Y68" s="17">
        <v>50</v>
      </c>
      <c r="Z68" s="17">
        <v>535.5</v>
      </c>
      <c r="AA68" s="17">
        <v>310</v>
      </c>
      <c r="AB68" s="12">
        <f t="shared" si="1"/>
        <v>66</v>
      </c>
    </row>
    <row r="69" ht="14.25" spans="1:28">
      <c r="A69" s="13">
        <v>666</v>
      </c>
      <c r="B69" s="15">
        <v>14</v>
      </c>
      <c r="C69" s="16">
        <v>3</v>
      </c>
      <c r="D69" s="17" t="s">
        <v>1338</v>
      </c>
      <c r="E69" s="17" t="s">
        <v>1339</v>
      </c>
      <c r="F69" s="17">
        <v>102.5</v>
      </c>
      <c r="G69" s="17">
        <v>686</v>
      </c>
      <c r="H69" s="17">
        <v>117.5</v>
      </c>
      <c r="I69" s="17">
        <v>50</v>
      </c>
      <c r="J69" s="17">
        <v>108</v>
      </c>
      <c r="K69" s="17">
        <v>449</v>
      </c>
      <c r="L69" s="17"/>
      <c r="M69" s="17"/>
      <c r="N69" s="17">
        <v>46</v>
      </c>
      <c r="O69" s="17">
        <v>2109</v>
      </c>
      <c r="P69" s="17"/>
      <c r="Q69" s="17"/>
      <c r="R69" s="17"/>
      <c r="S69" s="17"/>
      <c r="T69" s="17">
        <v>90</v>
      </c>
      <c r="U69" s="17">
        <v>80</v>
      </c>
      <c r="V69" s="17">
        <v>71</v>
      </c>
      <c r="W69" s="17">
        <v>422</v>
      </c>
      <c r="X69" s="15">
        <v>328</v>
      </c>
      <c r="Y69" s="17">
        <v>27</v>
      </c>
      <c r="Z69" s="17">
        <v>535</v>
      </c>
      <c r="AA69" s="17">
        <v>312</v>
      </c>
      <c r="AB69" s="12">
        <f t="shared" si="1"/>
        <v>67</v>
      </c>
    </row>
    <row r="70" ht="14.25" spans="1:28">
      <c r="A70" s="13">
        <v>668</v>
      </c>
      <c r="B70" s="15">
        <v>14</v>
      </c>
      <c r="C70" s="16">
        <v>6</v>
      </c>
      <c r="D70" s="17" t="s">
        <v>1342</v>
      </c>
      <c r="E70" s="17" t="s">
        <v>1343</v>
      </c>
      <c r="F70" s="17">
        <v>109.5</v>
      </c>
      <c r="G70" s="17">
        <v>183</v>
      </c>
      <c r="H70" s="17">
        <v>95.5</v>
      </c>
      <c r="I70" s="17">
        <v>360</v>
      </c>
      <c r="J70" s="17">
        <v>108.25</v>
      </c>
      <c r="K70" s="17">
        <v>445</v>
      </c>
      <c r="L70" s="17"/>
      <c r="M70" s="17"/>
      <c r="N70" s="17">
        <v>53.5</v>
      </c>
      <c r="O70" s="17">
        <v>1111</v>
      </c>
      <c r="P70" s="17"/>
      <c r="Q70" s="17"/>
      <c r="R70" s="17"/>
      <c r="S70" s="17"/>
      <c r="T70" s="17">
        <v>88</v>
      </c>
      <c r="U70" s="17">
        <v>227</v>
      </c>
      <c r="V70" s="17">
        <v>80</v>
      </c>
      <c r="W70" s="17">
        <v>158</v>
      </c>
      <c r="X70" s="15">
        <v>313.25</v>
      </c>
      <c r="Y70" s="17">
        <v>61</v>
      </c>
      <c r="Z70" s="17">
        <v>534.75</v>
      </c>
      <c r="AA70" s="17">
        <v>314</v>
      </c>
      <c r="AB70" s="12">
        <f t="shared" si="1"/>
        <v>68</v>
      </c>
    </row>
    <row r="71" ht="14.25" spans="1:28">
      <c r="A71" s="13">
        <v>804</v>
      </c>
      <c r="B71" s="15">
        <v>17</v>
      </c>
      <c r="C71" s="16">
        <v>27</v>
      </c>
      <c r="D71" s="17" t="s">
        <v>1606</v>
      </c>
      <c r="E71" s="17" t="s">
        <v>1607</v>
      </c>
      <c r="F71" s="17">
        <v>97.25</v>
      </c>
      <c r="G71" s="17">
        <v>1323</v>
      </c>
      <c r="H71" s="17">
        <v>105</v>
      </c>
      <c r="I71" s="17">
        <v>189</v>
      </c>
      <c r="J71" s="17">
        <v>113.5</v>
      </c>
      <c r="K71" s="17">
        <v>297</v>
      </c>
      <c r="L71" s="17"/>
      <c r="M71" s="17"/>
      <c r="N71" s="17">
        <v>55</v>
      </c>
      <c r="O71" s="17">
        <v>914</v>
      </c>
      <c r="P71" s="17"/>
      <c r="Q71" s="17"/>
      <c r="R71" s="17">
        <v>78</v>
      </c>
      <c r="S71" s="17">
        <v>682</v>
      </c>
      <c r="T71" s="17">
        <v>86</v>
      </c>
      <c r="U71" s="17">
        <v>465</v>
      </c>
      <c r="V71" s="17"/>
      <c r="W71" s="17"/>
      <c r="X71" s="15">
        <v>315.75</v>
      </c>
      <c r="Y71" s="17">
        <v>53</v>
      </c>
      <c r="Z71" s="17">
        <v>534.75</v>
      </c>
      <c r="AA71" s="17">
        <v>314</v>
      </c>
      <c r="AB71" s="12">
        <f t="shared" si="1"/>
        <v>68</v>
      </c>
    </row>
    <row r="72" ht="14.25" spans="1:28">
      <c r="A72" s="13">
        <v>682</v>
      </c>
      <c r="B72" s="15">
        <v>14</v>
      </c>
      <c r="C72" s="16">
        <v>23</v>
      </c>
      <c r="D72" s="17" t="s">
        <v>1370</v>
      </c>
      <c r="E72" s="17" t="s">
        <v>1371</v>
      </c>
      <c r="F72" s="17">
        <v>107.5</v>
      </c>
      <c r="G72" s="17">
        <v>270</v>
      </c>
      <c r="H72" s="17">
        <v>91.5</v>
      </c>
      <c r="I72" s="17">
        <v>450</v>
      </c>
      <c r="J72" s="17">
        <v>102.5</v>
      </c>
      <c r="K72" s="17">
        <v>612</v>
      </c>
      <c r="L72" s="17"/>
      <c r="M72" s="17"/>
      <c r="N72" s="17">
        <v>60.5</v>
      </c>
      <c r="O72" s="17">
        <v>424</v>
      </c>
      <c r="P72" s="17"/>
      <c r="Q72" s="17"/>
      <c r="R72" s="17"/>
      <c r="S72" s="17"/>
      <c r="T72" s="17">
        <v>89</v>
      </c>
      <c r="U72" s="17">
        <v>137</v>
      </c>
      <c r="V72" s="17">
        <v>83</v>
      </c>
      <c r="W72" s="17">
        <v>115</v>
      </c>
      <c r="X72" s="15">
        <v>301.5</v>
      </c>
      <c r="Y72" s="17">
        <v>93</v>
      </c>
      <c r="Z72" s="17">
        <v>534</v>
      </c>
      <c r="AA72" s="17">
        <v>319</v>
      </c>
      <c r="AB72" s="12">
        <f t="shared" si="1"/>
        <v>70</v>
      </c>
    </row>
    <row r="73" ht="14.25" spans="1:28">
      <c r="A73" s="13">
        <v>758</v>
      </c>
      <c r="B73" s="15">
        <v>16</v>
      </c>
      <c r="C73" s="16">
        <v>13</v>
      </c>
      <c r="D73" s="17" t="s">
        <v>1515</v>
      </c>
      <c r="E73" s="17" t="s">
        <v>1516</v>
      </c>
      <c r="F73" s="17">
        <v>103.5</v>
      </c>
      <c r="G73" s="17">
        <v>577</v>
      </c>
      <c r="H73" s="17">
        <v>94</v>
      </c>
      <c r="I73" s="17">
        <v>391</v>
      </c>
      <c r="J73" s="17">
        <v>110.75</v>
      </c>
      <c r="K73" s="17">
        <v>369</v>
      </c>
      <c r="L73" s="17"/>
      <c r="M73" s="17"/>
      <c r="N73" s="17">
        <v>49</v>
      </c>
      <c r="O73" s="17">
        <v>1682</v>
      </c>
      <c r="P73" s="17"/>
      <c r="Q73" s="17"/>
      <c r="R73" s="17"/>
      <c r="S73" s="17"/>
      <c r="T73" s="17">
        <v>88</v>
      </c>
      <c r="U73" s="17">
        <v>227</v>
      </c>
      <c r="V73" s="17">
        <v>88</v>
      </c>
      <c r="W73" s="17">
        <v>30</v>
      </c>
      <c r="X73" s="15">
        <v>308.25</v>
      </c>
      <c r="Y73" s="17">
        <v>75</v>
      </c>
      <c r="Z73" s="17">
        <v>533.25</v>
      </c>
      <c r="AA73" s="17">
        <v>324</v>
      </c>
      <c r="AB73" s="12">
        <f t="shared" si="1"/>
        <v>71</v>
      </c>
    </row>
    <row r="74" ht="14.25" spans="1:28">
      <c r="A74" s="13">
        <v>719</v>
      </c>
      <c r="B74" s="15">
        <v>15</v>
      </c>
      <c r="C74" s="16">
        <v>18</v>
      </c>
      <c r="D74" s="17" t="s">
        <v>1441</v>
      </c>
      <c r="E74" s="17" t="s">
        <v>1442</v>
      </c>
      <c r="F74" s="17">
        <v>105.5</v>
      </c>
      <c r="G74" s="17">
        <v>406</v>
      </c>
      <c r="H74" s="17">
        <v>91</v>
      </c>
      <c r="I74" s="17">
        <v>467</v>
      </c>
      <c r="J74" s="17">
        <v>116.25</v>
      </c>
      <c r="K74" s="17">
        <v>236</v>
      </c>
      <c r="L74" s="17"/>
      <c r="M74" s="17"/>
      <c r="N74" s="17">
        <v>58</v>
      </c>
      <c r="O74" s="17">
        <v>588</v>
      </c>
      <c r="P74" s="17"/>
      <c r="Q74" s="17"/>
      <c r="R74" s="17"/>
      <c r="S74" s="17"/>
      <c r="T74" s="17">
        <v>76</v>
      </c>
      <c r="U74" s="17">
        <v>1218</v>
      </c>
      <c r="V74" s="17">
        <v>86</v>
      </c>
      <c r="W74" s="17">
        <v>73</v>
      </c>
      <c r="X74" s="15">
        <v>312.75</v>
      </c>
      <c r="Y74" s="17">
        <v>62</v>
      </c>
      <c r="Z74" s="17">
        <v>532.75</v>
      </c>
      <c r="AA74" s="17">
        <v>328</v>
      </c>
      <c r="AB74" s="12">
        <f t="shared" si="1"/>
        <v>72</v>
      </c>
    </row>
    <row r="75" ht="14.25" spans="1:28">
      <c r="A75" s="13">
        <v>859</v>
      </c>
      <c r="B75" s="15">
        <v>18</v>
      </c>
      <c r="C75" s="16">
        <v>42</v>
      </c>
      <c r="D75" s="17" t="s">
        <v>1716</v>
      </c>
      <c r="E75" s="17" t="s">
        <v>1717</v>
      </c>
      <c r="F75" s="17">
        <v>101.5</v>
      </c>
      <c r="G75" s="17">
        <v>805</v>
      </c>
      <c r="H75" s="17">
        <v>103.5</v>
      </c>
      <c r="I75" s="17">
        <v>209</v>
      </c>
      <c r="J75" s="17">
        <v>99.25</v>
      </c>
      <c r="K75" s="17">
        <v>742</v>
      </c>
      <c r="L75" s="17"/>
      <c r="M75" s="17"/>
      <c r="N75" s="17">
        <v>60.5</v>
      </c>
      <c r="O75" s="17">
        <v>424</v>
      </c>
      <c r="P75" s="17"/>
      <c r="Q75" s="17"/>
      <c r="R75" s="17">
        <v>77</v>
      </c>
      <c r="S75" s="17">
        <v>736</v>
      </c>
      <c r="T75" s="17">
        <v>91</v>
      </c>
      <c r="U75" s="17">
        <v>51</v>
      </c>
      <c r="V75" s="17"/>
      <c r="W75" s="17"/>
      <c r="X75" s="15">
        <v>304.25</v>
      </c>
      <c r="Y75" s="17">
        <v>83</v>
      </c>
      <c r="Z75" s="17">
        <v>532.75</v>
      </c>
      <c r="AA75" s="17">
        <v>328</v>
      </c>
      <c r="AB75" s="12">
        <f t="shared" si="1"/>
        <v>72</v>
      </c>
    </row>
    <row r="76" ht="14.25" spans="1:28">
      <c r="A76" s="13">
        <v>867</v>
      </c>
      <c r="B76" s="15">
        <v>18</v>
      </c>
      <c r="C76" s="16">
        <v>53</v>
      </c>
      <c r="D76" s="17" t="s">
        <v>1732</v>
      </c>
      <c r="E76" s="17" t="s">
        <v>1733</v>
      </c>
      <c r="F76" s="17">
        <v>102</v>
      </c>
      <c r="G76" s="17">
        <v>747</v>
      </c>
      <c r="H76" s="17">
        <v>92</v>
      </c>
      <c r="I76" s="17">
        <v>436</v>
      </c>
      <c r="J76" s="17">
        <v>109.5</v>
      </c>
      <c r="K76" s="17">
        <v>405</v>
      </c>
      <c r="L76" s="17"/>
      <c r="M76" s="17"/>
      <c r="N76" s="17">
        <v>61</v>
      </c>
      <c r="O76" s="17">
        <v>392</v>
      </c>
      <c r="P76" s="17"/>
      <c r="Q76" s="17"/>
      <c r="R76" s="17">
        <v>84</v>
      </c>
      <c r="S76" s="17">
        <v>369</v>
      </c>
      <c r="T76" s="17">
        <v>84</v>
      </c>
      <c r="U76" s="17">
        <v>578</v>
      </c>
      <c r="V76" s="17"/>
      <c r="W76" s="17"/>
      <c r="X76" s="15">
        <v>303.5</v>
      </c>
      <c r="Y76" s="17">
        <v>84</v>
      </c>
      <c r="Z76" s="17">
        <v>532.5</v>
      </c>
      <c r="AA76" s="17">
        <v>332</v>
      </c>
      <c r="AB76" s="12">
        <f t="shared" si="1"/>
        <v>74</v>
      </c>
    </row>
    <row r="77" ht="14.25" spans="1:28">
      <c r="A77" s="13">
        <v>795</v>
      </c>
      <c r="B77" s="15">
        <v>17</v>
      </c>
      <c r="C77" s="16">
        <v>17</v>
      </c>
      <c r="D77" s="17" t="s">
        <v>1588</v>
      </c>
      <c r="E77" s="17" t="s">
        <v>1589</v>
      </c>
      <c r="F77" s="17">
        <v>105</v>
      </c>
      <c r="G77" s="17">
        <v>437</v>
      </c>
      <c r="H77" s="17">
        <v>95.5</v>
      </c>
      <c r="I77" s="17">
        <v>360</v>
      </c>
      <c r="J77" s="17">
        <v>105.75</v>
      </c>
      <c r="K77" s="17">
        <v>519</v>
      </c>
      <c r="L77" s="17"/>
      <c r="M77" s="17"/>
      <c r="N77" s="17">
        <v>58</v>
      </c>
      <c r="O77" s="17">
        <v>588</v>
      </c>
      <c r="P77" s="17"/>
      <c r="Q77" s="17"/>
      <c r="R77" s="17">
        <v>86</v>
      </c>
      <c r="S77" s="17">
        <v>293</v>
      </c>
      <c r="T77" s="17">
        <v>82</v>
      </c>
      <c r="U77" s="17">
        <v>702</v>
      </c>
      <c r="V77" s="17"/>
      <c r="W77" s="17"/>
      <c r="X77" s="15">
        <v>306.25</v>
      </c>
      <c r="Y77" s="17">
        <v>81</v>
      </c>
      <c r="Z77" s="17">
        <v>532.25</v>
      </c>
      <c r="AA77" s="17">
        <v>335</v>
      </c>
      <c r="AB77" s="12">
        <f t="shared" si="1"/>
        <v>75</v>
      </c>
    </row>
    <row r="78" ht="14.25" spans="1:28">
      <c r="A78" s="13">
        <v>708</v>
      </c>
      <c r="B78" s="15">
        <v>15</v>
      </c>
      <c r="C78" s="16">
        <v>6</v>
      </c>
      <c r="D78" s="17" t="s">
        <v>1419</v>
      </c>
      <c r="E78" s="17" t="s">
        <v>1420</v>
      </c>
      <c r="F78" s="17">
        <v>100.5</v>
      </c>
      <c r="G78" s="17">
        <v>901</v>
      </c>
      <c r="H78" s="17">
        <v>112.5</v>
      </c>
      <c r="I78" s="17">
        <v>91</v>
      </c>
      <c r="J78" s="17">
        <v>93.5</v>
      </c>
      <c r="K78" s="17">
        <v>991</v>
      </c>
      <c r="L78" s="17"/>
      <c r="M78" s="17"/>
      <c r="N78" s="17">
        <v>62.5</v>
      </c>
      <c r="O78" s="17">
        <v>292</v>
      </c>
      <c r="P78" s="17"/>
      <c r="Q78" s="17"/>
      <c r="R78" s="17"/>
      <c r="S78" s="17"/>
      <c r="T78" s="17">
        <v>90</v>
      </c>
      <c r="U78" s="17">
        <v>80</v>
      </c>
      <c r="V78" s="17">
        <v>72</v>
      </c>
      <c r="W78" s="17">
        <v>395</v>
      </c>
      <c r="X78" s="15">
        <v>306.5</v>
      </c>
      <c r="Y78" s="17">
        <v>80</v>
      </c>
      <c r="Z78" s="17">
        <v>531</v>
      </c>
      <c r="AA78" s="17">
        <v>343</v>
      </c>
      <c r="AB78" s="12">
        <f t="shared" si="1"/>
        <v>76</v>
      </c>
    </row>
    <row r="79" ht="14.25" spans="1:28">
      <c r="A79" s="13">
        <v>796</v>
      </c>
      <c r="B79" s="15">
        <v>17</v>
      </c>
      <c r="C79" s="16">
        <v>19</v>
      </c>
      <c r="D79" s="17" t="s">
        <v>1590</v>
      </c>
      <c r="E79" s="17" t="s">
        <v>1591</v>
      </c>
      <c r="F79" s="17">
        <v>102.75</v>
      </c>
      <c r="G79" s="17">
        <v>678</v>
      </c>
      <c r="H79" s="17">
        <v>90</v>
      </c>
      <c r="I79" s="17">
        <v>498</v>
      </c>
      <c r="J79" s="17">
        <v>105.75</v>
      </c>
      <c r="K79" s="17">
        <v>519</v>
      </c>
      <c r="L79" s="17"/>
      <c r="M79" s="17"/>
      <c r="N79" s="17">
        <v>55.5</v>
      </c>
      <c r="O79" s="17">
        <v>860</v>
      </c>
      <c r="P79" s="17"/>
      <c r="Q79" s="17"/>
      <c r="R79" s="17">
        <v>88</v>
      </c>
      <c r="S79" s="17">
        <v>123</v>
      </c>
      <c r="T79" s="17">
        <v>89</v>
      </c>
      <c r="U79" s="17">
        <v>137</v>
      </c>
      <c r="V79" s="17"/>
      <c r="W79" s="17"/>
      <c r="X79" s="15">
        <v>298.5</v>
      </c>
      <c r="Y79" s="17">
        <v>102</v>
      </c>
      <c r="Z79" s="17">
        <v>531</v>
      </c>
      <c r="AA79" s="17">
        <v>343</v>
      </c>
      <c r="AB79" s="12">
        <f t="shared" si="1"/>
        <v>76</v>
      </c>
    </row>
    <row r="80" ht="14.25" spans="1:28">
      <c r="A80" s="13">
        <v>690</v>
      </c>
      <c r="B80" s="15">
        <v>14</v>
      </c>
      <c r="C80" s="16">
        <v>31</v>
      </c>
      <c r="D80" s="17" t="s">
        <v>1386</v>
      </c>
      <c r="E80" s="17" t="s">
        <v>1387</v>
      </c>
      <c r="F80" s="17">
        <v>91.5</v>
      </c>
      <c r="G80" s="17">
        <v>2123</v>
      </c>
      <c r="H80" s="17">
        <v>106.5</v>
      </c>
      <c r="I80" s="17">
        <v>173</v>
      </c>
      <c r="J80" s="17">
        <v>110</v>
      </c>
      <c r="K80" s="17">
        <v>386</v>
      </c>
      <c r="L80" s="17"/>
      <c r="M80" s="17"/>
      <c r="N80" s="17">
        <v>55</v>
      </c>
      <c r="O80" s="17">
        <v>914</v>
      </c>
      <c r="P80" s="17"/>
      <c r="Q80" s="17"/>
      <c r="R80" s="17"/>
      <c r="S80" s="17"/>
      <c r="T80" s="17">
        <v>88</v>
      </c>
      <c r="U80" s="17">
        <v>227</v>
      </c>
      <c r="V80" s="17">
        <v>79</v>
      </c>
      <c r="W80" s="17">
        <v>194</v>
      </c>
      <c r="X80" s="15">
        <v>308</v>
      </c>
      <c r="Y80" s="17">
        <v>77</v>
      </c>
      <c r="Z80" s="17">
        <v>530</v>
      </c>
      <c r="AA80" s="17">
        <v>350</v>
      </c>
      <c r="AB80" s="12">
        <f t="shared" si="1"/>
        <v>78</v>
      </c>
    </row>
    <row r="81" ht="14.25" spans="1:28">
      <c r="A81" s="13">
        <v>821</v>
      </c>
      <c r="B81" s="15">
        <v>17</v>
      </c>
      <c r="C81" s="16">
        <v>48</v>
      </c>
      <c r="D81" s="17" t="s">
        <v>1640</v>
      </c>
      <c r="E81" s="17" t="s">
        <v>1641</v>
      </c>
      <c r="F81" s="17">
        <v>103.75</v>
      </c>
      <c r="G81" s="17">
        <v>573</v>
      </c>
      <c r="H81" s="17">
        <v>93.5</v>
      </c>
      <c r="I81" s="17">
        <v>401</v>
      </c>
      <c r="J81" s="17">
        <v>102</v>
      </c>
      <c r="K81" s="17">
        <v>632</v>
      </c>
      <c r="L81" s="17"/>
      <c r="M81" s="17"/>
      <c r="N81" s="17">
        <v>65.5</v>
      </c>
      <c r="O81" s="17">
        <v>173</v>
      </c>
      <c r="P81" s="17"/>
      <c r="Q81" s="17"/>
      <c r="R81" s="17">
        <v>89</v>
      </c>
      <c r="S81" s="17">
        <v>77</v>
      </c>
      <c r="T81" s="17">
        <v>76</v>
      </c>
      <c r="U81" s="17">
        <v>1218</v>
      </c>
      <c r="V81" s="17"/>
      <c r="W81" s="17"/>
      <c r="X81" s="15">
        <v>299.25</v>
      </c>
      <c r="Y81" s="17">
        <v>99</v>
      </c>
      <c r="Z81" s="17">
        <v>529.75</v>
      </c>
      <c r="AA81" s="17">
        <v>356</v>
      </c>
      <c r="AB81" s="12">
        <f t="shared" si="1"/>
        <v>79</v>
      </c>
    </row>
    <row r="82" ht="14.25" spans="1:28">
      <c r="A82" s="13">
        <v>860</v>
      </c>
      <c r="B82" s="15">
        <v>18</v>
      </c>
      <c r="C82" s="16">
        <v>43</v>
      </c>
      <c r="D82" s="17" t="s">
        <v>1718</v>
      </c>
      <c r="E82" s="17" t="s">
        <v>1719</v>
      </c>
      <c r="F82" s="17">
        <v>106.5</v>
      </c>
      <c r="G82" s="17">
        <v>338</v>
      </c>
      <c r="H82" s="17">
        <v>92.5</v>
      </c>
      <c r="I82" s="17">
        <v>426</v>
      </c>
      <c r="J82" s="17">
        <v>100</v>
      </c>
      <c r="K82" s="17">
        <v>709</v>
      </c>
      <c r="L82" s="17"/>
      <c r="M82" s="17"/>
      <c r="N82" s="17">
        <v>61</v>
      </c>
      <c r="O82" s="17">
        <v>392</v>
      </c>
      <c r="P82" s="17"/>
      <c r="Q82" s="17"/>
      <c r="R82" s="17">
        <v>87</v>
      </c>
      <c r="S82" s="17">
        <v>202</v>
      </c>
      <c r="T82" s="17">
        <v>82</v>
      </c>
      <c r="U82" s="17">
        <v>702</v>
      </c>
      <c r="V82" s="17"/>
      <c r="W82" s="17"/>
      <c r="X82" s="15">
        <v>299</v>
      </c>
      <c r="Y82" s="17">
        <v>100</v>
      </c>
      <c r="Z82" s="17">
        <v>529</v>
      </c>
      <c r="AA82" s="17">
        <v>362</v>
      </c>
      <c r="AB82" s="12">
        <f t="shared" si="1"/>
        <v>80</v>
      </c>
    </row>
    <row r="83" ht="14.25" spans="1:28">
      <c r="A83" s="13">
        <v>737</v>
      </c>
      <c r="B83" s="15">
        <v>15</v>
      </c>
      <c r="C83" s="16">
        <v>37</v>
      </c>
      <c r="D83" s="17" t="s">
        <v>1476</v>
      </c>
      <c r="E83" s="17" t="s">
        <v>1477</v>
      </c>
      <c r="F83" s="17">
        <v>94.75</v>
      </c>
      <c r="G83" s="17">
        <v>1683</v>
      </c>
      <c r="H83" s="17">
        <v>111</v>
      </c>
      <c r="I83" s="17">
        <v>115</v>
      </c>
      <c r="J83" s="17">
        <v>108</v>
      </c>
      <c r="K83" s="17">
        <v>449</v>
      </c>
      <c r="L83" s="17"/>
      <c r="M83" s="17"/>
      <c r="N83" s="17">
        <v>57.5</v>
      </c>
      <c r="O83" s="17">
        <v>638</v>
      </c>
      <c r="P83" s="17"/>
      <c r="Q83" s="17"/>
      <c r="R83" s="17"/>
      <c r="S83" s="17"/>
      <c r="T83" s="17">
        <v>75</v>
      </c>
      <c r="U83" s="17">
        <v>1272</v>
      </c>
      <c r="V83" s="17">
        <v>82</v>
      </c>
      <c r="W83" s="17">
        <v>124</v>
      </c>
      <c r="X83" s="15">
        <v>313.75</v>
      </c>
      <c r="Y83" s="17">
        <v>60</v>
      </c>
      <c r="Z83" s="17">
        <v>528.25</v>
      </c>
      <c r="AA83" s="17">
        <v>364</v>
      </c>
      <c r="AB83" s="12">
        <f t="shared" si="1"/>
        <v>81</v>
      </c>
    </row>
    <row r="84" ht="14.25" spans="1:28">
      <c r="A84" s="13">
        <v>838</v>
      </c>
      <c r="B84" s="15">
        <v>18</v>
      </c>
      <c r="C84" s="16">
        <v>18</v>
      </c>
      <c r="D84" s="17" t="s">
        <v>1674</v>
      </c>
      <c r="E84" s="17" t="s">
        <v>1675</v>
      </c>
      <c r="F84" s="17">
        <v>107.5</v>
      </c>
      <c r="G84" s="17">
        <v>270</v>
      </c>
      <c r="H84" s="17">
        <v>69</v>
      </c>
      <c r="I84" s="17">
        <v>1084</v>
      </c>
      <c r="J84" s="17">
        <v>125</v>
      </c>
      <c r="K84" s="17">
        <v>77</v>
      </c>
      <c r="L84" s="17"/>
      <c r="M84" s="17"/>
      <c r="N84" s="17">
        <v>64</v>
      </c>
      <c r="O84" s="17">
        <v>232</v>
      </c>
      <c r="P84" s="17"/>
      <c r="Q84" s="17"/>
      <c r="R84" s="17">
        <v>79</v>
      </c>
      <c r="S84" s="17">
        <v>590</v>
      </c>
      <c r="T84" s="17">
        <v>83</v>
      </c>
      <c r="U84" s="17">
        <v>616</v>
      </c>
      <c r="V84" s="17"/>
      <c r="W84" s="17"/>
      <c r="X84" s="15">
        <v>301.5</v>
      </c>
      <c r="Y84" s="17">
        <v>93</v>
      </c>
      <c r="Z84" s="17">
        <v>527.5</v>
      </c>
      <c r="AA84" s="17">
        <v>367</v>
      </c>
      <c r="AB84" s="12">
        <f t="shared" si="1"/>
        <v>82</v>
      </c>
    </row>
    <row r="85" ht="14.25" spans="1:28">
      <c r="A85" s="13">
        <v>834</v>
      </c>
      <c r="B85" s="15">
        <v>18</v>
      </c>
      <c r="C85" s="16">
        <v>12</v>
      </c>
      <c r="D85" s="17" t="s">
        <v>1666</v>
      </c>
      <c r="E85" s="17" t="s">
        <v>1667</v>
      </c>
      <c r="F85" s="17">
        <v>111</v>
      </c>
      <c r="G85" s="17">
        <v>130</v>
      </c>
      <c r="H85" s="17">
        <v>111.5</v>
      </c>
      <c r="I85" s="17">
        <v>106</v>
      </c>
      <c r="J85" s="17">
        <v>88.25</v>
      </c>
      <c r="K85" s="17">
        <v>1227</v>
      </c>
      <c r="L85" s="17"/>
      <c r="M85" s="17"/>
      <c r="N85" s="17">
        <v>57.5</v>
      </c>
      <c r="O85" s="17">
        <v>638</v>
      </c>
      <c r="P85" s="17"/>
      <c r="Q85" s="17"/>
      <c r="R85" s="17">
        <v>87</v>
      </c>
      <c r="S85" s="17">
        <v>202</v>
      </c>
      <c r="T85" s="17">
        <v>72</v>
      </c>
      <c r="U85" s="17">
        <v>1556</v>
      </c>
      <c r="V85" s="17"/>
      <c r="W85" s="17"/>
      <c r="X85" s="15">
        <v>310.75</v>
      </c>
      <c r="Y85" s="17">
        <v>70</v>
      </c>
      <c r="Z85" s="17">
        <v>527.25</v>
      </c>
      <c r="AA85" s="17">
        <v>369</v>
      </c>
      <c r="AB85" s="12">
        <f t="shared" si="1"/>
        <v>83</v>
      </c>
    </row>
    <row r="86" ht="14.25" spans="1:28">
      <c r="A86" s="13">
        <v>677</v>
      </c>
      <c r="B86" s="15">
        <v>14</v>
      </c>
      <c r="C86" s="16">
        <v>18</v>
      </c>
      <c r="D86" s="17" t="s">
        <v>1360</v>
      </c>
      <c r="E86" s="17" t="s">
        <v>1361</v>
      </c>
      <c r="F86" s="17">
        <v>91.5</v>
      </c>
      <c r="G86" s="17">
        <v>2123</v>
      </c>
      <c r="H86" s="17">
        <v>114</v>
      </c>
      <c r="I86" s="17">
        <v>77</v>
      </c>
      <c r="J86" s="17">
        <v>105.25</v>
      </c>
      <c r="K86" s="17">
        <v>535</v>
      </c>
      <c r="L86" s="17"/>
      <c r="M86" s="17"/>
      <c r="N86" s="17">
        <v>55.25</v>
      </c>
      <c r="O86" s="17">
        <v>913</v>
      </c>
      <c r="P86" s="17"/>
      <c r="Q86" s="17"/>
      <c r="R86" s="17"/>
      <c r="S86" s="17"/>
      <c r="T86" s="17">
        <v>83</v>
      </c>
      <c r="U86" s="17">
        <v>616</v>
      </c>
      <c r="V86" s="17">
        <v>78</v>
      </c>
      <c r="W86" s="17">
        <v>215</v>
      </c>
      <c r="X86" s="15">
        <v>310.75</v>
      </c>
      <c r="Y86" s="17">
        <v>70</v>
      </c>
      <c r="Z86" s="17">
        <v>527</v>
      </c>
      <c r="AA86" s="17">
        <v>370</v>
      </c>
      <c r="AB86" s="12">
        <f t="shared" si="1"/>
        <v>84</v>
      </c>
    </row>
    <row r="87" ht="14.25" spans="1:28">
      <c r="A87" s="13">
        <v>692</v>
      </c>
      <c r="B87" s="15">
        <v>14</v>
      </c>
      <c r="C87" s="16">
        <v>34</v>
      </c>
      <c r="D87" s="17" t="s">
        <v>1390</v>
      </c>
      <c r="E87" s="17" t="s">
        <v>1115</v>
      </c>
      <c r="F87" s="17">
        <v>104</v>
      </c>
      <c r="G87" s="17">
        <v>526</v>
      </c>
      <c r="H87" s="17">
        <v>94</v>
      </c>
      <c r="I87" s="17">
        <v>391</v>
      </c>
      <c r="J87" s="17">
        <v>114</v>
      </c>
      <c r="K87" s="17">
        <v>281</v>
      </c>
      <c r="L87" s="17"/>
      <c r="M87" s="17"/>
      <c r="N87" s="17">
        <v>60</v>
      </c>
      <c r="O87" s="17">
        <v>457</v>
      </c>
      <c r="P87" s="17"/>
      <c r="Q87" s="17"/>
      <c r="R87" s="17"/>
      <c r="S87" s="17"/>
      <c r="T87" s="17">
        <v>82</v>
      </c>
      <c r="U87" s="17">
        <v>702</v>
      </c>
      <c r="V87" s="17">
        <v>73</v>
      </c>
      <c r="W87" s="17">
        <v>356</v>
      </c>
      <c r="X87" s="15">
        <v>312</v>
      </c>
      <c r="Y87" s="17">
        <v>65</v>
      </c>
      <c r="Z87" s="17">
        <v>527</v>
      </c>
      <c r="AA87" s="17">
        <v>370</v>
      </c>
      <c r="AB87" s="12">
        <f t="shared" si="1"/>
        <v>84</v>
      </c>
    </row>
    <row r="88" ht="14.25" spans="1:28">
      <c r="A88" s="13">
        <v>715</v>
      </c>
      <c r="B88" s="15">
        <v>15</v>
      </c>
      <c r="C88" s="16">
        <v>14</v>
      </c>
      <c r="D88" s="17" t="s">
        <v>1433</v>
      </c>
      <c r="E88" s="17" t="s">
        <v>1434</v>
      </c>
      <c r="F88" s="17">
        <v>98.5</v>
      </c>
      <c r="G88" s="17">
        <v>1145</v>
      </c>
      <c r="H88" s="17">
        <v>110.5</v>
      </c>
      <c r="I88" s="17">
        <v>121</v>
      </c>
      <c r="J88" s="17">
        <v>102.5</v>
      </c>
      <c r="K88" s="17">
        <v>612</v>
      </c>
      <c r="L88" s="17"/>
      <c r="M88" s="17"/>
      <c r="N88" s="17">
        <v>56.5</v>
      </c>
      <c r="O88" s="17">
        <v>750</v>
      </c>
      <c r="P88" s="17"/>
      <c r="Q88" s="17"/>
      <c r="R88" s="17"/>
      <c r="S88" s="17"/>
      <c r="T88" s="17">
        <v>71</v>
      </c>
      <c r="U88" s="17">
        <v>1653</v>
      </c>
      <c r="V88" s="17">
        <v>88</v>
      </c>
      <c r="W88" s="17">
        <v>30</v>
      </c>
      <c r="X88" s="15">
        <v>311.5</v>
      </c>
      <c r="Y88" s="17">
        <v>67</v>
      </c>
      <c r="Z88" s="17">
        <v>527</v>
      </c>
      <c r="AA88" s="17">
        <v>370</v>
      </c>
      <c r="AB88" s="12">
        <f t="shared" si="1"/>
        <v>84</v>
      </c>
    </row>
    <row r="89" ht="14.25" spans="1:28">
      <c r="A89" s="13">
        <v>769</v>
      </c>
      <c r="B89" s="15">
        <v>16</v>
      </c>
      <c r="C89" s="16">
        <v>25</v>
      </c>
      <c r="D89" s="17" t="s">
        <v>1537</v>
      </c>
      <c r="E89" s="17" t="s">
        <v>847</v>
      </c>
      <c r="F89" s="17">
        <v>111</v>
      </c>
      <c r="G89" s="17">
        <v>130</v>
      </c>
      <c r="H89" s="17">
        <v>88.5</v>
      </c>
      <c r="I89" s="17">
        <v>526</v>
      </c>
      <c r="J89" s="17">
        <v>102.5</v>
      </c>
      <c r="K89" s="17">
        <v>612</v>
      </c>
      <c r="L89" s="17"/>
      <c r="M89" s="17"/>
      <c r="N89" s="17">
        <v>58.5</v>
      </c>
      <c r="O89" s="17">
        <v>550</v>
      </c>
      <c r="P89" s="17"/>
      <c r="Q89" s="17"/>
      <c r="R89" s="17">
        <v>80</v>
      </c>
      <c r="S89" s="17">
        <v>535</v>
      </c>
      <c r="T89" s="17">
        <v>83</v>
      </c>
      <c r="U89" s="17">
        <v>616</v>
      </c>
      <c r="V89" s="17"/>
      <c r="W89" s="17"/>
      <c r="X89" s="15">
        <v>302</v>
      </c>
      <c r="Y89" s="17">
        <v>88</v>
      </c>
      <c r="Z89" s="17">
        <v>523.5</v>
      </c>
      <c r="AA89" s="17">
        <v>387</v>
      </c>
      <c r="AB89" s="12">
        <f t="shared" si="1"/>
        <v>87</v>
      </c>
    </row>
    <row r="90" ht="14.25" spans="1:28">
      <c r="A90" s="13">
        <v>679</v>
      </c>
      <c r="B90" s="15">
        <v>14</v>
      </c>
      <c r="C90" s="16">
        <v>20</v>
      </c>
      <c r="D90" s="17" t="s">
        <v>1364</v>
      </c>
      <c r="E90" s="17" t="s">
        <v>1365</v>
      </c>
      <c r="F90" s="17">
        <v>107.5</v>
      </c>
      <c r="G90" s="17">
        <v>270</v>
      </c>
      <c r="H90" s="17">
        <v>101</v>
      </c>
      <c r="I90" s="17">
        <v>253</v>
      </c>
      <c r="J90" s="17">
        <v>118.25</v>
      </c>
      <c r="K90" s="17">
        <v>196</v>
      </c>
      <c r="L90" s="17"/>
      <c r="M90" s="17"/>
      <c r="N90" s="17">
        <v>43.5</v>
      </c>
      <c r="O90" s="17">
        <v>2443</v>
      </c>
      <c r="P90" s="17"/>
      <c r="Q90" s="17"/>
      <c r="R90" s="17"/>
      <c r="S90" s="17"/>
      <c r="T90" s="17">
        <v>82</v>
      </c>
      <c r="U90" s="17">
        <v>702</v>
      </c>
      <c r="V90" s="17">
        <v>71</v>
      </c>
      <c r="W90" s="17">
        <v>422</v>
      </c>
      <c r="X90" s="15">
        <v>326.75</v>
      </c>
      <c r="Y90" s="17">
        <v>28</v>
      </c>
      <c r="Z90" s="17">
        <v>523.25</v>
      </c>
      <c r="AA90" s="17">
        <v>388</v>
      </c>
      <c r="AB90" s="12">
        <f t="shared" si="1"/>
        <v>88</v>
      </c>
    </row>
    <row r="91" ht="14.25" spans="1:28">
      <c r="A91" s="13">
        <v>844</v>
      </c>
      <c r="B91" s="15">
        <v>18</v>
      </c>
      <c r="C91" s="16">
        <v>24</v>
      </c>
      <c r="D91" s="17" t="s">
        <v>1686</v>
      </c>
      <c r="E91" s="17" t="s">
        <v>1687</v>
      </c>
      <c r="F91" s="17">
        <v>99</v>
      </c>
      <c r="G91" s="17">
        <v>1072</v>
      </c>
      <c r="H91" s="17">
        <v>97.5</v>
      </c>
      <c r="I91" s="17">
        <v>318</v>
      </c>
      <c r="J91" s="17">
        <v>100.5</v>
      </c>
      <c r="K91" s="17">
        <v>683</v>
      </c>
      <c r="L91" s="17"/>
      <c r="M91" s="17"/>
      <c r="N91" s="17">
        <v>58</v>
      </c>
      <c r="O91" s="17">
        <v>588</v>
      </c>
      <c r="P91" s="17"/>
      <c r="Q91" s="17"/>
      <c r="R91" s="17">
        <v>86</v>
      </c>
      <c r="S91" s="17">
        <v>293</v>
      </c>
      <c r="T91" s="17">
        <v>82</v>
      </c>
      <c r="U91" s="17">
        <v>702</v>
      </c>
      <c r="V91" s="17"/>
      <c r="W91" s="17"/>
      <c r="X91" s="15">
        <v>297</v>
      </c>
      <c r="Y91" s="17">
        <v>106</v>
      </c>
      <c r="Z91" s="17">
        <v>523</v>
      </c>
      <c r="AA91" s="17">
        <v>389</v>
      </c>
      <c r="AB91" s="12">
        <f t="shared" si="1"/>
        <v>89</v>
      </c>
    </row>
    <row r="92" ht="14.25" spans="1:28">
      <c r="A92" s="13">
        <v>723</v>
      </c>
      <c r="B92" s="15">
        <v>15</v>
      </c>
      <c r="C92" s="16">
        <v>22</v>
      </c>
      <c r="D92" s="17" t="s">
        <v>1449</v>
      </c>
      <c r="E92" s="17" t="s">
        <v>1450</v>
      </c>
      <c r="F92" s="17">
        <v>98</v>
      </c>
      <c r="G92" s="17">
        <v>1207</v>
      </c>
      <c r="H92" s="17">
        <v>107.5</v>
      </c>
      <c r="I92" s="17">
        <v>160</v>
      </c>
      <c r="J92" s="17">
        <v>121.25</v>
      </c>
      <c r="K92" s="17">
        <v>139</v>
      </c>
      <c r="L92" s="17"/>
      <c r="M92" s="17"/>
      <c r="N92" s="17">
        <v>56</v>
      </c>
      <c r="O92" s="17">
        <v>804</v>
      </c>
      <c r="P92" s="17"/>
      <c r="Q92" s="17"/>
      <c r="R92" s="17"/>
      <c r="S92" s="17"/>
      <c r="T92" s="17">
        <v>78</v>
      </c>
      <c r="U92" s="17">
        <v>1003</v>
      </c>
      <c r="V92" s="17">
        <v>62</v>
      </c>
      <c r="W92" s="17">
        <v>766</v>
      </c>
      <c r="X92" s="15">
        <v>326.75</v>
      </c>
      <c r="Y92" s="17">
        <v>28</v>
      </c>
      <c r="Z92" s="17">
        <v>522.75</v>
      </c>
      <c r="AA92" s="17">
        <v>391</v>
      </c>
      <c r="AB92" s="12">
        <f t="shared" si="1"/>
        <v>90</v>
      </c>
    </row>
    <row r="93" ht="14.25" spans="1:28">
      <c r="A93" s="13">
        <v>813</v>
      </c>
      <c r="B93" s="15">
        <v>17</v>
      </c>
      <c r="C93" s="16">
        <v>38</v>
      </c>
      <c r="D93" s="17" t="s">
        <v>1624</v>
      </c>
      <c r="E93" s="17" t="s">
        <v>1625</v>
      </c>
      <c r="F93" s="17">
        <v>115</v>
      </c>
      <c r="G93" s="17">
        <v>50</v>
      </c>
      <c r="H93" s="17">
        <v>64.5</v>
      </c>
      <c r="I93" s="17">
        <v>1240</v>
      </c>
      <c r="J93" s="17">
        <v>118.5</v>
      </c>
      <c r="K93" s="17">
        <v>189</v>
      </c>
      <c r="L93" s="17"/>
      <c r="M93" s="17"/>
      <c r="N93" s="17">
        <v>47.5</v>
      </c>
      <c r="O93" s="17">
        <v>1909</v>
      </c>
      <c r="P93" s="17"/>
      <c r="Q93" s="17"/>
      <c r="R93" s="17">
        <v>87</v>
      </c>
      <c r="S93" s="17">
        <v>202</v>
      </c>
      <c r="T93" s="17">
        <v>90</v>
      </c>
      <c r="U93" s="17">
        <v>80</v>
      </c>
      <c r="V93" s="17"/>
      <c r="W93" s="17"/>
      <c r="X93" s="15">
        <v>298</v>
      </c>
      <c r="Y93" s="17">
        <v>104</v>
      </c>
      <c r="Z93" s="17">
        <v>522.5</v>
      </c>
      <c r="AA93" s="17">
        <v>392</v>
      </c>
      <c r="AB93" s="12">
        <f t="shared" si="1"/>
        <v>91</v>
      </c>
    </row>
    <row r="94" ht="14.25" spans="1:28">
      <c r="A94" s="13">
        <v>823</v>
      </c>
      <c r="B94" s="15">
        <v>17</v>
      </c>
      <c r="C94" s="16">
        <v>52</v>
      </c>
      <c r="D94" s="17" t="s">
        <v>1644</v>
      </c>
      <c r="E94" s="17" t="s">
        <v>1645</v>
      </c>
      <c r="F94" s="17">
        <v>105.5</v>
      </c>
      <c r="G94" s="17">
        <v>406</v>
      </c>
      <c r="H94" s="17">
        <v>72.5</v>
      </c>
      <c r="I94" s="17">
        <v>965</v>
      </c>
      <c r="J94" s="17">
        <v>119</v>
      </c>
      <c r="K94" s="17">
        <v>179</v>
      </c>
      <c r="L94" s="17"/>
      <c r="M94" s="17"/>
      <c r="N94" s="17">
        <v>55.5</v>
      </c>
      <c r="O94" s="17">
        <v>860</v>
      </c>
      <c r="P94" s="17"/>
      <c r="Q94" s="17"/>
      <c r="R94" s="17">
        <v>84</v>
      </c>
      <c r="S94" s="17">
        <v>369</v>
      </c>
      <c r="T94" s="17">
        <v>85</v>
      </c>
      <c r="U94" s="17">
        <v>537</v>
      </c>
      <c r="V94" s="17"/>
      <c r="W94" s="17"/>
      <c r="X94" s="15">
        <v>297</v>
      </c>
      <c r="Y94" s="17">
        <v>106</v>
      </c>
      <c r="Z94" s="17">
        <v>521.5</v>
      </c>
      <c r="AA94" s="17">
        <v>399</v>
      </c>
      <c r="AB94" s="12">
        <f t="shared" si="1"/>
        <v>92</v>
      </c>
    </row>
    <row r="95" ht="14.25" spans="1:28">
      <c r="A95" s="13">
        <v>691</v>
      </c>
      <c r="B95" s="15">
        <v>14</v>
      </c>
      <c r="C95" s="16">
        <v>33</v>
      </c>
      <c r="D95" s="17" t="s">
        <v>1388</v>
      </c>
      <c r="E95" s="17" t="s">
        <v>1389</v>
      </c>
      <c r="F95" s="17">
        <v>100.5</v>
      </c>
      <c r="G95" s="17">
        <v>901</v>
      </c>
      <c r="H95" s="17">
        <v>112</v>
      </c>
      <c r="I95" s="17">
        <v>96</v>
      </c>
      <c r="J95" s="17">
        <v>90.5</v>
      </c>
      <c r="K95" s="17">
        <v>1116</v>
      </c>
      <c r="L95" s="17"/>
      <c r="M95" s="17"/>
      <c r="N95" s="17">
        <v>56</v>
      </c>
      <c r="O95" s="17">
        <v>804</v>
      </c>
      <c r="P95" s="17"/>
      <c r="Q95" s="17"/>
      <c r="R95" s="17"/>
      <c r="S95" s="17"/>
      <c r="T95" s="17">
        <v>88</v>
      </c>
      <c r="U95" s="17">
        <v>227</v>
      </c>
      <c r="V95" s="17">
        <v>74</v>
      </c>
      <c r="W95" s="17">
        <v>320</v>
      </c>
      <c r="X95" s="15">
        <v>303</v>
      </c>
      <c r="Y95" s="17">
        <v>85</v>
      </c>
      <c r="Z95" s="17">
        <v>521</v>
      </c>
      <c r="AA95" s="17">
        <v>402</v>
      </c>
      <c r="AB95" s="12">
        <f t="shared" si="1"/>
        <v>93</v>
      </c>
    </row>
    <row r="96" ht="14.25" spans="1:28">
      <c r="A96" s="13">
        <v>728</v>
      </c>
      <c r="B96" s="15">
        <v>15</v>
      </c>
      <c r="C96" s="16">
        <v>28</v>
      </c>
      <c r="D96" s="17" t="s">
        <v>1458</v>
      </c>
      <c r="E96" s="17" t="s">
        <v>1459</v>
      </c>
      <c r="F96" s="17">
        <v>98</v>
      </c>
      <c r="G96" s="17">
        <v>1207</v>
      </c>
      <c r="H96" s="17">
        <v>97</v>
      </c>
      <c r="I96" s="17">
        <v>331</v>
      </c>
      <c r="J96" s="17">
        <v>93.5</v>
      </c>
      <c r="K96" s="17">
        <v>991</v>
      </c>
      <c r="L96" s="17"/>
      <c r="M96" s="17"/>
      <c r="N96" s="17">
        <v>63.5</v>
      </c>
      <c r="O96" s="17">
        <v>253</v>
      </c>
      <c r="P96" s="17"/>
      <c r="Q96" s="17"/>
      <c r="R96" s="17"/>
      <c r="S96" s="17"/>
      <c r="T96" s="17">
        <v>82</v>
      </c>
      <c r="U96" s="17">
        <v>702</v>
      </c>
      <c r="V96" s="17">
        <v>87</v>
      </c>
      <c r="W96" s="17">
        <v>54</v>
      </c>
      <c r="X96" s="15">
        <v>288.5</v>
      </c>
      <c r="Y96" s="17">
        <v>135</v>
      </c>
      <c r="Z96" s="17">
        <v>521</v>
      </c>
      <c r="AA96" s="17">
        <v>402</v>
      </c>
      <c r="AB96" s="12">
        <f t="shared" si="1"/>
        <v>93</v>
      </c>
    </row>
    <row r="97" ht="14.25" spans="1:28">
      <c r="A97" s="13">
        <v>846</v>
      </c>
      <c r="B97" s="15">
        <v>18</v>
      </c>
      <c r="C97" s="16">
        <v>26</v>
      </c>
      <c r="D97" s="17" t="s">
        <v>1690</v>
      </c>
      <c r="E97" s="17" t="s">
        <v>1691</v>
      </c>
      <c r="F97" s="17">
        <v>102</v>
      </c>
      <c r="G97" s="17">
        <v>747</v>
      </c>
      <c r="H97" s="17">
        <v>94</v>
      </c>
      <c r="I97" s="17">
        <v>391</v>
      </c>
      <c r="J97" s="17">
        <v>106</v>
      </c>
      <c r="K97" s="17">
        <v>510</v>
      </c>
      <c r="L97" s="17"/>
      <c r="M97" s="17"/>
      <c r="N97" s="17">
        <v>51</v>
      </c>
      <c r="O97" s="17">
        <v>1415</v>
      </c>
      <c r="P97" s="17"/>
      <c r="Q97" s="17"/>
      <c r="R97" s="17">
        <v>88</v>
      </c>
      <c r="S97" s="17">
        <v>123</v>
      </c>
      <c r="T97" s="17">
        <v>80</v>
      </c>
      <c r="U97" s="17">
        <v>854</v>
      </c>
      <c r="V97" s="17"/>
      <c r="W97" s="17"/>
      <c r="X97" s="15">
        <v>302</v>
      </c>
      <c r="Y97" s="17">
        <v>88</v>
      </c>
      <c r="Z97" s="17">
        <v>521</v>
      </c>
      <c r="AA97" s="17">
        <v>402</v>
      </c>
      <c r="AB97" s="12">
        <f t="shared" si="1"/>
        <v>93</v>
      </c>
    </row>
    <row r="98" ht="14.25" spans="1:28">
      <c r="A98" s="13">
        <v>718</v>
      </c>
      <c r="B98" s="15">
        <v>15</v>
      </c>
      <c r="C98" s="16">
        <v>17</v>
      </c>
      <c r="D98" s="17" t="s">
        <v>1439</v>
      </c>
      <c r="E98" s="17" t="s">
        <v>1440</v>
      </c>
      <c r="F98" s="17">
        <v>96</v>
      </c>
      <c r="G98" s="17">
        <v>1475</v>
      </c>
      <c r="H98" s="17">
        <v>102</v>
      </c>
      <c r="I98" s="17">
        <v>241</v>
      </c>
      <c r="J98" s="17">
        <v>88.5</v>
      </c>
      <c r="K98" s="17">
        <v>1209</v>
      </c>
      <c r="L98" s="17"/>
      <c r="M98" s="17"/>
      <c r="N98" s="17">
        <v>57.5</v>
      </c>
      <c r="O98" s="17">
        <v>638</v>
      </c>
      <c r="P98" s="17"/>
      <c r="Q98" s="17"/>
      <c r="R98" s="17"/>
      <c r="S98" s="17"/>
      <c r="T98" s="17">
        <v>89</v>
      </c>
      <c r="U98" s="17">
        <v>137</v>
      </c>
      <c r="V98" s="17">
        <v>87</v>
      </c>
      <c r="W98" s="17">
        <v>54</v>
      </c>
      <c r="X98" s="15">
        <v>286.5</v>
      </c>
      <c r="Y98" s="17">
        <v>140</v>
      </c>
      <c r="Z98" s="17">
        <v>520</v>
      </c>
      <c r="AA98" s="17">
        <v>413</v>
      </c>
      <c r="AB98" s="12">
        <f t="shared" si="1"/>
        <v>96</v>
      </c>
    </row>
    <row r="99" ht="14.25" spans="1:28">
      <c r="A99" s="13">
        <v>805</v>
      </c>
      <c r="B99" s="15">
        <v>17</v>
      </c>
      <c r="C99" s="16">
        <v>28</v>
      </c>
      <c r="D99" s="17" t="s">
        <v>1608</v>
      </c>
      <c r="E99" s="17" t="s">
        <v>1609</v>
      </c>
      <c r="F99" s="17">
        <v>98</v>
      </c>
      <c r="G99" s="17">
        <v>1207</v>
      </c>
      <c r="H99" s="17">
        <v>110.5</v>
      </c>
      <c r="I99" s="17">
        <v>121</v>
      </c>
      <c r="J99" s="17">
        <v>103.5</v>
      </c>
      <c r="K99" s="17">
        <v>582</v>
      </c>
      <c r="L99" s="17"/>
      <c r="M99" s="17"/>
      <c r="N99" s="17">
        <v>65.5</v>
      </c>
      <c r="O99" s="17">
        <v>173</v>
      </c>
      <c r="P99" s="17"/>
      <c r="Q99" s="17"/>
      <c r="R99" s="17">
        <v>70</v>
      </c>
      <c r="S99" s="17">
        <v>1165</v>
      </c>
      <c r="T99" s="17">
        <v>71</v>
      </c>
      <c r="U99" s="17">
        <v>1653</v>
      </c>
      <c r="V99" s="17"/>
      <c r="W99" s="17"/>
      <c r="X99" s="15">
        <v>312</v>
      </c>
      <c r="Y99" s="17">
        <v>65</v>
      </c>
      <c r="Z99" s="17">
        <v>518.5</v>
      </c>
      <c r="AA99" s="17">
        <v>422</v>
      </c>
      <c r="AB99" s="12">
        <f t="shared" si="1"/>
        <v>97</v>
      </c>
    </row>
    <row r="100" ht="14.25" spans="1:28">
      <c r="A100" s="13">
        <v>866</v>
      </c>
      <c r="B100" s="15">
        <v>18</v>
      </c>
      <c r="C100" s="16">
        <v>52</v>
      </c>
      <c r="D100" s="17" t="s">
        <v>1730</v>
      </c>
      <c r="E100" s="17" t="s">
        <v>1731</v>
      </c>
      <c r="F100" s="17">
        <v>105.5</v>
      </c>
      <c r="G100" s="17">
        <v>406</v>
      </c>
      <c r="H100" s="17">
        <v>87</v>
      </c>
      <c r="I100" s="17">
        <v>563</v>
      </c>
      <c r="J100" s="17">
        <v>115</v>
      </c>
      <c r="K100" s="17">
        <v>262</v>
      </c>
      <c r="L100" s="17"/>
      <c r="M100" s="17"/>
      <c r="N100" s="17">
        <v>49</v>
      </c>
      <c r="O100" s="17">
        <v>1682</v>
      </c>
      <c r="P100" s="17"/>
      <c r="Q100" s="17"/>
      <c r="R100" s="17">
        <v>87</v>
      </c>
      <c r="S100" s="17">
        <v>202</v>
      </c>
      <c r="T100" s="17">
        <v>75</v>
      </c>
      <c r="U100" s="17">
        <v>1272</v>
      </c>
      <c r="V100" s="17"/>
      <c r="W100" s="17"/>
      <c r="X100" s="15">
        <v>307.5</v>
      </c>
      <c r="Y100" s="17">
        <v>79</v>
      </c>
      <c r="Z100" s="17">
        <v>518.5</v>
      </c>
      <c r="AA100" s="17">
        <v>422</v>
      </c>
      <c r="AB100" s="12">
        <f t="shared" si="1"/>
        <v>97</v>
      </c>
    </row>
    <row r="101" ht="14.25" spans="1:28">
      <c r="A101" s="13">
        <v>709</v>
      </c>
      <c r="B101" s="15">
        <v>15</v>
      </c>
      <c r="C101" s="16">
        <v>7</v>
      </c>
      <c r="D101" s="17" t="s">
        <v>1421</v>
      </c>
      <c r="E101" s="17" t="s">
        <v>1422</v>
      </c>
      <c r="F101" s="17">
        <v>99</v>
      </c>
      <c r="G101" s="17">
        <v>1072</v>
      </c>
      <c r="H101" s="17">
        <v>85.5</v>
      </c>
      <c r="I101" s="17">
        <v>598</v>
      </c>
      <c r="J101" s="17">
        <v>109.25</v>
      </c>
      <c r="K101" s="17">
        <v>417</v>
      </c>
      <c r="L101" s="17"/>
      <c r="M101" s="17"/>
      <c r="N101" s="17">
        <v>57.5</v>
      </c>
      <c r="O101" s="17">
        <v>638</v>
      </c>
      <c r="P101" s="17"/>
      <c r="Q101" s="17"/>
      <c r="R101" s="17"/>
      <c r="S101" s="17"/>
      <c r="T101" s="17">
        <v>80</v>
      </c>
      <c r="U101" s="17">
        <v>854</v>
      </c>
      <c r="V101" s="17">
        <v>87</v>
      </c>
      <c r="W101" s="17">
        <v>54</v>
      </c>
      <c r="X101" s="15">
        <v>293.75</v>
      </c>
      <c r="Y101" s="17">
        <v>120</v>
      </c>
      <c r="Z101" s="17">
        <v>518.25</v>
      </c>
      <c r="AA101" s="17">
        <v>426</v>
      </c>
      <c r="AB101" s="12">
        <f t="shared" si="1"/>
        <v>99</v>
      </c>
    </row>
    <row r="102" ht="14.25" spans="1:28">
      <c r="A102" s="13">
        <v>702</v>
      </c>
      <c r="B102" s="15">
        <v>14</v>
      </c>
      <c r="C102" s="16">
        <v>44</v>
      </c>
      <c r="D102" s="17" t="s">
        <v>1408</v>
      </c>
      <c r="E102" s="17" t="s">
        <v>1409</v>
      </c>
      <c r="F102" s="17">
        <v>104.5</v>
      </c>
      <c r="G102" s="17">
        <v>475</v>
      </c>
      <c r="H102" s="17">
        <v>74.5</v>
      </c>
      <c r="I102" s="17">
        <v>903</v>
      </c>
      <c r="J102" s="17">
        <v>117.5</v>
      </c>
      <c r="K102" s="17">
        <v>211</v>
      </c>
      <c r="L102" s="17"/>
      <c r="M102" s="17"/>
      <c r="N102" s="17">
        <v>51.5</v>
      </c>
      <c r="O102" s="17">
        <v>1342</v>
      </c>
      <c r="P102" s="17"/>
      <c r="Q102" s="17"/>
      <c r="R102" s="17"/>
      <c r="S102" s="17"/>
      <c r="T102" s="17">
        <v>90</v>
      </c>
      <c r="U102" s="17">
        <v>80</v>
      </c>
      <c r="V102" s="17">
        <v>80</v>
      </c>
      <c r="W102" s="17">
        <v>158</v>
      </c>
      <c r="X102" s="15">
        <v>296.5</v>
      </c>
      <c r="Y102" s="17">
        <v>108</v>
      </c>
      <c r="Z102" s="17">
        <v>518</v>
      </c>
      <c r="AA102" s="17">
        <v>427</v>
      </c>
      <c r="AB102" s="12">
        <f t="shared" si="1"/>
        <v>100</v>
      </c>
    </row>
    <row r="103" ht="14.25" spans="1:28">
      <c r="A103" s="13">
        <v>724</v>
      </c>
      <c r="B103" s="15">
        <v>15</v>
      </c>
      <c r="C103" s="16">
        <v>23</v>
      </c>
      <c r="D103" s="17" t="s">
        <v>1451</v>
      </c>
      <c r="E103" s="17" t="s">
        <v>1452</v>
      </c>
      <c r="F103" s="17">
        <v>98</v>
      </c>
      <c r="G103" s="17">
        <v>1207</v>
      </c>
      <c r="H103" s="17">
        <v>106</v>
      </c>
      <c r="I103" s="17">
        <v>175</v>
      </c>
      <c r="J103" s="17">
        <v>117.5</v>
      </c>
      <c r="K103" s="17">
        <v>211</v>
      </c>
      <c r="L103" s="17"/>
      <c r="M103" s="17"/>
      <c r="N103" s="17">
        <v>49</v>
      </c>
      <c r="O103" s="17">
        <v>1682</v>
      </c>
      <c r="P103" s="17"/>
      <c r="Q103" s="17"/>
      <c r="R103" s="17"/>
      <c r="S103" s="17"/>
      <c r="T103" s="17">
        <v>66</v>
      </c>
      <c r="U103" s="17">
        <v>2082</v>
      </c>
      <c r="V103" s="17">
        <v>81</v>
      </c>
      <c r="W103" s="17">
        <v>135</v>
      </c>
      <c r="X103" s="15">
        <v>321.5</v>
      </c>
      <c r="Y103" s="17">
        <v>40</v>
      </c>
      <c r="Z103" s="17">
        <v>517.5</v>
      </c>
      <c r="AA103" s="17">
        <v>430</v>
      </c>
      <c r="AB103" s="12">
        <f t="shared" si="1"/>
        <v>101</v>
      </c>
    </row>
    <row r="104" ht="14.25" spans="1:28">
      <c r="A104" s="13">
        <v>700</v>
      </c>
      <c r="B104" s="15">
        <v>14</v>
      </c>
      <c r="C104" s="16">
        <v>42</v>
      </c>
      <c r="D104" s="17" t="s">
        <v>1404</v>
      </c>
      <c r="E104" s="17" t="s">
        <v>1405</v>
      </c>
      <c r="F104" s="17">
        <v>97.25</v>
      </c>
      <c r="G104" s="17">
        <v>1323</v>
      </c>
      <c r="H104" s="17">
        <v>84.5</v>
      </c>
      <c r="I104" s="17">
        <v>620</v>
      </c>
      <c r="J104" s="17">
        <v>104.5</v>
      </c>
      <c r="K104" s="17">
        <v>556</v>
      </c>
      <c r="L104" s="17"/>
      <c r="M104" s="17"/>
      <c r="N104" s="17">
        <v>60.5</v>
      </c>
      <c r="O104" s="17">
        <v>424</v>
      </c>
      <c r="P104" s="17"/>
      <c r="Q104" s="17"/>
      <c r="R104" s="17"/>
      <c r="S104" s="17"/>
      <c r="T104" s="17">
        <v>88</v>
      </c>
      <c r="U104" s="17">
        <v>227</v>
      </c>
      <c r="V104" s="17">
        <v>82</v>
      </c>
      <c r="W104" s="17">
        <v>124</v>
      </c>
      <c r="X104" s="15">
        <v>286.25</v>
      </c>
      <c r="Y104" s="17">
        <v>141</v>
      </c>
      <c r="Z104" s="17">
        <v>516.75</v>
      </c>
      <c r="AA104" s="17">
        <v>438</v>
      </c>
      <c r="AB104" s="12">
        <f t="shared" si="1"/>
        <v>102</v>
      </c>
    </row>
    <row r="105" ht="14.25" spans="1:28">
      <c r="A105" s="13">
        <v>826</v>
      </c>
      <c r="B105" s="15">
        <v>17</v>
      </c>
      <c r="C105" s="16">
        <v>55</v>
      </c>
      <c r="D105" s="17" t="s">
        <v>1650</v>
      </c>
      <c r="E105" s="17" t="s">
        <v>1651</v>
      </c>
      <c r="F105" s="17">
        <v>119.5</v>
      </c>
      <c r="G105" s="17">
        <v>11</v>
      </c>
      <c r="H105" s="17">
        <v>50.5</v>
      </c>
      <c r="I105" s="17">
        <v>1871</v>
      </c>
      <c r="J105" s="17">
        <v>117</v>
      </c>
      <c r="K105" s="17">
        <v>222</v>
      </c>
      <c r="L105" s="17"/>
      <c r="M105" s="17"/>
      <c r="N105" s="17">
        <v>63.5</v>
      </c>
      <c r="O105" s="17">
        <v>253</v>
      </c>
      <c r="P105" s="17"/>
      <c r="Q105" s="17"/>
      <c r="R105" s="17">
        <v>78</v>
      </c>
      <c r="S105" s="17">
        <v>682</v>
      </c>
      <c r="T105" s="17">
        <v>88</v>
      </c>
      <c r="U105" s="17">
        <v>227</v>
      </c>
      <c r="V105" s="17"/>
      <c r="W105" s="17"/>
      <c r="X105" s="15">
        <v>287</v>
      </c>
      <c r="Y105" s="17">
        <v>137</v>
      </c>
      <c r="Z105" s="17">
        <v>516.5</v>
      </c>
      <c r="AA105" s="17">
        <v>439</v>
      </c>
      <c r="AB105" s="12">
        <f t="shared" si="1"/>
        <v>103</v>
      </c>
    </row>
    <row r="106" ht="14.25" spans="1:28">
      <c r="A106" s="13">
        <v>712</v>
      </c>
      <c r="B106" s="15">
        <v>15</v>
      </c>
      <c r="C106" s="16">
        <v>11</v>
      </c>
      <c r="D106" s="17" t="s">
        <v>1427</v>
      </c>
      <c r="E106" s="17" t="s">
        <v>1428</v>
      </c>
      <c r="F106" s="17">
        <v>90</v>
      </c>
      <c r="G106" s="17">
        <v>2340</v>
      </c>
      <c r="H106" s="17">
        <v>118</v>
      </c>
      <c r="I106" s="17">
        <v>47</v>
      </c>
      <c r="J106" s="17">
        <v>81.5</v>
      </c>
      <c r="K106" s="17">
        <v>1600</v>
      </c>
      <c r="L106" s="17"/>
      <c r="M106" s="17"/>
      <c r="N106" s="17">
        <v>51.5</v>
      </c>
      <c r="O106" s="17">
        <v>1342</v>
      </c>
      <c r="P106" s="17"/>
      <c r="Q106" s="17"/>
      <c r="R106" s="17"/>
      <c r="S106" s="17"/>
      <c r="T106" s="17">
        <v>88</v>
      </c>
      <c r="U106" s="17">
        <v>227</v>
      </c>
      <c r="V106" s="17">
        <v>87</v>
      </c>
      <c r="W106" s="17">
        <v>54</v>
      </c>
      <c r="X106" s="15">
        <v>289.5</v>
      </c>
      <c r="Y106" s="17">
        <v>131</v>
      </c>
      <c r="Z106" s="17">
        <v>516</v>
      </c>
      <c r="AA106" s="17">
        <v>442</v>
      </c>
      <c r="AB106" s="12">
        <f t="shared" si="1"/>
        <v>104</v>
      </c>
    </row>
    <row r="107" ht="14.25" spans="1:28">
      <c r="A107" s="13">
        <v>680</v>
      </c>
      <c r="B107" s="15">
        <v>14</v>
      </c>
      <c r="C107" s="16">
        <v>21</v>
      </c>
      <c r="D107" s="17" t="s">
        <v>1366</v>
      </c>
      <c r="E107" s="17" t="s">
        <v>1367</v>
      </c>
      <c r="F107" s="17">
        <v>84.5</v>
      </c>
      <c r="G107" s="17">
        <v>3102</v>
      </c>
      <c r="H107" s="17">
        <v>99.5</v>
      </c>
      <c r="I107" s="17">
        <v>281</v>
      </c>
      <c r="J107" s="17">
        <v>115</v>
      </c>
      <c r="K107" s="17">
        <v>262</v>
      </c>
      <c r="L107" s="17"/>
      <c r="M107" s="17"/>
      <c r="N107" s="17">
        <v>57.5</v>
      </c>
      <c r="O107" s="17">
        <v>638</v>
      </c>
      <c r="P107" s="17"/>
      <c r="Q107" s="17"/>
      <c r="R107" s="17"/>
      <c r="S107" s="17"/>
      <c r="T107" s="17">
        <v>73</v>
      </c>
      <c r="U107" s="17">
        <v>1447</v>
      </c>
      <c r="V107" s="17">
        <v>86</v>
      </c>
      <c r="W107" s="17">
        <v>73</v>
      </c>
      <c r="X107" s="15">
        <v>299</v>
      </c>
      <c r="Y107" s="17">
        <v>100</v>
      </c>
      <c r="Z107" s="17">
        <v>515.5</v>
      </c>
      <c r="AA107" s="17">
        <v>445</v>
      </c>
      <c r="AB107" s="12">
        <f t="shared" si="1"/>
        <v>105</v>
      </c>
    </row>
    <row r="108" ht="14.25" spans="1:28">
      <c r="A108" s="13">
        <v>825</v>
      </c>
      <c r="B108" s="15">
        <v>17</v>
      </c>
      <c r="C108" s="16">
        <v>54</v>
      </c>
      <c r="D108" s="17" t="s">
        <v>1648</v>
      </c>
      <c r="E108" s="17" t="s">
        <v>1649</v>
      </c>
      <c r="F108" s="17">
        <v>108</v>
      </c>
      <c r="G108" s="17">
        <v>247</v>
      </c>
      <c r="H108" s="17">
        <v>88</v>
      </c>
      <c r="I108" s="17">
        <v>537</v>
      </c>
      <c r="J108" s="17">
        <v>97.5</v>
      </c>
      <c r="K108" s="17">
        <v>814</v>
      </c>
      <c r="L108" s="17"/>
      <c r="M108" s="17"/>
      <c r="N108" s="17">
        <v>42.5</v>
      </c>
      <c r="O108" s="17">
        <v>2603</v>
      </c>
      <c r="P108" s="17"/>
      <c r="Q108" s="17"/>
      <c r="R108" s="17">
        <v>88</v>
      </c>
      <c r="S108" s="17">
        <v>123</v>
      </c>
      <c r="T108" s="17">
        <v>90</v>
      </c>
      <c r="U108" s="17">
        <v>80</v>
      </c>
      <c r="V108" s="17"/>
      <c r="W108" s="17"/>
      <c r="X108" s="15">
        <v>293.5</v>
      </c>
      <c r="Y108" s="17">
        <v>121</v>
      </c>
      <c r="Z108" s="17">
        <v>514</v>
      </c>
      <c r="AA108" s="17">
        <v>454</v>
      </c>
      <c r="AB108" s="12">
        <f t="shared" si="1"/>
        <v>106</v>
      </c>
    </row>
    <row r="109" ht="14.25" spans="1:28">
      <c r="A109" s="13">
        <v>817</v>
      </c>
      <c r="B109" s="15">
        <v>17</v>
      </c>
      <c r="C109" s="16">
        <v>44</v>
      </c>
      <c r="D109" s="17" t="s">
        <v>1632</v>
      </c>
      <c r="E109" s="17" t="s">
        <v>1633</v>
      </c>
      <c r="F109" s="17">
        <v>96.5</v>
      </c>
      <c r="G109" s="17">
        <v>1406</v>
      </c>
      <c r="H109" s="17">
        <v>98</v>
      </c>
      <c r="I109" s="17">
        <v>314</v>
      </c>
      <c r="J109" s="17">
        <v>100.5</v>
      </c>
      <c r="K109" s="17">
        <v>683</v>
      </c>
      <c r="L109" s="17"/>
      <c r="M109" s="17"/>
      <c r="N109" s="17">
        <v>59.5</v>
      </c>
      <c r="O109" s="17">
        <v>483</v>
      </c>
      <c r="P109" s="17"/>
      <c r="Q109" s="17"/>
      <c r="R109" s="17">
        <v>70</v>
      </c>
      <c r="S109" s="17">
        <v>1165</v>
      </c>
      <c r="T109" s="17">
        <v>89</v>
      </c>
      <c r="U109" s="17">
        <v>137</v>
      </c>
      <c r="V109" s="17"/>
      <c r="W109" s="17"/>
      <c r="X109" s="15">
        <v>295</v>
      </c>
      <c r="Y109" s="17">
        <v>114</v>
      </c>
      <c r="Z109" s="17">
        <v>513.5</v>
      </c>
      <c r="AA109" s="17">
        <v>458</v>
      </c>
      <c r="AB109" s="12">
        <f t="shared" si="1"/>
        <v>107</v>
      </c>
    </row>
    <row r="110" ht="14.25" spans="1:28">
      <c r="A110" s="13">
        <v>816</v>
      </c>
      <c r="B110" s="15">
        <v>17</v>
      </c>
      <c r="C110" s="16">
        <v>41</v>
      </c>
      <c r="D110" s="17" t="s">
        <v>1630</v>
      </c>
      <c r="E110" s="17" t="s">
        <v>1631</v>
      </c>
      <c r="F110" s="17">
        <v>107</v>
      </c>
      <c r="G110" s="17">
        <v>307</v>
      </c>
      <c r="H110" s="17">
        <v>87</v>
      </c>
      <c r="I110" s="17">
        <v>563</v>
      </c>
      <c r="J110" s="17">
        <v>108.25</v>
      </c>
      <c r="K110" s="17">
        <v>445</v>
      </c>
      <c r="L110" s="17"/>
      <c r="M110" s="17"/>
      <c r="N110" s="17">
        <v>51</v>
      </c>
      <c r="O110" s="17">
        <v>1415</v>
      </c>
      <c r="P110" s="17"/>
      <c r="Q110" s="17"/>
      <c r="R110" s="17">
        <v>70</v>
      </c>
      <c r="S110" s="17">
        <v>1165</v>
      </c>
      <c r="T110" s="17">
        <v>89</v>
      </c>
      <c r="U110" s="17">
        <v>137</v>
      </c>
      <c r="V110" s="17"/>
      <c r="W110" s="17"/>
      <c r="X110" s="15">
        <v>302.25</v>
      </c>
      <c r="Y110" s="17">
        <v>87</v>
      </c>
      <c r="Z110" s="17">
        <v>512.25</v>
      </c>
      <c r="AA110" s="17">
        <v>462</v>
      </c>
      <c r="AB110" s="12">
        <f t="shared" si="1"/>
        <v>108</v>
      </c>
    </row>
    <row r="111" ht="14.25" spans="1:28">
      <c r="A111" s="13">
        <v>698</v>
      </c>
      <c r="B111" s="15">
        <v>14</v>
      </c>
      <c r="C111" s="16">
        <v>40</v>
      </c>
      <c r="D111" s="17" t="s">
        <v>1400</v>
      </c>
      <c r="E111" s="17" t="s">
        <v>1401</v>
      </c>
      <c r="F111" s="17">
        <v>101</v>
      </c>
      <c r="G111" s="17">
        <v>861</v>
      </c>
      <c r="H111" s="17">
        <v>89.5</v>
      </c>
      <c r="I111" s="17">
        <v>503</v>
      </c>
      <c r="J111" s="17">
        <v>100.5</v>
      </c>
      <c r="K111" s="17">
        <v>683</v>
      </c>
      <c r="L111" s="17"/>
      <c r="M111" s="17"/>
      <c r="N111" s="17">
        <v>58</v>
      </c>
      <c r="O111" s="17">
        <v>588</v>
      </c>
      <c r="P111" s="17"/>
      <c r="Q111" s="17"/>
      <c r="R111" s="17"/>
      <c r="S111" s="17"/>
      <c r="T111" s="17">
        <v>87</v>
      </c>
      <c r="U111" s="17">
        <v>333</v>
      </c>
      <c r="V111" s="17">
        <v>76</v>
      </c>
      <c r="W111" s="17">
        <v>263</v>
      </c>
      <c r="X111" s="15">
        <v>291</v>
      </c>
      <c r="Y111" s="17">
        <v>126</v>
      </c>
      <c r="Z111" s="17">
        <v>512</v>
      </c>
      <c r="AA111" s="17">
        <v>464</v>
      </c>
      <c r="AB111" s="12">
        <f t="shared" si="1"/>
        <v>109</v>
      </c>
    </row>
    <row r="112" ht="14.25" spans="1:28">
      <c r="A112" s="13">
        <v>845</v>
      </c>
      <c r="B112" s="15">
        <v>18</v>
      </c>
      <c r="C112" s="16">
        <v>25</v>
      </c>
      <c r="D112" s="17" t="s">
        <v>1688</v>
      </c>
      <c r="E112" s="17" t="s">
        <v>1689</v>
      </c>
      <c r="F112" s="17">
        <v>111.75</v>
      </c>
      <c r="G112" s="17">
        <v>117</v>
      </c>
      <c r="H112" s="17">
        <v>56.5</v>
      </c>
      <c r="I112" s="17">
        <v>1539</v>
      </c>
      <c r="J112" s="17">
        <v>101.75</v>
      </c>
      <c r="K112" s="17">
        <v>644</v>
      </c>
      <c r="L112" s="17"/>
      <c r="M112" s="17"/>
      <c r="N112" s="17">
        <v>71.5</v>
      </c>
      <c r="O112" s="17">
        <v>24</v>
      </c>
      <c r="P112" s="17"/>
      <c r="Q112" s="17"/>
      <c r="R112" s="17">
        <v>87</v>
      </c>
      <c r="S112" s="17">
        <v>202</v>
      </c>
      <c r="T112" s="17">
        <v>83</v>
      </c>
      <c r="U112" s="17">
        <v>616</v>
      </c>
      <c r="V112" s="17"/>
      <c r="W112" s="17"/>
      <c r="X112" s="15">
        <v>270</v>
      </c>
      <c r="Y112" s="17">
        <v>170</v>
      </c>
      <c r="Z112" s="17">
        <v>511.5</v>
      </c>
      <c r="AA112" s="17">
        <v>467</v>
      </c>
      <c r="AB112" s="12">
        <f t="shared" si="1"/>
        <v>110</v>
      </c>
    </row>
    <row r="113" ht="14.25" spans="1:28">
      <c r="A113" s="13">
        <v>687</v>
      </c>
      <c r="B113" s="15">
        <v>14</v>
      </c>
      <c r="C113" s="16">
        <v>28</v>
      </c>
      <c r="D113" s="17" t="s">
        <v>1380</v>
      </c>
      <c r="E113" s="17" t="s">
        <v>1381</v>
      </c>
      <c r="F113" s="17">
        <v>102.5</v>
      </c>
      <c r="G113" s="17">
        <v>686</v>
      </c>
      <c r="H113" s="17">
        <v>92</v>
      </c>
      <c r="I113" s="17">
        <v>436</v>
      </c>
      <c r="J113" s="17">
        <v>101</v>
      </c>
      <c r="K113" s="17">
        <v>667</v>
      </c>
      <c r="L113" s="17"/>
      <c r="M113" s="17"/>
      <c r="N113" s="17">
        <v>59.5</v>
      </c>
      <c r="O113" s="17">
        <v>483</v>
      </c>
      <c r="P113" s="17"/>
      <c r="Q113" s="17"/>
      <c r="R113" s="17"/>
      <c r="S113" s="17"/>
      <c r="T113" s="17">
        <v>78</v>
      </c>
      <c r="U113" s="17">
        <v>1003</v>
      </c>
      <c r="V113" s="17">
        <v>77</v>
      </c>
      <c r="W113" s="17">
        <v>235</v>
      </c>
      <c r="X113" s="15">
        <v>295.5</v>
      </c>
      <c r="Y113" s="17">
        <v>112</v>
      </c>
      <c r="Z113" s="17">
        <v>510</v>
      </c>
      <c r="AA113" s="17">
        <v>478</v>
      </c>
      <c r="AB113" s="12">
        <f t="shared" si="1"/>
        <v>111</v>
      </c>
    </row>
    <row r="114" ht="14.25" spans="1:28">
      <c r="A114" s="13">
        <v>694</v>
      </c>
      <c r="B114" s="15">
        <v>14</v>
      </c>
      <c r="C114" s="16">
        <v>36</v>
      </c>
      <c r="D114" s="17" t="s">
        <v>1393</v>
      </c>
      <c r="E114" s="17" t="s">
        <v>1394</v>
      </c>
      <c r="F114" s="17">
        <v>103</v>
      </c>
      <c r="G114" s="17">
        <v>626</v>
      </c>
      <c r="H114" s="17">
        <v>88.5</v>
      </c>
      <c r="I114" s="17">
        <v>526</v>
      </c>
      <c r="J114" s="17">
        <v>98.5</v>
      </c>
      <c r="K114" s="17">
        <v>774</v>
      </c>
      <c r="L114" s="17"/>
      <c r="M114" s="17"/>
      <c r="N114" s="17">
        <v>53.5</v>
      </c>
      <c r="O114" s="17">
        <v>1111</v>
      </c>
      <c r="P114" s="17"/>
      <c r="Q114" s="17"/>
      <c r="R114" s="17"/>
      <c r="S114" s="17"/>
      <c r="T114" s="17">
        <v>85</v>
      </c>
      <c r="U114" s="17">
        <v>537</v>
      </c>
      <c r="V114" s="17">
        <v>81</v>
      </c>
      <c r="W114" s="17">
        <v>135</v>
      </c>
      <c r="X114" s="15">
        <v>290</v>
      </c>
      <c r="Y114" s="17">
        <v>130</v>
      </c>
      <c r="Z114" s="17">
        <v>509.5</v>
      </c>
      <c r="AA114" s="17">
        <v>483</v>
      </c>
      <c r="AB114" s="12">
        <f t="shared" si="1"/>
        <v>112</v>
      </c>
    </row>
    <row r="115" ht="14.25" spans="1:28">
      <c r="A115" s="13">
        <v>704</v>
      </c>
      <c r="B115" s="15">
        <v>15</v>
      </c>
      <c r="C115" s="16">
        <v>1</v>
      </c>
      <c r="D115" s="17" t="s">
        <v>1412</v>
      </c>
      <c r="E115" s="17" t="s">
        <v>1413</v>
      </c>
      <c r="F115" s="17">
        <v>97.5</v>
      </c>
      <c r="G115" s="17">
        <v>1268</v>
      </c>
      <c r="H115" s="17">
        <v>89</v>
      </c>
      <c r="I115" s="17">
        <v>515</v>
      </c>
      <c r="J115" s="17">
        <v>109.5</v>
      </c>
      <c r="K115" s="17">
        <v>405</v>
      </c>
      <c r="L115" s="17"/>
      <c r="M115" s="17"/>
      <c r="N115" s="17">
        <v>51.5</v>
      </c>
      <c r="O115" s="17">
        <v>1342</v>
      </c>
      <c r="P115" s="17"/>
      <c r="Q115" s="17"/>
      <c r="R115" s="17"/>
      <c r="S115" s="17"/>
      <c r="T115" s="17">
        <v>86</v>
      </c>
      <c r="U115" s="17">
        <v>465</v>
      </c>
      <c r="V115" s="17">
        <v>76</v>
      </c>
      <c r="W115" s="17">
        <v>263</v>
      </c>
      <c r="X115" s="15">
        <v>296</v>
      </c>
      <c r="Y115" s="17">
        <v>111</v>
      </c>
      <c r="Z115" s="17">
        <v>509.5</v>
      </c>
      <c r="AA115" s="17">
        <v>483</v>
      </c>
      <c r="AB115" s="12">
        <f t="shared" si="1"/>
        <v>112</v>
      </c>
    </row>
    <row r="116" ht="14.25" spans="1:28">
      <c r="A116" s="13">
        <v>707</v>
      </c>
      <c r="B116" s="15">
        <v>15</v>
      </c>
      <c r="C116" s="16">
        <v>5</v>
      </c>
      <c r="D116" s="17" t="s">
        <v>1418</v>
      </c>
      <c r="E116" s="17" t="s">
        <v>1363</v>
      </c>
      <c r="F116" s="17">
        <v>105</v>
      </c>
      <c r="G116" s="17">
        <v>437</v>
      </c>
      <c r="H116" s="17">
        <v>86</v>
      </c>
      <c r="I116" s="17">
        <v>584</v>
      </c>
      <c r="J116" s="17">
        <v>94.5</v>
      </c>
      <c r="K116" s="17">
        <v>945</v>
      </c>
      <c r="L116" s="17"/>
      <c r="M116" s="17"/>
      <c r="N116" s="17">
        <v>55</v>
      </c>
      <c r="O116" s="17">
        <v>914</v>
      </c>
      <c r="P116" s="17"/>
      <c r="Q116" s="17"/>
      <c r="R116" s="17"/>
      <c r="S116" s="17"/>
      <c r="T116" s="17">
        <v>92</v>
      </c>
      <c r="U116" s="17">
        <v>30</v>
      </c>
      <c r="V116" s="17">
        <v>77</v>
      </c>
      <c r="W116" s="17">
        <v>235</v>
      </c>
      <c r="X116" s="15">
        <v>285.5</v>
      </c>
      <c r="Y116" s="17">
        <v>142</v>
      </c>
      <c r="Z116" s="17">
        <v>509.5</v>
      </c>
      <c r="AA116" s="17">
        <v>483</v>
      </c>
      <c r="AB116" s="12">
        <f t="shared" si="1"/>
        <v>112</v>
      </c>
    </row>
    <row r="117" ht="14.25" spans="1:28">
      <c r="A117" s="13">
        <v>743</v>
      </c>
      <c r="B117" s="15">
        <v>15</v>
      </c>
      <c r="C117" s="16">
        <v>43</v>
      </c>
      <c r="D117" s="17" t="s">
        <v>1488</v>
      </c>
      <c r="E117" s="17" t="s">
        <v>1489</v>
      </c>
      <c r="F117" s="17">
        <v>103.5</v>
      </c>
      <c r="G117" s="17">
        <v>577</v>
      </c>
      <c r="H117" s="17">
        <v>86.5</v>
      </c>
      <c r="I117" s="17">
        <v>575</v>
      </c>
      <c r="J117" s="17">
        <v>111</v>
      </c>
      <c r="K117" s="17">
        <v>356</v>
      </c>
      <c r="L117" s="17"/>
      <c r="M117" s="17"/>
      <c r="N117" s="17">
        <v>48.5</v>
      </c>
      <c r="O117" s="17">
        <v>1763</v>
      </c>
      <c r="P117" s="17"/>
      <c r="Q117" s="17"/>
      <c r="R117" s="17"/>
      <c r="S117" s="17"/>
      <c r="T117" s="17">
        <v>80</v>
      </c>
      <c r="U117" s="17">
        <v>854</v>
      </c>
      <c r="V117" s="17">
        <v>80</v>
      </c>
      <c r="W117" s="17">
        <v>158</v>
      </c>
      <c r="X117" s="15">
        <v>301</v>
      </c>
      <c r="Y117" s="17">
        <v>96</v>
      </c>
      <c r="Z117" s="17">
        <v>509.5</v>
      </c>
      <c r="AA117" s="17">
        <v>483</v>
      </c>
      <c r="AB117" s="12">
        <f t="shared" si="1"/>
        <v>112</v>
      </c>
    </row>
    <row r="118" ht="14.25" spans="1:28">
      <c r="A118" s="13">
        <v>818</v>
      </c>
      <c r="B118" s="15">
        <v>17</v>
      </c>
      <c r="C118" s="16">
        <v>45</v>
      </c>
      <c r="D118" s="17" t="s">
        <v>1634</v>
      </c>
      <c r="E118" s="17" t="s">
        <v>1635</v>
      </c>
      <c r="F118" s="17">
        <v>99</v>
      </c>
      <c r="G118" s="17">
        <v>1072</v>
      </c>
      <c r="H118" s="17">
        <v>110.5</v>
      </c>
      <c r="I118" s="17">
        <v>121</v>
      </c>
      <c r="J118" s="17">
        <v>85.5</v>
      </c>
      <c r="K118" s="17">
        <v>1377</v>
      </c>
      <c r="L118" s="17"/>
      <c r="M118" s="17"/>
      <c r="N118" s="17">
        <v>55.5</v>
      </c>
      <c r="O118" s="17">
        <v>860</v>
      </c>
      <c r="P118" s="17"/>
      <c r="Q118" s="17"/>
      <c r="R118" s="17">
        <v>70</v>
      </c>
      <c r="S118" s="17">
        <v>1165</v>
      </c>
      <c r="T118" s="17">
        <v>89</v>
      </c>
      <c r="U118" s="17">
        <v>137</v>
      </c>
      <c r="V118" s="17"/>
      <c r="W118" s="17"/>
      <c r="X118" s="15">
        <v>295</v>
      </c>
      <c r="Y118" s="17">
        <v>114</v>
      </c>
      <c r="Z118" s="17">
        <v>509.5</v>
      </c>
      <c r="AA118" s="17">
        <v>483</v>
      </c>
      <c r="AB118" s="12">
        <f t="shared" si="1"/>
        <v>112</v>
      </c>
    </row>
    <row r="119" ht="14.25" spans="1:28">
      <c r="A119" s="13">
        <v>830</v>
      </c>
      <c r="B119" s="15">
        <v>18</v>
      </c>
      <c r="C119" s="16">
        <v>7</v>
      </c>
      <c r="D119" s="17" t="s">
        <v>1658</v>
      </c>
      <c r="E119" s="17" t="s">
        <v>1659</v>
      </c>
      <c r="F119" s="17">
        <v>94.5</v>
      </c>
      <c r="G119" s="17">
        <v>1687</v>
      </c>
      <c r="H119" s="17">
        <v>99.5</v>
      </c>
      <c r="I119" s="17">
        <v>281</v>
      </c>
      <c r="J119" s="17">
        <v>120.5</v>
      </c>
      <c r="K119" s="17">
        <v>153</v>
      </c>
      <c r="L119" s="17"/>
      <c r="M119" s="17"/>
      <c r="N119" s="17">
        <v>40.5</v>
      </c>
      <c r="O119" s="17">
        <v>2886</v>
      </c>
      <c r="P119" s="17"/>
      <c r="Q119" s="17"/>
      <c r="R119" s="17">
        <v>68</v>
      </c>
      <c r="S119" s="17">
        <v>1296</v>
      </c>
      <c r="T119" s="17">
        <v>86</v>
      </c>
      <c r="U119" s="17">
        <v>465</v>
      </c>
      <c r="V119" s="17"/>
      <c r="W119" s="17"/>
      <c r="X119" s="15">
        <v>314.5</v>
      </c>
      <c r="Y119" s="17">
        <v>58</v>
      </c>
      <c r="Z119" s="17">
        <v>509</v>
      </c>
      <c r="AA119" s="17">
        <v>494</v>
      </c>
      <c r="AB119" s="12">
        <f t="shared" si="1"/>
        <v>117</v>
      </c>
    </row>
    <row r="120" ht="14.25" spans="1:28">
      <c r="A120" s="13">
        <v>671</v>
      </c>
      <c r="B120" s="15">
        <v>14</v>
      </c>
      <c r="C120" s="16">
        <v>11</v>
      </c>
      <c r="D120" s="17" t="s">
        <v>1348</v>
      </c>
      <c r="E120" s="17" t="s">
        <v>1349</v>
      </c>
      <c r="F120" s="17">
        <v>93.25</v>
      </c>
      <c r="G120" s="17">
        <v>1909</v>
      </c>
      <c r="H120" s="17">
        <v>89</v>
      </c>
      <c r="I120" s="17">
        <v>515</v>
      </c>
      <c r="J120" s="17">
        <v>113</v>
      </c>
      <c r="K120" s="17">
        <v>307</v>
      </c>
      <c r="L120" s="17"/>
      <c r="M120" s="17"/>
      <c r="N120" s="17">
        <v>55.5</v>
      </c>
      <c r="O120" s="17">
        <v>860</v>
      </c>
      <c r="P120" s="17"/>
      <c r="Q120" s="17"/>
      <c r="R120" s="17"/>
      <c r="S120" s="17"/>
      <c r="T120" s="17">
        <v>81</v>
      </c>
      <c r="U120" s="17">
        <v>808</v>
      </c>
      <c r="V120" s="17">
        <v>77</v>
      </c>
      <c r="W120" s="17">
        <v>235</v>
      </c>
      <c r="X120" s="15">
        <v>295.25</v>
      </c>
      <c r="Y120" s="17">
        <v>113</v>
      </c>
      <c r="Z120" s="17">
        <v>508.75</v>
      </c>
      <c r="AA120" s="17">
        <v>498</v>
      </c>
      <c r="AB120" s="12">
        <f t="shared" si="1"/>
        <v>118</v>
      </c>
    </row>
    <row r="121" ht="14.25" spans="1:28">
      <c r="A121" s="13">
        <v>716</v>
      </c>
      <c r="B121" s="15">
        <v>15</v>
      </c>
      <c r="C121" s="16">
        <v>15</v>
      </c>
      <c r="D121" s="17" t="s">
        <v>1435</v>
      </c>
      <c r="E121" s="17" t="s">
        <v>1436</v>
      </c>
      <c r="F121" s="17">
        <v>93</v>
      </c>
      <c r="G121" s="17">
        <v>1912</v>
      </c>
      <c r="H121" s="17">
        <v>87.5</v>
      </c>
      <c r="I121" s="17">
        <v>551</v>
      </c>
      <c r="J121" s="17">
        <v>121.25</v>
      </c>
      <c r="K121" s="17">
        <v>139</v>
      </c>
      <c r="L121" s="17"/>
      <c r="M121" s="17"/>
      <c r="N121" s="17">
        <v>52</v>
      </c>
      <c r="O121" s="17">
        <v>1281</v>
      </c>
      <c r="P121" s="17"/>
      <c r="Q121" s="17"/>
      <c r="R121" s="17"/>
      <c r="S121" s="17"/>
      <c r="T121" s="17">
        <v>69</v>
      </c>
      <c r="U121" s="17">
        <v>1773</v>
      </c>
      <c r="V121" s="17">
        <v>86</v>
      </c>
      <c r="W121" s="17">
        <v>73</v>
      </c>
      <c r="X121" s="15">
        <v>301.75</v>
      </c>
      <c r="Y121" s="17">
        <v>91</v>
      </c>
      <c r="Z121" s="17">
        <v>508.75</v>
      </c>
      <c r="AA121" s="17">
        <v>498</v>
      </c>
      <c r="AB121" s="12">
        <f t="shared" si="1"/>
        <v>118</v>
      </c>
    </row>
    <row r="122" ht="14.25" spans="1:28">
      <c r="A122" s="13">
        <v>665</v>
      </c>
      <c r="B122" s="15">
        <v>14</v>
      </c>
      <c r="C122" s="16">
        <v>2</v>
      </c>
      <c r="D122" s="17" t="s">
        <v>1336</v>
      </c>
      <c r="E122" s="17" t="s">
        <v>1337</v>
      </c>
      <c r="F122" s="17">
        <v>98</v>
      </c>
      <c r="G122" s="17">
        <v>1207</v>
      </c>
      <c r="H122" s="17">
        <v>94.5</v>
      </c>
      <c r="I122" s="17">
        <v>381</v>
      </c>
      <c r="J122" s="17">
        <v>106</v>
      </c>
      <c r="K122" s="17">
        <v>510</v>
      </c>
      <c r="L122" s="17"/>
      <c r="M122" s="17"/>
      <c r="N122" s="17">
        <v>70</v>
      </c>
      <c r="O122" s="17">
        <v>52</v>
      </c>
      <c r="P122" s="17"/>
      <c r="Q122" s="17"/>
      <c r="R122" s="17"/>
      <c r="S122" s="17"/>
      <c r="T122" s="17">
        <v>75</v>
      </c>
      <c r="U122" s="17">
        <v>1272</v>
      </c>
      <c r="V122" s="17">
        <v>65</v>
      </c>
      <c r="W122" s="17">
        <v>652</v>
      </c>
      <c r="X122" s="15">
        <v>298.5</v>
      </c>
      <c r="Y122" s="17">
        <v>102</v>
      </c>
      <c r="Z122" s="17">
        <v>508.5</v>
      </c>
      <c r="AA122" s="17">
        <v>501</v>
      </c>
      <c r="AB122" s="12">
        <f t="shared" si="1"/>
        <v>120</v>
      </c>
    </row>
    <row r="123" ht="14.25" spans="1:28">
      <c r="A123" s="13">
        <v>726</v>
      </c>
      <c r="B123" s="15">
        <v>15</v>
      </c>
      <c r="C123" s="16">
        <v>25</v>
      </c>
      <c r="D123" s="17" t="s">
        <v>1455</v>
      </c>
      <c r="E123" s="17" t="s">
        <v>712</v>
      </c>
      <c r="F123" s="17">
        <v>99.5</v>
      </c>
      <c r="G123" s="17">
        <v>1010</v>
      </c>
      <c r="H123" s="17">
        <v>104.5</v>
      </c>
      <c r="I123" s="17">
        <v>197</v>
      </c>
      <c r="J123" s="17">
        <v>97.75</v>
      </c>
      <c r="K123" s="17">
        <v>808</v>
      </c>
      <c r="L123" s="17"/>
      <c r="M123" s="17"/>
      <c r="N123" s="17">
        <v>46.5</v>
      </c>
      <c r="O123" s="17">
        <v>2050</v>
      </c>
      <c r="P123" s="17"/>
      <c r="Q123" s="17"/>
      <c r="R123" s="17"/>
      <c r="S123" s="17"/>
      <c r="T123" s="17">
        <v>77</v>
      </c>
      <c r="U123" s="17">
        <v>1108</v>
      </c>
      <c r="V123" s="17">
        <v>83</v>
      </c>
      <c r="W123" s="17">
        <v>115</v>
      </c>
      <c r="X123" s="15">
        <v>301.75</v>
      </c>
      <c r="Y123" s="17">
        <v>91</v>
      </c>
      <c r="Z123" s="17">
        <v>508.25</v>
      </c>
      <c r="AA123" s="17">
        <v>502</v>
      </c>
      <c r="AB123" s="12">
        <f t="shared" si="1"/>
        <v>121</v>
      </c>
    </row>
    <row r="124" ht="14.25" spans="1:28">
      <c r="A124" s="13">
        <v>784</v>
      </c>
      <c r="B124" s="15">
        <v>17</v>
      </c>
      <c r="C124" s="16">
        <v>1</v>
      </c>
      <c r="D124" s="17" t="s">
        <v>1566</v>
      </c>
      <c r="E124" s="17" t="s">
        <v>1567</v>
      </c>
      <c r="F124" s="17">
        <v>104.5</v>
      </c>
      <c r="G124" s="17">
        <v>475</v>
      </c>
      <c r="H124" s="17">
        <v>84</v>
      </c>
      <c r="I124" s="17">
        <v>635</v>
      </c>
      <c r="J124" s="17">
        <v>106</v>
      </c>
      <c r="K124" s="17">
        <v>510</v>
      </c>
      <c r="L124" s="17"/>
      <c r="M124" s="17"/>
      <c r="N124" s="17">
        <v>51.5</v>
      </c>
      <c r="O124" s="17">
        <v>1342</v>
      </c>
      <c r="P124" s="17"/>
      <c r="Q124" s="17"/>
      <c r="R124" s="17">
        <v>82</v>
      </c>
      <c r="S124" s="17">
        <v>432</v>
      </c>
      <c r="T124" s="17">
        <v>80</v>
      </c>
      <c r="U124" s="17">
        <v>854</v>
      </c>
      <c r="V124" s="17"/>
      <c r="W124" s="17"/>
      <c r="X124" s="15">
        <v>294.5</v>
      </c>
      <c r="Y124" s="17">
        <v>116</v>
      </c>
      <c r="Z124" s="17">
        <v>508</v>
      </c>
      <c r="AA124" s="17">
        <v>503</v>
      </c>
      <c r="AB124" s="12">
        <f t="shared" si="1"/>
        <v>122</v>
      </c>
    </row>
    <row r="125" ht="14.25" spans="1:28">
      <c r="A125" s="13">
        <v>789</v>
      </c>
      <c r="B125" s="15">
        <v>17</v>
      </c>
      <c r="C125" s="16">
        <v>10</v>
      </c>
      <c r="D125" s="17" t="s">
        <v>1576</v>
      </c>
      <c r="E125" s="17" t="s">
        <v>1577</v>
      </c>
      <c r="F125" s="17">
        <v>104.5</v>
      </c>
      <c r="G125" s="17">
        <v>475</v>
      </c>
      <c r="H125" s="17">
        <v>88.5</v>
      </c>
      <c r="I125" s="17">
        <v>526</v>
      </c>
      <c r="J125" s="17">
        <v>76.5</v>
      </c>
      <c r="K125" s="17">
        <v>1881</v>
      </c>
      <c r="L125" s="17"/>
      <c r="M125" s="17"/>
      <c r="N125" s="17">
        <v>64.5</v>
      </c>
      <c r="O125" s="17">
        <v>210</v>
      </c>
      <c r="P125" s="17"/>
      <c r="Q125" s="17"/>
      <c r="R125" s="17">
        <v>87</v>
      </c>
      <c r="S125" s="17">
        <v>202</v>
      </c>
      <c r="T125" s="17">
        <v>87</v>
      </c>
      <c r="U125" s="17">
        <v>333</v>
      </c>
      <c r="V125" s="17"/>
      <c r="W125" s="17"/>
      <c r="X125" s="15">
        <v>269.5</v>
      </c>
      <c r="Y125" s="17">
        <v>175</v>
      </c>
      <c r="Z125" s="17">
        <v>508</v>
      </c>
      <c r="AA125" s="17">
        <v>503</v>
      </c>
      <c r="AB125" s="12">
        <f t="shared" si="1"/>
        <v>122</v>
      </c>
    </row>
    <row r="126" ht="14.25" spans="1:28">
      <c r="A126" s="13">
        <v>739</v>
      </c>
      <c r="B126" s="15">
        <v>15</v>
      </c>
      <c r="C126" s="16">
        <v>39</v>
      </c>
      <c r="D126" s="17" t="s">
        <v>1480</v>
      </c>
      <c r="E126" s="17" t="s">
        <v>1481</v>
      </c>
      <c r="F126" s="17">
        <v>102.25</v>
      </c>
      <c r="G126" s="17">
        <v>743</v>
      </c>
      <c r="H126" s="17">
        <v>82</v>
      </c>
      <c r="I126" s="17">
        <v>685</v>
      </c>
      <c r="J126" s="17">
        <v>113.75</v>
      </c>
      <c r="K126" s="17">
        <v>293</v>
      </c>
      <c r="L126" s="17"/>
      <c r="M126" s="17"/>
      <c r="N126" s="17">
        <v>52</v>
      </c>
      <c r="O126" s="17">
        <v>1281</v>
      </c>
      <c r="P126" s="17"/>
      <c r="Q126" s="17"/>
      <c r="R126" s="17"/>
      <c r="S126" s="17"/>
      <c r="T126" s="17">
        <v>77</v>
      </c>
      <c r="U126" s="17">
        <v>1108</v>
      </c>
      <c r="V126" s="17">
        <v>80</v>
      </c>
      <c r="W126" s="17">
        <v>158</v>
      </c>
      <c r="X126" s="15">
        <v>298</v>
      </c>
      <c r="Y126" s="17">
        <v>104</v>
      </c>
      <c r="Z126" s="17">
        <v>507</v>
      </c>
      <c r="AA126" s="17">
        <v>514</v>
      </c>
      <c r="AB126" s="12">
        <f t="shared" si="1"/>
        <v>124</v>
      </c>
    </row>
    <row r="127" ht="14.25" spans="1:28">
      <c r="A127" s="13">
        <v>786</v>
      </c>
      <c r="B127" s="15">
        <v>17</v>
      </c>
      <c r="C127" s="16">
        <v>3</v>
      </c>
      <c r="D127" s="17" t="s">
        <v>1570</v>
      </c>
      <c r="E127" s="17" t="s">
        <v>1571</v>
      </c>
      <c r="F127" s="17">
        <v>104</v>
      </c>
      <c r="G127" s="17">
        <v>526</v>
      </c>
      <c r="H127" s="17">
        <v>90</v>
      </c>
      <c r="I127" s="17">
        <v>498</v>
      </c>
      <c r="J127" s="17">
        <v>96.5</v>
      </c>
      <c r="K127" s="17">
        <v>862</v>
      </c>
      <c r="L127" s="17"/>
      <c r="M127" s="17"/>
      <c r="N127" s="17">
        <v>50.5</v>
      </c>
      <c r="O127" s="17">
        <v>1493</v>
      </c>
      <c r="P127" s="17"/>
      <c r="Q127" s="17"/>
      <c r="R127" s="17">
        <v>82</v>
      </c>
      <c r="S127" s="17">
        <v>432</v>
      </c>
      <c r="T127" s="17">
        <v>84</v>
      </c>
      <c r="U127" s="17">
        <v>578</v>
      </c>
      <c r="V127" s="17"/>
      <c r="W127" s="17"/>
      <c r="X127" s="15">
        <v>290.5</v>
      </c>
      <c r="Y127" s="17">
        <v>127</v>
      </c>
      <c r="Z127" s="17">
        <v>507</v>
      </c>
      <c r="AA127" s="17">
        <v>514</v>
      </c>
      <c r="AB127" s="12">
        <f t="shared" si="1"/>
        <v>124</v>
      </c>
    </row>
    <row r="128" ht="14.25" spans="1:28">
      <c r="A128" s="13">
        <v>703</v>
      </c>
      <c r="B128" s="15">
        <v>14</v>
      </c>
      <c r="C128" s="16">
        <v>45</v>
      </c>
      <c r="D128" s="17" t="s">
        <v>1410</v>
      </c>
      <c r="E128" s="17" t="s">
        <v>1411</v>
      </c>
      <c r="F128" s="17">
        <v>102.5</v>
      </c>
      <c r="G128" s="17">
        <v>686</v>
      </c>
      <c r="H128" s="17">
        <v>102.5</v>
      </c>
      <c r="I128" s="17">
        <v>229</v>
      </c>
      <c r="J128" s="17">
        <v>84.5</v>
      </c>
      <c r="K128" s="17">
        <v>1438</v>
      </c>
      <c r="L128" s="17"/>
      <c r="M128" s="17"/>
      <c r="N128" s="17">
        <v>47</v>
      </c>
      <c r="O128" s="17">
        <v>1983</v>
      </c>
      <c r="P128" s="17"/>
      <c r="Q128" s="17"/>
      <c r="R128" s="17"/>
      <c r="S128" s="17"/>
      <c r="T128" s="17">
        <v>86</v>
      </c>
      <c r="U128" s="17">
        <v>465</v>
      </c>
      <c r="V128" s="17">
        <v>84</v>
      </c>
      <c r="W128" s="17">
        <v>104</v>
      </c>
      <c r="X128" s="15">
        <v>289.5</v>
      </c>
      <c r="Y128" s="17">
        <v>131</v>
      </c>
      <c r="Z128" s="17">
        <v>506.5</v>
      </c>
      <c r="AA128" s="17">
        <v>518</v>
      </c>
      <c r="AB128" s="12">
        <f t="shared" si="1"/>
        <v>126</v>
      </c>
    </row>
    <row r="129" ht="14.25" spans="1:28">
      <c r="A129" s="13">
        <v>681</v>
      </c>
      <c r="B129" s="15">
        <v>14</v>
      </c>
      <c r="C129" s="16">
        <v>22</v>
      </c>
      <c r="D129" s="17" t="s">
        <v>1368</v>
      </c>
      <c r="E129" s="17" t="s">
        <v>1369</v>
      </c>
      <c r="F129" s="17">
        <v>102</v>
      </c>
      <c r="G129" s="17">
        <v>747</v>
      </c>
      <c r="H129" s="17">
        <v>93</v>
      </c>
      <c r="I129" s="17">
        <v>412</v>
      </c>
      <c r="J129" s="17">
        <v>108</v>
      </c>
      <c r="K129" s="17">
        <v>449</v>
      </c>
      <c r="L129" s="17"/>
      <c r="M129" s="17"/>
      <c r="N129" s="17">
        <v>48.5</v>
      </c>
      <c r="O129" s="17">
        <v>1763</v>
      </c>
      <c r="P129" s="17"/>
      <c r="Q129" s="17"/>
      <c r="R129" s="17"/>
      <c r="S129" s="17"/>
      <c r="T129" s="17">
        <v>78</v>
      </c>
      <c r="U129" s="17">
        <v>1003</v>
      </c>
      <c r="V129" s="17">
        <v>76</v>
      </c>
      <c r="W129" s="17">
        <v>263</v>
      </c>
      <c r="X129" s="15">
        <v>303</v>
      </c>
      <c r="Y129" s="17">
        <v>85</v>
      </c>
      <c r="Z129" s="17">
        <v>505.5</v>
      </c>
      <c r="AA129" s="17">
        <v>524</v>
      </c>
      <c r="AB129" s="12">
        <f t="shared" si="1"/>
        <v>127</v>
      </c>
    </row>
    <row r="130" ht="14.25" spans="1:28">
      <c r="A130" s="13">
        <v>863</v>
      </c>
      <c r="B130" s="15">
        <v>18</v>
      </c>
      <c r="C130" s="16">
        <v>47</v>
      </c>
      <c r="D130" s="17" t="s">
        <v>1724</v>
      </c>
      <c r="E130" s="17" t="s">
        <v>1725</v>
      </c>
      <c r="F130" s="17">
        <v>104</v>
      </c>
      <c r="G130" s="17">
        <v>526</v>
      </c>
      <c r="H130" s="17">
        <v>77</v>
      </c>
      <c r="I130" s="17">
        <v>829</v>
      </c>
      <c r="J130" s="17">
        <v>100</v>
      </c>
      <c r="K130" s="17">
        <v>709</v>
      </c>
      <c r="L130" s="17"/>
      <c r="M130" s="17"/>
      <c r="N130" s="17">
        <v>53.5</v>
      </c>
      <c r="O130" s="17">
        <v>1111</v>
      </c>
      <c r="P130" s="17"/>
      <c r="Q130" s="17"/>
      <c r="R130" s="17">
        <v>89</v>
      </c>
      <c r="S130" s="17">
        <v>77</v>
      </c>
      <c r="T130" s="17">
        <v>82</v>
      </c>
      <c r="U130" s="17">
        <v>702</v>
      </c>
      <c r="V130" s="17"/>
      <c r="W130" s="17"/>
      <c r="X130" s="15">
        <v>281</v>
      </c>
      <c r="Y130" s="17">
        <v>150</v>
      </c>
      <c r="Z130" s="17">
        <v>505.5</v>
      </c>
      <c r="AA130" s="17">
        <v>524</v>
      </c>
      <c r="AB130" s="12">
        <f t="shared" si="1"/>
        <v>127</v>
      </c>
    </row>
    <row r="131" ht="14.25" spans="1:28">
      <c r="A131" s="13">
        <v>670</v>
      </c>
      <c r="B131" s="15">
        <v>14</v>
      </c>
      <c r="C131" s="16">
        <v>9</v>
      </c>
      <c r="D131" s="17" t="s">
        <v>1346</v>
      </c>
      <c r="E131" s="17" t="s">
        <v>1347</v>
      </c>
      <c r="F131" s="17">
        <v>108</v>
      </c>
      <c r="G131" s="17">
        <v>247</v>
      </c>
      <c r="H131" s="17">
        <v>82</v>
      </c>
      <c r="I131" s="17">
        <v>685</v>
      </c>
      <c r="J131" s="17">
        <v>104.5</v>
      </c>
      <c r="K131" s="17">
        <v>556</v>
      </c>
      <c r="L131" s="17"/>
      <c r="M131" s="17"/>
      <c r="N131" s="17">
        <v>56</v>
      </c>
      <c r="O131" s="17">
        <v>804</v>
      </c>
      <c r="P131" s="17"/>
      <c r="Q131" s="17"/>
      <c r="R131" s="17"/>
      <c r="S131" s="17"/>
      <c r="T131" s="17">
        <v>88</v>
      </c>
      <c r="U131" s="17">
        <v>227</v>
      </c>
      <c r="V131" s="17">
        <v>66</v>
      </c>
      <c r="W131" s="17">
        <v>594</v>
      </c>
      <c r="X131" s="15">
        <v>294.5</v>
      </c>
      <c r="Y131" s="17">
        <v>116</v>
      </c>
      <c r="Z131" s="17">
        <v>504.5</v>
      </c>
      <c r="AA131" s="17">
        <v>529</v>
      </c>
      <c r="AB131" s="12">
        <f t="shared" ref="AB131:AB194" si="2">RANK(Z131,$Z$3:$Z$700)</f>
        <v>129</v>
      </c>
    </row>
    <row r="132" ht="14.25" spans="1:28">
      <c r="A132" s="13">
        <v>850</v>
      </c>
      <c r="B132" s="15">
        <v>18</v>
      </c>
      <c r="C132" s="16">
        <v>30</v>
      </c>
      <c r="D132" s="17" t="s">
        <v>1698</v>
      </c>
      <c r="E132" s="17" t="s">
        <v>1699</v>
      </c>
      <c r="F132" s="17">
        <v>108</v>
      </c>
      <c r="G132" s="17">
        <v>247</v>
      </c>
      <c r="H132" s="17">
        <v>88</v>
      </c>
      <c r="I132" s="17">
        <v>537</v>
      </c>
      <c r="J132" s="17">
        <v>112.5</v>
      </c>
      <c r="K132" s="17">
        <v>321</v>
      </c>
      <c r="L132" s="17"/>
      <c r="M132" s="17"/>
      <c r="N132" s="17">
        <v>50</v>
      </c>
      <c r="O132" s="17">
        <v>1561</v>
      </c>
      <c r="P132" s="17"/>
      <c r="Q132" s="17"/>
      <c r="R132" s="17">
        <v>82</v>
      </c>
      <c r="S132" s="17">
        <v>432</v>
      </c>
      <c r="T132" s="17">
        <v>64</v>
      </c>
      <c r="U132" s="17">
        <v>2299</v>
      </c>
      <c r="V132" s="17"/>
      <c r="W132" s="17"/>
      <c r="X132" s="15">
        <v>308.5</v>
      </c>
      <c r="Y132" s="17">
        <v>74</v>
      </c>
      <c r="Z132" s="17">
        <v>504.5</v>
      </c>
      <c r="AA132" s="17">
        <v>529</v>
      </c>
      <c r="AB132" s="12">
        <f t="shared" si="2"/>
        <v>129</v>
      </c>
    </row>
    <row r="133" ht="14.25" spans="1:28">
      <c r="A133" s="13">
        <v>695</v>
      </c>
      <c r="B133" s="15">
        <v>14</v>
      </c>
      <c r="C133" s="16">
        <v>37</v>
      </c>
      <c r="D133" s="17" t="s">
        <v>1395</v>
      </c>
      <c r="E133" s="17" t="s">
        <v>1396</v>
      </c>
      <c r="F133" s="17">
        <v>102.5</v>
      </c>
      <c r="G133" s="17">
        <v>686</v>
      </c>
      <c r="H133" s="17">
        <v>91</v>
      </c>
      <c r="I133" s="17">
        <v>467</v>
      </c>
      <c r="J133" s="17">
        <v>97</v>
      </c>
      <c r="K133" s="17">
        <v>837</v>
      </c>
      <c r="L133" s="17"/>
      <c r="M133" s="17"/>
      <c r="N133" s="17">
        <v>59.5</v>
      </c>
      <c r="O133" s="17">
        <v>483</v>
      </c>
      <c r="P133" s="17"/>
      <c r="Q133" s="17"/>
      <c r="R133" s="17"/>
      <c r="S133" s="17"/>
      <c r="T133" s="17">
        <v>82</v>
      </c>
      <c r="U133" s="17">
        <v>702</v>
      </c>
      <c r="V133" s="17">
        <v>71</v>
      </c>
      <c r="W133" s="17">
        <v>422</v>
      </c>
      <c r="X133" s="15">
        <v>290.5</v>
      </c>
      <c r="Y133" s="17">
        <v>127</v>
      </c>
      <c r="Z133" s="17">
        <v>503</v>
      </c>
      <c r="AA133" s="17">
        <v>544</v>
      </c>
      <c r="AB133" s="12">
        <f t="shared" si="2"/>
        <v>131</v>
      </c>
    </row>
    <row r="134" ht="14.25" spans="1:28">
      <c r="A134" s="13">
        <v>837</v>
      </c>
      <c r="B134" s="15">
        <v>18</v>
      </c>
      <c r="C134" s="16">
        <v>17</v>
      </c>
      <c r="D134" s="17" t="s">
        <v>1672</v>
      </c>
      <c r="E134" s="17" t="s">
        <v>1673</v>
      </c>
      <c r="F134" s="17">
        <v>99</v>
      </c>
      <c r="G134" s="17">
        <v>1072</v>
      </c>
      <c r="H134" s="17">
        <v>101.5</v>
      </c>
      <c r="I134" s="17">
        <v>247</v>
      </c>
      <c r="J134" s="17">
        <v>99</v>
      </c>
      <c r="K134" s="17">
        <v>751</v>
      </c>
      <c r="L134" s="17"/>
      <c r="M134" s="17"/>
      <c r="N134" s="17">
        <v>43.5</v>
      </c>
      <c r="O134" s="17">
        <v>2443</v>
      </c>
      <c r="P134" s="17"/>
      <c r="Q134" s="17"/>
      <c r="R134" s="17">
        <v>82</v>
      </c>
      <c r="S134" s="17">
        <v>432</v>
      </c>
      <c r="T134" s="17">
        <v>77</v>
      </c>
      <c r="U134" s="17">
        <v>1108</v>
      </c>
      <c r="V134" s="17"/>
      <c r="W134" s="17"/>
      <c r="X134" s="15">
        <v>299.5</v>
      </c>
      <c r="Y134" s="17">
        <v>98</v>
      </c>
      <c r="Z134" s="17">
        <v>502</v>
      </c>
      <c r="AA134" s="17">
        <v>556</v>
      </c>
      <c r="AB134" s="12">
        <f t="shared" si="2"/>
        <v>132</v>
      </c>
    </row>
    <row r="135" ht="14.25" spans="1:28">
      <c r="A135" s="13">
        <v>735</v>
      </c>
      <c r="B135" s="15">
        <v>15</v>
      </c>
      <c r="C135" s="16">
        <v>35</v>
      </c>
      <c r="D135" s="17" t="s">
        <v>1472</v>
      </c>
      <c r="E135" s="17" t="s">
        <v>1473</v>
      </c>
      <c r="F135" s="17">
        <v>108</v>
      </c>
      <c r="G135" s="17">
        <v>247</v>
      </c>
      <c r="H135" s="17">
        <v>87</v>
      </c>
      <c r="I135" s="17">
        <v>563</v>
      </c>
      <c r="J135" s="17">
        <v>92</v>
      </c>
      <c r="K135" s="17">
        <v>1049</v>
      </c>
      <c r="L135" s="17"/>
      <c r="M135" s="17"/>
      <c r="N135" s="17">
        <v>58</v>
      </c>
      <c r="O135" s="17">
        <v>588</v>
      </c>
      <c r="P135" s="17"/>
      <c r="Q135" s="17"/>
      <c r="R135" s="17"/>
      <c r="S135" s="17"/>
      <c r="T135" s="17">
        <v>79</v>
      </c>
      <c r="U135" s="17">
        <v>952</v>
      </c>
      <c r="V135" s="17">
        <v>76</v>
      </c>
      <c r="W135" s="17">
        <v>263</v>
      </c>
      <c r="X135" s="15">
        <v>287</v>
      </c>
      <c r="Y135" s="17">
        <v>137</v>
      </c>
      <c r="Z135" s="17">
        <v>500</v>
      </c>
      <c r="AA135" s="17">
        <v>574</v>
      </c>
      <c r="AB135" s="12">
        <f t="shared" si="2"/>
        <v>133</v>
      </c>
    </row>
    <row r="136" ht="14.25" spans="1:28">
      <c r="A136" s="13">
        <v>741</v>
      </c>
      <c r="B136" s="15">
        <v>15</v>
      </c>
      <c r="C136" s="16">
        <v>41</v>
      </c>
      <c r="D136" s="17" t="s">
        <v>1484</v>
      </c>
      <c r="E136" s="17" t="s">
        <v>1485</v>
      </c>
      <c r="F136" s="17">
        <v>115.25</v>
      </c>
      <c r="G136" s="17">
        <v>49</v>
      </c>
      <c r="H136" s="17">
        <v>70</v>
      </c>
      <c r="I136" s="17">
        <v>1051</v>
      </c>
      <c r="J136" s="17">
        <v>98</v>
      </c>
      <c r="K136" s="17">
        <v>794</v>
      </c>
      <c r="L136" s="17"/>
      <c r="M136" s="17"/>
      <c r="N136" s="17">
        <v>54.5</v>
      </c>
      <c r="O136" s="17">
        <v>986</v>
      </c>
      <c r="P136" s="17"/>
      <c r="Q136" s="17"/>
      <c r="R136" s="17"/>
      <c r="S136" s="17"/>
      <c r="T136" s="17">
        <v>82</v>
      </c>
      <c r="U136" s="17">
        <v>702</v>
      </c>
      <c r="V136" s="17">
        <v>80</v>
      </c>
      <c r="W136" s="17">
        <v>158</v>
      </c>
      <c r="X136" s="15">
        <v>283.25</v>
      </c>
      <c r="Y136" s="17">
        <v>144</v>
      </c>
      <c r="Z136" s="17">
        <v>499.75</v>
      </c>
      <c r="AA136" s="17">
        <v>580</v>
      </c>
      <c r="AB136" s="12">
        <f t="shared" si="2"/>
        <v>134</v>
      </c>
    </row>
    <row r="137" ht="14.25" spans="1:28">
      <c r="A137" s="13">
        <v>685</v>
      </c>
      <c r="B137" s="15">
        <v>14</v>
      </c>
      <c r="C137" s="16">
        <v>26</v>
      </c>
      <c r="D137" s="17" t="s">
        <v>1376</v>
      </c>
      <c r="E137" s="17" t="s">
        <v>1377</v>
      </c>
      <c r="F137" s="17">
        <v>90.5</v>
      </c>
      <c r="G137" s="17">
        <v>2252</v>
      </c>
      <c r="H137" s="17">
        <v>86</v>
      </c>
      <c r="I137" s="17">
        <v>584</v>
      </c>
      <c r="J137" s="17">
        <v>106.5</v>
      </c>
      <c r="K137" s="17">
        <v>490</v>
      </c>
      <c r="L137" s="17"/>
      <c r="M137" s="17"/>
      <c r="N137" s="17">
        <v>70.5</v>
      </c>
      <c r="O137" s="17">
        <v>40</v>
      </c>
      <c r="P137" s="17"/>
      <c r="Q137" s="17"/>
      <c r="R137" s="17"/>
      <c r="S137" s="17"/>
      <c r="T137" s="17">
        <v>73</v>
      </c>
      <c r="U137" s="17">
        <v>1447</v>
      </c>
      <c r="V137" s="17">
        <v>73</v>
      </c>
      <c r="W137" s="17">
        <v>356</v>
      </c>
      <c r="X137" s="15">
        <v>283</v>
      </c>
      <c r="Y137" s="17">
        <v>145</v>
      </c>
      <c r="Z137" s="17">
        <v>499.5</v>
      </c>
      <c r="AA137" s="17">
        <v>581</v>
      </c>
      <c r="AB137" s="12">
        <f t="shared" si="2"/>
        <v>135</v>
      </c>
    </row>
    <row r="138" ht="14.25" spans="1:28">
      <c r="A138" s="13">
        <v>673</v>
      </c>
      <c r="B138" s="15">
        <v>14</v>
      </c>
      <c r="C138" s="16">
        <v>13</v>
      </c>
      <c r="D138" s="17" t="s">
        <v>1352</v>
      </c>
      <c r="E138" s="17" t="s">
        <v>1353</v>
      </c>
      <c r="F138" s="17">
        <v>103</v>
      </c>
      <c r="G138" s="17">
        <v>626</v>
      </c>
      <c r="H138" s="17">
        <v>105</v>
      </c>
      <c r="I138" s="17">
        <v>189</v>
      </c>
      <c r="J138" s="17">
        <v>88.5</v>
      </c>
      <c r="K138" s="17">
        <v>1209</v>
      </c>
      <c r="L138" s="17"/>
      <c r="M138" s="17"/>
      <c r="N138" s="17">
        <v>64.5</v>
      </c>
      <c r="O138" s="17">
        <v>210</v>
      </c>
      <c r="P138" s="17"/>
      <c r="Q138" s="17"/>
      <c r="R138" s="17"/>
      <c r="S138" s="17"/>
      <c r="T138" s="17">
        <v>65</v>
      </c>
      <c r="U138" s="17">
        <v>2190</v>
      </c>
      <c r="V138" s="17">
        <v>73</v>
      </c>
      <c r="W138" s="17">
        <v>356</v>
      </c>
      <c r="X138" s="15">
        <v>296.5</v>
      </c>
      <c r="Y138" s="17">
        <v>108</v>
      </c>
      <c r="Z138" s="17">
        <v>499</v>
      </c>
      <c r="AA138" s="17">
        <v>585</v>
      </c>
      <c r="AB138" s="12">
        <f t="shared" si="2"/>
        <v>136</v>
      </c>
    </row>
    <row r="139" ht="14.25" spans="1:28">
      <c r="A139" s="13">
        <v>693</v>
      </c>
      <c r="B139" s="15">
        <v>14</v>
      </c>
      <c r="C139" s="16">
        <v>35</v>
      </c>
      <c r="D139" s="17" t="s">
        <v>1391</v>
      </c>
      <c r="E139" s="17" t="s">
        <v>1392</v>
      </c>
      <c r="F139" s="17">
        <v>100</v>
      </c>
      <c r="G139" s="17">
        <v>958</v>
      </c>
      <c r="H139" s="17">
        <v>100</v>
      </c>
      <c r="I139" s="17">
        <v>272</v>
      </c>
      <c r="J139" s="17">
        <v>92</v>
      </c>
      <c r="K139" s="17">
        <v>1049</v>
      </c>
      <c r="L139" s="17"/>
      <c r="M139" s="17"/>
      <c r="N139" s="17">
        <v>62.5</v>
      </c>
      <c r="O139" s="17">
        <v>292</v>
      </c>
      <c r="P139" s="17"/>
      <c r="Q139" s="17"/>
      <c r="R139" s="17"/>
      <c r="S139" s="17"/>
      <c r="T139" s="17">
        <v>69</v>
      </c>
      <c r="U139" s="17">
        <v>1773</v>
      </c>
      <c r="V139" s="17">
        <v>74</v>
      </c>
      <c r="W139" s="17">
        <v>320</v>
      </c>
      <c r="X139" s="15">
        <v>292</v>
      </c>
      <c r="Y139" s="17">
        <v>123</v>
      </c>
      <c r="Z139" s="17">
        <v>497.5</v>
      </c>
      <c r="AA139" s="17">
        <v>598</v>
      </c>
      <c r="AB139" s="12">
        <f t="shared" si="2"/>
        <v>137</v>
      </c>
    </row>
    <row r="140" ht="14.25" spans="1:28">
      <c r="A140" s="13">
        <v>788</v>
      </c>
      <c r="B140" s="15">
        <v>17</v>
      </c>
      <c r="C140" s="16">
        <v>7</v>
      </c>
      <c r="D140" s="17" t="s">
        <v>1574</v>
      </c>
      <c r="E140" s="17" t="s">
        <v>1575</v>
      </c>
      <c r="F140" s="17">
        <v>102.25</v>
      </c>
      <c r="G140" s="17">
        <v>743</v>
      </c>
      <c r="H140" s="17">
        <v>99</v>
      </c>
      <c r="I140" s="17">
        <v>296</v>
      </c>
      <c r="J140" s="17">
        <v>89.25</v>
      </c>
      <c r="K140" s="17">
        <v>1183</v>
      </c>
      <c r="L140" s="17"/>
      <c r="M140" s="17"/>
      <c r="N140" s="17">
        <v>56</v>
      </c>
      <c r="O140" s="17">
        <v>804</v>
      </c>
      <c r="P140" s="17"/>
      <c r="Q140" s="17"/>
      <c r="R140" s="17">
        <v>83</v>
      </c>
      <c r="S140" s="17">
        <v>391</v>
      </c>
      <c r="T140" s="17">
        <v>68</v>
      </c>
      <c r="U140" s="17">
        <v>1886</v>
      </c>
      <c r="V140" s="17"/>
      <c r="W140" s="17"/>
      <c r="X140" s="15">
        <v>290.5</v>
      </c>
      <c r="Y140" s="17">
        <v>127</v>
      </c>
      <c r="Z140" s="17">
        <v>497.5</v>
      </c>
      <c r="AA140" s="17">
        <v>598</v>
      </c>
      <c r="AB140" s="12">
        <f t="shared" si="2"/>
        <v>137</v>
      </c>
    </row>
    <row r="141" ht="14.25" spans="1:28">
      <c r="A141" s="13">
        <v>851</v>
      </c>
      <c r="B141" s="15">
        <v>18</v>
      </c>
      <c r="C141" s="16">
        <v>31</v>
      </c>
      <c r="D141" s="17" t="s">
        <v>1700</v>
      </c>
      <c r="E141" s="17" t="s">
        <v>1701</v>
      </c>
      <c r="F141" s="17">
        <v>107.5</v>
      </c>
      <c r="G141" s="17">
        <v>270</v>
      </c>
      <c r="H141" s="17">
        <v>92.5</v>
      </c>
      <c r="I141" s="17">
        <v>426</v>
      </c>
      <c r="J141" s="17">
        <v>96.5</v>
      </c>
      <c r="K141" s="17">
        <v>862</v>
      </c>
      <c r="L141" s="17"/>
      <c r="M141" s="17"/>
      <c r="N141" s="17">
        <v>59</v>
      </c>
      <c r="O141" s="17">
        <v>524</v>
      </c>
      <c r="P141" s="17"/>
      <c r="Q141" s="17"/>
      <c r="R141" s="17">
        <v>71</v>
      </c>
      <c r="S141" s="17">
        <v>1117</v>
      </c>
      <c r="T141" s="17">
        <v>71</v>
      </c>
      <c r="U141" s="17">
        <v>1653</v>
      </c>
      <c r="V141" s="17"/>
      <c r="W141" s="17"/>
      <c r="X141" s="15">
        <v>296.5</v>
      </c>
      <c r="Y141" s="17">
        <v>108</v>
      </c>
      <c r="Z141" s="17">
        <v>497.5</v>
      </c>
      <c r="AA141" s="17">
        <v>598</v>
      </c>
      <c r="AB141" s="12">
        <f t="shared" si="2"/>
        <v>137</v>
      </c>
    </row>
    <row r="142" ht="14.25" spans="1:28">
      <c r="A142" s="13">
        <v>841</v>
      </c>
      <c r="B142" s="15">
        <v>18</v>
      </c>
      <c r="C142" s="16">
        <v>21</v>
      </c>
      <c r="D142" s="17" t="s">
        <v>1680</v>
      </c>
      <c r="E142" s="17" t="s">
        <v>1681</v>
      </c>
      <c r="F142" s="17">
        <v>102.5</v>
      </c>
      <c r="G142" s="17">
        <v>686</v>
      </c>
      <c r="H142" s="17">
        <v>78</v>
      </c>
      <c r="I142" s="17">
        <v>802</v>
      </c>
      <c r="J142" s="17">
        <v>111.5</v>
      </c>
      <c r="K142" s="17">
        <v>346</v>
      </c>
      <c r="L142" s="17"/>
      <c r="M142" s="17"/>
      <c r="N142" s="17">
        <v>50</v>
      </c>
      <c r="O142" s="17">
        <v>1561</v>
      </c>
      <c r="P142" s="17"/>
      <c r="Q142" s="17"/>
      <c r="R142" s="17">
        <v>80</v>
      </c>
      <c r="S142" s="17">
        <v>535</v>
      </c>
      <c r="T142" s="17">
        <v>75</v>
      </c>
      <c r="U142" s="17">
        <v>1272</v>
      </c>
      <c r="V142" s="17"/>
      <c r="W142" s="17"/>
      <c r="X142" s="15">
        <v>292</v>
      </c>
      <c r="Y142" s="17">
        <v>123</v>
      </c>
      <c r="Z142" s="17">
        <v>497</v>
      </c>
      <c r="AA142" s="17">
        <v>606</v>
      </c>
      <c r="AB142" s="12">
        <f t="shared" si="2"/>
        <v>140</v>
      </c>
    </row>
    <row r="143" ht="14.25" spans="1:28">
      <c r="A143" s="13">
        <v>725</v>
      </c>
      <c r="B143" s="15">
        <v>15</v>
      </c>
      <c r="C143" s="16">
        <v>24</v>
      </c>
      <c r="D143" s="17" t="s">
        <v>1453</v>
      </c>
      <c r="E143" s="17" t="s">
        <v>1454</v>
      </c>
      <c r="F143" s="17">
        <v>99.5</v>
      </c>
      <c r="G143" s="17">
        <v>1010</v>
      </c>
      <c r="H143" s="17">
        <v>102</v>
      </c>
      <c r="I143" s="17">
        <v>241</v>
      </c>
      <c r="J143" s="17">
        <v>92.75</v>
      </c>
      <c r="K143" s="17">
        <v>1021</v>
      </c>
      <c r="L143" s="17"/>
      <c r="M143" s="17"/>
      <c r="N143" s="17">
        <v>51</v>
      </c>
      <c r="O143" s="17">
        <v>1415</v>
      </c>
      <c r="P143" s="17"/>
      <c r="Q143" s="17"/>
      <c r="R143" s="17"/>
      <c r="S143" s="17"/>
      <c r="T143" s="17">
        <v>75</v>
      </c>
      <c r="U143" s="17">
        <v>1272</v>
      </c>
      <c r="V143" s="17">
        <v>76</v>
      </c>
      <c r="W143" s="17">
        <v>263</v>
      </c>
      <c r="X143" s="15">
        <v>294.25</v>
      </c>
      <c r="Y143" s="17">
        <v>118</v>
      </c>
      <c r="Z143" s="17">
        <v>496.25</v>
      </c>
      <c r="AA143" s="17">
        <v>617</v>
      </c>
      <c r="AB143" s="12">
        <f t="shared" si="2"/>
        <v>141</v>
      </c>
    </row>
    <row r="144" ht="14.25" spans="1:28">
      <c r="A144" s="13">
        <v>713</v>
      </c>
      <c r="B144" s="15">
        <v>15</v>
      </c>
      <c r="C144" s="16">
        <v>12</v>
      </c>
      <c r="D144" s="17" t="s">
        <v>1429</v>
      </c>
      <c r="E144" s="17" t="s">
        <v>1430</v>
      </c>
      <c r="F144" s="17">
        <v>109</v>
      </c>
      <c r="G144" s="17">
        <v>201</v>
      </c>
      <c r="H144" s="17">
        <v>90.5</v>
      </c>
      <c r="I144" s="17">
        <v>484</v>
      </c>
      <c r="J144" s="17">
        <v>87.25</v>
      </c>
      <c r="K144" s="17">
        <v>1282</v>
      </c>
      <c r="L144" s="17"/>
      <c r="M144" s="17"/>
      <c r="N144" s="17">
        <v>50.25</v>
      </c>
      <c r="O144" s="17">
        <v>1559</v>
      </c>
      <c r="P144" s="17"/>
      <c r="Q144" s="17"/>
      <c r="R144" s="17"/>
      <c r="S144" s="17"/>
      <c r="T144" s="17">
        <v>80</v>
      </c>
      <c r="U144" s="17">
        <v>854</v>
      </c>
      <c r="V144" s="17">
        <v>79</v>
      </c>
      <c r="W144" s="17">
        <v>194</v>
      </c>
      <c r="X144" s="15">
        <v>286.75</v>
      </c>
      <c r="Y144" s="17">
        <v>139</v>
      </c>
      <c r="Z144" s="17">
        <v>496</v>
      </c>
      <c r="AA144" s="17">
        <v>619</v>
      </c>
      <c r="AB144" s="12">
        <f t="shared" si="2"/>
        <v>142</v>
      </c>
    </row>
    <row r="145" ht="14.25" spans="1:28">
      <c r="A145" s="13">
        <v>738</v>
      </c>
      <c r="B145" s="15">
        <v>15</v>
      </c>
      <c r="C145" s="16">
        <v>38</v>
      </c>
      <c r="D145" s="17" t="s">
        <v>1478</v>
      </c>
      <c r="E145" s="17" t="s">
        <v>1479</v>
      </c>
      <c r="F145" s="17">
        <v>96.5</v>
      </c>
      <c r="G145" s="17">
        <v>1406</v>
      </c>
      <c r="H145" s="17">
        <v>100</v>
      </c>
      <c r="I145" s="17">
        <v>272</v>
      </c>
      <c r="J145" s="17">
        <v>92.75</v>
      </c>
      <c r="K145" s="17">
        <v>1021</v>
      </c>
      <c r="L145" s="17"/>
      <c r="M145" s="17"/>
      <c r="N145" s="17">
        <v>58</v>
      </c>
      <c r="O145" s="17">
        <v>588</v>
      </c>
      <c r="P145" s="17"/>
      <c r="Q145" s="17"/>
      <c r="R145" s="17"/>
      <c r="S145" s="17"/>
      <c r="T145" s="17">
        <v>77</v>
      </c>
      <c r="U145" s="17">
        <v>1108</v>
      </c>
      <c r="V145" s="17">
        <v>71</v>
      </c>
      <c r="W145" s="17">
        <v>422</v>
      </c>
      <c r="X145" s="15">
        <v>289.25</v>
      </c>
      <c r="Y145" s="17">
        <v>134</v>
      </c>
      <c r="Z145" s="17">
        <v>495.25</v>
      </c>
      <c r="AA145" s="17">
        <v>625</v>
      </c>
      <c r="AB145" s="12">
        <f t="shared" si="2"/>
        <v>143</v>
      </c>
    </row>
    <row r="146" ht="14.25" spans="1:28">
      <c r="A146" s="13">
        <v>840</v>
      </c>
      <c r="B146" s="15">
        <v>18</v>
      </c>
      <c r="C146" s="16">
        <v>20</v>
      </c>
      <c r="D146" s="17" t="s">
        <v>1678</v>
      </c>
      <c r="E146" s="17" t="s">
        <v>1679</v>
      </c>
      <c r="F146" s="17">
        <v>100.75</v>
      </c>
      <c r="G146" s="17">
        <v>893</v>
      </c>
      <c r="H146" s="17">
        <v>85</v>
      </c>
      <c r="I146" s="17">
        <v>611</v>
      </c>
      <c r="J146" s="17">
        <v>85</v>
      </c>
      <c r="K146" s="17">
        <v>1406</v>
      </c>
      <c r="L146" s="17"/>
      <c r="M146" s="17"/>
      <c r="N146" s="17">
        <v>51.5</v>
      </c>
      <c r="O146" s="17">
        <v>1342</v>
      </c>
      <c r="P146" s="17"/>
      <c r="Q146" s="17"/>
      <c r="R146" s="17">
        <v>86</v>
      </c>
      <c r="S146" s="17">
        <v>293</v>
      </c>
      <c r="T146" s="17">
        <v>86</v>
      </c>
      <c r="U146" s="17">
        <v>465</v>
      </c>
      <c r="V146" s="17"/>
      <c r="W146" s="17"/>
      <c r="X146" s="15">
        <v>270.75</v>
      </c>
      <c r="Y146" s="17">
        <v>167</v>
      </c>
      <c r="Z146" s="17">
        <v>494.25</v>
      </c>
      <c r="AA146" s="17">
        <v>633</v>
      </c>
      <c r="AB146" s="12">
        <f t="shared" si="2"/>
        <v>144</v>
      </c>
    </row>
    <row r="147" ht="14.25" spans="1:28">
      <c r="A147" s="13">
        <v>815</v>
      </c>
      <c r="B147" s="15">
        <v>17</v>
      </c>
      <c r="C147" s="16">
        <v>40</v>
      </c>
      <c r="D147" s="17" t="s">
        <v>1628</v>
      </c>
      <c r="E147" s="17" t="s">
        <v>1629</v>
      </c>
      <c r="F147" s="17">
        <v>95.25</v>
      </c>
      <c r="G147" s="17">
        <v>1603</v>
      </c>
      <c r="H147" s="17">
        <v>76</v>
      </c>
      <c r="I147" s="17">
        <v>862</v>
      </c>
      <c r="J147" s="17">
        <v>101.5</v>
      </c>
      <c r="K147" s="17">
        <v>649</v>
      </c>
      <c r="L147" s="17"/>
      <c r="M147" s="17"/>
      <c r="N147" s="17">
        <v>59.5</v>
      </c>
      <c r="O147" s="17">
        <v>483</v>
      </c>
      <c r="P147" s="17"/>
      <c r="Q147" s="17"/>
      <c r="R147" s="17">
        <v>82</v>
      </c>
      <c r="S147" s="17">
        <v>432</v>
      </c>
      <c r="T147" s="17">
        <v>78</v>
      </c>
      <c r="U147" s="17">
        <v>1003</v>
      </c>
      <c r="V147" s="17"/>
      <c r="W147" s="17"/>
      <c r="X147" s="15">
        <v>272.75</v>
      </c>
      <c r="Y147" s="17">
        <v>161</v>
      </c>
      <c r="Z147" s="17">
        <v>492.25</v>
      </c>
      <c r="AA147" s="17">
        <v>651</v>
      </c>
      <c r="AB147" s="12">
        <f t="shared" si="2"/>
        <v>145</v>
      </c>
    </row>
    <row r="148" ht="14.25" spans="1:28">
      <c r="A148" s="13">
        <v>802</v>
      </c>
      <c r="B148" s="15">
        <v>17</v>
      </c>
      <c r="C148" s="16">
        <v>25</v>
      </c>
      <c r="D148" s="17" t="s">
        <v>1602</v>
      </c>
      <c r="E148" s="17" t="s">
        <v>1603</v>
      </c>
      <c r="F148" s="17">
        <v>99</v>
      </c>
      <c r="G148" s="17">
        <v>1072</v>
      </c>
      <c r="H148" s="17">
        <v>100</v>
      </c>
      <c r="I148" s="17">
        <v>272</v>
      </c>
      <c r="J148" s="17">
        <v>93</v>
      </c>
      <c r="K148" s="17">
        <v>1008</v>
      </c>
      <c r="L148" s="17"/>
      <c r="M148" s="17"/>
      <c r="N148" s="17">
        <v>49</v>
      </c>
      <c r="O148" s="17">
        <v>1682</v>
      </c>
      <c r="P148" s="17"/>
      <c r="Q148" s="17"/>
      <c r="R148" s="17">
        <v>72</v>
      </c>
      <c r="S148" s="17">
        <v>1055</v>
      </c>
      <c r="T148" s="17">
        <v>79</v>
      </c>
      <c r="U148" s="17">
        <v>952</v>
      </c>
      <c r="V148" s="17"/>
      <c r="W148" s="17"/>
      <c r="X148" s="15">
        <v>292</v>
      </c>
      <c r="Y148" s="17">
        <v>123</v>
      </c>
      <c r="Z148" s="17">
        <v>492</v>
      </c>
      <c r="AA148" s="17">
        <v>653</v>
      </c>
      <c r="AB148" s="12">
        <f t="shared" si="2"/>
        <v>146</v>
      </c>
    </row>
    <row r="149" ht="14.25" spans="1:28">
      <c r="A149" s="13">
        <v>736</v>
      </c>
      <c r="B149" s="15">
        <v>15</v>
      </c>
      <c r="C149" s="16">
        <v>36</v>
      </c>
      <c r="D149" s="17" t="s">
        <v>1474</v>
      </c>
      <c r="E149" s="17" t="s">
        <v>1475</v>
      </c>
      <c r="F149" s="17">
        <v>95</v>
      </c>
      <c r="G149" s="17">
        <v>1611</v>
      </c>
      <c r="H149" s="17">
        <v>69.5</v>
      </c>
      <c r="I149" s="17">
        <v>1066</v>
      </c>
      <c r="J149" s="17">
        <v>102.75</v>
      </c>
      <c r="K149" s="17">
        <v>605</v>
      </c>
      <c r="L149" s="17"/>
      <c r="M149" s="17"/>
      <c r="N149" s="17">
        <v>64.5</v>
      </c>
      <c r="O149" s="17">
        <v>210</v>
      </c>
      <c r="P149" s="17"/>
      <c r="Q149" s="17"/>
      <c r="R149" s="17"/>
      <c r="S149" s="17"/>
      <c r="T149" s="17">
        <v>82</v>
      </c>
      <c r="U149" s="17">
        <v>702</v>
      </c>
      <c r="V149" s="17">
        <v>78</v>
      </c>
      <c r="W149" s="17">
        <v>215</v>
      </c>
      <c r="X149" s="15">
        <v>267.25</v>
      </c>
      <c r="Y149" s="17">
        <v>181</v>
      </c>
      <c r="Z149" s="17">
        <v>491.75</v>
      </c>
      <c r="AA149" s="17">
        <v>657</v>
      </c>
      <c r="AB149" s="12">
        <f t="shared" si="2"/>
        <v>147</v>
      </c>
    </row>
    <row r="150" ht="14.25" spans="1:28">
      <c r="A150" s="13">
        <v>854</v>
      </c>
      <c r="B150" s="15">
        <v>18</v>
      </c>
      <c r="C150" s="16">
        <v>37</v>
      </c>
      <c r="D150" s="17" t="s">
        <v>1706</v>
      </c>
      <c r="E150" s="17" t="s">
        <v>1707</v>
      </c>
      <c r="F150" s="17">
        <v>106.5</v>
      </c>
      <c r="G150" s="17">
        <v>338</v>
      </c>
      <c r="H150" s="17">
        <v>88</v>
      </c>
      <c r="I150" s="17">
        <v>537</v>
      </c>
      <c r="J150" s="17">
        <v>95</v>
      </c>
      <c r="K150" s="17">
        <v>926</v>
      </c>
      <c r="L150" s="17"/>
      <c r="M150" s="17"/>
      <c r="N150" s="17">
        <v>59.5</v>
      </c>
      <c r="O150" s="17">
        <v>483</v>
      </c>
      <c r="P150" s="17"/>
      <c r="Q150" s="17"/>
      <c r="R150" s="17">
        <v>79</v>
      </c>
      <c r="S150" s="17">
        <v>590</v>
      </c>
      <c r="T150" s="17">
        <v>63</v>
      </c>
      <c r="U150" s="17">
        <v>2360</v>
      </c>
      <c r="V150" s="17"/>
      <c r="W150" s="17"/>
      <c r="X150" s="15">
        <v>289.5</v>
      </c>
      <c r="Y150" s="17">
        <v>131</v>
      </c>
      <c r="Z150" s="17">
        <v>491</v>
      </c>
      <c r="AA150" s="17">
        <v>667</v>
      </c>
      <c r="AB150" s="12">
        <f t="shared" si="2"/>
        <v>148</v>
      </c>
    </row>
    <row r="151" ht="14.25" spans="1:28">
      <c r="A151" s="13">
        <v>814</v>
      </c>
      <c r="B151" s="15">
        <v>17</v>
      </c>
      <c r="C151" s="16">
        <v>39</v>
      </c>
      <c r="D151" s="17" t="s">
        <v>1626</v>
      </c>
      <c r="E151" s="17" t="s">
        <v>1627</v>
      </c>
      <c r="F151" s="17">
        <v>97</v>
      </c>
      <c r="G151" s="17">
        <v>1332</v>
      </c>
      <c r="H151" s="17">
        <v>99</v>
      </c>
      <c r="I151" s="17">
        <v>296</v>
      </c>
      <c r="J151" s="17">
        <v>91.75</v>
      </c>
      <c r="K151" s="17">
        <v>1069</v>
      </c>
      <c r="L151" s="17"/>
      <c r="M151" s="17"/>
      <c r="N151" s="17">
        <v>47</v>
      </c>
      <c r="O151" s="17">
        <v>1983</v>
      </c>
      <c r="P151" s="17"/>
      <c r="Q151" s="17"/>
      <c r="R151" s="17">
        <v>87</v>
      </c>
      <c r="S151" s="17">
        <v>202</v>
      </c>
      <c r="T151" s="17">
        <v>69</v>
      </c>
      <c r="U151" s="17">
        <v>1773</v>
      </c>
      <c r="V151" s="17"/>
      <c r="W151" s="17"/>
      <c r="X151" s="15">
        <v>287.75</v>
      </c>
      <c r="Y151" s="17">
        <v>136</v>
      </c>
      <c r="Z151" s="17">
        <v>490.75</v>
      </c>
      <c r="AA151" s="17">
        <v>669</v>
      </c>
      <c r="AB151" s="12">
        <f t="shared" si="2"/>
        <v>149</v>
      </c>
    </row>
    <row r="152" ht="14.25" spans="1:28">
      <c r="A152" s="13">
        <v>793</v>
      </c>
      <c r="B152" s="15">
        <v>17</v>
      </c>
      <c r="C152" s="16">
        <v>14</v>
      </c>
      <c r="D152" s="17" t="s">
        <v>1584</v>
      </c>
      <c r="E152" s="17" t="s">
        <v>1585</v>
      </c>
      <c r="F152" s="17">
        <v>95.5</v>
      </c>
      <c r="G152" s="17">
        <v>1544</v>
      </c>
      <c r="H152" s="17">
        <v>84</v>
      </c>
      <c r="I152" s="17">
        <v>635</v>
      </c>
      <c r="J152" s="17">
        <v>98</v>
      </c>
      <c r="K152" s="17">
        <v>794</v>
      </c>
      <c r="L152" s="17"/>
      <c r="M152" s="17"/>
      <c r="N152" s="17">
        <v>56</v>
      </c>
      <c r="O152" s="17">
        <v>804</v>
      </c>
      <c r="P152" s="17"/>
      <c r="Q152" s="17"/>
      <c r="R152" s="17">
        <v>69</v>
      </c>
      <c r="S152" s="17">
        <v>1223</v>
      </c>
      <c r="T152" s="17">
        <v>88</v>
      </c>
      <c r="U152" s="17">
        <v>227</v>
      </c>
      <c r="V152" s="17"/>
      <c r="W152" s="17"/>
      <c r="X152" s="15">
        <v>277.5</v>
      </c>
      <c r="Y152" s="17">
        <v>153</v>
      </c>
      <c r="Z152" s="17">
        <v>490.5</v>
      </c>
      <c r="AA152" s="17">
        <v>671</v>
      </c>
      <c r="AB152" s="12">
        <f t="shared" si="2"/>
        <v>150</v>
      </c>
    </row>
    <row r="153" ht="14.25" spans="1:28">
      <c r="A153" s="13">
        <v>861</v>
      </c>
      <c r="B153" s="15">
        <v>18</v>
      </c>
      <c r="C153" s="16">
        <v>44</v>
      </c>
      <c r="D153" s="17" t="s">
        <v>1720</v>
      </c>
      <c r="E153" s="17" t="s">
        <v>1721</v>
      </c>
      <c r="F153" s="17">
        <v>100.5</v>
      </c>
      <c r="G153" s="17">
        <v>901</v>
      </c>
      <c r="H153" s="17">
        <v>90</v>
      </c>
      <c r="I153" s="17">
        <v>498</v>
      </c>
      <c r="J153" s="17">
        <v>91</v>
      </c>
      <c r="K153" s="17">
        <v>1093</v>
      </c>
      <c r="L153" s="17"/>
      <c r="M153" s="17"/>
      <c r="N153" s="17">
        <v>51</v>
      </c>
      <c r="O153" s="17">
        <v>1415</v>
      </c>
      <c r="P153" s="17"/>
      <c r="Q153" s="17"/>
      <c r="R153" s="17">
        <v>82</v>
      </c>
      <c r="S153" s="17">
        <v>432</v>
      </c>
      <c r="T153" s="17">
        <v>75</v>
      </c>
      <c r="U153" s="17">
        <v>1272</v>
      </c>
      <c r="V153" s="17"/>
      <c r="W153" s="17"/>
      <c r="X153" s="15">
        <v>281.5</v>
      </c>
      <c r="Y153" s="17">
        <v>149</v>
      </c>
      <c r="Z153" s="17">
        <v>489.5</v>
      </c>
      <c r="AA153" s="17">
        <v>679</v>
      </c>
      <c r="AB153" s="12">
        <f t="shared" si="2"/>
        <v>151</v>
      </c>
    </row>
    <row r="154" ht="14.25" spans="1:28">
      <c r="A154" s="13">
        <v>787</v>
      </c>
      <c r="B154" s="15">
        <v>17</v>
      </c>
      <c r="C154" s="16">
        <v>6</v>
      </c>
      <c r="D154" s="17" t="s">
        <v>1572</v>
      </c>
      <c r="E154" s="17" t="s">
        <v>1573</v>
      </c>
      <c r="F154" s="17">
        <v>92</v>
      </c>
      <c r="G154" s="17">
        <v>2049</v>
      </c>
      <c r="H154" s="17">
        <v>72</v>
      </c>
      <c r="I154" s="17">
        <v>976</v>
      </c>
      <c r="J154" s="17">
        <v>115.5</v>
      </c>
      <c r="K154" s="17">
        <v>257</v>
      </c>
      <c r="L154" s="17"/>
      <c r="M154" s="17"/>
      <c r="N154" s="17">
        <v>60.5</v>
      </c>
      <c r="O154" s="17">
        <v>424</v>
      </c>
      <c r="P154" s="17"/>
      <c r="Q154" s="17"/>
      <c r="R154" s="17">
        <v>60</v>
      </c>
      <c r="S154" s="17">
        <v>1928</v>
      </c>
      <c r="T154" s="17">
        <v>89</v>
      </c>
      <c r="U154" s="17">
        <v>137</v>
      </c>
      <c r="V154" s="17"/>
      <c r="W154" s="17"/>
      <c r="X154" s="15">
        <v>279.5</v>
      </c>
      <c r="Y154" s="17">
        <v>151</v>
      </c>
      <c r="Z154" s="17">
        <v>489</v>
      </c>
      <c r="AA154" s="17">
        <v>682</v>
      </c>
      <c r="AB154" s="12">
        <f t="shared" si="2"/>
        <v>152</v>
      </c>
    </row>
    <row r="155" ht="14.25" spans="1:28">
      <c r="A155" s="13">
        <v>664</v>
      </c>
      <c r="B155" s="15">
        <v>14</v>
      </c>
      <c r="C155" s="16">
        <v>1</v>
      </c>
      <c r="D155" s="17" t="s">
        <v>1334</v>
      </c>
      <c r="E155" s="17" t="s">
        <v>1335</v>
      </c>
      <c r="F155" s="17">
        <v>98</v>
      </c>
      <c r="G155" s="17">
        <v>1207</v>
      </c>
      <c r="H155" s="17">
        <v>79.5</v>
      </c>
      <c r="I155" s="17">
        <v>762</v>
      </c>
      <c r="J155" s="17">
        <v>95.75</v>
      </c>
      <c r="K155" s="17">
        <v>897</v>
      </c>
      <c r="L155" s="17"/>
      <c r="M155" s="17"/>
      <c r="N155" s="17">
        <v>68.5</v>
      </c>
      <c r="O155" s="17">
        <v>82</v>
      </c>
      <c r="P155" s="17"/>
      <c r="Q155" s="17"/>
      <c r="R155" s="17"/>
      <c r="S155" s="17"/>
      <c r="T155" s="17">
        <v>85</v>
      </c>
      <c r="U155" s="17">
        <v>537</v>
      </c>
      <c r="V155" s="17">
        <v>62</v>
      </c>
      <c r="W155" s="17">
        <v>766</v>
      </c>
      <c r="X155" s="15">
        <v>273.25</v>
      </c>
      <c r="Y155" s="17">
        <v>160</v>
      </c>
      <c r="Z155" s="17">
        <v>488.75</v>
      </c>
      <c r="AA155" s="17">
        <v>685</v>
      </c>
      <c r="AB155" s="12">
        <f t="shared" si="2"/>
        <v>153</v>
      </c>
    </row>
    <row r="156" ht="14.25" spans="1:28">
      <c r="A156" s="13">
        <v>740</v>
      </c>
      <c r="B156" s="15">
        <v>15</v>
      </c>
      <c r="C156" s="16">
        <v>40</v>
      </c>
      <c r="D156" s="17" t="s">
        <v>1482</v>
      </c>
      <c r="E156" s="17" t="s">
        <v>1483</v>
      </c>
      <c r="F156" s="17">
        <v>93.5</v>
      </c>
      <c r="G156" s="17">
        <v>1834</v>
      </c>
      <c r="H156" s="17">
        <v>83.5</v>
      </c>
      <c r="I156" s="17">
        <v>651</v>
      </c>
      <c r="J156" s="17">
        <v>99</v>
      </c>
      <c r="K156" s="17">
        <v>751</v>
      </c>
      <c r="L156" s="17"/>
      <c r="M156" s="17"/>
      <c r="N156" s="17">
        <v>62</v>
      </c>
      <c r="O156" s="17">
        <v>315</v>
      </c>
      <c r="P156" s="17"/>
      <c r="Q156" s="17"/>
      <c r="R156" s="17"/>
      <c r="S156" s="17"/>
      <c r="T156" s="17">
        <v>79</v>
      </c>
      <c r="U156" s="17">
        <v>952</v>
      </c>
      <c r="V156" s="17">
        <v>71</v>
      </c>
      <c r="W156" s="17">
        <v>422</v>
      </c>
      <c r="X156" s="15">
        <v>276</v>
      </c>
      <c r="Y156" s="17">
        <v>158</v>
      </c>
      <c r="Z156" s="17">
        <v>488</v>
      </c>
      <c r="AA156" s="17">
        <v>693</v>
      </c>
      <c r="AB156" s="12">
        <f t="shared" si="2"/>
        <v>154</v>
      </c>
    </row>
    <row r="157" ht="14.25" spans="1:28">
      <c r="A157" s="13">
        <v>858</v>
      </c>
      <c r="B157" s="15">
        <v>18</v>
      </c>
      <c r="C157" s="16">
        <v>41</v>
      </c>
      <c r="D157" s="17" t="s">
        <v>1714</v>
      </c>
      <c r="E157" s="17" t="s">
        <v>1715</v>
      </c>
      <c r="F157" s="17">
        <v>100</v>
      </c>
      <c r="G157" s="17">
        <v>958</v>
      </c>
      <c r="H157" s="17">
        <v>83</v>
      </c>
      <c r="I157" s="17">
        <v>663</v>
      </c>
      <c r="J157" s="17">
        <v>89.5</v>
      </c>
      <c r="K157" s="17">
        <v>1160</v>
      </c>
      <c r="L157" s="17"/>
      <c r="M157" s="17"/>
      <c r="N157" s="17">
        <v>54</v>
      </c>
      <c r="O157" s="17">
        <v>1056</v>
      </c>
      <c r="P157" s="17"/>
      <c r="Q157" s="17"/>
      <c r="R157" s="17">
        <v>73</v>
      </c>
      <c r="S157" s="17">
        <v>965</v>
      </c>
      <c r="T157" s="17">
        <v>88</v>
      </c>
      <c r="U157" s="17">
        <v>227</v>
      </c>
      <c r="V157" s="17"/>
      <c r="W157" s="17"/>
      <c r="X157" s="15">
        <v>272.5</v>
      </c>
      <c r="Y157" s="17">
        <v>162</v>
      </c>
      <c r="Z157" s="17">
        <v>487.5</v>
      </c>
      <c r="AA157" s="17">
        <v>700</v>
      </c>
      <c r="AB157" s="12">
        <f t="shared" si="2"/>
        <v>155</v>
      </c>
    </row>
    <row r="158" ht="14.25" spans="1:28">
      <c r="A158" s="13">
        <v>822</v>
      </c>
      <c r="B158" s="15">
        <v>17</v>
      </c>
      <c r="C158" s="16">
        <v>49</v>
      </c>
      <c r="D158" s="17" t="s">
        <v>1642</v>
      </c>
      <c r="E158" s="17" t="s">
        <v>1643</v>
      </c>
      <c r="F158" s="17">
        <v>97.5</v>
      </c>
      <c r="G158" s="17">
        <v>1268</v>
      </c>
      <c r="H158" s="17">
        <v>67</v>
      </c>
      <c r="I158" s="17">
        <v>1147</v>
      </c>
      <c r="J158" s="17">
        <v>107</v>
      </c>
      <c r="K158" s="17">
        <v>478</v>
      </c>
      <c r="L158" s="17"/>
      <c r="M158" s="17"/>
      <c r="N158" s="17">
        <v>49.5</v>
      </c>
      <c r="O158" s="17">
        <v>1623</v>
      </c>
      <c r="P158" s="17"/>
      <c r="Q158" s="17"/>
      <c r="R158" s="17">
        <v>86</v>
      </c>
      <c r="S158" s="17">
        <v>293</v>
      </c>
      <c r="T158" s="17">
        <v>80</v>
      </c>
      <c r="U158" s="17">
        <v>854</v>
      </c>
      <c r="V158" s="17"/>
      <c r="W158" s="17"/>
      <c r="X158" s="15">
        <v>271.5</v>
      </c>
      <c r="Y158" s="17">
        <v>166</v>
      </c>
      <c r="Z158" s="17">
        <v>487</v>
      </c>
      <c r="AA158" s="17">
        <v>704</v>
      </c>
      <c r="AB158" s="12">
        <f t="shared" si="2"/>
        <v>156</v>
      </c>
    </row>
    <row r="159" ht="14.25" spans="1:28">
      <c r="A159" s="13">
        <v>785</v>
      </c>
      <c r="B159" s="15">
        <v>17</v>
      </c>
      <c r="C159" s="16">
        <v>2</v>
      </c>
      <c r="D159" s="17" t="s">
        <v>1568</v>
      </c>
      <c r="E159" s="17" t="s">
        <v>1569</v>
      </c>
      <c r="F159" s="17">
        <v>94</v>
      </c>
      <c r="G159" s="17">
        <v>1750</v>
      </c>
      <c r="H159" s="17">
        <v>106.5</v>
      </c>
      <c r="I159" s="17">
        <v>173</v>
      </c>
      <c r="J159" s="17">
        <v>70.25</v>
      </c>
      <c r="K159" s="17">
        <v>2207</v>
      </c>
      <c r="L159" s="17"/>
      <c r="M159" s="17"/>
      <c r="N159" s="17">
        <v>55.5</v>
      </c>
      <c r="O159" s="17">
        <v>860</v>
      </c>
      <c r="P159" s="17"/>
      <c r="Q159" s="17"/>
      <c r="R159" s="17">
        <v>79</v>
      </c>
      <c r="S159" s="17">
        <v>590</v>
      </c>
      <c r="T159" s="17">
        <v>80</v>
      </c>
      <c r="U159" s="17">
        <v>854</v>
      </c>
      <c r="V159" s="17"/>
      <c r="W159" s="17"/>
      <c r="X159" s="15">
        <v>270.75</v>
      </c>
      <c r="Y159" s="17">
        <v>167</v>
      </c>
      <c r="Z159" s="17">
        <v>485.25</v>
      </c>
      <c r="AA159" s="17">
        <v>716</v>
      </c>
      <c r="AB159" s="12">
        <f t="shared" si="2"/>
        <v>157</v>
      </c>
    </row>
    <row r="160" ht="14.25" spans="1:28">
      <c r="A160" s="13">
        <v>801</v>
      </c>
      <c r="B160" s="15">
        <v>17</v>
      </c>
      <c r="C160" s="16">
        <v>24</v>
      </c>
      <c r="D160" s="17" t="s">
        <v>1600</v>
      </c>
      <c r="E160" s="17" t="s">
        <v>1601</v>
      </c>
      <c r="F160" s="17">
        <v>99</v>
      </c>
      <c r="G160" s="17">
        <v>1072</v>
      </c>
      <c r="H160" s="17">
        <v>70</v>
      </c>
      <c r="I160" s="17">
        <v>1051</v>
      </c>
      <c r="J160" s="17">
        <v>96.75</v>
      </c>
      <c r="K160" s="17">
        <v>855</v>
      </c>
      <c r="L160" s="17"/>
      <c r="M160" s="17"/>
      <c r="N160" s="17">
        <v>44.5</v>
      </c>
      <c r="O160" s="17">
        <v>2305</v>
      </c>
      <c r="P160" s="17"/>
      <c r="Q160" s="17"/>
      <c r="R160" s="17">
        <v>88</v>
      </c>
      <c r="S160" s="17">
        <v>123</v>
      </c>
      <c r="T160" s="17">
        <v>87</v>
      </c>
      <c r="U160" s="17">
        <v>333</v>
      </c>
      <c r="V160" s="17"/>
      <c r="W160" s="17"/>
      <c r="X160" s="15">
        <v>265.75</v>
      </c>
      <c r="Y160" s="17">
        <v>185</v>
      </c>
      <c r="Z160" s="17">
        <v>485.25</v>
      </c>
      <c r="AA160" s="17">
        <v>716</v>
      </c>
      <c r="AB160" s="12">
        <f t="shared" si="2"/>
        <v>157</v>
      </c>
    </row>
    <row r="161" ht="14.25" spans="1:28">
      <c r="A161" s="13">
        <v>836</v>
      </c>
      <c r="B161" s="15">
        <v>18</v>
      </c>
      <c r="C161" s="16">
        <v>14</v>
      </c>
      <c r="D161" s="17" t="s">
        <v>1670</v>
      </c>
      <c r="E161" s="17" t="s">
        <v>1671</v>
      </c>
      <c r="F161" s="17">
        <v>105</v>
      </c>
      <c r="G161" s="17">
        <v>437</v>
      </c>
      <c r="H161" s="17">
        <v>64</v>
      </c>
      <c r="I161" s="17">
        <v>1261</v>
      </c>
      <c r="J161" s="17">
        <v>107.5</v>
      </c>
      <c r="K161" s="17">
        <v>469</v>
      </c>
      <c r="L161" s="17"/>
      <c r="M161" s="17"/>
      <c r="N161" s="17">
        <v>53</v>
      </c>
      <c r="O161" s="17">
        <v>1155</v>
      </c>
      <c r="P161" s="17"/>
      <c r="Q161" s="17"/>
      <c r="R161" s="17">
        <v>73</v>
      </c>
      <c r="S161" s="17">
        <v>965</v>
      </c>
      <c r="T161" s="17">
        <v>82</v>
      </c>
      <c r="U161" s="17">
        <v>702</v>
      </c>
      <c r="V161" s="17"/>
      <c r="W161" s="17"/>
      <c r="X161" s="15">
        <v>276.5</v>
      </c>
      <c r="Y161" s="17">
        <v>155</v>
      </c>
      <c r="Z161" s="17">
        <v>484.5</v>
      </c>
      <c r="AA161" s="17">
        <v>727</v>
      </c>
      <c r="AB161" s="12">
        <f t="shared" si="2"/>
        <v>159</v>
      </c>
    </row>
    <row r="162" ht="14.25" spans="1:28">
      <c r="A162" s="13">
        <v>701</v>
      </c>
      <c r="B162" s="15">
        <v>14</v>
      </c>
      <c r="C162" s="16">
        <v>43</v>
      </c>
      <c r="D162" s="17" t="s">
        <v>1406</v>
      </c>
      <c r="E162" s="17" t="s">
        <v>1407</v>
      </c>
      <c r="F162" s="17">
        <v>98</v>
      </c>
      <c r="G162" s="17">
        <v>1207</v>
      </c>
      <c r="H162" s="17">
        <v>69</v>
      </c>
      <c r="I162" s="17">
        <v>1084</v>
      </c>
      <c r="J162" s="17">
        <v>105.5</v>
      </c>
      <c r="K162" s="17">
        <v>523</v>
      </c>
      <c r="L162" s="17"/>
      <c r="M162" s="17"/>
      <c r="N162" s="17">
        <v>54.5</v>
      </c>
      <c r="O162" s="17">
        <v>986</v>
      </c>
      <c r="P162" s="17"/>
      <c r="Q162" s="17"/>
      <c r="R162" s="17"/>
      <c r="S162" s="17"/>
      <c r="T162" s="17">
        <v>78</v>
      </c>
      <c r="U162" s="17">
        <v>1003</v>
      </c>
      <c r="V162" s="17">
        <v>79</v>
      </c>
      <c r="W162" s="17">
        <v>194</v>
      </c>
      <c r="X162" s="15">
        <v>272.5</v>
      </c>
      <c r="Y162" s="17">
        <v>162</v>
      </c>
      <c r="Z162" s="17">
        <v>484</v>
      </c>
      <c r="AA162" s="17">
        <v>731</v>
      </c>
      <c r="AB162" s="12">
        <f t="shared" si="2"/>
        <v>160</v>
      </c>
    </row>
    <row r="163" ht="14.25" spans="1:28">
      <c r="A163" s="13">
        <v>827</v>
      </c>
      <c r="B163" s="15">
        <v>18</v>
      </c>
      <c r="C163" s="16">
        <v>2</v>
      </c>
      <c r="D163" s="17" t="s">
        <v>1652</v>
      </c>
      <c r="E163" s="17" t="s">
        <v>1653</v>
      </c>
      <c r="F163" s="17">
        <v>100</v>
      </c>
      <c r="G163" s="17">
        <v>958</v>
      </c>
      <c r="H163" s="17">
        <v>105</v>
      </c>
      <c r="I163" s="17">
        <v>189</v>
      </c>
      <c r="J163" s="17">
        <v>79.5</v>
      </c>
      <c r="K163" s="17">
        <v>1718</v>
      </c>
      <c r="L163" s="17"/>
      <c r="M163" s="17"/>
      <c r="N163" s="17">
        <v>45.5</v>
      </c>
      <c r="O163" s="17">
        <v>2181</v>
      </c>
      <c r="P163" s="17"/>
      <c r="Q163" s="17"/>
      <c r="R163" s="17">
        <v>74</v>
      </c>
      <c r="S163" s="17">
        <v>916</v>
      </c>
      <c r="T163" s="17">
        <v>80</v>
      </c>
      <c r="U163" s="17">
        <v>854</v>
      </c>
      <c r="V163" s="17"/>
      <c r="W163" s="17"/>
      <c r="X163" s="15">
        <v>284.5</v>
      </c>
      <c r="Y163" s="17">
        <v>143</v>
      </c>
      <c r="Z163" s="17">
        <v>484</v>
      </c>
      <c r="AA163" s="17">
        <v>731</v>
      </c>
      <c r="AB163" s="12">
        <f t="shared" si="2"/>
        <v>160</v>
      </c>
    </row>
    <row r="164" ht="14.25" spans="1:28">
      <c r="A164" s="13">
        <v>733</v>
      </c>
      <c r="B164" s="15">
        <v>15</v>
      </c>
      <c r="C164" s="16">
        <v>33</v>
      </c>
      <c r="D164" s="17" t="s">
        <v>1468</v>
      </c>
      <c r="E164" s="17" t="s">
        <v>1469</v>
      </c>
      <c r="F164" s="17">
        <v>109.5</v>
      </c>
      <c r="G164" s="17">
        <v>183</v>
      </c>
      <c r="H164" s="17">
        <v>74</v>
      </c>
      <c r="I164" s="17">
        <v>917</v>
      </c>
      <c r="J164" s="17">
        <v>83.75</v>
      </c>
      <c r="K164" s="17">
        <v>1480</v>
      </c>
      <c r="L164" s="17"/>
      <c r="M164" s="17"/>
      <c r="N164" s="17">
        <v>56.5</v>
      </c>
      <c r="O164" s="17">
        <v>750</v>
      </c>
      <c r="P164" s="17"/>
      <c r="Q164" s="17"/>
      <c r="R164" s="17"/>
      <c r="S164" s="17"/>
      <c r="T164" s="17">
        <v>83</v>
      </c>
      <c r="U164" s="17">
        <v>616</v>
      </c>
      <c r="V164" s="17">
        <v>76</v>
      </c>
      <c r="W164" s="17">
        <v>263</v>
      </c>
      <c r="X164" s="15">
        <v>267.25</v>
      </c>
      <c r="Y164" s="17">
        <v>181</v>
      </c>
      <c r="Z164" s="17">
        <v>482.75</v>
      </c>
      <c r="AA164" s="17">
        <v>746</v>
      </c>
      <c r="AB164" s="12">
        <f t="shared" si="2"/>
        <v>162</v>
      </c>
    </row>
    <row r="165" ht="14.25" spans="1:28">
      <c r="A165" s="13">
        <v>729</v>
      </c>
      <c r="B165" s="15">
        <v>15</v>
      </c>
      <c r="C165" s="16">
        <v>29</v>
      </c>
      <c r="D165" s="17" t="s">
        <v>1460</v>
      </c>
      <c r="E165" s="17" t="s">
        <v>1461</v>
      </c>
      <c r="F165" s="17">
        <v>107.5</v>
      </c>
      <c r="G165" s="17">
        <v>270</v>
      </c>
      <c r="H165" s="17">
        <v>91</v>
      </c>
      <c r="I165" s="17">
        <v>467</v>
      </c>
      <c r="J165" s="17">
        <v>84.5</v>
      </c>
      <c r="K165" s="17">
        <v>1438</v>
      </c>
      <c r="L165" s="17"/>
      <c r="M165" s="17"/>
      <c r="N165" s="17">
        <v>42.5</v>
      </c>
      <c r="O165" s="17">
        <v>2603</v>
      </c>
      <c r="P165" s="17"/>
      <c r="Q165" s="17"/>
      <c r="R165" s="17"/>
      <c r="S165" s="17"/>
      <c r="T165" s="17">
        <v>83</v>
      </c>
      <c r="U165" s="17">
        <v>616</v>
      </c>
      <c r="V165" s="17">
        <v>74</v>
      </c>
      <c r="W165" s="17">
        <v>320</v>
      </c>
      <c r="X165" s="15">
        <v>283</v>
      </c>
      <c r="Y165" s="17">
        <v>145</v>
      </c>
      <c r="Z165" s="17">
        <v>482.5</v>
      </c>
      <c r="AA165" s="17">
        <v>747</v>
      </c>
      <c r="AB165" s="12">
        <f t="shared" si="2"/>
        <v>163</v>
      </c>
    </row>
    <row r="166" ht="14.25" spans="1:28">
      <c r="A166" s="13">
        <v>732</v>
      </c>
      <c r="B166" s="15">
        <v>15</v>
      </c>
      <c r="C166" s="16">
        <v>32</v>
      </c>
      <c r="D166" s="17" t="s">
        <v>1466</v>
      </c>
      <c r="E166" s="17" t="s">
        <v>1467</v>
      </c>
      <c r="F166" s="17">
        <v>92</v>
      </c>
      <c r="G166" s="17">
        <v>2049</v>
      </c>
      <c r="H166" s="17">
        <v>93</v>
      </c>
      <c r="I166" s="17">
        <v>412</v>
      </c>
      <c r="J166" s="17">
        <v>64</v>
      </c>
      <c r="K166" s="17">
        <v>2544</v>
      </c>
      <c r="L166" s="17"/>
      <c r="M166" s="17"/>
      <c r="N166" s="17">
        <v>56.5</v>
      </c>
      <c r="O166" s="17">
        <v>750</v>
      </c>
      <c r="P166" s="17"/>
      <c r="Q166" s="17"/>
      <c r="R166" s="17"/>
      <c r="S166" s="17"/>
      <c r="T166" s="17">
        <v>89</v>
      </c>
      <c r="U166" s="17">
        <v>137</v>
      </c>
      <c r="V166" s="17">
        <v>88</v>
      </c>
      <c r="W166" s="17">
        <v>30</v>
      </c>
      <c r="X166" s="15">
        <v>249</v>
      </c>
      <c r="Y166" s="17">
        <v>195</v>
      </c>
      <c r="Z166" s="17">
        <v>482.5</v>
      </c>
      <c r="AA166" s="17">
        <v>747</v>
      </c>
      <c r="AB166" s="12">
        <f t="shared" si="2"/>
        <v>163</v>
      </c>
    </row>
    <row r="167" ht="14.25" spans="1:28">
      <c r="A167" s="13">
        <v>865</v>
      </c>
      <c r="B167" s="15">
        <v>18</v>
      </c>
      <c r="C167" s="16">
        <v>51</v>
      </c>
      <c r="D167" s="17" t="s">
        <v>1728</v>
      </c>
      <c r="E167" s="17" t="s">
        <v>1729</v>
      </c>
      <c r="F167" s="17">
        <v>108</v>
      </c>
      <c r="G167" s="17">
        <v>247</v>
      </c>
      <c r="H167" s="17">
        <v>78.5</v>
      </c>
      <c r="I167" s="17">
        <v>791</v>
      </c>
      <c r="J167" s="17">
        <v>83.5</v>
      </c>
      <c r="K167" s="17">
        <v>1487</v>
      </c>
      <c r="L167" s="17"/>
      <c r="M167" s="17"/>
      <c r="N167" s="17">
        <v>52.5</v>
      </c>
      <c r="O167" s="17">
        <v>1205</v>
      </c>
      <c r="P167" s="17"/>
      <c r="Q167" s="17"/>
      <c r="R167" s="17">
        <v>82</v>
      </c>
      <c r="S167" s="17">
        <v>432</v>
      </c>
      <c r="T167" s="17">
        <v>78</v>
      </c>
      <c r="U167" s="17">
        <v>1003</v>
      </c>
      <c r="V167" s="17"/>
      <c r="W167" s="17"/>
      <c r="X167" s="15">
        <v>270</v>
      </c>
      <c r="Y167" s="17">
        <v>170</v>
      </c>
      <c r="Z167" s="17">
        <v>482.5</v>
      </c>
      <c r="AA167" s="17">
        <v>747</v>
      </c>
      <c r="AB167" s="12">
        <f t="shared" si="2"/>
        <v>163</v>
      </c>
    </row>
    <row r="168" ht="14.25" spans="1:28">
      <c r="A168" s="13">
        <v>744</v>
      </c>
      <c r="B168" s="15">
        <v>15</v>
      </c>
      <c r="C168" s="16">
        <v>44</v>
      </c>
      <c r="D168" s="17" t="s">
        <v>1490</v>
      </c>
      <c r="E168" s="17" t="s">
        <v>1491</v>
      </c>
      <c r="F168" s="17">
        <v>90</v>
      </c>
      <c r="G168" s="17">
        <v>2340</v>
      </c>
      <c r="H168" s="17">
        <v>90.5</v>
      </c>
      <c r="I168" s="17">
        <v>484</v>
      </c>
      <c r="J168" s="17">
        <v>101.5</v>
      </c>
      <c r="K168" s="17">
        <v>649</v>
      </c>
      <c r="L168" s="17"/>
      <c r="M168" s="17"/>
      <c r="N168" s="17">
        <v>54</v>
      </c>
      <c r="O168" s="17">
        <v>1056</v>
      </c>
      <c r="P168" s="17"/>
      <c r="Q168" s="17"/>
      <c r="R168" s="17"/>
      <c r="S168" s="17"/>
      <c r="T168" s="17">
        <v>78</v>
      </c>
      <c r="U168" s="17">
        <v>1003</v>
      </c>
      <c r="V168" s="17">
        <v>68</v>
      </c>
      <c r="W168" s="17">
        <v>527</v>
      </c>
      <c r="X168" s="15">
        <v>282</v>
      </c>
      <c r="Y168" s="17">
        <v>148</v>
      </c>
      <c r="Z168" s="17">
        <v>482</v>
      </c>
      <c r="AA168" s="17">
        <v>757</v>
      </c>
      <c r="AB168" s="12">
        <f t="shared" si="2"/>
        <v>166</v>
      </c>
    </row>
    <row r="169" ht="14.25" spans="1:28">
      <c r="A169" s="13">
        <v>727</v>
      </c>
      <c r="B169" s="15">
        <v>15</v>
      </c>
      <c r="C169" s="16">
        <v>26</v>
      </c>
      <c r="D169" s="17" t="s">
        <v>1456</v>
      </c>
      <c r="E169" s="17" t="s">
        <v>1457</v>
      </c>
      <c r="F169" s="17">
        <v>80.5</v>
      </c>
      <c r="G169" s="17">
        <v>3556</v>
      </c>
      <c r="H169" s="17">
        <v>87</v>
      </c>
      <c r="I169" s="17">
        <v>563</v>
      </c>
      <c r="J169" s="17">
        <v>99.25</v>
      </c>
      <c r="K169" s="17">
        <v>742</v>
      </c>
      <c r="L169" s="17"/>
      <c r="M169" s="17"/>
      <c r="N169" s="17">
        <v>59.5</v>
      </c>
      <c r="O169" s="17">
        <v>483</v>
      </c>
      <c r="P169" s="17"/>
      <c r="Q169" s="17"/>
      <c r="R169" s="17"/>
      <c r="S169" s="17"/>
      <c r="T169" s="17">
        <v>77</v>
      </c>
      <c r="U169" s="17">
        <v>1108</v>
      </c>
      <c r="V169" s="17">
        <v>78</v>
      </c>
      <c r="W169" s="17">
        <v>215</v>
      </c>
      <c r="X169" s="15">
        <v>266.75</v>
      </c>
      <c r="Y169" s="17">
        <v>183</v>
      </c>
      <c r="Z169" s="17">
        <v>481.25</v>
      </c>
      <c r="AA169" s="17">
        <v>762</v>
      </c>
      <c r="AB169" s="12">
        <f t="shared" si="2"/>
        <v>167</v>
      </c>
    </row>
    <row r="170" ht="14.25" spans="1:28">
      <c r="A170" s="13">
        <v>711</v>
      </c>
      <c r="B170" s="15">
        <v>15</v>
      </c>
      <c r="C170" s="16">
        <v>9</v>
      </c>
      <c r="D170" s="17" t="s">
        <v>1425</v>
      </c>
      <c r="E170" s="17" t="s">
        <v>1426</v>
      </c>
      <c r="F170" s="17">
        <v>98</v>
      </c>
      <c r="G170" s="17">
        <v>1207</v>
      </c>
      <c r="H170" s="17">
        <v>76.5</v>
      </c>
      <c r="I170" s="17">
        <v>846</v>
      </c>
      <c r="J170" s="17">
        <v>85.5</v>
      </c>
      <c r="K170" s="17">
        <v>1377</v>
      </c>
      <c r="L170" s="17"/>
      <c r="M170" s="17"/>
      <c r="N170" s="17">
        <v>56.5</v>
      </c>
      <c r="O170" s="17">
        <v>750</v>
      </c>
      <c r="P170" s="17"/>
      <c r="Q170" s="17"/>
      <c r="R170" s="17"/>
      <c r="S170" s="17"/>
      <c r="T170" s="17">
        <v>83</v>
      </c>
      <c r="U170" s="17">
        <v>616</v>
      </c>
      <c r="V170" s="17">
        <v>81</v>
      </c>
      <c r="W170" s="17">
        <v>135</v>
      </c>
      <c r="X170" s="15">
        <v>260</v>
      </c>
      <c r="Y170" s="17">
        <v>191</v>
      </c>
      <c r="Z170" s="17">
        <v>480.5</v>
      </c>
      <c r="AA170" s="17">
        <v>771</v>
      </c>
      <c r="AB170" s="12">
        <f t="shared" si="2"/>
        <v>168</v>
      </c>
    </row>
    <row r="171" ht="14.25" spans="1:28">
      <c r="A171" s="13">
        <v>699</v>
      </c>
      <c r="B171" s="15">
        <v>14</v>
      </c>
      <c r="C171" s="16">
        <v>41</v>
      </c>
      <c r="D171" s="17" t="s">
        <v>1402</v>
      </c>
      <c r="E171" s="17" t="s">
        <v>1403</v>
      </c>
      <c r="F171" s="17">
        <v>95.25</v>
      </c>
      <c r="G171" s="17">
        <v>1603</v>
      </c>
      <c r="H171" s="17">
        <v>77</v>
      </c>
      <c r="I171" s="17">
        <v>829</v>
      </c>
      <c r="J171" s="17">
        <v>105.25</v>
      </c>
      <c r="K171" s="17">
        <v>535</v>
      </c>
      <c r="L171" s="17"/>
      <c r="M171" s="17"/>
      <c r="N171" s="17">
        <v>52</v>
      </c>
      <c r="O171" s="17">
        <v>1281</v>
      </c>
      <c r="P171" s="17"/>
      <c r="Q171" s="17"/>
      <c r="R171" s="17"/>
      <c r="S171" s="17"/>
      <c r="T171" s="17">
        <v>82</v>
      </c>
      <c r="U171" s="17">
        <v>702</v>
      </c>
      <c r="V171" s="17">
        <v>68</v>
      </c>
      <c r="W171" s="17">
        <v>527</v>
      </c>
      <c r="X171" s="15">
        <v>277.5</v>
      </c>
      <c r="Y171" s="17">
        <v>153</v>
      </c>
      <c r="Z171" s="17">
        <v>479.5</v>
      </c>
      <c r="AA171" s="17">
        <v>781</v>
      </c>
      <c r="AB171" s="12">
        <f t="shared" si="2"/>
        <v>169</v>
      </c>
    </row>
    <row r="172" ht="14.25" spans="1:28">
      <c r="A172" s="13">
        <v>734</v>
      </c>
      <c r="B172" s="15">
        <v>15</v>
      </c>
      <c r="C172" s="16">
        <v>34</v>
      </c>
      <c r="D172" s="17" t="s">
        <v>1470</v>
      </c>
      <c r="E172" s="17" t="s">
        <v>1471</v>
      </c>
      <c r="F172" s="17">
        <v>99</v>
      </c>
      <c r="G172" s="17">
        <v>1072</v>
      </c>
      <c r="H172" s="17">
        <v>75</v>
      </c>
      <c r="I172" s="17">
        <v>883</v>
      </c>
      <c r="J172" s="17">
        <v>96</v>
      </c>
      <c r="K172" s="17">
        <v>882</v>
      </c>
      <c r="L172" s="17"/>
      <c r="M172" s="17"/>
      <c r="N172" s="17">
        <v>62</v>
      </c>
      <c r="O172" s="17">
        <v>315</v>
      </c>
      <c r="P172" s="17"/>
      <c r="Q172" s="17"/>
      <c r="R172" s="17"/>
      <c r="S172" s="17"/>
      <c r="T172" s="17">
        <v>73</v>
      </c>
      <c r="U172" s="17">
        <v>1447</v>
      </c>
      <c r="V172" s="17">
        <v>74</v>
      </c>
      <c r="W172" s="17">
        <v>320</v>
      </c>
      <c r="X172" s="15">
        <v>270</v>
      </c>
      <c r="Y172" s="17">
        <v>170</v>
      </c>
      <c r="Z172" s="17">
        <v>479</v>
      </c>
      <c r="AA172" s="17">
        <v>784</v>
      </c>
      <c r="AB172" s="12">
        <f t="shared" si="2"/>
        <v>170</v>
      </c>
    </row>
    <row r="173" ht="14.25" spans="1:28">
      <c r="A173" s="13">
        <v>742</v>
      </c>
      <c r="B173" s="15">
        <v>15</v>
      </c>
      <c r="C173" s="16">
        <v>42</v>
      </c>
      <c r="D173" s="17" t="s">
        <v>1486</v>
      </c>
      <c r="E173" s="17" t="s">
        <v>1487</v>
      </c>
      <c r="F173" s="17">
        <v>103.5</v>
      </c>
      <c r="G173" s="17">
        <v>577</v>
      </c>
      <c r="H173" s="17">
        <v>79.5</v>
      </c>
      <c r="I173" s="17">
        <v>762</v>
      </c>
      <c r="J173" s="17">
        <v>84.5</v>
      </c>
      <c r="K173" s="17">
        <v>1438</v>
      </c>
      <c r="L173" s="17"/>
      <c r="M173" s="17"/>
      <c r="N173" s="17">
        <v>59</v>
      </c>
      <c r="O173" s="17">
        <v>524</v>
      </c>
      <c r="P173" s="17"/>
      <c r="Q173" s="17"/>
      <c r="R173" s="17"/>
      <c r="S173" s="17"/>
      <c r="T173" s="17">
        <v>77</v>
      </c>
      <c r="U173" s="17">
        <v>1108</v>
      </c>
      <c r="V173" s="17">
        <v>73</v>
      </c>
      <c r="W173" s="17">
        <v>356</v>
      </c>
      <c r="X173" s="15">
        <v>267.5</v>
      </c>
      <c r="Y173" s="17">
        <v>179</v>
      </c>
      <c r="Z173" s="17">
        <v>476.5</v>
      </c>
      <c r="AA173" s="17">
        <v>815</v>
      </c>
      <c r="AB173" s="12">
        <f t="shared" si="2"/>
        <v>171</v>
      </c>
    </row>
    <row r="174" ht="14.25" spans="1:28">
      <c r="A174" s="13">
        <v>811</v>
      </c>
      <c r="B174" s="15">
        <v>17</v>
      </c>
      <c r="C174" s="16">
        <v>36</v>
      </c>
      <c r="D174" s="17" t="s">
        <v>1620</v>
      </c>
      <c r="E174" s="17" t="s">
        <v>1621</v>
      </c>
      <c r="F174" s="17">
        <v>110.5</v>
      </c>
      <c r="G174" s="17">
        <v>151</v>
      </c>
      <c r="H174" s="17">
        <v>74.5</v>
      </c>
      <c r="I174" s="17">
        <v>903</v>
      </c>
      <c r="J174" s="17">
        <v>84.5</v>
      </c>
      <c r="K174" s="17">
        <v>1438</v>
      </c>
      <c r="L174" s="17"/>
      <c r="M174" s="17"/>
      <c r="N174" s="17">
        <v>61.5</v>
      </c>
      <c r="O174" s="17">
        <v>347</v>
      </c>
      <c r="P174" s="17"/>
      <c r="Q174" s="17"/>
      <c r="R174" s="17">
        <v>65</v>
      </c>
      <c r="S174" s="17">
        <v>1510</v>
      </c>
      <c r="T174" s="17">
        <v>80</v>
      </c>
      <c r="U174" s="17">
        <v>854</v>
      </c>
      <c r="V174" s="17"/>
      <c r="W174" s="17"/>
      <c r="X174" s="15">
        <v>269.5</v>
      </c>
      <c r="Y174" s="17">
        <v>175</v>
      </c>
      <c r="Z174" s="17">
        <v>476</v>
      </c>
      <c r="AA174" s="17">
        <v>820</v>
      </c>
      <c r="AB174" s="12">
        <f t="shared" si="2"/>
        <v>172</v>
      </c>
    </row>
    <row r="175" ht="14.25" spans="1:28">
      <c r="A175" s="13">
        <v>835</v>
      </c>
      <c r="B175" s="15">
        <v>18</v>
      </c>
      <c r="C175" s="16">
        <v>13</v>
      </c>
      <c r="D175" s="17" t="s">
        <v>1668</v>
      </c>
      <c r="E175" s="17" t="s">
        <v>1669</v>
      </c>
      <c r="F175" s="17">
        <v>100</v>
      </c>
      <c r="G175" s="17">
        <v>958</v>
      </c>
      <c r="H175" s="17">
        <v>95.5</v>
      </c>
      <c r="I175" s="17">
        <v>360</v>
      </c>
      <c r="J175" s="17">
        <v>98.75</v>
      </c>
      <c r="K175" s="17">
        <v>765</v>
      </c>
      <c r="L175" s="17"/>
      <c r="M175" s="17"/>
      <c r="N175" s="17">
        <v>36.5</v>
      </c>
      <c r="O175" s="17">
        <v>3346</v>
      </c>
      <c r="P175" s="17"/>
      <c r="Q175" s="17"/>
      <c r="R175" s="17">
        <v>75</v>
      </c>
      <c r="S175" s="17">
        <v>873</v>
      </c>
      <c r="T175" s="17">
        <v>69</v>
      </c>
      <c r="U175" s="17">
        <v>1773</v>
      </c>
      <c r="V175" s="17"/>
      <c r="W175" s="17"/>
      <c r="X175" s="15">
        <v>294.25</v>
      </c>
      <c r="Y175" s="17">
        <v>118</v>
      </c>
      <c r="Z175" s="17">
        <v>474.75</v>
      </c>
      <c r="AA175" s="17">
        <v>841</v>
      </c>
      <c r="AB175" s="12">
        <f t="shared" si="2"/>
        <v>173</v>
      </c>
    </row>
    <row r="176" ht="14.25" spans="1:28">
      <c r="A176" s="13">
        <v>810</v>
      </c>
      <c r="B176" s="15">
        <v>17</v>
      </c>
      <c r="C176" s="16">
        <v>35</v>
      </c>
      <c r="D176" s="17" t="s">
        <v>1618</v>
      </c>
      <c r="E176" s="17" t="s">
        <v>1619</v>
      </c>
      <c r="F176" s="17">
        <v>103.25</v>
      </c>
      <c r="G176" s="17">
        <v>620</v>
      </c>
      <c r="H176" s="17">
        <v>78</v>
      </c>
      <c r="I176" s="17">
        <v>802</v>
      </c>
      <c r="J176" s="17">
        <v>81</v>
      </c>
      <c r="K176" s="17">
        <v>1629</v>
      </c>
      <c r="L176" s="17"/>
      <c r="M176" s="17"/>
      <c r="N176" s="17">
        <v>62</v>
      </c>
      <c r="O176" s="17">
        <v>315</v>
      </c>
      <c r="P176" s="17"/>
      <c r="Q176" s="17"/>
      <c r="R176" s="17">
        <v>79</v>
      </c>
      <c r="S176" s="17">
        <v>590</v>
      </c>
      <c r="T176" s="17">
        <v>70</v>
      </c>
      <c r="U176" s="17">
        <v>1710</v>
      </c>
      <c r="V176" s="17"/>
      <c r="W176" s="17"/>
      <c r="X176" s="15">
        <v>262.25</v>
      </c>
      <c r="Y176" s="17">
        <v>189</v>
      </c>
      <c r="Z176" s="17">
        <v>473.25</v>
      </c>
      <c r="AA176" s="17">
        <v>857</v>
      </c>
      <c r="AB176" s="12">
        <f t="shared" si="2"/>
        <v>174</v>
      </c>
    </row>
    <row r="177" ht="14.25" spans="1:28">
      <c r="A177" s="13">
        <v>720</v>
      </c>
      <c r="B177" s="15">
        <v>15</v>
      </c>
      <c r="C177" s="16">
        <v>19</v>
      </c>
      <c r="D177" s="17" t="s">
        <v>1443</v>
      </c>
      <c r="E177" s="17" t="s">
        <v>1444</v>
      </c>
      <c r="F177" s="17">
        <v>95.25</v>
      </c>
      <c r="G177" s="17">
        <v>1603</v>
      </c>
      <c r="H177" s="17">
        <v>63</v>
      </c>
      <c r="I177" s="17">
        <v>1301</v>
      </c>
      <c r="J177" s="17">
        <v>92.75</v>
      </c>
      <c r="K177" s="17">
        <v>1021</v>
      </c>
      <c r="L177" s="17"/>
      <c r="M177" s="17"/>
      <c r="N177" s="17">
        <v>41</v>
      </c>
      <c r="O177" s="17">
        <v>2816</v>
      </c>
      <c r="P177" s="17"/>
      <c r="Q177" s="17"/>
      <c r="R177" s="17"/>
      <c r="S177" s="17"/>
      <c r="T177" s="17">
        <v>89</v>
      </c>
      <c r="U177" s="17">
        <v>137</v>
      </c>
      <c r="V177" s="17">
        <v>91</v>
      </c>
      <c r="W177" s="17">
        <v>9</v>
      </c>
      <c r="X177" s="15">
        <v>251</v>
      </c>
      <c r="Y177" s="17">
        <v>193</v>
      </c>
      <c r="Z177" s="17">
        <v>472</v>
      </c>
      <c r="AA177" s="17">
        <v>870</v>
      </c>
      <c r="AB177" s="12">
        <f t="shared" si="2"/>
        <v>175</v>
      </c>
    </row>
    <row r="178" ht="14.25" spans="1:28">
      <c r="A178" s="13">
        <v>697</v>
      </c>
      <c r="B178" s="15">
        <v>14</v>
      </c>
      <c r="C178" s="16">
        <v>39</v>
      </c>
      <c r="D178" s="17" t="s">
        <v>1398</v>
      </c>
      <c r="E178" s="17" t="s">
        <v>1399</v>
      </c>
      <c r="F178" s="17">
        <v>108.25</v>
      </c>
      <c r="G178" s="17">
        <v>241</v>
      </c>
      <c r="H178" s="17">
        <v>57</v>
      </c>
      <c r="I178" s="17">
        <v>1510</v>
      </c>
      <c r="J178" s="17">
        <v>104.5</v>
      </c>
      <c r="K178" s="17">
        <v>556</v>
      </c>
      <c r="L178" s="17"/>
      <c r="M178" s="17"/>
      <c r="N178" s="17">
        <v>52</v>
      </c>
      <c r="O178" s="17">
        <v>1281</v>
      </c>
      <c r="P178" s="17"/>
      <c r="Q178" s="17"/>
      <c r="R178" s="17"/>
      <c r="S178" s="17"/>
      <c r="T178" s="17">
        <v>80</v>
      </c>
      <c r="U178" s="17">
        <v>854</v>
      </c>
      <c r="V178" s="17">
        <v>70</v>
      </c>
      <c r="W178" s="17">
        <v>457</v>
      </c>
      <c r="X178" s="15">
        <v>269.75</v>
      </c>
      <c r="Y178" s="17">
        <v>173</v>
      </c>
      <c r="Z178" s="17">
        <v>471.75</v>
      </c>
      <c r="AA178" s="17">
        <v>872</v>
      </c>
      <c r="AB178" s="12">
        <f t="shared" si="2"/>
        <v>176</v>
      </c>
    </row>
    <row r="179" ht="14.25" spans="1:28">
      <c r="A179" s="13">
        <v>731</v>
      </c>
      <c r="B179" s="15">
        <v>15</v>
      </c>
      <c r="C179" s="16">
        <v>31</v>
      </c>
      <c r="D179" s="17" t="s">
        <v>1464</v>
      </c>
      <c r="E179" s="17" t="s">
        <v>1465</v>
      </c>
      <c r="F179" s="17">
        <v>101.5</v>
      </c>
      <c r="G179" s="17">
        <v>805</v>
      </c>
      <c r="H179" s="17">
        <v>65.5</v>
      </c>
      <c r="I179" s="17">
        <v>1198</v>
      </c>
      <c r="J179" s="17">
        <v>109.25</v>
      </c>
      <c r="K179" s="17">
        <v>417</v>
      </c>
      <c r="L179" s="17"/>
      <c r="M179" s="17"/>
      <c r="N179" s="17">
        <v>57.5</v>
      </c>
      <c r="O179" s="17">
        <v>638</v>
      </c>
      <c r="P179" s="17"/>
      <c r="Q179" s="17"/>
      <c r="R179" s="17"/>
      <c r="S179" s="17"/>
      <c r="T179" s="17">
        <v>68</v>
      </c>
      <c r="U179" s="17">
        <v>1886</v>
      </c>
      <c r="V179" s="17">
        <v>69</v>
      </c>
      <c r="W179" s="17">
        <v>478</v>
      </c>
      <c r="X179" s="15">
        <v>276.25</v>
      </c>
      <c r="Y179" s="17">
        <v>156</v>
      </c>
      <c r="Z179" s="17">
        <v>470.75</v>
      </c>
      <c r="AA179" s="17">
        <v>881</v>
      </c>
      <c r="AB179" s="12">
        <f t="shared" si="2"/>
        <v>177</v>
      </c>
    </row>
    <row r="180" ht="14.25" spans="1:28">
      <c r="A180" s="13">
        <v>686</v>
      </c>
      <c r="B180" s="15">
        <v>14</v>
      </c>
      <c r="C180" s="16">
        <v>27</v>
      </c>
      <c r="D180" s="17" t="s">
        <v>1378</v>
      </c>
      <c r="E180" s="17" t="s">
        <v>1379</v>
      </c>
      <c r="F180" s="17">
        <v>98.5</v>
      </c>
      <c r="G180" s="17">
        <v>1145</v>
      </c>
      <c r="H180" s="17">
        <v>106</v>
      </c>
      <c r="I180" s="17">
        <v>175</v>
      </c>
      <c r="J180" s="17">
        <v>78</v>
      </c>
      <c r="K180" s="17">
        <v>1799</v>
      </c>
      <c r="L180" s="17"/>
      <c r="M180" s="17"/>
      <c r="N180" s="17">
        <v>51.5</v>
      </c>
      <c r="O180" s="17">
        <v>1342</v>
      </c>
      <c r="P180" s="17"/>
      <c r="Q180" s="17"/>
      <c r="R180" s="17"/>
      <c r="S180" s="17"/>
      <c r="T180" s="17">
        <v>72</v>
      </c>
      <c r="U180" s="17">
        <v>1556</v>
      </c>
      <c r="V180" s="17">
        <v>64</v>
      </c>
      <c r="W180" s="17">
        <v>690</v>
      </c>
      <c r="X180" s="15">
        <v>282.5</v>
      </c>
      <c r="Y180" s="17">
        <v>147</v>
      </c>
      <c r="Z180" s="17">
        <v>470</v>
      </c>
      <c r="AA180" s="17">
        <v>888</v>
      </c>
      <c r="AB180" s="12">
        <f t="shared" si="2"/>
        <v>178</v>
      </c>
    </row>
    <row r="181" ht="14.25" spans="1:28">
      <c r="A181" s="13">
        <v>745</v>
      </c>
      <c r="B181" s="15">
        <v>15</v>
      </c>
      <c r="C181" s="16">
        <v>45</v>
      </c>
      <c r="D181" s="17" t="s">
        <v>1492</v>
      </c>
      <c r="E181" s="17" t="s">
        <v>1493</v>
      </c>
      <c r="F181" s="17">
        <v>97.5</v>
      </c>
      <c r="G181" s="17">
        <v>1268</v>
      </c>
      <c r="H181" s="17">
        <v>81</v>
      </c>
      <c r="I181" s="17">
        <v>717</v>
      </c>
      <c r="J181" s="17">
        <v>85</v>
      </c>
      <c r="K181" s="17">
        <v>1406</v>
      </c>
      <c r="L181" s="17"/>
      <c r="M181" s="17"/>
      <c r="N181" s="17">
        <v>52.5</v>
      </c>
      <c r="O181" s="17">
        <v>1205</v>
      </c>
      <c r="P181" s="17"/>
      <c r="Q181" s="17"/>
      <c r="R181" s="17"/>
      <c r="S181" s="17"/>
      <c r="T181" s="17">
        <v>80</v>
      </c>
      <c r="U181" s="17">
        <v>854</v>
      </c>
      <c r="V181" s="17">
        <v>74</v>
      </c>
      <c r="W181" s="17">
        <v>320</v>
      </c>
      <c r="X181" s="15">
        <v>263.5</v>
      </c>
      <c r="Y181" s="17">
        <v>188</v>
      </c>
      <c r="Z181" s="17">
        <v>470</v>
      </c>
      <c r="AA181" s="17">
        <v>888</v>
      </c>
      <c r="AB181" s="12">
        <f t="shared" si="2"/>
        <v>178</v>
      </c>
    </row>
    <row r="182" ht="14.25" spans="1:28">
      <c r="A182" s="13">
        <v>864</v>
      </c>
      <c r="B182" s="15">
        <v>18</v>
      </c>
      <c r="C182" s="16">
        <v>48</v>
      </c>
      <c r="D182" s="17" t="s">
        <v>1726</v>
      </c>
      <c r="E182" s="17" t="s">
        <v>1727</v>
      </c>
      <c r="F182" s="17">
        <v>98.25</v>
      </c>
      <c r="G182" s="17">
        <v>1200</v>
      </c>
      <c r="H182" s="17">
        <v>87.5</v>
      </c>
      <c r="I182" s="17">
        <v>551</v>
      </c>
      <c r="J182" s="17">
        <v>82.75</v>
      </c>
      <c r="K182" s="17">
        <v>1536</v>
      </c>
      <c r="L182" s="17"/>
      <c r="M182" s="17"/>
      <c r="N182" s="17">
        <v>52.5</v>
      </c>
      <c r="O182" s="17">
        <v>1205</v>
      </c>
      <c r="P182" s="17"/>
      <c r="Q182" s="17"/>
      <c r="R182" s="17">
        <v>80</v>
      </c>
      <c r="S182" s="17">
        <v>535</v>
      </c>
      <c r="T182" s="17">
        <v>68</v>
      </c>
      <c r="U182" s="17">
        <v>1886</v>
      </c>
      <c r="V182" s="17"/>
      <c r="W182" s="17"/>
      <c r="X182" s="15">
        <v>268.5</v>
      </c>
      <c r="Y182" s="17">
        <v>177</v>
      </c>
      <c r="Z182" s="17">
        <v>469</v>
      </c>
      <c r="AA182" s="17">
        <v>897</v>
      </c>
      <c r="AB182" s="12">
        <f t="shared" si="2"/>
        <v>180</v>
      </c>
    </row>
    <row r="183" ht="14.25" spans="1:28">
      <c r="A183" s="13">
        <v>856</v>
      </c>
      <c r="B183" s="15">
        <v>18</v>
      </c>
      <c r="C183" s="16">
        <v>39</v>
      </c>
      <c r="D183" s="17" t="s">
        <v>1710</v>
      </c>
      <c r="E183" s="17" t="s">
        <v>1711</v>
      </c>
      <c r="F183" s="17">
        <v>98.5</v>
      </c>
      <c r="G183" s="17">
        <v>1145</v>
      </c>
      <c r="H183" s="17">
        <v>77.5</v>
      </c>
      <c r="I183" s="17">
        <v>817</v>
      </c>
      <c r="J183" s="17">
        <v>93.75</v>
      </c>
      <c r="K183" s="17">
        <v>986</v>
      </c>
      <c r="L183" s="17"/>
      <c r="M183" s="17"/>
      <c r="N183" s="17">
        <v>53</v>
      </c>
      <c r="O183" s="17">
        <v>1155</v>
      </c>
      <c r="P183" s="17"/>
      <c r="Q183" s="17"/>
      <c r="R183" s="17">
        <v>65</v>
      </c>
      <c r="S183" s="17">
        <v>1510</v>
      </c>
      <c r="T183" s="17">
        <v>81</v>
      </c>
      <c r="U183" s="17">
        <v>808</v>
      </c>
      <c r="V183" s="17"/>
      <c r="W183" s="17"/>
      <c r="X183" s="15">
        <v>269.75</v>
      </c>
      <c r="Y183" s="17">
        <v>173</v>
      </c>
      <c r="Z183" s="17">
        <v>468.75</v>
      </c>
      <c r="AA183" s="17">
        <v>903</v>
      </c>
      <c r="AB183" s="12">
        <f t="shared" si="2"/>
        <v>181</v>
      </c>
    </row>
    <row r="184" ht="14.25" spans="1:28">
      <c r="A184" s="13">
        <v>855</v>
      </c>
      <c r="B184" s="15">
        <v>18</v>
      </c>
      <c r="C184" s="16">
        <v>38</v>
      </c>
      <c r="D184" s="17" t="s">
        <v>1708</v>
      </c>
      <c r="E184" s="17" t="s">
        <v>1709</v>
      </c>
      <c r="F184" s="17">
        <v>94</v>
      </c>
      <c r="G184" s="17">
        <v>1750</v>
      </c>
      <c r="H184" s="17">
        <v>72</v>
      </c>
      <c r="I184" s="17">
        <v>976</v>
      </c>
      <c r="J184" s="17">
        <v>98.5</v>
      </c>
      <c r="K184" s="17">
        <v>774</v>
      </c>
      <c r="L184" s="17"/>
      <c r="M184" s="17"/>
      <c r="N184" s="17">
        <v>54.5</v>
      </c>
      <c r="O184" s="17">
        <v>986</v>
      </c>
      <c r="P184" s="17"/>
      <c r="Q184" s="17"/>
      <c r="R184" s="17">
        <v>76</v>
      </c>
      <c r="S184" s="17">
        <v>788</v>
      </c>
      <c r="T184" s="17">
        <v>73</v>
      </c>
      <c r="U184" s="17">
        <v>1447</v>
      </c>
      <c r="V184" s="17"/>
      <c r="W184" s="17"/>
      <c r="X184" s="15">
        <v>264.5</v>
      </c>
      <c r="Y184" s="17">
        <v>187</v>
      </c>
      <c r="Z184" s="17">
        <v>468</v>
      </c>
      <c r="AA184" s="17">
        <v>909</v>
      </c>
      <c r="AB184" s="12">
        <f t="shared" si="2"/>
        <v>182</v>
      </c>
    </row>
    <row r="185" ht="14.25" spans="1:28">
      <c r="A185" s="13">
        <v>672</v>
      </c>
      <c r="B185" s="15">
        <v>14</v>
      </c>
      <c r="C185" s="16">
        <v>12</v>
      </c>
      <c r="D185" s="17" t="s">
        <v>1350</v>
      </c>
      <c r="E185" s="17" t="s">
        <v>1351</v>
      </c>
      <c r="F185" s="17">
        <v>97</v>
      </c>
      <c r="G185" s="17">
        <v>1332</v>
      </c>
      <c r="H185" s="17">
        <v>74.5</v>
      </c>
      <c r="I185" s="17">
        <v>903</v>
      </c>
      <c r="J185" s="17">
        <v>94</v>
      </c>
      <c r="K185" s="17">
        <v>963</v>
      </c>
      <c r="L185" s="17"/>
      <c r="M185" s="17"/>
      <c r="N185" s="17">
        <v>58.5</v>
      </c>
      <c r="O185" s="17">
        <v>550</v>
      </c>
      <c r="P185" s="17"/>
      <c r="Q185" s="17"/>
      <c r="R185" s="17"/>
      <c r="S185" s="17"/>
      <c r="T185" s="17">
        <v>65</v>
      </c>
      <c r="U185" s="17">
        <v>2190</v>
      </c>
      <c r="V185" s="17">
        <v>74</v>
      </c>
      <c r="W185" s="17">
        <v>320</v>
      </c>
      <c r="X185" s="15">
        <v>265.5</v>
      </c>
      <c r="Y185" s="17">
        <v>186</v>
      </c>
      <c r="Z185" s="17">
        <v>463</v>
      </c>
      <c r="AA185" s="17">
        <v>961</v>
      </c>
      <c r="AB185" s="12">
        <f t="shared" si="2"/>
        <v>183</v>
      </c>
    </row>
    <row r="186" ht="14.25" spans="1:28">
      <c r="A186" s="13">
        <v>809</v>
      </c>
      <c r="B186" s="15">
        <v>17</v>
      </c>
      <c r="C186" s="16">
        <v>33</v>
      </c>
      <c r="D186" s="17" t="s">
        <v>1616</v>
      </c>
      <c r="E186" s="17" t="s">
        <v>1617</v>
      </c>
      <c r="F186" s="17">
        <v>97</v>
      </c>
      <c r="G186" s="17">
        <v>1332</v>
      </c>
      <c r="H186" s="17">
        <v>94</v>
      </c>
      <c r="I186" s="17">
        <v>391</v>
      </c>
      <c r="J186" s="17">
        <v>85.25</v>
      </c>
      <c r="K186" s="17">
        <v>1399</v>
      </c>
      <c r="L186" s="17"/>
      <c r="M186" s="17"/>
      <c r="N186" s="17">
        <v>49</v>
      </c>
      <c r="O186" s="17">
        <v>1682</v>
      </c>
      <c r="P186" s="17"/>
      <c r="Q186" s="17"/>
      <c r="R186" s="17">
        <v>68</v>
      </c>
      <c r="S186" s="17">
        <v>1296</v>
      </c>
      <c r="T186" s="17">
        <v>69</v>
      </c>
      <c r="U186" s="17">
        <v>1773</v>
      </c>
      <c r="V186" s="17"/>
      <c r="W186" s="17"/>
      <c r="X186" s="15">
        <v>276.25</v>
      </c>
      <c r="Y186" s="17">
        <v>156</v>
      </c>
      <c r="Z186" s="17">
        <v>462.25</v>
      </c>
      <c r="AA186" s="17">
        <v>975</v>
      </c>
      <c r="AB186" s="12">
        <f t="shared" si="2"/>
        <v>184</v>
      </c>
    </row>
    <row r="187" ht="14.25" spans="1:28">
      <c r="A187" s="13">
        <v>857</v>
      </c>
      <c r="B187" s="15">
        <v>18</v>
      </c>
      <c r="C187" s="16">
        <v>40</v>
      </c>
      <c r="D187" s="17" t="s">
        <v>1712</v>
      </c>
      <c r="E187" s="17" t="s">
        <v>1713</v>
      </c>
      <c r="F187" s="17">
        <v>104.5</v>
      </c>
      <c r="G187" s="17">
        <v>475</v>
      </c>
      <c r="H187" s="17">
        <v>83.5</v>
      </c>
      <c r="I187" s="17">
        <v>651</v>
      </c>
      <c r="J187" s="17">
        <v>82.5</v>
      </c>
      <c r="K187" s="17">
        <v>1545</v>
      </c>
      <c r="L187" s="17"/>
      <c r="M187" s="17"/>
      <c r="N187" s="17">
        <v>51.5</v>
      </c>
      <c r="O187" s="17">
        <v>1342</v>
      </c>
      <c r="P187" s="17"/>
      <c r="Q187" s="17"/>
      <c r="R187" s="17">
        <v>65</v>
      </c>
      <c r="S187" s="17">
        <v>1510</v>
      </c>
      <c r="T187" s="17">
        <v>75</v>
      </c>
      <c r="U187" s="17">
        <v>1272</v>
      </c>
      <c r="V187" s="17"/>
      <c r="W187" s="17"/>
      <c r="X187" s="15">
        <v>270.5</v>
      </c>
      <c r="Y187" s="17">
        <v>169</v>
      </c>
      <c r="Z187" s="17">
        <v>462</v>
      </c>
      <c r="AA187" s="17">
        <v>976</v>
      </c>
      <c r="AB187" s="12">
        <f t="shared" si="2"/>
        <v>185</v>
      </c>
    </row>
    <row r="188" ht="14.25" spans="1:28">
      <c r="A188" s="13">
        <v>820</v>
      </c>
      <c r="B188" s="15">
        <v>17</v>
      </c>
      <c r="C188" s="16">
        <v>47</v>
      </c>
      <c r="D188" s="17" t="s">
        <v>1638</v>
      </c>
      <c r="E188" s="17" t="s">
        <v>1639</v>
      </c>
      <c r="F188" s="17">
        <v>96.25</v>
      </c>
      <c r="G188" s="17">
        <v>1467</v>
      </c>
      <c r="H188" s="17">
        <v>68.5</v>
      </c>
      <c r="I188" s="17">
        <v>1098</v>
      </c>
      <c r="J188" s="17">
        <v>107.5</v>
      </c>
      <c r="K188" s="17">
        <v>469</v>
      </c>
      <c r="L188" s="17"/>
      <c r="M188" s="17"/>
      <c r="N188" s="17">
        <v>48.5</v>
      </c>
      <c r="O188" s="17">
        <v>1763</v>
      </c>
      <c r="P188" s="17"/>
      <c r="Q188" s="17"/>
      <c r="R188" s="17">
        <v>71</v>
      </c>
      <c r="S188" s="17">
        <v>1117</v>
      </c>
      <c r="T188" s="17">
        <v>69</v>
      </c>
      <c r="U188" s="17">
        <v>1773</v>
      </c>
      <c r="V188" s="17"/>
      <c r="W188" s="17"/>
      <c r="X188" s="15">
        <v>272.25</v>
      </c>
      <c r="Y188" s="17">
        <v>165</v>
      </c>
      <c r="Z188" s="17">
        <v>460.75</v>
      </c>
      <c r="AA188" s="17">
        <v>999</v>
      </c>
      <c r="AB188" s="12">
        <f t="shared" si="2"/>
        <v>186</v>
      </c>
    </row>
    <row r="189" ht="14.25" spans="1:28">
      <c r="A189" s="13">
        <v>839</v>
      </c>
      <c r="B189" s="15">
        <v>18</v>
      </c>
      <c r="C189" s="16">
        <v>19</v>
      </c>
      <c r="D189" s="17" t="s">
        <v>1676</v>
      </c>
      <c r="E189" s="17" t="s">
        <v>1677</v>
      </c>
      <c r="F189" s="17">
        <v>105</v>
      </c>
      <c r="G189" s="17">
        <v>437</v>
      </c>
      <c r="H189" s="17">
        <v>57.5</v>
      </c>
      <c r="I189" s="17">
        <v>1493</v>
      </c>
      <c r="J189" s="17">
        <v>105.25</v>
      </c>
      <c r="K189" s="17">
        <v>535</v>
      </c>
      <c r="L189" s="17"/>
      <c r="M189" s="17"/>
      <c r="N189" s="17">
        <v>47.5</v>
      </c>
      <c r="O189" s="17">
        <v>1909</v>
      </c>
      <c r="P189" s="17"/>
      <c r="Q189" s="17"/>
      <c r="R189" s="17">
        <v>76</v>
      </c>
      <c r="S189" s="17">
        <v>788</v>
      </c>
      <c r="T189" s="17">
        <v>65</v>
      </c>
      <c r="U189" s="17">
        <v>2190</v>
      </c>
      <c r="V189" s="17"/>
      <c r="W189" s="17"/>
      <c r="X189" s="15">
        <v>267.75</v>
      </c>
      <c r="Y189" s="17">
        <v>178</v>
      </c>
      <c r="Z189" s="17">
        <v>456.25</v>
      </c>
      <c r="AA189" s="17">
        <v>1065</v>
      </c>
      <c r="AB189" s="12">
        <f t="shared" si="2"/>
        <v>187</v>
      </c>
    </row>
    <row r="190" ht="14.25" spans="1:28">
      <c r="A190" s="13">
        <v>696</v>
      </c>
      <c r="B190" s="15">
        <v>14</v>
      </c>
      <c r="C190" s="16">
        <v>38</v>
      </c>
      <c r="D190" s="17" t="s">
        <v>1397</v>
      </c>
      <c r="E190" s="17" t="s">
        <v>95</v>
      </c>
      <c r="F190" s="17">
        <v>106</v>
      </c>
      <c r="G190" s="17">
        <v>367</v>
      </c>
      <c r="H190" s="17">
        <v>90.5</v>
      </c>
      <c r="I190" s="17">
        <v>484</v>
      </c>
      <c r="J190" s="17">
        <v>82</v>
      </c>
      <c r="K190" s="17">
        <v>1576</v>
      </c>
      <c r="L190" s="17"/>
      <c r="M190" s="17"/>
      <c r="N190" s="17">
        <v>54.5</v>
      </c>
      <c r="O190" s="17">
        <v>986</v>
      </c>
      <c r="P190" s="17"/>
      <c r="Q190" s="17"/>
      <c r="R190" s="17"/>
      <c r="S190" s="17"/>
      <c r="T190" s="17">
        <v>61</v>
      </c>
      <c r="U190" s="17">
        <v>2565</v>
      </c>
      <c r="V190" s="17">
        <v>62</v>
      </c>
      <c r="W190" s="17">
        <v>766</v>
      </c>
      <c r="X190" s="15">
        <v>278.5</v>
      </c>
      <c r="Y190" s="17">
        <v>152</v>
      </c>
      <c r="Z190" s="17">
        <v>456</v>
      </c>
      <c r="AA190" s="17">
        <v>1067</v>
      </c>
      <c r="AB190" s="12">
        <f t="shared" si="2"/>
        <v>188</v>
      </c>
    </row>
    <row r="191" ht="14.25" spans="1:28">
      <c r="A191" s="13">
        <v>669</v>
      </c>
      <c r="B191" s="15">
        <v>14</v>
      </c>
      <c r="C191" s="16">
        <v>8</v>
      </c>
      <c r="D191" s="17" t="s">
        <v>1344</v>
      </c>
      <c r="E191" s="17" t="s">
        <v>1345</v>
      </c>
      <c r="F191" s="17">
        <v>88.5</v>
      </c>
      <c r="G191" s="17">
        <v>2571</v>
      </c>
      <c r="H191" s="17">
        <v>69.5</v>
      </c>
      <c r="I191" s="17">
        <v>1066</v>
      </c>
      <c r="J191" s="17">
        <v>88.5</v>
      </c>
      <c r="K191" s="17">
        <v>1209</v>
      </c>
      <c r="L191" s="17"/>
      <c r="M191" s="17"/>
      <c r="N191" s="17">
        <v>61</v>
      </c>
      <c r="O191" s="17">
        <v>392</v>
      </c>
      <c r="P191" s="17"/>
      <c r="Q191" s="17"/>
      <c r="R191" s="17"/>
      <c r="S191" s="17"/>
      <c r="T191" s="17">
        <v>82</v>
      </c>
      <c r="U191" s="17">
        <v>702</v>
      </c>
      <c r="V191" s="17">
        <v>66</v>
      </c>
      <c r="W191" s="17">
        <v>594</v>
      </c>
      <c r="X191" s="15">
        <v>246.5</v>
      </c>
      <c r="Y191" s="17">
        <v>197</v>
      </c>
      <c r="Z191" s="17">
        <v>455.5</v>
      </c>
      <c r="AA191" s="17">
        <v>1073</v>
      </c>
      <c r="AB191" s="12">
        <f t="shared" si="2"/>
        <v>189</v>
      </c>
    </row>
    <row r="192" ht="14.25" spans="1:28">
      <c r="A192" s="13">
        <v>824</v>
      </c>
      <c r="B192" s="15">
        <v>17</v>
      </c>
      <c r="C192" s="16">
        <v>53</v>
      </c>
      <c r="D192" s="17" t="s">
        <v>1646</v>
      </c>
      <c r="E192" s="17" t="s">
        <v>1647</v>
      </c>
      <c r="F192" s="17">
        <v>87.5</v>
      </c>
      <c r="G192" s="17">
        <v>2724</v>
      </c>
      <c r="H192" s="17">
        <v>73</v>
      </c>
      <c r="I192" s="17">
        <v>950</v>
      </c>
      <c r="J192" s="17">
        <v>91.75</v>
      </c>
      <c r="K192" s="17">
        <v>1069</v>
      </c>
      <c r="L192" s="17"/>
      <c r="M192" s="17"/>
      <c r="N192" s="17">
        <v>49</v>
      </c>
      <c r="O192" s="17">
        <v>1682</v>
      </c>
      <c r="P192" s="17"/>
      <c r="Q192" s="17"/>
      <c r="R192" s="17">
        <v>67</v>
      </c>
      <c r="S192" s="17">
        <v>1346</v>
      </c>
      <c r="T192" s="17">
        <v>84</v>
      </c>
      <c r="U192" s="17">
        <v>578</v>
      </c>
      <c r="V192" s="17"/>
      <c r="W192" s="17"/>
      <c r="X192" s="15">
        <v>252.25</v>
      </c>
      <c r="Y192" s="17">
        <v>192</v>
      </c>
      <c r="Z192" s="17">
        <v>452.25</v>
      </c>
      <c r="AA192" s="17">
        <v>1137</v>
      </c>
      <c r="AB192" s="12">
        <f t="shared" si="2"/>
        <v>190</v>
      </c>
    </row>
    <row r="193" ht="14.25" spans="1:28">
      <c r="A193" s="13">
        <v>688</v>
      </c>
      <c r="B193" s="15">
        <v>14</v>
      </c>
      <c r="C193" s="16">
        <v>29</v>
      </c>
      <c r="D193" s="17" t="s">
        <v>1382</v>
      </c>
      <c r="E193" s="17" t="s">
        <v>1383</v>
      </c>
      <c r="F193" s="17">
        <v>89.5</v>
      </c>
      <c r="G193" s="17">
        <v>2413</v>
      </c>
      <c r="H193" s="17">
        <v>97.5</v>
      </c>
      <c r="I193" s="17">
        <v>318</v>
      </c>
      <c r="J193" s="17">
        <v>74</v>
      </c>
      <c r="K193" s="17">
        <v>1999</v>
      </c>
      <c r="L193" s="17"/>
      <c r="M193" s="17"/>
      <c r="N193" s="17">
        <v>45</v>
      </c>
      <c r="O193" s="17">
        <v>2241</v>
      </c>
      <c r="P193" s="17"/>
      <c r="Q193" s="17"/>
      <c r="R193" s="17"/>
      <c r="S193" s="17"/>
      <c r="T193" s="17">
        <v>70</v>
      </c>
      <c r="U193" s="17">
        <v>1710</v>
      </c>
      <c r="V193" s="17">
        <v>74</v>
      </c>
      <c r="W193" s="17">
        <v>320</v>
      </c>
      <c r="X193" s="15">
        <v>261</v>
      </c>
      <c r="Y193" s="17">
        <v>190</v>
      </c>
      <c r="Z193" s="17">
        <v>450</v>
      </c>
      <c r="AA193" s="17">
        <v>1161</v>
      </c>
      <c r="AB193" s="12">
        <f t="shared" si="2"/>
        <v>191</v>
      </c>
    </row>
    <row r="194" ht="14.25" spans="1:28">
      <c r="A194" s="13">
        <v>706</v>
      </c>
      <c r="B194" s="15">
        <v>15</v>
      </c>
      <c r="C194" s="16">
        <v>3</v>
      </c>
      <c r="D194" s="17" t="s">
        <v>1416</v>
      </c>
      <c r="E194" s="17" t="s">
        <v>1417</v>
      </c>
      <c r="F194" s="17">
        <v>99.5</v>
      </c>
      <c r="G194" s="17">
        <v>1010</v>
      </c>
      <c r="H194" s="17">
        <v>63</v>
      </c>
      <c r="I194" s="17">
        <v>1301</v>
      </c>
      <c r="J194" s="17">
        <v>105</v>
      </c>
      <c r="K194" s="17">
        <v>543</v>
      </c>
      <c r="L194" s="17"/>
      <c r="M194" s="17"/>
      <c r="N194" s="17">
        <v>51.5</v>
      </c>
      <c r="O194" s="17">
        <v>1342</v>
      </c>
      <c r="P194" s="17"/>
      <c r="Q194" s="17"/>
      <c r="R194" s="17"/>
      <c r="S194" s="17"/>
      <c r="T194" s="17">
        <v>75</v>
      </c>
      <c r="U194" s="17">
        <v>1272</v>
      </c>
      <c r="V194" s="17">
        <v>56</v>
      </c>
      <c r="W194" s="17">
        <v>1022</v>
      </c>
      <c r="X194" s="15">
        <v>267.5</v>
      </c>
      <c r="Y194" s="17">
        <v>179</v>
      </c>
      <c r="Z194" s="17">
        <v>450</v>
      </c>
      <c r="AA194" s="17">
        <v>1161</v>
      </c>
      <c r="AB194" s="12">
        <f t="shared" si="2"/>
        <v>191</v>
      </c>
    </row>
    <row r="195" ht="14.25" spans="1:28">
      <c r="A195" s="13">
        <v>794</v>
      </c>
      <c r="B195" s="15">
        <v>17</v>
      </c>
      <c r="C195" s="16">
        <v>15</v>
      </c>
      <c r="D195" s="17" t="s">
        <v>1586</v>
      </c>
      <c r="E195" s="17" t="s">
        <v>1587</v>
      </c>
      <c r="F195" s="17">
        <v>90.5</v>
      </c>
      <c r="G195" s="17">
        <v>2252</v>
      </c>
      <c r="H195" s="17">
        <v>80.5</v>
      </c>
      <c r="I195" s="17">
        <v>730</v>
      </c>
      <c r="J195" s="17">
        <v>104</v>
      </c>
      <c r="K195" s="17">
        <v>566</v>
      </c>
      <c r="L195" s="17"/>
      <c r="M195" s="17"/>
      <c r="N195" s="17">
        <v>56</v>
      </c>
      <c r="O195" s="17">
        <v>804</v>
      </c>
      <c r="P195" s="17"/>
      <c r="Q195" s="17"/>
      <c r="R195" s="17">
        <v>61</v>
      </c>
      <c r="S195" s="17">
        <v>1852</v>
      </c>
      <c r="T195" s="17">
        <v>54</v>
      </c>
      <c r="U195" s="17">
        <v>3088</v>
      </c>
      <c r="V195" s="17"/>
      <c r="W195" s="17"/>
      <c r="X195" s="15">
        <v>275</v>
      </c>
      <c r="Y195" s="17">
        <v>159</v>
      </c>
      <c r="Z195" s="17">
        <v>446</v>
      </c>
      <c r="AA195" s="17">
        <v>1204</v>
      </c>
      <c r="AB195" s="12">
        <f t="shared" ref="AB195:AB208" si="3">RANK(Z195,$Z$3:$Z$700)</f>
        <v>193</v>
      </c>
    </row>
    <row r="196" ht="14.25" spans="1:28">
      <c r="A196" s="13">
        <v>675</v>
      </c>
      <c r="B196" s="15">
        <v>14</v>
      </c>
      <c r="C196" s="16">
        <v>15</v>
      </c>
      <c r="D196" s="17" t="s">
        <v>1356</v>
      </c>
      <c r="E196" s="17" t="s">
        <v>1357</v>
      </c>
      <c r="F196" s="17">
        <v>99.5</v>
      </c>
      <c r="G196" s="17">
        <v>1010</v>
      </c>
      <c r="H196" s="17">
        <v>78</v>
      </c>
      <c r="I196" s="17">
        <v>802</v>
      </c>
      <c r="J196" s="17">
        <v>95</v>
      </c>
      <c r="K196" s="17">
        <v>926</v>
      </c>
      <c r="L196" s="17"/>
      <c r="M196" s="17"/>
      <c r="N196" s="17">
        <v>44</v>
      </c>
      <c r="O196" s="17">
        <v>2371</v>
      </c>
      <c r="P196" s="17"/>
      <c r="Q196" s="17"/>
      <c r="R196" s="17"/>
      <c r="S196" s="17"/>
      <c r="T196" s="17">
        <v>69</v>
      </c>
      <c r="U196" s="17">
        <v>1773</v>
      </c>
      <c r="V196" s="17">
        <v>58</v>
      </c>
      <c r="W196" s="17">
        <v>927</v>
      </c>
      <c r="X196" s="15">
        <v>272.5</v>
      </c>
      <c r="Y196" s="17">
        <v>162</v>
      </c>
      <c r="Z196" s="17">
        <v>443.5</v>
      </c>
      <c r="AA196" s="17">
        <v>1248</v>
      </c>
      <c r="AB196" s="12">
        <f t="shared" si="3"/>
        <v>194</v>
      </c>
    </row>
    <row r="197" ht="14.25" spans="1:28">
      <c r="A197" s="13">
        <v>862</v>
      </c>
      <c r="B197" s="15">
        <v>18</v>
      </c>
      <c r="C197" s="16">
        <v>45</v>
      </c>
      <c r="D197" s="17" t="s">
        <v>1722</v>
      </c>
      <c r="E197" s="17" t="s">
        <v>1723</v>
      </c>
      <c r="F197" s="17">
        <v>100.5</v>
      </c>
      <c r="G197" s="17">
        <v>901</v>
      </c>
      <c r="H197" s="17">
        <v>66.5</v>
      </c>
      <c r="I197" s="17">
        <v>1167</v>
      </c>
      <c r="J197" s="17">
        <v>80.25</v>
      </c>
      <c r="K197" s="17">
        <v>1682</v>
      </c>
      <c r="L197" s="17"/>
      <c r="M197" s="17"/>
      <c r="N197" s="17">
        <v>49</v>
      </c>
      <c r="O197" s="17">
        <v>1682</v>
      </c>
      <c r="P197" s="17"/>
      <c r="Q197" s="17"/>
      <c r="R197" s="17">
        <v>82</v>
      </c>
      <c r="S197" s="17">
        <v>432</v>
      </c>
      <c r="T197" s="17">
        <v>65</v>
      </c>
      <c r="U197" s="17">
        <v>2190</v>
      </c>
      <c r="V197" s="17"/>
      <c r="W197" s="17"/>
      <c r="X197" s="15">
        <v>247.25</v>
      </c>
      <c r="Y197" s="17">
        <v>196</v>
      </c>
      <c r="Z197" s="17">
        <v>443.25</v>
      </c>
      <c r="AA197" s="17">
        <v>1255</v>
      </c>
      <c r="AB197" s="12">
        <f t="shared" si="3"/>
        <v>195</v>
      </c>
    </row>
    <row r="198" ht="14.25" spans="1:28">
      <c r="A198" s="13">
        <v>689</v>
      </c>
      <c r="B198" s="15">
        <v>14</v>
      </c>
      <c r="C198" s="16">
        <v>30</v>
      </c>
      <c r="D198" s="17" t="s">
        <v>1384</v>
      </c>
      <c r="E198" s="17" t="s">
        <v>1385</v>
      </c>
      <c r="F198" s="17">
        <v>92</v>
      </c>
      <c r="G198" s="17">
        <v>2049</v>
      </c>
      <c r="H198" s="17">
        <v>79</v>
      </c>
      <c r="I198" s="17">
        <v>781</v>
      </c>
      <c r="J198" s="17">
        <v>72.5</v>
      </c>
      <c r="K198" s="17">
        <v>2085</v>
      </c>
      <c r="L198" s="17"/>
      <c r="M198" s="17"/>
      <c r="N198" s="17">
        <v>45</v>
      </c>
      <c r="O198" s="17">
        <v>2241</v>
      </c>
      <c r="P198" s="17"/>
      <c r="Q198" s="17"/>
      <c r="R198" s="17"/>
      <c r="S198" s="17"/>
      <c r="T198" s="17">
        <v>68</v>
      </c>
      <c r="U198" s="17">
        <v>1886</v>
      </c>
      <c r="V198" s="17">
        <v>86</v>
      </c>
      <c r="W198" s="17">
        <v>73</v>
      </c>
      <c r="X198" s="15">
        <v>243.5</v>
      </c>
      <c r="Y198" s="17">
        <v>201</v>
      </c>
      <c r="Z198" s="17">
        <v>442.5</v>
      </c>
      <c r="AA198" s="17">
        <v>1265</v>
      </c>
      <c r="AB198" s="12">
        <f t="shared" si="3"/>
        <v>196</v>
      </c>
    </row>
    <row r="199" ht="14.25" spans="1:28">
      <c r="A199" s="13">
        <v>869</v>
      </c>
      <c r="B199" s="15">
        <v>18</v>
      </c>
      <c r="C199" s="16">
        <v>55</v>
      </c>
      <c r="D199" s="17" t="s">
        <v>1736</v>
      </c>
      <c r="E199" s="17" t="s">
        <v>1737</v>
      </c>
      <c r="F199" s="17">
        <v>107.5</v>
      </c>
      <c r="G199" s="17">
        <v>270</v>
      </c>
      <c r="H199" s="17">
        <v>57.5</v>
      </c>
      <c r="I199" s="17">
        <v>1493</v>
      </c>
      <c r="J199" s="17">
        <v>101.5</v>
      </c>
      <c r="K199" s="17">
        <v>649</v>
      </c>
      <c r="L199" s="17"/>
      <c r="M199" s="17"/>
      <c r="N199" s="17">
        <v>41</v>
      </c>
      <c r="O199" s="17">
        <v>2816</v>
      </c>
      <c r="P199" s="17"/>
      <c r="Q199" s="17"/>
      <c r="R199" s="17">
        <v>74</v>
      </c>
      <c r="S199" s="17">
        <v>916</v>
      </c>
      <c r="T199" s="17">
        <v>61</v>
      </c>
      <c r="U199" s="17">
        <v>2565</v>
      </c>
      <c r="V199" s="17"/>
      <c r="W199" s="17"/>
      <c r="X199" s="15">
        <v>266.5</v>
      </c>
      <c r="Y199" s="17">
        <v>184</v>
      </c>
      <c r="Z199" s="17">
        <v>442.5</v>
      </c>
      <c r="AA199" s="17">
        <v>1265</v>
      </c>
      <c r="AB199" s="12">
        <f t="shared" si="3"/>
        <v>196</v>
      </c>
    </row>
    <row r="200" ht="14.25" spans="1:28">
      <c r="A200" s="13">
        <v>710</v>
      </c>
      <c r="B200" s="15">
        <v>15</v>
      </c>
      <c r="C200" s="16">
        <v>8</v>
      </c>
      <c r="D200" s="17" t="s">
        <v>1423</v>
      </c>
      <c r="E200" s="17" t="s">
        <v>1424</v>
      </c>
      <c r="F200" s="17">
        <v>87.25</v>
      </c>
      <c r="G200" s="17">
        <v>2774</v>
      </c>
      <c r="H200" s="17">
        <v>74.5</v>
      </c>
      <c r="I200" s="17">
        <v>903</v>
      </c>
      <c r="J200" s="17">
        <v>89</v>
      </c>
      <c r="K200" s="17">
        <v>1186</v>
      </c>
      <c r="L200" s="17"/>
      <c r="M200" s="17"/>
      <c r="N200" s="17">
        <v>48.5</v>
      </c>
      <c r="O200" s="17">
        <v>1763</v>
      </c>
      <c r="P200" s="17"/>
      <c r="Q200" s="17"/>
      <c r="R200" s="17"/>
      <c r="S200" s="17"/>
      <c r="T200" s="17">
        <v>82</v>
      </c>
      <c r="U200" s="17">
        <v>702</v>
      </c>
      <c r="V200" s="17">
        <v>60</v>
      </c>
      <c r="W200" s="17">
        <v>871</v>
      </c>
      <c r="X200" s="15">
        <v>250.75</v>
      </c>
      <c r="Y200" s="17">
        <v>194</v>
      </c>
      <c r="Z200" s="17">
        <v>441.25</v>
      </c>
      <c r="AA200" s="17">
        <v>1277</v>
      </c>
      <c r="AB200" s="12">
        <f t="shared" si="3"/>
        <v>198</v>
      </c>
    </row>
    <row r="201" ht="14.25" spans="1:28">
      <c r="A201" s="13">
        <v>799</v>
      </c>
      <c r="B201" s="15">
        <v>17</v>
      </c>
      <c r="C201" s="16">
        <v>22</v>
      </c>
      <c r="D201" s="17" t="s">
        <v>1596</v>
      </c>
      <c r="E201" s="17" t="s">
        <v>1597</v>
      </c>
      <c r="F201" s="17">
        <v>107</v>
      </c>
      <c r="G201" s="17">
        <v>307</v>
      </c>
      <c r="H201" s="17">
        <v>50</v>
      </c>
      <c r="I201" s="17">
        <v>1904</v>
      </c>
      <c r="J201" s="17">
        <v>89</v>
      </c>
      <c r="K201" s="17">
        <v>1186</v>
      </c>
      <c r="L201" s="17"/>
      <c r="M201" s="17"/>
      <c r="N201" s="17">
        <v>46</v>
      </c>
      <c r="O201" s="17">
        <v>2109</v>
      </c>
      <c r="P201" s="17"/>
      <c r="Q201" s="17"/>
      <c r="R201" s="17">
        <v>72</v>
      </c>
      <c r="S201" s="17">
        <v>1055</v>
      </c>
      <c r="T201" s="17">
        <v>77</v>
      </c>
      <c r="U201" s="17">
        <v>1108</v>
      </c>
      <c r="V201" s="17"/>
      <c r="W201" s="17"/>
      <c r="X201" s="15">
        <v>246</v>
      </c>
      <c r="Y201" s="17">
        <v>198</v>
      </c>
      <c r="Z201" s="17">
        <v>441</v>
      </c>
      <c r="AA201" s="17">
        <v>1280</v>
      </c>
      <c r="AB201" s="12">
        <f t="shared" si="3"/>
        <v>199</v>
      </c>
    </row>
    <row r="202" ht="14.25" spans="1:28">
      <c r="A202" s="13">
        <v>790</v>
      </c>
      <c r="B202" s="15">
        <v>17</v>
      </c>
      <c r="C202" s="16">
        <v>11</v>
      </c>
      <c r="D202" s="17" t="s">
        <v>1578</v>
      </c>
      <c r="E202" s="17" t="s">
        <v>1579</v>
      </c>
      <c r="F202" s="17">
        <v>105</v>
      </c>
      <c r="G202" s="17">
        <v>437</v>
      </c>
      <c r="H202" s="17">
        <v>53.5</v>
      </c>
      <c r="I202" s="17">
        <v>1706</v>
      </c>
      <c r="J202" s="17">
        <v>80.5</v>
      </c>
      <c r="K202" s="17">
        <v>1650</v>
      </c>
      <c r="L202" s="17"/>
      <c r="M202" s="17"/>
      <c r="N202" s="17">
        <v>50</v>
      </c>
      <c r="O202" s="17">
        <v>1561</v>
      </c>
      <c r="P202" s="17"/>
      <c r="Q202" s="17"/>
      <c r="R202" s="17">
        <v>73</v>
      </c>
      <c r="S202" s="17">
        <v>965</v>
      </c>
      <c r="T202" s="17">
        <v>76</v>
      </c>
      <c r="U202" s="17">
        <v>1218</v>
      </c>
      <c r="V202" s="17"/>
      <c r="W202" s="17"/>
      <c r="X202" s="15">
        <v>239</v>
      </c>
      <c r="Y202" s="17">
        <v>202</v>
      </c>
      <c r="Z202" s="17">
        <v>438</v>
      </c>
      <c r="AA202" s="17">
        <v>1334</v>
      </c>
      <c r="AB202" s="12">
        <f t="shared" si="3"/>
        <v>200</v>
      </c>
    </row>
    <row r="203" ht="14.25" spans="1:28">
      <c r="A203" s="13">
        <v>853</v>
      </c>
      <c r="B203" s="15">
        <v>18</v>
      </c>
      <c r="C203" s="16">
        <v>34</v>
      </c>
      <c r="D203" s="17" t="s">
        <v>1704</v>
      </c>
      <c r="E203" s="17" t="s">
        <v>1705</v>
      </c>
      <c r="F203" s="17">
        <v>100.5</v>
      </c>
      <c r="G203" s="17">
        <v>901</v>
      </c>
      <c r="H203" s="17">
        <v>57.5</v>
      </c>
      <c r="I203" s="17">
        <v>1493</v>
      </c>
      <c r="J203" s="17">
        <v>88</v>
      </c>
      <c r="K203" s="17">
        <v>1236</v>
      </c>
      <c r="L203" s="17"/>
      <c r="M203" s="17"/>
      <c r="N203" s="17">
        <v>48.5</v>
      </c>
      <c r="O203" s="17">
        <v>1763</v>
      </c>
      <c r="P203" s="17"/>
      <c r="Q203" s="17"/>
      <c r="R203" s="17">
        <v>71</v>
      </c>
      <c r="S203" s="17">
        <v>1117</v>
      </c>
      <c r="T203" s="17">
        <v>60</v>
      </c>
      <c r="U203" s="17">
        <v>2684</v>
      </c>
      <c r="V203" s="17"/>
      <c r="W203" s="17"/>
      <c r="X203" s="15">
        <v>246</v>
      </c>
      <c r="Y203" s="17">
        <v>198</v>
      </c>
      <c r="Z203" s="17">
        <v>425.5</v>
      </c>
      <c r="AA203" s="17">
        <v>1508</v>
      </c>
      <c r="AB203" s="12">
        <f t="shared" si="3"/>
        <v>201</v>
      </c>
    </row>
    <row r="204" ht="14.25" spans="1:28">
      <c r="A204" s="13">
        <v>868</v>
      </c>
      <c r="B204" s="15">
        <v>18</v>
      </c>
      <c r="C204" s="16">
        <v>54</v>
      </c>
      <c r="D204" s="17" t="s">
        <v>1734</v>
      </c>
      <c r="E204" s="17" t="s">
        <v>1735</v>
      </c>
      <c r="F204" s="17">
        <v>97.5</v>
      </c>
      <c r="G204" s="17">
        <v>1268</v>
      </c>
      <c r="H204" s="17">
        <v>61.5</v>
      </c>
      <c r="I204" s="17">
        <v>1350</v>
      </c>
      <c r="J204" s="17">
        <v>72</v>
      </c>
      <c r="K204" s="17">
        <v>2118</v>
      </c>
      <c r="L204" s="17"/>
      <c r="M204" s="17"/>
      <c r="N204" s="17">
        <v>51.5</v>
      </c>
      <c r="O204" s="17">
        <v>1342</v>
      </c>
      <c r="P204" s="17"/>
      <c r="Q204" s="17"/>
      <c r="R204" s="17">
        <v>79</v>
      </c>
      <c r="S204" s="17">
        <v>590</v>
      </c>
      <c r="T204" s="17">
        <v>63</v>
      </c>
      <c r="U204" s="17">
        <v>2360</v>
      </c>
      <c r="V204" s="17"/>
      <c r="W204" s="17"/>
      <c r="X204" s="15">
        <v>231</v>
      </c>
      <c r="Y204" s="17">
        <v>204</v>
      </c>
      <c r="Z204" s="17">
        <v>424.5</v>
      </c>
      <c r="AA204" s="17">
        <v>1525</v>
      </c>
      <c r="AB204" s="12">
        <f t="shared" si="3"/>
        <v>202</v>
      </c>
    </row>
    <row r="205" ht="14.25" spans="1:28">
      <c r="A205" s="13">
        <v>819</v>
      </c>
      <c r="B205" s="15">
        <v>17</v>
      </c>
      <c r="C205" s="16">
        <v>46</v>
      </c>
      <c r="D205" s="17" t="s">
        <v>1636</v>
      </c>
      <c r="E205" s="17" t="s">
        <v>1637</v>
      </c>
      <c r="F205" s="17">
        <v>95</v>
      </c>
      <c r="G205" s="17">
        <v>1611</v>
      </c>
      <c r="H205" s="17">
        <v>72</v>
      </c>
      <c r="I205" s="17">
        <v>976</v>
      </c>
      <c r="J205" s="17">
        <v>78.75</v>
      </c>
      <c r="K205" s="17">
        <v>1768</v>
      </c>
      <c r="L205" s="17"/>
      <c r="M205" s="17"/>
      <c r="N205" s="17">
        <v>50.5</v>
      </c>
      <c r="O205" s="17">
        <v>1493</v>
      </c>
      <c r="P205" s="17"/>
      <c r="Q205" s="17"/>
      <c r="R205" s="17">
        <v>71</v>
      </c>
      <c r="S205" s="17">
        <v>1117</v>
      </c>
      <c r="T205" s="17">
        <v>55</v>
      </c>
      <c r="U205" s="17">
        <v>3042</v>
      </c>
      <c r="V205" s="17"/>
      <c r="W205" s="17"/>
      <c r="X205" s="15">
        <v>245.75</v>
      </c>
      <c r="Y205" s="17">
        <v>200</v>
      </c>
      <c r="Z205" s="17">
        <v>422.25</v>
      </c>
      <c r="AA205" s="17">
        <v>1562</v>
      </c>
      <c r="AB205" s="12">
        <f t="shared" si="3"/>
        <v>203</v>
      </c>
    </row>
    <row r="206" ht="14.25" spans="1:28">
      <c r="A206" s="13">
        <v>832</v>
      </c>
      <c r="B206" s="15">
        <v>18</v>
      </c>
      <c r="C206" s="16">
        <v>10</v>
      </c>
      <c r="D206" s="17" t="s">
        <v>1662</v>
      </c>
      <c r="E206" s="17" t="s">
        <v>1663</v>
      </c>
      <c r="F206" s="17">
        <v>96.5</v>
      </c>
      <c r="G206" s="17">
        <v>1406</v>
      </c>
      <c r="H206" s="17">
        <v>57</v>
      </c>
      <c r="I206" s="17">
        <v>1510</v>
      </c>
      <c r="J206" s="17">
        <v>85.5</v>
      </c>
      <c r="K206" s="17">
        <v>1377</v>
      </c>
      <c r="L206" s="17"/>
      <c r="M206" s="17"/>
      <c r="N206" s="17">
        <v>42</v>
      </c>
      <c r="O206" s="17">
        <v>2673</v>
      </c>
      <c r="P206" s="17"/>
      <c r="Q206" s="17"/>
      <c r="R206" s="17">
        <v>79</v>
      </c>
      <c r="S206" s="17">
        <v>590</v>
      </c>
      <c r="T206" s="17">
        <v>58</v>
      </c>
      <c r="U206" s="17">
        <v>2834</v>
      </c>
      <c r="V206" s="17"/>
      <c r="W206" s="17"/>
      <c r="X206" s="15">
        <v>239</v>
      </c>
      <c r="Y206" s="17">
        <v>202</v>
      </c>
      <c r="Z206" s="17">
        <v>418</v>
      </c>
      <c r="AA206" s="17">
        <v>1628</v>
      </c>
      <c r="AB206" s="12">
        <f t="shared" si="3"/>
        <v>204</v>
      </c>
    </row>
    <row r="207" ht="14.25" spans="1:28">
      <c r="A207" s="13">
        <v>829</v>
      </c>
      <c r="B207" s="15">
        <v>18</v>
      </c>
      <c r="C207" s="16">
        <v>5</v>
      </c>
      <c r="D207" s="17" t="s">
        <v>1656</v>
      </c>
      <c r="E207" s="17" t="s">
        <v>1657</v>
      </c>
      <c r="F207" s="17">
        <v>100.5</v>
      </c>
      <c r="G207" s="17">
        <v>901</v>
      </c>
      <c r="H207" s="17">
        <v>53</v>
      </c>
      <c r="I207" s="17">
        <v>1737</v>
      </c>
      <c r="J207" s="17">
        <v>73</v>
      </c>
      <c r="K207" s="17">
        <v>2053</v>
      </c>
      <c r="L207" s="17"/>
      <c r="M207" s="17"/>
      <c r="N207" s="17">
        <v>49</v>
      </c>
      <c r="O207" s="17">
        <v>1682</v>
      </c>
      <c r="P207" s="17"/>
      <c r="Q207" s="17"/>
      <c r="R207" s="17">
        <v>70</v>
      </c>
      <c r="S207" s="17">
        <v>1165</v>
      </c>
      <c r="T207" s="17">
        <v>71</v>
      </c>
      <c r="U207" s="17">
        <v>1653</v>
      </c>
      <c r="V207" s="17"/>
      <c r="W207" s="17"/>
      <c r="X207" s="15">
        <v>226.5</v>
      </c>
      <c r="Y207" s="17">
        <v>205</v>
      </c>
      <c r="Z207" s="17">
        <v>416.5</v>
      </c>
      <c r="AA207" s="17">
        <v>1653</v>
      </c>
      <c r="AB207" s="12">
        <f t="shared" si="3"/>
        <v>205</v>
      </c>
    </row>
    <row r="208" ht="14.25" spans="1:28">
      <c r="A208" s="13">
        <v>676</v>
      </c>
      <c r="B208" s="15">
        <v>14</v>
      </c>
      <c r="C208" s="16">
        <v>16</v>
      </c>
      <c r="D208" s="17" t="s">
        <v>1358</v>
      </c>
      <c r="E208" s="17" t="s">
        <v>1359</v>
      </c>
      <c r="F208" s="17">
        <v>93.5</v>
      </c>
      <c r="G208" s="17">
        <v>1834</v>
      </c>
      <c r="H208" s="17">
        <v>60</v>
      </c>
      <c r="I208" s="17">
        <v>1405</v>
      </c>
      <c r="J208" s="17">
        <v>56.5</v>
      </c>
      <c r="K208" s="17">
        <v>2893</v>
      </c>
      <c r="L208" s="17"/>
      <c r="M208" s="17"/>
      <c r="N208" s="17">
        <v>39.5</v>
      </c>
      <c r="O208" s="17">
        <v>3024</v>
      </c>
      <c r="P208" s="17"/>
      <c r="Q208" s="17"/>
      <c r="R208" s="17"/>
      <c r="S208" s="17"/>
      <c r="T208" s="17">
        <v>62</v>
      </c>
      <c r="U208" s="17">
        <v>2464</v>
      </c>
      <c r="V208" s="17">
        <v>39</v>
      </c>
      <c r="W208" s="17">
        <v>1501</v>
      </c>
      <c r="X208" s="15">
        <v>210</v>
      </c>
      <c r="Y208" s="17">
        <v>206</v>
      </c>
      <c r="Z208" s="17">
        <v>350.5</v>
      </c>
      <c r="AA208" s="17">
        <v>2730</v>
      </c>
      <c r="AB208" s="12">
        <f t="shared" si="3"/>
        <v>206</v>
      </c>
    </row>
    <row r="209" spans="14:25">
      <c r="N209" s="146"/>
      <c r="O209" s="146"/>
      <c r="Q209" s="12">
        <f t="shared" ref="Q209:U209" si="4">MAX(Q3:Q208)</f>
        <v>8</v>
      </c>
      <c r="S209" s="12">
        <f t="shared" si="4"/>
        <v>1928</v>
      </c>
      <c r="U209" s="12">
        <f t="shared" si="4"/>
        <v>3088</v>
      </c>
      <c r="W209" s="12">
        <f>MAX(W3:W208)</f>
        <v>1501</v>
      </c>
      <c r="X209" s="22"/>
      <c r="Y209" s="22"/>
    </row>
    <row r="210" spans="14:25">
      <c r="N210" s="146"/>
      <c r="O210" s="146"/>
      <c r="Q210" s="12">
        <f t="shared" ref="Q210:U210" si="5">MIN(Q3:Q208)</f>
        <v>3</v>
      </c>
      <c r="S210" s="12">
        <f t="shared" si="5"/>
        <v>5</v>
      </c>
      <c r="U210" s="12">
        <f t="shared" si="5"/>
        <v>2</v>
      </c>
      <c r="W210" s="12">
        <f>MIN(W3:W208)</f>
        <v>3</v>
      </c>
      <c r="X210" s="22"/>
      <c r="Y210" s="22"/>
    </row>
    <row r="211" spans="14:15">
      <c r="N211" s="146"/>
      <c r="O211" s="146"/>
    </row>
    <row r="212" spans="14:15">
      <c r="N212" s="146"/>
      <c r="O212" s="146"/>
    </row>
    <row r="213" spans="14:15">
      <c r="N213" s="146"/>
      <c r="O213" s="146"/>
    </row>
    <row r="214" spans="14:15">
      <c r="N214" s="146"/>
      <c r="O214" s="146"/>
    </row>
    <row r="215" spans="14:15">
      <c r="N215" s="146"/>
      <c r="O215" s="146"/>
    </row>
    <row r="216" spans="14:15">
      <c r="N216" s="146"/>
      <c r="O216" s="146"/>
    </row>
    <row r="217" spans="14:15">
      <c r="N217" s="146"/>
      <c r="O217" s="146"/>
    </row>
    <row r="218" spans="14:15">
      <c r="N218" s="146"/>
      <c r="O218" s="146"/>
    </row>
    <row r="219" spans="14:15">
      <c r="N219" s="146"/>
      <c r="O219" s="146"/>
    </row>
    <row r="220" spans="14:15">
      <c r="N220" s="146"/>
      <c r="O220" s="146"/>
    </row>
    <row r="221" spans="14:15">
      <c r="N221" s="146"/>
      <c r="O221" s="146"/>
    </row>
    <row r="222" spans="14:15">
      <c r="N222" s="146"/>
      <c r="O222" s="146"/>
    </row>
    <row r="223" spans="14:15">
      <c r="N223" s="146"/>
      <c r="O223" s="146"/>
    </row>
    <row r="224" spans="14:15">
      <c r="N224" s="146"/>
      <c r="O224" s="146"/>
    </row>
    <row r="225" spans="14:15">
      <c r="N225" s="146"/>
      <c r="O225" s="146"/>
    </row>
    <row r="226" spans="14:15">
      <c r="N226" s="146"/>
      <c r="O226" s="146"/>
    </row>
    <row r="227" spans="14:15">
      <c r="N227" s="146"/>
      <c r="O227" s="146"/>
    </row>
    <row r="228" spans="14:15">
      <c r="N228" s="146"/>
      <c r="O228" s="146"/>
    </row>
    <row r="229" spans="14:15">
      <c r="N229" s="146"/>
      <c r="O229" s="146"/>
    </row>
    <row r="230" spans="14:15">
      <c r="N230" s="146"/>
      <c r="O230" s="146"/>
    </row>
    <row r="231" spans="14:15">
      <c r="N231" s="146"/>
      <c r="O231" s="146"/>
    </row>
    <row r="232" spans="14:15">
      <c r="N232" s="146"/>
      <c r="O232" s="146"/>
    </row>
    <row r="233" spans="14:15">
      <c r="N233" s="146"/>
      <c r="O233" s="146"/>
    </row>
    <row r="234" spans="14:15">
      <c r="N234" s="146"/>
      <c r="O234" s="146"/>
    </row>
    <row r="235" spans="14:15">
      <c r="N235" s="146"/>
      <c r="O235" s="146"/>
    </row>
    <row r="236" spans="14:15">
      <c r="N236" s="146"/>
      <c r="O236" s="146"/>
    </row>
    <row r="237" spans="14:15">
      <c r="N237" s="146"/>
      <c r="O237" s="146"/>
    </row>
    <row r="238" spans="14:15">
      <c r="N238" s="146"/>
      <c r="O238" s="146"/>
    </row>
    <row r="239" spans="14:15">
      <c r="N239" s="146"/>
      <c r="O239" s="146"/>
    </row>
    <row r="240" spans="14:15">
      <c r="N240" s="146"/>
      <c r="O240" s="146"/>
    </row>
    <row r="241" spans="14:15">
      <c r="N241" s="146"/>
      <c r="O241" s="146"/>
    </row>
    <row r="242" spans="14:15">
      <c r="N242" s="146"/>
      <c r="O242" s="146"/>
    </row>
    <row r="243" spans="14:15">
      <c r="N243" s="146"/>
      <c r="O243" s="146"/>
    </row>
    <row r="244" spans="14:15">
      <c r="N244" s="146"/>
      <c r="O244" s="146"/>
    </row>
    <row r="245" spans="14:15">
      <c r="N245" s="146"/>
      <c r="O245" s="146"/>
    </row>
    <row r="246" spans="14:15">
      <c r="N246" s="146"/>
      <c r="O246" s="146"/>
    </row>
    <row r="247" spans="14:15">
      <c r="N247" s="146"/>
      <c r="O247" s="146"/>
    </row>
    <row r="248" spans="14:15">
      <c r="N248" s="146"/>
      <c r="O248" s="146"/>
    </row>
    <row r="249" spans="14:15">
      <c r="N249" s="146"/>
      <c r="O249" s="146"/>
    </row>
    <row r="250" spans="14:15">
      <c r="N250" s="146"/>
      <c r="O250" s="146"/>
    </row>
    <row r="251" spans="14:15">
      <c r="N251" s="146"/>
      <c r="O251" s="146"/>
    </row>
    <row r="252" spans="14:15">
      <c r="N252" s="146"/>
      <c r="O252" s="146"/>
    </row>
    <row r="253" spans="14:15">
      <c r="N253" s="146"/>
      <c r="O253" s="146"/>
    </row>
    <row r="254" spans="14:15">
      <c r="N254" s="146"/>
      <c r="O254" s="146"/>
    </row>
    <row r="255" spans="14:15">
      <c r="N255" s="146"/>
      <c r="O255" s="146"/>
    </row>
    <row r="256" spans="14:15">
      <c r="N256" s="146"/>
      <c r="O256" s="146"/>
    </row>
    <row r="257" spans="14:15">
      <c r="N257" s="146"/>
      <c r="O257" s="146"/>
    </row>
    <row r="258" spans="14:15">
      <c r="N258" s="146"/>
      <c r="O258" s="146"/>
    </row>
    <row r="259" spans="14:15">
      <c r="N259" s="146"/>
      <c r="O259" s="146"/>
    </row>
    <row r="260" spans="14:15">
      <c r="N260" s="146"/>
      <c r="O260" s="146"/>
    </row>
    <row r="261" spans="14:15">
      <c r="N261" s="146"/>
      <c r="O261" s="146"/>
    </row>
    <row r="262" spans="14:15">
      <c r="N262" s="146"/>
      <c r="O262" s="146"/>
    </row>
    <row r="263" spans="14:15">
      <c r="N263" s="146"/>
      <c r="O263" s="146"/>
    </row>
    <row r="264" spans="14:15">
      <c r="N264" s="146"/>
      <c r="O264" s="146"/>
    </row>
    <row r="265" spans="14:15">
      <c r="N265" s="146"/>
      <c r="O265" s="146"/>
    </row>
    <row r="266" spans="14:15">
      <c r="N266" s="146"/>
      <c r="O266" s="146"/>
    </row>
    <row r="267" spans="14:15">
      <c r="N267" s="146"/>
      <c r="O267" s="146"/>
    </row>
    <row r="268" spans="14:15">
      <c r="N268" s="146"/>
      <c r="O268" s="146"/>
    </row>
    <row r="269" spans="14:15">
      <c r="N269" s="146"/>
      <c r="O269" s="146"/>
    </row>
    <row r="270" spans="14:15">
      <c r="N270" s="146"/>
      <c r="O270" s="146"/>
    </row>
    <row r="271" spans="14:15">
      <c r="N271" s="146"/>
      <c r="O271" s="146"/>
    </row>
    <row r="272" spans="14:15">
      <c r="N272" s="146"/>
      <c r="O272" s="146"/>
    </row>
    <row r="273" spans="14:15">
      <c r="N273" s="146"/>
      <c r="O273" s="146"/>
    </row>
    <row r="274" spans="14:15">
      <c r="N274" s="146"/>
      <c r="O274" s="146"/>
    </row>
    <row r="275" spans="14:15">
      <c r="N275" s="146"/>
      <c r="O275" s="146"/>
    </row>
    <row r="276" spans="14:15">
      <c r="N276" s="146"/>
      <c r="O276" s="146"/>
    </row>
    <row r="277" spans="14:15">
      <c r="N277" s="146"/>
      <c r="O277" s="146"/>
    </row>
    <row r="278" spans="14:15">
      <c r="N278" s="146"/>
      <c r="O278" s="146"/>
    </row>
    <row r="279" spans="14:15">
      <c r="N279" s="146"/>
      <c r="O279" s="146"/>
    </row>
    <row r="280" spans="14:15">
      <c r="N280" s="146"/>
      <c r="O280" s="146"/>
    </row>
    <row r="281" spans="14:15">
      <c r="N281" s="146"/>
      <c r="O281" s="146"/>
    </row>
    <row r="282" spans="14:15">
      <c r="N282" s="146"/>
      <c r="O282" s="146"/>
    </row>
    <row r="283" spans="14:15">
      <c r="N283" s="146"/>
      <c r="O283" s="146"/>
    </row>
    <row r="284" spans="14:15">
      <c r="N284" s="146"/>
      <c r="O284" s="146"/>
    </row>
    <row r="285" spans="14:15">
      <c r="N285" s="146"/>
      <c r="O285" s="146"/>
    </row>
    <row r="286" spans="14:15">
      <c r="N286" s="146"/>
      <c r="O286" s="146"/>
    </row>
    <row r="287" spans="14:15">
      <c r="N287" s="146"/>
      <c r="O287" s="146"/>
    </row>
    <row r="288" spans="14:15">
      <c r="N288" s="146"/>
      <c r="O288" s="146"/>
    </row>
    <row r="289" spans="14:15">
      <c r="N289" s="146"/>
      <c r="O289" s="146"/>
    </row>
    <row r="290" spans="14:15">
      <c r="N290" s="146"/>
      <c r="O290" s="146"/>
    </row>
    <row r="291" spans="14:15">
      <c r="N291" s="146"/>
      <c r="O291" s="146"/>
    </row>
    <row r="292" spans="14:15">
      <c r="N292" s="146"/>
      <c r="O292" s="146"/>
    </row>
    <row r="293" spans="14:15">
      <c r="N293" s="146"/>
      <c r="O293" s="146"/>
    </row>
    <row r="294" spans="14:15">
      <c r="N294" s="146"/>
      <c r="O294" s="146"/>
    </row>
    <row r="295" spans="14:15">
      <c r="N295" s="146"/>
      <c r="O295" s="146"/>
    </row>
    <row r="296" spans="14:15">
      <c r="N296" s="146"/>
      <c r="O296" s="146"/>
    </row>
    <row r="297" spans="14:15">
      <c r="N297" s="146"/>
      <c r="O297" s="146"/>
    </row>
    <row r="298" spans="14:15">
      <c r="N298" s="146"/>
      <c r="O298" s="146"/>
    </row>
    <row r="299" spans="14:15">
      <c r="N299" s="146"/>
      <c r="O299" s="146"/>
    </row>
    <row r="300" spans="14:15">
      <c r="N300" s="146"/>
      <c r="O300" s="146"/>
    </row>
    <row r="301" spans="14:15">
      <c r="N301" s="146"/>
      <c r="O301" s="146"/>
    </row>
    <row r="302" spans="14:15">
      <c r="N302" s="146"/>
      <c r="O302" s="146"/>
    </row>
    <row r="303" spans="14:15">
      <c r="N303" s="146"/>
      <c r="O303" s="146"/>
    </row>
    <row r="304" spans="14:15">
      <c r="N304" s="146"/>
      <c r="O304" s="146"/>
    </row>
    <row r="305" spans="14:15">
      <c r="N305" s="146"/>
      <c r="O305" s="146"/>
    </row>
    <row r="306" spans="14:15">
      <c r="N306" s="146"/>
      <c r="O306" s="146"/>
    </row>
    <row r="307" spans="14:15">
      <c r="N307" s="146"/>
      <c r="O307" s="146"/>
    </row>
    <row r="308" spans="14:15">
      <c r="N308" s="146"/>
      <c r="O308" s="146"/>
    </row>
    <row r="309" spans="14:15">
      <c r="N309" s="146"/>
      <c r="O309" s="146"/>
    </row>
    <row r="310" spans="14:15">
      <c r="N310" s="146"/>
      <c r="O310" s="146"/>
    </row>
    <row r="311" spans="14:15">
      <c r="N311" s="146"/>
      <c r="O311" s="146"/>
    </row>
    <row r="312" spans="14:15">
      <c r="N312" s="146"/>
      <c r="O312" s="146"/>
    </row>
    <row r="313" spans="14:15">
      <c r="N313" s="146"/>
      <c r="O313" s="146"/>
    </row>
    <row r="314" spans="14:15">
      <c r="N314" s="146"/>
      <c r="O314" s="146"/>
    </row>
    <row r="315" spans="14:15">
      <c r="N315" s="146"/>
      <c r="O315" s="146"/>
    </row>
    <row r="316" spans="14:15">
      <c r="N316" s="146"/>
      <c r="O316" s="146"/>
    </row>
    <row r="317" spans="14:15">
      <c r="N317" s="146"/>
      <c r="O317" s="146"/>
    </row>
    <row r="318" spans="14:15">
      <c r="N318" s="146"/>
      <c r="O318" s="146"/>
    </row>
    <row r="319" spans="14:15">
      <c r="N319" s="146"/>
      <c r="O319" s="146"/>
    </row>
    <row r="320" spans="14:15">
      <c r="N320" s="146"/>
      <c r="O320" s="146"/>
    </row>
    <row r="321" spans="14:15">
      <c r="N321" s="146"/>
      <c r="O321" s="146"/>
    </row>
    <row r="322" spans="14:15">
      <c r="N322" s="146"/>
      <c r="O322" s="146"/>
    </row>
    <row r="323" spans="14:15">
      <c r="N323" s="146"/>
      <c r="O323" s="146"/>
    </row>
    <row r="324" spans="14:15">
      <c r="N324" s="146"/>
      <c r="O324" s="146"/>
    </row>
    <row r="325" spans="14:15">
      <c r="N325" s="146"/>
      <c r="O325" s="146"/>
    </row>
    <row r="326" spans="14:15">
      <c r="N326" s="146"/>
      <c r="O326" s="146"/>
    </row>
    <row r="327" spans="14:15">
      <c r="N327" s="146"/>
      <c r="O327" s="146"/>
    </row>
    <row r="328" spans="14:15">
      <c r="N328" s="146"/>
      <c r="O328" s="146"/>
    </row>
    <row r="329" spans="14:15">
      <c r="N329" s="146"/>
      <c r="O329" s="146"/>
    </row>
    <row r="330" spans="14:15">
      <c r="N330" s="146"/>
      <c r="O330" s="146"/>
    </row>
    <row r="331" spans="14:15">
      <c r="N331" s="146"/>
      <c r="O331" s="146"/>
    </row>
    <row r="332" spans="14:15">
      <c r="N332" s="146"/>
      <c r="O332" s="146"/>
    </row>
    <row r="333" spans="14:15">
      <c r="N333" s="146"/>
      <c r="O333" s="146"/>
    </row>
    <row r="334" spans="14:15">
      <c r="N334" s="146"/>
      <c r="O334" s="146"/>
    </row>
    <row r="335" spans="14:15">
      <c r="N335" s="146"/>
      <c r="O335" s="146"/>
    </row>
    <row r="336" spans="14:15">
      <c r="N336" s="146"/>
      <c r="O336" s="146"/>
    </row>
    <row r="337" spans="14:15">
      <c r="N337" s="146"/>
      <c r="O337" s="146"/>
    </row>
    <row r="338" spans="14:15">
      <c r="N338" s="146"/>
      <c r="O338" s="146"/>
    </row>
    <row r="339" spans="14:15">
      <c r="N339" s="146"/>
      <c r="O339" s="146"/>
    </row>
    <row r="340" spans="14:15">
      <c r="N340" s="146"/>
      <c r="O340" s="146"/>
    </row>
    <row r="341" spans="14:15">
      <c r="N341" s="146"/>
      <c r="O341" s="146"/>
    </row>
    <row r="342" spans="14:15">
      <c r="N342" s="146"/>
      <c r="O342" s="146"/>
    </row>
    <row r="343" spans="14:15">
      <c r="N343" s="146"/>
      <c r="O343" s="146"/>
    </row>
    <row r="344" spans="14:15">
      <c r="N344" s="146"/>
      <c r="O344" s="146"/>
    </row>
    <row r="345" spans="14:15">
      <c r="N345" s="146"/>
      <c r="O345" s="146"/>
    </row>
    <row r="346" spans="14:15">
      <c r="N346" s="146"/>
      <c r="O346" s="146"/>
    </row>
    <row r="347" spans="14:15">
      <c r="N347" s="146"/>
      <c r="O347" s="146"/>
    </row>
    <row r="348" spans="14:15">
      <c r="N348" s="146"/>
      <c r="O348" s="146"/>
    </row>
    <row r="349" spans="14:15">
      <c r="N349" s="146"/>
      <c r="O349" s="146"/>
    </row>
    <row r="350" spans="14:15">
      <c r="N350" s="146"/>
      <c r="O350" s="146"/>
    </row>
    <row r="351" spans="14:15">
      <c r="N351" s="146"/>
      <c r="O351" s="146"/>
    </row>
    <row r="352" spans="14:15">
      <c r="N352" s="146"/>
      <c r="O352" s="146"/>
    </row>
    <row r="353" spans="14:15">
      <c r="N353" s="146"/>
      <c r="O353" s="146"/>
    </row>
    <row r="354" spans="14:15">
      <c r="N354" s="146"/>
      <c r="O354" s="146"/>
    </row>
    <row r="355" spans="14:15">
      <c r="N355" s="146"/>
      <c r="O355" s="146"/>
    </row>
    <row r="356" spans="14:15">
      <c r="N356" s="146"/>
      <c r="O356" s="146"/>
    </row>
    <row r="357" spans="14:15">
      <c r="N357" s="146"/>
      <c r="O357" s="146"/>
    </row>
    <row r="358" spans="14:15">
      <c r="N358" s="146"/>
      <c r="O358" s="146"/>
    </row>
    <row r="359" spans="14:15">
      <c r="N359" s="146"/>
      <c r="O359" s="146"/>
    </row>
    <row r="360" spans="14:15">
      <c r="N360" s="146"/>
      <c r="O360" s="146"/>
    </row>
    <row r="361" spans="14:15">
      <c r="N361" s="146"/>
      <c r="O361" s="146"/>
    </row>
    <row r="362" spans="14:15">
      <c r="N362" s="146"/>
      <c r="O362" s="146"/>
    </row>
    <row r="363" spans="14:15">
      <c r="N363" s="146"/>
      <c r="O363" s="146"/>
    </row>
    <row r="364" spans="14:15">
      <c r="N364" s="146"/>
      <c r="O364" s="146"/>
    </row>
    <row r="365" spans="14:15">
      <c r="N365" s="146"/>
      <c r="O365" s="146"/>
    </row>
    <row r="366" spans="14:15">
      <c r="N366" s="146"/>
      <c r="O366" s="146"/>
    </row>
    <row r="367" spans="14:15">
      <c r="N367" s="146"/>
      <c r="O367" s="146"/>
    </row>
    <row r="368" spans="14:15">
      <c r="N368" s="146"/>
      <c r="O368" s="146"/>
    </row>
    <row r="369" spans="14:15">
      <c r="N369" s="146"/>
      <c r="O369" s="146"/>
    </row>
    <row r="370" spans="14:15">
      <c r="N370" s="146"/>
      <c r="O370" s="146"/>
    </row>
    <row r="371" spans="14:15">
      <c r="N371" s="146"/>
      <c r="O371" s="146"/>
    </row>
    <row r="372" spans="14:15">
      <c r="N372" s="146"/>
      <c r="O372" s="146"/>
    </row>
    <row r="373" spans="14:15">
      <c r="N373" s="146"/>
      <c r="O373" s="146"/>
    </row>
    <row r="374" spans="14:15">
      <c r="N374" s="146"/>
      <c r="O374" s="146"/>
    </row>
    <row r="375" spans="14:15">
      <c r="N375" s="146"/>
      <c r="O375" s="146"/>
    </row>
    <row r="376" spans="14:15">
      <c r="N376" s="146"/>
      <c r="O376" s="146"/>
    </row>
    <row r="377" spans="14:15">
      <c r="N377" s="146"/>
      <c r="O377" s="146"/>
    </row>
    <row r="378" spans="14:15">
      <c r="N378" s="146"/>
      <c r="O378" s="146"/>
    </row>
    <row r="379" spans="14:15">
      <c r="N379" s="146"/>
      <c r="O379" s="146"/>
    </row>
    <row r="380" spans="14:15">
      <c r="N380" s="146"/>
      <c r="O380" s="146"/>
    </row>
    <row r="381" spans="14:15">
      <c r="N381" s="146"/>
      <c r="O381" s="146"/>
    </row>
    <row r="382" spans="14:15">
      <c r="N382" s="146"/>
      <c r="O382" s="146"/>
    </row>
    <row r="383" spans="14:15">
      <c r="N383" s="146"/>
      <c r="O383" s="146"/>
    </row>
    <row r="384" spans="14:15">
      <c r="N384" s="146"/>
      <c r="O384" s="146"/>
    </row>
    <row r="385" spans="14:15">
      <c r="N385" s="146"/>
      <c r="O385" s="146"/>
    </row>
    <row r="386" spans="14:15">
      <c r="N386" s="146"/>
      <c r="O386" s="146"/>
    </row>
    <row r="387" spans="14:15">
      <c r="N387" s="146"/>
      <c r="O387" s="146"/>
    </row>
    <row r="388" spans="14:15">
      <c r="N388" s="146"/>
      <c r="O388" s="146"/>
    </row>
    <row r="389" spans="14:15">
      <c r="N389" s="146"/>
      <c r="O389" s="146"/>
    </row>
    <row r="390" spans="14:15">
      <c r="N390" s="146"/>
      <c r="O390" s="146"/>
    </row>
    <row r="391" spans="14:15">
      <c r="N391" s="146"/>
      <c r="O391" s="146"/>
    </row>
    <row r="392" spans="14:15">
      <c r="N392" s="146"/>
      <c r="O392" s="146"/>
    </row>
    <row r="393" spans="14:15">
      <c r="N393" s="146"/>
      <c r="O393" s="146"/>
    </row>
    <row r="394" spans="14:15">
      <c r="N394" s="146"/>
      <c r="O394" s="146"/>
    </row>
    <row r="395" spans="14:15">
      <c r="N395" s="146"/>
      <c r="O395" s="146"/>
    </row>
    <row r="396" spans="14:15">
      <c r="N396" s="146"/>
      <c r="O396" s="146"/>
    </row>
    <row r="397" spans="14:15">
      <c r="N397" s="146"/>
      <c r="O397" s="146"/>
    </row>
    <row r="398" spans="14:15">
      <c r="N398" s="146"/>
      <c r="O398" s="146"/>
    </row>
    <row r="399" spans="14:15">
      <c r="N399" s="146"/>
      <c r="O399" s="146"/>
    </row>
    <row r="400" spans="14:15">
      <c r="N400" s="146"/>
      <c r="O400" s="146"/>
    </row>
    <row r="401" spans="14:15">
      <c r="N401" s="146"/>
      <c r="O401" s="146"/>
    </row>
    <row r="402" spans="14:15">
      <c r="N402" s="146"/>
      <c r="O402" s="146"/>
    </row>
    <row r="403" spans="14:15">
      <c r="N403" s="146"/>
      <c r="O403" s="146"/>
    </row>
    <row r="404" spans="14:15">
      <c r="N404" s="146"/>
      <c r="O404" s="146"/>
    </row>
    <row r="405" spans="14:15">
      <c r="N405" s="146"/>
      <c r="O405" s="146"/>
    </row>
    <row r="406" spans="14:15">
      <c r="N406" s="146"/>
      <c r="O406" s="146"/>
    </row>
    <row r="407" spans="14:15">
      <c r="N407" s="146"/>
      <c r="O407" s="146"/>
    </row>
    <row r="408" spans="14:15">
      <c r="N408" s="146"/>
      <c r="O408" s="146"/>
    </row>
    <row r="409" spans="14:15">
      <c r="N409" s="146"/>
      <c r="O409" s="146"/>
    </row>
    <row r="410" spans="14:15">
      <c r="N410" s="146"/>
      <c r="O410" s="146"/>
    </row>
    <row r="411" spans="14:15">
      <c r="N411" s="146"/>
      <c r="O411" s="146"/>
    </row>
    <row r="412" spans="14:15">
      <c r="N412" s="146"/>
      <c r="O412" s="146"/>
    </row>
    <row r="413" spans="14:15">
      <c r="N413" s="146"/>
      <c r="O413" s="146"/>
    </row>
    <row r="414" spans="14:15">
      <c r="N414" s="146"/>
      <c r="O414" s="146"/>
    </row>
    <row r="415" spans="14:15">
      <c r="N415" s="146"/>
      <c r="O415" s="146"/>
    </row>
    <row r="416" spans="14:15">
      <c r="N416" s="146"/>
      <c r="O416" s="146"/>
    </row>
    <row r="417" spans="14:15">
      <c r="N417" s="146"/>
      <c r="O417" s="146"/>
    </row>
    <row r="418" spans="14:15">
      <c r="N418" s="146"/>
      <c r="O418" s="146"/>
    </row>
    <row r="419" spans="14:15">
      <c r="N419" s="146"/>
      <c r="O419" s="146"/>
    </row>
    <row r="420" spans="14:15">
      <c r="N420" s="146"/>
      <c r="O420" s="146"/>
    </row>
    <row r="421" spans="14:15">
      <c r="N421" s="146"/>
      <c r="O421" s="146"/>
    </row>
    <row r="422" spans="14:15">
      <c r="N422" s="146"/>
      <c r="O422" s="146"/>
    </row>
    <row r="423" spans="14:15">
      <c r="N423" s="146"/>
      <c r="O423" s="146"/>
    </row>
    <row r="424" spans="14:15">
      <c r="N424" s="146"/>
      <c r="O424" s="146"/>
    </row>
    <row r="425" spans="14:15">
      <c r="N425" s="146"/>
      <c r="O425" s="146"/>
    </row>
    <row r="426" spans="14:15">
      <c r="N426" s="146"/>
      <c r="O426" s="146"/>
    </row>
    <row r="427" spans="14:15">
      <c r="N427" s="146"/>
      <c r="O427" s="146"/>
    </row>
    <row r="428" spans="14:15">
      <c r="N428" s="146"/>
      <c r="O428" s="146"/>
    </row>
    <row r="429" spans="14:15">
      <c r="N429" s="146"/>
      <c r="O429" s="146"/>
    </row>
    <row r="430" spans="14:15">
      <c r="N430" s="146"/>
      <c r="O430" s="146"/>
    </row>
    <row r="431" spans="14:15">
      <c r="N431" s="146"/>
      <c r="O431" s="146"/>
    </row>
    <row r="432" spans="14:15">
      <c r="N432" s="146"/>
      <c r="O432" s="146"/>
    </row>
    <row r="433" spans="14:15">
      <c r="N433" s="146"/>
      <c r="O433" s="146"/>
    </row>
    <row r="434" spans="14:15">
      <c r="N434" s="146"/>
      <c r="O434" s="146"/>
    </row>
    <row r="435" spans="14:15">
      <c r="N435" s="146"/>
      <c r="O435" s="146"/>
    </row>
    <row r="436" spans="14:15">
      <c r="N436" s="146"/>
      <c r="O436" s="146"/>
    </row>
    <row r="437" spans="14:15">
      <c r="N437" s="146"/>
      <c r="O437" s="146"/>
    </row>
    <row r="438" spans="14:15">
      <c r="N438" s="146"/>
      <c r="O438" s="146"/>
    </row>
    <row r="439" spans="14:15">
      <c r="N439" s="146"/>
      <c r="O439" s="146"/>
    </row>
    <row r="440" spans="14:15">
      <c r="N440" s="146"/>
      <c r="O440" s="146"/>
    </row>
    <row r="441" spans="14:15">
      <c r="N441" s="146"/>
      <c r="O441" s="146"/>
    </row>
    <row r="442" spans="14:15">
      <c r="N442" s="146"/>
      <c r="O442" s="146"/>
    </row>
    <row r="443" spans="14:15">
      <c r="N443" s="146"/>
      <c r="O443" s="146"/>
    </row>
    <row r="444" spans="14:15">
      <c r="N444" s="146"/>
      <c r="O444" s="146"/>
    </row>
    <row r="445" spans="14:15">
      <c r="N445" s="146"/>
      <c r="O445" s="146"/>
    </row>
    <row r="446" spans="14:15">
      <c r="N446" s="146"/>
      <c r="O446" s="146"/>
    </row>
    <row r="447" spans="14:15">
      <c r="N447" s="146"/>
      <c r="O447" s="146"/>
    </row>
    <row r="448" spans="14:15">
      <c r="N448" s="146"/>
      <c r="O448" s="146"/>
    </row>
    <row r="449" spans="14:15">
      <c r="N449" s="146"/>
      <c r="O449" s="146"/>
    </row>
    <row r="450" spans="14:15">
      <c r="N450" s="146"/>
      <c r="O450" s="146"/>
    </row>
    <row r="451" spans="14:15">
      <c r="N451" s="146"/>
      <c r="O451" s="146"/>
    </row>
    <row r="452" spans="14:15">
      <c r="N452" s="146"/>
      <c r="O452" s="146"/>
    </row>
    <row r="453" spans="14:15">
      <c r="N453" s="146"/>
      <c r="O453" s="146"/>
    </row>
    <row r="454" spans="14:15">
      <c r="N454" s="146"/>
      <c r="O454" s="146"/>
    </row>
    <row r="455" spans="14:15">
      <c r="N455" s="146"/>
      <c r="O455" s="146"/>
    </row>
    <row r="456" spans="14:15">
      <c r="N456" s="146"/>
      <c r="O456" s="146"/>
    </row>
    <row r="457" spans="14:15">
      <c r="N457" s="146"/>
      <c r="O457" s="146"/>
    </row>
    <row r="458" spans="14:15">
      <c r="N458" s="146"/>
      <c r="O458" s="146"/>
    </row>
    <row r="459" spans="14:15">
      <c r="N459" s="146"/>
      <c r="O459" s="146"/>
    </row>
    <row r="460" spans="14:15">
      <c r="N460" s="146"/>
      <c r="O460" s="146"/>
    </row>
    <row r="461" spans="14:15">
      <c r="N461" s="146"/>
      <c r="O461" s="146"/>
    </row>
    <row r="462" spans="14:15">
      <c r="N462" s="146"/>
      <c r="O462" s="146"/>
    </row>
    <row r="463" spans="14:15">
      <c r="N463" s="146"/>
      <c r="O463" s="146"/>
    </row>
    <row r="464" spans="14:15">
      <c r="N464" s="146"/>
      <c r="O464" s="146"/>
    </row>
    <row r="465" spans="14:15">
      <c r="N465" s="146"/>
      <c r="O465" s="146"/>
    </row>
    <row r="466" spans="14:15">
      <c r="N466" s="146"/>
      <c r="O466" s="146"/>
    </row>
    <row r="467" spans="14:15">
      <c r="N467" s="146"/>
      <c r="O467" s="146"/>
    </row>
    <row r="468" spans="14:15">
      <c r="N468" s="146"/>
      <c r="O468" s="146"/>
    </row>
    <row r="469" spans="14:15">
      <c r="N469" s="146"/>
      <c r="O469" s="146"/>
    </row>
    <row r="470" spans="14:15">
      <c r="N470" s="146"/>
      <c r="O470" s="146"/>
    </row>
    <row r="471" spans="14:15">
      <c r="N471" s="146"/>
      <c r="O471" s="146"/>
    </row>
    <row r="472" spans="14:15">
      <c r="N472" s="146"/>
      <c r="O472" s="146"/>
    </row>
    <row r="473" spans="14:15">
      <c r="N473" s="146"/>
      <c r="O473" s="146"/>
    </row>
    <row r="474" spans="14:15">
      <c r="N474" s="146"/>
      <c r="O474" s="146"/>
    </row>
    <row r="475" spans="14:15">
      <c r="N475" s="146"/>
      <c r="O475" s="146"/>
    </row>
    <row r="476" spans="14:15">
      <c r="N476" s="146"/>
      <c r="O476" s="146"/>
    </row>
    <row r="477" spans="14:15">
      <c r="N477" s="146"/>
      <c r="O477" s="146"/>
    </row>
    <row r="478" spans="14:15">
      <c r="N478" s="146"/>
      <c r="O478" s="146"/>
    </row>
    <row r="479" spans="14:15">
      <c r="N479" s="146"/>
      <c r="O479" s="146"/>
    </row>
    <row r="480" spans="14:15">
      <c r="N480" s="146"/>
      <c r="O480" s="146"/>
    </row>
    <row r="481" spans="14:15">
      <c r="N481" s="146"/>
      <c r="O481" s="146"/>
    </row>
    <row r="482" spans="14:15">
      <c r="N482" s="146"/>
      <c r="O482" s="146"/>
    </row>
    <row r="483" spans="14:15">
      <c r="N483" s="146"/>
      <c r="O483" s="146"/>
    </row>
    <row r="484" spans="14:15">
      <c r="N484" s="146"/>
      <c r="O484" s="146"/>
    </row>
    <row r="485" spans="14:15">
      <c r="N485" s="146"/>
      <c r="O485" s="146"/>
    </row>
    <row r="486" spans="14:15">
      <c r="N486" s="146"/>
      <c r="O486" s="146"/>
    </row>
    <row r="487" spans="14:15">
      <c r="N487" s="146"/>
      <c r="O487" s="146"/>
    </row>
    <row r="488" spans="14:15">
      <c r="N488" s="146"/>
      <c r="O488" s="146"/>
    </row>
    <row r="489" spans="14:15">
      <c r="N489" s="146"/>
      <c r="O489" s="146"/>
    </row>
    <row r="490" spans="14:15">
      <c r="N490" s="146"/>
      <c r="O490" s="146"/>
    </row>
    <row r="491" spans="14:15">
      <c r="N491" s="146"/>
      <c r="O491" s="146"/>
    </row>
    <row r="492" spans="14:15">
      <c r="N492" s="146"/>
      <c r="O492" s="146"/>
    </row>
    <row r="493" spans="14:15">
      <c r="N493" s="146"/>
      <c r="O493" s="146"/>
    </row>
    <row r="494" spans="14:15">
      <c r="N494" s="146"/>
      <c r="O494" s="146"/>
    </row>
    <row r="495" spans="14:15">
      <c r="N495" s="146"/>
      <c r="O495" s="146"/>
    </row>
    <row r="496" spans="14:15">
      <c r="N496" s="146"/>
      <c r="O496" s="146"/>
    </row>
    <row r="497" spans="14:15">
      <c r="N497" s="146"/>
      <c r="O497" s="146"/>
    </row>
    <row r="498" spans="14:15">
      <c r="N498" s="146"/>
      <c r="O498" s="146"/>
    </row>
    <row r="499" spans="14:15">
      <c r="N499" s="146"/>
      <c r="O499" s="146"/>
    </row>
    <row r="500" spans="14:15">
      <c r="N500" s="146"/>
      <c r="O500" s="146"/>
    </row>
    <row r="501" spans="14:15">
      <c r="N501" s="146"/>
      <c r="O501" s="146"/>
    </row>
    <row r="502" spans="14:15">
      <c r="N502" s="146"/>
      <c r="O502" s="146"/>
    </row>
    <row r="503" spans="14:15">
      <c r="N503" s="146"/>
      <c r="O503" s="146"/>
    </row>
    <row r="504" spans="14:15">
      <c r="N504" s="146"/>
      <c r="O504" s="146"/>
    </row>
    <row r="505" spans="14:15">
      <c r="N505" s="146"/>
      <c r="O505" s="146"/>
    </row>
    <row r="506" spans="14:15">
      <c r="N506" s="146"/>
      <c r="O506" s="146"/>
    </row>
    <row r="507" spans="14:15">
      <c r="N507" s="146"/>
      <c r="O507" s="146"/>
    </row>
    <row r="508" spans="14:15">
      <c r="N508" s="146"/>
      <c r="O508" s="146"/>
    </row>
    <row r="509" spans="14:15">
      <c r="N509" s="146"/>
      <c r="O509" s="146"/>
    </row>
    <row r="510" spans="14:15">
      <c r="N510" s="146"/>
      <c r="O510" s="146"/>
    </row>
    <row r="511" spans="14:15">
      <c r="N511" s="146"/>
      <c r="O511" s="146"/>
    </row>
    <row r="512" spans="14:15">
      <c r="N512" s="146"/>
      <c r="O512" s="146"/>
    </row>
    <row r="513" spans="14:15">
      <c r="N513" s="146"/>
      <c r="O513" s="146"/>
    </row>
    <row r="514" spans="14:15">
      <c r="N514" s="146"/>
      <c r="O514" s="146"/>
    </row>
    <row r="515" spans="14:15">
      <c r="N515" s="146"/>
      <c r="O515" s="146"/>
    </row>
    <row r="516" spans="14:15">
      <c r="N516" s="146"/>
      <c r="O516" s="146"/>
    </row>
    <row r="517" spans="14:15">
      <c r="N517" s="146"/>
      <c r="O517" s="146"/>
    </row>
    <row r="518" spans="14:15">
      <c r="N518" s="146"/>
      <c r="O518" s="146"/>
    </row>
    <row r="519" spans="14:15">
      <c r="N519" s="146"/>
      <c r="O519" s="146"/>
    </row>
    <row r="520" spans="14:15">
      <c r="N520" s="146"/>
      <c r="O520" s="146"/>
    </row>
    <row r="521" spans="14:15">
      <c r="N521" s="146"/>
      <c r="O521" s="146"/>
    </row>
    <row r="522" spans="14:15">
      <c r="N522" s="146"/>
      <c r="O522" s="146"/>
    </row>
    <row r="523" spans="14:15">
      <c r="N523" s="146"/>
      <c r="O523" s="146"/>
    </row>
    <row r="524" spans="14:15">
      <c r="N524" s="146"/>
      <c r="O524" s="146"/>
    </row>
    <row r="525" spans="14:15">
      <c r="N525" s="146"/>
      <c r="O525" s="146"/>
    </row>
    <row r="526" spans="14:15">
      <c r="N526" s="146"/>
      <c r="O526" s="146"/>
    </row>
    <row r="527" spans="14:15">
      <c r="N527" s="146"/>
      <c r="O527" s="146"/>
    </row>
    <row r="528" spans="14:15">
      <c r="N528" s="146"/>
      <c r="O528" s="146"/>
    </row>
    <row r="529" spans="14:15">
      <c r="N529" s="146"/>
      <c r="O529" s="146"/>
    </row>
    <row r="530" spans="14:15">
      <c r="N530" s="146"/>
      <c r="O530" s="146"/>
    </row>
    <row r="531" spans="14:15">
      <c r="N531" s="146"/>
      <c r="O531" s="146"/>
    </row>
    <row r="532" spans="14:15">
      <c r="N532" s="146"/>
      <c r="O532" s="146"/>
    </row>
    <row r="533" spans="14:15">
      <c r="N533" s="146"/>
      <c r="O533" s="146"/>
    </row>
    <row r="534" spans="14:15">
      <c r="N534" s="146"/>
      <c r="O534" s="146"/>
    </row>
    <row r="535" spans="14:15">
      <c r="N535" s="146"/>
      <c r="O535" s="146"/>
    </row>
    <row r="536" spans="14:15">
      <c r="N536" s="146"/>
      <c r="O536" s="146"/>
    </row>
    <row r="537" spans="14:15">
      <c r="N537" s="146"/>
      <c r="O537" s="146"/>
    </row>
    <row r="538" spans="14:15">
      <c r="N538" s="146"/>
      <c r="O538" s="146"/>
    </row>
    <row r="539" spans="14:15">
      <c r="N539" s="146"/>
      <c r="O539" s="146"/>
    </row>
    <row r="540" spans="14:15">
      <c r="N540" s="146"/>
      <c r="O540" s="146"/>
    </row>
    <row r="541" spans="14:15">
      <c r="N541" s="146"/>
      <c r="O541" s="146"/>
    </row>
    <row r="542" spans="14:15">
      <c r="N542" s="146"/>
      <c r="O542" s="146"/>
    </row>
    <row r="543" spans="14:15">
      <c r="N543" s="146"/>
      <c r="O543" s="146"/>
    </row>
    <row r="544" spans="14:15">
      <c r="N544" s="146"/>
      <c r="O544" s="146"/>
    </row>
    <row r="545" spans="14:15">
      <c r="N545" s="146"/>
      <c r="O545" s="146"/>
    </row>
    <row r="546" spans="14:15">
      <c r="N546" s="146"/>
      <c r="O546" s="146"/>
    </row>
    <row r="547" spans="14:15">
      <c r="N547" s="146"/>
      <c r="O547" s="146"/>
    </row>
    <row r="548" spans="14:15">
      <c r="N548" s="146"/>
      <c r="O548" s="146"/>
    </row>
    <row r="549" spans="14:15">
      <c r="N549" s="146"/>
      <c r="O549" s="146"/>
    </row>
    <row r="550" spans="14:15">
      <c r="N550" s="146"/>
      <c r="O550" s="146"/>
    </row>
    <row r="551" spans="14:15">
      <c r="N551" s="146"/>
      <c r="O551" s="146"/>
    </row>
    <row r="552" spans="14:15">
      <c r="N552" s="146"/>
      <c r="O552" s="146"/>
    </row>
    <row r="553" spans="14:15">
      <c r="N553" s="146"/>
      <c r="O553" s="146"/>
    </row>
    <row r="554" spans="14:15">
      <c r="N554" s="146"/>
      <c r="O554" s="146"/>
    </row>
    <row r="555" spans="14:15">
      <c r="N555" s="146"/>
      <c r="O555" s="146"/>
    </row>
    <row r="556" spans="14:15">
      <c r="N556" s="146"/>
      <c r="O556" s="146"/>
    </row>
    <row r="557" spans="14:15">
      <c r="N557" s="146"/>
      <c r="O557" s="146"/>
    </row>
    <row r="558" spans="14:15">
      <c r="N558" s="146"/>
      <c r="O558" s="146"/>
    </row>
    <row r="559" spans="14:15">
      <c r="N559" s="146"/>
      <c r="O559" s="146"/>
    </row>
    <row r="560" spans="14:15">
      <c r="N560" s="146"/>
      <c r="O560" s="146"/>
    </row>
    <row r="561" spans="14:15">
      <c r="N561" s="146"/>
      <c r="O561" s="146"/>
    </row>
    <row r="562" spans="14:15">
      <c r="N562" s="146"/>
      <c r="O562" s="146"/>
    </row>
    <row r="563" spans="14:15">
      <c r="N563" s="146"/>
      <c r="O563" s="146"/>
    </row>
    <row r="564" spans="14:15">
      <c r="N564" s="146"/>
      <c r="O564" s="146"/>
    </row>
    <row r="565" spans="14:15">
      <c r="N565" s="146"/>
      <c r="O565" s="146"/>
    </row>
    <row r="566" spans="14:15">
      <c r="N566" s="146"/>
      <c r="O566" s="146"/>
    </row>
    <row r="567" spans="14:15">
      <c r="N567" s="146"/>
      <c r="O567" s="146"/>
    </row>
    <row r="568" spans="14:15">
      <c r="N568" s="146"/>
      <c r="O568" s="146"/>
    </row>
    <row r="569" spans="14:15">
      <c r="N569" s="146"/>
      <c r="O569" s="146"/>
    </row>
    <row r="570" spans="14:15">
      <c r="N570" s="146"/>
      <c r="O570" s="146"/>
    </row>
    <row r="571" spans="14:15">
      <c r="N571" s="146"/>
      <c r="O571" s="146"/>
    </row>
    <row r="572" spans="14:15">
      <c r="N572" s="146"/>
      <c r="O572" s="146"/>
    </row>
    <row r="573" spans="14:15">
      <c r="N573" s="146"/>
      <c r="O573" s="146"/>
    </row>
    <row r="574" spans="14:15">
      <c r="N574" s="146"/>
      <c r="O574" s="146"/>
    </row>
    <row r="575" spans="14:15">
      <c r="N575" s="146"/>
      <c r="O575" s="146"/>
    </row>
    <row r="576" spans="14:15">
      <c r="N576" s="146"/>
      <c r="O576" s="146"/>
    </row>
    <row r="577" spans="14:15">
      <c r="N577" s="146"/>
      <c r="O577" s="146"/>
    </row>
    <row r="578" spans="14:15">
      <c r="N578" s="146"/>
      <c r="O578" s="146"/>
    </row>
    <row r="579" spans="14:15">
      <c r="N579" s="146"/>
      <c r="O579" s="146"/>
    </row>
    <row r="580" spans="14:15">
      <c r="N580" s="146"/>
      <c r="O580" s="146"/>
    </row>
    <row r="581" spans="14:15">
      <c r="N581" s="146"/>
      <c r="O581" s="146"/>
    </row>
    <row r="582" spans="14:15">
      <c r="N582" s="146"/>
      <c r="O582" s="146"/>
    </row>
    <row r="583" spans="14:15">
      <c r="N583" s="146"/>
      <c r="O583" s="146"/>
    </row>
    <row r="584" spans="14:15">
      <c r="N584" s="146"/>
      <c r="O584" s="146"/>
    </row>
    <row r="585" spans="14:15">
      <c r="N585" s="146"/>
      <c r="O585" s="146"/>
    </row>
    <row r="586" spans="14:15">
      <c r="N586" s="146"/>
      <c r="O586" s="146"/>
    </row>
    <row r="587" spans="14:15">
      <c r="N587" s="146"/>
      <c r="O587" s="146"/>
    </row>
    <row r="588" spans="14:15">
      <c r="N588" s="146"/>
      <c r="O588" s="146"/>
    </row>
    <row r="589" spans="14:15">
      <c r="N589" s="146"/>
      <c r="O589" s="146"/>
    </row>
    <row r="590" spans="14:15">
      <c r="N590" s="146"/>
      <c r="O590" s="146"/>
    </row>
    <row r="591" spans="14:15">
      <c r="N591" s="146"/>
      <c r="O591" s="146"/>
    </row>
    <row r="592" spans="14:15">
      <c r="N592" s="146"/>
      <c r="O592" s="146"/>
    </row>
    <row r="593" spans="14:15">
      <c r="N593" s="146"/>
      <c r="O593" s="146"/>
    </row>
    <row r="594" spans="14:15">
      <c r="N594" s="146"/>
      <c r="O594" s="146"/>
    </row>
    <row r="595" spans="14:15">
      <c r="N595" s="146"/>
      <c r="O595" s="146"/>
    </row>
    <row r="596" spans="14:15">
      <c r="N596" s="146"/>
      <c r="O596" s="146"/>
    </row>
    <row r="597" spans="14:15">
      <c r="N597" s="146"/>
      <c r="O597" s="146"/>
    </row>
    <row r="598" spans="14:15">
      <c r="N598" s="146"/>
      <c r="O598" s="146"/>
    </row>
    <row r="599" spans="14:15">
      <c r="N599" s="146"/>
      <c r="O599" s="146"/>
    </row>
    <row r="600" spans="14:15">
      <c r="N600" s="146"/>
      <c r="O600" s="146"/>
    </row>
    <row r="601" spans="14:15">
      <c r="N601" s="146"/>
      <c r="O601" s="146"/>
    </row>
    <row r="602" spans="14:15">
      <c r="N602" s="146"/>
      <c r="O602" s="146"/>
    </row>
    <row r="603" spans="14:15">
      <c r="N603" s="146"/>
      <c r="O603" s="146"/>
    </row>
    <row r="604" spans="14:15">
      <c r="N604" s="146"/>
      <c r="O604" s="146"/>
    </row>
    <row r="605" spans="14:15">
      <c r="N605" s="146"/>
      <c r="O605" s="146"/>
    </row>
    <row r="606" spans="14:15">
      <c r="N606" s="146"/>
      <c r="O606" s="146"/>
    </row>
    <row r="607" spans="14:15">
      <c r="N607" s="146"/>
      <c r="O607" s="146"/>
    </row>
    <row r="608" spans="14:15">
      <c r="N608" s="146"/>
      <c r="O608" s="146"/>
    </row>
    <row r="609" spans="14:15">
      <c r="N609" s="146"/>
      <c r="O609" s="146"/>
    </row>
    <row r="610" spans="14:15">
      <c r="N610" s="146"/>
      <c r="O610" s="146"/>
    </row>
    <row r="611" spans="14:15">
      <c r="N611" s="146"/>
      <c r="O611" s="146"/>
    </row>
    <row r="612" spans="14:15">
      <c r="N612" s="146"/>
      <c r="O612" s="146"/>
    </row>
    <row r="613" spans="14:15">
      <c r="N613" s="146"/>
      <c r="O613" s="146"/>
    </row>
    <row r="614" spans="14:15">
      <c r="N614" s="146"/>
      <c r="O614" s="146"/>
    </row>
    <row r="615" spans="14:15">
      <c r="N615" s="146"/>
      <c r="O615" s="146"/>
    </row>
    <row r="616" spans="14:15">
      <c r="N616" s="146"/>
      <c r="O616" s="146"/>
    </row>
    <row r="617" spans="14:15">
      <c r="N617" s="146"/>
      <c r="O617" s="146"/>
    </row>
    <row r="618" spans="14:15">
      <c r="N618" s="146"/>
      <c r="O618" s="146"/>
    </row>
    <row r="619" spans="14:15">
      <c r="N619" s="146"/>
      <c r="O619" s="146"/>
    </row>
    <row r="620" spans="14:15">
      <c r="N620" s="146"/>
      <c r="O620" s="146"/>
    </row>
    <row r="621" spans="14:15">
      <c r="N621" s="146"/>
      <c r="O621" s="146"/>
    </row>
    <row r="622" spans="14:15">
      <c r="N622" s="146"/>
      <c r="O622" s="146"/>
    </row>
    <row r="623" spans="14:15">
      <c r="N623" s="146"/>
      <c r="O623" s="146"/>
    </row>
    <row r="624" spans="14:15">
      <c r="N624" s="146"/>
      <c r="O624" s="146"/>
    </row>
    <row r="625" spans="14:15">
      <c r="N625" s="146"/>
      <c r="O625" s="146"/>
    </row>
    <row r="626" spans="14:15">
      <c r="N626" s="146"/>
      <c r="O626" s="146"/>
    </row>
    <row r="627" spans="14:15">
      <c r="N627" s="146"/>
      <c r="O627" s="146"/>
    </row>
    <row r="628" spans="14:15">
      <c r="N628" s="146"/>
      <c r="O628" s="146"/>
    </row>
    <row r="629" spans="14:15">
      <c r="N629" s="146"/>
      <c r="O629" s="146"/>
    </row>
    <row r="630" spans="14:15">
      <c r="N630" s="146"/>
      <c r="O630" s="146"/>
    </row>
    <row r="631" spans="14:15">
      <c r="N631" s="146"/>
      <c r="O631" s="146"/>
    </row>
    <row r="632" spans="14:15">
      <c r="N632" s="146"/>
      <c r="O632" s="146"/>
    </row>
    <row r="633" spans="14:15">
      <c r="N633" s="146"/>
      <c r="O633" s="146"/>
    </row>
    <row r="634" spans="14:15">
      <c r="N634" s="146"/>
      <c r="O634" s="146"/>
    </row>
    <row r="635" spans="14:15">
      <c r="N635" s="146"/>
      <c r="O635" s="146"/>
    </row>
    <row r="636" spans="14:15">
      <c r="N636" s="146"/>
      <c r="O636" s="146"/>
    </row>
    <row r="637" spans="14:15">
      <c r="N637" s="146"/>
      <c r="O637" s="146"/>
    </row>
    <row r="638" spans="14:15">
      <c r="N638" s="146"/>
      <c r="O638" s="146"/>
    </row>
    <row r="639" spans="14:15">
      <c r="N639" s="146"/>
      <c r="O639" s="146"/>
    </row>
    <row r="640" spans="14:15">
      <c r="N640" s="146"/>
      <c r="O640" s="146"/>
    </row>
    <row r="641" spans="14:15">
      <c r="N641" s="146"/>
      <c r="O641" s="146"/>
    </row>
    <row r="642" spans="14:15">
      <c r="N642" s="146"/>
      <c r="O642" s="146"/>
    </row>
    <row r="643" spans="14:15">
      <c r="N643" s="146"/>
      <c r="O643" s="146"/>
    </row>
    <row r="644" spans="14:15">
      <c r="N644" s="146"/>
      <c r="O644" s="146"/>
    </row>
    <row r="645" spans="14:15">
      <c r="N645" s="146"/>
      <c r="O645" s="146"/>
    </row>
    <row r="646" spans="14:15">
      <c r="N646" s="146"/>
      <c r="O646" s="146"/>
    </row>
    <row r="647" spans="14:15">
      <c r="N647" s="146"/>
      <c r="O647" s="146"/>
    </row>
    <row r="648" spans="14:15">
      <c r="N648" s="146"/>
      <c r="O648" s="146"/>
    </row>
    <row r="649" spans="14:15">
      <c r="N649" s="146"/>
      <c r="O649" s="146"/>
    </row>
    <row r="650" spans="14:15">
      <c r="N650" s="146"/>
      <c r="O650" s="146"/>
    </row>
    <row r="651" spans="14:15">
      <c r="N651" s="146"/>
      <c r="O651" s="146"/>
    </row>
    <row r="652" spans="14:15">
      <c r="N652" s="146"/>
      <c r="O652" s="146"/>
    </row>
    <row r="653" spans="14:15">
      <c r="N653" s="146"/>
      <c r="O653" s="146"/>
    </row>
    <row r="654" spans="14:15">
      <c r="N654" s="146"/>
      <c r="O654" s="146"/>
    </row>
    <row r="655" spans="14:15">
      <c r="N655" s="146"/>
      <c r="O655" s="146"/>
    </row>
    <row r="656" spans="14:15">
      <c r="N656" s="146"/>
      <c r="O656" s="146"/>
    </row>
    <row r="657" spans="14:15">
      <c r="N657" s="146"/>
      <c r="O657" s="146"/>
    </row>
    <row r="658" spans="14:15">
      <c r="N658" s="146"/>
      <c r="O658" s="146"/>
    </row>
    <row r="659" spans="14:15">
      <c r="N659" s="146"/>
      <c r="O659" s="146"/>
    </row>
    <row r="660" spans="14:15">
      <c r="N660" s="146"/>
      <c r="O660" s="146"/>
    </row>
    <row r="661" spans="14:15">
      <c r="N661" s="146"/>
      <c r="O661" s="146"/>
    </row>
    <row r="662" spans="14:15">
      <c r="N662" s="146"/>
      <c r="O662" s="146"/>
    </row>
    <row r="663" spans="14:15">
      <c r="N663" s="146"/>
      <c r="O663" s="146"/>
    </row>
    <row r="664" spans="14:15">
      <c r="N664" s="146"/>
      <c r="O664" s="146"/>
    </row>
    <row r="665" spans="14:15">
      <c r="N665" s="146"/>
      <c r="O665" s="146"/>
    </row>
    <row r="666" spans="14:15">
      <c r="N666" s="146"/>
      <c r="O666" s="146"/>
    </row>
    <row r="667" spans="14:15">
      <c r="N667" s="146"/>
      <c r="O667" s="146"/>
    </row>
    <row r="668" spans="14:15">
      <c r="N668" s="146"/>
      <c r="O668" s="146"/>
    </row>
    <row r="669" spans="14:15">
      <c r="N669" s="146"/>
      <c r="O669" s="146"/>
    </row>
    <row r="670" spans="14:15">
      <c r="N670" s="146"/>
      <c r="O670" s="146"/>
    </row>
    <row r="671" spans="14:15">
      <c r="N671" s="146"/>
      <c r="O671" s="146"/>
    </row>
    <row r="672" spans="14:15">
      <c r="N672" s="146"/>
      <c r="O672" s="146"/>
    </row>
    <row r="673" spans="14:15">
      <c r="N673" s="146"/>
      <c r="O673" s="146"/>
    </row>
    <row r="674" spans="14:15">
      <c r="N674" s="146"/>
      <c r="O674" s="146"/>
    </row>
    <row r="675" spans="14:15">
      <c r="N675" s="146"/>
      <c r="O675" s="146"/>
    </row>
    <row r="676" spans="14:15">
      <c r="N676" s="146"/>
      <c r="O676" s="146"/>
    </row>
    <row r="677" spans="14:15">
      <c r="N677" s="146"/>
      <c r="O677" s="146"/>
    </row>
    <row r="678" spans="14:15">
      <c r="N678" s="146"/>
      <c r="O678" s="146"/>
    </row>
    <row r="679" spans="14:15">
      <c r="N679" s="146"/>
      <c r="O679" s="146"/>
    </row>
    <row r="680" spans="14:15">
      <c r="N680" s="146"/>
      <c r="O680" s="146"/>
    </row>
    <row r="681" spans="14:15">
      <c r="N681" s="146"/>
      <c r="O681" s="146"/>
    </row>
    <row r="682" spans="14:15">
      <c r="N682" s="146"/>
      <c r="O682" s="146"/>
    </row>
    <row r="683" spans="14:15">
      <c r="N683" s="146"/>
      <c r="O683" s="146"/>
    </row>
    <row r="684" spans="14:15">
      <c r="N684" s="146"/>
      <c r="O684" s="146"/>
    </row>
    <row r="685" spans="14:15">
      <c r="N685" s="146"/>
      <c r="O685" s="146"/>
    </row>
    <row r="686" spans="14:15">
      <c r="N686" s="146"/>
      <c r="O686" s="146"/>
    </row>
    <row r="687" spans="14:15">
      <c r="N687" s="146"/>
      <c r="O687" s="146"/>
    </row>
    <row r="688" spans="14:15">
      <c r="N688" s="146"/>
      <c r="O688" s="146"/>
    </row>
    <row r="689" spans="14:15">
      <c r="N689" s="146"/>
      <c r="O689" s="146"/>
    </row>
    <row r="690" spans="14:15">
      <c r="N690" s="146"/>
      <c r="O690" s="146"/>
    </row>
    <row r="691" spans="14:15">
      <c r="N691" s="146"/>
      <c r="O691" s="146"/>
    </row>
    <row r="692" spans="14:15">
      <c r="N692" s="146"/>
      <c r="O692" s="146"/>
    </row>
    <row r="693" spans="14:15">
      <c r="N693" s="146"/>
      <c r="O693" s="146"/>
    </row>
    <row r="694" spans="14:15">
      <c r="N694" s="146"/>
      <c r="O694" s="146"/>
    </row>
    <row r="695" spans="14:15">
      <c r="N695" s="146"/>
      <c r="O695" s="146"/>
    </row>
    <row r="696" spans="14:15">
      <c r="N696" s="146"/>
      <c r="O696" s="146"/>
    </row>
    <row r="697" spans="14:15">
      <c r="N697" s="146"/>
      <c r="O697" s="146"/>
    </row>
    <row r="698" spans="14:15">
      <c r="N698" s="146"/>
      <c r="O698" s="146"/>
    </row>
    <row r="699" spans="14:15">
      <c r="N699" s="146"/>
      <c r="O699" s="146"/>
    </row>
    <row r="700" spans="14:15">
      <c r="N700" s="146"/>
      <c r="O700" s="146"/>
    </row>
    <row r="701" spans="14:15">
      <c r="N701" s="146"/>
      <c r="O701" s="146"/>
    </row>
    <row r="702" spans="14:15">
      <c r="N702" s="146"/>
      <c r="O702" s="146"/>
    </row>
    <row r="703" spans="14:15">
      <c r="N703" s="146"/>
      <c r="O703" s="146"/>
    </row>
    <row r="704" spans="14:15">
      <c r="N704" s="146"/>
      <c r="O704" s="146"/>
    </row>
    <row r="705" spans="14:15">
      <c r="N705" s="146"/>
      <c r="O705" s="146"/>
    </row>
    <row r="706" spans="14:15">
      <c r="N706" s="146"/>
      <c r="O706" s="146"/>
    </row>
    <row r="707" spans="14:15">
      <c r="N707" s="146"/>
      <c r="O707" s="146"/>
    </row>
    <row r="708" spans="14:15">
      <c r="N708" s="146"/>
      <c r="O708" s="146"/>
    </row>
    <row r="709" spans="14:15">
      <c r="N709" s="146"/>
      <c r="O709" s="146"/>
    </row>
    <row r="710" spans="14:15">
      <c r="N710" s="146"/>
      <c r="O710" s="146"/>
    </row>
    <row r="711" spans="14:15">
      <c r="N711" s="146"/>
      <c r="O711" s="146"/>
    </row>
    <row r="712" spans="14:15">
      <c r="N712" s="146"/>
      <c r="O712" s="146"/>
    </row>
    <row r="713" spans="14:15">
      <c r="N713" s="146"/>
      <c r="O713" s="146"/>
    </row>
    <row r="714" spans="14:15">
      <c r="N714" s="146"/>
      <c r="O714" s="146"/>
    </row>
    <row r="715" spans="14:15">
      <c r="N715" s="146"/>
      <c r="O715" s="146"/>
    </row>
    <row r="716" spans="14:15">
      <c r="N716" s="146"/>
      <c r="O716" s="146"/>
    </row>
    <row r="717" spans="14:15">
      <c r="N717" s="146"/>
      <c r="O717" s="146"/>
    </row>
    <row r="718" spans="14:15">
      <c r="N718" s="146"/>
      <c r="O718" s="146"/>
    </row>
    <row r="719" spans="14:15">
      <c r="N719" s="146"/>
      <c r="O719" s="146"/>
    </row>
    <row r="720" spans="14:15">
      <c r="N720" s="146"/>
      <c r="O720" s="146"/>
    </row>
    <row r="721" spans="14:15">
      <c r="N721" s="146"/>
      <c r="O721" s="146"/>
    </row>
    <row r="722" spans="14:15">
      <c r="N722" s="146"/>
      <c r="O722" s="146"/>
    </row>
    <row r="723" spans="14:15">
      <c r="N723" s="146"/>
      <c r="O723" s="146"/>
    </row>
    <row r="724" spans="14:15">
      <c r="N724" s="146"/>
      <c r="O724" s="146"/>
    </row>
    <row r="725" spans="14:15">
      <c r="N725" s="146"/>
      <c r="O725" s="146"/>
    </row>
    <row r="726" spans="14:15">
      <c r="N726" s="146"/>
      <c r="O726" s="146"/>
    </row>
    <row r="727" spans="14:15">
      <c r="N727" s="146"/>
      <c r="O727" s="146"/>
    </row>
    <row r="728" spans="14:15">
      <c r="N728" s="146"/>
      <c r="O728" s="146"/>
    </row>
    <row r="729" spans="14:15">
      <c r="N729" s="146"/>
      <c r="O729" s="146"/>
    </row>
    <row r="730" spans="14:15">
      <c r="N730" s="146"/>
      <c r="O730" s="146"/>
    </row>
    <row r="731" spans="14:15">
      <c r="N731" s="146"/>
      <c r="O731" s="146"/>
    </row>
    <row r="732" spans="14:15">
      <c r="N732" s="146"/>
      <c r="O732" s="146"/>
    </row>
    <row r="733" spans="14:15">
      <c r="N733" s="146"/>
      <c r="O733" s="146"/>
    </row>
    <row r="734" spans="14:15">
      <c r="N734" s="146"/>
      <c r="O734" s="146"/>
    </row>
    <row r="735" spans="14:15">
      <c r="N735" s="146"/>
      <c r="O735" s="146"/>
    </row>
    <row r="736" spans="14:15">
      <c r="N736" s="146"/>
      <c r="O736" s="146"/>
    </row>
    <row r="737" spans="14:15">
      <c r="N737" s="146"/>
      <c r="O737" s="146"/>
    </row>
    <row r="738" spans="14:15">
      <c r="N738" s="146"/>
      <c r="O738" s="146"/>
    </row>
    <row r="739" spans="14:15">
      <c r="N739" s="146"/>
      <c r="O739" s="146"/>
    </row>
    <row r="740" spans="14:15">
      <c r="N740" s="146"/>
      <c r="O740" s="146"/>
    </row>
    <row r="741" spans="14:15">
      <c r="N741" s="146"/>
      <c r="O741" s="146"/>
    </row>
    <row r="742" spans="14:15">
      <c r="N742" s="146"/>
      <c r="O742" s="146"/>
    </row>
    <row r="743" spans="14:15">
      <c r="N743" s="146"/>
      <c r="O743" s="146"/>
    </row>
    <row r="744" spans="14:15">
      <c r="N744" s="146"/>
      <c r="O744" s="146"/>
    </row>
    <row r="745" spans="14:15">
      <c r="N745" s="146"/>
      <c r="O745" s="146"/>
    </row>
    <row r="746" spans="14:15">
      <c r="N746" s="146"/>
      <c r="O746" s="146"/>
    </row>
    <row r="747" spans="14:15">
      <c r="N747" s="146"/>
      <c r="O747" s="146"/>
    </row>
    <row r="748" spans="14:15">
      <c r="N748" s="146"/>
      <c r="O748" s="146"/>
    </row>
    <row r="749" spans="14:15">
      <c r="N749" s="146"/>
      <c r="O749" s="146"/>
    </row>
    <row r="750" spans="14:15">
      <c r="N750" s="146"/>
      <c r="O750" s="146"/>
    </row>
    <row r="751" spans="14:15">
      <c r="N751" s="146"/>
      <c r="O751" s="146"/>
    </row>
    <row r="752" spans="14:15">
      <c r="N752" s="146"/>
      <c r="O752" s="146"/>
    </row>
    <row r="753" spans="14:15">
      <c r="N753" s="146"/>
      <c r="O753" s="146"/>
    </row>
    <row r="754" spans="14:15">
      <c r="N754" s="146"/>
      <c r="O754" s="146"/>
    </row>
    <row r="755" spans="14:15">
      <c r="N755" s="146"/>
      <c r="O755" s="146"/>
    </row>
    <row r="756" spans="14:15">
      <c r="N756" s="146"/>
      <c r="O756" s="146"/>
    </row>
    <row r="757" spans="14:15">
      <c r="N757" s="146"/>
      <c r="O757" s="146"/>
    </row>
    <row r="758" spans="14:15">
      <c r="N758" s="146"/>
      <c r="O758" s="146"/>
    </row>
    <row r="759" spans="14:15">
      <c r="N759" s="146"/>
      <c r="O759" s="146"/>
    </row>
    <row r="760" spans="14:15">
      <c r="N760" s="146"/>
      <c r="O760" s="146"/>
    </row>
    <row r="761" spans="14:15">
      <c r="N761" s="146"/>
      <c r="O761" s="146"/>
    </row>
    <row r="762" spans="14:15">
      <c r="N762" s="146"/>
      <c r="O762" s="146"/>
    </row>
    <row r="763" spans="14:15">
      <c r="N763" s="146"/>
      <c r="O763" s="146"/>
    </row>
    <row r="764" spans="14:15">
      <c r="N764" s="146"/>
      <c r="O764" s="146"/>
    </row>
    <row r="765" spans="14:15">
      <c r="N765" s="146"/>
      <c r="O765" s="146"/>
    </row>
    <row r="766" spans="14:15">
      <c r="N766" s="146"/>
      <c r="O766" s="146"/>
    </row>
    <row r="767" spans="14:15">
      <c r="N767" s="146"/>
      <c r="O767" s="146"/>
    </row>
    <row r="768" spans="14:15">
      <c r="N768" s="146"/>
      <c r="O768" s="146"/>
    </row>
    <row r="769" spans="14:15">
      <c r="N769" s="146"/>
      <c r="O769" s="146"/>
    </row>
    <row r="770" spans="14:15">
      <c r="N770" s="146"/>
      <c r="O770" s="146"/>
    </row>
    <row r="771" spans="14:15">
      <c r="N771" s="146"/>
      <c r="O771" s="146"/>
    </row>
    <row r="772" spans="14:15">
      <c r="N772" s="146"/>
      <c r="O772" s="146"/>
    </row>
    <row r="773" spans="14:15">
      <c r="N773" s="146"/>
      <c r="O773" s="146"/>
    </row>
    <row r="774" spans="14:15">
      <c r="N774" s="146"/>
      <c r="O774" s="146"/>
    </row>
    <row r="775" spans="14:15">
      <c r="N775" s="146"/>
      <c r="O775" s="146"/>
    </row>
    <row r="776" spans="14:15">
      <c r="N776" s="146"/>
      <c r="O776" s="146"/>
    </row>
    <row r="777" spans="14:15">
      <c r="N777" s="146"/>
      <c r="O777" s="146"/>
    </row>
    <row r="778" spans="14:15">
      <c r="N778" s="146"/>
      <c r="O778" s="146"/>
    </row>
    <row r="779" spans="14:15">
      <c r="N779" s="146"/>
      <c r="O779" s="146"/>
    </row>
    <row r="780" spans="14:15">
      <c r="N780" s="146"/>
      <c r="O780" s="146"/>
    </row>
    <row r="781" spans="14:15">
      <c r="N781" s="146"/>
      <c r="O781" s="146"/>
    </row>
    <row r="782" spans="14:15">
      <c r="N782" s="146"/>
      <c r="O782" s="146"/>
    </row>
    <row r="783" spans="14:15">
      <c r="N783" s="146"/>
      <c r="O783" s="146"/>
    </row>
    <row r="784" spans="14:15">
      <c r="N784" s="146"/>
      <c r="O784" s="146"/>
    </row>
    <row r="785" spans="14:15">
      <c r="N785" s="146"/>
      <c r="O785" s="146"/>
    </row>
    <row r="786" spans="14:15">
      <c r="N786" s="146"/>
      <c r="O786" s="146"/>
    </row>
    <row r="787" spans="14:15">
      <c r="N787" s="146"/>
      <c r="O787" s="146"/>
    </row>
    <row r="788" spans="14:15">
      <c r="N788" s="146"/>
      <c r="O788" s="146"/>
    </row>
    <row r="789" spans="14:15">
      <c r="N789" s="146"/>
      <c r="O789" s="146"/>
    </row>
    <row r="790" spans="14:15">
      <c r="N790" s="146"/>
      <c r="O790" s="146"/>
    </row>
    <row r="791" spans="14:15">
      <c r="N791" s="146"/>
      <c r="O791" s="146"/>
    </row>
    <row r="792" spans="14:15">
      <c r="N792" s="146"/>
      <c r="O792" s="146"/>
    </row>
    <row r="793" spans="14:15">
      <c r="N793" s="146"/>
      <c r="O793" s="146"/>
    </row>
    <row r="794" spans="14:15">
      <c r="N794" s="146"/>
      <c r="O794" s="146"/>
    </row>
    <row r="795" spans="14:15">
      <c r="N795" s="146"/>
      <c r="O795" s="146"/>
    </row>
    <row r="796" spans="14:15">
      <c r="N796" s="146"/>
      <c r="O796" s="146"/>
    </row>
    <row r="797" spans="14:15">
      <c r="N797" s="146"/>
      <c r="O797" s="146"/>
    </row>
    <row r="798" spans="14:15">
      <c r="N798" s="146"/>
      <c r="O798" s="146"/>
    </row>
    <row r="799" spans="14:15">
      <c r="N799" s="146"/>
      <c r="O799" s="146"/>
    </row>
    <row r="800" spans="14:15">
      <c r="N800" s="146"/>
      <c r="O800" s="146"/>
    </row>
    <row r="801" spans="14:15">
      <c r="N801" s="146"/>
      <c r="O801" s="146"/>
    </row>
    <row r="802" spans="14:15">
      <c r="N802" s="146"/>
      <c r="O802" s="146"/>
    </row>
    <row r="803" spans="14:15">
      <c r="N803" s="146"/>
      <c r="O803" s="146"/>
    </row>
    <row r="804" spans="14:15">
      <c r="N804" s="146"/>
      <c r="O804" s="146"/>
    </row>
    <row r="805" spans="14:15">
      <c r="N805" s="146"/>
      <c r="O805" s="146"/>
    </row>
    <row r="806" spans="14:15">
      <c r="N806" s="146"/>
      <c r="O806" s="146"/>
    </row>
    <row r="807" spans="14:15">
      <c r="N807" s="146"/>
      <c r="O807" s="146"/>
    </row>
    <row r="808" spans="14:15">
      <c r="N808" s="146"/>
      <c r="O808" s="146"/>
    </row>
    <row r="809" spans="14:15">
      <c r="N809" s="146"/>
      <c r="O809" s="146"/>
    </row>
    <row r="810" spans="14:15">
      <c r="N810" s="146"/>
      <c r="O810" s="146"/>
    </row>
    <row r="811" spans="14:15">
      <c r="N811" s="146"/>
      <c r="O811" s="146"/>
    </row>
    <row r="812" spans="14:15">
      <c r="N812" s="146"/>
      <c r="O812" s="146"/>
    </row>
    <row r="813" spans="14:15">
      <c r="N813" s="146"/>
      <c r="O813" s="146"/>
    </row>
    <row r="814" spans="14:15">
      <c r="N814" s="146"/>
      <c r="O814" s="146"/>
    </row>
    <row r="815" spans="14:15">
      <c r="N815" s="146"/>
      <c r="O815" s="146"/>
    </row>
    <row r="816" spans="14:15">
      <c r="N816" s="146"/>
      <c r="O816" s="146"/>
    </row>
    <row r="817" spans="14:15">
      <c r="N817" s="146"/>
      <c r="O817" s="146"/>
    </row>
    <row r="818" spans="14:15">
      <c r="N818" s="146"/>
      <c r="O818" s="146"/>
    </row>
    <row r="819" spans="14:15">
      <c r="N819" s="146"/>
      <c r="O819" s="146"/>
    </row>
    <row r="820" spans="14:15">
      <c r="N820" s="146"/>
      <c r="O820" s="146"/>
    </row>
    <row r="821" spans="14:15">
      <c r="N821" s="146"/>
      <c r="O821" s="146"/>
    </row>
    <row r="822" spans="14:15">
      <c r="N822" s="146"/>
      <c r="O822" s="146"/>
    </row>
    <row r="823" spans="14:15">
      <c r="N823" s="146"/>
      <c r="O823" s="146"/>
    </row>
    <row r="824" spans="14:15">
      <c r="N824" s="146"/>
      <c r="O824" s="146"/>
    </row>
    <row r="825" spans="14:15">
      <c r="N825" s="146"/>
      <c r="O825" s="146"/>
    </row>
    <row r="826" spans="14:15">
      <c r="N826" s="146"/>
      <c r="O826" s="146"/>
    </row>
    <row r="827" spans="14:15">
      <c r="N827" s="146"/>
      <c r="O827" s="146"/>
    </row>
    <row r="828" spans="14:15">
      <c r="N828" s="146"/>
      <c r="O828" s="146"/>
    </row>
    <row r="829" spans="14:15">
      <c r="N829" s="146"/>
      <c r="O829" s="146"/>
    </row>
    <row r="830" spans="14:15">
      <c r="N830" s="146"/>
      <c r="O830" s="146"/>
    </row>
    <row r="831" spans="14:15">
      <c r="N831" s="146"/>
      <c r="O831" s="146"/>
    </row>
    <row r="832" spans="14:15">
      <c r="N832" s="146"/>
      <c r="O832" s="146"/>
    </row>
    <row r="833" spans="14:15">
      <c r="N833" s="146"/>
      <c r="O833" s="146"/>
    </row>
    <row r="834" spans="14:15">
      <c r="N834" s="146"/>
      <c r="O834" s="146"/>
    </row>
    <row r="835" spans="14:15">
      <c r="N835" s="146"/>
      <c r="O835" s="146"/>
    </row>
    <row r="836" spans="14:15">
      <c r="N836" s="146"/>
      <c r="O836" s="146"/>
    </row>
    <row r="837" spans="14:15">
      <c r="N837" s="146"/>
      <c r="O837" s="146"/>
    </row>
    <row r="838" spans="14:15">
      <c r="N838" s="146"/>
      <c r="O838" s="146"/>
    </row>
    <row r="839" spans="14:15">
      <c r="N839" s="146"/>
      <c r="O839" s="146"/>
    </row>
    <row r="840" spans="14:15">
      <c r="N840" s="146"/>
      <c r="O840" s="146"/>
    </row>
    <row r="841" spans="14:15">
      <c r="N841" s="146"/>
      <c r="O841" s="146"/>
    </row>
    <row r="842" spans="14:15">
      <c r="N842" s="146"/>
      <c r="O842" s="146"/>
    </row>
    <row r="843" spans="14:15">
      <c r="N843" s="146"/>
      <c r="O843" s="146"/>
    </row>
    <row r="844" spans="2:27">
      <c r="B844" s="151"/>
      <c r="C844" s="151"/>
      <c r="D844" s="151"/>
      <c r="E844" s="151"/>
      <c r="F844" s="151"/>
      <c r="G844" s="151"/>
      <c r="H844" s="151"/>
      <c r="I844" s="151"/>
      <c r="J844" s="151"/>
      <c r="K844" s="151"/>
      <c r="L844" s="151"/>
      <c r="M844" s="151"/>
      <c r="N844" s="146"/>
      <c r="O844" s="146"/>
      <c r="P844" s="151"/>
      <c r="Q844" s="151"/>
      <c r="R844" s="151"/>
      <c r="S844" s="151"/>
      <c r="T844" s="151"/>
      <c r="U844" s="151"/>
      <c r="V844" s="151"/>
      <c r="W844" s="151"/>
      <c r="X844" s="152"/>
      <c r="Z844" s="152"/>
      <c r="AA844" s="151"/>
    </row>
    <row r="845" spans="14:15">
      <c r="N845" s="146"/>
      <c r="O845" s="146"/>
    </row>
    <row r="846" spans="14:15">
      <c r="N846" s="146"/>
      <c r="O846" s="146"/>
    </row>
    <row r="847" spans="14:15">
      <c r="N847" s="146"/>
      <c r="O847" s="146"/>
    </row>
    <row r="848" spans="14:15">
      <c r="N848" s="146"/>
      <c r="O848" s="146"/>
    </row>
    <row r="849" spans="14:15">
      <c r="N849" s="146"/>
      <c r="O849" s="146"/>
    </row>
    <row r="850" spans="14:15">
      <c r="N850" s="146"/>
      <c r="O850" s="146"/>
    </row>
    <row r="851" spans="14:15">
      <c r="N851" s="146"/>
      <c r="O851" s="146"/>
    </row>
    <row r="852" spans="14:15">
      <c r="N852" s="146"/>
      <c r="O852" s="146"/>
    </row>
    <row r="853" spans="14:15">
      <c r="N853" s="146"/>
      <c r="O853" s="146"/>
    </row>
    <row r="854" spans="14:15">
      <c r="N854" s="146"/>
      <c r="O854" s="146"/>
    </row>
    <row r="855" spans="14:15">
      <c r="N855" s="146"/>
      <c r="O855" s="146"/>
    </row>
    <row r="856" spans="14:15">
      <c r="N856" s="146"/>
      <c r="O856" s="146"/>
    </row>
    <row r="857" spans="14:15">
      <c r="N857" s="146"/>
      <c r="O857" s="146"/>
    </row>
    <row r="858" spans="14:15">
      <c r="N858" s="146"/>
      <c r="O858" s="146"/>
    </row>
    <row r="859" spans="14:15">
      <c r="N859" s="146"/>
      <c r="O859" s="146"/>
    </row>
    <row r="860" spans="14:15">
      <c r="N860" s="146"/>
      <c r="O860" s="146"/>
    </row>
    <row r="861" spans="14:15">
      <c r="N861" s="146"/>
      <c r="O861" s="146"/>
    </row>
    <row r="862" spans="14:15">
      <c r="N862" s="146"/>
      <c r="O862" s="146"/>
    </row>
    <row r="863" spans="14:15">
      <c r="N863" s="146"/>
      <c r="O863" s="146"/>
    </row>
    <row r="864" spans="14:15">
      <c r="N864" s="146"/>
      <c r="O864" s="146"/>
    </row>
    <row r="865" spans="14:15">
      <c r="N865" s="146"/>
      <c r="O865" s="146"/>
    </row>
    <row r="866" spans="14:15">
      <c r="N866" s="146"/>
      <c r="O866" s="146"/>
    </row>
    <row r="867" spans="14:15">
      <c r="N867" s="146"/>
      <c r="O867" s="146"/>
    </row>
    <row r="868" spans="14:15">
      <c r="N868" s="146"/>
      <c r="O868" s="146"/>
    </row>
    <row r="869" spans="14:15">
      <c r="N869" s="146"/>
      <c r="O869" s="146"/>
    </row>
    <row r="870" spans="14:15">
      <c r="N870" s="146"/>
      <c r="O870" s="146"/>
    </row>
    <row r="871" spans="14:15">
      <c r="N871" s="146"/>
      <c r="O871" s="146"/>
    </row>
    <row r="872" spans="14:15">
      <c r="N872" s="146"/>
      <c r="O872" s="146"/>
    </row>
    <row r="873" spans="14:15">
      <c r="N873" s="146"/>
      <c r="O873" s="146"/>
    </row>
    <row r="874" spans="14:15">
      <c r="N874" s="146"/>
      <c r="O874" s="146"/>
    </row>
    <row r="875" spans="14:15">
      <c r="N875" s="146"/>
      <c r="O875" s="146"/>
    </row>
    <row r="876" spans="14:15">
      <c r="N876" s="146"/>
      <c r="O876" s="146"/>
    </row>
    <row r="877" spans="14:15">
      <c r="N877" s="146"/>
      <c r="O877" s="146"/>
    </row>
    <row r="878" spans="14:15">
      <c r="N878" s="146"/>
      <c r="O878" s="146"/>
    </row>
    <row r="879" spans="14:15">
      <c r="N879" s="146"/>
      <c r="O879" s="146"/>
    </row>
    <row r="880" spans="14:15">
      <c r="N880" s="146"/>
      <c r="O880" s="146"/>
    </row>
    <row r="881" spans="14:15">
      <c r="N881" s="146"/>
      <c r="O881" s="146"/>
    </row>
    <row r="882" spans="14:15">
      <c r="N882" s="146"/>
      <c r="O882" s="146"/>
    </row>
    <row r="883" spans="14:15">
      <c r="N883" s="146"/>
      <c r="O883" s="146"/>
    </row>
    <row r="884" spans="14:15">
      <c r="N884" s="146"/>
      <c r="O884" s="146"/>
    </row>
    <row r="885" spans="14:15">
      <c r="N885" s="146"/>
      <c r="O885" s="146"/>
    </row>
    <row r="886" spans="14:15">
      <c r="N886" s="146"/>
      <c r="O886" s="146"/>
    </row>
    <row r="887" spans="14:15">
      <c r="N887" s="146"/>
      <c r="O887" s="146"/>
    </row>
    <row r="888" spans="14:15">
      <c r="N888" s="146"/>
      <c r="O888" s="146"/>
    </row>
    <row r="889" spans="14:15">
      <c r="N889" s="146"/>
      <c r="O889" s="146"/>
    </row>
    <row r="890" spans="14:15">
      <c r="N890" s="146"/>
      <c r="O890" s="146"/>
    </row>
    <row r="891" spans="14:15">
      <c r="N891" s="146"/>
      <c r="O891" s="146"/>
    </row>
    <row r="892" spans="14:15">
      <c r="N892" s="146"/>
      <c r="O892" s="146"/>
    </row>
    <row r="893" spans="14:15">
      <c r="N893" s="146"/>
      <c r="O893" s="146"/>
    </row>
    <row r="894" spans="14:15">
      <c r="N894" s="146"/>
      <c r="O894" s="146"/>
    </row>
    <row r="895" spans="14:15">
      <c r="N895" s="146"/>
      <c r="O895" s="146"/>
    </row>
    <row r="896" spans="14:15">
      <c r="N896" s="146"/>
      <c r="O896" s="146"/>
    </row>
    <row r="897" spans="14:15">
      <c r="N897" s="146"/>
      <c r="O897" s="146"/>
    </row>
    <row r="898" spans="14:15">
      <c r="N898" s="146"/>
      <c r="O898" s="146"/>
    </row>
    <row r="899" spans="14:15">
      <c r="N899" s="146"/>
      <c r="O899" s="146"/>
    </row>
    <row r="900" spans="14:15">
      <c r="N900" s="146"/>
      <c r="O900" s="146"/>
    </row>
    <row r="901" spans="14:15">
      <c r="N901" s="146"/>
      <c r="O901" s="146"/>
    </row>
    <row r="902" spans="14:15">
      <c r="N902" s="146"/>
      <c r="O902" s="146"/>
    </row>
    <row r="903" spans="14:15">
      <c r="N903" s="146"/>
      <c r="O903" s="146"/>
    </row>
    <row r="904" spans="14:15">
      <c r="N904" s="146"/>
      <c r="O904" s="146"/>
    </row>
    <row r="905" spans="14:15">
      <c r="N905" s="146"/>
      <c r="O905" s="146"/>
    </row>
    <row r="906" spans="14:15">
      <c r="N906" s="146"/>
      <c r="O906" s="146"/>
    </row>
    <row r="907" spans="14:15">
      <c r="N907" s="146"/>
      <c r="O907" s="146"/>
    </row>
    <row r="908" spans="14:15">
      <c r="N908" s="146"/>
      <c r="O908" s="146"/>
    </row>
    <row r="909" spans="14:15">
      <c r="N909" s="146"/>
      <c r="O909" s="146"/>
    </row>
    <row r="910" spans="14:15">
      <c r="N910" s="146"/>
      <c r="O910" s="146"/>
    </row>
    <row r="911" spans="14:15">
      <c r="N911" s="146"/>
      <c r="O911" s="146"/>
    </row>
    <row r="912" spans="14:15">
      <c r="N912" s="146"/>
      <c r="O912" s="146"/>
    </row>
    <row r="913" spans="14:15">
      <c r="N913" s="146"/>
      <c r="O913" s="146"/>
    </row>
    <row r="914" spans="14:15">
      <c r="N914" s="146"/>
      <c r="O914" s="146"/>
    </row>
    <row r="915" spans="14:15">
      <c r="N915" s="146"/>
      <c r="O915" s="146"/>
    </row>
    <row r="916" spans="14:15">
      <c r="N916" s="146"/>
      <c r="O916" s="146"/>
    </row>
    <row r="917" spans="14:15">
      <c r="N917" s="146"/>
      <c r="O917" s="146"/>
    </row>
    <row r="918" spans="14:15">
      <c r="N918" s="146"/>
      <c r="O918" s="146"/>
    </row>
    <row r="919" spans="14:15">
      <c r="N919" s="146"/>
      <c r="O919" s="146"/>
    </row>
    <row r="920" spans="14:15">
      <c r="N920" s="146"/>
      <c r="O920" s="146"/>
    </row>
    <row r="921" spans="14:15">
      <c r="N921" s="146"/>
      <c r="O921" s="146"/>
    </row>
    <row r="922" spans="14:15">
      <c r="N922" s="146"/>
      <c r="O922" s="146"/>
    </row>
    <row r="923" spans="14:15">
      <c r="N923" s="146"/>
      <c r="O923" s="146"/>
    </row>
    <row r="924" spans="14:15">
      <c r="N924" s="146"/>
      <c r="O924" s="146"/>
    </row>
    <row r="925" spans="14:15">
      <c r="N925" s="146"/>
      <c r="O925" s="146"/>
    </row>
    <row r="926" spans="14:15">
      <c r="N926" s="146"/>
      <c r="O926" s="146"/>
    </row>
    <row r="927" spans="14:15">
      <c r="N927" s="146"/>
      <c r="O927" s="146"/>
    </row>
    <row r="928" spans="14:15">
      <c r="N928" s="146"/>
      <c r="O928" s="146"/>
    </row>
    <row r="929" spans="14:15">
      <c r="N929" s="146"/>
      <c r="O929" s="146"/>
    </row>
    <row r="930" spans="14:15">
      <c r="N930" s="146"/>
      <c r="O930" s="146"/>
    </row>
    <row r="931" spans="14:15">
      <c r="N931" s="146"/>
      <c r="O931" s="146"/>
    </row>
    <row r="932" spans="14:15">
      <c r="N932" s="146"/>
      <c r="O932" s="146"/>
    </row>
    <row r="933" spans="14:15">
      <c r="N933" s="146"/>
      <c r="O933" s="146"/>
    </row>
    <row r="934" spans="14:15">
      <c r="N934" s="146"/>
      <c r="O934" s="146"/>
    </row>
    <row r="935" spans="14:15">
      <c r="N935" s="146"/>
      <c r="O935" s="146"/>
    </row>
    <row r="936" spans="14:15">
      <c r="N936" s="146"/>
      <c r="O936" s="146"/>
    </row>
    <row r="937" spans="14:15">
      <c r="N937" s="146"/>
      <c r="O937" s="146"/>
    </row>
    <row r="938" spans="14:15">
      <c r="N938" s="146"/>
      <c r="O938" s="146"/>
    </row>
    <row r="939" spans="14:15">
      <c r="N939" s="146"/>
      <c r="O939" s="146"/>
    </row>
    <row r="940" spans="14:15">
      <c r="N940" s="146"/>
      <c r="O940" s="146"/>
    </row>
    <row r="941" spans="14:15">
      <c r="N941" s="146"/>
      <c r="O941" s="146"/>
    </row>
    <row r="942" spans="14:15">
      <c r="N942" s="146"/>
      <c r="O942" s="146"/>
    </row>
    <row r="943" spans="14:15">
      <c r="N943" s="146"/>
      <c r="O943" s="146"/>
    </row>
    <row r="944" spans="14:15">
      <c r="N944" s="146"/>
      <c r="O944" s="146"/>
    </row>
    <row r="945" spans="14:15">
      <c r="N945" s="146"/>
      <c r="O945" s="146"/>
    </row>
    <row r="946" spans="14:15">
      <c r="N946" s="146"/>
      <c r="O946" s="146"/>
    </row>
    <row r="947" spans="14:15">
      <c r="N947" s="146"/>
      <c r="O947" s="146"/>
    </row>
    <row r="948" spans="14:15">
      <c r="N948" s="146"/>
      <c r="O948" s="146"/>
    </row>
    <row r="949" spans="14:15">
      <c r="N949" s="146"/>
      <c r="O949" s="146"/>
    </row>
    <row r="950" spans="14:15">
      <c r="N950" s="146"/>
      <c r="O950" s="146"/>
    </row>
    <row r="951" spans="14:15">
      <c r="N951" s="146"/>
      <c r="O951" s="146"/>
    </row>
    <row r="952" spans="14:15">
      <c r="N952" s="146"/>
      <c r="O952" s="146"/>
    </row>
    <row r="953" spans="14:15">
      <c r="N953" s="146"/>
      <c r="O953" s="146"/>
    </row>
    <row r="954" spans="14:15">
      <c r="N954" s="146"/>
      <c r="O954" s="146"/>
    </row>
    <row r="955" spans="14:15">
      <c r="N955" s="146"/>
      <c r="O955" s="146"/>
    </row>
    <row r="956" spans="14:15">
      <c r="N956" s="146"/>
      <c r="O956" s="146"/>
    </row>
    <row r="957" spans="14:15">
      <c r="N957" s="146"/>
      <c r="O957" s="146"/>
    </row>
    <row r="958" spans="14:15">
      <c r="N958" s="146"/>
      <c r="O958" s="146"/>
    </row>
    <row r="959" spans="14:15">
      <c r="N959" s="146"/>
      <c r="O959" s="146"/>
    </row>
    <row r="960" spans="14:15">
      <c r="N960" s="146"/>
      <c r="O960" s="146"/>
    </row>
    <row r="961" spans="14:15">
      <c r="N961" s="146"/>
      <c r="O961" s="146"/>
    </row>
    <row r="962" spans="14:15">
      <c r="N962" s="146"/>
      <c r="O962" s="146"/>
    </row>
    <row r="963" spans="14:15">
      <c r="N963" s="146"/>
      <c r="O963" s="146"/>
    </row>
    <row r="964" spans="14:15">
      <c r="N964" s="146"/>
      <c r="O964" s="146"/>
    </row>
    <row r="965" spans="14:15">
      <c r="N965" s="146"/>
      <c r="O965" s="146"/>
    </row>
    <row r="966" spans="14:15">
      <c r="N966" s="146"/>
      <c r="O966" s="146"/>
    </row>
    <row r="967" spans="14:15">
      <c r="N967" s="146"/>
      <c r="O967" s="146"/>
    </row>
    <row r="968" spans="14:15">
      <c r="N968" s="146"/>
      <c r="O968" s="146"/>
    </row>
    <row r="969" spans="14:15">
      <c r="N969" s="146"/>
      <c r="O969" s="146"/>
    </row>
    <row r="970" spans="14:15">
      <c r="N970" s="146"/>
      <c r="O970" s="146"/>
    </row>
    <row r="971" spans="14:15">
      <c r="N971" s="146"/>
      <c r="O971" s="146"/>
    </row>
    <row r="972" spans="14:15">
      <c r="N972" s="146"/>
      <c r="O972" s="146"/>
    </row>
    <row r="973" spans="14:15">
      <c r="N973" s="146"/>
      <c r="O973" s="146"/>
    </row>
    <row r="974" spans="14:15">
      <c r="N974" s="146"/>
      <c r="O974" s="146"/>
    </row>
    <row r="975" spans="14:15">
      <c r="N975" s="146"/>
      <c r="O975" s="146"/>
    </row>
    <row r="976" spans="14:15">
      <c r="N976" s="146"/>
      <c r="O976" s="146"/>
    </row>
    <row r="977" spans="14:15">
      <c r="N977" s="146"/>
      <c r="O977" s="146"/>
    </row>
    <row r="978" spans="14:15">
      <c r="N978" s="146"/>
      <c r="O978" s="146"/>
    </row>
    <row r="979" spans="14:15">
      <c r="N979" s="146"/>
      <c r="O979" s="146"/>
    </row>
    <row r="980" spans="14:15">
      <c r="N980" s="146"/>
      <c r="O980" s="146"/>
    </row>
    <row r="981" spans="14:15">
      <c r="N981" s="146"/>
      <c r="O981" s="146"/>
    </row>
    <row r="982" spans="14:15">
      <c r="N982" s="146"/>
      <c r="O982" s="146"/>
    </row>
    <row r="983" spans="14:15">
      <c r="N983" s="146"/>
      <c r="O983" s="146"/>
    </row>
    <row r="984" spans="14:15">
      <c r="N984" s="146"/>
      <c r="O984" s="146"/>
    </row>
    <row r="985" spans="14:15">
      <c r="N985" s="146"/>
      <c r="O985" s="146"/>
    </row>
    <row r="986" spans="14:15">
      <c r="N986" s="146"/>
      <c r="O986" s="146"/>
    </row>
    <row r="987" spans="14:15">
      <c r="N987" s="146"/>
      <c r="O987" s="146"/>
    </row>
    <row r="988" spans="14:15">
      <c r="N988" s="146"/>
      <c r="O988" s="146"/>
    </row>
    <row r="989" spans="14:15">
      <c r="N989" s="146"/>
      <c r="O989" s="146"/>
    </row>
    <row r="990" spans="14:15">
      <c r="N990" s="146"/>
      <c r="O990" s="146"/>
    </row>
    <row r="991" spans="14:15">
      <c r="N991" s="146"/>
      <c r="O991" s="146"/>
    </row>
    <row r="992" spans="14:15">
      <c r="N992" s="146"/>
      <c r="O992" s="146"/>
    </row>
    <row r="993" spans="14:15">
      <c r="N993" s="146"/>
      <c r="O993" s="146"/>
    </row>
    <row r="994" spans="14:15">
      <c r="N994" s="146"/>
      <c r="O994" s="146"/>
    </row>
    <row r="995" spans="14:15">
      <c r="N995" s="146"/>
      <c r="O995" s="146"/>
    </row>
    <row r="996" spans="14:15">
      <c r="N996" s="146"/>
      <c r="O996" s="146"/>
    </row>
    <row r="997" spans="14:15">
      <c r="N997" s="146"/>
      <c r="O997" s="146"/>
    </row>
    <row r="998" spans="14:15">
      <c r="N998" s="146"/>
      <c r="O998" s="146"/>
    </row>
    <row r="999" spans="14:15">
      <c r="N999" s="146"/>
      <c r="O999" s="146"/>
    </row>
    <row r="1000" spans="14:15">
      <c r="N1000" s="146"/>
      <c r="O1000" s="146"/>
    </row>
    <row r="1001" spans="14:15">
      <c r="N1001" s="146"/>
      <c r="O1001" s="146"/>
    </row>
    <row r="1002" spans="14:15">
      <c r="N1002" s="146"/>
      <c r="O1002" s="146"/>
    </row>
    <row r="1003" spans="14:15">
      <c r="N1003" s="146"/>
      <c r="O1003" s="146"/>
    </row>
    <row r="1004" spans="14:15">
      <c r="N1004" s="146"/>
      <c r="O1004" s="146"/>
    </row>
    <row r="1005" spans="14:15">
      <c r="N1005" s="146"/>
      <c r="O1005" s="146"/>
    </row>
    <row r="1006" spans="14:15">
      <c r="N1006" s="146"/>
      <c r="O1006" s="146"/>
    </row>
    <row r="1007" spans="14:15">
      <c r="N1007" s="146"/>
      <c r="O1007" s="146"/>
    </row>
    <row r="1008" spans="14:15">
      <c r="N1008" s="146"/>
      <c r="O1008" s="146"/>
    </row>
    <row r="1009" spans="14:15">
      <c r="N1009" s="146"/>
      <c r="O1009" s="146"/>
    </row>
    <row r="1010" spans="14:15">
      <c r="N1010" s="146"/>
      <c r="O1010" s="146"/>
    </row>
    <row r="1011" spans="14:15">
      <c r="N1011" s="146"/>
      <c r="O1011" s="146"/>
    </row>
    <row r="1012" spans="14:15">
      <c r="N1012" s="146"/>
      <c r="O1012" s="146"/>
    </row>
    <row r="1013" spans="14:15">
      <c r="N1013" s="146"/>
      <c r="O1013" s="146"/>
    </row>
    <row r="1014" spans="14:15">
      <c r="N1014" s="146"/>
      <c r="O1014" s="146"/>
    </row>
    <row r="1015" spans="14:15">
      <c r="N1015" s="146"/>
      <c r="O1015" s="146"/>
    </row>
    <row r="1016" spans="14:15">
      <c r="N1016" s="146"/>
      <c r="O1016" s="146"/>
    </row>
    <row r="1017" spans="14:15">
      <c r="N1017" s="146"/>
      <c r="O1017" s="146"/>
    </row>
    <row r="1018" spans="14:15">
      <c r="N1018" s="146"/>
      <c r="O1018" s="146"/>
    </row>
    <row r="1019" spans="14:15">
      <c r="N1019" s="146"/>
      <c r="O1019" s="146"/>
    </row>
    <row r="1020" spans="14:15">
      <c r="N1020" s="146"/>
      <c r="O1020" s="146"/>
    </row>
    <row r="1021" spans="14:15">
      <c r="N1021" s="146"/>
      <c r="O1021" s="146"/>
    </row>
    <row r="1022" spans="14:15">
      <c r="N1022" s="146"/>
      <c r="O1022" s="146"/>
    </row>
    <row r="1023" spans="14:15">
      <c r="N1023" s="146"/>
      <c r="O1023" s="146"/>
    </row>
    <row r="1024" spans="14:15">
      <c r="N1024" s="146"/>
      <c r="O1024" s="146"/>
    </row>
    <row r="1025" spans="14:15">
      <c r="N1025" s="146"/>
      <c r="O1025" s="146"/>
    </row>
    <row r="1026" spans="14:15">
      <c r="N1026" s="146"/>
      <c r="O1026" s="146"/>
    </row>
    <row r="1027" spans="14:15">
      <c r="N1027" s="146"/>
      <c r="O1027" s="146"/>
    </row>
    <row r="1028" spans="14:15">
      <c r="N1028" s="146"/>
      <c r="O1028" s="146"/>
    </row>
    <row r="1029" spans="14:15">
      <c r="N1029" s="146"/>
      <c r="O1029" s="146"/>
    </row>
    <row r="1030" spans="14:15">
      <c r="N1030" s="146"/>
      <c r="O1030" s="146"/>
    </row>
    <row r="1031" spans="14:15">
      <c r="N1031" s="146"/>
      <c r="O1031" s="146"/>
    </row>
    <row r="1032" spans="14:15">
      <c r="N1032" s="146"/>
      <c r="O1032" s="146"/>
    </row>
    <row r="1033" spans="14:15">
      <c r="N1033" s="146"/>
      <c r="O1033" s="146"/>
    </row>
    <row r="1034" spans="14:15">
      <c r="N1034" s="146"/>
      <c r="O1034" s="146"/>
    </row>
    <row r="1035" spans="14:15">
      <c r="N1035" s="146"/>
      <c r="O1035" s="146"/>
    </row>
    <row r="1036" spans="14:15">
      <c r="N1036" s="146"/>
      <c r="O1036" s="146"/>
    </row>
    <row r="1037" spans="14:15">
      <c r="N1037" s="146"/>
      <c r="O1037" s="146"/>
    </row>
    <row r="1038" spans="14:15">
      <c r="N1038" s="146"/>
      <c r="O1038" s="146"/>
    </row>
    <row r="1039" spans="14:15">
      <c r="N1039" s="146"/>
      <c r="O1039" s="146"/>
    </row>
    <row r="1040" spans="14:15">
      <c r="N1040" s="146"/>
      <c r="O1040" s="146"/>
    </row>
    <row r="1041" ht="14.25" spans="6:25">
      <c r="F1041" s="153"/>
      <c r="G1041" s="153"/>
      <c r="H1041" s="153"/>
      <c r="I1041" s="153"/>
      <c r="J1041" s="153"/>
      <c r="K1041" s="153"/>
      <c r="L1041" s="153"/>
      <c r="M1041" s="153"/>
      <c r="N1041" s="153"/>
      <c r="O1041" s="153"/>
      <c r="P1041" s="153"/>
      <c r="Q1041" s="153"/>
      <c r="R1041" s="153"/>
      <c r="S1041" s="153"/>
      <c r="T1041" s="153"/>
      <c r="U1041" s="153"/>
      <c r="V1041" s="153"/>
      <c r="W1041" s="153"/>
      <c r="Y1041" s="153"/>
    </row>
  </sheetData>
  <sortState ref="A3:AB210">
    <sortCondition ref="AB182"/>
  </sortState>
  <mergeCells count="1">
    <mergeCell ref="A1:AA1"/>
  </mergeCells>
  <conditionalFormatting sqref="D3:D208">
    <cfRule type="duplicateValues" dxfId="0" priority="1"/>
  </conditionalFormatting>
  <printOptions horizontalCentered="1"/>
  <pageMargins left="0.554166666666667" right="0.554166666666667" top="0.605555555555556" bottom="0.605555555555556" header="0.511805555555556" footer="0.511805555555556"/>
  <pageSetup paperSize="9" scale="87" orientation="portrait"/>
  <headerFooter/>
  <rowBreaks count="2" manualBreakCount="2">
    <brk id="62" max="16383" man="1"/>
    <brk id="122" max="16383" man="1"/>
  </rowBreaks>
  <colBreaks count="1" manualBreakCount="1">
    <brk id="27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workbookViewId="0">
      <selection activeCell="Q35" sqref="Q35"/>
    </sheetView>
  </sheetViews>
  <sheetFormatPr defaultColWidth="9" defaultRowHeight="13.5"/>
  <cols>
    <col min="1" max="16384" width="9" style="26"/>
  </cols>
  <sheetData>
    <row r="1" ht="20.25" spans="1:17">
      <c r="A1" s="27" t="s">
        <v>1891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spans="1:17">
      <c r="A2" s="9" t="s">
        <v>1</v>
      </c>
      <c r="B2" s="9" t="s">
        <v>1853</v>
      </c>
      <c r="C2" s="9" t="s">
        <v>1854</v>
      </c>
      <c r="D2" s="9" t="s">
        <v>1855</v>
      </c>
      <c r="E2" s="9" t="s">
        <v>1856</v>
      </c>
      <c r="F2" s="9" t="s">
        <v>1857</v>
      </c>
      <c r="G2" s="9" t="s">
        <v>1858</v>
      </c>
      <c r="H2" s="9" t="s">
        <v>1859</v>
      </c>
      <c r="I2" s="9" t="s">
        <v>1860</v>
      </c>
      <c r="J2" s="9" t="s">
        <v>1861</v>
      </c>
      <c r="K2" s="9" t="s">
        <v>1862</v>
      </c>
      <c r="L2" s="9" t="s">
        <v>1863</v>
      </c>
      <c r="M2" s="9" t="s">
        <v>1864</v>
      </c>
      <c r="N2" s="9" t="s">
        <v>1865</v>
      </c>
      <c r="O2" s="9" t="s">
        <v>1866</v>
      </c>
      <c r="P2" s="9" t="s">
        <v>1867</v>
      </c>
      <c r="Q2" s="9" t="s">
        <v>1749</v>
      </c>
    </row>
    <row r="3" spans="1:17">
      <c r="A3" s="9">
        <v>1</v>
      </c>
      <c r="B3" s="9">
        <f t="array" ref="B3">SUM(('物赋排 '!$B:$B=A3)*('物赋排 '!$Z:$Z&gt;=649.5))</f>
        <v>0</v>
      </c>
      <c r="C3" s="9">
        <f t="array" ref="C3">SUM(('物赋排 '!$B$3:$B$1227=A3)*('物赋排 '!$Z$3:$Z$1227&gt;=639.5)*('物赋排 '!$Z$3:$Z$1227&lt;649.5))</f>
        <v>0</v>
      </c>
      <c r="D3" s="9">
        <f t="array" ref="D3">SUM(('物赋排 '!$B$3:$B$1227=A3)*('物赋排 '!$Z$3:$Z$1227&gt;=619.5)*('物赋排 '!$Z$3:$Z$1227&lt;639.5))</f>
        <v>0</v>
      </c>
      <c r="E3" s="9">
        <f t="array" ref="E3">SUM(('物赋排 '!$B$3:$B$1227=A3)*('物赋排 '!$Z$3:$Z$1227&gt;=599.5)*('物赋排 '!$Z$3:$Z$1227&lt;619.5))</f>
        <v>0</v>
      </c>
      <c r="F3" s="9">
        <f t="array" ref="F3">SUM(('物赋排 '!$B$3:$B$1227=A3)*('物赋排 '!$Z$3:$Z$1227&gt;=579.5)*('物赋排 '!$Z$3:$Z$1227&lt;599.5))</f>
        <v>0</v>
      </c>
      <c r="G3" s="9">
        <f t="array" ref="G3">SUM(('物赋排 '!$B$3:$B$1227=A3)*('物赋排 '!$Z$3:$Z$1227&gt;=559.5)*('物赋排 '!$Z$3:$Z$1227&lt;579.5))</f>
        <v>4</v>
      </c>
      <c r="H3" s="9">
        <f t="array" ref="H3">SUM(('物赋排 '!$B$3:$B$1227=A3)*('物赋排 '!$Z$3:$Z$1227&gt;=539.5)*('物赋排 '!$Z$3:$Z$1227&lt;559.5))</f>
        <v>2</v>
      </c>
      <c r="I3" s="9">
        <f t="array" ref="I3">SUM(('物赋排 '!$B$3:$B$1227=A3)*('物赋排 '!$Z$3:$Z$1227&gt;=519.5)*('物赋排 '!$Z$3:$Z$1227&lt;539.5))</f>
        <v>7</v>
      </c>
      <c r="J3" s="9">
        <f t="array" ref="J3">SUM(('物赋排 '!$B$3:$B$1227=A3)*('物赋排 '!$Z$3:$Z$1227&gt;=499.5)*('物赋排 '!$Z$3:$Z$1227&lt;519.5))</f>
        <v>13</v>
      </c>
      <c r="K3" s="9">
        <f t="array" ref="K3">SUM(('物赋排 '!$B$3:$B$1227=A3)*('物赋排 '!$Z$3:$Z$1227&gt;=479.5)*('物赋排 '!$Z$3:$Z$1227&lt;499.5))</f>
        <v>8</v>
      </c>
      <c r="L3" s="9">
        <f t="array" ref="L3">SUM(('物赋排 '!$B$3:$B$1227=A3)*('物赋排 '!$Z$3:$Z$1227&gt;=459.5)*('物赋排 '!$Z$3:$Z$1227&lt;479.5))</f>
        <v>20</v>
      </c>
      <c r="M3" s="9">
        <f t="array" ref="M3">SUM(('物赋排 '!$B$3:$B$1227=A3)*('物赋排 '!$Z$3:$Z$1227&gt;=439.5)*('物赋排 '!$Z$3:$Z$1227&lt;459.5))</f>
        <v>3</v>
      </c>
      <c r="N3" s="9">
        <f t="array" ref="N3">SUM(('物赋排 '!$B$3:$B$1227=A3)*('物赋排 '!$Z$3:$Z$1227&gt;=419.5)*('物赋排 '!$Z$3:$Z$1227&lt;439.5))</f>
        <v>4</v>
      </c>
      <c r="O3" s="9">
        <f t="array" ref="O3">SUM(('物赋排 '!$B$3:$B$1227=A3)*('物赋排 '!$Z$3:$Z$1227&gt;=399.5)*('物赋排 '!$Z$3:$Z$1227&lt;419.5))</f>
        <v>0</v>
      </c>
      <c r="P3" s="9">
        <f t="array" ref="P3">SUM(('物赋排 '!$B$3:$B$1227=A3)*('物赋排 '!$Z$3:$Z$1227&lt;399.5))</f>
        <v>2</v>
      </c>
      <c r="Q3" s="9">
        <f t="shared" ref="Q3:Q15" si="0">SUM(B3:P3)</f>
        <v>63</v>
      </c>
    </row>
    <row r="4" spans="1:17">
      <c r="A4" s="9">
        <v>2</v>
      </c>
      <c r="B4" s="9">
        <f t="array" ref="B4">SUM(('物赋排 '!$B$3:$B$1227=A4)*('物赋排 '!$Z$3:$Z$1227&gt;=649.5))</f>
        <v>0</v>
      </c>
      <c r="C4" s="9">
        <f t="array" ref="C4">SUM(('物赋排 '!$B$3:$B$1227=A4)*('物赋排 '!$Z$3:$Z$1227&gt;=639.5)*('物赋排 '!$Z$3:$Z$1227&lt;649.5))</f>
        <v>0</v>
      </c>
      <c r="D4" s="9">
        <f t="array" ref="D4">SUM(('物赋排 '!$B$3:$B$1227=A4)*('物赋排 '!$Z$3:$Z$1227&gt;=619.5)*('物赋排 '!$Z$3:$Z$1227&lt;639.5))</f>
        <v>0</v>
      </c>
      <c r="E4" s="9">
        <f t="array" ref="E4">SUM(('物赋排 '!$B$3:$B$1227=A4)*('物赋排 '!$Z$3:$Z$1227&gt;=599.5)*('物赋排 '!$Z$3:$Z$1227&lt;619.5))</f>
        <v>0</v>
      </c>
      <c r="F4" s="9">
        <f t="array" ref="F4">SUM(('物赋排 '!$B$3:$B$1227=A4)*('物赋排 '!$Z$3:$Z$1227&gt;=579.5)*('物赋排 '!$Z$3:$Z$1227&lt;599.5))</f>
        <v>0</v>
      </c>
      <c r="G4" s="9">
        <f t="array" ref="G4">SUM(('物赋排 '!$B$3:$B$1227=A4)*('物赋排 '!$Z$3:$Z$1227&gt;=559.5)*('物赋排 '!$Z$3:$Z$1227&lt;579.5))</f>
        <v>2</v>
      </c>
      <c r="H4" s="9">
        <f t="array" ref="H4">SUM(('物赋排 '!$B$3:$B$1227=A4)*('物赋排 '!$Z$3:$Z$1227&gt;=539.5)*('物赋排 '!$Z$3:$Z$1227&lt;559.5))</f>
        <v>2</v>
      </c>
      <c r="I4" s="9">
        <f t="array" ref="I4">SUM(('物赋排 '!$B$3:$B$1227=A4)*('物赋排 '!$Z$3:$Z$1227&gt;=519.5)*('物赋排 '!$Z$3:$Z$1227&lt;539.5))</f>
        <v>10</v>
      </c>
      <c r="J4" s="9">
        <f t="array" ref="J4">SUM(('物赋排 '!$B$3:$B$1227=A4)*('物赋排 '!$Z$3:$Z$1227&gt;=499.5)*('物赋排 '!$Z$3:$Z$1227&lt;519.5))</f>
        <v>8</v>
      </c>
      <c r="K4" s="9">
        <f t="array" ref="K4">SUM(('物赋排 '!$B$3:$B$1227=A4)*('物赋排 '!$Z$3:$Z$1227&gt;=479.5)*('物赋排 '!$Z$3:$Z$1227&lt;499.5))</f>
        <v>7</v>
      </c>
      <c r="L4" s="9">
        <f t="array" ref="L4">SUM(('物赋排 '!$B$3:$B$1227=A4)*('物赋排 '!$Z$3:$Z$1227&gt;=459.5)*('物赋排 '!$Z$3:$Z$1227&lt;479.5))</f>
        <v>9</v>
      </c>
      <c r="M4" s="9">
        <f t="array" ref="M4">SUM(('物赋排 '!$B$3:$B$1227=A4)*('物赋排 '!$Z$3:$Z$1227&gt;=439.5)*('物赋排 '!$Z$3:$Z$1227&lt;459.5))</f>
        <v>5</v>
      </c>
      <c r="N4" s="9">
        <f t="array" ref="N4">SUM(('物赋排 '!$B$3:$B$1227=A4)*('物赋排 '!$Z$3:$Z$1227&gt;=419.5)*('物赋排 '!$Z$3:$Z$1227&lt;439.5))</f>
        <v>3</v>
      </c>
      <c r="O4" s="9">
        <f t="array" ref="O4">SUM(('物赋排 '!$B$3:$B$1227=A4)*('物赋排 '!$Z$3:$Z$1227&gt;=399.5)*('物赋排 '!$Z$3:$Z$1227&lt;419.5))</f>
        <v>0</v>
      </c>
      <c r="P4" s="9">
        <f t="array" ref="P4">SUM(('物赋排 '!$B$3:$B$1227=A4)*('物赋排 '!$Z$3:$Z$1227&lt;399.5))</f>
        <v>2</v>
      </c>
      <c r="Q4" s="9">
        <f t="shared" si="0"/>
        <v>48</v>
      </c>
    </row>
    <row r="5" spans="1:17">
      <c r="A5" s="9">
        <v>3</v>
      </c>
      <c r="B5" s="9">
        <f t="array" ref="B5">SUM(('物赋排 '!$B$3:$B$1227=A5)*('物赋排 '!$Z$3:$Z$1227&gt;=649.5))</f>
        <v>0</v>
      </c>
      <c r="C5" s="9">
        <f t="array" ref="C5">SUM(('物赋排 '!$B$3:$B$1227=A5)*('物赋排 '!$Z$3:$Z$1227&gt;=639.5)*('物赋排 '!$Z$3:$Z$1227&lt;649.5))</f>
        <v>0</v>
      </c>
      <c r="D5" s="9">
        <f t="array" ref="D5">SUM(('物赋排 '!$B$3:$B$1227=A5)*('物赋排 '!$Z$3:$Z$1227&gt;=619.5)*('物赋排 '!$Z$3:$Z$1227&lt;639.5))</f>
        <v>0</v>
      </c>
      <c r="E5" s="9">
        <f t="array" ref="E5">SUM(('物赋排 '!$B$3:$B$1227=A5)*('物赋排 '!$Z$3:$Z$1227&gt;=599.5)*('物赋排 '!$Z$3:$Z$1227&lt;619.5))</f>
        <v>0</v>
      </c>
      <c r="F5" s="9">
        <f t="array" ref="F5">SUM(('物赋排 '!$B$3:$B$1227=A5)*('物赋排 '!$Z$3:$Z$1227&gt;=579.5)*('物赋排 '!$Z$3:$Z$1227&lt;599.5))</f>
        <v>0</v>
      </c>
      <c r="G5" s="9">
        <f t="array" ref="G5">SUM(('物赋排 '!$B$3:$B$1227=A5)*('物赋排 '!$Z$3:$Z$1227&gt;=559.5)*('物赋排 '!$Z$3:$Z$1227&lt;579.5))</f>
        <v>2</v>
      </c>
      <c r="H5" s="9">
        <f t="array" ref="H5">SUM(('物赋排 '!$B$3:$B$1227=A5)*('物赋排 '!$Z$3:$Z$1227&gt;=539.5)*('物赋排 '!$Z$3:$Z$1227&lt;559.5))</f>
        <v>3</v>
      </c>
      <c r="I5" s="9">
        <f t="array" ref="I5">SUM(('物赋排 '!$B$3:$B$1227=A5)*('物赋排 '!$Z$3:$Z$1227&gt;=519.5)*('物赋排 '!$Z$3:$Z$1227&lt;539.5))</f>
        <v>6</v>
      </c>
      <c r="J5" s="9">
        <f t="array" ref="J5">SUM(('物赋排 '!$B$3:$B$1227=A5)*('物赋排 '!$Z$3:$Z$1227&gt;=499.5)*('物赋排 '!$Z$3:$Z$1227&lt;519.5))</f>
        <v>10</v>
      </c>
      <c r="K5" s="9">
        <f t="array" ref="K5">SUM(('物赋排 '!$B$3:$B$1227=A5)*('物赋排 '!$Z$3:$Z$1227&gt;=479.5)*('物赋排 '!$Z$3:$Z$1227&lt;499.5))</f>
        <v>6</v>
      </c>
      <c r="L5" s="9">
        <f t="array" ref="L5">SUM(('物赋排 '!$B$3:$B$1227=A5)*('物赋排 '!$Z$3:$Z$1227&gt;=459.5)*('物赋排 '!$Z$3:$Z$1227&lt;479.5))</f>
        <v>4</v>
      </c>
      <c r="M5" s="9">
        <f t="array" ref="M5">SUM(('物赋排 '!$B$3:$B$1227=A5)*('物赋排 '!$Z$3:$Z$1227&gt;=439.5)*('物赋排 '!$Z$3:$Z$1227&lt;459.5))</f>
        <v>9</v>
      </c>
      <c r="N5" s="9">
        <f t="array" ref="N5">SUM(('物赋排 '!$B$3:$B$1227=A5)*('物赋排 '!$Z$3:$Z$1227&gt;=419.5)*('物赋排 '!$Z$3:$Z$1227&lt;439.5))</f>
        <v>5</v>
      </c>
      <c r="O5" s="9">
        <f t="array" ref="O5">SUM(('物赋排 '!$B$3:$B$1227=A5)*('物赋排 '!$Z$3:$Z$1227&gt;=399.5)*('物赋排 '!$Z$3:$Z$1227&lt;419.5))</f>
        <v>2</v>
      </c>
      <c r="P5" s="9">
        <f t="array" ref="P5">SUM(('物赋排 '!$B$3:$B$1227=A5)*('物赋排 '!$Z$3:$Z$1227&lt;399.5))</f>
        <v>2</v>
      </c>
      <c r="Q5" s="9">
        <f t="shared" si="0"/>
        <v>49</v>
      </c>
    </row>
    <row r="6" spans="1:17">
      <c r="A6" s="9">
        <v>4</v>
      </c>
      <c r="B6" s="9">
        <f t="array" ref="B6">SUM(('物赋排 '!$B$3:$B$1227=A6)*('物赋排 '!$Z$3:$Z$1227&gt;=649.5))</f>
        <v>0</v>
      </c>
      <c r="C6" s="9">
        <f t="array" ref="C6">SUM(('物赋排 '!$B$3:$B$1227=A6)*('物赋排 '!$Z$3:$Z$1227&gt;=639.5)*('物赋排 '!$Z$3:$Z$1227&lt;649.5))</f>
        <v>0</v>
      </c>
      <c r="D6" s="9">
        <f t="array" ref="D6">SUM(('物赋排 '!$B$3:$B$1227=A6)*('物赋排 '!$Z$3:$Z$1227&gt;=619.5)*('物赋排 '!$Z$3:$Z$1227&lt;639.5))</f>
        <v>0</v>
      </c>
      <c r="E6" s="9">
        <f t="array" ref="E6">SUM(('物赋排 '!$B$3:$B$1227=A6)*('物赋排 '!$Z$3:$Z$1227&gt;=599.5)*('物赋排 '!$Z$3:$Z$1227&lt;619.5))</f>
        <v>0</v>
      </c>
      <c r="F6" s="9">
        <f t="array" ref="F6">SUM(('物赋排 '!$B$3:$B$1227=A6)*('物赋排 '!$Z$3:$Z$1227&gt;=579.5)*('物赋排 '!$Z$3:$Z$1227&lt;599.5))</f>
        <v>0</v>
      </c>
      <c r="G6" s="9">
        <f t="array" ref="G6">SUM(('物赋排 '!$B$3:$B$1227=A6)*('物赋排 '!$Z$3:$Z$1227&gt;=559.5)*('物赋排 '!$Z$3:$Z$1227&lt;579.5))</f>
        <v>1</v>
      </c>
      <c r="H6" s="9">
        <f t="array" ref="H6">SUM(('物赋排 '!$B$3:$B$1227=A6)*('物赋排 '!$Z$3:$Z$1227&gt;=539.5)*('物赋排 '!$Z$3:$Z$1227&lt;559.5))</f>
        <v>6</v>
      </c>
      <c r="I6" s="9">
        <f t="array" ref="I6">SUM(('物赋排 '!$B$3:$B$1227=A6)*('物赋排 '!$Z$3:$Z$1227&gt;=519.5)*('物赋排 '!$Z$3:$Z$1227&lt;539.5))</f>
        <v>4</v>
      </c>
      <c r="J6" s="9">
        <f t="array" ref="J6">SUM(('物赋排 '!$B$3:$B$1227=A6)*('物赋排 '!$Z$3:$Z$1227&gt;=499.5)*('物赋排 '!$Z$3:$Z$1227&lt;519.5))</f>
        <v>7</v>
      </c>
      <c r="K6" s="9">
        <f t="array" ref="K6">SUM(('物赋排 '!$B$3:$B$1227=A6)*('物赋排 '!$Z$3:$Z$1227&gt;=479.5)*('物赋排 '!$Z$3:$Z$1227&lt;499.5))</f>
        <v>13</v>
      </c>
      <c r="L6" s="9">
        <f t="array" ref="L6">SUM(('物赋排 '!$B$3:$B$1227=A6)*('物赋排 '!$Z$3:$Z$1227&gt;=459.5)*('物赋排 '!$Z$3:$Z$1227&lt;479.5))</f>
        <v>3</v>
      </c>
      <c r="M6" s="9">
        <f t="array" ref="M6">SUM(('物赋排 '!$B$3:$B$1227=A6)*('物赋排 '!$Z$3:$Z$1227&gt;=439.5)*('物赋排 '!$Z$3:$Z$1227&lt;459.5))</f>
        <v>3</v>
      </c>
      <c r="N6" s="9">
        <f t="array" ref="N6">SUM(('物赋排 '!$B$3:$B$1227=A6)*('物赋排 '!$Z$3:$Z$1227&gt;=419.5)*('物赋排 '!$Z$3:$Z$1227&lt;439.5))</f>
        <v>3</v>
      </c>
      <c r="O6" s="9">
        <f t="array" ref="O6">SUM(('物赋排 '!$B$3:$B$1227=A6)*('物赋排 '!$Z$3:$Z$1227&gt;=399.5)*('物赋排 '!$Z$3:$Z$1227&lt;419.5))</f>
        <v>3</v>
      </c>
      <c r="P6" s="9">
        <f t="array" ref="P6">SUM(('物赋排 '!$B$3:$B$1227=A6)*('物赋排 '!$Z$3:$Z$1227&lt;399.5))</f>
        <v>1</v>
      </c>
      <c r="Q6" s="9">
        <f t="shared" si="0"/>
        <v>44</v>
      </c>
    </row>
    <row r="7" spans="1:17">
      <c r="A7" s="9">
        <v>5</v>
      </c>
      <c r="B7" s="9">
        <f t="array" ref="B7">SUM(('物赋排 '!$B$3:$B$1227=A7)*('物赋排 '!$Z$3:$Z$1227&gt;=649.5))</f>
        <v>0</v>
      </c>
      <c r="C7" s="9">
        <f t="array" ref="C7">SUM(('物赋排 '!$B$3:$B$1227=A7)*('物赋排 '!$Z$3:$Z$1227&gt;=639.5)*('物赋排 '!$Z$3:$Z$1227&lt;649.5))</f>
        <v>0</v>
      </c>
      <c r="D7" s="9">
        <f t="array" ref="D7">SUM(('物赋排 '!$B$3:$B$1227=A7)*('物赋排 '!$Z$3:$Z$1227&gt;=619.5)*('物赋排 '!$Z$3:$Z$1227&lt;639.5))</f>
        <v>0</v>
      </c>
      <c r="E7" s="9">
        <f t="array" ref="E7">SUM(('物赋排 '!$B$3:$B$1227=A7)*('物赋排 '!$Z$3:$Z$1227&gt;=599.5)*('物赋排 '!$Z$3:$Z$1227&lt;619.5))</f>
        <v>0</v>
      </c>
      <c r="F7" s="9">
        <f t="array" ref="F7">SUM(('物赋排 '!$B$3:$B$1227=A7)*('物赋排 '!$Z$3:$Z$1227&gt;=579.5)*('物赋排 '!$Z$3:$Z$1227&lt;599.5))</f>
        <v>0</v>
      </c>
      <c r="G7" s="9">
        <f t="array" ref="G7">SUM(('物赋排 '!$B$3:$B$1227=A7)*('物赋排 '!$Z$3:$Z$1227&gt;=559.5)*('物赋排 '!$Z$3:$Z$1227&lt;579.5))</f>
        <v>2</v>
      </c>
      <c r="H7" s="9">
        <f t="array" ref="H7">SUM(('物赋排 '!$B$3:$B$1227=A7)*('物赋排 '!$Z$3:$Z$1227&gt;=539.5)*('物赋排 '!$Z$3:$Z$1227&lt;559.5))</f>
        <v>4</v>
      </c>
      <c r="I7" s="9">
        <f t="array" ref="I7">SUM(('物赋排 '!$B$3:$B$1227=A7)*('物赋排 '!$Z$3:$Z$1227&gt;=519.5)*('物赋排 '!$Z$3:$Z$1227&lt;539.5))</f>
        <v>8</v>
      </c>
      <c r="J7" s="9">
        <f t="array" ref="J7">SUM(('物赋排 '!$B$3:$B$1227=A7)*('物赋排 '!$Z$3:$Z$1227&gt;=499.5)*('物赋排 '!$Z$3:$Z$1227&lt;519.5))</f>
        <v>10</v>
      </c>
      <c r="K7" s="9">
        <f t="array" ref="K7">SUM(('物赋排 '!$B$3:$B$1227=A7)*('物赋排 '!$Z$3:$Z$1227&gt;=479.5)*('物赋排 '!$Z$3:$Z$1227&lt;499.5))</f>
        <v>11</v>
      </c>
      <c r="L7" s="9">
        <f t="array" ref="L7">SUM(('物赋排 '!$B$3:$B$1227=A7)*('物赋排 '!$Z$3:$Z$1227&gt;=459.5)*('物赋排 '!$Z$3:$Z$1227&lt;479.5))</f>
        <v>4</v>
      </c>
      <c r="M7" s="9">
        <f t="array" ref="M7">SUM(('物赋排 '!$B$3:$B$1227=A7)*('物赋排 '!$Z$3:$Z$1227&gt;=439.5)*('物赋排 '!$Z$3:$Z$1227&lt;459.5))</f>
        <v>3</v>
      </c>
      <c r="N7" s="9">
        <f t="array" ref="N7">SUM(('物赋排 '!$B$3:$B$1227=A7)*('物赋排 '!$Z$3:$Z$1227&gt;=419.5)*('物赋排 '!$Z$3:$Z$1227&lt;439.5))</f>
        <v>3</v>
      </c>
      <c r="O7" s="9">
        <f t="array" ref="O7">SUM(('物赋排 '!$B$3:$B$1227=A7)*('物赋排 '!$Z$3:$Z$1227&gt;=399.5)*('物赋排 '!$Z$3:$Z$1227&lt;419.5))</f>
        <v>2</v>
      </c>
      <c r="P7" s="9">
        <f t="array" ref="P7">SUM(('物赋排 '!$B$3:$B$1227=A7)*('物赋排 '!$Z$3:$Z$1227&lt;399.5))</f>
        <v>0</v>
      </c>
      <c r="Q7" s="9">
        <f t="shared" si="0"/>
        <v>47</v>
      </c>
    </row>
    <row r="8" spans="1:17">
      <c r="A8" s="9">
        <v>6</v>
      </c>
      <c r="B8" s="9">
        <f t="array" ref="B8">SUM(('物赋排 '!$B$3:$B$1227=A8)*('物赋排 '!$Z$3:$Z$1227&gt;=649.5))</f>
        <v>0</v>
      </c>
      <c r="C8" s="9">
        <f t="array" ref="C8">SUM(('物赋排 '!$B$3:$B$1227=A8)*('物赋排 '!$Z$3:$Z$1227&gt;=639.5)*('物赋排 '!$Z$3:$Z$1227&lt;649.5))</f>
        <v>0</v>
      </c>
      <c r="D8" s="9">
        <f t="array" ref="D8">SUM(('物赋排 '!$B$3:$B$1227=A8)*('物赋排 '!$Z$3:$Z$1227&gt;=619.5)*('物赋排 '!$Z$3:$Z$1227&lt;639.5))</f>
        <v>0</v>
      </c>
      <c r="E8" s="9">
        <f t="array" ref="E8">SUM(('物赋排 '!$B$3:$B$1227=A8)*('物赋排 '!$Z$3:$Z$1227&gt;=599.5)*('物赋排 '!$Z$3:$Z$1227&lt;619.5))</f>
        <v>0</v>
      </c>
      <c r="F8" s="9">
        <f t="array" ref="F8">SUM(('物赋排 '!$B$3:$B$1227=A8)*('物赋排 '!$Z$3:$Z$1227&gt;=579.5)*('物赋排 '!$Z$3:$Z$1227&lt;599.5))</f>
        <v>0</v>
      </c>
      <c r="G8" s="9">
        <f t="array" ref="G8">SUM(('物赋排 '!$B$3:$B$1227=A8)*('物赋排 '!$Z$3:$Z$1227&gt;=559.5)*('物赋排 '!$Z$3:$Z$1227&lt;579.5))</f>
        <v>0</v>
      </c>
      <c r="H8" s="9">
        <f t="array" ref="H8">SUM(('物赋排 '!$B$3:$B$1227=A8)*('物赋排 '!$Z$3:$Z$1227&gt;=539.5)*('物赋排 '!$Z$3:$Z$1227&lt;559.5))</f>
        <v>4</v>
      </c>
      <c r="I8" s="9">
        <f t="array" ref="I8">SUM(('物赋排 '!$B$3:$B$1227=A8)*('物赋排 '!$Z$3:$Z$1227&gt;=519.5)*('物赋排 '!$Z$3:$Z$1227&lt;539.5))</f>
        <v>5</v>
      </c>
      <c r="J8" s="9">
        <f t="array" ref="J8">SUM(('物赋排 '!$B$3:$B$1227=A8)*('物赋排 '!$Z$3:$Z$1227&gt;=499.5)*('物赋排 '!$Z$3:$Z$1227&lt;519.5))</f>
        <v>5</v>
      </c>
      <c r="K8" s="9">
        <f t="array" ref="K8">SUM(('物赋排 '!$B$3:$B$1227=A8)*('物赋排 '!$Z$3:$Z$1227&gt;=479.5)*('物赋排 '!$Z$3:$Z$1227&lt;499.5))</f>
        <v>5</v>
      </c>
      <c r="L8" s="9">
        <f t="array" ref="L8">SUM(('物赋排 '!$B$3:$B$1227=A8)*('物赋排 '!$Z$3:$Z$1227&gt;=459.5)*('物赋排 '!$Z$3:$Z$1227&lt;479.5))</f>
        <v>4</v>
      </c>
      <c r="M8" s="9">
        <f t="array" ref="M8">SUM(('物赋排 '!$B$3:$B$1227=A8)*('物赋排 '!$Z$3:$Z$1227&gt;=439.5)*('物赋排 '!$Z$3:$Z$1227&lt;459.5))</f>
        <v>9</v>
      </c>
      <c r="N8" s="9">
        <f t="array" ref="N8">SUM(('物赋排 '!$B$3:$B$1227=A8)*('物赋排 '!$Z$3:$Z$1227&gt;=419.5)*('物赋排 '!$Z$3:$Z$1227&lt;439.5))</f>
        <v>4</v>
      </c>
      <c r="O8" s="9">
        <f t="array" ref="O8">SUM(('物赋排 '!$B$3:$B$1227=A8)*('物赋排 '!$Z$3:$Z$1227&gt;=399.5)*('物赋排 '!$Z$3:$Z$1227&lt;419.5))</f>
        <v>1</v>
      </c>
      <c r="P8" s="9">
        <f t="array" ref="P8">SUM(('物赋排 '!$B$3:$B$1227=A8)*('物赋排 '!$Z$3:$Z$1227&lt;399.5))</f>
        <v>2</v>
      </c>
      <c r="Q8" s="9">
        <f t="shared" si="0"/>
        <v>39</v>
      </c>
    </row>
    <row r="9" spans="1:17">
      <c r="A9" s="9">
        <v>7</v>
      </c>
      <c r="B9" s="9">
        <f t="array" ref="B9">SUM(('物赋排 '!$B$3:$B$1227=A9)*('物赋排 '!$Z$3:$Z$1227&gt;=649.5))</f>
        <v>0</v>
      </c>
      <c r="C9" s="9">
        <f t="array" ref="C9">SUM(('物赋排 '!$B$3:$B$1227=A9)*('物赋排 '!$Z$3:$Z$1227&gt;=639.5)*('物赋排 '!$Z$3:$Z$1227&lt;649.5))</f>
        <v>0</v>
      </c>
      <c r="D9" s="9">
        <f t="array" ref="D9">SUM(('物赋排 '!$B$3:$B$1227=A9)*('物赋排 '!$Z$3:$Z$1227&gt;=619.5)*('物赋排 '!$Z$3:$Z$1227&lt;639.5))</f>
        <v>0</v>
      </c>
      <c r="E9" s="9">
        <f t="array" ref="E9">SUM(('物赋排 '!$B$3:$B$1227=A9)*('物赋排 '!$Z$3:$Z$1227&gt;=599.5)*('物赋排 '!$Z$3:$Z$1227&lt;619.5))</f>
        <v>0</v>
      </c>
      <c r="F9" s="9">
        <f t="array" ref="F9">SUM(('物赋排 '!$B$3:$B$1227=A9)*('物赋排 '!$Z$3:$Z$1227&gt;=579.5)*('物赋排 '!$Z$3:$Z$1227&lt;599.5))</f>
        <v>0</v>
      </c>
      <c r="G9" s="9">
        <f t="array" ref="G9">SUM(('物赋排 '!$B$3:$B$1227=A9)*('物赋排 '!$Z$3:$Z$1227&gt;=559.5)*('物赋排 '!$Z$3:$Z$1227&lt;579.5))</f>
        <v>0</v>
      </c>
      <c r="H9" s="9">
        <f t="array" ref="H9">SUM(('物赋排 '!$B$3:$B$1227=A9)*('物赋排 '!$Z$3:$Z$1227&gt;=539.5)*('物赋排 '!$Z$3:$Z$1227&lt;559.5))</f>
        <v>1</v>
      </c>
      <c r="I9" s="9">
        <f t="array" ref="I9">SUM(('物赋排 '!$B$3:$B$1227=A9)*('物赋排 '!$Z$3:$Z$1227&gt;=519.5)*('物赋排 '!$Z$3:$Z$1227&lt;539.5))</f>
        <v>2</v>
      </c>
      <c r="J9" s="9">
        <f t="array" ref="J9">SUM(('物赋排 '!$B$3:$B$1227=A9)*('物赋排 '!$Z$3:$Z$1227&gt;=499.5)*('物赋排 '!$Z$3:$Z$1227&lt;519.5))</f>
        <v>5</v>
      </c>
      <c r="K9" s="9">
        <f t="array" ref="K9">SUM(('物赋排 '!$B$3:$B$1227=A9)*('物赋排 '!$Z$3:$Z$1227&gt;=479.5)*('物赋排 '!$Z$3:$Z$1227&lt;499.5))</f>
        <v>3</v>
      </c>
      <c r="L9" s="9">
        <f t="array" ref="L9">SUM(('物赋排 '!$B$3:$B$1227=A9)*('物赋排 '!$Z$3:$Z$1227&gt;=459.5)*('物赋排 '!$Z$3:$Z$1227&lt;479.5))</f>
        <v>4</v>
      </c>
      <c r="M9" s="9">
        <f t="array" ref="M9">SUM(('物赋排 '!$B$3:$B$1227=A9)*('物赋排 '!$Z$3:$Z$1227&gt;=439.5)*('物赋排 '!$Z$3:$Z$1227&lt;459.5))</f>
        <v>13</v>
      </c>
      <c r="N9" s="9">
        <f t="array" ref="N9">SUM(('物赋排 '!$B$3:$B$1227=A9)*('物赋排 '!$Z$3:$Z$1227&gt;=419.5)*('物赋排 '!$Z$3:$Z$1227&lt;439.5))</f>
        <v>9</v>
      </c>
      <c r="O9" s="9">
        <f t="array" ref="O9">SUM(('物赋排 '!$B$3:$B$1227=A9)*('物赋排 '!$Z$3:$Z$1227&gt;=399.5)*('物赋排 '!$Z$3:$Z$1227&lt;419.5))</f>
        <v>1</v>
      </c>
      <c r="P9" s="9">
        <f t="array" ref="P9">SUM(('物赋排 '!$B$3:$B$1227=A9)*('物赋排 '!$Z$3:$Z$1227&lt;399.5))</f>
        <v>0</v>
      </c>
      <c r="Q9" s="9">
        <f t="shared" si="0"/>
        <v>38</v>
      </c>
    </row>
    <row r="10" spans="1:17">
      <c r="A10" s="9">
        <v>8</v>
      </c>
      <c r="B10" s="9">
        <f t="array" ref="B10">SUM(('物赋排 '!$B$3:$B$1227=A10)*('物赋排 '!$Z$3:$Z$1227&gt;=649.5))</f>
        <v>0</v>
      </c>
      <c r="C10" s="9">
        <f t="array" ref="C10">SUM(('物赋排 '!$B$3:$B$1227=A10)*('物赋排 '!$Z$3:$Z$1227&gt;=639.5)*('物赋排 '!$Z$3:$Z$1227&lt;649.5))</f>
        <v>0</v>
      </c>
      <c r="D10" s="9">
        <f t="array" ref="D10">SUM(('物赋排 '!$B$3:$B$1227=A10)*('物赋排 '!$Z$3:$Z$1227&gt;=619.5)*('物赋排 '!$Z$3:$Z$1227&lt;639.5))</f>
        <v>0</v>
      </c>
      <c r="E10" s="9">
        <f t="array" ref="E10">SUM(('物赋排 '!$B$3:$B$1227=A10)*('物赋排 '!$Z$3:$Z$1227&gt;=599.5)*('物赋排 '!$Z$3:$Z$1227&lt;619.5))</f>
        <v>0</v>
      </c>
      <c r="F10" s="9">
        <f t="array" ref="F10">SUM(('物赋排 '!$B$3:$B$1227=A10)*('物赋排 '!$Z$3:$Z$1227&gt;=579.5)*('物赋排 '!$Z$3:$Z$1227&lt;599.5))</f>
        <v>1</v>
      </c>
      <c r="G10" s="9">
        <f t="array" ref="G10">SUM(('物赋排 '!$B$3:$B$1227=A10)*('物赋排 '!$Z$3:$Z$1227&gt;=559.5)*('物赋排 '!$Z$3:$Z$1227&lt;579.5))</f>
        <v>0</v>
      </c>
      <c r="H10" s="9">
        <f t="array" ref="H10">SUM(('物赋排 '!$B$3:$B$1227=A10)*('物赋排 '!$Z$3:$Z$1227&gt;=539.5)*('物赋排 '!$Z$3:$Z$1227&lt;559.5))</f>
        <v>5</v>
      </c>
      <c r="I10" s="9">
        <f t="array" ref="I10">SUM(('物赋排 '!$B$3:$B$1227=A10)*('物赋排 '!$Z$3:$Z$1227&gt;=519.5)*('物赋排 '!$Z$3:$Z$1227&lt;539.5))</f>
        <v>8</v>
      </c>
      <c r="J10" s="9">
        <f t="array" ref="J10">SUM(('物赋排 '!$B$3:$B$1227=A10)*('物赋排 '!$Z$3:$Z$1227&gt;=499.5)*('物赋排 '!$Z$3:$Z$1227&lt;519.5))</f>
        <v>10</v>
      </c>
      <c r="K10" s="9">
        <f t="array" ref="K10">SUM(('物赋排 '!$B$3:$B$1227=A10)*('物赋排 '!$Z$3:$Z$1227&gt;=479.5)*('物赋排 '!$Z$3:$Z$1227&lt;499.5))</f>
        <v>15</v>
      </c>
      <c r="L10" s="9">
        <f t="array" ref="L10">SUM(('物赋排 '!$B$3:$B$1227=A10)*('物赋排 '!$Z$3:$Z$1227&gt;=459.5)*('物赋排 '!$Z$3:$Z$1227&lt;479.5))</f>
        <v>7</v>
      </c>
      <c r="M10" s="9">
        <f t="array" ref="M10">SUM(('物赋排 '!$B$3:$B$1227=A10)*('物赋排 '!$Z$3:$Z$1227&gt;=439.5)*('物赋排 '!$Z$3:$Z$1227&lt;459.5))</f>
        <v>2</v>
      </c>
      <c r="N10" s="9">
        <f t="array" ref="N10">SUM(('物赋排 '!$B$3:$B$1227=A10)*('物赋排 '!$Z$3:$Z$1227&gt;=419.5)*('物赋排 '!$Z$3:$Z$1227&lt;439.5))</f>
        <v>6</v>
      </c>
      <c r="O10" s="9">
        <f t="array" ref="O10">SUM(('物赋排 '!$B$3:$B$1227=A10)*('物赋排 '!$Z$3:$Z$1227&gt;=399.5)*('物赋排 '!$Z$3:$Z$1227&lt;419.5))</f>
        <v>0</v>
      </c>
      <c r="P10" s="9">
        <f t="array" ref="P10">SUM(('物赋排 '!$B$3:$B$1227=A10)*('物赋排 '!$Z$3:$Z$1227&lt;399.5))</f>
        <v>3</v>
      </c>
      <c r="Q10" s="9">
        <f t="shared" si="0"/>
        <v>57</v>
      </c>
    </row>
    <row r="11" spans="1:17">
      <c r="A11" s="9">
        <v>9</v>
      </c>
      <c r="B11" s="9">
        <f t="array" ref="B11">SUM(('物赋排 '!$B$3:$B$1227=A11)*('物赋排 '!$Z$3:$Z$1227&gt;=649.5))</f>
        <v>0</v>
      </c>
      <c r="C11" s="9">
        <f t="array" ref="C11">SUM(('物赋排 '!$B$3:$B$1227=A11)*('物赋排 '!$Z$3:$Z$1227&gt;=639.5)*('物赋排 '!$Z$3:$Z$1227&lt;649.5))</f>
        <v>1</v>
      </c>
      <c r="D11" s="9">
        <f t="array" ref="D11">SUM(('物赋排 '!$B$3:$B$1227=A11)*('物赋排 '!$Z$3:$Z$1227&gt;=619.5)*('物赋排 '!$Z$3:$Z$1227&lt;639.5))</f>
        <v>3</v>
      </c>
      <c r="E11" s="9">
        <f t="array" ref="E11">SUM(('物赋排 '!$B$3:$B$1227=A11)*('物赋排 '!$Z$3:$Z$1227&gt;=599.5)*('物赋排 '!$Z$3:$Z$1227&lt;619.5))</f>
        <v>6</v>
      </c>
      <c r="F11" s="9">
        <f t="array" ref="F11">SUM(('物赋排 '!$B$3:$B$1227=A11)*('物赋排 '!$Z$3:$Z$1227&gt;=579.5)*('物赋排 '!$Z$3:$Z$1227&lt;599.5))</f>
        <v>12</v>
      </c>
      <c r="G11" s="9">
        <f t="array" ref="G11">SUM(('物赋排 '!$B$3:$B$1227=A11)*('物赋排 '!$Z$3:$Z$1227&gt;=559.5)*('物赋排 '!$Z$3:$Z$1227&lt;579.5))</f>
        <v>21</v>
      </c>
      <c r="H11" s="9">
        <f t="array" ref="H11">SUM(('物赋排 '!$B$3:$B$1227=A11)*('物赋排 '!$Z$3:$Z$1227&gt;=539.5)*('物赋排 '!$Z$3:$Z$1227&lt;559.5))</f>
        <v>6</v>
      </c>
      <c r="I11" s="9">
        <f t="array" ref="I11">SUM(('物赋排 '!$B$3:$B$1227=A11)*('物赋排 '!$Z$3:$Z$1227&gt;=519.5)*('物赋排 '!$Z$3:$Z$1227&lt;539.5))</f>
        <v>5</v>
      </c>
      <c r="J11" s="9">
        <f t="array" ref="J11">SUM(('物赋排 '!$B$3:$B$1227=A11)*('物赋排 '!$Z$3:$Z$1227&gt;=499.5)*('物赋排 '!$Z$3:$Z$1227&lt;519.5))</f>
        <v>0</v>
      </c>
      <c r="K11" s="9">
        <f t="array" ref="K11">SUM(('物赋排 '!$B$3:$B$1227=A11)*('物赋排 '!$Z$3:$Z$1227&gt;=479.5)*('物赋排 '!$Z$3:$Z$1227&lt;499.5))</f>
        <v>0</v>
      </c>
      <c r="L11" s="9">
        <f t="array" ref="L11">SUM(('物赋排 '!$B$3:$B$1227=A11)*('物赋排 '!$Z$3:$Z$1227&gt;=459.5)*('物赋排 '!$Z$3:$Z$1227&lt;479.5))</f>
        <v>0</v>
      </c>
      <c r="M11" s="9">
        <f t="array" ref="M11">SUM(('物赋排 '!$B$3:$B$1227=A11)*('物赋排 '!$Z$3:$Z$1227&gt;=439.5)*('物赋排 '!$Z$3:$Z$1227&lt;459.5))</f>
        <v>0</v>
      </c>
      <c r="N11" s="9">
        <f t="array" ref="N11">SUM(('物赋排 '!$B$3:$B$1227=A11)*('物赋排 '!$Z$3:$Z$1227&gt;=419.5)*('物赋排 '!$Z$3:$Z$1227&lt;439.5))</f>
        <v>0</v>
      </c>
      <c r="O11" s="9">
        <f t="array" ref="O11">SUM(('物赋排 '!$B$3:$B$1227=A11)*('物赋排 '!$Z$3:$Z$1227&gt;=399.5)*('物赋排 '!$Z$3:$Z$1227&lt;419.5))</f>
        <v>0</v>
      </c>
      <c r="P11" s="9">
        <f t="array" ref="P11">SUM(('物赋排 '!$B$3:$B$1227=A11)*('物赋排 '!$Z$3:$Z$1227&lt;399.5))</f>
        <v>0</v>
      </c>
      <c r="Q11" s="9">
        <f t="shared" si="0"/>
        <v>54</v>
      </c>
    </row>
    <row r="12" spans="1:17">
      <c r="A12" s="9">
        <v>10</v>
      </c>
      <c r="B12" s="9">
        <f t="array" ref="B12">SUM(('物赋排 '!$B$3:$B$1227=A12)*('物赋排 '!$Z$3:$Z$1227&gt;=649.5))</f>
        <v>0</v>
      </c>
      <c r="C12" s="9">
        <f t="array" ref="C12">SUM(('物赋排 '!$B$3:$B$1227=A12)*('物赋排 '!$Z$3:$Z$1227&gt;=639.5)*('物赋排 '!$Z$3:$Z$1227&lt;649.5))</f>
        <v>0</v>
      </c>
      <c r="D12" s="9">
        <f t="array" ref="D12">SUM(('物赋排 '!$B$3:$B$1227=A12)*('物赋排 '!$Z$3:$Z$1227&gt;=619.5)*('物赋排 '!$Z$3:$Z$1227&lt;639.5))</f>
        <v>0</v>
      </c>
      <c r="E12" s="9">
        <f t="array" ref="E12">SUM(('物赋排 '!$B$3:$B$1227=A12)*('物赋排 '!$Z$3:$Z$1227&gt;=599.5)*('物赋排 '!$Z$3:$Z$1227&lt;619.5))</f>
        <v>2</v>
      </c>
      <c r="F12" s="9">
        <f t="array" ref="F12">SUM(('物赋排 '!$B$3:$B$1227=A12)*('物赋排 '!$Z$3:$Z$1227&gt;=579.5)*('物赋排 '!$Z$3:$Z$1227&lt;599.5))</f>
        <v>2</v>
      </c>
      <c r="G12" s="9">
        <f t="array" ref="G12">SUM(('物赋排 '!$B$3:$B$1227=A12)*('物赋排 '!$Z$3:$Z$1227&gt;=559.5)*('物赋排 '!$Z$3:$Z$1227&lt;579.5))</f>
        <v>9</v>
      </c>
      <c r="H12" s="9">
        <f t="array" ref="H12">SUM(('物赋排 '!$B$3:$B$1227=A12)*('物赋排 '!$Z$3:$Z$1227&gt;=539.5)*('物赋排 '!$Z$3:$Z$1227&lt;559.5))</f>
        <v>21</v>
      </c>
      <c r="I12" s="9">
        <f t="array" ref="I12">SUM(('物赋排 '!$B$3:$B$1227=A12)*('物赋排 '!$Z$3:$Z$1227&gt;=519.5)*('物赋排 '!$Z$3:$Z$1227&lt;539.5))</f>
        <v>13</v>
      </c>
      <c r="J12" s="9">
        <f t="array" ref="J12">SUM(('物赋排 '!$B$3:$B$1227=A12)*('物赋排 '!$Z$3:$Z$1227&gt;=499.5)*('物赋排 '!$Z$3:$Z$1227&lt;519.5))</f>
        <v>8</v>
      </c>
      <c r="K12" s="9">
        <f t="array" ref="K12">SUM(('物赋排 '!$B$3:$B$1227=A12)*('物赋排 '!$Z$3:$Z$1227&gt;=479.5)*('物赋排 '!$Z$3:$Z$1227&lt;499.5))</f>
        <v>2</v>
      </c>
      <c r="L12" s="9">
        <f t="array" ref="L12">SUM(('物赋排 '!$B$3:$B$1227=A12)*('物赋排 '!$Z$3:$Z$1227&gt;=459.5)*('物赋排 '!$Z$3:$Z$1227&lt;479.5))</f>
        <v>0</v>
      </c>
      <c r="M12" s="9">
        <f t="array" ref="M12">SUM(('物赋排 '!$B$3:$B$1227=A12)*('物赋排 '!$Z$3:$Z$1227&gt;=439.5)*('物赋排 '!$Z$3:$Z$1227&lt;459.5))</f>
        <v>0</v>
      </c>
      <c r="N12" s="9">
        <f t="array" ref="N12">SUM(('物赋排 '!$B$3:$B$1227=A12)*('物赋排 '!$Z$3:$Z$1227&gt;=419.5)*('物赋排 '!$Z$3:$Z$1227&lt;439.5))</f>
        <v>0</v>
      </c>
      <c r="O12" s="9">
        <f t="array" ref="O12">SUM(('物赋排 '!$B$3:$B$1227=A12)*('物赋排 '!$Z$3:$Z$1227&gt;=399.5)*('物赋排 '!$Z$3:$Z$1227&lt;419.5))</f>
        <v>0</v>
      </c>
      <c r="P12" s="9">
        <f t="array" ref="P12">SUM(('物赋排 '!$B$3:$B$1227=A12)*('物赋排 '!$Z$3:$Z$1227&lt;399.5))</f>
        <v>0</v>
      </c>
      <c r="Q12" s="9">
        <f t="shared" si="0"/>
        <v>57</v>
      </c>
    </row>
    <row r="13" spans="1:17">
      <c r="A13" s="9">
        <v>11</v>
      </c>
      <c r="B13" s="9">
        <f t="array" ref="B13">SUM(('物赋排 '!$B$3:$B$1227=A13)*('物赋排 '!$Z$3:$Z$1227&gt;=649.5))</f>
        <v>0</v>
      </c>
      <c r="C13" s="9">
        <f t="array" ref="C13">SUM(('物赋排 '!$B$3:$B$1227=A13)*('物赋排 '!$Z$3:$Z$1227&gt;=639.5)*('物赋排 '!$Z$3:$Z$1227&lt;649.5))</f>
        <v>0</v>
      </c>
      <c r="D13" s="9">
        <f t="array" ref="D13">SUM(('物赋排 '!$B$3:$B$1227=A13)*('物赋排 '!$Z$3:$Z$1227&gt;=619.5)*('物赋排 '!$Z$3:$Z$1227&lt;639.5))</f>
        <v>0</v>
      </c>
      <c r="E13" s="9">
        <f t="array" ref="E13">SUM(('物赋排 '!$B$3:$B$1227=A13)*('物赋排 '!$Z$3:$Z$1227&gt;=599.5)*('物赋排 '!$Z$3:$Z$1227&lt;619.5))</f>
        <v>0</v>
      </c>
      <c r="F13" s="9">
        <f t="array" ref="F13">SUM(('物赋排 '!$B$3:$B$1227=A13)*('物赋排 '!$Z$3:$Z$1227&gt;=579.5)*('物赋排 '!$Z$3:$Z$1227&lt;599.5))</f>
        <v>0</v>
      </c>
      <c r="G13" s="9">
        <f t="array" ref="G13">SUM(('物赋排 '!$B$3:$B$1227=A13)*('物赋排 '!$Z$3:$Z$1227&gt;=559.5)*('物赋排 '!$Z$3:$Z$1227&lt;579.5))</f>
        <v>1</v>
      </c>
      <c r="H13" s="9">
        <f t="array" ref="H13">SUM(('物赋排 '!$B$3:$B$1227=A13)*('物赋排 '!$Z$3:$Z$1227&gt;=539.5)*('物赋排 '!$Z$3:$Z$1227&lt;559.5))</f>
        <v>3</v>
      </c>
      <c r="I13" s="9">
        <f t="array" ref="I13">SUM(('物赋排 '!$B$3:$B$1227=A13)*('物赋排 '!$Z$3:$Z$1227&gt;=519.5)*('物赋排 '!$Z$3:$Z$1227&lt;539.5))</f>
        <v>10</v>
      </c>
      <c r="J13" s="9">
        <f t="array" ref="J13">SUM(('物赋排 '!$B$3:$B$1227=A13)*('物赋排 '!$Z$3:$Z$1227&gt;=499.5)*('物赋排 '!$Z$3:$Z$1227&lt;519.5))</f>
        <v>12</v>
      </c>
      <c r="K13" s="9">
        <f t="array" ref="K13">SUM(('物赋排 '!$B$3:$B$1227=A13)*('物赋排 '!$Z$3:$Z$1227&gt;=479.5)*('物赋排 '!$Z$3:$Z$1227&lt;499.5))</f>
        <v>5</v>
      </c>
      <c r="L13" s="9">
        <f t="array" ref="L13">SUM(('物赋排 '!$B$3:$B$1227=A13)*('物赋排 '!$Z$3:$Z$1227&gt;=459.5)*('物赋排 '!$Z$3:$Z$1227&lt;479.5))</f>
        <v>11</v>
      </c>
      <c r="M13" s="9">
        <f t="array" ref="M13">SUM(('物赋排 '!$B$3:$B$1227=A13)*('物赋排 '!$Z$3:$Z$1227&gt;=439.5)*('物赋排 '!$Z$3:$Z$1227&lt;459.5))</f>
        <v>4</v>
      </c>
      <c r="N13" s="9">
        <f t="array" ref="N13">SUM(('物赋排 '!$B$3:$B$1227=A13)*('物赋排 '!$Z$3:$Z$1227&gt;=419.5)*('物赋排 '!$Z$3:$Z$1227&lt;439.5))</f>
        <v>6</v>
      </c>
      <c r="O13" s="9">
        <f t="array" ref="O13">SUM(('物赋排 '!$B$3:$B$1227=A13)*('物赋排 '!$Z$3:$Z$1227&gt;=399.5)*('物赋排 '!$Z$3:$Z$1227&lt;419.5))</f>
        <v>1</v>
      </c>
      <c r="P13" s="9">
        <f t="array" ref="P13">SUM(('物赋排 '!$B$3:$B$1227=A13)*('物赋排 '!$Z$3:$Z$1227&lt;399.5))</f>
        <v>4</v>
      </c>
      <c r="Q13" s="9">
        <f t="shared" si="0"/>
        <v>57</v>
      </c>
    </row>
    <row r="14" spans="1:17">
      <c r="A14" s="9">
        <v>12</v>
      </c>
      <c r="B14" s="9">
        <f t="array" ref="B14">SUM(('物赋排 '!$B$3:$B$1227=A14)*('物赋排 '!$Z$3:$Z$1227&gt;=649.5))</f>
        <v>0</v>
      </c>
      <c r="C14" s="9">
        <f t="array" ref="C14">SUM(('物赋排 '!$B$3:$B$1227=A14)*('物赋排 '!$Z$3:$Z$1227&gt;=639.5)*('物赋排 '!$Z$3:$Z$1227&lt;649.5))</f>
        <v>0</v>
      </c>
      <c r="D14" s="9">
        <f t="array" ref="D14">SUM(('物赋排 '!$B$3:$B$1227=A14)*('物赋排 '!$Z$3:$Z$1227&gt;=619.5)*('物赋排 '!$Z$3:$Z$1227&lt;639.5))</f>
        <v>0</v>
      </c>
      <c r="E14" s="9">
        <f t="array" ref="E14">SUM(('物赋排 '!$B$3:$B$1227=A14)*('物赋排 '!$Z$3:$Z$1227&gt;=599.5)*('物赋排 '!$Z$3:$Z$1227&lt;619.5))</f>
        <v>0</v>
      </c>
      <c r="F14" s="9">
        <f t="array" ref="F14">SUM(('物赋排 '!$B$3:$B$1227=A14)*('物赋排 '!$Z$3:$Z$1227&gt;=579.5)*('物赋排 '!$Z$3:$Z$1227&lt;599.5))</f>
        <v>0</v>
      </c>
      <c r="G14" s="9">
        <f t="array" ref="G14">SUM(('物赋排 '!$B$3:$B$1227=A14)*('物赋排 '!$Z$3:$Z$1227&gt;=559.5)*('物赋排 '!$Z$3:$Z$1227&lt;579.5))</f>
        <v>2</v>
      </c>
      <c r="H14" s="9">
        <f t="array" ref="H14">SUM(('物赋排 '!$B$3:$B$1227=A14)*('物赋排 '!$Z$3:$Z$1227&gt;=539.5)*('物赋排 '!$Z$3:$Z$1227&lt;559.5))</f>
        <v>2</v>
      </c>
      <c r="I14" s="9">
        <f t="array" ref="I14">SUM(('物赋排 '!$B$3:$B$1227=A14)*('物赋排 '!$Z$3:$Z$1227&gt;=519.5)*('物赋排 '!$Z$3:$Z$1227&lt;539.5))</f>
        <v>3</v>
      </c>
      <c r="J14" s="9">
        <f t="array" ref="J14">SUM(('物赋排 '!$B$3:$B$1227=A14)*('物赋排 '!$Z$3:$Z$1227&gt;=499.5)*('物赋排 '!$Z$3:$Z$1227&lt;519.5))</f>
        <v>10</v>
      </c>
      <c r="K14" s="9">
        <f t="array" ref="K14">SUM(('物赋排 '!$B$3:$B$1227=A14)*('物赋排 '!$Z$3:$Z$1227&gt;=479.5)*('物赋排 '!$Z$3:$Z$1227&lt;499.5))</f>
        <v>9</v>
      </c>
      <c r="L14" s="9">
        <f t="array" ref="L14">SUM(('物赋排 '!$B$3:$B$1227=A14)*('物赋排 '!$Z$3:$Z$1227&gt;=459.5)*('物赋排 '!$Z$3:$Z$1227&lt;479.5))</f>
        <v>7</v>
      </c>
      <c r="M14" s="9">
        <f t="array" ref="M14">SUM(('物赋排 '!$B$3:$B$1227=A14)*('物赋排 '!$Z$3:$Z$1227&gt;=439.5)*('物赋排 '!$Z$3:$Z$1227&lt;459.5))</f>
        <v>8</v>
      </c>
      <c r="N14" s="9">
        <f t="array" ref="N14">SUM(('物赋排 '!$B$3:$B$1227=A14)*('物赋排 '!$Z$3:$Z$1227&gt;=419.5)*('物赋排 '!$Z$3:$Z$1227&lt;439.5))</f>
        <v>5</v>
      </c>
      <c r="O14" s="9">
        <f t="array" ref="O14">SUM(('物赋排 '!$B$3:$B$1227=A14)*('物赋排 '!$Z$3:$Z$1227&gt;=399.5)*('物赋排 '!$Z$3:$Z$1227&lt;419.5))</f>
        <v>3</v>
      </c>
      <c r="P14" s="9">
        <f t="array" ref="P14">SUM(('物赋排 '!$B$3:$B$1227=A14)*('物赋排 '!$Z$3:$Z$1227&lt;399.5))</f>
        <v>7</v>
      </c>
      <c r="Q14" s="9">
        <f t="shared" si="0"/>
        <v>56</v>
      </c>
    </row>
    <row r="15" spans="1:17">
      <c r="A15" s="9">
        <v>13</v>
      </c>
      <c r="B15" s="9">
        <f t="array" ref="B15">SUM(('物赋排 '!$B$3:$B$1227=A15)*('物赋排 '!$Z$3:$Z$1227&gt;=649.5))</f>
        <v>0</v>
      </c>
      <c r="C15" s="9">
        <f t="array" ref="C15">SUM(('物赋排 '!$B$3:$B$1227=A15)*('物赋排 '!$Z$3:$Z$1227&gt;=639.5)*('物赋排 '!$Z$3:$Z$1227&lt;649.5))</f>
        <v>0</v>
      </c>
      <c r="D15" s="9">
        <f t="array" ref="D15">SUM(('物赋排 '!$B$3:$B$1227=A15)*('物赋排 '!$Z$3:$Z$1227&gt;=619.5)*('物赋排 '!$Z$3:$Z$1227&lt;639.5))</f>
        <v>0</v>
      </c>
      <c r="E15" s="9">
        <f t="array" ref="E15">SUM(('物赋排 '!$B$3:$B$1227=A15)*('物赋排 '!$Z$3:$Z$1227&gt;=599.5)*('物赋排 '!$Z$3:$Z$1227&lt;619.5))</f>
        <v>0</v>
      </c>
      <c r="F15" s="9">
        <f t="array" ref="F15">SUM(('物赋排 '!$B$3:$B$1227=A15)*('物赋排 '!$Z$3:$Z$1227&gt;=579.5)*('物赋排 '!$Z$3:$Z$1227&lt;599.5))</f>
        <v>0</v>
      </c>
      <c r="G15" s="9">
        <f t="array" ref="G15">SUM(('物赋排 '!$B$3:$B$1227=A15)*('物赋排 '!$Z$3:$Z$1227&gt;=559.5)*('物赋排 '!$Z$3:$Z$1227&lt;579.5))</f>
        <v>3</v>
      </c>
      <c r="H15" s="9">
        <f t="array" ref="H15">SUM(('物赋排 '!$B$3:$B$1227=A15)*('物赋排 '!$Z$3:$Z$1227&gt;=539.5)*('物赋排 '!$Z$3:$Z$1227&lt;559.5))</f>
        <v>2</v>
      </c>
      <c r="I15" s="9">
        <f t="array" ref="I15">SUM(('物赋排 '!$B$3:$B$1227=A15)*('物赋排 '!$Z$3:$Z$1227&gt;=519.5)*('物赋排 '!$Z$3:$Z$1227&lt;539.5))</f>
        <v>4</v>
      </c>
      <c r="J15" s="9">
        <f t="array" ref="J15">SUM(('物赋排 '!$B$3:$B$1227=A15)*('物赋排 '!$Z$3:$Z$1227&gt;=499.5)*('物赋排 '!$Z$3:$Z$1227&lt;519.5))</f>
        <v>12</v>
      </c>
      <c r="K15" s="9">
        <f t="array" ref="K15">SUM(('物赋排 '!$B$3:$B$1227=A15)*('物赋排 '!$Z$3:$Z$1227&gt;=479.5)*('物赋排 '!$Z$3:$Z$1227&lt;499.5))</f>
        <v>8</v>
      </c>
      <c r="L15" s="9">
        <f t="array" ref="L15">SUM(('物赋排 '!$B$3:$B$1227=A15)*('物赋排 '!$Z$3:$Z$1227&gt;=459.5)*('物赋排 '!$Z$3:$Z$1227&lt;479.5))</f>
        <v>15</v>
      </c>
      <c r="M15" s="9">
        <f t="array" ref="M15">SUM(('物赋排 '!$B$3:$B$1227=A15)*('物赋排 '!$Z$3:$Z$1227&gt;=439.5)*('物赋排 '!$Z$3:$Z$1227&lt;459.5))</f>
        <v>2</v>
      </c>
      <c r="N15" s="9">
        <f t="array" ref="N15">SUM(('物赋排 '!$B$3:$B$1227=A15)*('物赋排 '!$Z$3:$Z$1227&gt;=419.5)*('物赋排 '!$Z$3:$Z$1227&lt;439.5))</f>
        <v>5</v>
      </c>
      <c r="O15" s="9">
        <f t="array" ref="O15">SUM(('物赋排 '!$B$3:$B$1227=A15)*('物赋排 '!$Z$3:$Z$1227&gt;=399.5)*('物赋排 '!$Z$3:$Z$1227&lt;419.5))</f>
        <v>2</v>
      </c>
      <c r="P15" s="9">
        <f t="array" ref="P15">SUM(('物赋排 '!$B$3:$B$1227=A15)*('物赋排 '!$Z$3:$Z$1227&lt;399.5))</f>
        <v>1</v>
      </c>
      <c r="Q15" s="9">
        <f t="shared" si="0"/>
        <v>54</v>
      </c>
    </row>
    <row r="16" spans="1:17">
      <c r="A16" s="126" t="s">
        <v>1868</v>
      </c>
      <c r="B16" s="126">
        <f>SUM(B3:B15)</f>
        <v>0</v>
      </c>
      <c r="C16" s="126">
        <f t="shared" ref="C16:Q16" si="1">SUM(C3:C15)</f>
        <v>1</v>
      </c>
      <c r="D16" s="126">
        <f t="shared" si="1"/>
        <v>3</v>
      </c>
      <c r="E16" s="126">
        <f t="shared" si="1"/>
        <v>8</v>
      </c>
      <c r="F16" s="126">
        <f t="shared" si="1"/>
        <v>15</v>
      </c>
      <c r="G16" s="126">
        <f t="shared" si="1"/>
        <v>47</v>
      </c>
      <c r="H16" s="126">
        <f t="shared" si="1"/>
        <v>61</v>
      </c>
      <c r="I16" s="126">
        <f t="shared" si="1"/>
        <v>85</v>
      </c>
      <c r="J16" s="126">
        <f t="shared" si="1"/>
        <v>110</v>
      </c>
      <c r="K16" s="126">
        <f t="shared" si="1"/>
        <v>92</v>
      </c>
      <c r="L16" s="126">
        <f t="shared" si="1"/>
        <v>88</v>
      </c>
      <c r="M16" s="126">
        <f t="shared" si="1"/>
        <v>61</v>
      </c>
      <c r="N16" s="126">
        <f t="shared" si="1"/>
        <v>53</v>
      </c>
      <c r="O16" s="126">
        <f t="shared" si="1"/>
        <v>15</v>
      </c>
      <c r="P16" s="126">
        <f t="shared" si="1"/>
        <v>24</v>
      </c>
      <c r="Q16" s="126">
        <f t="shared" si="1"/>
        <v>663</v>
      </c>
    </row>
    <row r="17" ht="5.1" customHeight="1" spans="1: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</row>
    <row r="18" spans="1:17">
      <c r="A18" s="9">
        <v>14</v>
      </c>
      <c r="B18" s="9">
        <f t="array" ref="B18">SUM(('史赋排 '!$B$3:$B$1459=A18)*('史赋排 '!$Z$3:$Z$1459&gt;=649.5))</f>
        <v>0</v>
      </c>
      <c r="C18" s="9">
        <f t="array" ref="C18">SUM(('史赋排 '!$B$3:$B$1459=A18)*('史赋排 '!$Z$3:$Z$1459&gt;=639.5)*('史赋排 '!$Z$3:$Z$1459&lt;649.5))</f>
        <v>0</v>
      </c>
      <c r="D18" s="9">
        <f t="array" ref="D18">SUM(('史赋排 '!$B$3:$B$1459=A18)*('史赋排 '!$Z$3:$Z$1459&gt;=619.5)*('史赋排 '!$Z$3:$Z$1459&lt;639.5))</f>
        <v>0</v>
      </c>
      <c r="E18" s="9">
        <f t="array" ref="E18">SUM(('史赋排 '!$B$3:$B$1459=A18)*('史赋排 '!$Z$3:$Z$1459&gt;=599.5)*('史赋排 '!$Z$3:$Z$1459&lt;619.5))</f>
        <v>0</v>
      </c>
      <c r="F18" s="9">
        <f t="array" ref="F18">SUM(('史赋排 '!$B$3:$B$1459=A18)*('史赋排 '!$Z$3:$Z$1459&gt;=579.5)*('史赋排 '!$Z$3:$Z$1459&lt;599.5))</f>
        <v>0</v>
      </c>
      <c r="G18" s="9">
        <f t="array" ref="G18">SUM(('史赋排 '!$B$3:$B$1459=A18)*('史赋排 '!$Z$3:$Z$1459&gt;=559.5)*('史赋排 '!$Z$3:$Z$1459&lt;579.5))</f>
        <v>1</v>
      </c>
      <c r="H18" s="9">
        <f t="array" ref="H18">SUM(('史赋排 '!$B$3:$B$1459=A18)*('史赋排 '!$Z$3:$Z$1459&gt;=539.5)*('史赋排 '!$Z$3:$Z$1459&lt;559.5))</f>
        <v>3</v>
      </c>
      <c r="I18" s="9">
        <f t="array" ref="I18">SUM(('史赋排 '!$B$3:$B$1459=A18)*('史赋排 '!$Z$3:$Z$1459&gt;=519.5)*('史赋排 '!$Z$3:$Z$1459&lt;539.5))</f>
        <v>9</v>
      </c>
      <c r="J18" s="9">
        <f t="array" ref="J18">SUM(('史赋排 '!$B$3:$B$1459=A18)*('史赋排 '!$Z$3:$Z$1459&gt;=499.5)*('史赋排 '!$Z$3:$Z$1459&lt;519.5))</f>
        <v>13</v>
      </c>
      <c r="K18" s="9">
        <f t="array" ref="K18">SUM(('史赋排 '!$B$3:$B$1459=A18)*('史赋排 '!$Z$3:$Z$1459&gt;=479.5)*('史赋排 '!$Z$3:$Z$1459&lt;499.5))</f>
        <v>5</v>
      </c>
      <c r="L18" s="9">
        <f t="array" ref="L18">SUM(('史赋排 '!$B$3:$B$1459=A18)*('史赋排 '!$Z$3:$Z$1459&gt;=459.5)*('史赋排 '!$Z$3:$Z$1459&lt;479.5))</f>
        <v>3</v>
      </c>
      <c r="M18" s="9">
        <f t="array" ref="M18">SUM(('史赋排 '!$B$3:$B$1459=A18)*('史赋排 '!$Z$3:$Z$1459&gt;=439.5)*('史赋排 '!$Z$3:$Z$1459&lt;459.5))</f>
        <v>5</v>
      </c>
      <c r="N18" s="9">
        <f t="array" ref="N18">SUM(('史赋排 '!$B$3:$B$1459=A18)*('史赋排 '!$Z$3:$Z$1459&gt;=419.5)*('史赋排 '!$Z$3:$Z$1459&lt;439.5))</f>
        <v>0</v>
      </c>
      <c r="O18" s="9">
        <f t="array" ref="O18">SUM(('史赋排 '!$B$3:$B$1459=A18)*('史赋排 '!$Z$3:$Z$1459&gt;=399.5)*('史赋排 '!$Z$3:$Z$1459&lt;419.5))</f>
        <v>0</v>
      </c>
      <c r="P18" s="9">
        <f t="array" ref="P18">SUM(('史赋排 '!$B$3:$B$1459=A18)*('史赋排 '!$Z$3:$Z$1459&lt;399.5))</f>
        <v>1</v>
      </c>
      <c r="Q18" s="9">
        <f>SUM(B18:P18)</f>
        <v>40</v>
      </c>
    </row>
    <row r="19" spans="1:17">
      <c r="A19" s="9">
        <v>15</v>
      </c>
      <c r="B19" s="9">
        <f t="array" ref="B19">SUM(('史赋排 '!$B$3:$B$1459=A19)*('史赋排 '!$Z$3:$Z$1459&gt;=649.5))</f>
        <v>0</v>
      </c>
      <c r="C19" s="9">
        <f t="array" ref="C19">SUM(('史赋排 '!$B$3:$B$1459=A19)*('史赋排 '!$Z$3:$Z$1459&gt;=639.5)*('史赋排 '!$Z$3:$Z$1459&lt;649.5))</f>
        <v>0</v>
      </c>
      <c r="D19" s="9">
        <f t="array" ref="D19">SUM(('史赋排 '!$B$3:$B$1459=A19)*('史赋排 '!$Z$3:$Z$1459&gt;=619.5)*('史赋排 '!$Z$3:$Z$1459&lt;639.5))</f>
        <v>0</v>
      </c>
      <c r="E19" s="9">
        <f t="array" ref="E19">SUM(('史赋排 '!$B$3:$B$1459=A19)*('史赋排 '!$Z$3:$Z$1459&gt;=599.5)*('史赋排 '!$Z$3:$Z$1459&lt;619.5))</f>
        <v>0</v>
      </c>
      <c r="F19" s="9">
        <f t="array" ref="F19">SUM(('史赋排 '!$B$3:$B$1459=A19)*('史赋排 '!$Z$3:$Z$1459&gt;=579.5)*('史赋排 '!$Z$3:$Z$1459&lt;599.5))</f>
        <v>0</v>
      </c>
      <c r="G19" s="9">
        <f t="array" ref="G19">SUM(('史赋排 '!$B$3:$B$1459=A19)*('史赋排 '!$Z$3:$Z$1459&gt;=559.5)*('史赋排 '!$Z$3:$Z$1459&lt;579.5))</f>
        <v>1</v>
      </c>
      <c r="H19" s="9">
        <f t="array" ref="H19">SUM(('史赋排 '!$B$3:$B$1459=A19)*('史赋排 '!$Z$3:$Z$1459&gt;=539.5)*('史赋排 '!$Z$3:$Z$1459&lt;559.5))</f>
        <v>4</v>
      </c>
      <c r="I19" s="9">
        <f t="array" ref="I19">SUM(('史赋排 '!$B$3:$B$1459=A19)*('史赋排 '!$Z$3:$Z$1459&gt;=519.5)*('史赋排 '!$Z$3:$Z$1459&lt;539.5))</f>
        <v>8</v>
      </c>
      <c r="J19" s="9">
        <f t="array" ref="J19">SUM(('史赋排 '!$B$3:$B$1459=A19)*('史赋排 '!$Z$3:$Z$1459&gt;=499.5)*('史赋排 '!$Z$3:$Z$1459&lt;519.5))</f>
        <v>11</v>
      </c>
      <c r="K19" s="9">
        <f t="array" ref="K19">SUM(('史赋排 '!$B$3:$B$1459=A19)*('史赋排 '!$Z$3:$Z$1459&gt;=479.5)*('史赋排 '!$Z$3:$Z$1459&lt;499.5))</f>
        <v>11</v>
      </c>
      <c r="L19" s="9">
        <f t="array" ref="L19">SUM(('史赋排 '!$B$3:$B$1459=A19)*('史赋排 '!$Z$3:$Z$1459&gt;=459.5)*('史赋排 '!$Z$3:$Z$1459&lt;479.5))</f>
        <v>5</v>
      </c>
      <c r="M19" s="9">
        <f t="array" ref="M19">SUM(('史赋排 '!$B$3:$B$1459=A19)*('史赋排 '!$Z$3:$Z$1459&gt;=439.5)*('史赋排 '!$Z$3:$Z$1459&lt;459.5))</f>
        <v>2</v>
      </c>
      <c r="N19" s="9">
        <f t="array" ref="N19">SUM(('史赋排 '!$B$3:$B$1459=A19)*('史赋排 '!$Z$3:$Z$1459&gt;=419.5)*('史赋排 '!$Z$3:$Z$1459&lt;439.5))</f>
        <v>0</v>
      </c>
      <c r="O19" s="9">
        <f t="array" ref="O19">SUM(('史赋排 '!$B$3:$B$1459=A19)*('史赋排 '!$Z$3:$Z$1459&gt;=399.5)*('史赋排 '!$Z$3:$Z$1459&lt;419.5))</f>
        <v>0</v>
      </c>
      <c r="P19" s="9">
        <f t="array" ref="P19">SUM(('史赋排 '!$B$3:$B$1459=A19)*('史赋排 '!$Z$3:$Z$1459&lt;399.5))</f>
        <v>0</v>
      </c>
      <c r="Q19" s="9">
        <f>SUM(B19:P19)</f>
        <v>42</v>
      </c>
    </row>
    <row r="20" spans="1:17">
      <c r="A20" s="9">
        <v>16</v>
      </c>
      <c r="B20" s="9">
        <f t="array" ref="B20">SUM(('史赋排 '!$B$3:$B$1459=A20)*('史赋排 '!$Z$3:$Z$1459&gt;=649.5))</f>
        <v>0</v>
      </c>
      <c r="C20" s="9">
        <f t="array" ref="C20">SUM(('史赋排 '!$B$3:$B$1459=A20)*('史赋排 '!$Z$3:$Z$1459&gt;=639.5)*('史赋排 '!$Z$3:$Z$1459&lt;649.5))</f>
        <v>0</v>
      </c>
      <c r="D20" s="9">
        <f t="array" ref="D20">SUM(('史赋排 '!$B$3:$B$1459=A20)*('史赋排 '!$Z$3:$Z$1459&gt;=619.5)*('史赋排 '!$Z$3:$Z$1459&lt;639.5))</f>
        <v>0</v>
      </c>
      <c r="E20" s="9">
        <f t="array" ref="E20">SUM(('史赋排 '!$B$3:$B$1459=A20)*('史赋排 '!$Z$3:$Z$1459&gt;=599.5)*('史赋排 '!$Z$3:$Z$1459&lt;619.5))</f>
        <v>2</v>
      </c>
      <c r="F20" s="9">
        <f t="array" ref="F20">SUM(('史赋排 '!$B$3:$B$1459=A20)*('史赋排 '!$Z$3:$Z$1459&gt;=579.5)*('史赋排 '!$Z$3:$Z$1459&lt;599.5))</f>
        <v>6</v>
      </c>
      <c r="G20" s="9">
        <f t="array" ref="G20">SUM(('史赋排 '!$B$3:$B$1459=A20)*('史赋排 '!$Z$3:$Z$1459&gt;=559.5)*('史赋排 '!$Z$3:$Z$1459&lt;579.5))</f>
        <v>16</v>
      </c>
      <c r="H20" s="9">
        <f t="array" ref="H20">SUM(('史赋排 '!$B$3:$B$1459=A20)*('史赋排 '!$Z$3:$Z$1459&gt;=539.5)*('史赋排 '!$Z$3:$Z$1459&lt;559.5))</f>
        <v>11</v>
      </c>
      <c r="I20" s="9">
        <f t="array" ref="I20">SUM(('史赋排 '!$B$3:$B$1459=A20)*('史赋排 '!$Z$3:$Z$1459&gt;=519.5)*('史赋排 '!$Z$3:$Z$1459&lt;539.5))</f>
        <v>3</v>
      </c>
      <c r="J20" s="9">
        <f t="array" ref="J20">SUM(('史赋排 '!$B$3:$B$1459=A20)*('史赋排 '!$Z$3:$Z$1459&gt;=499.5)*('史赋排 '!$Z$3:$Z$1459&lt;519.5))</f>
        <v>0</v>
      </c>
      <c r="K20" s="9">
        <f t="array" ref="K20">SUM(('史赋排 '!$B$3:$B$1459=A20)*('史赋排 '!$Z$3:$Z$1459&gt;=479.5)*('史赋排 '!$Z$3:$Z$1459&lt;499.5))</f>
        <v>0</v>
      </c>
      <c r="L20" s="9">
        <f t="array" ref="L20">SUM(('史赋排 '!$B$3:$B$1459=A20)*('史赋排 '!$Z$3:$Z$1459&gt;=459.5)*('史赋排 '!$Z$3:$Z$1459&lt;479.5))</f>
        <v>0</v>
      </c>
      <c r="M20" s="9">
        <f t="array" ref="M20">SUM(('史赋排 '!$B$3:$B$1459=A20)*('史赋排 '!$Z$3:$Z$1459&gt;=439.5)*('史赋排 '!$Z$3:$Z$1459&lt;459.5))</f>
        <v>0</v>
      </c>
      <c r="N20" s="9">
        <f t="array" ref="N20">SUM(('史赋排 '!$B$3:$B$1459=A20)*('史赋排 '!$Z$3:$Z$1459&gt;=419.5)*('史赋排 '!$Z$3:$Z$1459&lt;439.5))</f>
        <v>0</v>
      </c>
      <c r="O20" s="9">
        <f t="array" ref="O20">SUM(('史赋排 '!$B$3:$B$1459=A20)*('史赋排 '!$Z$3:$Z$1459&gt;=399.5)*('史赋排 '!$Z$3:$Z$1459&lt;419.5))</f>
        <v>0</v>
      </c>
      <c r="P20" s="9">
        <f t="array" ref="P20">SUM(('史赋排 '!$B$3:$B$1459=A20)*('史赋排 '!$Z$3:$Z$1459&lt;399.5))</f>
        <v>0</v>
      </c>
      <c r="Q20" s="9">
        <f>SUM(B20:P20)</f>
        <v>38</v>
      </c>
    </row>
    <row r="21" spans="1:17">
      <c r="A21" s="9">
        <v>17</v>
      </c>
      <c r="B21" s="9">
        <f t="array" ref="B21">SUM(('史赋排 '!$B$3:$B$1459=A21)*('史赋排 '!$Z$3:$Z$1459&gt;=649.5))</f>
        <v>0</v>
      </c>
      <c r="C21" s="9">
        <f t="array" ref="C21">SUM(('史赋排 '!$B$3:$B$1459=A21)*('史赋排 '!$Z$3:$Z$1459&gt;=639.5)*('史赋排 '!$Z$3:$Z$1459&lt;649.5))</f>
        <v>0</v>
      </c>
      <c r="D21" s="9">
        <f t="array" ref="D21">SUM(('史赋排 '!$B$3:$B$1459=A21)*('史赋排 '!$Z$3:$Z$1459&gt;=619.5)*('史赋排 '!$Z$3:$Z$1459&lt;639.5))</f>
        <v>0</v>
      </c>
      <c r="E21" s="9">
        <f t="array" ref="E21">SUM(('史赋排 '!$B$3:$B$1459=A21)*('史赋排 '!$Z$3:$Z$1459&gt;=599.5)*('史赋排 '!$Z$3:$Z$1459&lt;619.5))</f>
        <v>0</v>
      </c>
      <c r="F21" s="9">
        <f t="array" ref="F21">SUM(('史赋排 '!$B$3:$B$1459=A21)*('史赋排 '!$Z$3:$Z$1459&gt;=579.5)*('史赋排 '!$Z$3:$Z$1459&lt;599.5))</f>
        <v>0</v>
      </c>
      <c r="G21" s="9">
        <f t="array" ref="G21">SUM(('史赋排 '!$B$3:$B$1459=A21)*('史赋排 '!$Z$3:$Z$1459&gt;=559.5)*('史赋排 '!$Z$3:$Z$1459&lt;579.5))</f>
        <v>3</v>
      </c>
      <c r="H21" s="9">
        <f t="array" ref="H21">SUM(('史赋排 '!$B$3:$B$1459=A21)*('史赋排 '!$Z$3:$Z$1459&gt;=539.5)*('史赋排 '!$Z$3:$Z$1459&lt;559.5))</f>
        <v>5</v>
      </c>
      <c r="I21" s="9">
        <f t="array" ref="I21">SUM(('史赋排 '!$B$3:$B$1459=A21)*('史赋排 '!$Z$3:$Z$1459&gt;=519.5)*('史赋排 '!$Z$3:$Z$1459&lt;539.5))</f>
        <v>8</v>
      </c>
      <c r="J21" s="9">
        <f t="array" ref="J21">SUM(('史赋排 '!$B$3:$B$1459=A21)*('史赋排 '!$Z$3:$Z$1459&gt;=499.5)*('史赋排 '!$Z$3:$Z$1459&lt;519.5))</f>
        <v>9</v>
      </c>
      <c r="K21" s="9">
        <f t="array" ref="K21">SUM(('史赋排 '!$B$3:$B$1459=A21)*('史赋排 '!$Z$3:$Z$1459&gt;=479.5)*('史赋排 '!$Z$3:$Z$1459&lt;499.5))</f>
        <v>9</v>
      </c>
      <c r="L21" s="9">
        <f t="array" ref="L21">SUM(('史赋排 '!$B$3:$B$1459=A21)*('史赋排 '!$Z$3:$Z$1459&gt;=459.5)*('史赋排 '!$Z$3:$Z$1459&lt;479.5))</f>
        <v>4</v>
      </c>
      <c r="M21" s="9">
        <f t="array" ref="M21">SUM(('史赋排 '!$B$3:$B$1459=A21)*('史赋排 '!$Z$3:$Z$1459&gt;=439.5)*('史赋排 '!$Z$3:$Z$1459&lt;459.5))</f>
        <v>3</v>
      </c>
      <c r="N21" s="9">
        <f t="array" ref="N21">SUM(('史赋排 '!$B$3:$B$1459=A21)*('史赋排 '!$Z$3:$Z$1459&gt;=419.5)*('史赋排 '!$Z$3:$Z$1459&lt;439.5))</f>
        <v>2</v>
      </c>
      <c r="O21" s="9">
        <f t="array" ref="O21">SUM(('史赋排 '!$B$3:$B$1459=A21)*('史赋排 '!$Z$3:$Z$1459&gt;=399.5)*('史赋排 '!$Z$3:$Z$1459&lt;419.5))</f>
        <v>0</v>
      </c>
      <c r="P21" s="9">
        <f t="array" ref="P21">SUM(('史赋排 '!$B$3:$B$1459=A21)*('史赋排 '!$Z$3:$Z$1459&lt;399.5))</f>
        <v>0</v>
      </c>
      <c r="Q21" s="9">
        <f>SUM(B21:P21)</f>
        <v>43</v>
      </c>
    </row>
    <row r="22" spans="1:17">
      <c r="A22" s="9">
        <v>18</v>
      </c>
      <c r="B22" s="9">
        <f t="array" ref="B22">SUM(('史赋排 '!$B$3:$B$1459=A22)*('史赋排 '!$Z$3:$Z$1459&gt;=649.5))</f>
        <v>0</v>
      </c>
      <c r="C22" s="9">
        <f t="array" ref="C22">SUM(('史赋排 '!$B$3:$B$1459=A22)*('史赋排 '!$Z$3:$Z$1459&gt;=639.5)*('史赋排 '!$Z$3:$Z$1459&lt;649.5))</f>
        <v>0</v>
      </c>
      <c r="D22" s="9">
        <f t="array" ref="D22">SUM(('史赋排 '!$B$3:$B$1459=A22)*('史赋排 '!$Z$3:$Z$1459&gt;=619.5)*('史赋排 '!$Z$3:$Z$1459&lt;639.5))</f>
        <v>0</v>
      </c>
      <c r="E22" s="9">
        <f t="array" ref="E22">SUM(('史赋排 '!$B$3:$B$1459=A22)*('史赋排 '!$Z$3:$Z$1459&gt;=599.5)*('史赋排 '!$Z$3:$Z$1459&lt;619.5))</f>
        <v>0</v>
      </c>
      <c r="F22" s="9">
        <f t="array" ref="F22">SUM(('史赋排 '!$B$3:$B$1459=A22)*('史赋排 '!$Z$3:$Z$1459&gt;=579.5)*('史赋排 '!$Z$3:$Z$1459&lt;599.5))</f>
        <v>0</v>
      </c>
      <c r="G22" s="9">
        <f t="array" ref="G22">SUM(('史赋排 '!$B$3:$B$1459=A22)*('史赋排 '!$Z$3:$Z$1459&gt;=559.5)*('史赋排 '!$Z$3:$Z$1459&lt;579.5))</f>
        <v>1</v>
      </c>
      <c r="H22" s="9">
        <f t="array" ref="H22">SUM(('史赋排 '!$B$3:$B$1459=A22)*('史赋排 '!$Z$3:$Z$1459&gt;=539.5)*('史赋排 '!$Z$3:$Z$1459&lt;559.5))</f>
        <v>5</v>
      </c>
      <c r="I22" s="9">
        <f t="array" ref="I22">SUM(('史赋排 '!$B$3:$B$1459=A22)*('史赋排 '!$Z$3:$Z$1459&gt;=519.5)*('史赋排 '!$Z$3:$Z$1459&lt;539.5))</f>
        <v>10</v>
      </c>
      <c r="J22" s="9">
        <f t="array" ref="J22">SUM(('史赋排 '!$B$3:$B$1459=A22)*('史赋排 '!$Z$3:$Z$1459&gt;=499.5)*('史赋排 '!$Z$3:$Z$1459&lt;519.5))</f>
        <v>6</v>
      </c>
      <c r="K22" s="9">
        <f t="array" ref="K22">SUM(('史赋排 '!$B$3:$B$1459=A22)*('史赋排 '!$Z$3:$Z$1459&gt;=479.5)*('史赋排 '!$Z$3:$Z$1459&lt;499.5))</f>
        <v>9</v>
      </c>
      <c r="L22" s="9">
        <f t="array" ref="L22">SUM(('史赋排 '!$B$3:$B$1459=A22)*('史赋排 '!$Z$3:$Z$1459&gt;=459.5)*('史赋排 '!$Z$3:$Z$1459&lt;479.5))</f>
        <v>5</v>
      </c>
      <c r="M22" s="9">
        <f t="array" ref="M22">SUM(('史赋排 '!$B$3:$B$1459=A22)*('史赋排 '!$Z$3:$Z$1459&gt;=439.5)*('史赋排 '!$Z$3:$Z$1459&lt;459.5))</f>
        <v>3</v>
      </c>
      <c r="N22" s="9">
        <f t="array" ref="N22">SUM(('史赋排 '!$B$3:$B$1459=A22)*('史赋排 '!$Z$3:$Z$1459&gt;=419.5)*('史赋排 '!$Z$3:$Z$1459&lt;439.5))</f>
        <v>2</v>
      </c>
      <c r="O22" s="9">
        <f t="array" ref="O22">SUM(('史赋排 '!$B$3:$B$1459=A22)*('史赋排 '!$Z$3:$Z$1459&gt;=399.5)*('史赋排 '!$Z$3:$Z$1459&lt;419.5))</f>
        <v>2</v>
      </c>
      <c r="P22" s="9">
        <f t="array" ref="P22">SUM(('史赋排 '!$B$3:$B$1459=A22)*('史赋排 '!$Z$3:$Z$1459&lt;399.5))</f>
        <v>0</v>
      </c>
      <c r="Q22" s="9">
        <f>SUM(B22:P22)</f>
        <v>43</v>
      </c>
    </row>
    <row r="23" spans="1:17">
      <c r="A23" s="126" t="s">
        <v>1868</v>
      </c>
      <c r="B23" s="126">
        <f>SUM(B18:B22)</f>
        <v>0</v>
      </c>
      <c r="C23" s="126">
        <f t="shared" ref="C23:Q23" si="2">SUM(C18:C22)</f>
        <v>0</v>
      </c>
      <c r="D23" s="126">
        <f t="shared" si="2"/>
        <v>0</v>
      </c>
      <c r="E23" s="126">
        <f t="shared" si="2"/>
        <v>2</v>
      </c>
      <c r="F23" s="126">
        <f t="shared" si="2"/>
        <v>6</v>
      </c>
      <c r="G23" s="126">
        <f t="shared" si="2"/>
        <v>22</v>
      </c>
      <c r="H23" s="126">
        <f t="shared" si="2"/>
        <v>28</v>
      </c>
      <c r="I23" s="126">
        <f t="shared" si="2"/>
        <v>38</v>
      </c>
      <c r="J23" s="126">
        <f t="shared" si="2"/>
        <v>39</v>
      </c>
      <c r="K23" s="126">
        <f t="shared" si="2"/>
        <v>34</v>
      </c>
      <c r="L23" s="126">
        <f t="shared" si="2"/>
        <v>17</v>
      </c>
      <c r="M23" s="126">
        <f t="shared" si="2"/>
        <v>13</v>
      </c>
      <c r="N23" s="126">
        <f t="shared" si="2"/>
        <v>4</v>
      </c>
      <c r="O23" s="126">
        <f t="shared" si="2"/>
        <v>2</v>
      </c>
      <c r="P23" s="126">
        <f t="shared" si="2"/>
        <v>1</v>
      </c>
      <c r="Q23" s="126">
        <f t="shared" si="2"/>
        <v>206</v>
      </c>
    </row>
    <row r="24" spans="1:17">
      <c r="A24" s="138" t="s">
        <v>1849</v>
      </c>
      <c r="B24" s="138">
        <f>B23+B16</f>
        <v>0</v>
      </c>
      <c r="C24" s="138">
        <f t="shared" ref="C24:Q24" si="3">C23+C16</f>
        <v>1</v>
      </c>
      <c r="D24" s="138">
        <f t="shared" si="3"/>
        <v>3</v>
      </c>
      <c r="E24" s="138">
        <f t="shared" si="3"/>
        <v>10</v>
      </c>
      <c r="F24" s="138">
        <f t="shared" si="3"/>
        <v>21</v>
      </c>
      <c r="G24" s="138">
        <f t="shared" si="3"/>
        <v>69</v>
      </c>
      <c r="H24" s="138">
        <f t="shared" si="3"/>
        <v>89</v>
      </c>
      <c r="I24" s="138">
        <f t="shared" si="3"/>
        <v>123</v>
      </c>
      <c r="J24" s="138">
        <f t="shared" si="3"/>
        <v>149</v>
      </c>
      <c r="K24" s="138">
        <f t="shared" si="3"/>
        <v>126</v>
      </c>
      <c r="L24" s="138">
        <f t="shared" si="3"/>
        <v>105</v>
      </c>
      <c r="M24" s="138">
        <f t="shared" si="3"/>
        <v>74</v>
      </c>
      <c r="N24" s="138">
        <f t="shared" si="3"/>
        <v>57</v>
      </c>
      <c r="O24" s="138">
        <f t="shared" si="3"/>
        <v>17</v>
      </c>
      <c r="P24" s="138">
        <f t="shared" si="3"/>
        <v>25</v>
      </c>
      <c r="Q24" s="138">
        <f t="shared" si="3"/>
        <v>869</v>
      </c>
    </row>
    <row r="26" ht="20.25" spans="1:19">
      <c r="A26" s="27" t="s">
        <v>1892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144"/>
      <c r="P26" s="144"/>
      <c r="Q26" s="144"/>
      <c r="R26" s="144"/>
      <c r="S26" s="144"/>
    </row>
    <row r="27" ht="24" spans="1:14">
      <c r="A27" s="139" t="s">
        <v>1870</v>
      </c>
      <c r="B27" s="140" t="s">
        <v>1871</v>
      </c>
      <c r="C27" s="141" t="s">
        <v>1872</v>
      </c>
      <c r="D27" s="142" t="s">
        <v>1873</v>
      </c>
      <c r="E27" s="142" t="s">
        <v>1874</v>
      </c>
      <c r="F27" s="142" t="s">
        <v>1875</v>
      </c>
      <c r="G27" s="142" t="s">
        <v>1876</v>
      </c>
      <c r="H27" s="142" t="s">
        <v>1877</v>
      </c>
      <c r="I27" s="142" t="s">
        <v>1878</v>
      </c>
      <c r="J27" s="142" t="s">
        <v>1879</v>
      </c>
      <c r="K27" s="142" t="s">
        <v>1880</v>
      </c>
      <c r="L27" s="142" t="s">
        <v>1881</v>
      </c>
      <c r="M27" s="142" t="s">
        <v>1882</v>
      </c>
      <c r="N27" s="142" t="s">
        <v>1749</v>
      </c>
    </row>
    <row r="28" spans="1:14">
      <c r="A28" s="9">
        <v>1</v>
      </c>
      <c r="B28" s="9">
        <f t="array" ref="B28">SUM(('物赋排 '!$B$3:$B$1227=A28)*('物赋排 '!$AB$3:$AB$1227&lt;=20))</f>
        <v>0</v>
      </c>
      <c r="C28" s="9">
        <f t="array" ref="C28">SUM(('物赋排 '!$B$3:$B$1227=A28)*('物赋排 '!$AB$3:$AB$1227&gt;=21)*('物赋排 '!$AB$3:$AB$1227&lt;=50))</f>
        <v>2</v>
      </c>
      <c r="D28" s="9">
        <f t="array" ref="D28">SUM(('物赋排 '!$B$3:$B$1227=A28)*('物赋排 '!$AB$3:$AB$1227&gt;=51)*('物赋排 '!$AB$3:$AB$1227&lt;=100))</f>
        <v>3</v>
      </c>
      <c r="E28" s="9">
        <f t="array" ref="E28">SUM(('物赋排 '!$B$3:$B$1227=A28)*('物赋排 '!$AB$3:$AB$1227&gt;=101)*('物赋排 '!$AB$3:$AB$1227&lt;=150))</f>
        <v>2</v>
      </c>
      <c r="F28" s="9">
        <f t="array" ref="F28">SUM(('物赋排 '!$B$3:$B$1227=A28)*('物赋排 '!$AB$3:$AB$1227&gt;=151)*('物赋排 '!$AB$3:$AB$1227&lt;=200))</f>
        <v>3</v>
      </c>
      <c r="G28" s="9">
        <f t="array" ref="G28">SUM(('物赋排 '!$B$3:$B$1227=A28)*('物赋排 '!$AB$3:$AB$1227&gt;=201)*('物赋排 '!$AB$3:$AB$1227&lt;=250))</f>
        <v>7</v>
      </c>
      <c r="H28" s="9">
        <f t="array" ref="H28">SUM(('物赋排 '!$B$3:$B$1227=A28)*('物赋排 '!$AB$3:$AB$1227&gt;=251)*('物赋排 '!$AB$3:$AB$1227&lt;=300))</f>
        <v>3</v>
      </c>
      <c r="I28" s="9">
        <f t="array" ref="I28">SUM(('物赋排 '!$B$3:$B$1227=A28)*('物赋排 '!$AB$3:$AB$1227&gt;=301)*('物赋排 '!$AB$3:$AB$1227&lt;=350))</f>
        <v>10</v>
      </c>
      <c r="J28" s="9">
        <f t="array" ref="J28">SUM(('物赋排 '!$B$3:$B$1227=A28)*('物赋排 '!$AB$3:$AB$1227&gt;=351)*('物赋排 '!$AB$3:$AB$1227&lt;=400))</f>
        <v>3</v>
      </c>
      <c r="K28" s="9">
        <f t="array" ref="K28">SUM(('物赋排 '!$B$3:$B$1227=A28)*('物赋排 '!$AB$3:$AB$1227&gt;=401)*('物赋排 '!$AB$3:$AB$1227&lt;=500))</f>
        <v>18</v>
      </c>
      <c r="L28" s="9">
        <f t="array" ref="L28">SUM(('物赋排 '!$B$3:$B$1227=A28)*('物赋排 '!$AB$3:$AB$1227&gt;=501)*('物赋排 '!$AB$3:$AB$1227&lt;=600))</f>
        <v>7</v>
      </c>
      <c r="M28" s="9">
        <f t="array" ref="M28">SUM(('物赋排 '!$B$3:$B$1227=A28)*('物赋排 '!$AB$3:$AB$1227&gt;=601)*('物赋排 '!$AB$3:$AB$1227&lt;=700))</f>
        <v>5</v>
      </c>
      <c r="N28" s="9">
        <f t="shared" ref="N28:N40" si="4">SUM(B28:M28)</f>
        <v>63</v>
      </c>
    </row>
    <row r="29" spans="1:14">
      <c r="A29" s="9">
        <v>2</v>
      </c>
      <c r="B29" s="9">
        <f t="array" ref="B29">SUM(('物赋排 '!$B$3:$B$1227=A29)*('物赋排 '!$AB$3:$AB$1227&lt;=20))</f>
        <v>0</v>
      </c>
      <c r="C29" s="9">
        <f t="array" ref="C29">SUM(('物赋排 '!$B$3:$B$1227=A29)*('物赋排 '!$AB$3:$AB$1227&gt;=21)*('物赋排 '!$AB$3:$AB$1227&lt;=50))</f>
        <v>0</v>
      </c>
      <c r="D29" s="9">
        <f t="array" ref="D29">SUM(('物赋排 '!$B$3:$B$1227=A29)*('物赋排 '!$AB$3:$AB$1227&gt;=51)*('物赋排 '!$AB$3:$AB$1227&lt;=100))</f>
        <v>2</v>
      </c>
      <c r="E29" s="9">
        <f t="array" ref="E29">SUM(('物赋排 '!$B$3:$B$1227=A29)*('物赋排 '!$AB$3:$AB$1227&gt;=101)*('物赋排 '!$AB$3:$AB$1227&lt;=150))</f>
        <v>3</v>
      </c>
      <c r="F29" s="9">
        <f t="array" ref="F29">SUM(('物赋排 '!$B$3:$B$1227=A29)*('物赋排 '!$AB$3:$AB$1227&gt;=151)*('物赋排 '!$AB$3:$AB$1227&lt;=200))</f>
        <v>8</v>
      </c>
      <c r="G29" s="9">
        <f t="array" ref="G29">SUM(('物赋排 '!$B$3:$B$1227=A29)*('物赋排 '!$AB$3:$AB$1227&gt;=201)*('物赋排 '!$AB$3:$AB$1227&lt;=250))</f>
        <v>4</v>
      </c>
      <c r="H29" s="9">
        <f t="array" ref="H29">SUM(('物赋排 '!$B$3:$B$1227=A29)*('物赋排 '!$AB$3:$AB$1227&gt;=251)*('物赋排 '!$AB$3:$AB$1227&lt;=300))</f>
        <v>3</v>
      </c>
      <c r="I29" s="9">
        <f t="array" ref="I29">SUM(('物赋排 '!$B$3:$B$1227=A29)*('物赋排 '!$AB$3:$AB$1227&gt;=301)*('物赋排 '!$AB$3:$AB$1227&lt;=350))</f>
        <v>2</v>
      </c>
      <c r="J29" s="9">
        <f t="array" ref="J29">SUM(('物赋排 '!$B$3:$B$1227=A29)*('物赋排 '!$AB$3:$AB$1227&gt;=351)*('物赋排 '!$AB$3:$AB$1227&lt;=400))</f>
        <v>5</v>
      </c>
      <c r="K29" s="9">
        <f t="array" ref="K29">SUM(('物赋排 '!$B$3:$B$1227=A29)*('物赋排 '!$AB$3:$AB$1227&gt;=401)*('物赋排 '!$AB$3:$AB$1227&lt;=500))</f>
        <v>11</v>
      </c>
      <c r="L29" s="9">
        <f t="array" ref="L29">SUM(('物赋排 '!$B$3:$B$1227=A29)*('物赋排 '!$AB$3:$AB$1227&gt;=501)*('物赋排 '!$AB$3:$AB$1227&lt;=600))</f>
        <v>6</v>
      </c>
      <c r="M29" s="9">
        <f t="array" ref="M29">SUM(('物赋排 '!$B$3:$B$1227=A29)*('物赋排 '!$AB$3:$AB$1227&gt;=601)*('物赋排 '!$AB$3:$AB$1227&lt;=700))</f>
        <v>4</v>
      </c>
      <c r="N29" s="9">
        <f t="shared" si="4"/>
        <v>48</v>
      </c>
    </row>
    <row r="30" spans="1:14">
      <c r="A30" s="9">
        <v>3</v>
      </c>
      <c r="B30" s="9">
        <f t="array" ref="B30">SUM(('物赋排 '!$B$3:$B$1227=A30)*('物赋排 '!$AB$3:$AB$1227&lt;=20))</f>
        <v>0</v>
      </c>
      <c r="C30" s="9">
        <f t="array" ref="C30">SUM(('物赋排 '!$B$3:$B$1227=A30)*('物赋排 '!$AB$3:$AB$1227&gt;=21)*('物赋排 '!$AB$3:$AB$1227&lt;=50))</f>
        <v>2</v>
      </c>
      <c r="D30" s="9">
        <f t="array" ref="D30">SUM(('物赋排 '!$B$3:$B$1227=A30)*('物赋排 '!$AB$3:$AB$1227&gt;=51)*('物赋排 '!$AB$3:$AB$1227&lt;=100))</f>
        <v>1</v>
      </c>
      <c r="E30" s="9">
        <f t="array" ref="E30">SUM(('物赋排 '!$B$3:$B$1227=A30)*('物赋排 '!$AB$3:$AB$1227&gt;=101)*('物赋排 '!$AB$3:$AB$1227&lt;=150))</f>
        <v>3</v>
      </c>
      <c r="F30" s="9">
        <f t="array" ref="F30">SUM(('物赋排 '!$B$3:$B$1227=A30)*('物赋排 '!$AB$3:$AB$1227&gt;=151)*('物赋排 '!$AB$3:$AB$1227&lt;=200))</f>
        <v>5</v>
      </c>
      <c r="G30" s="9">
        <f t="array" ref="G30">SUM(('物赋排 '!$B$3:$B$1227=A30)*('物赋排 '!$AB$3:$AB$1227&gt;=201)*('物赋排 '!$AB$3:$AB$1227&lt;=250))</f>
        <v>1</v>
      </c>
      <c r="H30" s="9">
        <f t="array" ref="H30">SUM(('物赋排 '!$B$3:$B$1227=A30)*('物赋排 '!$AB$3:$AB$1227&gt;=251)*('物赋排 '!$AB$3:$AB$1227&lt;=300))</f>
        <v>4</v>
      </c>
      <c r="I30" s="9">
        <f t="array" ref="I30">SUM(('物赋排 '!$B$3:$B$1227=A30)*('物赋排 '!$AB$3:$AB$1227&gt;=301)*('物赋排 '!$AB$3:$AB$1227&lt;=350))</f>
        <v>6</v>
      </c>
      <c r="J30" s="9">
        <f t="array" ref="J30">SUM(('物赋排 '!$B$3:$B$1227=A30)*('物赋排 '!$AB$3:$AB$1227&gt;=351)*('物赋排 '!$AB$3:$AB$1227&lt;=400))</f>
        <v>4</v>
      </c>
      <c r="K30" s="9">
        <f t="array" ref="K30">SUM(('物赋排 '!$B$3:$B$1227=A30)*('物赋排 '!$AB$3:$AB$1227&gt;=401)*('物赋排 '!$AB$3:$AB$1227&lt;=500))</f>
        <v>4</v>
      </c>
      <c r="L30" s="9">
        <f t="array" ref="L30">SUM(('物赋排 '!$B$3:$B$1227=A30)*('物赋排 '!$AB$3:$AB$1227&gt;=501)*('物赋排 '!$AB$3:$AB$1227&lt;=600))</f>
        <v>14</v>
      </c>
      <c r="M30" s="9">
        <f t="array" ref="M30">SUM(('物赋排 '!$B$3:$B$1227=A30)*('物赋排 '!$AB$3:$AB$1227&gt;=601)*('物赋排 '!$AB$3:$AB$1227&lt;=700))</f>
        <v>5</v>
      </c>
      <c r="N30" s="9">
        <f t="shared" si="4"/>
        <v>49</v>
      </c>
    </row>
    <row r="31" spans="1:14">
      <c r="A31" s="9">
        <v>4</v>
      </c>
      <c r="B31" s="9">
        <f t="array" ref="B31">SUM(('物赋排 '!$B$3:$B$1227=A31)*('物赋排 '!$AB$3:$AB$1227&lt;=20))</f>
        <v>0</v>
      </c>
      <c r="C31" s="9">
        <f t="array" ref="C31">SUM(('物赋排 '!$B$3:$B$1227=A31)*('物赋排 '!$AB$3:$AB$1227&gt;=21)*('物赋排 '!$AB$3:$AB$1227&lt;=50))</f>
        <v>0</v>
      </c>
      <c r="D31" s="9">
        <f t="array" ref="D31">SUM(('物赋排 '!$B$3:$B$1227=A31)*('物赋排 '!$AB$3:$AB$1227&gt;=51)*('物赋排 '!$AB$3:$AB$1227&lt;=100))</f>
        <v>1</v>
      </c>
      <c r="E31" s="9">
        <f t="array" ref="E31">SUM(('物赋排 '!$B$3:$B$1227=A31)*('物赋排 '!$AB$3:$AB$1227&gt;=101)*('物赋排 '!$AB$3:$AB$1227&lt;=150))</f>
        <v>6</v>
      </c>
      <c r="F31" s="9">
        <f t="array" ref="F31">SUM(('物赋排 '!$B$3:$B$1227=A31)*('物赋排 '!$AB$3:$AB$1227&gt;=151)*('物赋排 '!$AB$3:$AB$1227&lt;=200))</f>
        <v>2</v>
      </c>
      <c r="G31" s="9">
        <f t="array" ref="G31">SUM(('物赋排 '!$B$3:$B$1227=A31)*('物赋排 '!$AB$3:$AB$1227&gt;=201)*('物赋排 '!$AB$3:$AB$1227&lt;=250))</f>
        <v>4</v>
      </c>
      <c r="H31" s="9">
        <f t="array" ref="H31">SUM(('物赋排 '!$B$3:$B$1227=A31)*('物赋排 '!$AB$3:$AB$1227&gt;=251)*('物赋排 '!$AB$3:$AB$1227&lt;=300))</f>
        <v>4</v>
      </c>
      <c r="I31" s="9">
        <f t="array" ref="I31">SUM(('物赋排 '!$B$3:$B$1227=A31)*('物赋排 '!$AB$3:$AB$1227&gt;=301)*('物赋排 '!$AB$3:$AB$1227&lt;=350))</f>
        <v>5</v>
      </c>
      <c r="J31" s="9">
        <f t="array" ref="J31">SUM(('物赋排 '!$B$3:$B$1227=A31)*('物赋排 '!$AB$3:$AB$1227&gt;=351)*('物赋排 '!$AB$3:$AB$1227&lt;=400))</f>
        <v>8</v>
      </c>
      <c r="K31" s="9">
        <f t="array" ref="K31">SUM(('物赋排 '!$B$3:$B$1227=A31)*('物赋排 '!$AB$3:$AB$1227&gt;=401)*('物赋排 '!$AB$3:$AB$1227&lt;=500))</f>
        <v>3</v>
      </c>
      <c r="L31" s="9">
        <f t="array" ref="L31">SUM(('物赋排 '!$B$3:$B$1227=A31)*('物赋排 '!$AB$3:$AB$1227&gt;=501)*('物赋排 '!$AB$3:$AB$1227&lt;=600))</f>
        <v>6</v>
      </c>
      <c r="M31" s="9">
        <f t="array" ref="M31">SUM(('物赋排 '!$B$3:$B$1227=A31)*('物赋排 '!$AB$3:$AB$1227&gt;=601)*('物赋排 '!$AB$3:$AB$1227&lt;=700))</f>
        <v>5</v>
      </c>
      <c r="N31" s="9">
        <f t="shared" si="4"/>
        <v>44</v>
      </c>
    </row>
    <row r="32" spans="1:14">
      <c r="A32" s="9">
        <v>5</v>
      </c>
      <c r="B32" s="9">
        <f t="array" ref="B32">SUM(('物赋排 '!$B$3:$B$1227=A32)*('物赋排 '!$AB$3:$AB$1227&lt;=20))</f>
        <v>0</v>
      </c>
      <c r="C32" s="9">
        <f t="array" ref="C32">SUM(('物赋排 '!$B$3:$B$1227=A32)*('物赋排 '!$AB$3:$AB$1227&gt;=21)*('物赋排 '!$AB$3:$AB$1227&lt;=50))</f>
        <v>2</v>
      </c>
      <c r="D32" s="9">
        <f t="array" ref="D32">SUM(('物赋排 '!$B$3:$B$1227=A32)*('物赋排 '!$AB$3:$AB$1227&gt;=51)*('物赋排 '!$AB$3:$AB$1227&lt;=100))</f>
        <v>1</v>
      </c>
      <c r="E32" s="9">
        <f t="array" ref="E32">SUM(('物赋排 '!$B$3:$B$1227=A32)*('物赋排 '!$AB$3:$AB$1227&gt;=101)*('物赋排 '!$AB$3:$AB$1227&lt;=150))</f>
        <v>5</v>
      </c>
      <c r="F32" s="9">
        <f t="array" ref="F32">SUM(('物赋排 '!$B$3:$B$1227=A32)*('物赋排 '!$AB$3:$AB$1227&gt;=151)*('物赋排 '!$AB$3:$AB$1227&lt;=200))</f>
        <v>4</v>
      </c>
      <c r="G32" s="9">
        <f t="array" ref="G32">SUM(('物赋排 '!$B$3:$B$1227=A32)*('物赋排 '!$AB$3:$AB$1227&gt;=201)*('物赋排 '!$AB$3:$AB$1227&lt;=250))</f>
        <v>9</v>
      </c>
      <c r="H32" s="9">
        <f t="array" ref="H32">SUM(('物赋排 '!$B$3:$B$1227=A32)*('物赋排 '!$AB$3:$AB$1227&gt;=251)*('物赋排 '!$AB$3:$AB$1227&lt;=300))</f>
        <v>2</v>
      </c>
      <c r="I32" s="9">
        <f t="array" ref="I32">SUM(('物赋排 '!$B$3:$B$1227=A32)*('物赋排 '!$AB$3:$AB$1227&gt;=301)*('物赋排 '!$AB$3:$AB$1227&lt;=350))</f>
        <v>4</v>
      </c>
      <c r="J32" s="9">
        <f t="array" ref="J32">SUM(('物赋排 '!$B$3:$B$1227=A32)*('物赋排 '!$AB$3:$AB$1227&gt;=351)*('物赋排 '!$AB$3:$AB$1227&lt;=400))</f>
        <v>6</v>
      </c>
      <c r="K32" s="9">
        <f t="array" ref="K32">SUM(('物赋排 '!$B$3:$B$1227=A32)*('物赋排 '!$AB$3:$AB$1227&gt;=401)*('物赋排 '!$AB$3:$AB$1227&lt;=500))</f>
        <v>6</v>
      </c>
      <c r="L32" s="9">
        <f t="array" ref="L32">SUM(('物赋排 '!$B$3:$B$1227=A32)*('物赋排 '!$AB$3:$AB$1227&gt;=501)*('物赋排 '!$AB$3:$AB$1227&lt;=600))</f>
        <v>5</v>
      </c>
      <c r="M32" s="9">
        <f t="array" ref="M32">SUM(('物赋排 '!$B$3:$B$1227=A32)*('物赋排 '!$AB$3:$AB$1227&gt;=601)*('物赋排 '!$AB$3:$AB$1227&lt;=700))</f>
        <v>3</v>
      </c>
      <c r="N32" s="9">
        <f t="shared" si="4"/>
        <v>47</v>
      </c>
    </row>
    <row r="33" spans="1:14">
      <c r="A33" s="9">
        <v>6</v>
      </c>
      <c r="B33" s="9">
        <f t="array" ref="B33">SUM(('物赋排 '!$B$3:$B$1227=A33)*('物赋排 '!$AB$3:$AB$1227&lt;=20))</f>
        <v>0</v>
      </c>
      <c r="C33" s="9">
        <f t="array" ref="C33">SUM(('物赋排 '!$B$3:$B$1227=A33)*('物赋排 '!$AB$3:$AB$1227&gt;=21)*('物赋排 '!$AB$3:$AB$1227&lt;=50))</f>
        <v>0</v>
      </c>
      <c r="D33" s="9">
        <f t="array" ref="D33">SUM(('物赋排 '!$B$3:$B$1227=A33)*('物赋排 '!$AB$3:$AB$1227&gt;=51)*('物赋排 '!$AB$3:$AB$1227&lt;=100))</f>
        <v>1</v>
      </c>
      <c r="E33" s="9">
        <f t="array" ref="E33">SUM(('物赋排 '!$B$3:$B$1227=A33)*('物赋排 '!$AB$3:$AB$1227&gt;=101)*('物赋排 '!$AB$3:$AB$1227&lt;=150))</f>
        <v>6</v>
      </c>
      <c r="F33" s="9">
        <f t="array" ref="F33">SUM(('物赋排 '!$B$3:$B$1227=A33)*('物赋排 '!$AB$3:$AB$1227&gt;=151)*('物赋排 '!$AB$3:$AB$1227&lt;=200))</f>
        <v>1</v>
      </c>
      <c r="G33" s="9">
        <f t="array" ref="G33">SUM(('物赋排 '!$B$3:$B$1227=A33)*('物赋排 '!$AB$3:$AB$1227&gt;=201)*('物赋排 '!$AB$3:$AB$1227&lt;=250))</f>
        <v>2</v>
      </c>
      <c r="H33" s="9">
        <f t="array" ref="H33">SUM(('物赋排 '!$B$3:$B$1227=A33)*('物赋排 '!$AB$3:$AB$1227&gt;=251)*('物赋排 '!$AB$3:$AB$1227&lt;=300))</f>
        <v>2</v>
      </c>
      <c r="I33" s="9">
        <f t="array" ref="I33">SUM(('物赋排 '!$B$3:$B$1227=A33)*('物赋排 '!$AB$3:$AB$1227&gt;=301)*('物赋排 '!$AB$3:$AB$1227&lt;=350))</f>
        <v>2</v>
      </c>
      <c r="J33" s="9">
        <f t="array" ref="J33">SUM(('物赋排 '!$B$3:$B$1227=A33)*('物赋排 '!$AB$3:$AB$1227&gt;=351)*('物赋排 '!$AB$3:$AB$1227&lt;=400))</f>
        <v>4</v>
      </c>
      <c r="K33" s="9">
        <f t="array" ref="K33">SUM(('物赋排 '!$B$3:$B$1227=A33)*('物赋排 '!$AB$3:$AB$1227&gt;=401)*('物赋排 '!$AB$3:$AB$1227&lt;=500))</f>
        <v>5</v>
      </c>
      <c r="L33" s="9">
        <f t="array" ref="L33">SUM(('物赋排 '!$B$3:$B$1227=A33)*('物赋排 '!$AB$3:$AB$1227&gt;=501)*('物赋排 '!$AB$3:$AB$1227&lt;=600))</f>
        <v>10</v>
      </c>
      <c r="M33" s="9">
        <f t="array" ref="M33">SUM(('物赋排 '!$B$3:$B$1227=A33)*('物赋排 '!$AB$3:$AB$1227&gt;=601)*('物赋排 '!$AB$3:$AB$1227&lt;=700))</f>
        <v>6</v>
      </c>
      <c r="N33" s="9">
        <f t="shared" si="4"/>
        <v>39</v>
      </c>
    </row>
    <row r="34" spans="1:14">
      <c r="A34" s="9">
        <v>7</v>
      </c>
      <c r="B34" s="9">
        <f t="array" ref="B34">SUM(('物赋排 '!$B$3:$B$1227=A34)*('物赋排 '!$AB$3:$AB$1227&lt;=20))</f>
        <v>0</v>
      </c>
      <c r="C34" s="9">
        <f t="array" ref="C34">SUM(('物赋排 '!$B$3:$B$1227=A34)*('物赋排 '!$AB$3:$AB$1227&gt;=21)*('物赋排 '!$AB$3:$AB$1227&lt;=50))</f>
        <v>0</v>
      </c>
      <c r="D34" s="9">
        <f t="array" ref="D34">SUM(('物赋排 '!$B$3:$B$1227=A34)*('物赋排 '!$AB$3:$AB$1227&gt;=51)*('物赋排 '!$AB$3:$AB$1227&lt;=100))</f>
        <v>0</v>
      </c>
      <c r="E34" s="9">
        <f t="array" ref="E34">SUM(('物赋排 '!$B$3:$B$1227=A34)*('物赋排 '!$AB$3:$AB$1227&gt;=101)*('物赋排 '!$AB$3:$AB$1227&lt;=150))</f>
        <v>1</v>
      </c>
      <c r="F34" s="9">
        <f t="array" ref="F34">SUM(('物赋排 '!$B$3:$B$1227=A34)*('物赋排 '!$AB$3:$AB$1227&gt;=151)*('物赋排 '!$AB$3:$AB$1227&lt;=200))</f>
        <v>2</v>
      </c>
      <c r="G34" s="9">
        <f t="array" ref="G34">SUM(('物赋排 '!$B$3:$B$1227=A34)*('物赋排 '!$AB$3:$AB$1227&gt;=201)*('物赋排 '!$AB$3:$AB$1227&lt;=250))</f>
        <v>1</v>
      </c>
      <c r="H34" s="9">
        <f t="array" ref="H34">SUM(('物赋排 '!$B$3:$B$1227=A34)*('物赋排 '!$AB$3:$AB$1227&gt;=251)*('物赋排 '!$AB$3:$AB$1227&lt;=300))</f>
        <v>4</v>
      </c>
      <c r="I34" s="9">
        <f t="array" ref="I34">SUM(('物赋排 '!$B$3:$B$1227=A34)*('物赋排 '!$AB$3:$AB$1227&gt;=301)*('物赋排 '!$AB$3:$AB$1227&lt;=350))</f>
        <v>1</v>
      </c>
      <c r="J34" s="9">
        <f t="array" ref="J34">SUM(('物赋排 '!$B$3:$B$1227=A34)*('物赋排 '!$AB$3:$AB$1227&gt;=351)*('物赋排 '!$AB$3:$AB$1227&lt;=400))</f>
        <v>1</v>
      </c>
      <c r="K34" s="9">
        <f t="array" ref="K34">SUM(('物赋排 '!$B$3:$B$1227=A34)*('物赋排 '!$AB$3:$AB$1227&gt;=401)*('物赋排 '!$AB$3:$AB$1227&lt;=500))</f>
        <v>5</v>
      </c>
      <c r="L34" s="9">
        <f t="array" ref="L34">SUM(('物赋排 '!$B$3:$B$1227=A34)*('物赋排 '!$AB$3:$AB$1227&gt;=501)*('物赋排 '!$AB$3:$AB$1227&lt;=600))</f>
        <v>16</v>
      </c>
      <c r="M34" s="9">
        <f t="array" ref="M34">SUM(('物赋排 '!$B$3:$B$1227=A34)*('物赋排 '!$AB$3:$AB$1227&gt;=601)*('物赋排 '!$AB$3:$AB$1227&lt;=700))</f>
        <v>7</v>
      </c>
      <c r="N34" s="9">
        <f t="shared" si="4"/>
        <v>38</v>
      </c>
    </row>
    <row r="35" spans="1:14">
      <c r="A35" s="9">
        <v>8</v>
      </c>
      <c r="B35" s="9">
        <f t="array" ref="B35">SUM(('物赋排 '!$B$3:$B$1227=A35)*('物赋排 '!$AB$3:$AB$1227&lt;=20))</f>
        <v>0</v>
      </c>
      <c r="C35" s="9">
        <f t="array" ref="C35">SUM(('物赋排 '!$B$3:$B$1227=A35)*('物赋排 '!$AB$3:$AB$1227&gt;=21)*('物赋排 '!$AB$3:$AB$1227&lt;=50))</f>
        <v>1</v>
      </c>
      <c r="D35" s="9">
        <f t="array" ref="D35">SUM(('物赋排 '!$B$3:$B$1227=A35)*('物赋排 '!$AB$3:$AB$1227&gt;=51)*('物赋排 '!$AB$3:$AB$1227&lt;=100))</f>
        <v>2</v>
      </c>
      <c r="E35" s="9">
        <f t="array" ref="E35">SUM(('物赋排 '!$B$3:$B$1227=A35)*('物赋排 '!$AB$3:$AB$1227&gt;=101)*('物赋排 '!$AB$3:$AB$1227&lt;=150))</f>
        <v>3</v>
      </c>
      <c r="F35" s="9">
        <f t="array" ref="F35">SUM(('物赋排 '!$B$3:$B$1227=A35)*('物赋排 '!$AB$3:$AB$1227&gt;=151)*('物赋排 '!$AB$3:$AB$1227&lt;=200))</f>
        <v>7</v>
      </c>
      <c r="G35" s="9">
        <f t="array" ref="G35">SUM(('物赋排 '!$B$3:$B$1227=A35)*('物赋排 '!$AB$3:$AB$1227&gt;=201)*('物赋排 '!$AB$3:$AB$1227&lt;=250))</f>
        <v>4</v>
      </c>
      <c r="H35" s="9">
        <f t="array" ref="H35">SUM(('物赋排 '!$B$3:$B$1227=A35)*('物赋排 '!$AB$3:$AB$1227&gt;=251)*('物赋排 '!$AB$3:$AB$1227&lt;=300))</f>
        <v>5</v>
      </c>
      <c r="I35" s="9">
        <f t="array" ref="I35">SUM(('物赋排 '!$B$3:$B$1227=A35)*('物赋排 '!$AB$3:$AB$1227&gt;=301)*('物赋排 '!$AB$3:$AB$1227&lt;=350))</f>
        <v>4</v>
      </c>
      <c r="J35" s="9">
        <f t="array" ref="J35">SUM(('物赋排 '!$B$3:$B$1227=A35)*('物赋排 '!$AB$3:$AB$1227&gt;=351)*('物赋排 '!$AB$3:$AB$1227&lt;=400))</f>
        <v>8</v>
      </c>
      <c r="K35" s="9">
        <f t="array" ref="K35">SUM(('物赋排 '!$B$3:$B$1227=A35)*('物赋排 '!$AB$3:$AB$1227&gt;=401)*('物赋排 '!$AB$3:$AB$1227&lt;=500))</f>
        <v>12</v>
      </c>
      <c r="L35" s="9">
        <f t="array" ref="L35">SUM(('物赋排 '!$B$3:$B$1227=A35)*('物赋排 '!$AB$3:$AB$1227&gt;=501)*('物赋排 '!$AB$3:$AB$1227&lt;=600))</f>
        <v>7</v>
      </c>
      <c r="M35" s="9">
        <f t="array" ref="M35">SUM(('物赋排 '!$B$3:$B$1227=A35)*('物赋排 '!$AB$3:$AB$1227&gt;=601)*('物赋排 '!$AB$3:$AB$1227&lt;=700))</f>
        <v>4</v>
      </c>
      <c r="N35" s="9">
        <f t="shared" si="4"/>
        <v>57</v>
      </c>
    </row>
    <row r="36" spans="1:14">
      <c r="A36" s="9">
        <v>9</v>
      </c>
      <c r="B36" s="9">
        <f t="array" ref="B36">SUM(('物赋排 '!$B$3:$B$1227=A36)*('物赋排 '!$AB$3:$AB$1227&lt;=20))</f>
        <v>17</v>
      </c>
      <c r="C36" s="9">
        <f t="array" ref="C36">SUM(('物赋排 '!$B$3:$B$1227=A36)*('物赋排 '!$AB$3:$AB$1227&gt;=21)*('物赋排 '!$AB$3:$AB$1227&lt;=50))</f>
        <v>16</v>
      </c>
      <c r="D36" s="9">
        <f t="array" ref="D36">SUM(('物赋排 '!$B$3:$B$1227=A36)*('物赋排 '!$AB$3:$AB$1227&gt;=51)*('物赋排 '!$AB$3:$AB$1227&lt;=100))</f>
        <v>16</v>
      </c>
      <c r="E36" s="9">
        <f t="array" ref="E36">SUM(('物赋排 '!$B$3:$B$1227=A36)*('物赋排 '!$AB$3:$AB$1227&gt;=101)*('物赋排 '!$AB$3:$AB$1227&lt;=150))</f>
        <v>0</v>
      </c>
      <c r="F36" s="9">
        <f t="array" ref="F36">SUM(('物赋排 '!$B$3:$B$1227=A36)*('物赋排 '!$AB$3:$AB$1227&gt;=151)*('物赋排 '!$AB$3:$AB$1227&lt;=200))</f>
        <v>4</v>
      </c>
      <c r="G36" s="9">
        <f t="array" ref="G36">SUM(('物赋排 '!$B$3:$B$1227=A36)*('物赋排 '!$AB$3:$AB$1227&gt;=201)*('物赋排 '!$AB$3:$AB$1227&lt;=250))</f>
        <v>1</v>
      </c>
      <c r="H36" s="9">
        <f t="array" ref="H36">SUM(('物赋排 '!$B$3:$B$1227=A36)*('物赋排 '!$AB$3:$AB$1227&gt;=251)*('物赋排 '!$AB$3:$AB$1227&lt;=300))</f>
        <v>0</v>
      </c>
      <c r="I36" s="9">
        <f t="array" ref="I36">SUM(('物赋排 '!$B$3:$B$1227=A36)*('物赋排 '!$AB$3:$AB$1227&gt;=301)*('物赋排 '!$AB$3:$AB$1227&lt;=350))</f>
        <v>0</v>
      </c>
      <c r="J36" s="9">
        <f t="array" ref="J36">SUM(('物赋排 '!$B$3:$B$1227=A36)*('物赋排 '!$AB$3:$AB$1227&gt;=351)*('物赋排 '!$AB$3:$AB$1227&lt;=400))</f>
        <v>0</v>
      </c>
      <c r="K36" s="9">
        <f t="array" ref="K36">SUM(('物赋排 '!$B$3:$B$1227=A36)*('物赋排 '!$AB$3:$AB$1227&gt;=401)*('物赋排 '!$AB$3:$AB$1227&lt;=500))</f>
        <v>0</v>
      </c>
      <c r="L36" s="9">
        <f t="array" ref="L36">SUM(('物赋排 '!$B$3:$B$1227=A36)*('物赋排 '!$AB$3:$AB$1227&gt;=501)*('物赋排 '!$AB$3:$AB$1227&lt;=600))</f>
        <v>0</v>
      </c>
      <c r="M36" s="9">
        <f t="array" ref="M36">SUM(('物赋排 '!$B$3:$B$1227=A36)*('物赋排 '!$AB$3:$AB$1227&gt;=601)*('物赋排 '!$AB$3:$AB$1227&lt;=700))</f>
        <v>0</v>
      </c>
      <c r="N36" s="9">
        <f t="shared" si="4"/>
        <v>54</v>
      </c>
    </row>
    <row r="37" spans="1:14">
      <c r="A37" s="9">
        <v>10</v>
      </c>
      <c r="B37" s="9">
        <f t="array" ref="B37">SUM(('物赋排 '!$B$3:$B$1227=A37)*('物赋排 '!$AB$3:$AB$1227&lt;=20))</f>
        <v>3</v>
      </c>
      <c r="C37" s="9">
        <f t="array" ref="C37">SUM(('物赋排 '!$B$3:$B$1227=A37)*('物赋排 '!$AB$3:$AB$1227&gt;=21)*('物赋排 '!$AB$3:$AB$1227&lt;=50))</f>
        <v>4</v>
      </c>
      <c r="D37" s="9">
        <f t="array" ref="D37">SUM(('物赋排 '!$B$3:$B$1227=A37)*('物赋排 '!$AB$3:$AB$1227&gt;=51)*('物赋排 '!$AB$3:$AB$1227&lt;=100))</f>
        <v>16</v>
      </c>
      <c r="E37" s="9">
        <f t="array" ref="E37">SUM(('物赋排 '!$B$3:$B$1227=A37)*('物赋排 '!$AB$3:$AB$1227&gt;=101)*('物赋排 '!$AB$3:$AB$1227&lt;=150))</f>
        <v>16</v>
      </c>
      <c r="F37" s="9">
        <f t="array" ref="F37">SUM(('物赋排 '!$B$3:$B$1227=A37)*('物赋排 '!$AB$3:$AB$1227&gt;=151)*('物赋排 '!$AB$3:$AB$1227&lt;=200))</f>
        <v>6</v>
      </c>
      <c r="G37" s="9">
        <f t="array" ref="G37">SUM(('物赋排 '!$B$3:$B$1227=A37)*('物赋排 '!$AB$3:$AB$1227&gt;=201)*('物赋排 '!$AB$3:$AB$1227&lt;=250))</f>
        <v>3</v>
      </c>
      <c r="H37" s="9">
        <f t="array" ref="H37">SUM(('物赋排 '!$B$3:$B$1227=A37)*('物赋排 '!$AB$3:$AB$1227&gt;=251)*('物赋排 '!$AB$3:$AB$1227&lt;=300))</f>
        <v>4</v>
      </c>
      <c r="I37" s="9">
        <f t="array" ref="I37">SUM(('物赋排 '!$B$3:$B$1227=A37)*('物赋排 '!$AB$3:$AB$1227&gt;=301)*('物赋排 '!$AB$3:$AB$1227&lt;=350))</f>
        <v>4</v>
      </c>
      <c r="J37" s="9">
        <f t="array" ref="J37">SUM(('物赋排 '!$B$3:$B$1227=A37)*('物赋排 '!$AB$3:$AB$1227&gt;=351)*('物赋排 '!$AB$3:$AB$1227&lt;=400))</f>
        <v>0</v>
      </c>
      <c r="K37" s="9">
        <f t="array" ref="K37">SUM(('物赋排 '!$B$3:$B$1227=A37)*('物赋排 '!$AB$3:$AB$1227&gt;=401)*('物赋排 '!$AB$3:$AB$1227&lt;=500))</f>
        <v>1</v>
      </c>
      <c r="L37" s="9">
        <f t="array" ref="L37">SUM(('物赋排 '!$B$3:$B$1227=A37)*('物赋排 '!$AB$3:$AB$1227&gt;=501)*('物赋排 '!$AB$3:$AB$1227&lt;=600))</f>
        <v>0</v>
      </c>
      <c r="M37" s="9">
        <f t="array" ref="M37">SUM(('物赋排 '!$B$3:$B$1227=A37)*('物赋排 '!$AB$3:$AB$1227&gt;=601)*('物赋排 '!$AB$3:$AB$1227&lt;=700))</f>
        <v>0</v>
      </c>
      <c r="N37" s="9">
        <f t="shared" si="4"/>
        <v>57</v>
      </c>
    </row>
    <row r="38" spans="1:14">
      <c r="A38" s="9">
        <v>11</v>
      </c>
      <c r="B38" s="9">
        <f t="array" ref="B38">SUM(('物赋排 '!$B$3:$B$1227=A38)*('物赋排 '!$AB$3:$AB$1227&lt;=20))</f>
        <v>0</v>
      </c>
      <c r="C38" s="9">
        <f t="array" ref="C38">SUM(('物赋排 '!$B$3:$B$1227=A38)*('物赋排 '!$AB$3:$AB$1227&gt;=21)*('物赋排 '!$AB$3:$AB$1227&lt;=50))</f>
        <v>0</v>
      </c>
      <c r="D38" s="9">
        <f t="array" ref="D38">SUM(('物赋排 '!$B$3:$B$1227=A38)*('物赋排 '!$AB$3:$AB$1227&gt;=51)*('物赋排 '!$AB$3:$AB$1227&lt;=100))</f>
        <v>3</v>
      </c>
      <c r="E38" s="9">
        <f t="array" ref="E38">SUM(('物赋排 '!$B$3:$B$1227=A38)*('物赋排 '!$AB$3:$AB$1227&gt;=101)*('物赋排 '!$AB$3:$AB$1227&lt;=150))</f>
        <v>2</v>
      </c>
      <c r="F38" s="9">
        <f t="array" ref="F38">SUM(('物赋排 '!$B$3:$B$1227=A38)*('物赋排 '!$AB$3:$AB$1227&gt;=151)*('物赋排 '!$AB$3:$AB$1227&lt;=200))</f>
        <v>5</v>
      </c>
      <c r="G38" s="9">
        <f t="array" ref="G38">SUM(('物赋排 '!$B$3:$B$1227=A38)*('物赋排 '!$AB$3:$AB$1227&gt;=201)*('物赋排 '!$AB$3:$AB$1227&lt;=250))</f>
        <v>5</v>
      </c>
      <c r="H38" s="9">
        <f t="array" ref="H38">SUM(('物赋排 '!$B$3:$B$1227=A38)*('物赋排 '!$AB$3:$AB$1227&gt;=251)*('物赋排 '!$AB$3:$AB$1227&lt;=300))</f>
        <v>9</v>
      </c>
      <c r="I38" s="9">
        <f t="array" ref="I38">SUM(('物赋排 '!$B$3:$B$1227=A38)*('物赋排 '!$AB$3:$AB$1227&gt;=301)*('物赋排 '!$AB$3:$AB$1227&lt;=350))</f>
        <v>5</v>
      </c>
      <c r="J38" s="9">
        <f t="array" ref="J38">SUM(('物赋排 '!$B$3:$B$1227=A38)*('物赋排 '!$AB$3:$AB$1227&gt;=351)*('物赋排 '!$AB$3:$AB$1227&lt;=400))</f>
        <v>2</v>
      </c>
      <c r="K38" s="9">
        <f t="array" ref="K38">SUM(('物赋排 '!$B$3:$B$1227=A38)*('物赋排 '!$AB$3:$AB$1227&gt;=401)*('物赋排 '!$AB$3:$AB$1227&lt;=500))</f>
        <v>10</v>
      </c>
      <c r="L38" s="9">
        <f t="array" ref="L38">SUM(('物赋排 '!$B$3:$B$1227=A38)*('物赋排 '!$AB$3:$AB$1227&gt;=501)*('物赋排 '!$AB$3:$AB$1227&lt;=600))</f>
        <v>7</v>
      </c>
      <c r="M38" s="9">
        <f t="array" ref="M38">SUM(('物赋排 '!$B$3:$B$1227=A38)*('物赋排 '!$AB$3:$AB$1227&gt;=601)*('物赋排 '!$AB$3:$AB$1227&lt;=700))</f>
        <v>9</v>
      </c>
      <c r="N38" s="9">
        <f t="shared" si="4"/>
        <v>57</v>
      </c>
    </row>
    <row r="39" spans="1:14">
      <c r="A39" s="9">
        <v>12</v>
      </c>
      <c r="B39" s="9">
        <f t="array" ref="B39">SUM(('物赋排 '!$B$3:$B$1227=A39)*('物赋排 '!$AB$3:$AB$1227&lt;=20))</f>
        <v>0</v>
      </c>
      <c r="C39" s="9">
        <f t="array" ref="C39">SUM(('物赋排 '!$B$3:$B$1227=A39)*('物赋排 '!$AB$3:$AB$1227&gt;=21)*('物赋排 '!$AB$3:$AB$1227&lt;=50))</f>
        <v>1</v>
      </c>
      <c r="D39" s="9">
        <f t="array" ref="D39">SUM(('物赋排 '!$B$3:$B$1227=A39)*('物赋排 '!$AB$3:$AB$1227&gt;=51)*('物赋排 '!$AB$3:$AB$1227&lt;=100))</f>
        <v>2</v>
      </c>
      <c r="E39" s="9">
        <f t="array" ref="E39">SUM(('物赋排 '!$B$3:$B$1227=A39)*('物赋排 '!$AB$3:$AB$1227&gt;=101)*('物赋排 '!$AB$3:$AB$1227&lt;=150))</f>
        <v>2</v>
      </c>
      <c r="F39" s="9">
        <f t="array" ref="F39">SUM(('物赋排 '!$B$3:$B$1227=A39)*('物赋排 '!$AB$3:$AB$1227&gt;=151)*('物赋排 '!$AB$3:$AB$1227&lt;=200))</f>
        <v>0</v>
      </c>
      <c r="G39" s="9">
        <f t="array" ref="G39">SUM(('物赋排 '!$B$3:$B$1227=A39)*('物赋排 '!$AB$3:$AB$1227&gt;=201)*('物赋排 '!$AB$3:$AB$1227&lt;=250))</f>
        <v>4</v>
      </c>
      <c r="H39" s="9">
        <f t="array" ref="H39">SUM(('物赋排 '!$B$3:$B$1227=A39)*('物赋排 '!$AB$3:$AB$1227&gt;=251)*('物赋排 '!$AB$3:$AB$1227&lt;=300))</f>
        <v>6</v>
      </c>
      <c r="I39" s="9">
        <f t="array" ref="I39">SUM(('物赋排 '!$B$3:$B$1227=A39)*('物赋排 '!$AB$3:$AB$1227&gt;=301)*('物赋排 '!$AB$3:$AB$1227&lt;=350))</f>
        <v>3</v>
      </c>
      <c r="J39" s="9">
        <f t="array" ref="J39">SUM(('物赋排 '!$B$3:$B$1227=A39)*('物赋排 '!$AB$3:$AB$1227&gt;=351)*('物赋排 '!$AB$3:$AB$1227&lt;=400))</f>
        <v>4</v>
      </c>
      <c r="K39" s="9">
        <f t="array" ref="K39">SUM(('物赋排 '!$B$3:$B$1227=A39)*('物赋排 '!$AB$3:$AB$1227&gt;=401)*('物赋排 '!$AB$3:$AB$1227&lt;=500))</f>
        <v>11</v>
      </c>
      <c r="L39" s="9">
        <f t="array" ref="L39">SUM(('物赋排 '!$B$3:$B$1227=A39)*('物赋排 '!$AB$3:$AB$1227&gt;=501)*('物赋排 '!$AB$3:$AB$1227&lt;=600))</f>
        <v>11</v>
      </c>
      <c r="M39" s="9">
        <f t="array" ref="M39">SUM(('物赋排 '!$B$3:$B$1227=A39)*('物赋排 '!$AB$3:$AB$1227&gt;=601)*('物赋排 '!$AB$3:$AB$1227&lt;=700))</f>
        <v>12</v>
      </c>
      <c r="N39" s="9">
        <f t="shared" si="4"/>
        <v>56</v>
      </c>
    </row>
    <row r="40" spans="1:14">
      <c r="A40" s="9">
        <v>13</v>
      </c>
      <c r="B40" s="9">
        <f t="array" ref="B40">SUM(('物赋排 '!$B$3:$B$1227=A40)*('物赋排 '!$AB$3:$AB$1227&lt;=20))</f>
        <v>0</v>
      </c>
      <c r="C40" s="9">
        <f t="array" ref="C40">SUM(('物赋排 '!$B$3:$B$1227=A40)*('物赋排 '!$AB$3:$AB$1227&gt;=21)*('物赋排 '!$AB$3:$AB$1227&lt;=50))</f>
        <v>2</v>
      </c>
      <c r="D40" s="9">
        <f t="array" ref="D40">SUM(('物赋排 '!$B$3:$B$1227=A40)*('物赋排 '!$AB$3:$AB$1227&gt;=51)*('物赋排 '!$AB$3:$AB$1227&lt;=100))</f>
        <v>2</v>
      </c>
      <c r="E40" s="9">
        <f t="array" ref="E40">SUM(('物赋排 '!$B$3:$B$1227=A40)*('物赋排 '!$AB$3:$AB$1227&gt;=101)*('物赋排 '!$AB$3:$AB$1227&lt;=150))</f>
        <v>1</v>
      </c>
      <c r="F40" s="9">
        <f t="array" ref="F40">SUM(('物赋排 '!$B$3:$B$1227=A40)*('物赋排 '!$AB$3:$AB$1227&gt;=151)*('物赋排 '!$AB$3:$AB$1227&lt;=200))</f>
        <v>3</v>
      </c>
      <c r="G40" s="9">
        <f t="array" ref="G40">SUM(('物赋排 '!$B$3:$B$1227=A40)*('物赋排 '!$AB$3:$AB$1227&gt;=201)*('物赋排 '!$AB$3:$AB$1227&lt;=250))</f>
        <v>5</v>
      </c>
      <c r="H40" s="9">
        <f t="array" ref="H40">SUM(('物赋排 '!$B$3:$B$1227=A40)*('物赋排 '!$AB$3:$AB$1227&gt;=251)*('物赋排 '!$AB$3:$AB$1227&lt;=300))</f>
        <v>4</v>
      </c>
      <c r="I40" s="9">
        <f t="array" ref="I40">SUM(('物赋排 '!$B$3:$B$1227=A40)*('物赋排 '!$AB$3:$AB$1227&gt;=301)*('物赋排 '!$AB$3:$AB$1227&lt;=350))</f>
        <v>4</v>
      </c>
      <c r="J40" s="9">
        <f t="array" ref="J40">SUM(('物赋排 '!$B$3:$B$1227=A40)*('物赋排 '!$AB$3:$AB$1227&gt;=351)*('物赋排 '!$AB$3:$AB$1227&lt;=400))</f>
        <v>6</v>
      </c>
      <c r="K40" s="9">
        <f t="array" ref="K40">SUM(('物赋排 '!$B$3:$B$1227=A40)*('物赋排 '!$AB$3:$AB$1227&gt;=401)*('物赋排 '!$AB$3:$AB$1227&lt;=500))</f>
        <v>15</v>
      </c>
      <c r="L40" s="9">
        <f t="array" ref="L40">SUM(('物赋排 '!$B$3:$B$1227=A40)*('物赋排 '!$AB$3:$AB$1227&gt;=501)*('物赋排 '!$AB$3:$AB$1227&lt;=600))</f>
        <v>9</v>
      </c>
      <c r="M40" s="9">
        <f t="array" ref="M40">SUM(('物赋排 '!$B$3:$B$1227=A40)*('物赋排 '!$AB$3:$AB$1227&gt;=601)*('物赋排 '!$AB$3:$AB$1227&lt;=700))</f>
        <v>3</v>
      </c>
      <c r="N40" s="9">
        <f t="shared" si="4"/>
        <v>54</v>
      </c>
    </row>
    <row r="41" spans="1:14">
      <c r="A41" s="9" t="s">
        <v>1868</v>
      </c>
      <c r="B41" s="9">
        <f t="shared" ref="B41:N41" si="5">SUM(B28:B40)</f>
        <v>20</v>
      </c>
      <c r="C41" s="9">
        <f t="shared" si="5"/>
        <v>30</v>
      </c>
      <c r="D41" s="9">
        <f t="shared" si="5"/>
        <v>50</v>
      </c>
      <c r="E41" s="9">
        <f t="shared" si="5"/>
        <v>50</v>
      </c>
      <c r="F41" s="9">
        <f t="shared" si="5"/>
        <v>50</v>
      </c>
      <c r="G41" s="9">
        <f t="shared" si="5"/>
        <v>50</v>
      </c>
      <c r="H41" s="9">
        <f t="shared" si="5"/>
        <v>50</v>
      </c>
      <c r="I41" s="9">
        <f t="shared" si="5"/>
        <v>50</v>
      </c>
      <c r="J41" s="9">
        <f t="shared" si="5"/>
        <v>51</v>
      </c>
      <c r="K41" s="9">
        <f t="shared" si="5"/>
        <v>101</v>
      </c>
      <c r="L41" s="9">
        <f t="shared" si="5"/>
        <v>98</v>
      </c>
      <c r="M41" s="9">
        <f t="shared" si="5"/>
        <v>63</v>
      </c>
      <c r="N41" s="9">
        <f t="shared" si="5"/>
        <v>663</v>
      </c>
    </row>
    <row r="42" spans="1:14">
      <c r="A42" s="9" t="s">
        <v>1883</v>
      </c>
      <c r="B42" s="9">
        <f>SUM(B41:B41)</f>
        <v>20</v>
      </c>
      <c r="C42" s="9">
        <f t="shared" ref="C42:M42" si="6">SUM(C41,B42)</f>
        <v>50</v>
      </c>
      <c r="D42" s="9">
        <f t="shared" si="6"/>
        <v>100</v>
      </c>
      <c r="E42" s="9">
        <f t="shared" si="6"/>
        <v>150</v>
      </c>
      <c r="F42" s="9">
        <f t="shared" si="6"/>
        <v>200</v>
      </c>
      <c r="G42" s="9">
        <f t="shared" si="6"/>
        <v>250</v>
      </c>
      <c r="H42" s="9">
        <f t="shared" si="6"/>
        <v>300</v>
      </c>
      <c r="I42" s="9">
        <f t="shared" si="6"/>
        <v>350</v>
      </c>
      <c r="J42" s="9">
        <f t="shared" si="6"/>
        <v>401</v>
      </c>
      <c r="K42" s="9">
        <f t="shared" si="6"/>
        <v>502</v>
      </c>
      <c r="L42" s="9">
        <f t="shared" si="6"/>
        <v>600</v>
      </c>
      <c r="M42" s="9">
        <f t="shared" si="6"/>
        <v>663</v>
      </c>
      <c r="N42" s="9"/>
    </row>
    <row r="43" spans="1:14">
      <c r="A43" s="28"/>
      <c r="B43" s="143"/>
      <c r="C43" s="143"/>
      <c r="D43" s="143"/>
      <c r="E43" s="143"/>
      <c r="F43" s="143"/>
      <c r="G43" s="143"/>
      <c r="H43" s="143"/>
      <c r="I43" s="143"/>
      <c r="J43" s="143"/>
      <c r="K43" s="143"/>
      <c r="L43" s="143"/>
      <c r="M43" s="143"/>
      <c r="N43" s="29"/>
    </row>
    <row r="44" ht="24" spans="1:8">
      <c r="A44" s="139" t="s">
        <v>1870</v>
      </c>
      <c r="B44" s="140" t="s">
        <v>1871</v>
      </c>
      <c r="C44" s="141" t="s">
        <v>1872</v>
      </c>
      <c r="D44" s="142" t="s">
        <v>1873</v>
      </c>
      <c r="E44" s="142" t="s">
        <v>1874</v>
      </c>
      <c r="F44" s="142" t="s">
        <v>1875</v>
      </c>
      <c r="G44" s="142" t="s">
        <v>1876</v>
      </c>
      <c r="H44" s="142" t="s">
        <v>1749</v>
      </c>
    </row>
    <row r="45" spans="1:8">
      <c r="A45" s="9">
        <v>14</v>
      </c>
      <c r="B45" s="9">
        <f t="array" ref="B45">SUM(('史赋排 '!$B$3:$B$1459=A45)*('史赋排 '!$AB$3:$AB$1459&lt;=20))</f>
        <v>0</v>
      </c>
      <c r="C45" s="9">
        <f t="array" ref="C45">SUM(('史赋排 '!$B$3:$B$1459=A45)*('史赋排 '!$AB$3:$AB$1459&gt;=21)*('史赋排 '!$AB$3:$AB$1459&lt;=50))</f>
        <v>3</v>
      </c>
      <c r="D45" s="9">
        <f t="array" ref="D45">SUM(('史赋排 '!$B$3:$B$1459=A45)*('史赋排 '!$AB$3:$AB$1459&gt;=51)*('史赋排 '!$AB$3:$AB$1459&lt;=100))</f>
        <v>11</v>
      </c>
      <c r="E45" s="9">
        <f t="array" ref="E45">SUM(('史赋排 '!$B$3:$B$1459=A45)*('史赋排 '!$AB$3:$AB$1459&gt;=101)*('史赋排 '!$AB$3:$AB$1459&lt;=150))</f>
        <v>14</v>
      </c>
      <c r="F45" s="9">
        <f t="array" ref="F45">SUM(('史赋排 '!$B$3:$B$1459=A45)*('史赋排 '!$AB$3:$AB$1459&gt;=151)*('史赋排 '!$AB$3:$AB$1459&lt;=200))</f>
        <v>11</v>
      </c>
      <c r="G45" s="9">
        <f t="array" ref="G45">SUM(('史赋排 '!$B$3:$B$1459=A45)*('史赋排 '!$AB$3:$AB$1459&gt;=201)*('史赋排 '!$AB$3:$AB$1459&lt;=250))</f>
        <v>1</v>
      </c>
      <c r="H45" s="9">
        <f t="shared" ref="H45:H49" si="7">SUM(B45:G45)</f>
        <v>40</v>
      </c>
    </row>
    <row r="46" spans="1:8">
      <c r="A46" s="9">
        <v>15</v>
      </c>
      <c r="B46" s="9">
        <f t="array" ref="B46">SUM(('史赋排 '!$B$3:$B$1459=A46)*('史赋排 '!$AB$3:$AB$1459&lt;=20))</f>
        <v>1</v>
      </c>
      <c r="C46" s="9">
        <f t="array" ref="C46">SUM(('史赋排 '!$B$3:$B$1459=A46)*('史赋排 '!$AB$3:$AB$1459&gt;=21)*('史赋排 '!$AB$3:$AB$1459&lt;=50))</f>
        <v>2</v>
      </c>
      <c r="D46" s="9">
        <f t="array" ref="D46">SUM(('史赋排 '!$B$3:$B$1459=A46)*('史赋排 '!$AB$3:$AB$1459&gt;=51)*('史赋排 '!$AB$3:$AB$1459&lt;=100))</f>
        <v>11</v>
      </c>
      <c r="E46" s="9">
        <f t="array" ref="E46">SUM(('史赋排 '!$B$3:$B$1459=A46)*('史赋排 '!$AB$3:$AB$1459&gt;=101)*('史赋排 '!$AB$3:$AB$1459&lt;=150))</f>
        <v>14</v>
      </c>
      <c r="F46" s="9">
        <f t="array" ref="F46">SUM(('史赋排 '!$B$3:$B$1459=A46)*('史赋排 '!$AB$3:$AB$1459&gt;=151)*('史赋排 '!$AB$3:$AB$1459&lt;=200))</f>
        <v>14</v>
      </c>
      <c r="G46" s="9">
        <f t="array" ref="G46">SUM(('史赋排 '!$B$3:$B$1459=A46)*('史赋排 '!$AB$3:$AB$1459&gt;=201)*('史赋排 '!$AB$3:$AB$1459&lt;=250))</f>
        <v>0</v>
      </c>
      <c r="H46" s="9">
        <f t="shared" si="7"/>
        <v>42</v>
      </c>
    </row>
    <row r="47" spans="1:8">
      <c r="A47" s="9">
        <v>16</v>
      </c>
      <c r="B47" s="9">
        <f t="array" ref="B47">SUM(('史赋排 '!$B$3:$B$1459=A47)*('史赋排 '!$AB$3:$AB$1459&lt;=20))</f>
        <v>19</v>
      </c>
      <c r="C47" s="9">
        <f t="array" ref="C47">SUM(('史赋排 '!$B$3:$B$1459=A47)*('史赋排 '!$AB$3:$AB$1459&gt;=21)*('史赋排 '!$AB$3:$AB$1459&lt;=50))</f>
        <v>16</v>
      </c>
      <c r="D47" s="9">
        <f t="array" ref="D47">SUM(('史赋排 '!$B$3:$B$1459=A47)*('史赋排 '!$AB$3:$AB$1459&gt;=51)*('史赋排 '!$AB$3:$AB$1459&lt;=100))</f>
        <v>3</v>
      </c>
      <c r="E47" s="9">
        <f t="array" ref="E47">SUM(('史赋排 '!$B$3:$B$1459=A47)*('史赋排 '!$AB$3:$AB$1459&gt;=101)*('史赋排 '!$AB$3:$AB$1459&lt;=150))</f>
        <v>0</v>
      </c>
      <c r="F47" s="9">
        <f t="array" ref="F47">SUM(('史赋排 '!$B$3:$B$1459=A47)*('史赋排 '!$AB$3:$AB$1459&gt;=151)*('史赋排 '!$AB$3:$AB$1459&lt;=200))</f>
        <v>0</v>
      </c>
      <c r="G47" s="9">
        <f t="array" ref="G47">SUM(('史赋排 '!$B$3:$B$1459=A47)*('史赋排 '!$AB$3:$AB$1459&gt;=201)*('史赋排 '!$AB$3:$AB$1459&lt;=250))</f>
        <v>0</v>
      </c>
      <c r="H47" s="9">
        <f t="shared" si="7"/>
        <v>38</v>
      </c>
    </row>
    <row r="48" spans="1:8">
      <c r="A48" s="9">
        <v>17</v>
      </c>
      <c r="B48" s="9">
        <f t="array" ref="B48">SUM(('史赋排 '!$B$3:$B$1459=A48)*('史赋排 '!$AB$3:$AB$1459&lt;=20))</f>
        <v>0</v>
      </c>
      <c r="C48" s="9">
        <f t="array" ref="C48">SUM(('史赋排 '!$B$3:$B$1459=A48)*('史赋排 '!$AB$3:$AB$1459&gt;=21)*('史赋排 '!$AB$3:$AB$1459&lt;=50))</f>
        <v>5</v>
      </c>
      <c r="D48" s="9">
        <f t="array" ref="D48">SUM(('史赋排 '!$B$3:$B$1459=A48)*('史赋排 '!$AB$3:$AB$1459&gt;=51)*('史赋排 '!$AB$3:$AB$1459&lt;=100))</f>
        <v>12</v>
      </c>
      <c r="E48" s="9">
        <f t="array" ref="E48">SUM(('史赋排 '!$B$3:$B$1459=A48)*('史赋排 '!$AB$3:$AB$1459&gt;=101)*('史赋排 '!$AB$3:$AB$1459&lt;=150))</f>
        <v>13</v>
      </c>
      <c r="F48" s="9">
        <f t="array" ref="F48">SUM(('史赋排 '!$B$3:$B$1459=A48)*('史赋排 '!$AB$3:$AB$1459&gt;=151)*('史赋排 '!$AB$3:$AB$1459&lt;=200))</f>
        <v>12</v>
      </c>
      <c r="G48" s="9">
        <f t="array" ref="G48">SUM(('史赋排 '!$B$3:$B$1459=A48)*('史赋排 '!$AB$3:$AB$1459&gt;=201)*('史赋排 '!$AB$3:$AB$1459&lt;=250))</f>
        <v>1</v>
      </c>
      <c r="H48" s="9">
        <f t="shared" si="7"/>
        <v>43</v>
      </c>
    </row>
    <row r="49" spans="1:8">
      <c r="A49" s="9">
        <v>18</v>
      </c>
      <c r="B49" s="9">
        <f t="array" ref="B49">SUM(('史赋排 '!$B$3:$B$1459=A49)*('史赋排 '!$AB$3:$AB$1459&lt;=20))</f>
        <v>1</v>
      </c>
      <c r="C49" s="9">
        <f t="array" ref="C49">SUM(('史赋排 '!$B$3:$B$1459=A49)*('史赋排 '!$AB$3:$AB$1459&gt;=21)*('史赋排 '!$AB$3:$AB$1459&lt;=50))</f>
        <v>3</v>
      </c>
      <c r="D49" s="9">
        <f t="array" ref="D49">SUM(('史赋排 '!$B$3:$B$1459=A49)*('史赋排 '!$AB$3:$AB$1459&gt;=51)*('史赋排 '!$AB$3:$AB$1459&lt;=100))</f>
        <v>13</v>
      </c>
      <c r="E49" s="9">
        <f t="array" ref="E49">SUM(('史赋排 '!$B$3:$B$1459=A49)*('史赋排 '!$AB$3:$AB$1459&gt;=101)*('史赋排 '!$AB$3:$AB$1459&lt;=150))</f>
        <v>9</v>
      </c>
      <c r="F49" s="9">
        <f t="array" ref="F49">SUM(('史赋排 '!$B$3:$B$1459=A49)*('史赋排 '!$AB$3:$AB$1459&gt;=151)*('史赋排 '!$AB$3:$AB$1459&lt;=200))</f>
        <v>13</v>
      </c>
      <c r="G49" s="9">
        <f t="array" ref="G49">SUM(('史赋排 '!$B$3:$B$1459=A49)*('史赋排 '!$AB$3:$AB$1459&gt;=201)*('史赋排 '!$AB$3:$AB$1459&lt;=250))</f>
        <v>4</v>
      </c>
      <c r="H49" s="9">
        <f t="shared" si="7"/>
        <v>43</v>
      </c>
    </row>
    <row r="50" spans="1:8">
      <c r="A50" s="9" t="s">
        <v>1868</v>
      </c>
      <c r="B50" s="9">
        <f t="shared" ref="B50:H50" si="8">SUM(B45:B49)</f>
        <v>21</v>
      </c>
      <c r="C50" s="9">
        <f t="shared" si="8"/>
        <v>29</v>
      </c>
      <c r="D50" s="9">
        <f t="shared" si="8"/>
        <v>50</v>
      </c>
      <c r="E50" s="9">
        <f t="shared" si="8"/>
        <v>50</v>
      </c>
      <c r="F50" s="9">
        <f t="shared" si="8"/>
        <v>50</v>
      </c>
      <c r="G50" s="9">
        <f t="shared" si="8"/>
        <v>6</v>
      </c>
      <c r="H50" s="9">
        <f t="shared" si="8"/>
        <v>206</v>
      </c>
    </row>
    <row r="51" spans="1:8">
      <c r="A51" s="9" t="s">
        <v>1883</v>
      </c>
      <c r="B51" s="9">
        <f>B50</f>
        <v>21</v>
      </c>
      <c r="C51" s="9">
        <f t="shared" ref="C51:G51" si="9">B51+C50</f>
        <v>50</v>
      </c>
      <c r="D51" s="9">
        <f t="shared" si="9"/>
        <v>100</v>
      </c>
      <c r="E51" s="9">
        <f t="shared" si="9"/>
        <v>150</v>
      </c>
      <c r="F51" s="9">
        <f t="shared" si="9"/>
        <v>200</v>
      </c>
      <c r="G51" s="9">
        <f t="shared" si="9"/>
        <v>206</v>
      </c>
      <c r="H51" s="9"/>
    </row>
  </sheetData>
  <mergeCells count="3">
    <mergeCell ref="A1:Q1"/>
    <mergeCell ref="A26:N26"/>
    <mergeCell ref="A43:N43"/>
  </mergeCells>
  <conditionalFormatting sqref="A27:N27">
    <cfRule type="cellIs" dxfId="2" priority="4" stopIfTrue="1" operator="equal">
      <formula>0</formula>
    </cfRule>
  </conditionalFormatting>
  <conditionalFormatting sqref="A44:H44">
    <cfRule type="cellIs" dxfId="2" priority="1" stopIfTrue="1" operator="equal">
      <formula>0</formula>
    </cfRule>
  </conditionalFormatting>
  <conditionalFormatting sqref="B3:P15 B17:P22">
    <cfRule type="cellIs" dxfId="3" priority="2" operator="equal">
      <formula>0</formula>
    </cfRule>
  </conditionalFormatting>
  <conditionalFormatting sqref="B28:M42 N41 B45:G49">
    <cfRule type="cellIs" dxfId="3" priority="3" operator="equal">
      <formula>0</formula>
    </cfRule>
  </conditionalFormatting>
  <printOptions horizontalCentered="1"/>
  <pageMargins left="0.554166666666667" right="0.554166666666667" top="0.156944444444444" bottom="0.0784722222222222" header="0.314583333333333" footer="0.511805555555556"/>
  <pageSetup paperSize="286" orientation="landscape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78"/>
  <sheetViews>
    <sheetView workbookViewId="0">
      <selection activeCell="AG39" sqref="AG39"/>
    </sheetView>
  </sheetViews>
  <sheetFormatPr defaultColWidth="8.75" defaultRowHeight="13.5"/>
  <cols>
    <col min="1" max="1" width="5.625" style="26" customWidth="1"/>
    <col min="2" max="2" width="6.25" style="134" customWidth="1"/>
    <col min="3" max="15" width="3.375" customWidth="1"/>
    <col min="16" max="16" width="6.25" style="134" customWidth="1"/>
    <col min="17" max="21" width="3.375" customWidth="1"/>
    <col min="23" max="23" width="5.125" style="26" customWidth="1"/>
    <col min="24" max="25" width="7" style="26" customWidth="1"/>
    <col min="26" max="29" width="6.375" style="26" customWidth="1"/>
    <col min="31" max="31" width="5.375" style="26" customWidth="1"/>
    <col min="32" max="32" width="7.25" style="134" customWidth="1"/>
    <col min="33" max="33" width="5.5" customWidth="1"/>
    <col min="34" max="34" width="4" customWidth="1"/>
    <col min="35" max="35" width="5.375" customWidth="1"/>
    <col min="36" max="36" width="7.25" customWidth="1"/>
    <col min="37" max="37" width="5.75" customWidth="1"/>
    <col min="39" max="39" width="5.375" customWidth="1"/>
    <col min="40" max="40" width="7.25" customWidth="1"/>
    <col min="41" max="42" width="6.375" customWidth="1"/>
    <col min="43" max="43" width="4.5" customWidth="1"/>
    <col min="44" max="44" width="5.375" customWidth="1"/>
    <col min="45" max="45" width="7.25" customWidth="1"/>
    <col min="46" max="47" width="6.125" customWidth="1"/>
  </cols>
  <sheetData>
    <row r="1" spans="1:42">
      <c r="A1" s="135" t="s">
        <v>15</v>
      </c>
      <c r="B1" s="136" t="s">
        <v>1</v>
      </c>
      <c r="C1" s="136">
        <v>1</v>
      </c>
      <c r="D1" s="136">
        <v>2</v>
      </c>
      <c r="E1" s="136">
        <v>3</v>
      </c>
      <c r="F1" s="136">
        <v>4</v>
      </c>
      <c r="G1" s="136">
        <v>5</v>
      </c>
      <c r="H1" s="136">
        <v>6</v>
      </c>
      <c r="I1" s="136">
        <v>7</v>
      </c>
      <c r="J1" s="136">
        <v>8</v>
      </c>
      <c r="K1" s="136">
        <v>9</v>
      </c>
      <c r="L1" s="136">
        <v>10</v>
      </c>
      <c r="M1" s="136">
        <v>11</v>
      </c>
      <c r="N1" s="136">
        <v>12</v>
      </c>
      <c r="O1" s="136">
        <v>13</v>
      </c>
      <c r="P1" s="136" t="s">
        <v>1</v>
      </c>
      <c r="Q1" s="136">
        <v>14</v>
      </c>
      <c r="R1" s="136">
        <v>15</v>
      </c>
      <c r="S1" s="136">
        <v>16</v>
      </c>
      <c r="T1" s="136">
        <v>17</v>
      </c>
      <c r="U1" s="136">
        <v>18</v>
      </c>
      <c r="W1" s="9" t="s">
        <v>1</v>
      </c>
      <c r="X1" s="9" t="s">
        <v>1739</v>
      </c>
      <c r="Y1" s="9" t="s">
        <v>14</v>
      </c>
      <c r="Z1" s="9" t="s">
        <v>10</v>
      </c>
      <c r="AA1" s="9" t="s">
        <v>11</v>
      </c>
      <c r="AB1" s="9" t="s">
        <v>12</v>
      </c>
      <c r="AC1" s="9" t="s">
        <v>13</v>
      </c>
      <c r="AE1" s="135" t="s">
        <v>15</v>
      </c>
      <c r="AF1" s="136" t="s">
        <v>1</v>
      </c>
      <c r="AG1" s="136">
        <v>16</v>
      </c>
      <c r="AI1" s="135" t="s">
        <v>1893</v>
      </c>
      <c r="AJ1" s="136" t="s">
        <v>1</v>
      </c>
      <c r="AK1" s="136">
        <v>16</v>
      </c>
      <c r="AM1" s="135" t="s">
        <v>15</v>
      </c>
      <c r="AN1" s="136" t="s">
        <v>1</v>
      </c>
      <c r="AO1" s="136">
        <v>9</v>
      </c>
      <c r="AP1" s="136">
        <v>10</v>
      </c>
    </row>
    <row r="2" spans="1:42">
      <c r="A2" s="130" t="s">
        <v>1894</v>
      </c>
      <c r="B2" s="130" t="s">
        <v>1895</v>
      </c>
      <c r="C2" s="130">
        <f>COUNTIFS('物赋排 '!$AA:$AA,"&lt;=70",'物赋排 '!$B:$B,C1)</f>
        <v>0</v>
      </c>
      <c r="D2" s="130">
        <f>COUNTIFS('物赋排 '!$AA:$AA,"&lt;=70",'物赋排 '!$B:$B,D1)</f>
        <v>0</v>
      </c>
      <c r="E2" s="130">
        <f>COUNTIFS('物赋排 '!$AA:$AA,"&lt;=70",'物赋排 '!$B:$B,E1)</f>
        <v>0</v>
      </c>
      <c r="F2" s="130">
        <f>COUNTIFS('物赋排 '!$AA:$AA,"&lt;=70",'物赋排 '!$B:$B,F1)</f>
        <v>0</v>
      </c>
      <c r="G2" s="130">
        <f>COUNTIFS('物赋排 '!$AA:$AA,"&lt;=70",'物赋排 '!$B:$B,G1)</f>
        <v>0</v>
      </c>
      <c r="H2" s="130">
        <f>COUNTIFS('物赋排 '!$AA:$AA,"&lt;=70",'物赋排 '!$B:$B,H1)</f>
        <v>0</v>
      </c>
      <c r="I2" s="130">
        <f>COUNTIFS('物赋排 '!$AA:$AA,"&lt;=70",'物赋排 '!$B:$B,I1)</f>
        <v>0</v>
      </c>
      <c r="J2" s="130">
        <f>COUNTIFS('物赋排 '!$AA:$AA,"&lt;=70",'物赋排 '!$B:$B,J1)</f>
        <v>0</v>
      </c>
      <c r="K2" s="130">
        <f>COUNTIFS('物赋排 '!$AA:$AA,"&lt;=70",'物赋排 '!$B:$B,K1)</f>
        <v>3</v>
      </c>
      <c r="L2" s="130">
        <f>COUNTIFS('物赋排 '!$AA:$AA,"&lt;=70",'物赋排 '!$B:$B,L1)</f>
        <v>0</v>
      </c>
      <c r="M2" s="130">
        <f>COUNTIFS('物赋排 '!$AA:$AA,"&lt;=70",'物赋排 '!$B:$B,M1)</f>
        <v>0</v>
      </c>
      <c r="N2" s="130">
        <f>COUNTIFS('物赋排 '!$AA:$AA,"&lt;=70",'物赋排 '!$B:$B,N1)</f>
        <v>0</v>
      </c>
      <c r="O2" s="130">
        <f>COUNTIFS('物赋排 '!$AA:$AA,"&lt;=70",'物赋排 '!$B:$B,O1)</f>
        <v>0</v>
      </c>
      <c r="P2" s="130" t="s">
        <v>1896</v>
      </c>
      <c r="Q2" s="130">
        <f>COUNTIFS('史赋排 '!$AA:$AA,"&lt;=30",'史赋排 '!$B:$B,Q1)</f>
        <v>0</v>
      </c>
      <c r="R2" s="130">
        <f>COUNTIFS('史赋排 '!$AA:$AA,"&lt;=30",'史赋排 '!$B:$B,R1)</f>
        <v>0</v>
      </c>
      <c r="S2" s="130">
        <f>COUNTIFS('史赋排 '!$AA:$AA,"&lt;=30",'史赋排 '!$B:$B,S1)</f>
        <v>2</v>
      </c>
      <c r="T2" s="130">
        <f>COUNTIFS('史赋排 '!$AA:$AA,"&lt;=30",'史赋排 '!$B:$B,T1)</f>
        <v>0</v>
      </c>
      <c r="U2" s="130">
        <f>COUNTIFS('史赋排 '!$AA:$AA,"&lt;=30",'史赋排 '!$B:$B,U1)</f>
        <v>0</v>
      </c>
      <c r="W2" s="9">
        <v>1</v>
      </c>
      <c r="X2" s="9" t="s">
        <v>1740</v>
      </c>
      <c r="Y2" s="9">
        <f>COUNTIFS(赋分!$B:$B,W2,赋分!$O:$O,"&gt;=0")</f>
        <v>63</v>
      </c>
      <c r="Z2" s="9">
        <f>COUNTIFS(赋分!$B:$B,W2,赋分!$K:$K,"&gt;=0")</f>
        <v>63</v>
      </c>
      <c r="AA2" s="9"/>
      <c r="AB2" s="9">
        <f>COUNTIFS(赋分!$B:$B,W2,赋分!$M:$M,"&gt;=0")</f>
        <v>63</v>
      </c>
      <c r="AC2" s="9"/>
      <c r="AE2" s="130" t="s">
        <v>1894</v>
      </c>
      <c r="AF2" s="130" t="s">
        <v>1896</v>
      </c>
      <c r="AG2" s="130">
        <v>1</v>
      </c>
      <c r="AI2" s="130" t="s">
        <v>1894</v>
      </c>
      <c r="AJ2" s="130" t="s">
        <v>1896</v>
      </c>
      <c r="AK2" s="137">
        <v>2</v>
      </c>
      <c r="AM2" s="130" t="s">
        <v>1894</v>
      </c>
      <c r="AN2" s="130" t="s">
        <v>1895</v>
      </c>
      <c r="AO2" s="130">
        <v>2</v>
      </c>
      <c r="AP2" s="130">
        <v>1</v>
      </c>
    </row>
    <row r="3" spans="1:42">
      <c r="A3" s="13">
        <v>985</v>
      </c>
      <c r="B3" s="13" t="s">
        <v>1897</v>
      </c>
      <c r="C3" s="13">
        <f>COUNTIFS('物赋排 '!$AA:$AA,"&lt;=500",'物赋排 '!$B:$B,C1)</f>
        <v>0</v>
      </c>
      <c r="D3" s="13">
        <f>COUNTIFS('物赋排 '!$AA:$AA,"&lt;=500",'物赋排 '!$B:$B,D1)</f>
        <v>0</v>
      </c>
      <c r="E3" s="13">
        <f>COUNTIFS('物赋排 '!$AA:$AA,"&lt;=500",'物赋排 '!$B:$B,E1)</f>
        <v>0</v>
      </c>
      <c r="F3" s="13">
        <f>COUNTIFS('物赋排 '!$AA:$AA,"&lt;=500",'物赋排 '!$B:$B,F1)</f>
        <v>0</v>
      </c>
      <c r="G3" s="13">
        <f>COUNTIFS('物赋排 '!$AA:$AA,"&lt;=500",'物赋排 '!$B:$B,G1)</f>
        <v>0</v>
      </c>
      <c r="H3" s="13">
        <f>COUNTIFS('物赋排 '!$AA:$AA,"&lt;=500",'物赋排 '!$B:$B,H1)</f>
        <v>0</v>
      </c>
      <c r="I3" s="13">
        <f>COUNTIFS('物赋排 '!$AA:$AA,"&lt;=500",'物赋排 '!$B:$B,I1)</f>
        <v>0</v>
      </c>
      <c r="J3" s="13">
        <f>COUNTIFS('物赋排 '!$AA:$AA,"&lt;=500",'物赋排 '!$B:$B,J1)</f>
        <v>1</v>
      </c>
      <c r="K3" s="13">
        <f>COUNTIFS('物赋排 '!$AA:$AA,"&lt;=500",'物赋排 '!$B:$B,K1)</f>
        <v>20</v>
      </c>
      <c r="L3" s="13">
        <f>COUNTIFS('物赋排 '!$AA:$AA,"&lt;=500",'物赋排 '!$B:$B,L1)</f>
        <v>4</v>
      </c>
      <c r="M3" s="13">
        <f>COUNTIFS('物赋排 '!$AA:$AA,"&lt;=500",'物赋排 '!$B:$B,M1)</f>
        <v>0</v>
      </c>
      <c r="N3" s="13">
        <f>COUNTIFS('物赋排 '!$AA:$AA,"&lt;=500",'物赋排 '!$B:$B,N1)</f>
        <v>0</v>
      </c>
      <c r="O3" s="13">
        <f>COUNTIFS('物赋排 '!$AA:$AA,"&lt;=500",'物赋排 '!$B:$B,O1)</f>
        <v>0</v>
      </c>
      <c r="P3" s="13" t="s">
        <v>1898</v>
      </c>
      <c r="Q3" s="13">
        <f>COUNTIFS('史赋排 '!$AA:$AA,"&lt;=100",'史赋排 '!$B:$B,Q1)</f>
        <v>0</v>
      </c>
      <c r="R3" s="13">
        <f>COUNTIFS('史赋排 '!$AA:$AA,"&lt;=100",'史赋排 '!$B:$B,R1)</f>
        <v>0</v>
      </c>
      <c r="S3" s="13">
        <f>COUNTIFS('史赋排 '!$AA:$AA,"&lt;=100",'史赋排 '!$B:$B,S1)</f>
        <v>11</v>
      </c>
      <c r="T3" s="13">
        <f>COUNTIFS('史赋排 '!$AA:$AA,"&lt;=100",'史赋排 '!$B:$B,T1)</f>
        <v>0</v>
      </c>
      <c r="U3" s="13">
        <f>COUNTIFS('史赋排 '!$AA:$AA,"&lt;=100",'史赋排 '!$B:$B,U1)</f>
        <v>0</v>
      </c>
      <c r="W3" s="9">
        <v>2</v>
      </c>
      <c r="X3" s="9" t="s">
        <v>1741</v>
      </c>
      <c r="Y3" s="9">
        <f>COUNTIFS(赋分!$B:$B,W3,赋分!$O:$O,"&gt;=0")</f>
        <v>48</v>
      </c>
      <c r="Z3" s="9"/>
      <c r="AA3" s="9"/>
      <c r="AB3" s="9">
        <f>COUNTIFS(赋分!$B:$B,W3,赋分!$M:$M,"&gt;=0")</f>
        <v>48</v>
      </c>
      <c r="AC3" s="9">
        <f>COUNTIFS(赋分!$B:$B,W3,赋分!$N:$N,"&gt;=0")</f>
        <v>48</v>
      </c>
      <c r="AE3" s="13">
        <v>985</v>
      </c>
      <c r="AF3" s="13" t="s">
        <v>1898</v>
      </c>
      <c r="AG3" s="13">
        <v>13</v>
      </c>
      <c r="AI3" s="13">
        <v>985</v>
      </c>
      <c r="AJ3" s="13" t="s">
        <v>1898</v>
      </c>
      <c r="AK3" s="13">
        <v>8</v>
      </c>
      <c r="AM3" s="13">
        <v>985</v>
      </c>
      <c r="AN3" s="13" t="s">
        <v>1897</v>
      </c>
      <c r="AO3" s="13">
        <v>26</v>
      </c>
      <c r="AP3" s="13">
        <v>7</v>
      </c>
    </row>
    <row r="4" spans="1:42">
      <c r="A4" s="130">
        <v>211</v>
      </c>
      <c r="B4" s="130" t="s">
        <v>1899</v>
      </c>
      <c r="C4" s="130">
        <f>COUNTIFS('物赋排 '!$AA:$AA,"&lt;=1300",'物赋排 '!$B:$B,C1)</f>
        <v>5</v>
      </c>
      <c r="D4" s="130">
        <f>COUNTIFS('物赋排 '!$AA:$AA,"&lt;=1300",'物赋排 '!$B:$B,D1)</f>
        <v>2</v>
      </c>
      <c r="E4" s="130">
        <f>COUNTIFS('物赋排 '!$AA:$AA,"&lt;=1300",'物赋排 '!$B:$B,E1)</f>
        <v>3</v>
      </c>
      <c r="F4" s="130">
        <f>COUNTIFS('物赋排 '!$AA:$AA,"&lt;=1300",'物赋排 '!$B:$B,F1)</f>
        <v>1</v>
      </c>
      <c r="G4" s="130">
        <f>COUNTIFS('物赋排 '!$AA:$AA,"&lt;=1300",'物赋排 '!$B:$B,G1)</f>
        <v>3</v>
      </c>
      <c r="H4" s="130">
        <f>COUNTIFS('物赋排 '!$AA:$AA,"&lt;=1300",'物赋排 '!$B:$B,H1)</f>
        <v>1</v>
      </c>
      <c r="I4" s="130">
        <f>COUNTIFS('物赋排 '!$AA:$AA,"&lt;=1300",'物赋排 '!$B:$B,I1)</f>
        <v>0</v>
      </c>
      <c r="J4" s="130">
        <f>COUNTIFS('物赋排 '!$AA:$AA,"&lt;=1300",'物赋排 '!$B:$B,J1)</f>
        <v>3</v>
      </c>
      <c r="K4" s="130">
        <f>COUNTIFS('物赋排 '!$AA:$AA,"&lt;=1300",'物赋排 '!$B:$B,K1)</f>
        <v>49</v>
      </c>
      <c r="L4" s="130">
        <f>COUNTIFS('物赋排 '!$AA:$AA,"&lt;=1300",'物赋排 '!$B:$B,L1)</f>
        <v>23</v>
      </c>
      <c r="M4" s="130">
        <f>COUNTIFS('物赋排 '!$AA:$AA,"&lt;=1300",'物赋排 '!$B:$B,M1)</f>
        <v>3</v>
      </c>
      <c r="N4" s="130">
        <f>COUNTIFS('物赋排 '!$AA:$AA,"&lt;=1300",'物赋排 '!$B:$B,N1)</f>
        <v>3</v>
      </c>
      <c r="O4" s="130">
        <f>COUNTIFS('物赋排 '!$AA:$AA,"&lt;=1300",'物赋排 '!$B:$B,O1)</f>
        <v>4</v>
      </c>
      <c r="P4" s="130" t="s">
        <v>1900</v>
      </c>
      <c r="Q4" s="130">
        <f>COUNTIFS('史赋排 '!$AA:$AA,"&lt;=200",'史赋排 '!$B:$B,Q1)</f>
        <v>2</v>
      </c>
      <c r="R4" s="130">
        <f>COUNTIFS('史赋排 '!$AA:$AA,"&lt;=200",'史赋排 '!$B:$B,R1)</f>
        <v>1</v>
      </c>
      <c r="S4" s="130">
        <f>COUNTIFS('史赋排 '!$AA:$AA,"&lt;=200",'史赋排 '!$B:$B,S1)</f>
        <v>28</v>
      </c>
      <c r="T4" s="130">
        <f>COUNTIFS('史赋排 '!$AA:$AA,"&lt;=200",'史赋排 '!$B:$B,T1)</f>
        <v>3</v>
      </c>
      <c r="U4" s="130">
        <f>COUNTIFS('史赋排 '!$AA:$AA,"&lt;=200",'史赋排 '!$B:$B,U1)</f>
        <v>1</v>
      </c>
      <c r="W4" s="9">
        <v>3</v>
      </c>
      <c r="X4" s="9" t="s">
        <v>1742</v>
      </c>
      <c r="Y4" s="9">
        <f>COUNTIFS(赋分!$B:$B,W4,赋分!$O:$O,"&gt;=0")</f>
        <v>49</v>
      </c>
      <c r="Z4" s="9">
        <f>COUNTIFS(赋分!$B:$B,W4,赋分!$K:$K,"&gt;=0")</f>
        <v>49</v>
      </c>
      <c r="AA4" s="9">
        <f>COUNTIFS(赋分!$B:$B,W4,赋分!$L:$L,"&gt;=0")</f>
        <v>49</v>
      </c>
      <c r="AB4" s="9"/>
      <c r="AC4" s="9"/>
      <c r="AE4" s="130">
        <v>211</v>
      </c>
      <c r="AF4" s="130" t="s">
        <v>1900</v>
      </c>
      <c r="AG4" s="130">
        <v>30</v>
      </c>
      <c r="AI4" s="130">
        <v>211</v>
      </c>
      <c r="AJ4" s="130" t="s">
        <v>1900</v>
      </c>
      <c r="AK4" s="137">
        <v>18</v>
      </c>
      <c r="AM4" s="130">
        <v>211</v>
      </c>
      <c r="AN4" s="130" t="s">
        <v>1899</v>
      </c>
      <c r="AO4" s="130">
        <v>44</v>
      </c>
      <c r="AP4" s="130">
        <v>25</v>
      </c>
    </row>
    <row r="5" spans="1:42">
      <c r="A5" s="13" t="s">
        <v>1901</v>
      </c>
      <c r="B5" s="13" t="s">
        <v>1902</v>
      </c>
      <c r="C5" s="13">
        <f>COUNTIFS('物赋排 '!$AA:$AA,"&lt;=4000",'物赋排 '!$B:$B,C1)</f>
        <v>33</v>
      </c>
      <c r="D5" s="13">
        <f>COUNTIFS('物赋排 '!$AA:$AA,"&lt;=4000",'物赋排 '!$B:$B,D1)</f>
        <v>27</v>
      </c>
      <c r="E5" s="13">
        <f>COUNTIFS('物赋排 '!$AA:$AA,"&lt;=4000",'物赋排 '!$B:$B,E1)</f>
        <v>25</v>
      </c>
      <c r="F5" s="13">
        <f>COUNTIFS('物赋排 '!$AA:$AA,"&lt;=4000",'物赋排 '!$B:$B,F1)</f>
        <v>30</v>
      </c>
      <c r="G5" s="13">
        <f>COUNTIFS('物赋排 '!$AA:$AA,"&lt;=4000",'物赋排 '!$B:$B,G1)</f>
        <v>33</v>
      </c>
      <c r="H5" s="13">
        <f>COUNTIFS('物赋排 '!$AA:$AA,"&lt;=4000",'物赋排 '!$B:$B,H1)</f>
        <v>18</v>
      </c>
      <c r="I5" s="13">
        <f>COUNTIFS('物赋排 '!$AA:$AA,"&lt;=4000",'物赋排 '!$B:$B,I1)</f>
        <v>10</v>
      </c>
      <c r="J5" s="13">
        <f>COUNTIFS('物赋排 '!$AA:$AA,"&lt;=4000",'物赋排 '!$B:$B,J1)</f>
        <v>34</v>
      </c>
      <c r="K5" s="13">
        <f>COUNTIFS('物赋排 '!$AA:$AA,"&lt;=4000",'物赋排 '!$B:$B,K1)</f>
        <v>54</v>
      </c>
      <c r="L5" s="13">
        <f>COUNTIFS('物赋排 '!$AA:$AA,"&lt;=4000",'物赋排 '!$B:$B,L1)</f>
        <v>56</v>
      </c>
      <c r="M5" s="13">
        <f>COUNTIFS('物赋排 '!$AA:$AA,"&lt;=4000",'物赋排 '!$B:$B,M1)</f>
        <v>31</v>
      </c>
      <c r="N5" s="13">
        <f>COUNTIFS('物赋排 '!$AA:$AA,"&lt;=4000",'物赋排 '!$B:$B,N1)</f>
        <v>22</v>
      </c>
      <c r="O5" s="13">
        <f>COUNTIFS('物赋排 '!$AA:$AA,"&lt;=4000",'物赋排 '!$B:$B,O1)</f>
        <v>26</v>
      </c>
      <c r="P5" s="13" t="s">
        <v>1903</v>
      </c>
      <c r="Q5" s="13">
        <f>COUNTIFS('史赋排 '!$AA:$AA,"&lt;=700",'史赋排 '!$B:$B,Q1)</f>
        <v>29</v>
      </c>
      <c r="R5" s="13">
        <f>COUNTIFS('史赋排 '!$AA:$AA,"&lt;=700",'史赋排 '!$B:$B,R1)</f>
        <v>29</v>
      </c>
      <c r="S5" s="13">
        <f>COUNTIFS('史赋排 '!$AA:$AA,"&lt;=700",'史赋排 '!$B:$B,S1)</f>
        <v>38</v>
      </c>
      <c r="T5" s="13">
        <f>COUNTIFS('史赋排 '!$AA:$AA,"&lt;=700",'史赋排 '!$B:$B,T1)</f>
        <v>31</v>
      </c>
      <c r="U5" s="13">
        <f>COUNTIFS('史赋排 '!$AA:$AA,"&lt;=700",'史赋排 '!$B:$B,U1)</f>
        <v>28</v>
      </c>
      <c r="W5" s="9">
        <v>4</v>
      </c>
      <c r="X5" s="9" t="s">
        <v>1742</v>
      </c>
      <c r="Y5" s="9">
        <f>COUNTIFS(赋分!$B:$B,W5,赋分!$O:$O,"&gt;=0")</f>
        <v>44</v>
      </c>
      <c r="Z5" s="9">
        <f>COUNTIFS(赋分!$B:$B,W5,赋分!$K:$K,"&gt;=0")</f>
        <v>44</v>
      </c>
      <c r="AA5" s="9">
        <f>COUNTIFS(赋分!$B:$B,W5,赋分!$L:$L,"&gt;=0")</f>
        <v>44</v>
      </c>
      <c r="AB5" s="9"/>
      <c r="AC5" s="9"/>
      <c r="AE5" s="13" t="s">
        <v>1901</v>
      </c>
      <c r="AF5" s="13" t="s">
        <v>1903</v>
      </c>
      <c r="AG5" s="13">
        <v>39</v>
      </c>
      <c r="AI5" s="13" t="s">
        <v>1901</v>
      </c>
      <c r="AJ5" s="13" t="s">
        <v>1903</v>
      </c>
      <c r="AK5" s="13">
        <v>33</v>
      </c>
      <c r="AM5" s="13" t="s">
        <v>1901</v>
      </c>
      <c r="AN5" s="13" t="s">
        <v>1902</v>
      </c>
      <c r="AO5" s="13">
        <v>54</v>
      </c>
      <c r="AP5" s="13">
        <v>57</v>
      </c>
    </row>
    <row r="6" spans="1:42">
      <c r="A6" s="130" t="s">
        <v>1904</v>
      </c>
      <c r="B6" s="130" t="s">
        <v>1905</v>
      </c>
      <c r="C6" s="130">
        <f>COUNTIFS('物赋排 '!$AA:$AA,"&lt;=9000",'物赋排 '!$B:$B,C1)</f>
        <v>61</v>
      </c>
      <c r="D6" s="130">
        <f>COUNTIFS('物赋排 '!$AA:$AA,"&lt;=9000",'物赋排 '!$B:$B,D1)</f>
        <v>46</v>
      </c>
      <c r="E6" s="130">
        <f>COUNTIFS('物赋排 '!$AA:$AA,"&lt;=9000",'物赋排 '!$B:$B,E1)</f>
        <v>46</v>
      </c>
      <c r="F6" s="130">
        <f>COUNTIFS('物赋排 '!$AA:$AA,"&lt;=9000",'物赋排 '!$B:$B,F1)</f>
        <v>42</v>
      </c>
      <c r="G6" s="130">
        <f>COUNTIFS('物赋排 '!$AA:$AA,"&lt;=9000",'物赋排 '!$B:$B,G1)</f>
        <v>46</v>
      </c>
      <c r="H6" s="130">
        <f>COUNTIFS('物赋排 '!$AA:$AA,"&lt;=9000",'物赋排 '!$B:$B,H1)</f>
        <v>37</v>
      </c>
      <c r="I6" s="130">
        <f>COUNTIFS('物赋排 '!$AA:$AA,"&lt;=9000",'物赋排 '!$B:$B,I1)</f>
        <v>37</v>
      </c>
      <c r="J6" s="130">
        <f>COUNTIFS('物赋排 '!$AA:$AA,"&lt;=9000",'物赋排 '!$B:$B,J1)</f>
        <v>54</v>
      </c>
      <c r="K6" s="130">
        <f>COUNTIFS('物赋排 '!$AA:$AA,"&lt;=9000",'物赋排 '!$B:$B,K1)</f>
        <v>54</v>
      </c>
      <c r="L6" s="130">
        <f>COUNTIFS('物赋排 '!$AA:$AA,"&lt;=9000",'物赋排 '!$B:$B,L1)</f>
        <v>57</v>
      </c>
      <c r="M6" s="130">
        <f>COUNTIFS('物赋排 '!$AA:$AA,"&lt;=9000",'物赋排 '!$B:$B,M1)</f>
        <v>52</v>
      </c>
      <c r="N6" s="130">
        <f>COUNTIFS('物赋排 '!$AA:$AA,"&lt;=9000",'物赋排 '!$B:$B,N1)</f>
        <v>48</v>
      </c>
      <c r="O6" s="130">
        <f>COUNTIFS('物赋排 '!$AA:$AA,"&lt;=9000",'物赋排 '!$B:$B,O1)</f>
        <v>53</v>
      </c>
      <c r="P6" s="130" t="s">
        <v>1906</v>
      </c>
      <c r="Q6" s="130">
        <f>COUNTIFS('史赋排 '!$AA:$AA,"&lt;=1500",'史赋排 '!$B:$B,Q1)</f>
        <v>39</v>
      </c>
      <c r="R6" s="130">
        <f>COUNTIFS('史赋排 '!$AA:$AA,"&lt;=1500",'史赋排 '!$B:$B,R1)</f>
        <v>42</v>
      </c>
      <c r="S6" s="130">
        <f>COUNTIFS('史赋排 '!$AA:$AA,"&lt;=1500",'史赋排 '!$B:$B,S1)</f>
        <v>38</v>
      </c>
      <c r="T6" s="130">
        <f>COUNTIFS('史赋排 '!$AA:$AA,"&lt;=1500",'史赋排 '!$B:$B,T1)</f>
        <v>42</v>
      </c>
      <c r="U6" s="130">
        <f>COUNTIFS('史赋排 '!$AA:$AA,"&lt;=1500",'史赋排 '!$B:$B,U1)</f>
        <v>39</v>
      </c>
      <c r="W6" s="9">
        <v>5</v>
      </c>
      <c r="X6" s="9" t="s">
        <v>1742</v>
      </c>
      <c r="Y6" s="9">
        <f>COUNTIFS(赋分!$B:$B,W6,赋分!$O:$O,"&gt;=0")</f>
        <v>47</v>
      </c>
      <c r="Z6" s="9">
        <f>COUNTIFS(赋分!$B:$B,W6,赋分!$K:$K,"&gt;=0")</f>
        <v>47</v>
      </c>
      <c r="AA6" s="9">
        <f>COUNTIFS(赋分!$B:$B,W6,赋分!$L:$L,"&gt;=0")</f>
        <v>47</v>
      </c>
      <c r="AB6" s="9"/>
      <c r="AC6" s="9"/>
      <c r="AE6" s="130" t="s">
        <v>1904</v>
      </c>
      <c r="AF6" s="130" t="s">
        <v>1906</v>
      </c>
      <c r="AG6" s="130">
        <v>39</v>
      </c>
      <c r="AI6" s="130" t="s">
        <v>1904</v>
      </c>
      <c r="AJ6" s="130" t="s">
        <v>1906</v>
      </c>
      <c r="AK6" s="137">
        <v>37</v>
      </c>
      <c r="AM6" s="130" t="s">
        <v>1904</v>
      </c>
      <c r="AN6" s="130" t="s">
        <v>1905</v>
      </c>
      <c r="AO6" s="130">
        <v>54</v>
      </c>
      <c r="AP6" s="130">
        <v>57</v>
      </c>
    </row>
    <row r="7" s="124" customFormat="1" spans="1:39">
      <c r="A7" s="125"/>
      <c r="W7" s="9">
        <v>6</v>
      </c>
      <c r="X7" s="34" t="s">
        <v>1743</v>
      </c>
      <c r="Y7" s="9">
        <f>COUNTIFS(赋分!$B:$B,W7,赋分!$O:$O,"&gt;=0")</f>
        <v>39</v>
      </c>
      <c r="Z7" s="9"/>
      <c r="AA7" s="9">
        <f>COUNTIFS(赋分!$B:$B,W7,赋分!$L:$L,"&gt;=0")</f>
        <v>39</v>
      </c>
      <c r="AB7" s="9"/>
      <c r="AC7" s="9">
        <f>COUNTIFS(赋分!$B:$B,W7,赋分!$N:$N,"&gt;=0")</f>
        <v>39</v>
      </c>
      <c r="AE7" s="125"/>
      <c r="AI7" s="125"/>
      <c r="AM7" s="125"/>
    </row>
    <row r="8" spans="1:47">
      <c r="A8" s="135" t="s">
        <v>5</v>
      </c>
      <c r="B8" s="136" t="s">
        <v>1</v>
      </c>
      <c r="C8" s="136">
        <v>1</v>
      </c>
      <c r="D8" s="136">
        <v>2</v>
      </c>
      <c r="E8" s="136">
        <v>3</v>
      </c>
      <c r="F8" s="136">
        <v>4</v>
      </c>
      <c r="G8" s="136">
        <v>5</v>
      </c>
      <c r="H8" s="136">
        <v>6</v>
      </c>
      <c r="I8" s="136">
        <v>7</v>
      </c>
      <c r="J8" s="136">
        <v>8</v>
      </c>
      <c r="K8" s="136">
        <v>9</v>
      </c>
      <c r="L8" s="136">
        <v>10</v>
      </c>
      <c r="M8" s="136">
        <v>11</v>
      </c>
      <c r="N8" s="136">
        <v>12</v>
      </c>
      <c r="O8" s="136">
        <v>13</v>
      </c>
      <c r="P8" s="136" t="s">
        <v>1</v>
      </c>
      <c r="Q8" s="136">
        <v>14</v>
      </c>
      <c r="R8" s="136">
        <v>15</v>
      </c>
      <c r="S8" s="136">
        <v>16</v>
      </c>
      <c r="T8" s="136">
        <v>17</v>
      </c>
      <c r="U8" s="136">
        <v>18</v>
      </c>
      <c r="W8" s="9">
        <v>7</v>
      </c>
      <c r="X8" s="9" t="s">
        <v>1743</v>
      </c>
      <c r="Y8" s="9">
        <f>COUNTIFS(赋分!$B:$B,W8,赋分!$O:$O,"&gt;=0")</f>
        <v>38</v>
      </c>
      <c r="Z8" s="9"/>
      <c r="AA8" s="9">
        <f>COUNTIFS(赋分!$B:$B,W8,赋分!$L:$L,"&gt;=0")</f>
        <v>38</v>
      </c>
      <c r="AB8" s="9"/>
      <c r="AC8" s="9">
        <f>COUNTIFS(赋分!$B:$B,W8,赋分!$N:$N,"&gt;=0")</f>
        <v>38</v>
      </c>
      <c r="AE8" s="135" t="s">
        <v>5</v>
      </c>
      <c r="AF8" s="136" t="s">
        <v>1</v>
      </c>
      <c r="AG8" s="136">
        <v>16</v>
      </c>
      <c r="AI8" s="135" t="s">
        <v>11</v>
      </c>
      <c r="AJ8" s="136" t="s">
        <v>1</v>
      </c>
      <c r="AK8" s="136">
        <v>16</v>
      </c>
      <c r="AM8" s="135" t="s">
        <v>5</v>
      </c>
      <c r="AN8" s="136" t="s">
        <v>1</v>
      </c>
      <c r="AO8" s="136">
        <v>9</v>
      </c>
      <c r="AP8" s="136">
        <v>10</v>
      </c>
      <c r="AR8" s="135" t="s">
        <v>1893</v>
      </c>
      <c r="AS8" s="136" t="s">
        <v>1</v>
      </c>
      <c r="AT8" s="136">
        <v>9</v>
      </c>
      <c r="AU8" s="136">
        <v>10</v>
      </c>
    </row>
    <row r="9" spans="1:47">
      <c r="A9" s="130" t="s">
        <v>1894</v>
      </c>
      <c r="B9" s="130" t="s">
        <v>1895</v>
      </c>
      <c r="C9" s="137">
        <f>COUNTIFS('物赋排 '!$G:$G,"&lt;=70",'物赋排 '!$B:$B,C8)</f>
        <v>0</v>
      </c>
      <c r="D9" s="137">
        <f>COUNTIFS('物赋排 '!$G:$G,"&lt;=70",'物赋排 '!$B:$B,D8)</f>
        <v>0</v>
      </c>
      <c r="E9" s="137">
        <f>COUNTIFS('物赋排 '!$G:$G,"&lt;=70",'物赋排 '!$B:$B,E8)</f>
        <v>0</v>
      </c>
      <c r="F9" s="137">
        <f>COUNTIFS('物赋排 '!$G:$G,"&lt;=70",'物赋排 '!$B:$B,F8)</f>
        <v>1</v>
      </c>
      <c r="G9" s="137">
        <f>COUNTIFS('物赋排 '!$G:$G,"&lt;=70",'物赋排 '!$B:$B,G8)</f>
        <v>0</v>
      </c>
      <c r="H9" s="137">
        <f>COUNTIFS('物赋排 '!$G:$G,"&lt;=70",'物赋排 '!$B:$B,H8)</f>
        <v>0</v>
      </c>
      <c r="I9" s="137">
        <f>COUNTIFS('物赋排 '!$G:$G,"&lt;=70",'物赋排 '!$B:$B,I8)</f>
        <v>0</v>
      </c>
      <c r="J9" s="137">
        <f>COUNTIFS('物赋排 '!$G:$G,"&lt;=70",'物赋排 '!$B:$B,J8)</f>
        <v>0</v>
      </c>
      <c r="K9" s="137">
        <f>COUNTIFS('物赋排 '!$G:$G,"&lt;=70",'物赋排 '!$B:$B,K8)</f>
        <v>3</v>
      </c>
      <c r="L9" s="137">
        <f>COUNTIFS('物赋排 '!$G:$G,"&lt;=70",'物赋排 '!$B:$B,L8)</f>
        <v>0</v>
      </c>
      <c r="M9" s="137">
        <f>COUNTIFS('物赋排 '!$G:$G,"&lt;=70",'物赋排 '!$B:$B,M8)</f>
        <v>1</v>
      </c>
      <c r="N9" s="137">
        <f>COUNTIFS('物赋排 '!$G:$G,"&lt;=70",'物赋排 '!$B:$B,N8)</f>
        <v>0</v>
      </c>
      <c r="O9" s="137">
        <f>COUNTIFS('物赋排 '!$G:$G,"&lt;=70",'物赋排 '!$B:$B,O8)</f>
        <v>0</v>
      </c>
      <c r="P9" s="130" t="s">
        <v>1896</v>
      </c>
      <c r="Q9" s="137">
        <f>COUNTIFS('史赋排 '!$G:$G,"&lt;=30",'史赋排 '!$B:$B,Q8)</f>
        <v>0</v>
      </c>
      <c r="R9" s="137">
        <f>COUNTIFS('史赋排 '!$G:$G,"&lt;=30",'史赋排 '!$B:$B,R8)</f>
        <v>0</v>
      </c>
      <c r="S9" s="137">
        <f>COUNTIFS('史赋排 '!$G:$G,"&lt;=30",'史赋排 '!$B:$B,S8)</f>
        <v>2</v>
      </c>
      <c r="T9" s="137">
        <f>COUNTIFS('史赋排 '!$G:$G,"&lt;=30",'史赋排 '!$B:$B,T8)</f>
        <v>1</v>
      </c>
      <c r="U9" s="137">
        <f>COUNTIFS('史赋排 '!$G:$G,"&lt;=30",'史赋排 '!$B:$B,U8)</f>
        <v>0</v>
      </c>
      <c r="W9" s="9">
        <v>8</v>
      </c>
      <c r="X9" s="9" t="s">
        <v>1744</v>
      </c>
      <c r="Y9" s="9">
        <f>COUNTIFS(赋分!$B:$B,W9,赋分!$O:$O,"&gt;=0")</f>
        <v>57</v>
      </c>
      <c r="Z9" s="9">
        <f>COUNTIFS(赋分!$B:$B,W9,赋分!$K:$K,"&gt;=0")</f>
        <v>57</v>
      </c>
      <c r="AA9" s="9"/>
      <c r="AB9" s="9"/>
      <c r="AC9" s="9">
        <f>COUNTIFS(赋分!$B:$B,W9,赋分!$N:$N,"&gt;=0")</f>
        <v>57</v>
      </c>
      <c r="AE9" s="130" t="s">
        <v>1894</v>
      </c>
      <c r="AF9" s="130" t="s">
        <v>1896</v>
      </c>
      <c r="AG9" s="137">
        <v>1</v>
      </c>
      <c r="AI9" s="130" t="s">
        <v>1894</v>
      </c>
      <c r="AJ9" s="130" t="s">
        <v>1907</v>
      </c>
      <c r="AK9" s="137">
        <v>1</v>
      </c>
      <c r="AM9" s="130" t="s">
        <v>1894</v>
      </c>
      <c r="AN9" s="130" t="s">
        <v>1895</v>
      </c>
      <c r="AO9" s="137">
        <v>0</v>
      </c>
      <c r="AP9" s="137">
        <v>0</v>
      </c>
      <c r="AR9" s="130" t="s">
        <v>1894</v>
      </c>
      <c r="AS9" s="130" t="s">
        <v>1895</v>
      </c>
      <c r="AT9" s="137">
        <v>3</v>
      </c>
      <c r="AU9" s="137">
        <v>1</v>
      </c>
    </row>
    <row r="10" spans="1:47">
      <c r="A10" s="13">
        <v>985</v>
      </c>
      <c r="B10" s="13" t="s">
        <v>1897</v>
      </c>
      <c r="C10" s="13">
        <f>COUNTIFS('物赋排 '!$G:$G,"&lt;=500",'物赋排 '!$B:$B,C8)</f>
        <v>7</v>
      </c>
      <c r="D10" s="13">
        <f>COUNTIFS('物赋排 '!$G:$G,"&lt;=500",'物赋排 '!$B:$B,D8)</f>
        <v>2</v>
      </c>
      <c r="E10" s="13">
        <f>COUNTIFS('物赋排 '!$G:$G,"&lt;=500",'物赋排 '!$B:$B,E8)</f>
        <v>1</v>
      </c>
      <c r="F10" s="13">
        <f>COUNTIFS('物赋排 '!$G:$G,"&lt;=500",'物赋排 '!$B:$B,F8)</f>
        <v>1</v>
      </c>
      <c r="G10" s="13">
        <f>COUNTIFS('物赋排 '!$G:$G,"&lt;=500",'物赋排 '!$B:$B,G8)</f>
        <v>0</v>
      </c>
      <c r="H10" s="13">
        <f>COUNTIFS('物赋排 '!$G:$G,"&lt;=500",'物赋排 '!$B:$B,H8)</f>
        <v>0</v>
      </c>
      <c r="I10" s="13">
        <f>COUNTIFS('物赋排 '!$G:$G,"&lt;=500",'物赋排 '!$B:$B,I8)</f>
        <v>0</v>
      </c>
      <c r="J10" s="13">
        <f>COUNTIFS('物赋排 '!$G:$G,"&lt;=500",'物赋排 '!$B:$B,J8)</f>
        <v>3</v>
      </c>
      <c r="K10" s="13">
        <f>COUNTIFS('物赋排 '!$G:$G,"&lt;=500",'物赋排 '!$B:$B,K8)</f>
        <v>8</v>
      </c>
      <c r="L10" s="13">
        <f>COUNTIFS('物赋排 '!$G:$G,"&lt;=500",'物赋排 '!$B:$B,L8)</f>
        <v>6</v>
      </c>
      <c r="M10" s="13">
        <f>COUNTIFS('物赋排 '!$G:$G,"&lt;=500",'物赋排 '!$B:$B,M8)</f>
        <v>1</v>
      </c>
      <c r="N10" s="13">
        <f>COUNTIFS('物赋排 '!$G:$G,"&lt;=500",'物赋排 '!$B:$B,N8)</f>
        <v>1</v>
      </c>
      <c r="O10" s="13">
        <f>COUNTIFS('物赋排 '!$G:$G,"&lt;=500",'物赋排 '!$B:$B,O8)</f>
        <v>3</v>
      </c>
      <c r="P10" s="13" t="s">
        <v>1898</v>
      </c>
      <c r="Q10" s="13">
        <f>COUNTIFS('史赋排 '!$G:$G,"&lt;=100",'史赋排 '!$B:$B,Q8)</f>
        <v>1</v>
      </c>
      <c r="R10" s="13">
        <f>COUNTIFS('史赋排 '!$G:$G,"&lt;=100",'史赋排 '!$B:$B,R8)</f>
        <v>2</v>
      </c>
      <c r="S10" s="13">
        <f>COUNTIFS('史赋排 '!$G:$G,"&lt;=100",'史赋排 '!$B:$B,S8)</f>
        <v>8</v>
      </c>
      <c r="T10" s="13">
        <f>COUNTIFS('史赋排 '!$G:$G,"&lt;=100",'史赋排 '!$B:$B,T8)</f>
        <v>5</v>
      </c>
      <c r="U10" s="13">
        <f>COUNTIFS('史赋排 '!$G:$G,"&lt;=100",'史赋排 '!$B:$B,U8)</f>
        <v>1</v>
      </c>
      <c r="W10" s="9">
        <v>9</v>
      </c>
      <c r="X10" s="9" t="s">
        <v>1744</v>
      </c>
      <c r="Y10" s="9">
        <f>COUNTIFS(赋分!$B:$B,W10,赋分!$O:$O,"&gt;=0")</f>
        <v>54</v>
      </c>
      <c r="Z10" s="9">
        <f>COUNTIFS(赋分!$B:$B,W10,赋分!$K:$K,"&gt;=0")</f>
        <v>54</v>
      </c>
      <c r="AA10" s="9"/>
      <c r="AB10" s="9"/>
      <c r="AC10" s="9">
        <f>COUNTIFS(赋分!$B:$B,W10,赋分!$N:$N,"&gt;=0")</f>
        <v>54</v>
      </c>
      <c r="AE10" s="13">
        <v>985</v>
      </c>
      <c r="AF10" s="13" t="s">
        <v>1898</v>
      </c>
      <c r="AG10" s="13">
        <v>5</v>
      </c>
      <c r="AI10" s="13">
        <v>985</v>
      </c>
      <c r="AJ10" s="13" t="s">
        <v>1908</v>
      </c>
      <c r="AK10" s="13">
        <v>3</v>
      </c>
      <c r="AM10" s="13">
        <v>985</v>
      </c>
      <c r="AN10" s="13" t="s">
        <v>1897</v>
      </c>
      <c r="AO10" s="13">
        <v>7</v>
      </c>
      <c r="AP10" s="13">
        <v>7</v>
      </c>
      <c r="AR10" s="13">
        <v>985</v>
      </c>
      <c r="AS10" s="13" t="s">
        <v>1897</v>
      </c>
      <c r="AT10" s="13">
        <v>18</v>
      </c>
      <c r="AU10" s="13">
        <v>11</v>
      </c>
    </row>
    <row r="11" spans="1:47">
      <c r="A11" s="130">
        <v>211</v>
      </c>
      <c r="B11" s="130" t="s">
        <v>1899</v>
      </c>
      <c r="C11" s="137">
        <f>COUNTIFS('物赋排 '!$G:$G,"&lt;=1300",'物赋排 '!$B:$B,C8)</f>
        <v>13</v>
      </c>
      <c r="D11" s="137">
        <f>COUNTIFS('物赋排 '!$G:$G,"&lt;=1300",'物赋排 '!$B:$B,D8)</f>
        <v>6</v>
      </c>
      <c r="E11" s="137">
        <f>COUNTIFS('物赋排 '!$G:$G,"&lt;=1300",'物赋排 '!$B:$B,E8)</f>
        <v>2</v>
      </c>
      <c r="F11" s="137">
        <f>COUNTIFS('物赋排 '!$G:$G,"&lt;=1300",'物赋排 '!$B:$B,F8)</f>
        <v>8</v>
      </c>
      <c r="G11" s="137">
        <f>COUNTIFS('物赋排 '!$G:$G,"&lt;=1300",'物赋排 '!$B:$B,G8)</f>
        <v>4</v>
      </c>
      <c r="H11" s="137">
        <f>COUNTIFS('物赋排 '!$G:$G,"&lt;=1300",'物赋排 '!$B:$B,H8)</f>
        <v>5</v>
      </c>
      <c r="I11" s="137">
        <f>COUNTIFS('物赋排 '!$G:$G,"&lt;=1300",'物赋排 '!$B:$B,I8)</f>
        <v>5</v>
      </c>
      <c r="J11" s="137">
        <f>COUNTIFS('物赋排 '!$G:$G,"&lt;=1300",'物赋排 '!$B:$B,J8)</f>
        <v>12</v>
      </c>
      <c r="K11" s="137">
        <f>COUNTIFS('物赋排 '!$G:$G,"&lt;=1300",'物赋排 '!$B:$B,K8)</f>
        <v>18</v>
      </c>
      <c r="L11" s="137">
        <f>COUNTIFS('物赋排 '!$G:$G,"&lt;=1300",'物赋排 '!$B:$B,L8)</f>
        <v>19</v>
      </c>
      <c r="M11" s="137">
        <f>COUNTIFS('物赋排 '!$G:$G,"&lt;=1300",'物赋排 '!$B:$B,M8)</f>
        <v>5</v>
      </c>
      <c r="N11" s="137">
        <f>COUNTIFS('物赋排 '!$G:$G,"&lt;=1300",'物赋排 '!$B:$B,N8)</f>
        <v>3</v>
      </c>
      <c r="O11" s="137">
        <f>COUNTIFS('物赋排 '!$G:$G,"&lt;=1300",'物赋排 '!$B:$B,O8)</f>
        <v>5</v>
      </c>
      <c r="P11" s="130" t="s">
        <v>1900</v>
      </c>
      <c r="Q11" s="137">
        <f>COUNTIFS('史赋排 '!$G:$G,"&lt;=200",'史赋排 '!$B:$B,Q8)</f>
        <v>2</v>
      </c>
      <c r="R11" s="137">
        <f>COUNTIFS('史赋排 '!$G:$G,"&lt;=200",'史赋排 '!$B:$B,R8)</f>
        <v>4</v>
      </c>
      <c r="S11" s="137">
        <f>COUNTIFS('史赋排 '!$G:$G,"&lt;=200",'史赋排 '!$B:$B,S8)</f>
        <v>12</v>
      </c>
      <c r="T11" s="137">
        <f>COUNTIFS('史赋排 '!$G:$G,"&lt;=200",'史赋排 '!$B:$B,T8)</f>
        <v>7</v>
      </c>
      <c r="U11" s="137">
        <f>COUNTIFS('史赋排 '!$G:$G,"&lt;=200",'史赋排 '!$B:$B,U8)</f>
        <v>4</v>
      </c>
      <c r="W11" s="9">
        <v>10</v>
      </c>
      <c r="X11" s="9" t="s">
        <v>1744</v>
      </c>
      <c r="Y11" s="9">
        <f>COUNTIFS(赋分!$B:$B,W11,赋分!$O:$O,"&gt;=0")</f>
        <v>57</v>
      </c>
      <c r="Z11" s="9">
        <f>COUNTIFS(赋分!$B:$B,W11,赋分!$K:$K,"&gt;=0")</f>
        <v>57</v>
      </c>
      <c r="AA11" s="9"/>
      <c r="AB11" s="9"/>
      <c r="AC11" s="9">
        <f>COUNTIFS(赋分!$B:$B,W11,赋分!$N:$N,"&gt;=0")</f>
        <v>57</v>
      </c>
      <c r="AE11" s="130">
        <v>211</v>
      </c>
      <c r="AF11" s="130" t="s">
        <v>1900</v>
      </c>
      <c r="AG11" s="137">
        <v>13</v>
      </c>
      <c r="AI11" s="130">
        <v>211</v>
      </c>
      <c r="AJ11" s="130" t="s">
        <v>1898</v>
      </c>
      <c r="AK11" s="137">
        <v>6</v>
      </c>
      <c r="AM11" s="130">
        <v>211</v>
      </c>
      <c r="AN11" s="130" t="s">
        <v>1899</v>
      </c>
      <c r="AO11" s="137">
        <v>19</v>
      </c>
      <c r="AP11" s="137">
        <v>19</v>
      </c>
      <c r="AR11" s="130">
        <v>211</v>
      </c>
      <c r="AS11" s="130" t="s">
        <v>1899</v>
      </c>
      <c r="AT11" s="137">
        <v>40</v>
      </c>
      <c r="AU11" s="137">
        <v>22</v>
      </c>
    </row>
    <row r="12" spans="1:47">
      <c r="A12" s="13" t="s">
        <v>1901</v>
      </c>
      <c r="B12" s="13" t="s">
        <v>1902</v>
      </c>
      <c r="C12" s="13">
        <f>COUNTIFS('物赋排 '!$G:$G,"&lt;=4000",'物赋排 '!$B:$B,C8)</f>
        <v>34</v>
      </c>
      <c r="D12" s="13">
        <f>COUNTIFS('物赋排 '!$G:$G,"&lt;=4000",'物赋排 '!$B:$B,D8)</f>
        <v>24</v>
      </c>
      <c r="E12" s="13">
        <f>COUNTIFS('物赋排 '!$G:$G,"&lt;=4000",'物赋排 '!$B:$B,E8)</f>
        <v>13</v>
      </c>
      <c r="F12" s="13">
        <f>COUNTIFS('物赋排 '!$G:$G,"&lt;=4000",'物赋排 '!$B:$B,F8)</f>
        <v>19</v>
      </c>
      <c r="G12" s="13">
        <f>COUNTIFS('物赋排 '!$G:$G,"&lt;=4000",'物赋排 '!$B:$B,G8)</f>
        <v>19</v>
      </c>
      <c r="H12" s="13">
        <f>COUNTIFS('物赋排 '!$G:$G,"&lt;=4000",'物赋排 '!$B:$B,H8)</f>
        <v>17</v>
      </c>
      <c r="I12" s="13">
        <f>COUNTIFS('物赋排 '!$G:$G,"&lt;=4000",'物赋排 '!$B:$B,I8)</f>
        <v>16</v>
      </c>
      <c r="J12" s="13">
        <f>COUNTIFS('物赋排 '!$G:$G,"&lt;=4000",'物赋排 '!$B:$B,J8)</f>
        <v>33</v>
      </c>
      <c r="K12" s="13">
        <f>COUNTIFS('物赋排 '!$G:$G,"&lt;=4000",'物赋排 '!$B:$B,K8)</f>
        <v>41</v>
      </c>
      <c r="L12" s="13">
        <f>COUNTIFS('物赋排 '!$G:$G,"&lt;=4000",'物赋排 '!$B:$B,L8)</f>
        <v>40</v>
      </c>
      <c r="M12" s="13">
        <f>COUNTIFS('物赋排 '!$G:$G,"&lt;=4000",'物赋排 '!$B:$B,M8)</f>
        <v>21</v>
      </c>
      <c r="N12" s="13">
        <f>COUNTIFS('物赋排 '!$G:$G,"&lt;=4000",'物赋排 '!$B:$B,N8)</f>
        <v>22</v>
      </c>
      <c r="O12" s="13">
        <f>COUNTIFS('物赋排 '!$G:$G,"&lt;=4000",'物赋排 '!$B:$B,O8)</f>
        <v>22</v>
      </c>
      <c r="P12" s="13" t="s">
        <v>1903</v>
      </c>
      <c r="Q12" s="13">
        <f>COUNTIFS('史赋排 '!$G:$G,"&lt;=700",'史赋排 '!$B:$B,Q8)</f>
        <v>17</v>
      </c>
      <c r="R12" s="13">
        <f>COUNTIFS('史赋排 '!$G:$G,"&lt;=700",'史赋排 '!$B:$B,R8)</f>
        <v>13</v>
      </c>
      <c r="S12" s="13">
        <f>COUNTIFS('史赋排 '!$G:$G,"&lt;=700",'史赋排 '!$B:$B,S8)</f>
        <v>30</v>
      </c>
      <c r="T12" s="13">
        <f>COUNTIFS('史赋排 '!$G:$G,"&lt;=700",'史赋排 '!$B:$B,T8)</f>
        <v>22</v>
      </c>
      <c r="U12" s="13">
        <f>COUNTIFS('史赋排 '!$G:$G,"&lt;=700",'史赋排 '!$B:$B,U8)</f>
        <v>21</v>
      </c>
      <c r="W12" s="9">
        <v>11</v>
      </c>
      <c r="X12" s="9" t="s">
        <v>1744</v>
      </c>
      <c r="Y12" s="9">
        <f>COUNTIFS(赋分!$B:$B,W12,赋分!$O:$O,"&gt;=0")</f>
        <v>57</v>
      </c>
      <c r="Z12" s="9">
        <f>COUNTIFS(赋分!$B:$B,W12,赋分!$K:$K,"&gt;=0")</f>
        <v>57</v>
      </c>
      <c r="AA12" s="9"/>
      <c r="AB12" s="9"/>
      <c r="AC12" s="9">
        <f>COUNTIFS(赋分!$B:$B,W12,赋分!$N:$N,"&gt;=0")</f>
        <v>57</v>
      </c>
      <c r="AE12" s="13" t="s">
        <v>1901</v>
      </c>
      <c r="AF12" s="13" t="s">
        <v>1903</v>
      </c>
      <c r="AG12" s="13">
        <v>31</v>
      </c>
      <c r="AI12" s="13" t="s">
        <v>1901</v>
      </c>
      <c r="AJ12" s="13" t="s">
        <v>1909</v>
      </c>
      <c r="AK12" s="13">
        <v>14</v>
      </c>
      <c r="AM12" s="13" t="s">
        <v>1901</v>
      </c>
      <c r="AN12" s="13" t="s">
        <v>1902</v>
      </c>
      <c r="AO12" s="13">
        <v>44</v>
      </c>
      <c r="AP12" s="13">
        <v>43</v>
      </c>
      <c r="AR12" s="13" t="s">
        <v>1901</v>
      </c>
      <c r="AS12" s="13" t="s">
        <v>1902</v>
      </c>
      <c r="AT12" s="13">
        <v>52</v>
      </c>
      <c r="AU12" s="13">
        <v>44</v>
      </c>
    </row>
    <row r="13" spans="1:47">
      <c r="A13" s="130" t="s">
        <v>1904</v>
      </c>
      <c r="B13" s="130" t="s">
        <v>1905</v>
      </c>
      <c r="C13" s="137">
        <f>COUNTIFS('物赋排 '!$G:$G,"&lt;=9000",'物赋排 '!$B:$B,C8)</f>
        <v>56</v>
      </c>
      <c r="D13" s="137">
        <f>COUNTIFS('物赋排 '!$G:$G,"&lt;=9000",'物赋排 '!$B:$B,D8)</f>
        <v>46</v>
      </c>
      <c r="E13" s="137">
        <f>COUNTIFS('物赋排 '!$G:$G,"&lt;=9000",'物赋排 '!$B:$B,E8)</f>
        <v>41</v>
      </c>
      <c r="F13" s="137">
        <f>COUNTIFS('物赋排 '!$G:$G,"&lt;=9000",'物赋排 '!$B:$B,F8)</f>
        <v>32</v>
      </c>
      <c r="G13" s="137">
        <f>COUNTIFS('物赋排 '!$G:$G,"&lt;=9000",'物赋排 '!$B:$B,G8)</f>
        <v>40</v>
      </c>
      <c r="H13" s="137">
        <f>COUNTIFS('物赋排 '!$G:$G,"&lt;=9000",'物赋排 '!$B:$B,H8)</f>
        <v>32</v>
      </c>
      <c r="I13" s="137">
        <f>COUNTIFS('物赋排 '!$G:$G,"&lt;=9000",'物赋排 '!$B:$B,I8)</f>
        <v>32</v>
      </c>
      <c r="J13" s="137">
        <f>COUNTIFS('物赋排 '!$G:$G,"&lt;=9000",'物赋排 '!$B:$B,J8)</f>
        <v>49</v>
      </c>
      <c r="K13" s="137">
        <f>COUNTIFS('物赋排 '!$G:$G,"&lt;=9000",'物赋排 '!$B:$B,K8)</f>
        <v>54</v>
      </c>
      <c r="L13" s="137">
        <f>COUNTIFS('物赋排 '!$G:$G,"&lt;=9000",'物赋排 '!$B:$B,L8)</f>
        <v>56</v>
      </c>
      <c r="M13" s="137">
        <f>COUNTIFS('物赋排 '!$G:$G,"&lt;=9000",'物赋排 '!$B:$B,M8)</f>
        <v>50</v>
      </c>
      <c r="N13" s="137">
        <f>COUNTIFS('物赋排 '!$G:$G,"&lt;=9000",'物赋排 '!$B:$B,N8)</f>
        <v>44</v>
      </c>
      <c r="O13" s="137">
        <f>COUNTIFS('物赋排 '!$G:$G,"&lt;=9000",'物赋排 '!$B:$B,O8)</f>
        <v>48</v>
      </c>
      <c r="P13" s="130" t="s">
        <v>1906</v>
      </c>
      <c r="Q13" s="137">
        <f>COUNTIFS('史赋排 '!$G:$G,"&lt;=1500",'史赋排 '!$B:$B,Q8)</f>
        <v>30</v>
      </c>
      <c r="R13" s="137">
        <f>COUNTIFS('史赋排 '!$G:$G,"&lt;=1500",'史赋排 '!$B:$B,R8)</f>
        <v>31</v>
      </c>
      <c r="S13" s="137">
        <f>COUNTIFS('史赋排 '!$G:$G,"&lt;=1500",'史赋排 '!$B:$B,S8)</f>
        <v>37</v>
      </c>
      <c r="T13" s="137">
        <f>COUNTIFS('史赋排 '!$G:$G,"&lt;=1500",'史赋排 '!$B:$B,T8)</f>
        <v>35</v>
      </c>
      <c r="U13" s="137">
        <f>COUNTIFS('史赋排 '!$G:$G,"&lt;=1500",'史赋排 '!$B:$B,U8)</f>
        <v>40</v>
      </c>
      <c r="W13" s="9">
        <v>12</v>
      </c>
      <c r="X13" s="9" t="s">
        <v>1744</v>
      </c>
      <c r="Y13" s="9">
        <f>COUNTIFS(赋分!$B:$B,W13,赋分!$O:$O,"&gt;=0")</f>
        <v>56</v>
      </c>
      <c r="Z13" s="9">
        <f>COUNTIFS(赋分!$B:$B,W13,赋分!$K:$K,"&gt;=0")</f>
        <v>56</v>
      </c>
      <c r="AA13" s="9"/>
      <c r="AB13" s="9"/>
      <c r="AC13" s="9">
        <f>COUNTIFS(赋分!$B:$B,W13,赋分!$N:$N,"&gt;=0")</f>
        <v>56</v>
      </c>
      <c r="AE13" s="130" t="s">
        <v>1904</v>
      </c>
      <c r="AF13" s="130" t="s">
        <v>1906</v>
      </c>
      <c r="AG13" s="137">
        <v>36</v>
      </c>
      <c r="AI13" s="130" t="s">
        <v>1904</v>
      </c>
      <c r="AJ13" s="130" t="s">
        <v>1910</v>
      </c>
      <c r="AK13" s="137">
        <v>15</v>
      </c>
      <c r="AM13" s="130" t="s">
        <v>1904</v>
      </c>
      <c r="AN13" s="130" t="s">
        <v>1905</v>
      </c>
      <c r="AO13" s="137">
        <v>52</v>
      </c>
      <c r="AP13" s="137">
        <v>56</v>
      </c>
      <c r="AR13" s="130" t="s">
        <v>1904</v>
      </c>
      <c r="AS13" s="130" t="s">
        <v>1905</v>
      </c>
      <c r="AT13" s="137">
        <v>54</v>
      </c>
      <c r="AU13" s="137">
        <v>57</v>
      </c>
    </row>
    <row r="14" s="124" customFormat="1" spans="1:44">
      <c r="A14" s="125"/>
      <c r="W14" s="9">
        <v>13</v>
      </c>
      <c r="X14" s="9" t="s">
        <v>1744</v>
      </c>
      <c r="Y14" s="9">
        <f>COUNTIFS(赋分!$B:$B,W14,赋分!$O:$O,"&gt;=0")</f>
        <v>54</v>
      </c>
      <c r="Z14" s="9">
        <f>COUNTIFS(赋分!$B:$B,W14,赋分!$K:$K,"&gt;=0")</f>
        <v>54</v>
      </c>
      <c r="AA14" s="9"/>
      <c r="AB14" s="9"/>
      <c r="AC14" s="9">
        <f>COUNTIFS(赋分!$B:$B,W14,赋分!$N:$N,"&gt;=0")</f>
        <v>54</v>
      </c>
      <c r="AE14" s="125"/>
      <c r="AI14" s="125"/>
      <c r="AM14" s="125"/>
      <c r="AR14" s="125"/>
    </row>
    <row r="15" spans="1:47">
      <c r="A15" s="135" t="s">
        <v>6</v>
      </c>
      <c r="B15" s="136" t="s">
        <v>1</v>
      </c>
      <c r="C15" s="136">
        <v>1</v>
      </c>
      <c r="D15" s="136">
        <v>2</v>
      </c>
      <c r="E15" s="136">
        <v>3</v>
      </c>
      <c r="F15" s="136">
        <v>4</v>
      </c>
      <c r="G15" s="136">
        <v>5</v>
      </c>
      <c r="H15" s="136">
        <v>6</v>
      </c>
      <c r="I15" s="136">
        <v>7</v>
      </c>
      <c r="J15" s="136">
        <v>8</v>
      </c>
      <c r="K15" s="136">
        <v>9</v>
      </c>
      <c r="L15" s="136">
        <v>10</v>
      </c>
      <c r="M15" s="136">
        <v>11</v>
      </c>
      <c r="N15" s="136">
        <v>12</v>
      </c>
      <c r="O15" s="136">
        <v>13</v>
      </c>
      <c r="P15" s="136" t="s">
        <v>1</v>
      </c>
      <c r="Q15" s="136">
        <v>14</v>
      </c>
      <c r="R15" s="136">
        <v>15</v>
      </c>
      <c r="S15" s="136">
        <v>16</v>
      </c>
      <c r="T15" s="136">
        <v>17</v>
      </c>
      <c r="U15" s="136">
        <v>18</v>
      </c>
      <c r="W15" s="9">
        <v>14</v>
      </c>
      <c r="X15" s="9" t="s">
        <v>1745</v>
      </c>
      <c r="Y15" s="9">
        <f>COUNTIFS(赋分!$B:$B,W15,赋分!$O:$O,"&gt;=0")</f>
        <v>40</v>
      </c>
      <c r="Z15" s="9"/>
      <c r="AA15" s="9"/>
      <c r="AB15" s="9">
        <f>COUNTIFS(赋分!$B:$B,W15,赋分!$M:$M,"&gt;=0")</f>
        <v>40</v>
      </c>
      <c r="AC15" s="9">
        <f>COUNTIFS(赋分!$B:$B,W15,赋分!$N:$N,"&gt;=0")</f>
        <v>40</v>
      </c>
      <c r="AE15" s="135" t="s">
        <v>6</v>
      </c>
      <c r="AF15" s="136" t="s">
        <v>1</v>
      </c>
      <c r="AG15" s="136">
        <v>16</v>
      </c>
      <c r="AI15" s="135" t="s">
        <v>12</v>
      </c>
      <c r="AJ15" s="136" t="s">
        <v>1</v>
      </c>
      <c r="AK15" s="136">
        <v>16</v>
      </c>
      <c r="AM15" s="135" t="s">
        <v>6</v>
      </c>
      <c r="AN15" s="136" t="s">
        <v>1</v>
      </c>
      <c r="AO15" s="136">
        <v>9</v>
      </c>
      <c r="AP15" s="136">
        <v>10</v>
      </c>
      <c r="AR15" s="135" t="s">
        <v>10</v>
      </c>
      <c r="AS15" s="136" t="s">
        <v>1</v>
      </c>
      <c r="AT15" s="136">
        <v>9</v>
      </c>
      <c r="AU15" s="136">
        <v>10</v>
      </c>
    </row>
    <row r="16" spans="1:47">
      <c r="A16" s="130" t="s">
        <v>1894</v>
      </c>
      <c r="B16" s="130" t="s">
        <v>1895</v>
      </c>
      <c r="C16" s="137">
        <f>COUNTIFS('物赋排 '!$I:$I,"&lt;=70",'物赋排 '!$B:$B,C15)</f>
        <v>0</v>
      </c>
      <c r="D16" s="137">
        <f>COUNTIFS('物赋排 '!$I:$I,"&lt;=70",'物赋排 '!$B:$B,D15)</f>
        <v>0</v>
      </c>
      <c r="E16" s="137">
        <f>COUNTIFS('物赋排 '!$I:$I,"&lt;=70",'物赋排 '!$B:$B,E15)</f>
        <v>1</v>
      </c>
      <c r="F16" s="137">
        <f>COUNTIFS('物赋排 '!$I:$I,"&lt;=70",'物赋排 '!$B:$B,F15)</f>
        <v>0</v>
      </c>
      <c r="G16" s="137">
        <f>COUNTIFS('物赋排 '!$I:$I,"&lt;=70",'物赋排 '!$B:$B,G15)</f>
        <v>0</v>
      </c>
      <c r="H16" s="137">
        <f>COUNTIFS('物赋排 '!$I:$I,"&lt;=70",'物赋排 '!$B:$B,H15)</f>
        <v>0</v>
      </c>
      <c r="I16" s="137">
        <f>COUNTIFS('物赋排 '!$I:$I,"&lt;=70",'物赋排 '!$B:$B,I15)</f>
        <v>0</v>
      </c>
      <c r="J16" s="137">
        <f>COUNTIFS('物赋排 '!$I:$I,"&lt;=70",'物赋排 '!$B:$B,J15)</f>
        <v>0</v>
      </c>
      <c r="K16" s="137">
        <f>COUNTIFS('物赋排 '!$I:$I,"&lt;=70",'物赋排 '!$B:$B,K15)</f>
        <v>3</v>
      </c>
      <c r="L16" s="137">
        <f>COUNTIFS('物赋排 '!$I:$I,"&lt;=70",'物赋排 '!$B:$B,L15)</f>
        <v>1</v>
      </c>
      <c r="M16" s="137">
        <f>COUNTIFS('物赋排 '!$I:$I,"&lt;=70",'物赋排 '!$B:$B,M15)</f>
        <v>0</v>
      </c>
      <c r="N16" s="137">
        <f>COUNTIFS('物赋排 '!$I:$I,"&lt;=70",'物赋排 '!$B:$B,N15)</f>
        <v>0</v>
      </c>
      <c r="O16" s="137">
        <f>COUNTIFS('物赋排 '!$I:$I,"&lt;=70",'物赋排 '!$B:$B,O15)</f>
        <v>1</v>
      </c>
      <c r="P16" s="130" t="s">
        <v>1896</v>
      </c>
      <c r="Q16" s="137">
        <f>COUNTIFS('史赋排 '!$I:$I,"&lt;=30",'史赋排 '!$B:$B,Q15)</f>
        <v>0</v>
      </c>
      <c r="R16" s="137">
        <f>COUNTIFS('史赋排 '!$I:$I,"&lt;=30",'史赋排 '!$B:$B,R15)</f>
        <v>0</v>
      </c>
      <c r="S16" s="137">
        <f>COUNTIFS('史赋排 '!$I:$I,"&lt;=30",'史赋排 '!$B:$B,S15)</f>
        <v>5</v>
      </c>
      <c r="T16" s="137">
        <f>COUNTIFS('史赋排 '!$I:$I,"&lt;=30",'史赋排 '!$B:$B,T15)</f>
        <v>0</v>
      </c>
      <c r="U16" s="137">
        <f>COUNTIFS('史赋排 '!$I:$I,"&lt;=30",'史赋排 '!$B:$B,U15)</f>
        <v>0</v>
      </c>
      <c r="W16" s="9">
        <v>15</v>
      </c>
      <c r="X16" s="9" t="s">
        <v>1745</v>
      </c>
      <c r="Y16" s="9">
        <f>COUNTIFS(赋分!$B:$B,W16,赋分!$O:$O,"&gt;=0")</f>
        <v>42</v>
      </c>
      <c r="Z16" s="9"/>
      <c r="AA16" s="9"/>
      <c r="AB16" s="9">
        <f>COUNTIFS(赋分!$B:$B,W16,赋分!$M:$M,"&gt;=0")</f>
        <v>42</v>
      </c>
      <c r="AC16" s="9">
        <f>COUNTIFS(赋分!$B:$B,W16,赋分!$N:$N,"&gt;=0")</f>
        <v>42</v>
      </c>
      <c r="AE16" s="130" t="s">
        <v>1894</v>
      </c>
      <c r="AF16" s="130" t="s">
        <v>1896</v>
      </c>
      <c r="AG16" s="137">
        <v>4</v>
      </c>
      <c r="AI16" s="130" t="s">
        <v>1894</v>
      </c>
      <c r="AJ16" s="130" t="s">
        <v>1896</v>
      </c>
      <c r="AK16" s="137">
        <v>3</v>
      </c>
      <c r="AM16" s="130" t="s">
        <v>1894</v>
      </c>
      <c r="AN16" s="130" t="s">
        <v>1895</v>
      </c>
      <c r="AO16" s="137">
        <v>2</v>
      </c>
      <c r="AP16" s="137">
        <v>2</v>
      </c>
      <c r="AR16" s="130" t="s">
        <v>1894</v>
      </c>
      <c r="AS16" s="130" t="s">
        <v>1911</v>
      </c>
      <c r="AT16" s="137">
        <v>1</v>
      </c>
      <c r="AU16" s="137">
        <v>0</v>
      </c>
    </row>
    <row r="17" spans="1:47">
      <c r="A17" s="13">
        <v>985</v>
      </c>
      <c r="B17" s="13" t="s">
        <v>1897</v>
      </c>
      <c r="C17" s="13">
        <f>COUNTIFS('物赋排 '!$I:$I,"&lt;=500",'物赋排 '!$B:$B,C15)</f>
        <v>2</v>
      </c>
      <c r="D17" s="13">
        <f>COUNTIFS('物赋排 '!$I:$I,"&lt;=500",'物赋排 '!$B:$B,D15)</f>
        <v>0</v>
      </c>
      <c r="E17" s="13">
        <f>COUNTIFS('物赋排 '!$I:$I,"&lt;=500",'物赋排 '!$B:$B,E15)</f>
        <v>3</v>
      </c>
      <c r="F17" s="13">
        <f>COUNTIFS('物赋排 '!$I:$I,"&lt;=500",'物赋排 '!$B:$B,F15)</f>
        <v>0</v>
      </c>
      <c r="G17" s="13">
        <f>COUNTIFS('物赋排 '!$I:$I,"&lt;=500",'物赋排 '!$B:$B,G15)</f>
        <v>2</v>
      </c>
      <c r="H17" s="13">
        <f>COUNTIFS('物赋排 '!$I:$I,"&lt;=500",'物赋排 '!$B:$B,H15)</f>
        <v>1</v>
      </c>
      <c r="I17" s="13">
        <f>COUNTIFS('物赋排 '!$I:$I,"&lt;=500",'物赋排 '!$B:$B,I15)</f>
        <v>0</v>
      </c>
      <c r="J17" s="13">
        <f>COUNTIFS('物赋排 '!$I:$I,"&lt;=500",'物赋排 '!$B:$B,J15)</f>
        <v>3</v>
      </c>
      <c r="K17" s="13">
        <f>COUNTIFS('物赋排 '!$I:$I,"&lt;=500",'物赋排 '!$B:$B,K15)</f>
        <v>27</v>
      </c>
      <c r="L17" s="13">
        <f>COUNTIFS('物赋排 '!$I:$I,"&lt;=500",'物赋排 '!$B:$B,L15)</f>
        <v>2</v>
      </c>
      <c r="M17" s="13">
        <f>COUNTIFS('物赋排 '!$I:$I,"&lt;=500",'物赋排 '!$B:$B,M15)</f>
        <v>3</v>
      </c>
      <c r="N17" s="13">
        <f>COUNTIFS('物赋排 '!$I:$I,"&lt;=500",'物赋排 '!$B:$B,N15)</f>
        <v>0</v>
      </c>
      <c r="O17" s="13">
        <f>COUNTIFS('物赋排 '!$I:$I,"&lt;=500",'物赋排 '!$B:$B,O15)</f>
        <v>1</v>
      </c>
      <c r="P17" s="13" t="s">
        <v>1898</v>
      </c>
      <c r="Q17" s="13">
        <f>COUNTIFS('史赋排 '!$I:$I,"&lt;=100",'史赋排 '!$B:$B,Q15)</f>
        <v>3</v>
      </c>
      <c r="R17" s="13">
        <f>COUNTIFS('史赋排 '!$I:$I,"&lt;=100",'史赋排 '!$B:$B,R15)</f>
        <v>4</v>
      </c>
      <c r="S17" s="13">
        <f>COUNTIFS('史赋排 '!$I:$I,"&lt;=100",'史赋排 '!$B:$B,S15)</f>
        <v>14</v>
      </c>
      <c r="T17" s="13">
        <f>COUNTIFS('史赋排 '!$I:$I,"&lt;=100",'史赋排 '!$B:$B,T15)</f>
        <v>1</v>
      </c>
      <c r="U17" s="13">
        <f>COUNTIFS('史赋排 '!$I:$I,"&lt;=100",'史赋排 '!$B:$B,U15)</f>
        <v>0</v>
      </c>
      <c r="W17" s="132">
        <v>16</v>
      </c>
      <c r="X17" s="9" t="s">
        <v>1912</v>
      </c>
      <c r="Y17" s="9">
        <f>COUNTIFS(赋分!$B:$B,W17,赋分!$K:$K,"&gt;=0")</f>
        <v>2</v>
      </c>
      <c r="Z17" s="9">
        <f>COUNTIFS(赋分!$B:$B,W17,赋分!$K:$K,"&gt;=0")</f>
        <v>2</v>
      </c>
      <c r="AA17" s="9"/>
      <c r="AB17" s="9"/>
      <c r="AC17" s="9">
        <f>COUNTIFS(赋分!$B:$B,W17,赋分!$K:$K,"&gt;=0")</f>
        <v>2</v>
      </c>
      <c r="AE17" s="13">
        <v>985</v>
      </c>
      <c r="AF17" s="13" t="s">
        <v>1898</v>
      </c>
      <c r="AG17" s="13">
        <v>13</v>
      </c>
      <c r="AI17" s="13">
        <v>985</v>
      </c>
      <c r="AJ17" s="13" t="s">
        <v>1898</v>
      </c>
      <c r="AK17" s="13">
        <v>14</v>
      </c>
      <c r="AM17" s="13">
        <v>985</v>
      </c>
      <c r="AN17" s="13" t="s">
        <v>1897</v>
      </c>
      <c r="AO17" s="13">
        <v>17</v>
      </c>
      <c r="AP17" s="13">
        <v>10</v>
      </c>
      <c r="AR17" s="13">
        <v>985</v>
      </c>
      <c r="AS17" s="13" t="s">
        <v>1913</v>
      </c>
      <c r="AT17" s="13">
        <v>11</v>
      </c>
      <c r="AU17" s="13">
        <v>9</v>
      </c>
    </row>
    <row r="18" spans="1:47">
      <c r="A18" s="130">
        <v>211</v>
      </c>
      <c r="B18" s="130" t="s">
        <v>1899</v>
      </c>
      <c r="C18" s="137">
        <f>COUNTIFS('物赋排 '!$I:$I,"&lt;=1300",'物赋排 '!$B:$B,C15)</f>
        <v>8</v>
      </c>
      <c r="D18" s="137">
        <f>COUNTIFS('物赋排 '!$I:$I,"&lt;=1300",'物赋排 '!$B:$B,D15)</f>
        <v>2</v>
      </c>
      <c r="E18" s="137">
        <f>COUNTIFS('物赋排 '!$I:$I,"&lt;=1300",'物赋排 '!$B:$B,E15)</f>
        <v>7</v>
      </c>
      <c r="F18" s="137">
        <f>COUNTIFS('物赋排 '!$I:$I,"&lt;=1300",'物赋排 '!$B:$B,F15)</f>
        <v>5</v>
      </c>
      <c r="G18" s="137">
        <f>COUNTIFS('物赋排 '!$I:$I,"&lt;=1300",'物赋排 '!$B:$B,G15)</f>
        <v>15</v>
      </c>
      <c r="H18" s="137">
        <f>COUNTIFS('物赋排 '!$I:$I,"&lt;=1300",'物赋排 '!$B:$B,H15)</f>
        <v>1</v>
      </c>
      <c r="I18" s="137">
        <f>COUNTIFS('物赋排 '!$I:$I,"&lt;=1300",'物赋排 '!$B:$B,I15)</f>
        <v>1</v>
      </c>
      <c r="J18" s="137">
        <f>COUNTIFS('物赋排 '!$I:$I,"&lt;=1300",'物赋排 '!$B:$B,J15)</f>
        <v>7</v>
      </c>
      <c r="K18" s="137">
        <f>COUNTIFS('物赋排 '!$I:$I,"&lt;=1300",'物赋排 '!$B:$B,K15)</f>
        <v>44</v>
      </c>
      <c r="L18" s="137">
        <f>COUNTIFS('物赋排 '!$I:$I,"&lt;=1300",'物赋排 '!$B:$B,L15)</f>
        <v>20</v>
      </c>
      <c r="M18" s="137">
        <f>COUNTIFS('物赋排 '!$I:$I,"&lt;=1300",'物赋排 '!$B:$B,M15)</f>
        <v>8</v>
      </c>
      <c r="N18" s="137">
        <f>COUNTIFS('物赋排 '!$I:$I,"&lt;=1300",'物赋排 '!$B:$B,N15)</f>
        <v>6</v>
      </c>
      <c r="O18" s="137">
        <f>COUNTIFS('物赋排 '!$I:$I,"&lt;=1300",'物赋排 '!$B:$B,O15)</f>
        <v>6</v>
      </c>
      <c r="P18" s="130" t="s">
        <v>1900</v>
      </c>
      <c r="Q18" s="137">
        <f>COUNTIFS('史赋排 '!$I:$I,"&lt;=200",'史赋排 '!$B:$B,Q15)</f>
        <v>7</v>
      </c>
      <c r="R18" s="137">
        <f>COUNTIFS('史赋排 '!$I:$I,"&lt;=200",'史赋排 '!$B:$B,R15)</f>
        <v>11</v>
      </c>
      <c r="S18" s="137">
        <f>COUNTIFS('史赋排 '!$I:$I,"&lt;=200",'史赋排 '!$B:$B,S15)</f>
        <v>23</v>
      </c>
      <c r="T18" s="137">
        <f>COUNTIFS('史赋排 '!$I:$I,"&lt;=200",'史赋排 '!$B:$B,T15)</f>
        <v>6</v>
      </c>
      <c r="U18" s="137">
        <f>COUNTIFS('史赋排 '!$I:$I,"&lt;=200",'史赋排 '!$B:$B,U15)</f>
        <v>4</v>
      </c>
      <c r="W18" s="132">
        <v>16</v>
      </c>
      <c r="X18" s="9" t="s">
        <v>1745</v>
      </c>
      <c r="Y18" s="9">
        <f>39-Y17-Y19</f>
        <v>21</v>
      </c>
      <c r="Z18" s="23"/>
      <c r="AA18" s="9"/>
      <c r="AB18" s="9">
        <f>37-AB19</f>
        <v>21</v>
      </c>
      <c r="AC18" s="9">
        <f>22-2</f>
        <v>20</v>
      </c>
      <c r="AE18" s="130">
        <v>211</v>
      </c>
      <c r="AF18" s="130" t="s">
        <v>1900</v>
      </c>
      <c r="AG18" s="137">
        <v>21</v>
      </c>
      <c r="AI18" s="130">
        <v>211</v>
      </c>
      <c r="AJ18" s="130" t="s">
        <v>1900</v>
      </c>
      <c r="AK18" s="137">
        <v>21</v>
      </c>
      <c r="AM18" s="130">
        <v>211</v>
      </c>
      <c r="AN18" s="130" t="s">
        <v>1899</v>
      </c>
      <c r="AO18" s="137">
        <v>34</v>
      </c>
      <c r="AP18" s="137">
        <v>22</v>
      </c>
      <c r="AR18" s="130">
        <v>211</v>
      </c>
      <c r="AS18" s="130" t="s">
        <v>1914</v>
      </c>
      <c r="AT18" s="137">
        <v>30</v>
      </c>
      <c r="AU18" s="137">
        <v>20</v>
      </c>
    </row>
    <row r="19" spans="1:47">
      <c r="A19" s="13" t="s">
        <v>1901</v>
      </c>
      <c r="B19" s="13" t="s">
        <v>1902</v>
      </c>
      <c r="C19" s="13">
        <f>COUNTIFS('物赋排 '!$I:$I,"&lt;=4000",'物赋排 '!$B:$B,C15)</f>
        <v>31</v>
      </c>
      <c r="D19" s="13">
        <f>COUNTIFS('物赋排 '!$I:$I,"&lt;=4000",'物赋排 '!$B:$B,D15)</f>
        <v>16</v>
      </c>
      <c r="E19" s="13">
        <f>COUNTIFS('物赋排 '!$I:$I,"&lt;=4000",'物赋排 '!$B:$B,E15)</f>
        <v>23</v>
      </c>
      <c r="F19" s="13">
        <f>COUNTIFS('物赋排 '!$I:$I,"&lt;=4000",'物赋排 '!$B:$B,F15)</f>
        <v>27</v>
      </c>
      <c r="G19" s="13">
        <f>COUNTIFS('物赋排 '!$I:$I,"&lt;=4000",'物赋排 '!$B:$B,G15)</f>
        <v>34</v>
      </c>
      <c r="H19" s="13">
        <f>COUNTIFS('物赋排 '!$I:$I,"&lt;=4000",'物赋排 '!$B:$B,H15)</f>
        <v>7</v>
      </c>
      <c r="I19" s="13">
        <f>COUNTIFS('物赋排 '!$I:$I,"&lt;=4000",'物赋排 '!$B:$B,I15)</f>
        <v>13</v>
      </c>
      <c r="J19" s="13">
        <f>COUNTIFS('物赋排 '!$I:$I,"&lt;=4000",'物赋排 '!$B:$B,J15)</f>
        <v>29</v>
      </c>
      <c r="K19" s="13">
        <f>COUNTIFS('物赋排 '!$I:$I,"&lt;=4000",'物赋排 '!$B:$B,K15)</f>
        <v>52</v>
      </c>
      <c r="L19" s="13">
        <f>COUNTIFS('物赋排 '!$I:$I,"&lt;=4000",'物赋排 '!$B:$B,L15)</f>
        <v>52</v>
      </c>
      <c r="M19" s="13">
        <f>COUNTIFS('物赋排 '!$I:$I,"&lt;=4000",'物赋排 '!$B:$B,M15)</f>
        <v>30</v>
      </c>
      <c r="N19" s="13">
        <f>COUNTIFS('物赋排 '!$I:$I,"&lt;=4000",'物赋排 '!$B:$B,N15)</f>
        <v>23</v>
      </c>
      <c r="O19" s="13">
        <f>COUNTIFS('物赋排 '!$I:$I,"&lt;=4000",'物赋排 '!$B:$B,O15)</f>
        <v>28</v>
      </c>
      <c r="P19" s="13" t="s">
        <v>1903</v>
      </c>
      <c r="Q19" s="13">
        <f>COUNTIFS('史赋排 '!$I:$I,"&lt;=700",'史赋排 '!$B:$B,Q15)</f>
        <v>30</v>
      </c>
      <c r="R19" s="13">
        <f>COUNTIFS('史赋排 '!$I:$I,"&lt;=700",'史赋排 '!$B:$B,R15)</f>
        <v>31</v>
      </c>
      <c r="S19" s="13">
        <f>COUNTIFS('史赋排 '!$I:$I,"&lt;=700",'史赋排 '!$B:$B,S15)</f>
        <v>37</v>
      </c>
      <c r="T19" s="13">
        <f>COUNTIFS('史赋排 '!$I:$I,"&lt;=700",'史赋排 '!$B:$B,T15)</f>
        <v>28</v>
      </c>
      <c r="U19" s="13">
        <f>COUNTIFS('史赋排 '!$I:$I,"&lt;=700",'史赋排 '!$B:$B,U15)</f>
        <v>28</v>
      </c>
      <c r="W19" s="132">
        <v>16</v>
      </c>
      <c r="X19" s="9" t="s">
        <v>1747</v>
      </c>
      <c r="Y19" s="9">
        <f>COUNTIFS(赋分!$B:$B,W19,赋分!$L:$L,"&gt;=0")</f>
        <v>16</v>
      </c>
      <c r="Z19" s="9"/>
      <c r="AA19" s="9">
        <f>COUNTIFS(赋分!$B:$B,W19,赋分!$L:$L,"&gt;=0")</f>
        <v>16</v>
      </c>
      <c r="AB19" s="9">
        <f>COUNTIFS(赋分!$B:$B,W19,赋分!$L:$L,"&gt;=0")</f>
        <v>16</v>
      </c>
      <c r="AC19" s="9"/>
      <c r="AE19" s="13" t="s">
        <v>1901</v>
      </c>
      <c r="AF19" s="13" t="s">
        <v>1903</v>
      </c>
      <c r="AG19" s="13">
        <v>39</v>
      </c>
      <c r="AI19" s="13" t="s">
        <v>1901</v>
      </c>
      <c r="AJ19" s="13" t="s">
        <v>1903</v>
      </c>
      <c r="AK19" s="13">
        <v>33</v>
      </c>
      <c r="AM19" s="13" t="s">
        <v>1901</v>
      </c>
      <c r="AN19" s="13" t="s">
        <v>1902</v>
      </c>
      <c r="AO19" s="13">
        <v>50</v>
      </c>
      <c r="AP19" s="13">
        <v>46</v>
      </c>
      <c r="AR19" s="13" t="s">
        <v>1901</v>
      </c>
      <c r="AS19" s="13" t="s">
        <v>1915</v>
      </c>
      <c r="AT19" s="13">
        <v>49</v>
      </c>
      <c r="AU19" s="13">
        <v>47</v>
      </c>
    </row>
    <row r="20" spans="1:47">
      <c r="A20" s="130" t="s">
        <v>1904</v>
      </c>
      <c r="B20" s="130" t="s">
        <v>1905</v>
      </c>
      <c r="C20" s="137">
        <f>COUNTIFS('物赋排 '!$I:$I,"&lt;=9000",'物赋排 '!$B:$B,C15)</f>
        <v>58</v>
      </c>
      <c r="D20" s="137">
        <f>COUNTIFS('物赋排 '!$I:$I,"&lt;=9000",'物赋排 '!$B:$B,D15)</f>
        <v>41</v>
      </c>
      <c r="E20" s="137">
        <f>COUNTIFS('物赋排 '!$I:$I,"&lt;=9000",'物赋排 '!$B:$B,E15)</f>
        <v>44</v>
      </c>
      <c r="F20" s="137">
        <f>COUNTIFS('物赋排 '!$I:$I,"&lt;=9000",'物赋排 '!$B:$B,F15)</f>
        <v>41</v>
      </c>
      <c r="G20" s="137">
        <f>COUNTIFS('物赋排 '!$I:$I,"&lt;=9000",'物赋排 '!$B:$B,G15)</f>
        <v>46</v>
      </c>
      <c r="H20" s="137">
        <f>COUNTIFS('物赋排 '!$I:$I,"&lt;=9000",'物赋排 '!$B:$B,H15)</f>
        <v>35</v>
      </c>
      <c r="I20" s="137">
        <f>COUNTIFS('物赋排 '!$I:$I,"&lt;=9000",'物赋排 '!$B:$B,I15)</f>
        <v>33</v>
      </c>
      <c r="J20" s="137">
        <f>COUNTIFS('物赋排 '!$I:$I,"&lt;=9000",'物赋排 '!$B:$B,J15)</f>
        <v>54</v>
      </c>
      <c r="K20" s="137">
        <f>COUNTIFS('物赋排 '!$I:$I,"&lt;=9000",'物赋排 '!$B:$B,K15)</f>
        <v>54</v>
      </c>
      <c r="L20" s="137">
        <f>COUNTIFS('物赋排 '!$I:$I,"&lt;=9000",'物赋排 '!$B:$B,L15)</f>
        <v>57</v>
      </c>
      <c r="M20" s="137">
        <f>COUNTIFS('物赋排 '!$I:$I,"&lt;=9000",'物赋排 '!$B:$B,M15)</f>
        <v>51</v>
      </c>
      <c r="N20" s="137">
        <f>COUNTIFS('物赋排 '!$I:$I,"&lt;=9000",'物赋排 '!$B:$B,N15)</f>
        <v>50</v>
      </c>
      <c r="O20" s="137">
        <f>COUNTIFS('物赋排 '!$I:$I,"&lt;=9000",'物赋排 '!$B:$B,O15)</f>
        <v>51</v>
      </c>
      <c r="P20" s="130" t="s">
        <v>1906</v>
      </c>
      <c r="Q20" s="137">
        <f>COUNTIFS('史赋排 '!$I:$I,"&lt;=1500",'史赋排 '!$B:$B,Q15)</f>
        <v>39</v>
      </c>
      <c r="R20" s="137">
        <f>COUNTIFS('史赋排 '!$I:$I,"&lt;=1500",'史赋排 '!$B:$B,R15)</f>
        <v>42</v>
      </c>
      <c r="S20" s="137">
        <f>COUNTIFS('史赋排 '!$I:$I,"&lt;=1500",'史赋排 '!$B:$B,S15)</f>
        <v>38</v>
      </c>
      <c r="T20" s="137">
        <f>COUNTIFS('史赋排 '!$I:$I,"&lt;=1500",'史赋排 '!$B:$B,T15)</f>
        <v>40</v>
      </c>
      <c r="U20" s="137">
        <f>COUNTIFS('史赋排 '!$I:$I,"&lt;=1500",'史赋排 '!$B:$B,U15)</f>
        <v>40</v>
      </c>
      <c r="W20" s="9">
        <v>17</v>
      </c>
      <c r="X20" s="9" t="s">
        <v>1747</v>
      </c>
      <c r="Y20" s="9">
        <f>COUNTIFS(赋分!$B:$B,W20,赋分!$O:$O,"&gt;=0")</f>
        <v>43</v>
      </c>
      <c r="Z20" s="9"/>
      <c r="AA20" s="9">
        <f>COUNTIFS(赋分!$B:$B,W20,赋分!$L:$L,"&gt;=0")</f>
        <v>43</v>
      </c>
      <c r="AB20" s="9">
        <f>COUNTIFS(赋分!$B:$B,W20,赋分!$M:$M,"&gt;=0")</f>
        <v>43</v>
      </c>
      <c r="AC20" s="9"/>
      <c r="AE20" s="130" t="s">
        <v>1904</v>
      </c>
      <c r="AF20" s="130" t="s">
        <v>1906</v>
      </c>
      <c r="AG20" s="137">
        <v>39</v>
      </c>
      <c r="AI20" s="130" t="s">
        <v>1904</v>
      </c>
      <c r="AJ20" s="130" t="s">
        <v>1906</v>
      </c>
      <c r="AK20" s="137">
        <v>37</v>
      </c>
      <c r="AM20" s="130" t="s">
        <v>1904</v>
      </c>
      <c r="AN20" s="130" t="s">
        <v>1905</v>
      </c>
      <c r="AO20" s="137">
        <v>54</v>
      </c>
      <c r="AP20" s="137">
        <v>56</v>
      </c>
      <c r="AR20" s="130" t="s">
        <v>1904</v>
      </c>
      <c r="AS20" s="130" t="s">
        <v>1916</v>
      </c>
      <c r="AT20" s="137">
        <v>53</v>
      </c>
      <c r="AU20" s="137">
        <v>56</v>
      </c>
    </row>
    <row r="21" s="124" customFormat="1" spans="1:44">
      <c r="A21" s="125"/>
      <c r="W21" s="9">
        <v>18</v>
      </c>
      <c r="X21" s="9" t="s">
        <v>1747</v>
      </c>
      <c r="Y21" s="9">
        <f>COUNTIFS(赋分!$B:$B,W21,赋分!$O:$O,"&gt;=0")</f>
        <v>43</v>
      </c>
      <c r="Z21" s="9"/>
      <c r="AA21" s="9">
        <f>COUNTIFS(赋分!$B:$B,W21,赋分!$L:$L,"&gt;=0")</f>
        <v>43</v>
      </c>
      <c r="AB21" s="9">
        <f>COUNTIFS(赋分!$B:$B,W21,赋分!$M:$M,"&gt;=0")</f>
        <v>43</v>
      </c>
      <c r="AC21" s="9"/>
      <c r="AE21" s="125"/>
      <c r="AI21" s="125"/>
      <c r="AM21" s="125"/>
      <c r="AR21" s="125"/>
    </row>
    <row r="22" spans="1:47">
      <c r="A22" s="135" t="s">
        <v>7</v>
      </c>
      <c r="B22" s="136" t="s">
        <v>1</v>
      </c>
      <c r="C22" s="136">
        <v>1</v>
      </c>
      <c r="D22" s="136">
        <v>2</v>
      </c>
      <c r="E22" s="136">
        <v>3</v>
      </c>
      <c r="F22" s="136">
        <v>4</v>
      </c>
      <c r="G22" s="136">
        <v>5</v>
      </c>
      <c r="H22" s="136">
        <v>6</v>
      </c>
      <c r="I22" s="136">
        <v>7</v>
      </c>
      <c r="J22" s="136">
        <v>8</v>
      </c>
      <c r="K22" s="136">
        <v>9</v>
      </c>
      <c r="L22" s="136">
        <v>10</v>
      </c>
      <c r="M22" s="136">
        <v>11</v>
      </c>
      <c r="N22" s="136">
        <v>12</v>
      </c>
      <c r="O22" s="136">
        <v>13</v>
      </c>
      <c r="P22" s="136" t="s">
        <v>1</v>
      </c>
      <c r="Q22" s="136">
        <v>14</v>
      </c>
      <c r="R22" s="136">
        <v>15</v>
      </c>
      <c r="S22" s="136">
        <v>16</v>
      </c>
      <c r="T22" s="136">
        <v>17</v>
      </c>
      <c r="U22" s="136">
        <v>18</v>
      </c>
      <c r="W22" s="34" t="s">
        <v>1849</v>
      </c>
      <c r="X22" s="34"/>
      <c r="Y22" s="34">
        <f>SUM(Y2:Y21)</f>
        <v>870</v>
      </c>
      <c r="Z22" s="34">
        <f>SUM(Z2:Z21)</f>
        <v>540</v>
      </c>
      <c r="AA22" s="34">
        <f>SUM(AA2:AA21)</f>
        <v>319</v>
      </c>
      <c r="AB22" s="34">
        <f>SUM(AB2:AB21)</f>
        <v>316</v>
      </c>
      <c r="AC22" s="34">
        <f>SUM(AC2:AC21)</f>
        <v>564</v>
      </c>
      <c r="AE22" s="135" t="s">
        <v>7</v>
      </c>
      <c r="AF22" s="136" t="s">
        <v>1</v>
      </c>
      <c r="AG22" s="136">
        <v>16</v>
      </c>
      <c r="AI22" s="135" t="s">
        <v>13</v>
      </c>
      <c r="AJ22" s="136" t="s">
        <v>1</v>
      </c>
      <c r="AK22" s="136">
        <v>16</v>
      </c>
      <c r="AM22" s="135" t="s">
        <v>7</v>
      </c>
      <c r="AN22" s="136" t="s">
        <v>1</v>
      </c>
      <c r="AO22" s="136">
        <v>9</v>
      </c>
      <c r="AP22" s="136">
        <v>10</v>
      </c>
      <c r="AR22" s="135" t="s">
        <v>13</v>
      </c>
      <c r="AS22" s="136" t="s">
        <v>1</v>
      </c>
      <c r="AT22" s="136">
        <v>9</v>
      </c>
      <c r="AU22" s="136">
        <v>10</v>
      </c>
    </row>
    <row r="23" spans="1:47">
      <c r="A23" s="130" t="s">
        <v>1894</v>
      </c>
      <c r="B23" s="130" t="s">
        <v>1895</v>
      </c>
      <c r="C23" s="137">
        <f>COUNTIFS('物赋排 '!$K:$K,"&lt;=70",'物赋排 '!$B:$B,C22)</f>
        <v>0</v>
      </c>
      <c r="D23" s="137">
        <f>COUNTIFS('物赋排 '!$K:$K,"&lt;=70",'物赋排 '!$B:$B,D22)</f>
        <v>0</v>
      </c>
      <c r="E23" s="137">
        <f>COUNTIFS('物赋排 '!$K:$K,"&lt;=70",'物赋排 '!$B:$B,E22)</f>
        <v>0</v>
      </c>
      <c r="F23" s="137">
        <f>COUNTIFS('物赋排 '!$K:$K,"&lt;=70",'物赋排 '!$B:$B,F22)</f>
        <v>0</v>
      </c>
      <c r="G23" s="137">
        <f>COUNTIFS('物赋排 '!$K:$K,"&lt;=70",'物赋排 '!$B:$B,G22)</f>
        <v>0</v>
      </c>
      <c r="H23" s="137">
        <f>COUNTIFS('物赋排 '!$K:$K,"&lt;=70",'物赋排 '!$B:$B,H22)</f>
        <v>0</v>
      </c>
      <c r="I23" s="137">
        <f>COUNTIFS('物赋排 '!$K:$K,"&lt;=70",'物赋排 '!$B:$B,I22)</f>
        <v>1</v>
      </c>
      <c r="J23" s="137">
        <f>COUNTIFS('物赋排 '!$K:$K,"&lt;=70",'物赋排 '!$B:$B,J22)</f>
        <v>0</v>
      </c>
      <c r="K23" s="137">
        <f>COUNTIFS('物赋排 '!$K:$K,"&lt;=70",'物赋排 '!$B:$B,K22)</f>
        <v>1</v>
      </c>
      <c r="L23" s="137">
        <f>COUNTIFS('物赋排 '!$K:$K,"&lt;=70",'物赋排 '!$B:$B,L22)</f>
        <v>0</v>
      </c>
      <c r="M23" s="137">
        <f>COUNTIFS('物赋排 '!$K:$K,"&lt;=70",'物赋排 '!$B:$B,M22)</f>
        <v>0</v>
      </c>
      <c r="N23" s="137">
        <f>COUNTIFS('物赋排 '!$K:$K,"&lt;=70",'物赋排 '!$B:$B,N22)</f>
        <v>0</v>
      </c>
      <c r="O23" s="137">
        <f>COUNTIFS('物赋排 '!$K:$K,"&lt;=70",'物赋排 '!$B:$B,O22)</f>
        <v>0</v>
      </c>
      <c r="P23" s="130" t="s">
        <v>1896</v>
      </c>
      <c r="Q23" s="137">
        <f>COUNTIFS('史赋排 '!$K:$K,"&lt;=30",'史赋排 '!$B:$B,Q22)</f>
        <v>0</v>
      </c>
      <c r="R23" s="137">
        <f>COUNTIFS('史赋排 '!$K:$K,"&lt;=30",'史赋排 '!$B:$B,R22)</f>
        <v>0</v>
      </c>
      <c r="S23" s="137">
        <f>COUNTIFS('史赋排 '!$K:$K,"&lt;=30",'史赋排 '!$B:$B,S22)</f>
        <v>3</v>
      </c>
      <c r="T23" s="137">
        <f>COUNTIFS('史赋排 '!$K:$K,"&lt;=30",'史赋排 '!$B:$B,T22)</f>
        <v>0</v>
      </c>
      <c r="U23" s="137">
        <f>COUNTIFS('史赋排 '!$K:$K,"&lt;=30",'史赋排 '!$B:$B,U22)</f>
        <v>0</v>
      </c>
      <c r="AE23" s="130" t="s">
        <v>1894</v>
      </c>
      <c r="AF23" s="130" t="s">
        <v>1896</v>
      </c>
      <c r="AG23" s="137">
        <v>3</v>
      </c>
      <c r="AI23" s="130" t="s">
        <v>1894</v>
      </c>
      <c r="AJ23" s="130" t="s">
        <v>1907</v>
      </c>
      <c r="AK23" s="137">
        <v>5</v>
      </c>
      <c r="AM23" s="130" t="s">
        <v>1894</v>
      </c>
      <c r="AN23" s="130" t="s">
        <v>1895</v>
      </c>
      <c r="AO23" s="137">
        <v>2</v>
      </c>
      <c r="AP23" s="137">
        <v>0</v>
      </c>
      <c r="AR23" s="130" t="s">
        <v>1894</v>
      </c>
      <c r="AS23" s="130" t="s">
        <v>1908</v>
      </c>
      <c r="AT23" s="137">
        <v>8</v>
      </c>
      <c r="AU23" s="137">
        <v>2</v>
      </c>
    </row>
    <row r="24" spans="1:47">
      <c r="A24" s="13">
        <v>985</v>
      </c>
      <c r="B24" s="13" t="s">
        <v>1897</v>
      </c>
      <c r="C24" s="13">
        <f>COUNTIFS('物赋排 '!$K:$K,"&lt;=500",'物赋排 '!$B:$B,C22)</f>
        <v>1</v>
      </c>
      <c r="D24" s="13">
        <f>COUNTIFS('物赋排 '!$K:$K,"&lt;=500",'物赋排 '!$B:$B,D22)</f>
        <v>3</v>
      </c>
      <c r="E24" s="13">
        <f>COUNTIFS('物赋排 '!$K:$K,"&lt;=500",'物赋排 '!$B:$B,E22)</f>
        <v>1</v>
      </c>
      <c r="F24" s="13">
        <f>COUNTIFS('物赋排 '!$K:$K,"&lt;=500",'物赋排 '!$B:$B,F22)</f>
        <v>0</v>
      </c>
      <c r="G24" s="13">
        <f>COUNTIFS('物赋排 '!$K:$K,"&lt;=500",'物赋排 '!$B:$B,G22)</f>
        <v>0</v>
      </c>
      <c r="H24" s="13">
        <f>COUNTIFS('物赋排 '!$K:$K,"&lt;=500",'物赋排 '!$B:$B,H22)</f>
        <v>0</v>
      </c>
      <c r="I24" s="13">
        <f>COUNTIFS('物赋排 '!$K:$K,"&lt;=500",'物赋排 '!$B:$B,I22)</f>
        <v>2</v>
      </c>
      <c r="J24" s="13">
        <f>COUNTIFS('物赋排 '!$K:$K,"&lt;=500",'物赋排 '!$B:$B,J22)</f>
        <v>0</v>
      </c>
      <c r="K24" s="13">
        <f>COUNTIFS('物赋排 '!$K:$K,"&lt;=500",'物赋排 '!$B:$B,K22)</f>
        <v>12</v>
      </c>
      <c r="L24" s="13">
        <f>COUNTIFS('物赋排 '!$K:$K,"&lt;=500",'物赋排 '!$B:$B,L22)</f>
        <v>1</v>
      </c>
      <c r="M24" s="13">
        <f>COUNTIFS('物赋排 '!$K:$K,"&lt;=500",'物赋排 '!$B:$B,M22)</f>
        <v>0</v>
      </c>
      <c r="N24" s="13">
        <f>COUNTIFS('物赋排 '!$K:$K,"&lt;=500",'物赋排 '!$B:$B,N22)</f>
        <v>1</v>
      </c>
      <c r="O24" s="13">
        <f>COUNTIFS('物赋排 '!$K:$K,"&lt;=500",'物赋排 '!$B:$B,O22)</f>
        <v>0</v>
      </c>
      <c r="P24" s="13" t="s">
        <v>1898</v>
      </c>
      <c r="Q24" s="13">
        <f>COUNTIFS('史赋排 '!$K:$K,"&lt;=100",'史赋排 '!$B:$B,Q22)</f>
        <v>0</v>
      </c>
      <c r="R24" s="13">
        <f>COUNTIFS('史赋排 '!$K:$K,"&lt;=100",'史赋排 '!$B:$B,R22)</f>
        <v>1</v>
      </c>
      <c r="S24" s="13">
        <f>COUNTIFS('史赋排 '!$K:$K,"&lt;=100",'史赋排 '!$B:$B,S22)</f>
        <v>10</v>
      </c>
      <c r="T24" s="13">
        <f>COUNTIFS('史赋排 '!$K:$K,"&lt;=100",'史赋排 '!$B:$B,T22)</f>
        <v>0</v>
      </c>
      <c r="U24" s="13">
        <f>COUNTIFS('史赋排 '!$K:$K,"&lt;=100",'史赋排 '!$B:$B,U22)</f>
        <v>1</v>
      </c>
      <c r="AE24" s="13">
        <v>985</v>
      </c>
      <c r="AF24" s="13" t="s">
        <v>1898</v>
      </c>
      <c r="AG24" s="13">
        <v>13</v>
      </c>
      <c r="AI24" s="13">
        <v>985</v>
      </c>
      <c r="AJ24" s="13" t="s">
        <v>1908</v>
      </c>
      <c r="AK24" s="13">
        <v>12</v>
      </c>
      <c r="AM24" s="13">
        <v>985</v>
      </c>
      <c r="AN24" s="13" t="s">
        <v>1897</v>
      </c>
      <c r="AO24" s="13">
        <v>16</v>
      </c>
      <c r="AP24" s="13">
        <v>7</v>
      </c>
      <c r="AR24" s="13">
        <v>985</v>
      </c>
      <c r="AS24" s="13" t="s">
        <v>1909</v>
      </c>
      <c r="AT24" s="13">
        <v>21</v>
      </c>
      <c r="AU24" s="13">
        <v>11</v>
      </c>
    </row>
    <row r="25" spans="1:47">
      <c r="A25" s="130">
        <v>211</v>
      </c>
      <c r="B25" s="130" t="s">
        <v>1899</v>
      </c>
      <c r="C25" s="137">
        <f>COUNTIFS('物赋排 '!$K:$K,"&lt;=1300",'物赋排 '!$B:$B,C22)</f>
        <v>6</v>
      </c>
      <c r="D25" s="137">
        <f>COUNTIFS('物赋排 '!$K:$K,"&lt;=1300",'物赋排 '!$B:$B,D22)</f>
        <v>7</v>
      </c>
      <c r="E25" s="137">
        <f>COUNTIFS('物赋排 '!$K:$K,"&lt;=1300",'物赋排 '!$B:$B,E22)</f>
        <v>7</v>
      </c>
      <c r="F25" s="137">
        <f>COUNTIFS('物赋排 '!$K:$K,"&lt;=1300",'物赋排 '!$B:$B,F22)</f>
        <v>1</v>
      </c>
      <c r="G25" s="137">
        <f>COUNTIFS('物赋排 '!$K:$K,"&lt;=1300",'物赋排 '!$B:$B,G22)</f>
        <v>9</v>
      </c>
      <c r="H25" s="137">
        <f>COUNTIFS('物赋排 '!$K:$K,"&lt;=1300",'物赋排 '!$B:$B,H22)</f>
        <v>2</v>
      </c>
      <c r="I25" s="137">
        <f>COUNTIFS('物赋排 '!$K:$K,"&lt;=1300",'物赋排 '!$B:$B,I22)</f>
        <v>2</v>
      </c>
      <c r="J25" s="137">
        <f>COUNTIFS('物赋排 '!$K:$K,"&lt;=1300",'物赋排 '!$B:$B,J22)</f>
        <v>4</v>
      </c>
      <c r="K25" s="137">
        <f>COUNTIFS('物赋排 '!$K:$K,"&lt;=1300",'物赋排 '!$B:$B,K22)</f>
        <v>34</v>
      </c>
      <c r="L25" s="137">
        <f>COUNTIFS('物赋排 '!$K:$K,"&lt;=1300",'物赋排 '!$B:$B,L22)</f>
        <v>12</v>
      </c>
      <c r="M25" s="137">
        <f>COUNTIFS('物赋排 '!$K:$K,"&lt;=1300",'物赋排 '!$B:$B,M22)</f>
        <v>5</v>
      </c>
      <c r="N25" s="137">
        <f>COUNTIFS('物赋排 '!$K:$K,"&lt;=1300",'物赋排 '!$B:$B,N22)</f>
        <v>4</v>
      </c>
      <c r="O25" s="137">
        <f>COUNTIFS('物赋排 '!$K:$K,"&lt;=1300",'物赋排 '!$B:$B,O22)</f>
        <v>1</v>
      </c>
      <c r="P25" s="130" t="s">
        <v>1900</v>
      </c>
      <c r="Q25" s="137">
        <f>COUNTIFS('史赋排 '!$K:$K,"&lt;=200",'史赋排 '!$B:$B,Q22)</f>
        <v>1</v>
      </c>
      <c r="R25" s="137">
        <f>COUNTIFS('史赋排 '!$K:$K,"&lt;=200",'史赋排 '!$B:$B,R22)</f>
        <v>3</v>
      </c>
      <c r="S25" s="137">
        <f>COUNTIFS('史赋排 '!$K:$K,"&lt;=200",'史赋排 '!$B:$B,S22)</f>
        <v>24</v>
      </c>
      <c r="T25" s="137">
        <f>COUNTIFS('史赋排 '!$K:$K,"&lt;=200",'史赋排 '!$B:$B,T22)</f>
        <v>2</v>
      </c>
      <c r="U25" s="137">
        <f>COUNTIFS('史赋排 '!$K:$K,"&lt;=200",'史赋排 '!$B:$B,U22)</f>
        <v>2</v>
      </c>
      <c r="W25" s="9" t="s">
        <v>1</v>
      </c>
      <c r="X25" s="9" t="s">
        <v>1739</v>
      </c>
      <c r="Y25" s="9" t="s">
        <v>14</v>
      </c>
      <c r="Z25" s="9" t="s">
        <v>10</v>
      </c>
      <c r="AA25" s="9" t="s">
        <v>11</v>
      </c>
      <c r="AB25" s="9" t="s">
        <v>12</v>
      </c>
      <c r="AC25" s="9" t="s">
        <v>13</v>
      </c>
      <c r="AE25" s="130">
        <v>211</v>
      </c>
      <c r="AF25" s="130" t="s">
        <v>1900</v>
      </c>
      <c r="AG25" s="137">
        <v>27</v>
      </c>
      <c r="AI25" s="130">
        <v>211</v>
      </c>
      <c r="AJ25" s="130" t="s">
        <v>1898</v>
      </c>
      <c r="AK25" s="137">
        <v>18</v>
      </c>
      <c r="AM25" s="130">
        <v>211</v>
      </c>
      <c r="AN25" s="130" t="s">
        <v>1899</v>
      </c>
      <c r="AO25" s="137">
        <v>32</v>
      </c>
      <c r="AP25" s="137">
        <v>19</v>
      </c>
      <c r="AR25" s="130">
        <v>211</v>
      </c>
      <c r="AS25" s="130" t="s">
        <v>1917</v>
      </c>
      <c r="AT25" s="137">
        <v>32</v>
      </c>
      <c r="AU25" s="137">
        <v>20</v>
      </c>
    </row>
    <row r="26" spans="1:47">
      <c r="A26" s="13" t="s">
        <v>1901</v>
      </c>
      <c r="B26" s="13" t="s">
        <v>1902</v>
      </c>
      <c r="C26" s="13">
        <f>COUNTIFS('物赋排 '!$K:$K,"&lt;=4000",'物赋排 '!$B:$B,C22)</f>
        <v>24</v>
      </c>
      <c r="D26" s="13">
        <f>COUNTIFS('物赋排 '!$K:$K,"&lt;=4000",'物赋排 '!$B:$B,D22)</f>
        <v>28</v>
      </c>
      <c r="E26" s="13">
        <f>COUNTIFS('物赋排 '!$K:$K,"&lt;=4000",'物赋排 '!$B:$B,E22)</f>
        <v>26</v>
      </c>
      <c r="F26" s="13">
        <f>COUNTIFS('物赋排 '!$K:$K,"&lt;=4000",'物赋排 '!$B:$B,F22)</f>
        <v>25</v>
      </c>
      <c r="G26" s="13">
        <f>COUNTIFS('物赋排 '!$K:$K,"&lt;=4000",'物赋排 '!$B:$B,G22)</f>
        <v>25</v>
      </c>
      <c r="H26" s="13">
        <f>COUNTIFS('物赋排 '!$K:$K,"&lt;=4000",'物赋排 '!$B:$B,H22)</f>
        <v>18</v>
      </c>
      <c r="I26" s="13">
        <f>COUNTIFS('物赋排 '!$K:$K,"&lt;=4000",'物赋排 '!$B:$B,I22)</f>
        <v>10</v>
      </c>
      <c r="J26" s="13">
        <f>COUNTIFS('物赋排 '!$K:$K,"&lt;=4000",'物赋排 '!$B:$B,J22)</f>
        <v>24</v>
      </c>
      <c r="K26" s="13">
        <f>COUNTIFS('物赋排 '!$K:$K,"&lt;=4000",'物赋排 '!$B:$B,K22)</f>
        <v>53</v>
      </c>
      <c r="L26" s="13">
        <f>COUNTIFS('物赋排 '!$K:$K,"&lt;=4000",'物赋排 '!$B:$B,L22)</f>
        <v>43</v>
      </c>
      <c r="M26" s="13">
        <f>COUNTIFS('物赋排 '!$K:$K,"&lt;=4000",'物赋排 '!$B:$B,M22)</f>
        <v>26</v>
      </c>
      <c r="N26" s="13">
        <f>COUNTIFS('物赋排 '!$K:$K,"&lt;=4000",'物赋排 '!$B:$B,N22)</f>
        <v>17</v>
      </c>
      <c r="O26" s="13">
        <f>COUNTIFS('物赋排 '!$K:$K,"&lt;=4000",'物赋排 '!$B:$B,O22)</f>
        <v>16</v>
      </c>
      <c r="P26" s="13" t="s">
        <v>1903</v>
      </c>
      <c r="Q26" s="13">
        <f>COUNTIFS('史赋排 '!$K:$K,"&lt;=700",'史赋排 '!$B:$B,Q22)</f>
        <v>25</v>
      </c>
      <c r="R26" s="13">
        <f>COUNTIFS('史赋排 '!$K:$K,"&lt;=700",'史赋排 '!$B:$B,R22)</f>
        <v>18</v>
      </c>
      <c r="S26" s="13">
        <f>COUNTIFS('史赋排 '!$K:$K,"&lt;=700",'史赋排 '!$B:$B,S22)</f>
        <v>38</v>
      </c>
      <c r="T26" s="13">
        <f>COUNTIFS('史赋排 '!$K:$K,"&lt;=700",'史赋排 '!$B:$B,T22)</f>
        <v>24</v>
      </c>
      <c r="U26" s="13">
        <f>COUNTIFS('史赋排 '!$K:$K,"&lt;=700",'史赋排 '!$B:$B,U22)</f>
        <v>20</v>
      </c>
      <c r="W26" s="9">
        <v>1</v>
      </c>
      <c r="X26" s="9" t="s">
        <v>1740</v>
      </c>
      <c r="Y26" s="9">
        <v>63</v>
      </c>
      <c r="Z26" s="9">
        <v>63</v>
      </c>
      <c r="AA26" s="9"/>
      <c r="AB26" s="9">
        <v>63</v>
      </c>
      <c r="AC26" s="9"/>
      <c r="AE26" s="13" t="s">
        <v>1901</v>
      </c>
      <c r="AF26" s="13" t="s">
        <v>1903</v>
      </c>
      <c r="AG26" s="13">
        <v>39</v>
      </c>
      <c r="AI26" s="13" t="s">
        <v>1901</v>
      </c>
      <c r="AJ26" s="13" t="s">
        <v>1909</v>
      </c>
      <c r="AK26" s="13">
        <v>22</v>
      </c>
      <c r="AM26" s="13" t="s">
        <v>1901</v>
      </c>
      <c r="AN26" s="13" t="s">
        <v>1902</v>
      </c>
      <c r="AO26" s="13">
        <v>50</v>
      </c>
      <c r="AP26" s="13">
        <v>46</v>
      </c>
      <c r="AR26" s="13" t="s">
        <v>1901</v>
      </c>
      <c r="AS26" s="13" t="s">
        <v>1918</v>
      </c>
      <c r="AT26" s="13">
        <v>52</v>
      </c>
      <c r="AU26" s="13">
        <v>45</v>
      </c>
    </row>
    <row r="27" spans="1:47">
      <c r="A27" s="130" t="s">
        <v>1904</v>
      </c>
      <c r="B27" s="130" t="s">
        <v>1905</v>
      </c>
      <c r="C27" s="137">
        <f>COUNTIFS('物赋排 '!$K:$K,"&lt;=9000",'物赋排 '!$B:$B,C22)</f>
        <v>59</v>
      </c>
      <c r="D27" s="137">
        <f>COUNTIFS('物赋排 '!$K:$K,"&lt;=9000",'物赋排 '!$B:$B,D22)</f>
        <v>45</v>
      </c>
      <c r="E27" s="137">
        <f>COUNTIFS('物赋排 '!$K:$K,"&lt;=9000",'物赋排 '!$B:$B,E22)</f>
        <v>45</v>
      </c>
      <c r="F27" s="137">
        <f>COUNTIFS('物赋排 '!$K:$K,"&lt;=9000",'物赋排 '!$B:$B,F22)</f>
        <v>38</v>
      </c>
      <c r="G27" s="137">
        <f>COUNTIFS('物赋排 '!$K:$K,"&lt;=9000",'物赋排 '!$B:$B,G22)</f>
        <v>44</v>
      </c>
      <c r="H27" s="137">
        <f>COUNTIFS('物赋排 '!$K:$K,"&lt;=9000",'物赋排 '!$B:$B,H22)</f>
        <v>34</v>
      </c>
      <c r="I27" s="137">
        <f>COUNTIFS('物赋排 '!$K:$K,"&lt;=9000",'物赋排 '!$B:$B,I22)</f>
        <v>30</v>
      </c>
      <c r="J27" s="137">
        <f>COUNTIFS('物赋排 '!$K:$K,"&lt;=9000",'物赋排 '!$B:$B,J22)</f>
        <v>49</v>
      </c>
      <c r="K27" s="137">
        <f>COUNTIFS('物赋排 '!$K:$K,"&lt;=9000",'物赋排 '!$B:$B,K22)</f>
        <v>54</v>
      </c>
      <c r="L27" s="137">
        <f>COUNTIFS('物赋排 '!$K:$K,"&lt;=9000",'物赋排 '!$B:$B,L22)</f>
        <v>57</v>
      </c>
      <c r="M27" s="137">
        <f>COUNTIFS('物赋排 '!$K:$K,"&lt;=9000",'物赋排 '!$B:$B,M22)</f>
        <v>47</v>
      </c>
      <c r="N27" s="137">
        <f>COUNTIFS('物赋排 '!$K:$K,"&lt;=9000",'物赋排 '!$B:$B,N22)</f>
        <v>41</v>
      </c>
      <c r="O27" s="137">
        <f>COUNTIFS('物赋排 '!$K:$K,"&lt;=9000",'物赋排 '!$B:$B,O22)</f>
        <v>47</v>
      </c>
      <c r="P27" s="130" t="s">
        <v>1906</v>
      </c>
      <c r="Q27" s="137">
        <f>COUNTIFS('史赋排 '!$K:$K,"&lt;=1500",'史赋排 '!$B:$B,Q22)</f>
        <v>35</v>
      </c>
      <c r="R27" s="137">
        <f>COUNTIFS('史赋排 '!$K:$K,"&lt;=1500",'史赋排 '!$B:$B,R22)</f>
        <v>40</v>
      </c>
      <c r="S27" s="137">
        <f>COUNTIFS('史赋排 '!$K:$K,"&lt;=1500",'史赋排 '!$B:$B,S22)</f>
        <v>38</v>
      </c>
      <c r="T27" s="137">
        <f>COUNTIFS('史赋排 '!$K:$K,"&lt;=1500",'史赋排 '!$B:$B,T22)</f>
        <v>38</v>
      </c>
      <c r="U27" s="137">
        <f>COUNTIFS('史赋排 '!$K:$K,"&lt;=1500",'史赋排 '!$B:$B,U22)</f>
        <v>37</v>
      </c>
      <c r="W27" s="9">
        <v>2</v>
      </c>
      <c r="X27" s="9" t="s">
        <v>1741</v>
      </c>
      <c r="Y27" s="9">
        <v>48</v>
      </c>
      <c r="Z27" s="9"/>
      <c r="AA27" s="9"/>
      <c r="AB27" s="9">
        <v>48</v>
      </c>
      <c r="AC27" s="9">
        <v>48</v>
      </c>
      <c r="AE27" s="130" t="s">
        <v>1904</v>
      </c>
      <c r="AF27" s="130" t="s">
        <v>1906</v>
      </c>
      <c r="AG27" s="137">
        <v>39</v>
      </c>
      <c r="AI27" s="130" t="s">
        <v>1904</v>
      </c>
      <c r="AJ27" s="130" t="s">
        <v>1910</v>
      </c>
      <c r="AK27" s="137">
        <v>22</v>
      </c>
      <c r="AM27" s="130" t="s">
        <v>1904</v>
      </c>
      <c r="AN27" s="130" t="s">
        <v>1905</v>
      </c>
      <c r="AO27" s="137">
        <v>54</v>
      </c>
      <c r="AP27" s="137">
        <v>57</v>
      </c>
      <c r="AR27" s="130" t="s">
        <v>1904</v>
      </c>
      <c r="AS27" s="130" t="s">
        <v>1919</v>
      </c>
      <c r="AT27" s="137">
        <v>54</v>
      </c>
      <c r="AU27" s="137">
        <v>57</v>
      </c>
    </row>
    <row r="28" s="124" customFormat="1" spans="1:39">
      <c r="A28" s="125"/>
      <c r="W28" s="9">
        <v>3</v>
      </c>
      <c r="X28" s="9" t="s">
        <v>1742</v>
      </c>
      <c r="Y28" s="9">
        <v>49</v>
      </c>
      <c r="Z28" s="9">
        <v>49</v>
      </c>
      <c r="AA28" s="9">
        <v>49</v>
      </c>
      <c r="AB28" s="9"/>
      <c r="AC28" s="9"/>
      <c r="AE28" s="125"/>
      <c r="AM28" s="125"/>
    </row>
    <row r="29" spans="1:32">
      <c r="A29" s="135" t="s">
        <v>1893</v>
      </c>
      <c r="B29" s="136" t="s">
        <v>1</v>
      </c>
      <c r="C29" s="136">
        <v>1</v>
      </c>
      <c r="D29" s="136">
        <v>2</v>
      </c>
      <c r="E29" s="136">
        <v>3</v>
      </c>
      <c r="F29" s="136">
        <v>4</v>
      </c>
      <c r="G29" s="136">
        <v>5</v>
      </c>
      <c r="H29" s="136">
        <v>6</v>
      </c>
      <c r="I29" s="136">
        <v>7</v>
      </c>
      <c r="J29" s="136">
        <v>8</v>
      </c>
      <c r="K29" s="136">
        <v>9</v>
      </c>
      <c r="L29" s="136">
        <v>10</v>
      </c>
      <c r="M29" s="136">
        <v>11</v>
      </c>
      <c r="N29" s="136">
        <v>12</v>
      </c>
      <c r="O29" s="136">
        <v>13</v>
      </c>
      <c r="P29" s="136" t="s">
        <v>1</v>
      </c>
      <c r="Q29" s="136">
        <v>14</v>
      </c>
      <c r="R29" s="136">
        <v>15</v>
      </c>
      <c r="S29" s="136">
        <v>16</v>
      </c>
      <c r="T29" s="136">
        <v>17</v>
      </c>
      <c r="U29" s="136">
        <v>18</v>
      </c>
      <c r="W29" s="9">
        <v>4</v>
      </c>
      <c r="X29" s="9" t="s">
        <v>1742</v>
      </c>
      <c r="Y29" s="9">
        <v>46</v>
      </c>
      <c r="Z29" s="9">
        <v>46</v>
      </c>
      <c r="AA29" s="9">
        <v>46</v>
      </c>
      <c r="AB29" s="9"/>
      <c r="AC29" s="9"/>
      <c r="AF29"/>
    </row>
    <row r="30" spans="1:32">
      <c r="A30" s="130" t="s">
        <v>1894</v>
      </c>
      <c r="B30" s="130" t="s">
        <v>1895</v>
      </c>
      <c r="C30" s="137">
        <f>COUNTIFS('物赋排 '!$M:$M,"&lt;=70",'物赋排 '!$B:$B,C29)</f>
        <v>0</v>
      </c>
      <c r="D30" s="137">
        <f>COUNTIFS('物赋排 '!$M:$M,"&lt;=70",'物赋排 '!$B:$B,D29)</f>
        <v>0</v>
      </c>
      <c r="E30" s="137">
        <f>COUNTIFS('物赋排 '!$M:$M,"&lt;=70",'物赋排 '!$B:$B,E29)</f>
        <v>0</v>
      </c>
      <c r="F30" s="137">
        <f>COUNTIFS('物赋排 '!$M:$M,"&lt;=70",'物赋排 '!$B:$B,F29)</f>
        <v>0</v>
      </c>
      <c r="G30" s="137">
        <f>COUNTIFS('物赋排 '!$M:$M,"&lt;=70",'物赋排 '!$B:$B,G29)</f>
        <v>0</v>
      </c>
      <c r="H30" s="137">
        <f>COUNTIFS('物赋排 '!$M:$M,"&lt;=70",'物赋排 '!$B:$B,H29)</f>
        <v>0</v>
      </c>
      <c r="I30" s="137">
        <f>COUNTIFS('物赋排 '!$M:$M,"&lt;=70",'物赋排 '!$B:$B,I29)</f>
        <v>0</v>
      </c>
      <c r="J30" s="137">
        <f>COUNTIFS('物赋排 '!$M:$M,"&lt;=70",'物赋排 '!$B:$B,J29)</f>
        <v>0</v>
      </c>
      <c r="K30" s="137">
        <f>COUNTIFS('物赋排 '!$M:$M,"&lt;=70",'物赋排 '!$B:$B,K29)</f>
        <v>3</v>
      </c>
      <c r="L30" s="137">
        <f>COUNTIFS('物赋排 '!$M:$M,"&lt;=70",'物赋排 '!$B:$B,L29)</f>
        <v>3</v>
      </c>
      <c r="M30" s="137">
        <f>COUNTIFS('物赋排 '!$M:$M,"&lt;=70",'物赋排 '!$B:$B,M29)</f>
        <v>0</v>
      </c>
      <c r="N30" s="137">
        <f>COUNTIFS('物赋排 '!$M:$M,"&lt;=70",'物赋排 '!$B:$B,N29)</f>
        <v>0</v>
      </c>
      <c r="O30" s="137">
        <f>COUNTIFS('物赋排 '!$M:$M,"&lt;=70",'物赋排 '!$B:$B,O29)</f>
        <v>0</v>
      </c>
      <c r="P30" s="130" t="s">
        <v>1896</v>
      </c>
      <c r="Q30" s="137">
        <f>COUNTIFS('史赋排 '!$O:$O,"&lt;=30",'史赋排 '!$B:$B,Q29)</f>
        <v>0</v>
      </c>
      <c r="R30" s="137">
        <f>COUNTIFS('史赋排 '!$O:$O,"&lt;=30",'史赋排 '!$B:$B,R29)</f>
        <v>0</v>
      </c>
      <c r="S30" s="137">
        <f>COUNTIFS('史赋排 '!$O:$O,"&lt;=30",'史赋排 '!$B:$B,S29)</f>
        <v>3</v>
      </c>
      <c r="T30" s="137">
        <f>COUNTIFS('史赋排 '!$O:$O,"&lt;=30",'史赋排 '!$B:$B,T29)</f>
        <v>0</v>
      </c>
      <c r="U30" s="137">
        <f>COUNTIFS('史赋排 '!$O:$O,"&lt;=30",'史赋排 '!$B:$B,U29)</f>
        <v>3</v>
      </c>
      <c r="W30" s="9">
        <v>5</v>
      </c>
      <c r="X30" s="9" t="s">
        <v>1742</v>
      </c>
      <c r="Y30" s="9">
        <v>47</v>
      </c>
      <c r="Z30" s="9">
        <v>47</v>
      </c>
      <c r="AA30" s="9">
        <v>47</v>
      </c>
      <c r="AB30" s="9"/>
      <c r="AC30" s="9"/>
      <c r="AF30"/>
    </row>
    <row r="31" spans="1:32">
      <c r="A31" s="13">
        <v>985</v>
      </c>
      <c r="B31" s="13" t="s">
        <v>1897</v>
      </c>
      <c r="C31" s="13">
        <f>COUNTIFS('物赋排 '!$M:$M,"&lt;=500",'物赋排 '!$B:$B,C29)</f>
        <v>0</v>
      </c>
      <c r="D31" s="13">
        <f>COUNTIFS('物赋排 '!$M:$M,"&lt;=500",'物赋排 '!$B:$B,D29)</f>
        <v>0</v>
      </c>
      <c r="E31" s="13">
        <f>COUNTIFS('物赋排 '!$M:$M,"&lt;=500",'物赋排 '!$B:$B,E29)</f>
        <v>2</v>
      </c>
      <c r="F31" s="13">
        <f>COUNTIFS('物赋排 '!$M:$M,"&lt;=500",'物赋排 '!$B:$B,F29)</f>
        <v>0</v>
      </c>
      <c r="G31" s="13">
        <f>COUNTIFS('物赋排 '!$M:$M,"&lt;=500",'物赋排 '!$B:$B,G29)</f>
        <v>4</v>
      </c>
      <c r="H31" s="13">
        <f>COUNTIFS('物赋排 '!$M:$M,"&lt;=500",'物赋排 '!$B:$B,H29)</f>
        <v>3</v>
      </c>
      <c r="I31" s="13">
        <f>COUNTIFS('物赋排 '!$M:$M,"&lt;=500",'物赋排 '!$B:$B,I29)</f>
        <v>0</v>
      </c>
      <c r="J31" s="13">
        <f>COUNTIFS('物赋排 '!$M:$M,"&lt;=500",'物赋排 '!$B:$B,J29)</f>
        <v>1</v>
      </c>
      <c r="K31" s="13">
        <f>COUNTIFS('物赋排 '!$M:$M,"&lt;=500",'物赋排 '!$B:$B,K29)</f>
        <v>24</v>
      </c>
      <c r="L31" s="13">
        <f>COUNTIFS('物赋排 '!$M:$M,"&lt;=500",'物赋排 '!$B:$B,L29)</f>
        <v>6</v>
      </c>
      <c r="M31" s="13">
        <f>COUNTIFS('物赋排 '!$M:$M,"&lt;=500",'物赋排 '!$B:$B,M29)</f>
        <v>0</v>
      </c>
      <c r="N31" s="13">
        <f>COUNTIFS('物赋排 '!$M:$M,"&lt;=500",'物赋排 '!$B:$B,N29)</f>
        <v>1</v>
      </c>
      <c r="O31" s="13">
        <f>COUNTIFS('物赋排 '!$M:$M,"&lt;=500",'物赋排 '!$B:$B,O29)</f>
        <v>1</v>
      </c>
      <c r="P31" s="13" t="s">
        <v>1898</v>
      </c>
      <c r="Q31" s="13">
        <f>COUNTIFS('史赋排 '!$O:$O,"&lt;=100",'史赋排 '!$B:$B,Q29)</f>
        <v>5</v>
      </c>
      <c r="R31" s="13">
        <f>COUNTIFS('史赋排 '!$O:$O,"&lt;=100",'史赋排 '!$B:$B,R29)</f>
        <v>0</v>
      </c>
      <c r="S31" s="13">
        <f>COUNTIFS('史赋排 '!$O:$O,"&lt;=100",'史赋排 '!$B:$B,S29)</f>
        <v>7</v>
      </c>
      <c r="T31" s="13">
        <f>COUNTIFS('史赋排 '!$O:$O,"&lt;=100",'史赋排 '!$B:$B,T29)</f>
        <v>0</v>
      </c>
      <c r="U31" s="13">
        <f>COUNTIFS('史赋排 '!$O:$O,"&lt;=100",'史赋排 '!$B:$B,U29)</f>
        <v>4</v>
      </c>
      <c r="W31" s="9">
        <v>6</v>
      </c>
      <c r="X31" s="34" t="s">
        <v>1743</v>
      </c>
      <c r="Y31" s="9">
        <v>39</v>
      </c>
      <c r="Z31" s="9"/>
      <c r="AA31" s="9">
        <v>39</v>
      </c>
      <c r="AB31" s="9"/>
      <c r="AC31" s="9">
        <v>39</v>
      </c>
      <c r="AF31"/>
    </row>
    <row r="32" spans="1:32">
      <c r="A32" s="130">
        <v>211</v>
      </c>
      <c r="B32" s="130" t="s">
        <v>1899</v>
      </c>
      <c r="C32" s="137">
        <f>COUNTIFS('物赋排 '!$M:$M,"&lt;=1300",'物赋排 '!$B:$B,C29)</f>
        <v>4</v>
      </c>
      <c r="D32" s="137">
        <f>COUNTIFS('物赋排 '!$M:$M,"&lt;=1300",'物赋排 '!$B:$B,D29)</f>
        <v>3</v>
      </c>
      <c r="E32" s="137">
        <f>COUNTIFS('物赋排 '!$M:$M,"&lt;=1300",'物赋排 '!$B:$B,E29)</f>
        <v>6</v>
      </c>
      <c r="F32" s="137">
        <f>COUNTIFS('物赋排 '!$M:$M,"&lt;=1300",'物赋排 '!$B:$B,F29)</f>
        <v>1</v>
      </c>
      <c r="G32" s="137">
        <f>COUNTIFS('物赋排 '!$M:$M,"&lt;=1300",'物赋排 '!$B:$B,G29)</f>
        <v>5</v>
      </c>
      <c r="H32" s="137">
        <f>COUNTIFS('物赋排 '!$M:$M,"&lt;=1300",'物赋排 '!$B:$B,H29)</f>
        <v>5</v>
      </c>
      <c r="I32" s="137">
        <f>COUNTIFS('物赋排 '!$M:$M,"&lt;=1300",'物赋排 '!$B:$B,I29)</f>
        <v>1</v>
      </c>
      <c r="J32" s="137">
        <f>COUNTIFS('物赋排 '!$M:$M,"&lt;=1300",'物赋排 '!$B:$B,J29)</f>
        <v>6</v>
      </c>
      <c r="K32" s="137">
        <f>COUNTIFS('物赋排 '!$M:$M,"&lt;=1300",'物赋排 '!$B:$B,K29)</f>
        <v>39</v>
      </c>
      <c r="L32" s="137">
        <f>COUNTIFS('物赋排 '!$M:$M,"&lt;=1300",'物赋排 '!$B:$B,L29)</f>
        <v>16</v>
      </c>
      <c r="M32" s="137">
        <f>COUNTIFS('物赋排 '!$M:$M,"&lt;=1300",'物赋排 '!$B:$B,M29)</f>
        <v>1</v>
      </c>
      <c r="N32" s="137">
        <f>COUNTIFS('物赋排 '!$M:$M,"&lt;=1300",'物赋排 '!$B:$B,N29)</f>
        <v>5</v>
      </c>
      <c r="O32" s="137">
        <f>COUNTIFS('物赋排 '!$M:$M,"&lt;=1300",'物赋排 '!$B:$B,O29)</f>
        <v>4</v>
      </c>
      <c r="P32" s="130" t="s">
        <v>1900</v>
      </c>
      <c r="Q32" s="137">
        <f>COUNTIFS('史赋排 '!$O:$O,"&lt;=200",'史赋排 '!$B:$B,Q29)</f>
        <v>6</v>
      </c>
      <c r="R32" s="137">
        <f>COUNTIFS('史赋排 '!$O:$O,"&lt;=200",'史赋排 '!$B:$B,R29)</f>
        <v>1</v>
      </c>
      <c r="S32" s="137">
        <f>COUNTIFS('史赋排 '!$O:$O,"&lt;=200",'史赋排 '!$B:$B,S29)</f>
        <v>14</v>
      </c>
      <c r="T32" s="137">
        <f>COUNTIFS('史赋排 '!$O:$O,"&lt;=200",'史赋排 '!$B:$B,T29)</f>
        <v>5</v>
      </c>
      <c r="U32" s="137">
        <f>COUNTIFS('史赋排 '!$O:$O,"&lt;=200",'史赋排 '!$B:$B,U29)</f>
        <v>5</v>
      </c>
      <c r="W32" s="9">
        <v>7</v>
      </c>
      <c r="X32" s="9" t="s">
        <v>1743</v>
      </c>
      <c r="Y32" s="9">
        <v>38</v>
      </c>
      <c r="Z32" s="9"/>
      <c r="AA32" s="9">
        <v>38</v>
      </c>
      <c r="AB32" s="9"/>
      <c r="AC32" s="9">
        <v>38</v>
      </c>
      <c r="AF32"/>
    </row>
    <row r="33" spans="1:32">
      <c r="A33" s="13" t="s">
        <v>1901</v>
      </c>
      <c r="B33" s="13" t="s">
        <v>1902</v>
      </c>
      <c r="C33" s="13">
        <f>COUNTIFS('物赋排 '!$M:$M,"&lt;=4000",'物赋排 '!$B:$B,C29)</f>
        <v>30</v>
      </c>
      <c r="D33" s="13">
        <f>COUNTIFS('物赋排 '!$M:$M,"&lt;=4000",'物赋排 '!$B:$B,D29)</f>
        <v>17</v>
      </c>
      <c r="E33" s="13">
        <f>COUNTIFS('物赋排 '!$M:$M,"&lt;=4000",'物赋排 '!$B:$B,E29)</f>
        <v>19</v>
      </c>
      <c r="F33" s="13">
        <f>COUNTIFS('物赋排 '!$M:$M,"&lt;=4000",'物赋排 '!$B:$B,F29)</f>
        <v>19</v>
      </c>
      <c r="G33" s="13">
        <f>COUNTIFS('物赋排 '!$M:$M,"&lt;=4000",'物赋排 '!$B:$B,G29)</f>
        <v>21</v>
      </c>
      <c r="H33" s="13">
        <f>COUNTIFS('物赋排 '!$M:$M,"&lt;=4000",'物赋排 '!$B:$B,H29)</f>
        <v>20</v>
      </c>
      <c r="I33" s="13">
        <f>COUNTIFS('物赋排 '!$M:$M,"&lt;=4000",'物赋排 '!$B:$B,I29)</f>
        <v>8</v>
      </c>
      <c r="J33" s="13">
        <f>COUNTIFS('物赋排 '!$M:$M,"&lt;=4000",'物赋排 '!$B:$B,J29)</f>
        <v>33</v>
      </c>
      <c r="K33" s="13">
        <f>COUNTIFS('物赋排 '!$M:$M,"&lt;=4000",'物赋排 '!$B:$B,K29)</f>
        <v>54</v>
      </c>
      <c r="L33" s="13">
        <f>COUNTIFS('物赋排 '!$M:$M,"&lt;=4000",'物赋排 '!$B:$B,L29)</f>
        <v>50</v>
      </c>
      <c r="M33" s="13">
        <f>COUNTIFS('物赋排 '!$M:$M,"&lt;=4000",'物赋排 '!$B:$B,M29)</f>
        <v>24</v>
      </c>
      <c r="N33" s="13">
        <f>COUNTIFS('物赋排 '!$M:$M,"&lt;=4000",'物赋排 '!$B:$B,N29)</f>
        <v>20</v>
      </c>
      <c r="O33" s="13">
        <f>COUNTIFS('物赋排 '!$M:$M,"&lt;=4000",'物赋排 '!$B:$B,O29)</f>
        <v>25</v>
      </c>
      <c r="P33" s="13" t="s">
        <v>1903</v>
      </c>
      <c r="Q33" s="13">
        <f>COUNTIFS('史赋排 '!$O:$O,"&lt;=700",'史赋排 '!$B:$B,Q29)</f>
        <v>18</v>
      </c>
      <c r="R33" s="13">
        <f>COUNTIFS('史赋排 '!$O:$O,"&lt;=700",'史赋排 '!$B:$B,R29)</f>
        <v>19</v>
      </c>
      <c r="S33" s="13">
        <f>COUNTIFS('史赋排 '!$O:$O,"&lt;=700",'史赋排 '!$B:$B,S29)</f>
        <v>30</v>
      </c>
      <c r="T33" s="13">
        <f>COUNTIFS('史赋排 '!$O:$O,"&lt;=700",'史赋排 '!$B:$B,T29)</f>
        <v>18</v>
      </c>
      <c r="U33" s="13">
        <f>COUNTIFS('史赋排 '!$O:$O,"&lt;=700",'史赋排 '!$B:$B,U29)</f>
        <v>15</v>
      </c>
      <c r="W33" s="9">
        <v>8</v>
      </c>
      <c r="X33" s="9" t="s">
        <v>1744</v>
      </c>
      <c r="Y33" s="9">
        <v>57</v>
      </c>
      <c r="Z33" s="9">
        <v>57</v>
      </c>
      <c r="AA33" s="9"/>
      <c r="AB33" s="9"/>
      <c r="AC33" s="9">
        <v>57</v>
      </c>
      <c r="AF33"/>
    </row>
    <row r="34" spans="1:32">
      <c r="A34" s="130" t="s">
        <v>1904</v>
      </c>
      <c r="B34" s="130" t="s">
        <v>1905</v>
      </c>
      <c r="C34" s="137">
        <f>COUNTIFS('物赋排 '!$M:$M,"&lt;=9000",'物赋排 '!$B:$B,C29)</f>
        <v>58</v>
      </c>
      <c r="D34" s="137">
        <f>COUNTIFS('物赋排 '!$M:$M,"&lt;=9000",'物赋排 '!$B:$B,D29)</f>
        <v>44</v>
      </c>
      <c r="E34" s="137">
        <f>COUNTIFS('物赋排 '!$M:$M,"&lt;=9000",'物赋排 '!$B:$B,E29)</f>
        <v>45</v>
      </c>
      <c r="F34" s="137">
        <f>COUNTIFS('物赋排 '!$M:$M,"&lt;=9000",'物赋排 '!$B:$B,F29)</f>
        <v>40</v>
      </c>
      <c r="G34" s="137">
        <f>COUNTIFS('物赋排 '!$M:$M,"&lt;=9000",'物赋排 '!$B:$B,G29)</f>
        <v>43</v>
      </c>
      <c r="H34" s="137">
        <f>COUNTIFS('物赋排 '!$M:$M,"&lt;=9000",'物赋排 '!$B:$B,H29)</f>
        <v>34</v>
      </c>
      <c r="I34" s="137">
        <f>COUNTIFS('物赋排 '!$M:$M,"&lt;=9000",'物赋排 '!$B:$B,I29)</f>
        <v>28</v>
      </c>
      <c r="J34" s="137">
        <f>COUNTIFS('物赋排 '!$M:$M,"&lt;=9000",'物赋排 '!$B:$B,J29)</f>
        <v>55</v>
      </c>
      <c r="K34" s="137">
        <f>COUNTIFS('物赋排 '!$M:$M,"&lt;=9000",'物赋排 '!$B:$B,K29)</f>
        <v>54</v>
      </c>
      <c r="L34" s="137">
        <f>COUNTIFS('物赋排 '!$M:$M,"&lt;=9000",'物赋排 '!$B:$B,L29)</f>
        <v>57</v>
      </c>
      <c r="M34" s="137">
        <f>COUNTIFS('物赋排 '!$M:$M,"&lt;=9000",'物赋排 '!$B:$B,M29)</f>
        <v>50</v>
      </c>
      <c r="N34" s="137">
        <f>COUNTIFS('物赋排 '!$M:$M,"&lt;=9000",'物赋排 '!$B:$B,N29)</f>
        <v>49</v>
      </c>
      <c r="O34" s="137">
        <f>COUNTIFS('物赋排 '!$M:$M,"&lt;=9000",'物赋排 '!$B:$B,O29)</f>
        <v>51</v>
      </c>
      <c r="P34" s="130" t="s">
        <v>1906</v>
      </c>
      <c r="Q34" s="137">
        <f>COUNTIFS('史赋排 '!$O:$O,"&lt;=1500",'史赋排 '!$B:$B,Q29)</f>
        <v>32</v>
      </c>
      <c r="R34" s="137">
        <f>COUNTIFS('史赋排 '!$O:$O,"&lt;=1500",'史赋排 '!$B:$B,R29)</f>
        <v>35</v>
      </c>
      <c r="S34" s="137">
        <f>COUNTIFS('史赋排 '!$O:$O,"&lt;=1500",'史赋排 '!$B:$B,S29)</f>
        <v>37</v>
      </c>
      <c r="T34" s="137">
        <f>COUNTIFS('史赋排 '!$O:$O,"&lt;=1500",'史赋排 '!$B:$B,T29)</f>
        <v>32</v>
      </c>
      <c r="U34" s="137">
        <f>COUNTIFS('史赋排 '!$O:$O,"&lt;=1500",'史赋排 '!$B:$B,U29)</f>
        <v>30</v>
      </c>
      <c r="W34" s="9">
        <v>9</v>
      </c>
      <c r="X34" s="9" t="s">
        <v>1744</v>
      </c>
      <c r="Y34" s="9">
        <v>54</v>
      </c>
      <c r="Z34" s="9">
        <v>54</v>
      </c>
      <c r="AA34" s="9"/>
      <c r="AB34" s="9"/>
      <c r="AC34" s="9">
        <v>54</v>
      </c>
      <c r="AF34"/>
    </row>
    <row r="35" s="124" customFormat="1" spans="1:29">
      <c r="A35" s="125"/>
      <c r="W35" s="9">
        <v>10</v>
      </c>
      <c r="X35" s="9" t="s">
        <v>1744</v>
      </c>
      <c r="Y35" s="9">
        <v>57</v>
      </c>
      <c r="Z35" s="9">
        <v>57</v>
      </c>
      <c r="AA35" s="9"/>
      <c r="AB35" s="9"/>
      <c r="AC35" s="9">
        <v>57</v>
      </c>
    </row>
    <row r="36" spans="1:32">
      <c r="A36" s="135" t="s">
        <v>10</v>
      </c>
      <c r="B36" s="136" t="s">
        <v>1</v>
      </c>
      <c r="C36" s="136">
        <v>1</v>
      </c>
      <c r="D36" s="136">
        <v>2</v>
      </c>
      <c r="E36" s="136">
        <v>3</v>
      </c>
      <c r="F36" s="136">
        <v>4</v>
      </c>
      <c r="G36" s="136">
        <v>5</v>
      </c>
      <c r="H36" s="136">
        <v>6</v>
      </c>
      <c r="I36" s="136">
        <v>7</v>
      </c>
      <c r="J36" s="136">
        <v>8</v>
      </c>
      <c r="K36" s="136">
        <v>9</v>
      </c>
      <c r="L36" s="136">
        <v>10</v>
      </c>
      <c r="M36" s="136">
        <v>11</v>
      </c>
      <c r="N36" s="136">
        <v>12</v>
      </c>
      <c r="O36" s="136">
        <v>13</v>
      </c>
      <c r="P36" s="136" t="s">
        <v>1</v>
      </c>
      <c r="Q36" s="136">
        <v>14</v>
      </c>
      <c r="R36" s="136">
        <v>15</v>
      </c>
      <c r="S36" s="136">
        <v>16</v>
      </c>
      <c r="T36" s="136">
        <v>17</v>
      </c>
      <c r="U36" s="136">
        <v>18</v>
      </c>
      <c r="W36" s="9">
        <v>11</v>
      </c>
      <c r="X36" s="9" t="s">
        <v>1744</v>
      </c>
      <c r="Y36" s="9">
        <v>56</v>
      </c>
      <c r="Z36" s="9">
        <v>56</v>
      </c>
      <c r="AA36" s="9"/>
      <c r="AB36" s="9"/>
      <c r="AC36" s="9">
        <v>56</v>
      </c>
      <c r="AF36"/>
    </row>
    <row r="37" spans="1:32">
      <c r="A37" s="130" t="s">
        <v>1894</v>
      </c>
      <c r="B37" s="130" t="s">
        <v>1911</v>
      </c>
      <c r="C37" s="137">
        <f>COUNTIFS('物赋排 '!$Q:$Q,"&lt;=60",'物赋排 '!$B:$B,C36)</f>
        <v>0</v>
      </c>
      <c r="D37" s="137"/>
      <c r="E37" s="137">
        <f>COUNTIFS('物赋排 '!$Q:$Q,"&lt;=60",'物赋排 '!$B:$B,E36)</f>
        <v>0</v>
      </c>
      <c r="F37" s="137">
        <f>COUNTIFS('物赋排 '!$Q:$Q,"&lt;=60",'物赋排 '!$B:$B,F36)</f>
        <v>0</v>
      </c>
      <c r="G37" s="137">
        <f>COUNTIFS('物赋排 '!$Q:$Q,"&lt;=60",'物赋排 '!$B:$B,G36)</f>
        <v>1</v>
      </c>
      <c r="H37" s="137"/>
      <c r="I37" s="137"/>
      <c r="J37" s="137">
        <f>COUNTIFS('物赋排 '!$Q:$Q,"&lt;=60",'物赋排 '!$B:$B,J36)</f>
        <v>0</v>
      </c>
      <c r="K37" s="137">
        <f>COUNTIFS('物赋排 '!$Q:$Q,"&lt;=60",'物赋排 '!$B:$B,K36)</f>
        <v>3</v>
      </c>
      <c r="L37" s="137">
        <f>COUNTIFS('物赋排 '!$Q:$Q,"&lt;=60",'物赋排 '!$B:$B,L36)</f>
        <v>2</v>
      </c>
      <c r="M37" s="137">
        <f>COUNTIFS('物赋排 '!$Q:$Q,"&lt;=60",'物赋排 '!$B:$B,M36)</f>
        <v>0</v>
      </c>
      <c r="N37" s="137">
        <f>COUNTIFS('物赋排 '!$Q:$Q,"&lt;=60",'物赋排 '!$B:$B,N36)</f>
        <v>0</v>
      </c>
      <c r="O37" s="137">
        <f>COUNTIFS('物赋排 '!$Q:$Q,"&lt;=60",'物赋排 '!$B:$B,O36)</f>
        <v>0</v>
      </c>
      <c r="P37" s="130"/>
      <c r="Q37" s="137"/>
      <c r="R37" s="137"/>
      <c r="S37" s="137"/>
      <c r="T37" s="137"/>
      <c r="U37" s="137"/>
      <c r="W37" s="9">
        <v>12</v>
      </c>
      <c r="X37" s="9" t="s">
        <v>1744</v>
      </c>
      <c r="Y37" s="9">
        <v>57</v>
      </c>
      <c r="Z37" s="9">
        <v>57</v>
      </c>
      <c r="AA37" s="9"/>
      <c r="AB37" s="9"/>
      <c r="AC37" s="9">
        <v>57</v>
      </c>
      <c r="AF37"/>
    </row>
    <row r="38" spans="1:32">
      <c r="A38" s="13">
        <v>985</v>
      </c>
      <c r="B38" s="13" t="s">
        <v>1913</v>
      </c>
      <c r="C38" s="13">
        <f>COUNTIFS('物赋排 '!$Q:$Q,"&lt;=400",'物赋排 '!$B:$B,C36)</f>
        <v>1</v>
      </c>
      <c r="D38" s="13"/>
      <c r="E38" s="13">
        <f>COUNTIFS('物赋排 '!$Q:$Q,"&lt;=400",'物赋排 '!$B:$B,E36)</f>
        <v>2</v>
      </c>
      <c r="F38" s="13">
        <f>COUNTIFS('物赋排 '!$Q:$Q,"&lt;=400",'物赋排 '!$B:$B,F36)</f>
        <v>1</v>
      </c>
      <c r="G38" s="13">
        <f>COUNTIFS('物赋排 '!$Q:$Q,"&lt;=400",'物赋排 '!$B:$B,G36)</f>
        <v>1</v>
      </c>
      <c r="H38" s="13"/>
      <c r="I38" s="13"/>
      <c r="J38" s="13">
        <f>COUNTIFS('物赋排 '!$Q:$Q,"&lt;=400",'物赋排 '!$B:$B,J36)</f>
        <v>3</v>
      </c>
      <c r="K38" s="13">
        <f>COUNTIFS('物赋排 '!$Q:$Q,"&lt;=400",'物赋排 '!$B:$B,K36)</f>
        <v>18</v>
      </c>
      <c r="L38" s="13">
        <f>COUNTIFS('物赋排 '!$Q:$Q,"&lt;=400",'物赋排 '!$B:$B,L36)</f>
        <v>11</v>
      </c>
      <c r="M38" s="13">
        <f>COUNTIFS('物赋排 '!$Q:$Q,"&lt;=400",'物赋排 '!$B:$B,M36)</f>
        <v>0</v>
      </c>
      <c r="N38" s="13">
        <f>COUNTIFS('物赋排 '!$Q:$Q,"&lt;=400",'物赋排 '!$B:$B,N36)</f>
        <v>2</v>
      </c>
      <c r="O38" s="13">
        <f>COUNTIFS('物赋排 '!$Q:$Q,"&lt;=400",'物赋排 '!$B:$B,O36)</f>
        <v>4</v>
      </c>
      <c r="P38" s="13"/>
      <c r="Q38" s="13"/>
      <c r="R38" s="13"/>
      <c r="S38" s="13"/>
      <c r="T38" s="13"/>
      <c r="U38" s="13"/>
      <c r="W38" s="9">
        <v>13</v>
      </c>
      <c r="X38" s="9" t="s">
        <v>1744</v>
      </c>
      <c r="Y38" s="9">
        <v>55</v>
      </c>
      <c r="Z38" s="9">
        <v>55</v>
      </c>
      <c r="AA38" s="9"/>
      <c r="AB38" s="9"/>
      <c r="AC38" s="9">
        <v>55</v>
      </c>
      <c r="AF38"/>
    </row>
    <row r="39" spans="1:32">
      <c r="A39" s="130">
        <v>211</v>
      </c>
      <c r="B39" s="130" t="s">
        <v>1914</v>
      </c>
      <c r="C39" s="137">
        <f>COUNTIFS('物赋排 '!$Q:$Q,"&lt;=1050",'物赋排 '!$B:$B,C36)</f>
        <v>3</v>
      </c>
      <c r="D39" s="137"/>
      <c r="E39" s="137">
        <f>COUNTIFS('物赋排 '!$Q:$Q,"&lt;=1050",'物赋排 '!$B:$B,E36)</f>
        <v>3</v>
      </c>
      <c r="F39" s="137">
        <f>COUNTIFS('物赋排 '!$Q:$Q,"&lt;=1050",'物赋排 '!$B:$B,F36)</f>
        <v>2</v>
      </c>
      <c r="G39" s="137">
        <f>COUNTIFS('物赋排 '!$Q:$Q,"&lt;=1050",'物赋排 '!$B:$B,G36)</f>
        <v>4</v>
      </c>
      <c r="H39" s="137"/>
      <c r="I39" s="137"/>
      <c r="J39" s="137">
        <f>COUNTIFS('物赋排 '!$Q:$Q,"&lt;=1050",'物赋排 '!$B:$B,J36)</f>
        <v>4</v>
      </c>
      <c r="K39" s="137">
        <f>COUNTIFS('物赋排 '!$Q:$Q,"&lt;=1050",'物赋排 '!$B:$B,K36)</f>
        <v>21</v>
      </c>
      <c r="L39" s="137">
        <f>COUNTIFS('物赋排 '!$Q:$Q,"&lt;=1050",'物赋排 '!$B:$B,L36)</f>
        <v>14</v>
      </c>
      <c r="M39" s="137">
        <f>COUNTIFS('物赋排 '!$Q:$Q,"&lt;=1050",'物赋排 '!$B:$B,M36)</f>
        <v>2</v>
      </c>
      <c r="N39" s="137">
        <f>COUNTIFS('物赋排 '!$Q:$Q,"&lt;=1050",'物赋排 '!$B:$B,N36)</f>
        <v>2</v>
      </c>
      <c r="O39" s="137">
        <f>COUNTIFS('物赋排 '!$Q:$Q,"&lt;=1050",'物赋排 '!$B:$B,O36)</f>
        <v>6</v>
      </c>
      <c r="P39" s="130"/>
      <c r="Q39" s="137"/>
      <c r="R39" s="137"/>
      <c r="S39" s="137"/>
      <c r="T39" s="137"/>
      <c r="U39" s="137"/>
      <c r="W39" s="34" t="s">
        <v>1849</v>
      </c>
      <c r="X39" s="34"/>
      <c r="Y39" s="34">
        <f>SUM(Y26:Y38)</f>
        <v>666</v>
      </c>
      <c r="Z39" s="34">
        <f>SUM(Z26:Z38)</f>
        <v>541</v>
      </c>
      <c r="AA39" s="34">
        <f>SUM(AA26:AA38)</f>
        <v>219</v>
      </c>
      <c r="AB39" s="34">
        <f>SUM(AB26:AB38)</f>
        <v>111</v>
      </c>
      <c r="AC39" s="34">
        <f>SUM(AC26:AC38)</f>
        <v>461</v>
      </c>
      <c r="AF39"/>
    </row>
    <row r="40" spans="1:32">
      <c r="A40" s="13" t="s">
        <v>1901</v>
      </c>
      <c r="B40" s="13" t="s">
        <v>1915</v>
      </c>
      <c r="C40" s="13">
        <f>COUNTIFS('物赋排 '!$Q:$Q,"&lt;=3250",'物赋排 '!$B:$B,C36)</f>
        <v>20</v>
      </c>
      <c r="D40" s="13"/>
      <c r="E40" s="13">
        <f>COUNTIFS('物赋排 '!$Q:$Q,"&lt;=3250",'物赋排 '!$B:$B,E36)</f>
        <v>17</v>
      </c>
      <c r="F40" s="13">
        <f>COUNTIFS('物赋排 '!$Q:$Q,"&lt;=3250",'物赋排 '!$B:$B,F36)</f>
        <v>14</v>
      </c>
      <c r="G40" s="13">
        <f>COUNTIFS('物赋排 '!$Q:$Q,"&lt;=3250",'物赋排 '!$B:$B,G36)</f>
        <v>22</v>
      </c>
      <c r="H40" s="13"/>
      <c r="I40" s="13"/>
      <c r="J40" s="13">
        <f>COUNTIFS('物赋排 '!$Q:$Q,"&lt;=3250",'物赋排 '!$B:$B,J36)</f>
        <v>19</v>
      </c>
      <c r="K40" s="13">
        <f>COUNTIFS('物赋排 '!$Q:$Q,"&lt;=3250",'物赋排 '!$B:$B,K36)</f>
        <v>42</v>
      </c>
      <c r="L40" s="13">
        <f>COUNTIFS('物赋排 '!$Q:$Q,"&lt;=3250",'物赋排 '!$B:$B,L36)</f>
        <v>42</v>
      </c>
      <c r="M40" s="13">
        <f>COUNTIFS('物赋排 '!$Q:$Q,"&lt;=3250",'物赋排 '!$B:$B,M36)</f>
        <v>29</v>
      </c>
      <c r="N40" s="13">
        <f>COUNTIFS('物赋排 '!$Q:$Q,"&lt;=3250",'物赋排 '!$B:$B,N36)</f>
        <v>16</v>
      </c>
      <c r="O40" s="13">
        <f>COUNTIFS('物赋排 '!$Q:$Q,"&lt;=3250",'物赋排 '!$B:$B,O36)</f>
        <v>19</v>
      </c>
      <c r="P40" s="13"/>
      <c r="Q40" s="13"/>
      <c r="R40" s="13"/>
      <c r="S40" s="13"/>
      <c r="T40" s="13"/>
      <c r="U40" s="13"/>
      <c r="W40" s="9" t="s">
        <v>1920</v>
      </c>
      <c r="X40" s="130" t="s">
        <v>1894</v>
      </c>
      <c r="Y40" s="9"/>
      <c r="Z40" s="11">
        <f>Z39/$Y$39*70</f>
        <v>56.8618618618619</v>
      </c>
      <c r="AA40" s="11">
        <f>AA39/$Y$39*70</f>
        <v>23.018018018018</v>
      </c>
      <c r="AB40" s="11">
        <f>AB39/$Y$39*70</f>
        <v>11.6666666666667</v>
      </c>
      <c r="AC40" s="11">
        <f>AC39/$Y$39*70</f>
        <v>48.4534534534535</v>
      </c>
      <c r="AF40"/>
    </row>
    <row r="41" spans="1:32">
      <c r="A41" s="130" t="s">
        <v>1904</v>
      </c>
      <c r="B41" s="130" t="s">
        <v>1916</v>
      </c>
      <c r="C41" s="137">
        <f>COUNTIFS('物赋排 '!$Q:$Q,"&lt;=7300",'物赋排 '!$B:$B,C36)</f>
        <v>53</v>
      </c>
      <c r="D41" s="137"/>
      <c r="E41" s="137">
        <f>COUNTIFS('物赋排 '!$Q:$Q,"&lt;=7300",'物赋排 '!$B:$B,E36)</f>
        <v>34</v>
      </c>
      <c r="F41" s="137">
        <f>COUNTIFS('物赋排 '!$Q:$Q,"&lt;=7300",'物赋排 '!$B:$B,F36)</f>
        <v>32</v>
      </c>
      <c r="G41" s="137">
        <f>COUNTIFS('物赋排 '!$Q:$Q,"&lt;=7300",'物赋排 '!$B:$B,G36)</f>
        <v>39</v>
      </c>
      <c r="H41" s="137"/>
      <c r="I41" s="137"/>
      <c r="J41" s="137">
        <f>COUNTIFS('物赋排 '!$Q:$Q,"&lt;=7300",'物赋排 '!$B:$B,J36)</f>
        <v>44</v>
      </c>
      <c r="K41" s="137">
        <f>COUNTIFS('物赋排 '!$Q:$Q,"&lt;=7300",'物赋排 '!$B:$B,K36)</f>
        <v>52</v>
      </c>
      <c r="L41" s="137">
        <f>COUNTIFS('物赋排 '!$Q:$Q,"&lt;=7300",'物赋排 '!$B:$B,L36)</f>
        <v>55</v>
      </c>
      <c r="M41" s="137">
        <f>COUNTIFS('物赋排 '!$Q:$Q,"&lt;=7300",'物赋排 '!$B:$B,M36)</f>
        <v>45</v>
      </c>
      <c r="N41" s="137">
        <f>COUNTIFS('物赋排 '!$Q:$Q,"&lt;=7300",'物赋排 '!$B:$B,N36)</f>
        <v>36</v>
      </c>
      <c r="O41" s="137">
        <f>COUNTIFS('物赋排 '!$Q:$Q,"&lt;=7300",'物赋排 '!$B:$B,O36)</f>
        <v>42</v>
      </c>
      <c r="P41" s="130"/>
      <c r="Q41" s="137"/>
      <c r="R41" s="137"/>
      <c r="S41" s="137"/>
      <c r="T41" s="137"/>
      <c r="U41" s="137"/>
      <c r="W41" s="9"/>
      <c r="X41" s="13">
        <v>985</v>
      </c>
      <c r="Y41" s="9"/>
      <c r="Z41" s="11">
        <f>Z39/$Y$39*500</f>
        <v>406.156156156156</v>
      </c>
      <c r="AA41" s="11">
        <f>AA39/$Y$39*500</f>
        <v>164.414414414414</v>
      </c>
      <c r="AB41" s="11">
        <f>AB39/$Y$39*500</f>
        <v>83.3333333333333</v>
      </c>
      <c r="AC41" s="11">
        <f>AC39/$Y$39*500</f>
        <v>346.096096096096</v>
      </c>
      <c r="AF41"/>
    </row>
    <row r="42" s="124" customFormat="1" spans="1:29">
      <c r="A42" s="125"/>
      <c r="W42" s="9"/>
      <c r="X42" s="130">
        <v>211</v>
      </c>
      <c r="Y42" s="9"/>
      <c r="Z42" s="11">
        <f>Z39/$Y$39*1300</f>
        <v>1056.00600600601</v>
      </c>
      <c r="AA42" s="11">
        <f>AA39/$Y$39*1300</f>
        <v>427.477477477478</v>
      </c>
      <c r="AB42" s="11">
        <f>AB39/$Y$39*1300</f>
        <v>216.666666666667</v>
      </c>
      <c r="AC42" s="11">
        <f>AC39/$Y$39*1300</f>
        <v>899.84984984985</v>
      </c>
    </row>
    <row r="43" spans="1:32">
      <c r="A43" s="135" t="s">
        <v>11</v>
      </c>
      <c r="B43" s="136" t="s">
        <v>1</v>
      </c>
      <c r="C43" s="136">
        <v>1</v>
      </c>
      <c r="D43" s="136">
        <v>2</v>
      </c>
      <c r="E43" s="136">
        <v>3</v>
      </c>
      <c r="F43" s="136">
        <v>4</v>
      </c>
      <c r="G43" s="136">
        <v>5</v>
      </c>
      <c r="H43" s="136">
        <v>6</v>
      </c>
      <c r="I43" s="136">
        <v>7</v>
      </c>
      <c r="J43" s="136">
        <v>8</v>
      </c>
      <c r="K43" s="136">
        <v>9</v>
      </c>
      <c r="L43" s="136">
        <v>10</v>
      </c>
      <c r="M43" s="136">
        <v>11</v>
      </c>
      <c r="N43" s="136">
        <v>12</v>
      </c>
      <c r="O43" s="136">
        <v>13</v>
      </c>
      <c r="P43" s="136" t="s">
        <v>1</v>
      </c>
      <c r="Q43" s="136">
        <v>14</v>
      </c>
      <c r="R43" s="136">
        <v>15</v>
      </c>
      <c r="S43" s="136">
        <v>16</v>
      </c>
      <c r="T43" s="136">
        <v>17</v>
      </c>
      <c r="U43" s="136">
        <v>18</v>
      </c>
      <c r="W43" s="9"/>
      <c r="X43" s="13" t="s">
        <v>1901</v>
      </c>
      <c r="Y43" s="9"/>
      <c r="Z43" s="11">
        <f>Z39/$Y$39*4000</f>
        <v>3249.24924924925</v>
      </c>
      <c r="AA43" s="11">
        <f>AA39/$Y$39*4000</f>
        <v>1315.31531531532</v>
      </c>
      <c r="AB43" s="11">
        <f>AB39/$Y$39*4000</f>
        <v>666.666666666667</v>
      </c>
      <c r="AC43" s="11">
        <f>AC39/$Y$39*4000</f>
        <v>2768.76876876877</v>
      </c>
      <c r="AE43"/>
      <c r="AF43"/>
    </row>
    <row r="44" spans="1:32">
      <c r="A44" s="130" t="s">
        <v>1894</v>
      </c>
      <c r="B44" s="130" t="s">
        <v>1921</v>
      </c>
      <c r="C44" s="137"/>
      <c r="D44" s="137"/>
      <c r="E44" s="137">
        <f>COUNTIFS('物赋排 '!$S:$S,"&lt;=25",'物赋排 '!$B:$B,E43)</f>
        <v>0</v>
      </c>
      <c r="F44" s="137">
        <f>COUNTIFS('物赋排 '!$S:$S,"&lt;=25",'物赋排 '!$B:$B,F43)</f>
        <v>0</v>
      </c>
      <c r="G44" s="137">
        <f>COUNTIFS('物赋排 '!$S:$S,"&lt;=25",'物赋排 '!$B:$B,G43)</f>
        <v>0</v>
      </c>
      <c r="H44" s="137">
        <f>COUNTIFS('物赋排 '!$S:$S,"&lt;=25",'物赋排 '!$B:$B,H43)</f>
        <v>0</v>
      </c>
      <c r="I44" s="137">
        <f>COUNTIFS('物赋排 '!$S:$S,"&lt;=25",'物赋排 '!$B:$B,I43)</f>
        <v>0</v>
      </c>
      <c r="J44" s="137"/>
      <c r="K44" s="137"/>
      <c r="L44" s="137"/>
      <c r="M44" s="137"/>
      <c r="N44" s="137"/>
      <c r="O44" s="137"/>
      <c r="P44" s="130" t="s">
        <v>1907</v>
      </c>
      <c r="Q44" s="137"/>
      <c r="R44" s="137"/>
      <c r="S44" s="137">
        <f>COUNTIFS('史赋排 '!$S:$S,"&lt;=15",'史赋排 '!$B:$B,S43)</f>
        <v>2</v>
      </c>
      <c r="T44" s="137">
        <f>COUNTIFS('史赋排 '!$S:$S,"&lt;=15",'史赋排 '!$B:$B,T43)</f>
        <v>1</v>
      </c>
      <c r="U44" s="137">
        <f>COUNTIFS('史赋排 '!$S:$S,"&lt;=15",'史赋排 '!$B:$B,U43)</f>
        <v>0</v>
      </c>
      <c r="W44" s="9"/>
      <c r="X44" s="130" t="s">
        <v>1904</v>
      </c>
      <c r="Y44" s="9"/>
      <c r="Z44" s="11">
        <f>Z39/$Y$39*9000</f>
        <v>7310.81081081081</v>
      </c>
      <c r="AA44" s="11">
        <f>AA39/$Y$39*9000</f>
        <v>2959.45945945946</v>
      </c>
      <c r="AB44" s="11">
        <f>AB39/$Y$39*9000</f>
        <v>1500</v>
      </c>
      <c r="AC44" s="11">
        <f>AC39/$Y$39*9000</f>
        <v>6229.72972972973</v>
      </c>
      <c r="AE44"/>
      <c r="AF44"/>
    </row>
    <row r="45" spans="1:32">
      <c r="A45" s="13">
        <v>985</v>
      </c>
      <c r="B45" s="13" t="s">
        <v>1922</v>
      </c>
      <c r="C45" s="13"/>
      <c r="D45" s="13"/>
      <c r="E45" s="13">
        <f>COUNTIFS('物赋排 '!$S:$S,"&lt;=150",'物赋排 '!$B:$B,E43)</f>
        <v>0</v>
      </c>
      <c r="F45" s="13">
        <f>COUNTIFS('物赋排 '!$S:$S,"&lt;=150",'物赋排 '!$B:$B,F43)</f>
        <v>0</v>
      </c>
      <c r="G45" s="13">
        <f>COUNTIFS('物赋排 '!$S:$S,"&lt;=150",'物赋排 '!$B:$B,G43)</f>
        <v>0</v>
      </c>
      <c r="H45" s="13">
        <f>COUNTIFS('物赋排 '!$S:$S,"&lt;=150",'物赋排 '!$B:$B,H43)</f>
        <v>1</v>
      </c>
      <c r="I45" s="13">
        <f>COUNTIFS('物赋排 '!$S:$S,"&lt;=150",'物赋排 '!$B:$B,I43)</f>
        <v>0</v>
      </c>
      <c r="J45" s="13"/>
      <c r="K45" s="13"/>
      <c r="L45" s="13"/>
      <c r="M45" s="13"/>
      <c r="N45" s="13"/>
      <c r="O45" s="13"/>
      <c r="P45" s="13" t="s">
        <v>1908</v>
      </c>
      <c r="Q45" s="13"/>
      <c r="R45" s="13"/>
      <c r="S45" s="13">
        <f>COUNTIFS('史赋排 '!$S:$S,"&lt;=50",'史赋排 '!$B:$B,S43)</f>
        <v>6</v>
      </c>
      <c r="T45" s="13">
        <f>COUNTIFS('史赋排 '!$S:$S,"&lt;=50",'史赋排 '!$B:$B,T43)</f>
        <v>2</v>
      </c>
      <c r="U45" s="13">
        <f>COUNTIFS('史赋排 '!$S:$S,"&lt;=50",'史赋排 '!$B:$B,U43)</f>
        <v>3</v>
      </c>
      <c r="W45"/>
      <c r="X45"/>
      <c r="Y45"/>
      <c r="Z45"/>
      <c r="AA45"/>
      <c r="AB45"/>
      <c r="AC45"/>
      <c r="AE45"/>
      <c r="AF45"/>
    </row>
    <row r="46" spans="1:32">
      <c r="A46" s="130">
        <v>211</v>
      </c>
      <c r="B46" s="130" t="s">
        <v>1923</v>
      </c>
      <c r="C46" s="137"/>
      <c r="D46" s="137"/>
      <c r="E46" s="137">
        <f>COUNTIFS('物赋排 '!$S:$S,"&lt;=450",'物赋排 '!$B:$B,E43)</f>
        <v>0</v>
      </c>
      <c r="F46" s="137">
        <f>COUNTIFS('物赋排 '!$S:$S,"&lt;=450",'物赋排 '!$B:$B,F43)</f>
        <v>0</v>
      </c>
      <c r="G46" s="137">
        <f>COUNTIFS('物赋排 '!$S:$S,"&lt;=450",'物赋排 '!$B:$B,G43)</f>
        <v>0</v>
      </c>
      <c r="H46" s="137">
        <f>COUNTIFS('物赋排 '!$S:$S,"&lt;=450",'物赋排 '!$B:$B,H43)</f>
        <v>3</v>
      </c>
      <c r="I46" s="137">
        <f>COUNTIFS('物赋排 '!$S:$S,"&lt;=450",'物赋排 '!$B:$B,I43)</f>
        <v>1</v>
      </c>
      <c r="J46" s="137"/>
      <c r="K46" s="137"/>
      <c r="L46" s="137"/>
      <c r="M46" s="137"/>
      <c r="N46" s="137"/>
      <c r="O46" s="137"/>
      <c r="P46" s="130" t="s">
        <v>1898</v>
      </c>
      <c r="Q46" s="137"/>
      <c r="R46" s="137"/>
      <c r="S46" s="137">
        <f>COUNTIFS('史赋排 '!$S:$S,"&lt;=100",'史赋排 '!$B:$B,S43)</f>
        <v>6</v>
      </c>
      <c r="T46" s="137">
        <f>COUNTIFS('史赋排 '!$S:$S,"&lt;=100",'史赋排 '!$B:$B,T43)</f>
        <v>3</v>
      </c>
      <c r="U46" s="137">
        <f>COUNTIFS('史赋排 '!$S:$S,"&lt;=100",'史赋排 '!$B:$B,U43)</f>
        <v>7</v>
      </c>
      <c r="W46"/>
      <c r="X46"/>
      <c r="Y46"/>
      <c r="Z46"/>
      <c r="AA46"/>
      <c r="AB46"/>
      <c r="AC46"/>
      <c r="AE46"/>
      <c r="AF46"/>
    </row>
    <row r="47" spans="1:32">
      <c r="A47" s="13" t="s">
        <v>1901</v>
      </c>
      <c r="B47" s="13" t="s">
        <v>1899</v>
      </c>
      <c r="C47" s="13"/>
      <c r="D47" s="13"/>
      <c r="E47" s="13">
        <f>COUNTIFS('物赋排 '!$S:$S,"&lt;=1300",'物赋排 '!$B:$B,E43)</f>
        <v>0</v>
      </c>
      <c r="F47" s="13">
        <f>COUNTIFS('物赋排 '!$S:$S,"&lt;=1300",'物赋排 '!$B:$B,F43)</f>
        <v>0</v>
      </c>
      <c r="G47" s="13">
        <f>COUNTIFS('物赋排 '!$S:$S,"&lt;=1300",'物赋排 '!$B:$B,G43)</f>
        <v>0</v>
      </c>
      <c r="H47" s="13">
        <f>COUNTIFS('物赋排 '!$S:$S,"&lt;=1300",'物赋排 '!$B:$B,H43)</f>
        <v>5</v>
      </c>
      <c r="I47" s="13">
        <f>COUNTIFS('物赋排 '!$S:$S,"&lt;=1300",'物赋排 '!$B:$B,I43)</f>
        <v>2</v>
      </c>
      <c r="J47" s="13"/>
      <c r="K47" s="13"/>
      <c r="L47" s="13"/>
      <c r="M47" s="13"/>
      <c r="N47" s="13"/>
      <c r="O47" s="13"/>
      <c r="P47" s="13" t="s">
        <v>1909</v>
      </c>
      <c r="Q47" s="13"/>
      <c r="R47" s="13"/>
      <c r="S47" s="13">
        <f>COUNTIFS('史赋排 '!$S:$S,"&lt;=350",'史赋排 '!$B:$B,S43)</f>
        <v>10</v>
      </c>
      <c r="T47" s="13">
        <f>COUNTIFS('史赋排 '!$S:$S,"&lt;=350",'史赋排 '!$B:$B,T43)</f>
        <v>16</v>
      </c>
      <c r="U47" s="13">
        <f>COUNTIFS('史赋排 '!$S:$S,"&lt;=350",'史赋排 '!$B:$B,U43)</f>
        <v>16</v>
      </c>
      <c r="W47"/>
      <c r="X47"/>
      <c r="Y47"/>
      <c r="Z47"/>
      <c r="AA47"/>
      <c r="AB47"/>
      <c r="AC47"/>
      <c r="AE47"/>
      <c r="AF47"/>
    </row>
    <row r="48" spans="1:32">
      <c r="A48" s="130" t="s">
        <v>1904</v>
      </c>
      <c r="B48" s="130" t="s">
        <v>1924</v>
      </c>
      <c r="C48" s="137"/>
      <c r="D48" s="137"/>
      <c r="E48" s="137">
        <f>COUNTIFS('物赋排 '!$S:$S,"&lt;=3000",'物赋排 '!$B:$B,E43)</f>
        <v>0</v>
      </c>
      <c r="F48" s="137">
        <f>COUNTIFS('物赋排 '!$S:$S,"&lt;=3000",'物赋排 '!$B:$B,F43)</f>
        <v>0</v>
      </c>
      <c r="G48" s="137">
        <f>COUNTIFS('物赋排 '!$S:$S,"&lt;=3000",'物赋排 '!$B:$B,G43)</f>
        <v>0</v>
      </c>
      <c r="H48" s="137">
        <f>COUNTIFS('物赋排 '!$S:$S,"&lt;=3000",'物赋排 '!$B:$B,H43)</f>
        <v>16</v>
      </c>
      <c r="I48" s="137">
        <f>COUNTIFS('物赋排 '!$S:$S,"&lt;=3000",'物赋排 '!$B:$B,I43)</f>
        <v>13</v>
      </c>
      <c r="J48" s="137"/>
      <c r="K48" s="137"/>
      <c r="L48" s="137"/>
      <c r="M48" s="137"/>
      <c r="N48" s="137"/>
      <c r="O48" s="137"/>
      <c r="P48" s="130" t="s">
        <v>1910</v>
      </c>
      <c r="Q48" s="137"/>
      <c r="R48" s="137"/>
      <c r="S48" s="137">
        <f>COUNTIFS('史赋排 '!$S:$S,"&lt;=750",'史赋排 '!$B:$B,S43)</f>
        <v>13</v>
      </c>
      <c r="T48" s="137">
        <f>COUNTIFS('史赋排 '!$S:$S,"&lt;=750",'史赋排 '!$B:$B,T43)</f>
        <v>28</v>
      </c>
      <c r="U48" s="137">
        <f>COUNTIFS('史赋排 '!$S:$S,"&lt;=750",'史赋排 '!$B:$B,U43)</f>
        <v>30</v>
      </c>
      <c r="W48"/>
      <c r="X48"/>
      <c r="Y48"/>
      <c r="Z48"/>
      <c r="AA48"/>
      <c r="AB48"/>
      <c r="AC48"/>
      <c r="AE48"/>
      <c r="AF48"/>
    </row>
    <row r="49" s="124" customFormat="1" spans="1:29">
      <c r="A49" s="125"/>
      <c r="W49" s="9" t="s">
        <v>1</v>
      </c>
      <c r="X49" s="9" t="s">
        <v>1739</v>
      </c>
      <c r="Y49" s="9" t="s">
        <v>14</v>
      </c>
      <c r="Z49" s="9" t="s">
        <v>10</v>
      </c>
      <c r="AA49" s="9" t="s">
        <v>11</v>
      </c>
      <c r="AB49" s="9" t="s">
        <v>12</v>
      </c>
      <c r="AC49" s="9" t="s">
        <v>13</v>
      </c>
    </row>
    <row r="50" customFormat="1" spans="1:29">
      <c r="A50" s="135" t="s">
        <v>12</v>
      </c>
      <c r="B50" s="136" t="s">
        <v>1</v>
      </c>
      <c r="C50" s="136">
        <v>1</v>
      </c>
      <c r="D50" s="136">
        <v>2</v>
      </c>
      <c r="E50" s="136">
        <v>3</v>
      </c>
      <c r="F50" s="136">
        <v>4</v>
      </c>
      <c r="G50" s="136">
        <v>5</v>
      </c>
      <c r="H50" s="136">
        <v>6</v>
      </c>
      <c r="I50" s="136">
        <v>7</v>
      </c>
      <c r="J50" s="136">
        <v>8</v>
      </c>
      <c r="K50" s="136">
        <v>9</v>
      </c>
      <c r="L50" s="136">
        <v>10</v>
      </c>
      <c r="M50" s="136">
        <v>11</v>
      </c>
      <c r="N50" s="136">
        <v>12</v>
      </c>
      <c r="O50" s="136">
        <v>13</v>
      </c>
      <c r="P50" s="136" t="s">
        <v>1</v>
      </c>
      <c r="Q50" s="136">
        <v>14</v>
      </c>
      <c r="R50" s="136">
        <v>15</v>
      </c>
      <c r="S50" s="136">
        <v>16</v>
      </c>
      <c r="T50" s="136">
        <v>17</v>
      </c>
      <c r="U50" s="136">
        <v>18</v>
      </c>
      <c r="W50" s="9">
        <v>14</v>
      </c>
      <c r="X50" s="9" t="s">
        <v>1745</v>
      </c>
      <c r="Y50" s="9">
        <v>39</v>
      </c>
      <c r="Z50" s="9"/>
      <c r="AA50" s="9"/>
      <c r="AB50" s="9">
        <v>39</v>
      </c>
      <c r="AC50" s="9">
        <v>39</v>
      </c>
    </row>
    <row r="51" customFormat="1" spans="1:29">
      <c r="A51" s="130" t="s">
        <v>1894</v>
      </c>
      <c r="B51" s="130" t="s">
        <v>1907</v>
      </c>
      <c r="C51" s="137">
        <f>COUNTIFS('物赋排 '!$U:$U,"&lt;=15",'物赋排 '!$B:$B,C50)</f>
        <v>0</v>
      </c>
      <c r="D51" s="137">
        <f>COUNTIFS('物赋排 '!$U:$U,"&lt;=15",'物赋排 '!$B:$B,D50)</f>
        <v>0</v>
      </c>
      <c r="E51" s="137"/>
      <c r="F51" s="137"/>
      <c r="G51" s="137"/>
      <c r="H51" s="137"/>
      <c r="I51" s="137"/>
      <c r="J51" s="137"/>
      <c r="K51" s="137"/>
      <c r="L51" s="137"/>
      <c r="M51" s="137"/>
      <c r="N51" s="137"/>
      <c r="O51" s="137"/>
      <c r="P51" s="130" t="s">
        <v>1896</v>
      </c>
      <c r="Q51" s="137">
        <f>COUNTIFS('史赋排 '!$U:$U,"&lt;=30",'史赋排 '!$B:$B,Q50)</f>
        <v>1</v>
      </c>
      <c r="R51" s="137">
        <f>COUNTIFS('史赋排 '!$U:$U,"&lt;=30",'史赋排 '!$B:$B,R50)</f>
        <v>1</v>
      </c>
      <c r="S51" s="137">
        <f>COUNTIFS('史赋排 '!$U:$U,"&lt;=30",'史赋排 '!$B:$B,S50)</f>
        <v>7</v>
      </c>
      <c r="T51" s="137">
        <f>COUNTIFS('史赋排 '!$U:$U,"&lt;=30",'史赋排 '!$B:$B,T50)</f>
        <v>0</v>
      </c>
      <c r="U51" s="137">
        <f>COUNTIFS('史赋排 '!$U:$U,"&lt;=30",'史赋排 '!$B:$B,U50)</f>
        <v>0</v>
      </c>
      <c r="W51" s="9">
        <v>15</v>
      </c>
      <c r="X51" s="9" t="s">
        <v>1745</v>
      </c>
      <c r="Y51" s="9">
        <v>42</v>
      </c>
      <c r="Z51" s="9"/>
      <c r="AA51" s="9"/>
      <c r="AB51" s="9">
        <v>42</v>
      </c>
      <c r="AC51" s="9">
        <v>42</v>
      </c>
    </row>
    <row r="52" customFormat="1" spans="1:29">
      <c r="A52" s="13">
        <v>985</v>
      </c>
      <c r="B52" s="13" t="s">
        <v>1925</v>
      </c>
      <c r="C52" s="13">
        <f>COUNTIFS('物赋排 '!$U:$U,"&lt;=80",'物赋排 '!$B:$B,C50)</f>
        <v>0</v>
      </c>
      <c r="D52" s="13">
        <f>COUNTIFS('物赋排 '!$U:$U,"&lt;=80",'物赋排 '!$B:$B,D50)</f>
        <v>4</v>
      </c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 t="s">
        <v>1898</v>
      </c>
      <c r="Q52" s="13">
        <f>COUNTIFS('史赋排 '!$U:$U,"&lt;=100",'史赋排 '!$B:$B,Q50)</f>
        <v>3</v>
      </c>
      <c r="R52" s="13">
        <f>COUNTIFS('史赋排 '!$U:$U,"&lt;=100",'史赋排 '!$B:$B,R50)</f>
        <v>2</v>
      </c>
      <c r="S52" s="13">
        <f>COUNTIFS('史赋排 '!$U:$U,"&lt;=100",'史赋排 '!$B:$B,S50)</f>
        <v>8</v>
      </c>
      <c r="T52" s="13">
        <f>COUNTIFS('史赋排 '!$U:$U,"&lt;=100",'史赋排 '!$B:$B,T50)</f>
        <v>3</v>
      </c>
      <c r="U52" s="13">
        <f>COUNTIFS('史赋排 '!$U:$U,"&lt;=100",'史赋排 '!$B:$B,U50)</f>
        <v>1</v>
      </c>
      <c r="W52" s="132">
        <v>16</v>
      </c>
      <c r="X52" s="9" t="s">
        <v>1912</v>
      </c>
      <c r="Y52" s="9">
        <v>2</v>
      </c>
      <c r="Z52" s="9">
        <v>2</v>
      </c>
      <c r="AA52" s="9"/>
      <c r="AB52" s="9"/>
      <c r="AC52" s="9">
        <v>2</v>
      </c>
    </row>
    <row r="53" customFormat="1" spans="1:29">
      <c r="A53" s="130">
        <v>211</v>
      </c>
      <c r="B53" s="130" t="s">
        <v>1900</v>
      </c>
      <c r="C53" s="137">
        <f>COUNTIFS('物赋排 '!$U:$U,"&lt;=200",'物赋排 '!$B:$B,C50)</f>
        <v>6</v>
      </c>
      <c r="D53" s="137">
        <f>COUNTIFS('物赋排 '!$U:$U,"&lt;=200",'物赋排 '!$B:$B,D50)</f>
        <v>9</v>
      </c>
      <c r="E53" s="137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0" t="s">
        <v>1900</v>
      </c>
      <c r="Q53" s="137">
        <f>COUNTIFS('史赋排 '!$U:$U,"&lt;=200",'史赋排 '!$B:$B,Q50)</f>
        <v>4</v>
      </c>
      <c r="R53" s="137">
        <f>COUNTIFS('史赋排 '!$U:$U,"&lt;=200",'史赋排 '!$B:$B,R50)</f>
        <v>5</v>
      </c>
      <c r="S53" s="137">
        <f>COUNTIFS('史赋排 '!$U:$U,"&lt;=200",'史赋排 '!$B:$B,S50)</f>
        <v>11</v>
      </c>
      <c r="T53" s="137">
        <f>COUNTIFS('史赋排 '!$U:$U,"&lt;=200",'史赋排 '!$B:$B,T50)</f>
        <v>10</v>
      </c>
      <c r="U53" s="137">
        <f>COUNTIFS('史赋排 '!$U:$U,"&lt;=200",'史赋排 '!$B:$B,U50)</f>
        <v>2</v>
      </c>
      <c r="W53" s="132">
        <v>16</v>
      </c>
      <c r="X53" s="9" t="s">
        <v>1745</v>
      </c>
      <c r="Y53" s="9">
        <v>20</v>
      </c>
      <c r="Z53" s="23"/>
      <c r="AA53" s="9"/>
      <c r="AB53" s="9">
        <v>20</v>
      </c>
      <c r="AC53" s="9">
        <v>20</v>
      </c>
    </row>
    <row r="54" customFormat="1" spans="1:29">
      <c r="A54" s="13" t="s">
        <v>1901</v>
      </c>
      <c r="B54" s="13" t="s">
        <v>1926</v>
      </c>
      <c r="C54" s="13">
        <f>COUNTIFS('物赋排 '!$U:$U,"&lt;=650",'物赋排 '!$B:$B,C50)</f>
        <v>17</v>
      </c>
      <c r="D54" s="13">
        <f>COUNTIFS('物赋排 '!$U:$U,"&lt;=650",'物赋排 '!$B:$B,D50)</f>
        <v>15</v>
      </c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 t="s">
        <v>1903</v>
      </c>
      <c r="Q54" s="13">
        <f>COUNTIFS('史赋排 '!$U:$U,"&lt;=700",'史赋排 '!$B:$B,Q50)</f>
        <v>18</v>
      </c>
      <c r="R54" s="13">
        <f>COUNTIFS('史赋排 '!$U:$U,"&lt;=700",'史赋排 '!$B:$B,R50)</f>
        <v>14</v>
      </c>
      <c r="S54" s="13">
        <f>COUNTIFS('史赋排 '!$U:$U,"&lt;=700",'史赋排 '!$B:$B,S50)</f>
        <v>30</v>
      </c>
      <c r="T54" s="13">
        <f>COUNTIFS('史赋排 '!$U:$U,"&lt;=700",'史赋排 '!$B:$B,T50)</f>
        <v>24</v>
      </c>
      <c r="U54" s="13">
        <f>COUNTIFS('史赋排 '!$U:$U,"&lt;=700",'史赋排 '!$B:$B,U50)</f>
        <v>13</v>
      </c>
      <c r="W54" s="132">
        <v>16</v>
      </c>
      <c r="X54" s="9" t="s">
        <v>1747</v>
      </c>
      <c r="Y54" s="9">
        <v>17</v>
      </c>
      <c r="Z54" s="9"/>
      <c r="AA54" s="9">
        <v>17</v>
      </c>
      <c r="AB54" s="9">
        <v>17</v>
      </c>
      <c r="AC54" s="9"/>
    </row>
    <row r="55" customFormat="1" spans="1:29">
      <c r="A55" s="130" t="s">
        <v>1904</v>
      </c>
      <c r="B55" s="130" t="s">
        <v>1906</v>
      </c>
      <c r="C55" s="137">
        <f>COUNTIFS('物赋排 '!$U:$U,"&lt;=1500",'物赋排 '!$B:$B,C50)</f>
        <v>37</v>
      </c>
      <c r="D55" s="137">
        <f>COUNTIFS('物赋排 '!$U:$U,"&lt;=1500",'物赋排 '!$B:$B,D50)</f>
        <v>30</v>
      </c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0" t="s">
        <v>1906</v>
      </c>
      <c r="Q55" s="137">
        <f>COUNTIFS('史赋排 '!$U:$U,"&lt;=1500",'史赋排 '!$B:$B,Q50)</f>
        <v>31</v>
      </c>
      <c r="R55" s="137">
        <f>COUNTIFS('史赋排 '!$U:$U,"&lt;=1500",'史赋排 '!$B:$B,R50)</f>
        <v>38</v>
      </c>
      <c r="S55" s="137">
        <f>COUNTIFS('史赋排 '!$U:$U,"&lt;=1500",'史赋排 '!$B:$B,S50)</f>
        <v>36</v>
      </c>
      <c r="T55" s="137">
        <f>COUNTIFS('史赋排 '!$U:$U,"&lt;=1500",'史赋排 '!$B:$B,T50)</f>
        <v>35</v>
      </c>
      <c r="U55" s="137">
        <f>COUNTIFS('史赋排 '!$U:$U,"&lt;=1500",'史赋排 '!$B:$B,U50)</f>
        <v>30</v>
      </c>
      <c r="W55" s="9">
        <v>17</v>
      </c>
      <c r="X55" s="9" t="s">
        <v>1747</v>
      </c>
      <c r="Y55" s="9">
        <v>43</v>
      </c>
      <c r="Z55" s="9"/>
      <c r="AA55" s="9">
        <v>43</v>
      </c>
      <c r="AB55" s="9">
        <v>43</v>
      </c>
      <c r="AC55" s="9"/>
    </row>
    <row r="56" s="124" customFormat="1" spans="1:29">
      <c r="A56" s="125"/>
      <c r="W56" s="9">
        <v>18</v>
      </c>
      <c r="X56" s="9" t="s">
        <v>1747</v>
      </c>
      <c r="Y56" s="9">
        <v>43</v>
      </c>
      <c r="Z56" s="9"/>
      <c r="AA56" s="9">
        <v>43</v>
      </c>
      <c r="AB56" s="9">
        <v>43</v>
      </c>
      <c r="AC56" s="9"/>
    </row>
    <row r="57" customFormat="1" spans="1:29">
      <c r="A57" s="135" t="s">
        <v>13</v>
      </c>
      <c r="B57" s="136" t="s">
        <v>1</v>
      </c>
      <c r="C57" s="136">
        <v>1</v>
      </c>
      <c r="D57" s="136">
        <v>2</v>
      </c>
      <c r="E57" s="136">
        <v>3</v>
      </c>
      <c r="F57" s="136">
        <v>4</v>
      </c>
      <c r="G57" s="136">
        <v>5</v>
      </c>
      <c r="H57" s="136">
        <v>6</v>
      </c>
      <c r="I57" s="136">
        <v>7</v>
      </c>
      <c r="J57" s="136">
        <v>8</v>
      </c>
      <c r="K57" s="136">
        <v>9</v>
      </c>
      <c r="L57" s="136">
        <v>10</v>
      </c>
      <c r="M57" s="136">
        <v>11</v>
      </c>
      <c r="N57" s="136">
        <v>12</v>
      </c>
      <c r="O57" s="136">
        <v>13</v>
      </c>
      <c r="P57" s="136" t="s">
        <v>1</v>
      </c>
      <c r="Q57" s="136">
        <v>14</v>
      </c>
      <c r="R57" s="136">
        <v>15</v>
      </c>
      <c r="S57" s="136">
        <v>16</v>
      </c>
      <c r="T57" s="136">
        <v>17</v>
      </c>
      <c r="U57" s="136">
        <v>18</v>
      </c>
      <c r="W57" s="34" t="s">
        <v>1849</v>
      </c>
      <c r="X57" s="34"/>
      <c r="Y57" s="34">
        <f>SUM(Y50:Y56)</f>
        <v>206</v>
      </c>
      <c r="Z57" s="34">
        <f>SUM(Z50:Z56)</f>
        <v>2</v>
      </c>
      <c r="AA57" s="34">
        <f>SUM(AA50:AA56)</f>
        <v>103</v>
      </c>
      <c r="AB57" s="34">
        <f>SUM(AB50:AB56)</f>
        <v>204</v>
      </c>
      <c r="AC57" s="34">
        <f>SUM(AC50:AC56)</f>
        <v>103</v>
      </c>
    </row>
    <row r="58" customFormat="1" spans="1:29">
      <c r="A58" s="130" t="s">
        <v>1894</v>
      </c>
      <c r="B58" s="130" t="s">
        <v>1908</v>
      </c>
      <c r="C58" s="137"/>
      <c r="D58" s="137">
        <f>COUNTIFS('物赋排 '!$W:$W,"&lt;=50",'物赋排 '!$B:$B,D57)</f>
        <v>0</v>
      </c>
      <c r="E58" s="137"/>
      <c r="F58" s="137"/>
      <c r="G58" s="137"/>
      <c r="H58" s="137">
        <f>COUNTIFS('物赋排 '!$W:$W,"&lt;=50",'物赋排 '!$B:$B,H57)</f>
        <v>2</v>
      </c>
      <c r="I58" s="137">
        <f>COUNTIFS('物赋排 '!$W:$W,"&lt;=50",'物赋排 '!$B:$B,I57)</f>
        <v>1</v>
      </c>
      <c r="J58" s="137">
        <f>COUNTIFS('物赋排 '!$W:$W,"&lt;=50",'物赋排 '!$B:$B,J57)</f>
        <v>0</v>
      </c>
      <c r="K58" s="137">
        <f>COUNTIFS('物赋排 '!$W:$W,"&lt;=50",'物赋排 '!$B:$B,K57)</f>
        <v>0</v>
      </c>
      <c r="L58" s="137">
        <f>COUNTIFS('物赋排 '!$W:$W,"&lt;=50",'物赋排 '!$B:$B,L57)</f>
        <v>0</v>
      </c>
      <c r="M58" s="137">
        <f>COUNTIFS('物赋排 '!$W:$W,"&lt;=50",'物赋排 '!$B:$B,M57)</f>
        <v>0</v>
      </c>
      <c r="N58" s="137">
        <f>COUNTIFS('物赋排 '!$W:$W,"&lt;=50",'物赋排 '!$B:$B,N57)</f>
        <v>0</v>
      </c>
      <c r="O58" s="137">
        <f>COUNTIFS('物赋排 '!$W:$W,"&lt;=50",'物赋排 '!$B:$B,O57)</f>
        <v>0</v>
      </c>
      <c r="P58" s="130" t="s">
        <v>1907</v>
      </c>
      <c r="Q58" s="137">
        <f>COUNTIFS('史赋排 '!$W:$W,"&lt;=15",'史赋排 '!$B:$B,Q57)</f>
        <v>0</v>
      </c>
      <c r="R58" s="137">
        <f>COUNTIFS('史赋排 '!$W:$W,"&lt;=15",'史赋排 '!$B:$B,R57)</f>
        <v>1</v>
      </c>
      <c r="S58" s="137">
        <f>COUNTIFS('史赋排 '!$W:$W,"&lt;=15",'史赋排 '!$B:$B,S57)</f>
        <v>2</v>
      </c>
      <c r="T58" s="137"/>
      <c r="U58" s="137"/>
      <c r="W58" s="9" t="s">
        <v>1920</v>
      </c>
      <c r="X58" s="130" t="s">
        <v>1894</v>
      </c>
      <c r="Y58" s="9"/>
      <c r="Z58" s="9"/>
      <c r="AA58" s="11">
        <f>AA57/$Y$57*30</f>
        <v>15</v>
      </c>
      <c r="AB58" s="11">
        <f>AB57/$Y$57*30</f>
        <v>29.7087378640777</v>
      </c>
      <c r="AC58" s="11">
        <f>AC57/$Y$57*30</f>
        <v>15</v>
      </c>
    </row>
    <row r="59" customFormat="1" spans="1:29">
      <c r="A59" s="13">
        <v>985</v>
      </c>
      <c r="B59" s="13" t="s">
        <v>1909</v>
      </c>
      <c r="C59" s="13"/>
      <c r="D59" s="13">
        <f>COUNTIFS('物赋排 '!$W:$W,"&lt;=350",'物赋排 '!$B:$B,D57)</f>
        <v>0</v>
      </c>
      <c r="E59" s="13"/>
      <c r="F59" s="13"/>
      <c r="G59" s="13"/>
      <c r="H59" s="13">
        <f>COUNTIFS('物赋排 '!$W:$W,"&lt;=350",'物赋排 '!$B:$B,H57)</f>
        <v>7</v>
      </c>
      <c r="I59" s="13">
        <f>COUNTIFS('物赋排 '!$W:$W,"&lt;=350",'物赋排 '!$B:$B,I57)</f>
        <v>5</v>
      </c>
      <c r="J59" s="13">
        <f>COUNTIFS('物赋排 '!$W:$W,"&lt;=350",'物赋排 '!$B:$B,J57)</f>
        <v>0</v>
      </c>
      <c r="K59" s="13">
        <f>COUNTIFS('物赋排 '!$W:$W,"&lt;=350",'物赋排 '!$B:$B,K57)</f>
        <v>0</v>
      </c>
      <c r="L59" s="13">
        <f>COUNTIFS('物赋排 '!$W:$W,"&lt;=350",'物赋排 '!$B:$B,L57)</f>
        <v>0</v>
      </c>
      <c r="M59" s="13">
        <f>COUNTIFS('物赋排 '!$W:$W,"&lt;=350",'物赋排 '!$B:$B,M57)</f>
        <v>0</v>
      </c>
      <c r="N59" s="13">
        <f>COUNTIFS('物赋排 '!$W:$W,"&lt;=350",'物赋排 '!$B:$B,N57)</f>
        <v>0</v>
      </c>
      <c r="O59" s="13">
        <f>COUNTIFS('物赋排 '!$W:$W,"&lt;=350",'物赋排 '!$B:$B,O57)</f>
        <v>0</v>
      </c>
      <c r="P59" s="13" t="s">
        <v>1908</v>
      </c>
      <c r="Q59" s="13">
        <f>COUNTIFS('史赋排 '!$W:$W,"&lt;=50",'史赋排 '!$B:$B,Q57)</f>
        <v>1</v>
      </c>
      <c r="R59" s="13">
        <f>COUNTIFS('史赋排 '!$W:$W,"&lt;=50",'史赋排 '!$B:$B,R57)</f>
        <v>4</v>
      </c>
      <c r="S59" s="13">
        <f>COUNTIFS('史赋排 '!$W:$W,"&lt;=50",'史赋排 '!$B:$B,S57)</f>
        <v>7</v>
      </c>
      <c r="T59" s="13"/>
      <c r="U59" s="13"/>
      <c r="W59" s="9"/>
      <c r="X59" s="13">
        <v>985</v>
      </c>
      <c r="Y59" s="9"/>
      <c r="Z59" s="9"/>
      <c r="AA59" s="11">
        <f>AA57/$Y$57*100</f>
        <v>50</v>
      </c>
      <c r="AB59" s="11">
        <f>AB57/$Y$57*100</f>
        <v>99.0291262135922</v>
      </c>
      <c r="AC59" s="11">
        <f>AC57/$Y$57*100</f>
        <v>50</v>
      </c>
    </row>
    <row r="60" customFormat="1" spans="1:29">
      <c r="A60" s="130">
        <v>211</v>
      </c>
      <c r="B60" s="130" t="s">
        <v>1917</v>
      </c>
      <c r="C60" s="137"/>
      <c r="D60" s="137">
        <f>COUNTIFS('物赋排 '!$W:$W,"&lt;=900",'物赋排 '!$B:$B,D57)</f>
        <v>0</v>
      </c>
      <c r="E60" s="137"/>
      <c r="F60" s="137"/>
      <c r="G60" s="137"/>
      <c r="H60" s="137">
        <f>COUNTIFS('物赋排 '!$W:$W,"&lt;=900",'物赋排 '!$B:$B,H57)</f>
        <v>11</v>
      </c>
      <c r="I60" s="137">
        <f>COUNTIFS('物赋排 '!$W:$W,"&lt;=900",'物赋排 '!$B:$B,I57)</f>
        <v>12</v>
      </c>
      <c r="J60" s="137">
        <f>COUNTIFS('物赋排 '!$W:$W,"&lt;=900",'物赋排 '!$B:$B,J57)</f>
        <v>0</v>
      </c>
      <c r="K60" s="137">
        <f>COUNTIFS('物赋排 '!$W:$W,"&lt;=900",'物赋排 '!$B:$B,K57)</f>
        <v>0</v>
      </c>
      <c r="L60" s="137">
        <f>COUNTIFS('物赋排 '!$W:$W,"&lt;=900",'物赋排 '!$B:$B,L57)</f>
        <v>0</v>
      </c>
      <c r="M60" s="137">
        <f>COUNTIFS('物赋排 '!$W:$W,"&lt;=900",'物赋排 '!$B:$B,M57)</f>
        <v>0</v>
      </c>
      <c r="N60" s="137">
        <f>COUNTIFS('物赋排 '!$W:$W,"&lt;=900",'物赋排 '!$B:$B,N57)</f>
        <v>0</v>
      </c>
      <c r="O60" s="137">
        <f>COUNTIFS('物赋排 '!$W:$W,"&lt;=900",'物赋排 '!$B:$B,O57)</f>
        <v>0</v>
      </c>
      <c r="P60" s="130" t="s">
        <v>1898</v>
      </c>
      <c r="Q60" s="137">
        <f>COUNTIFS('史赋排 '!$W:$W,"&lt;=100",'史赋排 '!$B:$B,Q57)</f>
        <v>4</v>
      </c>
      <c r="R60" s="137">
        <f>COUNTIFS('史赋排 '!$W:$W,"&lt;=100",'史赋排 '!$B:$B,R57)</f>
        <v>12</v>
      </c>
      <c r="S60" s="137">
        <f>COUNTIFS('史赋排 '!$W:$W,"&lt;=100",'史赋排 '!$B:$B,S57)</f>
        <v>12</v>
      </c>
      <c r="T60" s="137"/>
      <c r="U60" s="137"/>
      <c r="W60" s="9"/>
      <c r="X60" s="130">
        <v>211</v>
      </c>
      <c r="Y60" s="9"/>
      <c r="Z60" s="9"/>
      <c r="AA60" s="11">
        <f>AA57/$Y$57*200</f>
        <v>100</v>
      </c>
      <c r="AB60" s="11">
        <f>AB57/$Y$57*200</f>
        <v>198.058252427184</v>
      </c>
      <c r="AC60" s="11">
        <f>AC57/$Y$57*200</f>
        <v>100</v>
      </c>
    </row>
    <row r="61" customFormat="1" spans="1:29">
      <c r="A61" s="13" t="s">
        <v>1901</v>
      </c>
      <c r="B61" s="13" t="s">
        <v>1918</v>
      </c>
      <c r="C61" s="13"/>
      <c r="D61" s="13">
        <f>COUNTIFS('物赋排 '!$W:$W,"&lt;=2800",'物赋排 '!$B:$B,D57)</f>
        <v>0</v>
      </c>
      <c r="E61" s="13"/>
      <c r="F61" s="13"/>
      <c r="G61" s="13"/>
      <c r="H61" s="13">
        <f>COUNTIFS('物赋排 '!$W:$W,"&lt;=2800",'物赋排 '!$B:$B,H57)</f>
        <v>29</v>
      </c>
      <c r="I61" s="13">
        <f>COUNTIFS('物赋排 '!$W:$W,"&lt;=2800",'物赋排 '!$B:$B,I57)</f>
        <v>31</v>
      </c>
      <c r="J61" s="13">
        <f>COUNTIFS('物赋排 '!$W:$W,"&lt;=2800",'物赋排 '!$B:$B,J57)</f>
        <v>0</v>
      </c>
      <c r="K61" s="13">
        <f>COUNTIFS('物赋排 '!$W:$W,"&lt;=2800",'物赋排 '!$B:$B,K57)</f>
        <v>0</v>
      </c>
      <c r="L61" s="13">
        <f>COUNTIFS('物赋排 '!$W:$W,"&lt;=2800",'物赋排 '!$B:$B,L57)</f>
        <v>0</v>
      </c>
      <c r="M61" s="13">
        <f>COUNTIFS('物赋排 '!$W:$W,"&lt;=2800",'物赋排 '!$B:$B,M57)</f>
        <v>0</v>
      </c>
      <c r="N61" s="13">
        <f>COUNTIFS('物赋排 '!$W:$W,"&lt;=2800",'物赋排 '!$B:$B,N57)</f>
        <v>0</v>
      </c>
      <c r="O61" s="13">
        <f>COUNTIFS('物赋排 '!$W:$W,"&lt;=2800",'物赋排 '!$B:$B,O57)</f>
        <v>0</v>
      </c>
      <c r="P61" s="13" t="s">
        <v>1909</v>
      </c>
      <c r="Q61" s="13">
        <f>COUNTIFS('史赋排 '!$W:$W,"&lt;=350",'史赋排 '!$B:$B,Q57)</f>
        <v>23</v>
      </c>
      <c r="R61" s="13">
        <f>COUNTIFS('史赋排 '!$W:$W,"&lt;=350",'史赋排 '!$B:$B,R57)</f>
        <v>33</v>
      </c>
      <c r="S61" s="13">
        <f>COUNTIFS('史赋排 '!$W:$W,"&lt;=350",'史赋排 '!$B:$B,S57)</f>
        <v>22</v>
      </c>
      <c r="T61" s="13"/>
      <c r="U61" s="13"/>
      <c r="W61" s="9"/>
      <c r="X61" s="13" t="s">
        <v>1901</v>
      </c>
      <c r="Y61" s="9"/>
      <c r="Z61" s="9"/>
      <c r="AA61" s="11">
        <f>AA57/$Y$57*700</f>
        <v>350</v>
      </c>
      <c r="AB61" s="11">
        <f>AB57/$Y$57*700</f>
        <v>693.203883495146</v>
      </c>
      <c r="AC61" s="11">
        <f>AC57/$Y$57*700</f>
        <v>350</v>
      </c>
    </row>
    <row r="62" customFormat="1" spans="1:29">
      <c r="A62" s="130" t="s">
        <v>1904</v>
      </c>
      <c r="B62" s="130" t="s">
        <v>1919</v>
      </c>
      <c r="C62" s="137"/>
      <c r="D62" s="137">
        <f>COUNTIFS('物赋排 '!$W:$W,"&lt;=6300",'物赋排 '!$B:$B,D57)</f>
        <v>0</v>
      </c>
      <c r="E62" s="137"/>
      <c r="F62" s="137"/>
      <c r="G62" s="137"/>
      <c r="H62" s="137">
        <f>COUNTIFS('物赋排 '!$W:$W,"&lt;=6300",'物赋排 '!$B:$B,H57)</f>
        <v>39</v>
      </c>
      <c r="I62" s="137">
        <f>COUNTIFS('物赋排 '!$W:$W,"&lt;=6300",'物赋排 '!$B:$B,I57)</f>
        <v>38</v>
      </c>
      <c r="J62" s="137">
        <f>COUNTIFS('物赋排 '!$W:$W,"&lt;=6300",'物赋排 '!$B:$B,J57)</f>
        <v>0</v>
      </c>
      <c r="K62" s="137">
        <f>COUNTIFS('物赋排 '!$W:$W,"&lt;=6300",'物赋排 '!$B:$B,K57)</f>
        <v>0</v>
      </c>
      <c r="L62" s="137">
        <f>COUNTIFS('物赋排 '!$W:$W,"&lt;=6300",'物赋排 '!$B:$B,L57)</f>
        <v>0</v>
      </c>
      <c r="M62" s="137">
        <f>COUNTIFS('物赋排 '!$W:$W,"&lt;=6300",'物赋排 '!$B:$B,M57)</f>
        <v>0</v>
      </c>
      <c r="N62" s="137">
        <f>COUNTIFS('物赋排 '!$W:$W,"&lt;=6300",'物赋排 '!$B:$B,N57)</f>
        <v>0</v>
      </c>
      <c r="O62" s="137">
        <f>COUNTIFS('物赋排 '!$W:$W,"&lt;=6300",'物赋排 '!$B:$B,O57)</f>
        <v>0</v>
      </c>
      <c r="P62" s="130" t="s">
        <v>1910</v>
      </c>
      <c r="Q62" s="137">
        <f>COUNTIFS('史赋排 '!$W:$W,"&lt;=750",'史赋排 '!$B:$B,Q57)</f>
        <v>36</v>
      </c>
      <c r="R62" s="137">
        <f>COUNTIFS('史赋排 '!$W:$W,"&lt;=750",'史赋排 '!$B:$B,R57)</f>
        <v>39</v>
      </c>
      <c r="S62" s="137">
        <f>COUNTIFS('史赋排 '!$W:$W,"&lt;=750",'史赋排 '!$B:$B,S57)</f>
        <v>22</v>
      </c>
      <c r="T62" s="137"/>
      <c r="U62" s="137"/>
      <c r="W62" s="9"/>
      <c r="X62" s="130" t="s">
        <v>1904</v>
      </c>
      <c r="Y62" s="9"/>
      <c r="Z62" s="9"/>
      <c r="AA62" s="11">
        <f>AA57/$Y$57*1500</f>
        <v>750</v>
      </c>
      <c r="AB62" s="11">
        <f>AB57/$Y$57*1500</f>
        <v>1485.43689320388</v>
      </c>
      <c r="AC62" s="11">
        <f>AC57/$Y$57*1500</f>
        <v>750</v>
      </c>
    </row>
    <row r="63" s="124" customFormat="1" spans="1:31">
      <c r="A63" s="125"/>
      <c r="W63" s="26"/>
      <c r="X63" s="26"/>
      <c r="Y63" s="26"/>
      <c r="Z63" s="26"/>
      <c r="AA63" s="26"/>
      <c r="AB63" s="26"/>
      <c r="AC63" s="26"/>
      <c r="AE63" s="125"/>
    </row>
    <row r="64" s="124" customFormat="1" spans="1:31">
      <c r="A64" s="125"/>
      <c r="W64" s="125"/>
      <c r="X64" s="125"/>
      <c r="Y64" s="125"/>
      <c r="Z64" s="125"/>
      <c r="AA64" s="125"/>
      <c r="AB64" s="125"/>
      <c r="AC64" s="125"/>
      <c r="AE64" s="125"/>
    </row>
    <row r="65" s="124" customFormat="1" spans="1:31">
      <c r="A65" s="125"/>
      <c r="W65" s="125"/>
      <c r="X65" s="125"/>
      <c r="Y65" s="125"/>
      <c r="Z65" s="125"/>
      <c r="AA65" s="125"/>
      <c r="AB65" s="125"/>
      <c r="AC65" s="125"/>
      <c r="AE65" s="125"/>
    </row>
    <row r="66" s="124" customFormat="1" spans="1:31">
      <c r="A66" s="125"/>
      <c r="W66" s="125"/>
      <c r="X66" s="125"/>
      <c r="Y66" s="125"/>
      <c r="Z66" s="125"/>
      <c r="AA66" s="125"/>
      <c r="AB66" s="125"/>
      <c r="AC66" s="125"/>
      <c r="AE66" s="125"/>
    </row>
    <row r="67" s="124" customFormat="1" spans="1:31">
      <c r="A67" s="125"/>
      <c r="W67" s="125"/>
      <c r="X67" s="125"/>
      <c r="Y67" s="125"/>
      <c r="Z67" s="125"/>
      <c r="AA67" s="125"/>
      <c r="AB67" s="125"/>
      <c r="AC67" s="125"/>
      <c r="AE67" s="125"/>
    </row>
    <row r="68" s="124" customFormat="1" spans="1:31">
      <c r="A68" s="125"/>
      <c r="W68" s="125"/>
      <c r="X68" s="125"/>
      <c r="Y68" s="125"/>
      <c r="Z68" s="125"/>
      <c r="AA68" s="125"/>
      <c r="AB68" s="125"/>
      <c r="AC68" s="125"/>
      <c r="AE68" s="125"/>
    </row>
    <row r="69" s="124" customFormat="1" spans="1:31">
      <c r="A69" s="125"/>
      <c r="W69" s="125"/>
      <c r="X69" s="125"/>
      <c r="Y69" s="125"/>
      <c r="Z69" s="125"/>
      <c r="AA69" s="125"/>
      <c r="AB69" s="125"/>
      <c r="AC69" s="125"/>
      <c r="AE69" s="125"/>
    </row>
    <row r="70" s="124" customFormat="1" spans="1:31">
      <c r="A70" s="125"/>
      <c r="W70" s="125"/>
      <c r="X70" s="125"/>
      <c r="Y70" s="125"/>
      <c r="Z70" s="125"/>
      <c r="AA70" s="125"/>
      <c r="AB70" s="125"/>
      <c r="AC70" s="125"/>
      <c r="AE70" s="125"/>
    </row>
    <row r="71" s="124" customFormat="1" spans="1:31">
      <c r="A71" s="125"/>
      <c r="W71" s="125"/>
      <c r="X71" s="125"/>
      <c r="Y71" s="125"/>
      <c r="Z71" s="125"/>
      <c r="AA71" s="125"/>
      <c r="AB71" s="125"/>
      <c r="AC71" s="125"/>
      <c r="AE71" s="125"/>
    </row>
    <row r="72" s="124" customFormat="1" spans="1:31">
      <c r="A72" s="125"/>
      <c r="W72" s="125"/>
      <c r="X72" s="125"/>
      <c r="Y72" s="125"/>
      <c r="Z72" s="125"/>
      <c r="AA72" s="125"/>
      <c r="AB72" s="125"/>
      <c r="AC72" s="125"/>
      <c r="AE72" s="125"/>
    </row>
    <row r="73" s="124" customFormat="1" spans="1:31">
      <c r="A73" s="125"/>
      <c r="W73" s="125"/>
      <c r="X73" s="125"/>
      <c r="Y73" s="125"/>
      <c r="Z73" s="125"/>
      <c r="AA73" s="125"/>
      <c r="AB73" s="125"/>
      <c r="AC73" s="125"/>
      <c r="AE73" s="125"/>
    </row>
    <row r="74" s="124" customFormat="1" spans="1:31">
      <c r="A74" s="125"/>
      <c r="W74" s="125"/>
      <c r="X74" s="125"/>
      <c r="Y74" s="125"/>
      <c r="Z74" s="125"/>
      <c r="AA74" s="125"/>
      <c r="AB74" s="125"/>
      <c r="AC74" s="125"/>
      <c r="AE74" s="125"/>
    </row>
    <row r="75" s="124" customFormat="1" spans="1:31">
      <c r="A75" s="125"/>
      <c r="W75" s="125"/>
      <c r="X75" s="125"/>
      <c r="Y75" s="125"/>
      <c r="Z75" s="125"/>
      <c r="AA75" s="125"/>
      <c r="AB75" s="125"/>
      <c r="AC75" s="125"/>
      <c r="AE75" s="125"/>
    </row>
    <row r="76" s="124" customFormat="1" spans="1:31">
      <c r="A76" s="125"/>
      <c r="W76" s="125"/>
      <c r="X76" s="125"/>
      <c r="Y76" s="125"/>
      <c r="Z76" s="125"/>
      <c r="AA76" s="125"/>
      <c r="AB76" s="125"/>
      <c r="AC76" s="125"/>
      <c r="AE76" s="125"/>
    </row>
    <row r="77" s="124" customFormat="1" spans="1:31">
      <c r="A77" s="125"/>
      <c r="W77" s="125"/>
      <c r="X77" s="125"/>
      <c r="Y77" s="125"/>
      <c r="Z77" s="125"/>
      <c r="AA77" s="125"/>
      <c r="AB77" s="125"/>
      <c r="AC77" s="125"/>
      <c r="AE77" s="125"/>
    </row>
    <row r="78" spans="23:29">
      <c r="W78" s="125"/>
      <c r="X78" s="125"/>
      <c r="Y78" s="125"/>
      <c r="Z78" s="125"/>
      <c r="AA78" s="125"/>
      <c r="AB78" s="125"/>
      <c r="AC78" s="125"/>
    </row>
  </sheetData>
  <mergeCells count="5">
    <mergeCell ref="W22:X22"/>
    <mergeCell ref="W39:X39"/>
    <mergeCell ref="W57:X57"/>
    <mergeCell ref="W40:W44"/>
    <mergeCell ref="W58:W62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78"/>
  <sheetViews>
    <sheetView workbookViewId="0">
      <selection activeCell="W32" sqref="W32"/>
    </sheetView>
  </sheetViews>
  <sheetFormatPr defaultColWidth="9" defaultRowHeight="13.5"/>
  <cols>
    <col min="1" max="1" width="5.125" style="124" customWidth="1"/>
    <col min="2" max="2" width="7.25" style="124" customWidth="1"/>
    <col min="3" max="3" width="7" style="124" customWidth="1"/>
    <col min="4" max="4" width="7.375" style="124" customWidth="1"/>
    <col min="5" max="5" width="8.875" style="124" customWidth="1"/>
    <col min="6" max="6" width="5.125" style="124" customWidth="1"/>
    <col min="7" max="7" width="8.875" style="124" customWidth="1"/>
    <col min="8" max="8" width="5.125" style="124" customWidth="1"/>
    <col min="9" max="9" width="8.875" style="124" customWidth="1"/>
    <col min="10" max="10" width="5.125" style="124" customWidth="1"/>
    <col min="11" max="11" width="8.875" style="124" customWidth="1"/>
    <col min="12" max="12" width="5.125" style="124" customWidth="1"/>
    <col min="13" max="13" width="9" style="124"/>
    <col min="14" max="14" width="7" style="26" customWidth="1"/>
    <col min="15" max="16384" width="9" style="124"/>
  </cols>
  <sheetData>
    <row r="1" spans="1:20">
      <c r="A1" s="125" t="s">
        <v>1927</v>
      </c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N1" s="9" t="s">
        <v>1</v>
      </c>
      <c r="O1" s="9" t="s">
        <v>1739</v>
      </c>
      <c r="P1" s="9" t="s">
        <v>14</v>
      </c>
      <c r="Q1" s="9" t="s">
        <v>10</v>
      </c>
      <c r="R1" s="9" t="s">
        <v>11</v>
      </c>
      <c r="S1" s="9" t="s">
        <v>12</v>
      </c>
      <c r="T1" s="9" t="s">
        <v>13</v>
      </c>
    </row>
    <row r="2" spans="1:20">
      <c r="A2" s="34" t="s">
        <v>1928</v>
      </c>
      <c r="B2" s="126" t="s">
        <v>1929</v>
      </c>
      <c r="C2" s="34" t="s">
        <v>1930</v>
      </c>
      <c r="D2" s="34" t="s">
        <v>15</v>
      </c>
      <c r="E2" s="126" t="s">
        <v>1931</v>
      </c>
      <c r="F2" s="34" t="s">
        <v>5</v>
      </c>
      <c r="G2" s="34" t="s">
        <v>6</v>
      </c>
      <c r="H2" s="34" t="s">
        <v>7</v>
      </c>
      <c r="I2" s="34" t="s">
        <v>8</v>
      </c>
      <c r="J2" s="113"/>
      <c r="K2" s="113"/>
      <c r="L2" s="113"/>
      <c r="N2" s="9">
        <v>1</v>
      </c>
      <c r="O2" s="9" t="s">
        <v>1740</v>
      </c>
      <c r="P2" s="9">
        <v>63</v>
      </c>
      <c r="Q2" s="9">
        <v>63</v>
      </c>
      <c r="R2" s="9"/>
      <c r="S2" s="9">
        <v>63</v>
      </c>
      <c r="T2" s="9"/>
    </row>
    <row r="3" spans="1:20">
      <c r="A3" s="13" t="s">
        <v>1894</v>
      </c>
      <c r="B3" s="127" t="s">
        <v>1895</v>
      </c>
      <c r="C3" s="13">
        <f>COUNTIF('物赋排 '!$AA:$AA,"&lt;=70")</f>
        <v>3</v>
      </c>
      <c r="D3" s="34">
        <f>LARGE('物赋排 '!$Z:$Z,C3)</f>
        <v>623.25</v>
      </c>
      <c r="E3" s="126">
        <v>100</v>
      </c>
      <c r="F3" s="34">
        <f>LARGE('物赋排 '!$F:$F,COUNTIF('物赋排 '!$G:$G,"&lt;=100"))</f>
        <v>115</v>
      </c>
      <c r="G3" s="34">
        <f>LARGE('物赋排 '!$H:$H,COUNTIF('物赋排 '!$I:$I,"&lt;=100"))</f>
        <v>132</v>
      </c>
      <c r="H3" s="34">
        <f>LARGE('物赋排 '!$J:$J,COUNTIF('物赋排 '!$K:$K,"&lt;=100"))</f>
        <v>136</v>
      </c>
      <c r="I3" s="34">
        <f>LARGE('物赋排 '!$L:$L,COUNTIF('物赋排 '!$M:$M,"&lt;=100"))</f>
        <v>81.5</v>
      </c>
      <c r="J3" s="113"/>
      <c r="K3" s="113"/>
      <c r="L3" s="113"/>
      <c r="N3" s="9">
        <v>2</v>
      </c>
      <c r="O3" s="9" t="s">
        <v>1741</v>
      </c>
      <c r="P3" s="9">
        <v>48</v>
      </c>
      <c r="Q3" s="9"/>
      <c r="R3" s="9"/>
      <c r="S3" s="9">
        <v>48</v>
      </c>
      <c r="T3" s="9">
        <v>48</v>
      </c>
    </row>
    <row r="4" spans="1:20">
      <c r="A4" s="13">
        <v>985</v>
      </c>
      <c r="B4" s="127" t="s">
        <v>1897</v>
      </c>
      <c r="C4" s="13">
        <f>COUNTIF('物赋排 '!$AA:$AA,"&lt;=500")</f>
        <v>25</v>
      </c>
      <c r="D4" s="34">
        <f>LARGE('物赋排 '!$Z:$Z,C4)</f>
        <v>582.5</v>
      </c>
      <c r="E4" s="126">
        <v>600</v>
      </c>
      <c r="F4" s="34">
        <f>LARGE('物赋排 '!$F:$F,COUNTIF('物赋排 '!$G:$G,"&lt;=600"))</f>
        <v>109</v>
      </c>
      <c r="G4" s="34">
        <f>LARGE('物赋排 '!$H:$H,COUNTIF('物赋排 '!$I:$I,"&lt;=600"))</f>
        <v>121.5</v>
      </c>
      <c r="H4" s="34">
        <f>LARGE('物赋排 '!$J:$J,COUNTIF('物赋排 '!$K:$K,"&lt;=600"))</f>
        <v>118.25</v>
      </c>
      <c r="I4" s="34">
        <f>LARGE('物赋排 '!$L:$L,COUNTIF('物赋排 '!$M:$M,"&lt;=600"))</f>
        <v>73</v>
      </c>
      <c r="J4" s="113"/>
      <c r="K4" s="113"/>
      <c r="L4" s="113"/>
      <c r="N4" s="9">
        <v>3</v>
      </c>
      <c r="O4" s="9" t="s">
        <v>1742</v>
      </c>
      <c r="P4" s="9">
        <v>49</v>
      </c>
      <c r="Q4" s="9">
        <v>49</v>
      </c>
      <c r="R4" s="9">
        <v>49</v>
      </c>
      <c r="S4" s="9"/>
      <c r="T4" s="9"/>
    </row>
    <row r="5" spans="1:20">
      <c r="A5" s="13">
        <v>211</v>
      </c>
      <c r="B5" s="127" t="s">
        <v>1899</v>
      </c>
      <c r="C5" s="13">
        <f>COUNTIF('物赋排 '!$AA:$AA,"&lt;=1300")</f>
        <v>100</v>
      </c>
      <c r="D5" s="34">
        <f>LARGE('物赋排 '!$Z:$Z,C5)</f>
        <v>549.5</v>
      </c>
      <c r="E5" s="126">
        <v>1500</v>
      </c>
      <c r="F5" s="34">
        <f>LARGE('物赋排 '!$F:$F,COUNTIF('物赋排 '!$G:$G,"&lt;=1500"))</f>
        <v>105</v>
      </c>
      <c r="G5" s="34">
        <f>LARGE('物赋排 '!$H:$H,COUNTIF('物赋排 '!$I:$I,"&lt;=1500"))</f>
        <v>113</v>
      </c>
      <c r="H5" s="34">
        <f>LARGE('物赋排 '!$J:$J,COUNTIF('物赋排 '!$K:$K,"&lt;=1500"))</f>
        <v>109.75</v>
      </c>
      <c r="I5" s="34">
        <f>LARGE('物赋排 '!$L:$L,COUNTIF('物赋排 '!$M:$M,"&lt;=1500"))</f>
        <v>65</v>
      </c>
      <c r="J5" s="113"/>
      <c r="K5" s="113"/>
      <c r="L5" s="113"/>
      <c r="N5" s="9">
        <v>4</v>
      </c>
      <c r="O5" s="9" t="s">
        <v>1742</v>
      </c>
      <c r="P5" s="9">
        <v>46</v>
      </c>
      <c r="Q5" s="9">
        <v>46</v>
      </c>
      <c r="R5" s="9">
        <v>46</v>
      </c>
      <c r="S5" s="9"/>
      <c r="T5" s="9"/>
    </row>
    <row r="6" spans="1:20">
      <c r="A6" s="13" t="s">
        <v>1901</v>
      </c>
      <c r="B6" s="127" t="s">
        <v>1902</v>
      </c>
      <c r="C6" s="13">
        <f>COUNTIF('物赋排 '!$AA:$AA,"&lt;=4000")</f>
        <v>399</v>
      </c>
      <c r="D6" s="34">
        <f>LARGE('物赋排 '!$Z:$Z,C6)</f>
        <v>485</v>
      </c>
      <c r="E6" s="126">
        <v>4200</v>
      </c>
      <c r="F6" s="34">
        <f>LARGE('物赋排 '!$F:$F,COUNTIF('物赋排 '!$G:$G,"&lt;=4200"))</f>
        <v>98.5</v>
      </c>
      <c r="G6" s="34">
        <f>LARGE('物赋排 '!$H:$H,COUNTIF('物赋排 '!$I:$I,"&lt;=4200"))</f>
        <v>98</v>
      </c>
      <c r="H6" s="34">
        <f>LARGE('物赋排 '!$J:$J,COUNTIF('物赋排 '!$K:$K,"&lt;=4200"))</f>
        <v>94.75</v>
      </c>
      <c r="I6" s="34">
        <f>LARGE('物赋排 '!$L:$L,COUNTIF('物赋排 '!$M:$M,"&lt;=4200"))</f>
        <v>49</v>
      </c>
      <c r="J6" s="113"/>
      <c r="K6" s="113"/>
      <c r="L6" s="113"/>
      <c r="N6" s="9">
        <v>5</v>
      </c>
      <c r="O6" s="9" t="s">
        <v>1742</v>
      </c>
      <c r="P6" s="9">
        <v>47</v>
      </c>
      <c r="Q6" s="9">
        <v>47</v>
      </c>
      <c r="R6" s="9">
        <v>47</v>
      </c>
      <c r="S6" s="9"/>
      <c r="T6" s="9"/>
    </row>
    <row r="7" spans="1:20">
      <c r="A7" s="13" t="s">
        <v>1904</v>
      </c>
      <c r="B7" s="127" t="s">
        <v>1905</v>
      </c>
      <c r="C7" s="13">
        <f>COUNTIF('物赋排 '!$AA:$AA,"&lt;=9000")</f>
        <v>633</v>
      </c>
      <c r="D7" s="34">
        <f>LARGE('物赋排 '!$Z:$Z,C7)</f>
        <v>409.25</v>
      </c>
      <c r="E7" s="126">
        <v>10000</v>
      </c>
      <c r="F7" s="34">
        <f>LARGE('物赋排 '!$F:$F,COUNTIF('物赋排 '!$G:$G,"&lt;=10000"))</f>
        <v>89</v>
      </c>
      <c r="G7" s="34">
        <f>LARGE('物赋排 '!$H:$H,COUNTIF('物赋排 '!$I:$I,"&lt;=10000"))</f>
        <v>70</v>
      </c>
      <c r="H7" s="34">
        <f>LARGE('物赋排 '!$J:$J,COUNTIF('物赋排 '!$K:$K,"&lt;=10000"))</f>
        <v>71.75</v>
      </c>
      <c r="I7" s="34">
        <f>LARGE('物赋排 '!$L:$L,COUNTIF('物赋排 '!$M:$M,"&lt;=10000"))</f>
        <v>29</v>
      </c>
      <c r="J7" s="113"/>
      <c r="K7" s="113"/>
      <c r="L7" s="113"/>
      <c r="N7" s="9">
        <v>6</v>
      </c>
      <c r="O7" s="34" t="s">
        <v>1743</v>
      </c>
      <c r="P7" s="9">
        <v>39</v>
      </c>
      <c r="Q7" s="9"/>
      <c r="R7" s="9">
        <v>39</v>
      </c>
      <c r="S7" s="9"/>
      <c r="T7" s="9">
        <v>39</v>
      </c>
    </row>
    <row r="8" spans="14:20">
      <c r="N8" s="9">
        <v>7</v>
      </c>
      <c r="O8" s="9" t="s">
        <v>1743</v>
      </c>
      <c r="P8" s="9">
        <v>38</v>
      </c>
      <c r="Q8" s="9"/>
      <c r="R8" s="9">
        <v>38</v>
      </c>
      <c r="S8" s="9"/>
      <c r="T8" s="9">
        <v>38</v>
      </c>
    </row>
    <row r="9" spans="1:20">
      <c r="A9" s="125" t="s">
        <v>1927</v>
      </c>
      <c r="B9" s="125"/>
      <c r="C9" s="125"/>
      <c r="D9" s="125"/>
      <c r="E9" s="125"/>
      <c r="F9" s="125"/>
      <c r="G9" s="125"/>
      <c r="H9" s="125"/>
      <c r="I9" s="125"/>
      <c r="J9" s="125"/>
      <c r="K9" s="125"/>
      <c r="L9" s="125"/>
      <c r="N9" s="9">
        <v>8</v>
      </c>
      <c r="O9" s="9" t="s">
        <v>1744</v>
      </c>
      <c r="P9" s="9">
        <v>57</v>
      </c>
      <c r="Q9" s="9">
        <v>57</v>
      </c>
      <c r="R9" s="9"/>
      <c r="S9" s="9"/>
      <c r="T9" s="9">
        <v>57</v>
      </c>
    </row>
    <row r="10" spans="1:20">
      <c r="A10" s="34" t="s">
        <v>1928</v>
      </c>
      <c r="B10" s="126" t="s">
        <v>1929</v>
      </c>
      <c r="C10" s="34" t="s">
        <v>1930</v>
      </c>
      <c r="D10" s="34" t="s">
        <v>15</v>
      </c>
      <c r="E10" s="126" t="s">
        <v>1931</v>
      </c>
      <c r="F10" s="126" t="s">
        <v>10</v>
      </c>
      <c r="G10" s="34" t="s">
        <v>1931</v>
      </c>
      <c r="H10" s="34" t="s">
        <v>11</v>
      </c>
      <c r="I10" s="126" t="s">
        <v>1931</v>
      </c>
      <c r="J10" s="126" t="s">
        <v>12</v>
      </c>
      <c r="K10" s="34" t="s">
        <v>1931</v>
      </c>
      <c r="L10" s="34" t="s">
        <v>13</v>
      </c>
      <c r="N10" s="9">
        <v>9</v>
      </c>
      <c r="O10" s="9" t="s">
        <v>1744</v>
      </c>
      <c r="P10" s="9">
        <v>54</v>
      </c>
      <c r="Q10" s="9">
        <v>54</v>
      </c>
      <c r="R10" s="9"/>
      <c r="S10" s="9"/>
      <c r="T10" s="9">
        <v>54</v>
      </c>
    </row>
    <row r="11" spans="1:20">
      <c r="A11" s="13" t="s">
        <v>1894</v>
      </c>
      <c r="B11" s="127" t="s">
        <v>1895</v>
      </c>
      <c r="C11" s="13">
        <f>COUNTIF('物赋排 '!$AA:$AA,"&lt;=70")</f>
        <v>3</v>
      </c>
      <c r="D11" s="34">
        <f>LARGE('物赋排 '!$Z:$Z,C11)</f>
        <v>623.25</v>
      </c>
      <c r="E11" s="126">
        <v>60</v>
      </c>
      <c r="F11" s="126">
        <f>LARGE('物赋排 '!$P:$P,COUNTIF('物赋排 '!$Q:$Q,"&lt;=60"))</f>
        <v>91</v>
      </c>
      <c r="G11" s="34">
        <v>30</v>
      </c>
      <c r="H11" s="34">
        <f>LARGE('物赋排 '!$R:$R,COUNTIF('物赋排 '!$S:$S,"&lt;=30"))</f>
        <v>93</v>
      </c>
      <c r="I11" s="126">
        <v>20</v>
      </c>
      <c r="J11" s="129" t="e">
        <f>LARGE('物赋排 '!$T:$T,COUNTIF('物赋排 '!$U:$U,"&lt;=20"))</f>
        <v>#NUM!</v>
      </c>
      <c r="K11" s="34">
        <v>50</v>
      </c>
      <c r="L11" s="34">
        <f>LARGE('物赋排 '!$V:$V,COUNTIF('物赋排 '!$W:$W,"&lt;=50"))</f>
        <v>89</v>
      </c>
      <c r="N11" s="9">
        <v>10</v>
      </c>
      <c r="O11" s="9" t="s">
        <v>1744</v>
      </c>
      <c r="P11" s="9">
        <v>57</v>
      </c>
      <c r="Q11" s="9">
        <v>57</v>
      </c>
      <c r="R11" s="9"/>
      <c r="S11" s="9"/>
      <c r="T11" s="9">
        <v>57</v>
      </c>
    </row>
    <row r="12" spans="1:20">
      <c r="A12" s="13">
        <v>985</v>
      </c>
      <c r="B12" s="127" t="s">
        <v>1897</v>
      </c>
      <c r="C12" s="13">
        <f>COUNTIF('物赋排 '!$AA:$AA,"&lt;=500")</f>
        <v>25</v>
      </c>
      <c r="D12" s="34">
        <f>LARGE('物赋排 '!$Z:$Z,C12)</f>
        <v>582.5</v>
      </c>
      <c r="E12" s="126">
        <v>450</v>
      </c>
      <c r="F12" s="126">
        <f>LARGE('物赋排 '!$P:$P,COUNTIF('物赋排 '!$Q:$Q,"&lt;=450"))</f>
        <v>87</v>
      </c>
      <c r="G12" s="34">
        <v>170</v>
      </c>
      <c r="H12" s="34">
        <f>LARGE('物赋排 '!$R:$R,COUNTIF('物赋排 '!$S:$S,"&lt;=170"))</f>
        <v>90</v>
      </c>
      <c r="I12" s="126">
        <v>100</v>
      </c>
      <c r="J12" s="126">
        <f>LARGE('物赋排 '!$T:$T,COUNTIF('物赋排 '!$U:$U,"&lt;=100"))</f>
        <v>88</v>
      </c>
      <c r="K12" s="34">
        <v>350</v>
      </c>
      <c r="L12" s="34">
        <f>LARGE('物赋排 '!$V:$V,COUNTIF('物赋排 '!$W:$W,"&lt;=350"))</f>
        <v>86</v>
      </c>
      <c r="N12" s="9">
        <v>11</v>
      </c>
      <c r="O12" s="9" t="s">
        <v>1744</v>
      </c>
      <c r="P12" s="9">
        <v>56</v>
      </c>
      <c r="Q12" s="9">
        <v>56</v>
      </c>
      <c r="R12" s="9"/>
      <c r="S12" s="9"/>
      <c r="T12" s="9">
        <v>56</v>
      </c>
    </row>
    <row r="13" spans="1:20">
      <c r="A13" s="13">
        <v>211</v>
      </c>
      <c r="B13" s="127" t="s">
        <v>1899</v>
      </c>
      <c r="C13" s="13">
        <f>COUNTIF('物赋排 '!$AA:$AA,"&lt;=1300")</f>
        <v>100</v>
      </c>
      <c r="D13" s="34">
        <f>LARGE('物赋排 '!$Z:$Z,C13)</f>
        <v>549.5</v>
      </c>
      <c r="E13" s="126">
        <v>1100</v>
      </c>
      <c r="F13" s="126">
        <f>LARGE('物赋排 '!$P:$P,COUNTIF('物赋排 '!$Q:$Q,"&lt;=1100"))</f>
        <v>85</v>
      </c>
      <c r="G13" s="34">
        <v>430</v>
      </c>
      <c r="H13" s="34">
        <f>LARGE('物赋排 '!$R:$R,COUNTIF('物赋排 '!$S:$S,"&lt;=430"))</f>
        <v>88</v>
      </c>
      <c r="I13" s="126">
        <v>250</v>
      </c>
      <c r="J13" s="126">
        <f>LARGE('物赋排 '!$T:$T,COUNTIF('物赋排 '!$U:$U,"&lt;=250"))</f>
        <v>87</v>
      </c>
      <c r="K13" s="34">
        <v>900</v>
      </c>
      <c r="L13" s="34">
        <f>LARGE('物赋排 '!$V:$V,COUNTIF('物赋排 '!$W:$W,"&lt;=900"))</f>
        <v>80</v>
      </c>
      <c r="N13" s="9">
        <v>12</v>
      </c>
      <c r="O13" s="9" t="s">
        <v>1744</v>
      </c>
      <c r="P13" s="9">
        <v>57</v>
      </c>
      <c r="Q13" s="9">
        <v>57</v>
      </c>
      <c r="R13" s="9"/>
      <c r="S13" s="9"/>
      <c r="T13" s="9">
        <v>57</v>
      </c>
    </row>
    <row r="14" spans="1:20">
      <c r="A14" s="13" t="s">
        <v>1901</v>
      </c>
      <c r="B14" s="127" t="s">
        <v>1902</v>
      </c>
      <c r="C14" s="13">
        <f>COUNTIF('物赋排 '!$AA:$AA,"&lt;=4000")</f>
        <v>399</v>
      </c>
      <c r="D14" s="34">
        <f>LARGE('物赋排 '!$Z:$Z,C14)</f>
        <v>485</v>
      </c>
      <c r="E14" s="126">
        <v>3300</v>
      </c>
      <c r="F14" s="126">
        <f>LARGE('物赋排 '!$P:$P,COUNTIF('物赋排 '!$Q:$Q,"&lt;=3300"))</f>
        <v>76</v>
      </c>
      <c r="G14" s="34">
        <v>1400</v>
      </c>
      <c r="H14" s="34">
        <f>LARGE('物赋排 '!$R:$R,COUNTIF('物赋排 '!$S:$S,"&lt;=1400"))</f>
        <v>84</v>
      </c>
      <c r="I14" s="126">
        <v>700</v>
      </c>
      <c r="J14" s="126">
        <f>LARGE('物赋排 '!$T:$T,COUNTIF('物赋排 '!$U:$U,"&lt;=700"))</f>
        <v>81</v>
      </c>
      <c r="K14" s="34">
        <v>2800</v>
      </c>
      <c r="L14" s="34">
        <f>LARGE('物赋排 '!$V:$V,COUNTIF('物赋排 '!$W:$W,"&lt;=2800"))</f>
        <v>66</v>
      </c>
      <c r="N14" s="9">
        <v>13</v>
      </c>
      <c r="O14" s="9" t="s">
        <v>1744</v>
      </c>
      <c r="P14" s="9">
        <v>55</v>
      </c>
      <c r="Q14" s="9">
        <v>55</v>
      </c>
      <c r="R14" s="9"/>
      <c r="S14" s="9"/>
      <c r="T14" s="9">
        <v>55</v>
      </c>
    </row>
    <row r="15" spans="1:20">
      <c r="A15" s="13" t="s">
        <v>1904</v>
      </c>
      <c r="B15" s="127" t="s">
        <v>1905</v>
      </c>
      <c r="C15" s="13">
        <f>COUNTIF('物赋排 '!$AA:$AA,"&lt;=9000")</f>
        <v>633</v>
      </c>
      <c r="D15" s="34">
        <f>LARGE('物赋排 '!$Z:$Z,C15)</f>
        <v>409.25</v>
      </c>
      <c r="E15" s="126">
        <v>7400</v>
      </c>
      <c r="F15" s="126">
        <f>LARGE('物赋排 '!$P:$P,COUNTIF('物赋排 '!$Q:$Q,"&lt;=7400"))</f>
        <v>63</v>
      </c>
      <c r="G15" s="34">
        <v>3000</v>
      </c>
      <c r="H15" s="34">
        <f>LARGE('物赋排 '!$R:$R,COUNTIF('物赋排 '!$S:$S,"&lt;=3000"))</f>
        <v>77</v>
      </c>
      <c r="I15" s="126">
        <v>1500</v>
      </c>
      <c r="J15" s="126">
        <f>LARGE('物赋排 '!$T:$T,COUNTIF('物赋排 '!$U:$U,"&lt;=1500"))</f>
        <v>74</v>
      </c>
      <c r="K15" s="34">
        <v>6300</v>
      </c>
      <c r="L15" s="34" t="e">
        <f>LARGE('物赋排 '!$V:$V,COUNTIF('物赋排 '!$W:$W,"&lt;=6300"))</f>
        <v>#NUM!</v>
      </c>
      <c r="N15" s="34" t="s">
        <v>1849</v>
      </c>
      <c r="O15" s="34"/>
      <c r="P15" s="34">
        <v>666</v>
      </c>
      <c r="Q15" s="34">
        <v>541</v>
      </c>
      <c r="R15" s="34">
        <v>219</v>
      </c>
      <c r="S15" s="34">
        <v>111</v>
      </c>
      <c r="T15" s="34">
        <v>461</v>
      </c>
    </row>
    <row r="16" spans="1:20">
      <c r="A16" s="128" t="s">
        <v>1932</v>
      </c>
      <c r="B16" s="125"/>
      <c r="C16" s="125"/>
      <c r="D16" s="125"/>
      <c r="E16" s="125"/>
      <c r="F16" s="125"/>
      <c r="G16" s="125"/>
      <c r="H16" s="125"/>
      <c r="I16" s="125"/>
      <c r="J16" s="125"/>
      <c r="K16" s="125"/>
      <c r="L16" s="125"/>
      <c r="N16" s="9" t="s">
        <v>1920</v>
      </c>
      <c r="O16" s="130" t="s">
        <v>1894</v>
      </c>
      <c r="P16" s="9"/>
      <c r="Q16" s="11">
        <v>56.8618618618619</v>
      </c>
      <c r="R16" s="11">
        <v>23.018018018018</v>
      </c>
      <c r="S16" s="11">
        <v>11.6666666666667</v>
      </c>
      <c r="T16" s="11">
        <v>48.4534534534535</v>
      </c>
    </row>
    <row r="17" spans="1:20">
      <c r="A17" s="128"/>
      <c r="B17" s="125"/>
      <c r="C17" s="125"/>
      <c r="D17" s="125"/>
      <c r="E17" s="125"/>
      <c r="F17" s="125"/>
      <c r="G17" s="125"/>
      <c r="H17" s="125"/>
      <c r="I17" s="125"/>
      <c r="J17" s="125"/>
      <c r="K17" s="125"/>
      <c r="L17" s="125"/>
      <c r="N17" s="9"/>
      <c r="O17" s="13">
        <v>985</v>
      </c>
      <c r="P17" s="9"/>
      <c r="Q17" s="11">
        <v>406.156156156156</v>
      </c>
      <c r="R17" s="11">
        <v>164.414414414414</v>
      </c>
      <c r="S17" s="11">
        <v>83.3333333333333</v>
      </c>
      <c r="T17" s="11">
        <v>346.096096096096</v>
      </c>
    </row>
    <row r="18" spans="14:20">
      <c r="N18" s="9"/>
      <c r="O18" s="130">
        <v>211</v>
      </c>
      <c r="P18" s="9"/>
      <c r="Q18" s="11">
        <v>1056.00600600601</v>
      </c>
      <c r="R18" s="11">
        <v>427.477477477478</v>
      </c>
      <c r="S18" s="11">
        <v>216.666666666667</v>
      </c>
      <c r="T18" s="11">
        <v>899.84984984985</v>
      </c>
    </row>
    <row r="19" spans="1:20">
      <c r="A19" s="125" t="s">
        <v>1933</v>
      </c>
      <c r="B19" s="125"/>
      <c r="C19" s="125"/>
      <c r="D19" s="125"/>
      <c r="E19" s="125"/>
      <c r="F19" s="125"/>
      <c r="G19" s="125"/>
      <c r="H19" s="125"/>
      <c r="I19" s="125"/>
      <c r="J19" s="125"/>
      <c r="K19" s="131"/>
      <c r="L19" s="131"/>
      <c r="N19" s="9"/>
      <c r="O19" s="13" t="s">
        <v>1901</v>
      </c>
      <c r="P19" s="9"/>
      <c r="Q19" s="11">
        <v>3249.24924924925</v>
      </c>
      <c r="R19" s="11">
        <v>1315.31531531532</v>
      </c>
      <c r="S19" s="11">
        <v>666.666666666667</v>
      </c>
      <c r="T19" s="11">
        <v>2768.76876876877</v>
      </c>
    </row>
    <row r="20" spans="1:20">
      <c r="A20" s="34" t="s">
        <v>1928</v>
      </c>
      <c r="B20" s="126" t="s">
        <v>1929</v>
      </c>
      <c r="C20" s="34" t="s">
        <v>1930</v>
      </c>
      <c r="D20" s="34" t="s">
        <v>15</v>
      </c>
      <c r="E20" s="126" t="s">
        <v>1931</v>
      </c>
      <c r="F20" s="34" t="s">
        <v>5</v>
      </c>
      <c r="G20" s="34" t="s">
        <v>6</v>
      </c>
      <c r="H20" s="34" t="s">
        <v>7</v>
      </c>
      <c r="I20" s="34" t="s">
        <v>9</v>
      </c>
      <c r="J20" s="113"/>
      <c r="K20" s="113"/>
      <c r="L20" s="113"/>
      <c r="N20" s="9"/>
      <c r="O20" s="130" t="s">
        <v>1904</v>
      </c>
      <c r="P20" s="9"/>
      <c r="Q20" s="11">
        <v>7310.81081081081</v>
      </c>
      <c r="R20" s="11">
        <v>2959.45945945946</v>
      </c>
      <c r="S20" s="11">
        <v>1500</v>
      </c>
      <c r="T20" s="11">
        <v>6229.72972972973</v>
      </c>
    </row>
    <row r="21" spans="1:12">
      <c r="A21" s="13" t="s">
        <v>1894</v>
      </c>
      <c r="B21" s="127" t="s">
        <v>1896</v>
      </c>
      <c r="C21" s="13">
        <f>COUNTIF('史赋排 '!$AA:$AA,"&lt;=30")</f>
        <v>2</v>
      </c>
      <c r="D21" s="34">
        <f>LARGE('史赋排 '!$Z:$Z,C21)</f>
        <v>601.5</v>
      </c>
      <c r="E21" s="126">
        <v>50</v>
      </c>
      <c r="F21" s="34">
        <f>LARGE('史赋排 '!$F:$F,COUNTIF('史赋排 '!$G:$G,"&lt;=50"))</f>
        <v>115</v>
      </c>
      <c r="G21" s="34">
        <f>LARGE('史赋排 '!$H:$H,COUNTIF('史赋排 '!$I:$I,"&lt;=50"))</f>
        <v>117.5</v>
      </c>
      <c r="H21" s="34">
        <f>LARGE('史赋排 '!$J:$J,COUNTIF('史赋排 '!$K:$K,"&lt;=50"))</f>
        <v>129</v>
      </c>
      <c r="I21" s="34">
        <f>LARGE('史赋排 '!$N:$N,COUNTIF('史赋排 '!$O:$O,"&lt;=50"))</f>
        <v>70.5</v>
      </c>
      <c r="J21" s="113"/>
      <c r="K21" s="113"/>
      <c r="L21" s="113"/>
    </row>
    <row r="22" spans="1:20">
      <c r="A22" s="13">
        <v>985</v>
      </c>
      <c r="B22" s="127" t="s">
        <v>1898</v>
      </c>
      <c r="C22" s="13">
        <f>COUNTIF('史赋排 '!$AA:$AA,"&lt;=100")</f>
        <v>11</v>
      </c>
      <c r="D22" s="34">
        <f>LARGE('史赋排 '!$Z:$Z,C22)</f>
        <v>576.5</v>
      </c>
      <c r="E22" s="126">
        <v>120</v>
      </c>
      <c r="F22" s="34">
        <f>LARGE('史赋排 '!$F:$F,COUNTIF('史赋排 '!$G:$G,"&lt;=120"))</f>
        <v>111.75</v>
      </c>
      <c r="G22" s="34">
        <f>LARGE('史赋排 '!$H:$H,COUNTIF('史赋排 '!$I:$I,"&lt;=120"))</f>
        <v>111</v>
      </c>
      <c r="H22" s="34">
        <f>LARGE('史赋排 '!$J:$J,COUNTIF('史赋排 '!$K:$K,"&lt;=120"))</f>
        <v>122.5</v>
      </c>
      <c r="I22" s="34">
        <f>LARGE('史赋排 '!$N:$N,COUNTIF('史赋排 '!$O:$O,"&lt;=120"))</f>
        <v>67</v>
      </c>
      <c r="J22" s="113"/>
      <c r="K22" s="113"/>
      <c r="L22" s="113"/>
      <c r="N22" s="9" t="s">
        <v>1</v>
      </c>
      <c r="O22" s="9" t="s">
        <v>1739</v>
      </c>
      <c r="P22" s="9" t="s">
        <v>14</v>
      </c>
      <c r="Q22" s="9" t="s">
        <v>10</v>
      </c>
      <c r="R22" s="9" t="s">
        <v>11</v>
      </c>
      <c r="S22" s="9" t="s">
        <v>12</v>
      </c>
      <c r="T22" s="9" t="s">
        <v>13</v>
      </c>
    </row>
    <row r="23" spans="1:20">
      <c r="A23" s="13">
        <v>211</v>
      </c>
      <c r="B23" s="127" t="s">
        <v>1900</v>
      </c>
      <c r="C23" s="13">
        <f>COUNTIF('史赋排 '!$AA:$AA,"&lt;=200")</f>
        <v>35</v>
      </c>
      <c r="D23" s="34">
        <f>LARGE('史赋排 '!$Z:$Z,C23)</f>
        <v>556</v>
      </c>
      <c r="E23" s="126">
        <v>250</v>
      </c>
      <c r="F23" s="34">
        <f>LARGE('史赋排 '!$F:$F,COUNTIF('史赋排 '!$G:$G,"&lt;=250"))</f>
        <v>108</v>
      </c>
      <c r="G23" s="34">
        <f>LARGE('史赋排 '!$H:$H,COUNTIF('史赋排 '!$I:$I,"&lt;=250"))</f>
        <v>101.5</v>
      </c>
      <c r="H23" s="34">
        <f>LARGE('史赋排 '!$J:$J,COUNTIF('史赋排 '!$K:$K,"&lt;=250"))</f>
        <v>116</v>
      </c>
      <c r="I23" s="34">
        <f>LARGE('史赋排 '!$N:$N,COUNTIF('史赋排 '!$O:$O,"&lt;=250"))</f>
        <v>64</v>
      </c>
      <c r="J23" s="113"/>
      <c r="K23" s="113"/>
      <c r="L23" s="113"/>
      <c r="N23" s="9">
        <v>14</v>
      </c>
      <c r="O23" s="9" t="s">
        <v>1745</v>
      </c>
      <c r="P23" s="9">
        <v>39</v>
      </c>
      <c r="Q23" s="9"/>
      <c r="R23" s="9"/>
      <c r="S23" s="9">
        <v>39</v>
      </c>
      <c r="T23" s="9">
        <v>39</v>
      </c>
    </row>
    <row r="24" spans="1:20">
      <c r="A24" s="13" t="s">
        <v>1901</v>
      </c>
      <c r="B24" s="127" t="s">
        <v>1903</v>
      </c>
      <c r="C24" s="13">
        <f>COUNTIF('史赋排 '!$AA:$AA,"&lt;=700")</f>
        <v>155</v>
      </c>
      <c r="D24" s="34">
        <f>LARGE('史赋排 '!$Z:$Z,C24)</f>
        <v>487.5</v>
      </c>
      <c r="E24" s="126">
        <v>800</v>
      </c>
      <c r="F24" s="34">
        <f>LARGE('史赋排 '!$F:$F,COUNTIF('史赋排 '!$G:$G,"&lt;=800"))</f>
        <v>101.75</v>
      </c>
      <c r="G24" s="34">
        <f>LARGE('史赋排 '!$H:$H,COUNTIF('史赋排 '!$I:$I,"&lt;=800"))</f>
        <v>78.5</v>
      </c>
      <c r="H24" s="34">
        <f>LARGE('史赋排 '!$J:$J,COUNTIF('史赋排 '!$K:$K,"&lt;=800"))</f>
        <v>98</v>
      </c>
      <c r="I24" s="34">
        <f>LARGE('史赋排 '!$N:$N,COUNTIF('史赋排 '!$O:$O,"&lt;=800"))</f>
        <v>56.5</v>
      </c>
      <c r="J24" s="113"/>
      <c r="K24" s="113"/>
      <c r="L24" s="113"/>
      <c r="N24" s="9">
        <v>15</v>
      </c>
      <c r="O24" s="9" t="s">
        <v>1745</v>
      </c>
      <c r="P24" s="9">
        <v>42</v>
      </c>
      <c r="Q24" s="9"/>
      <c r="R24" s="9"/>
      <c r="S24" s="9">
        <v>42</v>
      </c>
      <c r="T24" s="9">
        <v>42</v>
      </c>
    </row>
    <row r="25" spans="1:20">
      <c r="A25" s="13" t="s">
        <v>1904</v>
      </c>
      <c r="B25" s="127" t="s">
        <v>1906</v>
      </c>
      <c r="C25" s="13">
        <f>COUNTIF('史赋排 '!$AA:$AA,"&lt;=1500")</f>
        <v>200</v>
      </c>
      <c r="D25" s="34">
        <f>LARGE('史赋排 '!$Z:$Z,C25)</f>
        <v>438</v>
      </c>
      <c r="E25" s="126">
        <v>2000</v>
      </c>
      <c r="F25" s="34">
        <f>LARGE('史赋排 '!$F:$F,COUNTIF('史赋排 '!$G:$G,"&lt;=2000"))</f>
        <v>93</v>
      </c>
      <c r="G25" s="34">
        <f>LARGE('史赋排 '!$H:$H,COUNTIF('史赋排 '!$I:$I,"&lt;=2000"))</f>
        <v>50</v>
      </c>
      <c r="H25" s="34">
        <f>LARGE('史赋排 '!$J:$J,COUNTIF('史赋排 '!$K:$K,"&lt;=2000"))</f>
        <v>74</v>
      </c>
      <c r="I25" s="34">
        <f>LARGE('史赋排 '!$N:$N,COUNTIF('史赋排 '!$O:$O,"&lt;=2000"))</f>
        <v>47</v>
      </c>
      <c r="J25" s="113"/>
      <c r="K25" s="113"/>
      <c r="L25" s="113"/>
      <c r="N25" s="132">
        <v>16</v>
      </c>
      <c r="O25" s="9" t="s">
        <v>1912</v>
      </c>
      <c r="P25" s="9">
        <v>2</v>
      </c>
      <c r="Q25" s="9">
        <v>2</v>
      </c>
      <c r="R25" s="9"/>
      <c r="S25" s="9"/>
      <c r="T25" s="9">
        <v>2</v>
      </c>
    </row>
    <row r="26" spans="14:20">
      <c r="N26" s="132">
        <v>16</v>
      </c>
      <c r="O26" s="9" t="s">
        <v>1745</v>
      </c>
      <c r="P26" s="9">
        <v>20</v>
      </c>
      <c r="Q26" s="23"/>
      <c r="R26" s="9"/>
      <c r="S26" s="9">
        <v>20</v>
      </c>
      <c r="T26" s="9">
        <v>20</v>
      </c>
    </row>
    <row r="27" spans="1:20">
      <c r="A27" s="125" t="s">
        <v>1933</v>
      </c>
      <c r="B27" s="125"/>
      <c r="C27" s="125"/>
      <c r="D27" s="125"/>
      <c r="E27" s="125"/>
      <c r="F27" s="125"/>
      <c r="G27" s="125"/>
      <c r="H27" s="125"/>
      <c r="I27" s="125"/>
      <c r="J27" s="125"/>
      <c r="K27" s="131"/>
      <c r="L27" s="131"/>
      <c r="N27" s="132">
        <v>16</v>
      </c>
      <c r="O27" s="9" t="s">
        <v>1747</v>
      </c>
      <c r="P27" s="9">
        <v>17</v>
      </c>
      <c r="Q27" s="9"/>
      <c r="R27" s="9">
        <v>17</v>
      </c>
      <c r="S27" s="9">
        <v>17</v>
      </c>
      <c r="T27" s="9"/>
    </row>
    <row r="28" spans="1:20">
      <c r="A28" s="34" t="s">
        <v>1928</v>
      </c>
      <c r="B28" s="126" t="s">
        <v>1929</v>
      </c>
      <c r="C28" s="34" t="s">
        <v>1930</v>
      </c>
      <c r="D28" s="34" t="s">
        <v>15</v>
      </c>
      <c r="E28" s="126" t="s">
        <v>1931</v>
      </c>
      <c r="F28" s="126" t="s">
        <v>11</v>
      </c>
      <c r="G28" s="34" t="s">
        <v>1931</v>
      </c>
      <c r="H28" s="34" t="s">
        <v>12</v>
      </c>
      <c r="I28" s="126" t="s">
        <v>1931</v>
      </c>
      <c r="J28" s="126" t="s">
        <v>13</v>
      </c>
      <c r="N28" s="9">
        <v>17</v>
      </c>
      <c r="O28" s="9" t="s">
        <v>1747</v>
      </c>
      <c r="P28" s="9">
        <v>43</v>
      </c>
      <c r="Q28" s="9"/>
      <c r="R28" s="9">
        <v>43</v>
      </c>
      <c r="S28" s="9">
        <v>43</v>
      </c>
      <c r="T28" s="9"/>
    </row>
    <row r="29" spans="1:20">
      <c r="A29" s="13" t="s">
        <v>1894</v>
      </c>
      <c r="B29" s="127" t="s">
        <v>1896</v>
      </c>
      <c r="C29" s="13">
        <f>COUNTIF('史赋排 '!$AA:$AA,"&lt;=30")</f>
        <v>2</v>
      </c>
      <c r="D29" s="34">
        <f>LARGE('史赋排 '!$Z:$Z,C29)</f>
        <v>601.5</v>
      </c>
      <c r="E29" s="126">
        <v>20</v>
      </c>
      <c r="F29" s="126">
        <f>LARGE('史赋排 '!$R:$R,COUNTIF('史赋排 '!$S:$S,"&lt;=20"))</f>
        <v>91</v>
      </c>
      <c r="G29" s="34">
        <v>35</v>
      </c>
      <c r="H29" s="34">
        <f>LARGE('史赋排 '!$T:$T,COUNTIF('史赋排 '!$U:$U,"&lt;=35"))</f>
        <v>91</v>
      </c>
      <c r="I29" s="126">
        <v>20</v>
      </c>
      <c r="J29" s="126">
        <f>LARGE('史赋排 '!$V:$V,COUNTIF('史赋排 '!$W:$W,"&lt;=20"))</f>
        <v>89</v>
      </c>
      <c r="N29" s="9">
        <v>18</v>
      </c>
      <c r="O29" s="9" t="s">
        <v>1747</v>
      </c>
      <c r="P29" s="9">
        <v>43</v>
      </c>
      <c r="Q29" s="9"/>
      <c r="R29" s="9">
        <v>43</v>
      </c>
      <c r="S29" s="9">
        <v>43</v>
      </c>
      <c r="T29" s="9"/>
    </row>
    <row r="30" spans="1:20">
      <c r="A30" s="13">
        <v>985</v>
      </c>
      <c r="B30" s="127" t="s">
        <v>1898</v>
      </c>
      <c r="C30" s="13">
        <f>COUNTIF('史赋排 '!$AA:$AA,"&lt;=100")</f>
        <v>11</v>
      </c>
      <c r="D30" s="34">
        <f>LARGE('史赋排 '!$Z:$Z,C30)</f>
        <v>576.5</v>
      </c>
      <c r="E30" s="126">
        <v>60</v>
      </c>
      <c r="F30" s="126">
        <f>LARGE('史赋排 '!$R:$R,COUNTIF('史赋排 '!$S:$S,"&lt;=60"))</f>
        <v>89</v>
      </c>
      <c r="G30" s="34">
        <v>100</v>
      </c>
      <c r="H30" s="34">
        <f>LARGE('史赋排 '!$T:$T,COUNTIF('史赋排 '!$U:$U,"&lt;=100"))</f>
        <v>89</v>
      </c>
      <c r="I30" s="126">
        <v>60</v>
      </c>
      <c r="J30" s="126">
        <f>LARGE('史赋排 '!$V:$V,COUNTIF('史赋排 '!$W:$W,"&lt;=60"))</f>
        <v>86</v>
      </c>
      <c r="N30" s="34" t="s">
        <v>1849</v>
      </c>
      <c r="O30" s="34"/>
      <c r="P30" s="34">
        <v>206</v>
      </c>
      <c r="Q30" s="34">
        <v>2</v>
      </c>
      <c r="R30" s="34">
        <v>103</v>
      </c>
      <c r="S30" s="34">
        <v>204</v>
      </c>
      <c r="T30" s="34">
        <v>103</v>
      </c>
    </row>
    <row r="31" spans="1:20">
      <c r="A31" s="13">
        <v>211</v>
      </c>
      <c r="B31" s="127" t="s">
        <v>1900</v>
      </c>
      <c r="C31" s="13">
        <f>COUNTIF('史赋排 '!$AA:$AA,"&lt;=200")</f>
        <v>35</v>
      </c>
      <c r="D31" s="34">
        <f>LARGE('史赋排 '!$Z:$Z,C31)</f>
        <v>556</v>
      </c>
      <c r="E31" s="126">
        <v>120</v>
      </c>
      <c r="F31" s="126">
        <f>LARGE('史赋排 '!$R:$R,COUNTIF('史赋排 '!$S:$S,"&lt;=120"))</f>
        <v>88</v>
      </c>
      <c r="G31" s="34">
        <v>200</v>
      </c>
      <c r="H31" s="34">
        <f>LARGE('史赋排 '!$T:$T,COUNTIF('史赋排 '!$U:$U,"&lt;=200"))</f>
        <v>88</v>
      </c>
      <c r="I31" s="126">
        <v>120</v>
      </c>
      <c r="J31" s="126">
        <f>LARGE('史赋排 '!$V:$V,COUNTIF('史赋排 '!$W:$W,"&lt;=120"))</f>
        <v>82</v>
      </c>
      <c r="N31" s="9" t="s">
        <v>1920</v>
      </c>
      <c r="O31" s="130" t="s">
        <v>1894</v>
      </c>
      <c r="P31" s="9"/>
      <c r="Q31" s="9"/>
      <c r="R31" s="11">
        <v>15</v>
      </c>
      <c r="S31" s="11">
        <v>29.7087378640777</v>
      </c>
      <c r="T31" s="11">
        <v>15</v>
      </c>
    </row>
    <row r="32" spans="1:20">
      <c r="A32" s="13" t="s">
        <v>1901</v>
      </c>
      <c r="B32" s="127" t="s">
        <v>1903</v>
      </c>
      <c r="C32" s="13">
        <f>COUNTIF('史赋排 '!$AA:$AA,"&lt;=700")</f>
        <v>155</v>
      </c>
      <c r="D32" s="34">
        <f>LARGE('史赋排 '!$Z:$Z,C32)</f>
        <v>487.5</v>
      </c>
      <c r="E32" s="126">
        <v>400</v>
      </c>
      <c r="F32" s="126">
        <f>LARGE('史赋排 '!$R:$R,COUNTIF('史赋排 '!$S:$S,"&lt;=400"))</f>
        <v>82</v>
      </c>
      <c r="G32" s="34">
        <v>700</v>
      </c>
      <c r="H32" s="34">
        <f>LARGE('史赋排 '!$T:$T,COUNTIF('史赋排 '!$U:$U,"&lt;=700"))</f>
        <v>82</v>
      </c>
      <c r="I32" s="126">
        <v>400</v>
      </c>
      <c r="J32" s="126">
        <f>LARGE('史赋排 '!$V:$V,COUNTIF('史赋排 '!$W:$W,"&lt;=400"))</f>
        <v>71</v>
      </c>
      <c r="N32" s="9"/>
      <c r="O32" s="13">
        <v>985</v>
      </c>
      <c r="P32" s="9"/>
      <c r="Q32" s="9"/>
      <c r="R32" s="11">
        <v>50</v>
      </c>
      <c r="S32" s="11">
        <v>99.0291262135922</v>
      </c>
      <c r="T32" s="11">
        <v>50</v>
      </c>
    </row>
    <row r="33" spans="1:20">
      <c r="A33" s="13" t="s">
        <v>1904</v>
      </c>
      <c r="B33" s="127" t="s">
        <v>1906</v>
      </c>
      <c r="C33" s="13">
        <f>COUNTIF('史赋排 '!$AA:$AA,"&lt;=1500")</f>
        <v>200</v>
      </c>
      <c r="D33" s="34">
        <f>LARGE('史赋排 '!$Z:$Z,C33)</f>
        <v>438</v>
      </c>
      <c r="E33" s="126">
        <v>800</v>
      </c>
      <c r="F33" s="126">
        <f>LARGE('史赋排 '!$R:$R,COUNTIF('史赋排 '!$S:$S,"&lt;=800"))</f>
        <v>75</v>
      </c>
      <c r="G33" s="34">
        <v>1500</v>
      </c>
      <c r="H33" s="34">
        <f>LARGE('史赋排 '!$T:$T,COUNTIF('史赋排 '!$U:$U,"&lt;=1500"))</f>
        <v>72</v>
      </c>
      <c r="I33" s="126">
        <v>750</v>
      </c>
      <c r="J33" s="126">
        <f>LARGE('史赋排 '!$V:$V,COUNTIF('史赋排 '!$W:$W,"&lt;=750"))</f>
        <v>62</v>
      </c>
      <c r="N33" s="9"/>
      <c r="O33" s="130">
        <v>211</v>
      </c>
      <c r="P33" s="9"/>
      <c r="Q33" s="9"/>
      <c r="R33" s="11">
        <v>100</v>
      </c>
      <c r="S33" s="11">
        <v>198.058252427184</v>
      </c>
      <c r="T33" s="11">
        <v>100</v>
      </c>
    </row>
    <row r="34" spans="1:20">
      <c r="A34" s="128" t="s">
        <v>1934</v>
      </c>
      <c r="B34" s="128"/>
      <c r="C34" s="128"/>
      <c r="D34" s="128"/>
      <c r="E34" s="128"/>
      <c r="F34" s="128"/>
      <c r="G34" s="128"/>
      <c r="H34" s="128"/>
      <c r="I34" s="128"/>
      <c r="J34" s="128"/>
      <c r="K34" s="133"/>
      <c r="L34" s="133"/>
      <c r="N34" s="9"/>
      <c r="O34" s="13" t="s">
        <v>1901</v>
      </c>
      <c r="P34" s="9"/>
      <c r="Q34" s="9"/>
      <c r="R34" s="11">
        <v>350</v>
      </c>
      <c r="S34" s="11">
        <v>693.203883495146</v>
      </c>
      <c r="T34" s="11">
        <v>350</v>
      </c>
    </row>
    <row r="35" spans="14:20">
      <c r="N35" s="9"/>
      <c r="O35" s="130" t="s">
        <v>1904</v>
      </c>
      <c r="P35" s="9"/>
      <c r="Q35" s="9"/>
      <c r="R35" s="11">
        <v>750</v>
      </c>
      <c r="S35" s="11">
        <v>1485.43689320388</v>
      </c>
      <c r="T35" s="11">
        <v>750</v>
      </c>
    </row>
    <row r="38" spans="14:20">
      <c r="N38" s="26" t="s">
        <v>1935</v>
      </c>
      <c r="O38" s="26"/>
      <c r="P38" s="26"/>
      <c r="Q38" s="26"/>
      <c r="R38" s="26"/>
      <c r="S38" s="26"/>
      <c r="T38" s="26"/>
    </row>
    <row r="39" spans="14:20">
      <c r="N39" s="28" t="s">
        <v>1936</v>
      </c>
      <c r="O39" s="29"/>
      <c r="P39" s="9" t="s">
        <v>1739</v>
      </c>
      <c r="Q39" s="9" t="s">
        <v>1937</v>
      </c>
      <c r="R39" s="9" t="s">
        <v>1929</v>
      </c>
      <c r="S39" s="9" t="s">
        <v>1938</v>
      </c>
      <c r="T39" s="9" t="s">
        <v>1849</v>
      </c>
    </row>
    <row r="40" spans="14:20">
      <c r="N40" s="9" t="s">
        <v>1939</v>
      </c>
      <c r="O40" s="9" t="s">
        <v>1940</v>
      </c>
      <c r="P40" s="9" t="s">
        <v>8</v>
      </c>
      <c r="Q40" s="9">
        <v>522</v>
      </c>
      <c r="R40" s="9">
        <v>2386</v>
      </c>
      <c r="S40" s="9">
        <v>243</v>
      </c>
      <c r="T40" s="9">
        <v>306</v>
      </c>
    </row>
    <row r="41" spans="14:20">
      <c r="N41" s="9"/>
      <c r="O41" s="9"/>
      <c r="P41" s="9" t="s">
        <v>9</v>
      </c>
      <c r="Q41" s="9">
        <v>562</v>
      </c>
      <c r="R41" s="9">
        <v>256</v>
      </c>
      <c r="S41" s="9">
        <v>63</v>
      </c>
      <c r="T41" s="9"/>
    </row>
    <row r="42" spans="14:20">
      <c r="N42" s="9" t="s">
        <v>1941</v>
      </c>
      <c r="O42" s="9" t="s">
        <v>1942</v>
      </c>
      <c r="P42" s="9" t="s">
        <v>8</v>
      </c>
      <c r="Q42" s="9">
        <v>485</v>
      </c>
      <c r="R42" s="9">
        <v>4100</v>
      </c>
      <c r="S42" s="9">
        <v>433</v>
      </c>
      <c r="T42" s="9">
        <v>556</v>
      </c>
    </row>
    <row r="43" spans="14:20">
      <c r="N43" s="9"/>
      <c r="O43" s="9"/>
      <c r="P43" s="9" t="s">
        <v>9</v>
      </c>
      <c r="Q43" s="9">
        <v>520</v>
      </c>
      <c r="R43" s="9">
        <v>500</v>
      </c>
      <c r="S43" s="9">
        <v>123</v>
      </c>
      <c r="T43" s="9"/>
    </row>
    <row r="44" spans="14:20">
      <c r="N44" s="9" t="s">
        <v>1943</v>
      </c>
      <c r="O44" s="9" t="s">
        <v>1944</v>
      </c>
      <c r="P44" s="9" t="s">
        <v>8</v>
      </c>
      <c r="Q44" s="9">
        <v>384</v>
      </c>
      <c r="R44" s="9">
        <v>10600</v>
      </c>
      <c r="S44" s="9">
        <v>647</v>
      </c>
      <c r="T44" s="9">
        <v>853</v>
      </c>
    </row>
    <row r="45" spans="14:20">
      <c r="N45" s="9"/>
      <c r="O45" s="9"/>
      <c r="P45" s="9" t="s">
        <v>9</v>
      </c>
      <c r="Q45" s="9">
        <v>414</v>
      </c>
      <c r="R45" s="9" t="s">
        <v>1945</v>
      </c>
      <c r="S45" s="9">
        <v>206</v>
      </c>
      <c r="T45" s="9"/>
    </row>
    <row r="47" spans="14:20">
      <c r="N47" s="26" t="s">
        <v>1935</v>
      </c>
      <c r="O47" s="26"/>
      <c r="P47" s="26"/>
      <c r="Q47" s="26"/>
      <c r="R47" s="26"/>
      <c r="S47" s="26"/>
      <c r="T47" s="26"/>
    </row>
    <row r="48" spans="14:20">
      <c r="N48" s="28" t="s">
        <v>1936</v>
      </c>
      <c r="O48" s="29"/>
      <c r="P48" s="9" t="s">
        <v>1739</v>
      </c>
      <c r="Q48" s="9" t="s">
        <v>1937</v>
      </c>
      <c r="R48" s="9" t="s">
        <v>1929</v>
      </c>
      <c r="S48" s="9" t="s">
        <v>1938</v>
      </c>
      <c r="T48" s="9" t="s">
        <v>1849</v>
      </c>
    </row>
    <row r="49" spans="14:20">
      <c r="N49" s="9" t="s">
        <v>1939</v>
      </c>
      <c r="O49" s="9" t="s">
        <v>1940</v>
      </c>
      <c r="P49" s="9" t="s">
        <v>8</v>
      </c>
      <c r="Q49" s="9">
        <v>522</v>
      </c>
      <c r="R49" s="9">
        <v>2386</v>
      </c>
      <c r="S49" s="9">
        <v>243</v>
      </c>
      <c r="T49" s="9">
        <v>306</v>
      </c>
    </row>
    <row r="50" spans="14:20">
      <c r="N50" s="9"/>
      <c r="O50" s="9"/>
      <c r="P50" s="9" t="s">
        <v>9</v>
      </c>
      <c r="Q50" s="9">
        <v>562</v>
      </c>
      <c r="R50" s="9">
        <v>255</v>
      </c>
      <c r="S50" s="9">
        <v>63</v>
      </c>
      <c r="T50" s="9"/>
    </row>
    <row r="51" spans="14:20">
      <c r="N51" s="9" t="s">
        <v>1941</v>
      </c>
      <c r="O51" s="9" t="s">
        <v>1942</v>
      </c>
      <c r="P51" s="9" t="s">
        <v>8</v>
      </c>
      <c r="Q51" s="9">
        <v>485</v>
      </c>
      <c r="R51" s="9">
        <v>3985</v>
      </c>
      <c r="S51" s="9">
        <v>433</v>
      </c>
      <c r="T51" s="9">
        <v>556</v>
      </c>
    </row>
    <row r="52" spans="14:20">
      <c r="N52" s="9"/>
      <c r="O52" s="9"/>
      <c r="P52" s="9" t="s">
        <v>9</v>
      </c>
      <c r="Q52" s="9">
        <v>520</v>
      </c>
      <c r="R52" s="9">
        <v>488</v>
      </c>
      <c r="S52" s="9">
        <v>123</v>
      </c>
      <c r="T52" s="9"/>
    </row>
    <row r="53" spans="14:20">
      <c r="N53" s="9" t="s">
        <v>1943</v>
      </c>
      <c r="O53" s="9" t="s">
        <v>1944</v>
      </c>
      <c r="P53" s="9" t="s">
        <v>8</v>
      </c>
      <c r="Q53" s="9">
        <v>384</v>
      </c>
      <c r="R53" s="9">
        <v>9990</v>
      </c>
      <c r="S53" s="9">
        <v>647</v>
      </c>
      <c r="T53" s="9">
        <v>853</v>
      </c>
    </row>
    <row r="54" spans="14:20">
      <c r="N54" s="9"/>
      <c r="O54" s="9"/>
      <c r="P54" s="9" t="s">
        <v>9</v>
      </c>
      <c r="Q54" s="9">
        <v>414</v>
      </c>
      <c r="R54" s="9">
        <v>1644</v>
      </c>
      <c r="S54" s="9">
        <v>206</v>
      </c>
      <c r="T54" s="9"/>
    </row>
    <row r="64" spans="14:14">
      <c r="N64" s="125"/>
    </row>
    <row r="65" spans="14:14">
      <c r="N65" s="125"/>
    </row>
    <row r="66" spans="14:14">
      <c r="N66" s="125"/>
    </row>
    <row r="67" spans="14:14">
      <c r="N67" s="125"/>
    </row>
    <row r="68" spans="14:14">
      <c r="N68" s="125"/>
    </row>
    <row r="69" spans="14:14">
      <c r="N69" s="125"/>
    </row>
    <row r="70" spans="14:14">
      <c r="N70" s="125"/>
    </row>
    <row r="71" spans="14:14">
      <c r="N71" s="125"/>
    </row>
    <row r="72" spans="14:14">
      <c r="N72" s="125"/>
    </row>
    <row r="73" spans="14:14">
      <c r="N73" s="125"/>
    </row>
    <row r="74" spans="14:14">
      <c r="N74" s="125"/>
    </row>
    <row r="75" spans="14:14">
      <c r="N75" s="125"/>
    </row>
    <row r="76" spans="14:14">
      <c r="N76" s="125"/>
    </row>
    <row r="77" spans="14:14">
      <c r="N77" s="125"/>
    </row>
    <row r="78" spans="14:14">
      <c r="N78" s="125"/>
    </row>
  </sheetData>
  <mergeCells count="32">
    <mergeCell ref="A1:L1"/>
    <mergeCell ref="A9:L9"/>
    <mergeCell ref="N15:O15"/>
    <mergeCell ref="A16:L16"/>
    <mergeCell ref="A19:J19"/>
    <mergeCell ref="A27:J27"/>
    <mergeCell ref="N30:O30"/>
    <mergeCell ref="A34:J34"/>
    <mergeCell ref="N38:T38"/>
    <mergeCell ref="N39:O39"/>
    <mergeCell ref="N47:T47"/>
    <mergeCell ref="N48:O48"/>
    <mergeCell ref="N16:N20"/>
    <mergeCell ref="N31:N35"/>
    <mergeCell ref="N40:N41"/>
    <mergeCell ref="N42:N43"/>
    <mergeCell ref="N44:N45"/>
    <mergeCell ref="N49:N50"/>
    <mergeCell ref="N51:N52"/>
    <mergeCell ref="N53:N54"/>
    <mergeCell ref="O40:O41"/>
    <mergeCell ref="O42:O43"/>
    <mergeCell ref="O44:O45"/>
    <mergeCell ref="O49:O50"/>
    <mergeCell ref="O51:O52"/>
    <mergeCell ref="O53:O54"/>
    <mergeCell ref="T40:T41"/>
    <mergeCell ref="T42:T43"/>
    <mergeCell ref="T44:T45"/>
    <mergeCell ref="T49:T50"/>
    <mergeCell ref="T51:T52"/>
    <mergeCell ref="T53:T54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O37"/>
  <sheetViews>
    <sheetView zoomScale="85" zoomScaleNormal="85" workbookViewId="0">
      <selection activeCell="AC38" sqref="AC38"/>
    </sheetView>
  </sheetViews>
  <sheetFormatPr defaultColWidth="18.25" defaultRowHeight="13.5"/>
  <cols>
    <col min="1" max="1" width="5.125" style="113" customWidth="1"/>
    <col min="2" max="2" width="6.25" style="113" customWidth="1"/>
    <col min="3" max="3" width="6.625" style="113" customWidth="1"/>
    <col min="4" max="4" width="7" style="113" customWidth="1"/>
    <col min="5" max="5" width="2.5" style="113" customWidth="1"/>
    <col min="6" max="6" width="5.125" style="113" customWidth="1"/>
    <col min="7" max="7" width="6.25" style="113" customWidth="1"/>
    <col min="8" max="8" width="5.75" style="113" customWidth="1"/>
    <col min="9" max="9" width="7" style="113" customWidth="1"/>
    <col min="10" max="10" width="2.5" style="113" customWidth="1"/>
    <col min="11" max="11" width="5.125" style="113" customWidth="1"/>
    <col min="12" max="12" width="6.25" style="113" customWidth="1"/>
    <col min="13" max="13" width="5.75" style="113" customWidth="1"/>
    <col min="14" max="14" width="7" style="113" customWidth="1"/>
    <col min="15" max="15" width="2.5" style="113" customWidth="1"/>
    <col min="16" max="16" width="5.125" style="113" customWidth="1"/>
    <col min="17" max="17" width="6.25" style="113" customWidth="1"/>
    <col min="18" max="18" width="5.125" style="113" customWidth="1"/>
    <col min="19" max="19" width="7" style="113" customWidth="1"/>
    <col min="20" max="20" width="2.5" style="113" customWidth="1"/>
    <col min="21" max="21" width="5.125" style="113" customWidth="1"/>
    <col min="22" max="22" width="6.25" style="113" customWidth="1"/>
    <col min="23" max="23" width="7" style="113" customWidth="1"/>
    <col min="24" max="24" width="5.125" style="113" customWidth="1"/>
    <col min="25" max="25" width="7" style="113" customWidth="1"/>
    <col min="26" max="26" width="2.5" style="113" customWidth="1"/>
    <col min="27" max="27" width="5.125" style="113" customWidth="1"/>
    <col min="28" max="28" width="6.25" style="113" customWidth="1"/>
    <col min="29" max="29" width="7" style="113" customWidth="1"/>
    <col min="30" max="30" width="5.125" style="113" customWidth="1"/>
    <col min="31" max="31" width="7" style="113" customWidth="1"/>
    <col min="32" max="32" width="2.5" style="113" customWidth="1"/>
    <col min="33" max="33" width="5.125" style="113" customWidth="1"/>
    <col min="34" max="34" width="6.25" style="113" customWidth="1"/>
    <col min="35" max="35" width="7" style="113" customWidth="1"/>
    <col min="36" max="36" width="5.125" style="113" customWidth="1"/>
    <col min="37" max="37" width="7" style="113" customWidth="1"/>
    <col min="38" max="38" width="2.5" style="113" customWidth="1"/>
    <col min="39" max="39" width="5.125" style="113" customWidth="1"/>
    <col min="40" max="40" width="6.25" style="113" customWidth="1"/>
    <col min="41" max="41" width="7" style="113" customWidth="1"/>
    <col min="42" max="42" width="5.125" style="113" customWidth="1"/>
    <col min="43" max="43" width="7" style="113" customWidth="1"/>
    <col min="44" max="16370" width="18.25" style="113" customWidth="1"/>
    <col min="16371" max="16384" width="18.25" style="113"/>
  </cols>
  <sheetData>
    <row r="1" ht="20.25" spans="1:43">
      <c r="A1" s="114" t="s">
        <v>1946</v>
      </c>
      <c r="B1" s="114"/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4"/>
      <c r="N1" s="114"/>
      <c r="O1" s="114"/>
      <c r="P1" s="114"/>
      <c r="Q1" s="114"/>
      <c r="R1" s="114"/>
      <c r="S1" s="114"/>
      <c r="T1" s="123"/>
      <c r="U1" s="114" t="s">
        <v>1946</v>
      </c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</row>
    <row r="2" spans="1:43">
      <c r="A2" s="34" t="s">
        <v>5</v>
      </c>
      <c r="B2" s="34"/>
      <c r="C2" s="34"/>
      <c r="D2" s="34"/>
      <c r="F2" s="34" t="s">
        <v>6</v>
      </c>
      <c r="G2" s="34"/>
      <c r="H2" s="34"/>
      <c r="I2" s="34"/>
      <c r="K2" s="34" t="s">
        <v>7</v>
      </c>
      <c r="L2" s="34"/>
      <c r="M2" s="34"/>
      <c r="N2" s="34"/>
      <c r="P2" s="34" t="s">
        <v>8</v>
      </c>
      <c r="Q2" s="34"/>
      <c r="R2" s="34"/>
      <c r="S2" s="34"/>
      <c r="U2" s="34" t="s">
        <v>10</v>
      </c>
      <c r="V2" s="34"/>
      <c r="W2" s="34"/>
      <c r="X2" s="34"/>
      <c r="Y2" s="34"/>
      <c r="AA2" s="34" t="s">
        <v>11</v>
      </c>
      <c r="AB2" s="34"/>
      <c r="AC2" s="34"/>
      <c r="AD2" s="34"/>
      <c r="AE2" s="34"/>
      <c r="AG2" s="34" t="s">
        <v>12</v>
      </c>
      <c r="AH2" s="34"/>
      <c r="AI2" s="34"/>
      <c r="AJ2" s="34"/>
      <c r="AK2" s="34"/>
      <c r="AM2" s="34" t="s">
        <v>13</v>
      </c>
      <c r="AN2" s="34"/>
      <c r="AO2" s="34"/>
      <c r="AP2" s="34"/>
      <c r="AQ2" s="34"/>
    </row>
    <row r="3" spans="1:43">
      <c r="A3" s="34" t="s">
        <v>1</v>
      </c>
      <c r="B3" s="34" t="s">
        <v>4</v>
      </c>
      <c r="C3" s="34" t="s">
        <v>1947</v>
      </c>
      <c r="D3" s="115" t="s">
        <v>1929</v>
      </c>
      <c r="E3" s="116"/>
      <c r="F3" s="34" t="s">
        <v>1</v>
      </c>
      <c r="G3" s="34" t="s">
        <v>4</v>
      </c>
      <c r="H3" s="34" t="s">
        <v>1947</v>
      </c>
      <c r="I3" s="115" t="s">
        <v>1929</v>
      </c>
      <c r="J3" s="116"/>
      <c r="K3" s="34" t="s">
        <v>1</v>
      </c>
      <c r="L3" s="34" t="s">
        <v>4</v>
      </c>
      <c r="M3" s="34" t="s">
        <v>1947</v>
      </c>
      <c r="N3" s="115" t="s">
        <v>1929</v>
      </c>
      <c r="O3" s="116"/>
      <c r="P3" s="34" t="s">
        <v>1</v>
      </c>
      <c r="Q3" s="34" t="s">
        <v>4</v>
      </c>
      <c r="R3" s="34" t="s">
        <v>1947</v>
      </c>
      <c r="S3" s="115" t="s">
        <v>1929</v>
      </c>
      <c r="U3" s="34" t="s">
        <v>1</v>
      </c>
      <c r="V3" s="34" t="s">
        <v>4</v>
      </c>
      <c r="W3" s="34" t="s">
        <v>1948</v>
      </c>
      <c r="X3" s="34" t="s">
        <v>1949</v>
      </c>
      <c r="Y3" s="115" t="s">
        <v>1929</v>
      </c>
      <c r="AA3" s="34" t="s">
        <v>1</v>
      </c>
      <c r="AB3" s="34" t="s">
        <v>4</v>
      </c>
      <c r="AC3" s="34" t="s">
        <v>1948</v>
      </c>
      <c r="AD3" s="34" t="s">
        <v>1949</v>
      </c>
      <c r="AE3" s="115" t="s">
        <v>1929</v>
      </c>
      <c r="AG3" s="34" t="s">
        <v>1</v>
      </c>
      <c r="AH3" s="34" t="s">
        <v>4</v>
      </c>
      <c r="AI3" s="34" t="s">
        <v>1948</v>
      </c>
      <c r="AJ3" s="34" t="s">
        <v>1949</v>
      </c>
      <c r="AK3" s="115" t="s">
        <v>1929</v>
      </c>
      <c r="AM3" s="34" t="s">
        <v>1</v>
      </c>
      <c r="AN3" s="34" t="s">
        <v>4</v>
      </c>
      <c r="AO3" s="34" t="s">
        <v>1948</v>
      </c>
      <c r="AP3" s="34" t="s">
        <v>1949</v>
      </c>
      <c r="AQ3" s="115" t="s">
        <v>1929</v>
      </c>
    </row>
    <row r="4" ht="14.25" spans="1:197">
      <c r="A4" s="19" t="s">
        <v>878</v>
      </c>
      <c r="B4" s="21" t="s">
        <v>879</v>
      </c>
      <c r="C4" s="21">
        <v>118.5</v>
      </c>
      <c r="D4" s="21">
        <v>19</v>
      </c>
      <c r="F4" s="17" t="s">
        <v>287</v>
      </c>
      <c r="G4" s="21" t="s">
        <v>288</v>
      </c>
      <c r="H4" s="21">
        <v>140</v>
      </c>
      <c r="I4" s="21">
        <v>9</v>
      </c>
      <c r="K4" s="17" t="s">
        <v>846</v>
      </c>
      <c r="L4" s="21" t="s">
        <v>847</v>
      </c>
      <c r="M4" s="21">
        <v>138.75</v>
      </c>
      <c r="N4" s="21">
        <v>3</v>
      </c>
      <c r="P4" s="17" t="s">
        <v>1000</v>
      </c>
      <c r="Q4" s="21" t="s">
        <v>1001</v>
      </c>
      <c r="R4" s="21">
        <v>89</v>
      </c>
      <c r="S4" s="21">
        <v>10</v>
      </c>
      <c r="U4" s="17" t="s">
        <v>828</v>
      </c>
      <c r="V4" s="21" t="s">
        <v>829</v>
      </c>
      <c r="W4" s="21">
        <v>75.5</v>
      </c>
      <c r="X4" s="21">
        <v>94</v>
      </c>
      <c r="Y4" s="21">
        <v>10</v>
      </c>
      <c r="AA4" s="17" t="s">
        <v>469</v>
      </c>
      <c r="AB4" s="21" t="s">
        <v>470</v>
      </c>
      <c r="AC4" s="21">
        <v>67</v>
      </c>
      <c r="AD4" s="21">
        <v>93</v>
      </c>
      <c r="AE4" s="21">
        <v>2</v>
      </c>
      <c r="AG4" s="17" t="s">
        <v>158</v>
      </c>
      <c r="AH4" s="21" t="s">
        <v>159</v>
      </c>
      <c r="AI4" s="21">
        <v>69</v>
      </c>
      <c r="AJ4" s="21">
        <v>90</v>
      </c>
      <c r="AK4" s="21">
        <v>46</v>
      </c>
      <c r="AM4" s="17" t="s">
        <v>866</v>
      </c>
      <c r="AN4" s="21" t="s">
        <v>867</v>
      </c>
      <c r="AO4" s="21">
        <v>78</v>
      </c>
      <c r="AP4" s="21">
        <v>95</v>
      </c>
      <c r="AQ4" s="21">
        <v>10</v>
      </c>
      <c r="GL4" s="116"/>
      <c r="GM4" s="116"/>
      <c r="GN4" s="116"/>
      <c r="GO4" s="116"/>
    </row>
    <row r="5" ht="14.25" spans="1:197">
      <c r="A5" s="17" t="s">
        <v>856</v>
      </c>
      <c r="B5" s="21" t="s">
        <v>857</v>
      </c>
      <c r="C5" s="21">
        <v>116</v>
      </c>
      <c r="D5" s="21">
        <v>48</v>
      </c>
      <c r="F5" s="17" t="s">
        <v>814</v>
      </c>
      <c r="G5" s="21" t="s">
        <v>815</v>
      </c>
      <c r="H5" s="21">
        <v>137</v>
      </c>
      <c r="I5" s="21">
        <v>23</v>
      </c>
      <c r="K5" s="17" t="s">
        <v>603</v>
      </c>
      <c r="L5" s="21" t="s">
        <v>604</v>
      </c>
      <c r="M5" s="21">
        <v>136</v>
      </c>
      <c r="N5" s="21">
        <v>11</v>
      </c>
      <c r="P5" s="17" t="s">
        <v>842</v>
      </c>
      <c r="Q5" s="21" t="s">
        <v>843</v>
      </c>
      <c r="R5" s="21">
        <v>85</v>
      </c>
      <c r="S5" s="21">
        <v>27</v>
      </c>
      <c r="U5" s="19" t="s">
        <v>916</v>
      </c>
      <c r="V5" s="21" t="s">
        <v>917</v>
      </c>
      <c r="W5" s="21">
        <v>73</v>
      </c>
      <c r="X5" s="21">
        <v>93</v>
      </c>
      <c r="Y5" s="21">
        <v>16</v>
      </c>
      <c r="AA5" s="17" t="s">
        <v>439</v>
      </c>
      <c r="AB5" s="21" t="s">
        <v>440</v>
      </c>
      <c r="AC5" s="21">
        <v>63.5</v>
      </c>
      <c r="AD5" s="21">
        <v>91</v>
      </c>
      <c r="AE5" s="21">
        <v>15</v>
      </c>
      <c r="AG5" s="17" t="s">
        <v>150</v>
      </c>
      <c r="AH5" s="21" t="s">
        <v>151</v>
      </c>
      <c r="AI5" s="21">
        <v>68.5</v>
      </c>
      <c r="AJ5" s="21">
        <v>90</v>
      </c>
      <c r="AK5" s="21">
        <v>46</v>
      </c>
      <c r="AM5" s="17" t="s">
        <v>870</v>
      </c>
      <c r="AN5" s="21" t="s">
        <v>871</v>
      </c>
      <c r="AO5" s="21">
        <v>77</v>
      </c>
      <c r="AP5" s="21">
        <v>95</v>
      </c>
      <c r="AQ5" s="21">
        <v>10</v>
      </c>
      <c r="GL5" s="116"/>
      <c r="GM5" s="116"/>
      <c r="GN5" s="116"/>
      <c r="GO5" s="116"/>
    </row>
    <row r="6" ht="14.25" spans="1:197">
      <c r="A6" s="17" t="s">
        <v>808</v>
      </c>
      <c r="B6" s="21" t="s">
        <v>809</v>
      </c>
      <c r="C6" s="21">
        <v>116</v>
      </c>
      <c r="D6" s="21">
        <v>48</v>
      </c>
      <c r="F6" s="17" t="s">
        <v>1000</v>
      </c>
      <c r="G6" s="21" t="s">
        <v>1001</v>
      </c>
      <c r="H6" s="21">
        <v>136</v>
      </c>
      <c r="I6" s="21">
        <v>30</v>
      </c>
      <c r="K6" s="17" t="s">
        <v>637</v>
      </c>
      <c r="L6" s="21" t="s">
        <v>638</v>
      </c>
      <c r="M6" s="21">
        <v>100</v>
      </c>
      <c r="N6" s="21">
        <v>102</v>
      </c>
      <c r="P6" s="17" t="s">
        <v>996</v>
      </c>
      <c r="Q6" s="21" t="s">
        <v>997</v>
      </c>
      <c r="R6" s="21">
        <v>84.5</v>
      </c>
      <c r="S6" s="21">
        <v>36</v>
      </c>
      <c r="U6" s="17" t="s">
        <v>856</v>
      </c>
      <c r="V6" s="21" t="s">
        <v>857</v>
      </c>
      <c r="W6" s="21">
        <v>69</v>
      </c>
      <c r="X6" s="21">
        <v>92</v>
      </c>
      <c r="Y6" s="21">
        <v>36</v>
      </c>
      <c r="AA6" s="17" t="s">
        <v>355</v>
      </c>
      <c r="AB6" s="21" t="s">
        <v>356</v>
      </c>
      <c r="AC6" s="21">
        <v>64.5</v>
      </c>
      <c r="AD6" s="21">
        <v>91</v>
      </c>
      <c r="AE6" s="21">
        <v>15</v>
      </c>
      <c r="AG6" s="17" t="s">
        <v>187</v>
      </c>
      <c r="AH6" s="21" t="s">
        <v>188</v>
      </c>
      <c r="AI6" s="21">
        <v>68.5</v>
      </c>
      <c r="AJ6" s="21">
        <v>90</v>
      </c>
      <c r="AK6" s="21">
        <v>46</v>
      </c>
      <c r="AM6" s="17" t="s">
        <v>874</v>
      </c>
      <c r="AN6" s="21" t="s">
        <v>875</v>
      </c>
      <c r="AO6" s="21">
        <v>77</v>
      </c>
      <c r="AP6" s="21">
        <v>95</v>
      </c>
      <c r="AQ6" s="21">
        <v>10</v>
      </c>
      <c r="GL6" s="116"/>
      <c r="GM6" s="116"/>
      <c r="GN6" s="116"/>
      <c r="GO6" s="116"/>
    </row>
    <row r="7" ht="14.25" spans="1:197">
      <c r="A7" s="17" t="s">
        <v>383</v>
      </c>
      <c r="B7" s="21" t="s">
        <v>384</v>
      </c>
      <c r="C7" s="21">
        <v>116</v>
      </c>
      <c r="D7" s="21">
        <v>48</v>
      </c>
      <c r="F7" s="17" t="s">
        <v>856</v>
      </c>
      <c r="G7" s="21" t="s">
        <v>857</v>
      </c>
      <c r="H7" s="21">
        <v>135.5</v>
      </c>
      <c r="I7" s="21">
        <v>35</v>
      </c>
      <c r="K7" s="17" t="s">
        <v>249</v>
      </c>
      <c r="L7" s="21" t="s">
        <v>250</v>
      </c>
      <c r="M7" s="21">
        <v>128.25</v>
      </c>
      <c r="N7" s="21">
        <v>115</v>
      </c>
      <c r="P7" s="17" t="s">
        <v>808</v>
      </c>
      <c r="Q7" s="21" t="s">
        <v>809</v>
      </c>
      <c r="R7" s="21">
        <v>84</v>
      </c>
      <c r="S7" s="21">
        <v>45</v>
      </c>
      <c r="U7" s="17" t="s">
        <v>814</v>
      </c>
      <c r="V7" s="21" t="s">
        <v>815</v>
      </c>
      <c r="W7" s="21">
        <v>70</v>
      </c>
      <c r="X7" s="21">
        <v>92</v>
      </c>
      <c r="Y7" s="21">
        <v>36</v>
      </c>
      <c r="AA7" s="17" t="s">
        <v>613</v>
      </c>
      <c r="AB7" s="21" t="s">
        <v>614</v>
      </c>
      <c r="AC7" s="21">
        <v>63.75</v>
      </c>
      <c r="AD7" s="21">
        <v>91</v>
      </c>
      <c r="AE7" s="21">
        <v>15</v>
      </c>
      <c r="AG7" s="17" t="s">
        <v>167</v>
      </c>
      <c r="AH7" s="21" t="s">
        <v>168</v>
      </c>
      <c r="AI7" s="21">
        <v>69.5</v>
      </c>
      <c r="AJ7" s="21">
        <v>90</v>
      </c>
      <c r="AK7" s="21">
        <v>46</v>
      </c>
      <c r="AM7" s="17" t="s">
        <v>884</v>
      </c>
      <c r="AN7" s="21" t="s">
        <v>885</v>
      </c>
      <c r="AO7" s="21">
        <v>76</v>
      </c>
      <c r="AP7" s="21">
        <v>94</v>
      </c>
      <c r="AQ7" s="21">
        <v>24</v>
      </c>
      <c r="GL7" s="116"/>
      <c r="GM7" s="116"/>
      <c r="GN7" s="116"/>
      <c r="GO7" s="116"/>
    </row>
    <row r="8" ht="14.25" spans="1:197">
      <c r="A8" s="17" t="s">
        <v>1054</v>
      </c>
      <c r="B8" s="21" t="s">
        <v>1055</v>
      </c>
      <c r="C8" s="21">
        <v>116</v>
      </c>
      <c r="D8" s="21">
        <v>48</v>
      </c>
      <c r="F8" s="17" t="s">
        <v>870</v>
      </c>
      <c r="G8" s="21" t="s">
        <v>871</v>
      </c>
      <c r="H8" s="21">
        <v>134.5</v>
      </c>
      <c r="I8" s="21">
        <v>52</v>
      </c>
      <c r="K8" s="17" t="s">
        <v>786</v>
      </c>
      <c r="L8" s="21" t="s">
        <v>787</v>
      </c>
      <c r="M8" s="21">
        <v>127.5</v>
      </c>
      <c r="N8" s="21">
        <v>142</v>
      </c>
      <c r="P8" s="17" t="s">
        <v>856</v>
      </c>
      <c r="Q8" s="21" t="s">
        <v>857</v>
      </c>
      <c r="R8" s="21">
        <v>83.5</v>
      </c>
      <c r="S8" s="21">
        <v>55</v>
      </c>
      <c r="U8" s="17" t="s">
        <v>988</v>
      </c>
      <c r="V8" s="21" t="s">
        <v>989</v>
      </c>
      <c r="W8" s="21">
        <v>69.5</v>
      </c>
      <c r="X8" s="21">
        <v>92</v>
      </c>
      <c r="Y8" s="21">
        <v>36</v>
      </c>
      <c r="AA8" s="17" t="s">
        <v>581</v>
      </c>
      <c r="AB8" s="21" t="s">
        <v>582</v>
      </c>
      <c r="AC8" s="21">
        <v>63</v>
      </c>
      <c r="AD8" s="21">
        <v>91</v>
      </c>
      <c r="AE8" s="21">
        <v>15</v>
      </c>
      <c r="AG8" s="17" t="s">
        <v>42</v>
      </c>
      <c r="AH8" s="21" t="s">
        <v>43</v>
      </c>
      <c r="AI8" s="21">
        <v>66.5</v>
      </c>
      <c r="AJ8" s="21">
        <v>89</v>
      </c>
      <c r="AK8" s="21">
        <v>84</v>
      </c>
      <c r="AM8" s="17" t="s">
        <v>856</v>
      </c>
      <c r="AN8" s="21" t="s">
        <v>857</v>
      </c>
      <c r="AO8" s="21">
        <v>74</v>
      </c>
      <c r="AP8" s="21">
        <v>93</v>
      </c>
      <c r="AQ8" s="21">
        <v>50</v>
      </c>
      <c r="GL8" s="116"/>
      <c r="GM8" s="116"/>
      <c r="GN8" s="116"/>
      <c r="GO8" s="116"/>
    </row>
    <row r="9" ht="14.25" spans="1:43">
      <c r="A9" s="17" t="s">
        <v>968</v>
      </c>
      <c r="B9" s="21" t="s">
        <v>969</v>
      </c>
      <c r="C9" s="21">
        <v>115</v>
      </c>
      <c r="D9" s="21">
        <v>77</v>
      </c>
      <c r="F9" s="17" t="s">
        <v>1285</v>
      </c>
      <c r="G9" s="21" t="s">
        <v>1286</v>
      </c>
      <c r="H9" s="21">
        <v>133.5</v>
      </c>
      <c r="I9" s="21">
        <v>67</v>
      </c>
      <c r="K9" s="17" t="s">
        <v>1122</v>
      </c>
      <c r="L9" s="21" t="s">
        <v>1123</v>
      </c>
      <c r="M9" s="21">
        <v>125.5</v>
      </c>
      <c r="N9" s="21">
        <v>199</v>
      </c>
      <c r="P9" s="17" t="s">
        <v>994</v>
      </c>
      <c r="Q9" s="21" t="s">
        <v>995</v>
      </c>
      <c r="R9" s="21">
        <v>83</v>
      </c>
      <c r="S9" s="21">
        <v>65</v>
      </c>
      <c r="U9" s="17" t="s">
        <v>481</v>
      </c>
      <c r="V9" s="21" t="s">
        <v>482</v>
      </c>
      <c r="W9" s="21">
        <v>70</v>
      </c>
      <c r="X9" s="21">
        <v>92</v>
      </c>
      <c r="Y9" s="21">
        <v>36</v>
      </c>
      <c r="AA9" s="17" t="s">
        <v>349</v>
      </c>
      <c r="AB9" s="21" t="s">
        <v>350</v>
      </c>
      <c r="AC9" s="21">
        <v>64.5</v>
      </c>
      <c r="AD9" s="21">
        <v>91</v>
      </c>
      <c r="AE9" s="21">
        <v>15</v>
      </c>
      <c r="AG9" s="17" t="s">
        <v>70</v>
      </c>
      <c r="AH9" s="21" t="s">
        <v>71</v>
      </c>
      <c r="AI9" s="21">
        <v>66</v>
      </c>
      <c r="AJ9" s="21">
        <v>89</v>
      </c>
      <c r="AK9" s="21">
        <v>84</v>
      </c>
      <c r="AM9" s="17" t="s">
        <v>842</v>
      </c>
      <c r="AN9" s="21" t="s">
        <v>843</v>
      </c>
      <c r="AO9" s="21">
        <v>74</v>
      </c>
      <c r="AP9" s="21">
        <v>93</v>
      </c>
      <c r="AQ9" s="21">
        <v>50</v>
      </c>
    </row>
    <row r="10" ht="14.25" spans="1:43">
      <c r="A10" s="17" t="s">
        <v>1291</v>
      </c>
      <c r="B10" s="21" t="s">
        <v>1292</v>
      </c>
      <c r="C10" s="21">
        <v>114.25</v>
      </c>
      <c r="D10" s="21">
        <v>109</v>
      </c>
      <c r="F10" s="17" t="s">
        <v>816</v>
      </c>
      <c r="G10" s="21" t="s">
        <v>817</v>
      </c>
      <c r="H10" s="21">
        <v>132</v>
      </c>
      <c r="I10" s="21">
        <v>93</v>
      </c>
      <c r="K10" s="17" t="s">
        <v>796</v>
      </c>
      <c r="L10" s="21" t="s">
        <v>797</v>
      </c>
      <c r="M10" s="21">
        <v>124</v>
      </c>
      <c r="N10" s="21">
        <v>269</v>
      </c>
      <c r="P10" s="17" t="s">
        <v>854</v>
      </c>
      <c r="Q10" s="21" t="s">
        <v>855</v>
      </c>
      <c r="R10" s="21">
        <v>82.5</v>
      </c>
      <c r="S10" s="21">
        <v>75</v>
      </c>
      <c r="U10" s="17" t="s">
        <v>842</v>
      </c>
      <c r="V10" s="21" t="s">
        <v>843</v>
      </c>
      <c r="W10" s="21">
        <v>68</v>
      </c>
      <c r="X10" s="21">
        <v>91</v>
      </c>
      <c r="Y10" s="21">
        <v>69</v>
      </c>
      <c r="AA10" s="17" t="s">
        <v>309</v>
      </c>
      <c r="AB10" s="21" t="s">
        <v>310</v>
      </c>
      <c r="AC10" s="21">
        <v>64</v>
      </c>
      <c r="AD10" s="21">
        <v>91</v>
      </c>
      <c r="AE10" s="21">
        <v>15</v>
      </c>
      <c r="AG10" s="17" t="s">
        <v>92</v>
      </c>
      <c r="AH10" s="21" t="s">
        <v>93</v>
      </c>
      <c r="AI10" s="21">
        <v>67.5</v>
      </c>
      <c r="AJ10" s="21">
        <v>89</v>
      </c>
      <c r="AK10" s="21">
        <v>84</v>
      </c>
      <c r="AM10" s="17" t="s">
        <v>834</v>
      </c>
      <c r="AN10" s="21" t="s">
        <v>835</v>
      </c>
      <c r="AO10" s="21">
        <v>73.5</v>
      </c>
      <c r="AP10" s="21">
        <v>93</v>
      </c>
      <c r="AQ10" s="21">
        <v>50</v>
      </c>
    </row>
    <row r="11" ht="14.25" spans="1:43">
      <c r="A11" s="17" t="s">
        <v>898</v>
      </c>
      <c r="B11" s="21" t="s">
        <v>899</v>
      </c>
      <c r="C11" s="21">
        <v>114</v>
      </c>
      <c r="D11" s="21">
        <v>113</v>
      </c>
      <c r="F11" s="17" t="s">
        <v>828</v>
      </c>
      <c r="G11" s="21" t="s">
        <v>829</v>
      </c>
      <c r="H11" s="21">
        <v>132</v>
      </c>
      <c r="I11" s="21">
        <v>93</v>
      </c>
      <c r="K11" s="17" t="s">
        <v>806</v>
      </c>
      <c r="L11" s="21" t="s">
        <v>807</v>
      </c>
      <c r="M11" s="21">
        <v>122.5</v>
      </c>
      <c r="N11" s="21">
        <v>340</v>
      </c>
      <c r="P11" s="17" t="s">
        <v>297</v>
      </c>
      <c r="Q11" s="21" t="s">
        <v>298</v>
      </c>
      <c r="R11" s="21">
        <v>82.5</v>
      </c>
      <c r="S11" s="21">
        <v>75</v>
      </c>
      <c r="U11" s="17" t="s">
        <v>866</v>
      </c>
      <c r="V11" s="21" t="s">
        <v>867</v>
      </c>
      <c r="W11" s="21">
        <v>66</v>
      </c>
      <c r="X11" s="21">
        <v>91</v>
      </c>
      <c r="Y11" s="21">
        <v>69</v>
      </c>
      <c r="AA11" s="17" t="s">
        <v>535</v>
      </c>
      <c r="AB11" s="21" t="s">
        <v>536</v>
      </c>
      <c r="AC11" s="21">
        <v>61</v>
      </c>
      <c r="AD11" s="21">
        <v>90</v>
      </c>
      <c r="AE11" s="21">
        <v>44</v>
      </c>
      <c r="AG11" s="17" t="s">
        <v>197</v>
      </c>
      <c r="AH11" s="21" t="s">
        <v>198</v>
      </c>
      <c r="AI11" s="21">
        <v>64.5</v>
      </c>
      <c r="AJ11" s="21">
        <v>88</v>
      </c>
      <c r="AK11" s="21">
        <v>161</v>
      </c>
      <c r="AM11" s="17" t="s">
        <v>994</v>
      </c>
      <c r="AN11" s="21" t="s">
        <v>995</v>
      </c>
      <c r="AO11" s="21">
        <v>73</v>
      </c>
      <c r="AP11" s="21">
        <v>93</v>
      </c>
      <c r="AQ11" s="21">
        <v>50</v>
      </c>
    </row>
    <row r="12" ht="14.25" spans="1:43">
      <c r="A12" s="17" t="s">
        <v>944</v>
      </c>
      <c r="B12" s="21" t="s">
        <v>945</v>
      </c>
      <c r="C12" s="21">
        <v>114</v>
      </c>
      <c r="D12" s="21">
        <v>113</v>
      </c>
      <c r="F12" s="17" t="s">
        <v>946</v>
      </c>
      <c r="G12" s="21" t="s">
        <v>947</v>
      </c>
      <c r="H12" s="21">
        <v>130.5</v>
      </c>
      <c r="I12" s="21">
        <v>122</v>
      </c>
      <c r="K12" s="17" t="s">
        <v>828</v>
      </c>
      <c r="L12" s="21" t="s">
        <v>829</v>
      </c>
      <c r="M12" s="21">
        <v>122</v>
      </c>
      <c r="N12" s="21">
        <v>371</v>
      </c>
      <c r="P12" s="17" t="s">
        <v>497</v>
      </c>
      <c r="Q12" s="21" t="s">
        <v>498</v>
      </c>
      <c r="R12" s="21">
        <v>81.5</v>
      </c>
      <c r="S12" s="21">
        <v>98</v>
      </c>
      <c r="U12" s="17" t="s">
        <v>1146</v>
      </c>
      <c r="V12" s="21" t="s">
        <v>1147</v>
      </c>
      <c r="W12" s="21">
        <v>68.5</v>
      </c>
      <c r="X12" s="21">
        <v>91</v>
      </c>
      <c r="Y12" s="21">
        <v>69</v>
      </c>
      <c r="AA12" s="17" t="s">
        <v>351</v>
      </c>
      <c r="AB12" s="21" t="s">
        <v>352</v>
      </c>
      <c r="AC12" s="21">
        <v>61</v>
      </c>
      <c r="AD12" s="21">
        <v>90</v>
      </c>
      <c r="AE12" s="21">
        <v>44</v>
      </c>
      <c r="AG12" s="17" t="s">
        <v>163</v>
      </c>
      <c r="AH12" s="21" t="s">
        <v>164</v>
      </c>
      <c r="AI12" s="21">
        <v>65.25</v>
      </c>
      <c r="AJ12" s="21">
        <v>88</v>
      </c>
      <c r="AK12" s="21">
        <v>161</v>
      </c>
      <c r="AM12" s="17" t="s">
        <v>902</v>
      </c>
      <c r="AN12" s="21" t="s">
        <v>903</v>
      </c>
      <c r="AO12" s="21">
        <v>73</v>
      </c>
      <c r="AP12" s="21">
        <v>93</v>
      </c>
      <c r="AQ12" s="21">
        <v>50</v>
      </c>
    </row>
    <row r="13" ht="14.25" spans="1:43">
      <c r="A13" s="17" t="s">
        <v>846</v>
      </c>
      <c r="B13" s="21" t="s">
        <v>847</v>
      </c>
      <c r="C13" s="21">
        <v>113.5</v>
      </c>
      <c r="D13" s="21">
        <v>139</v>
      </c>
      <c r="F13" s="17" t="s">
        <v>796</v>
      </c>
      <c r="G13" s="21" t="s">
        <v>797</v>
      </c>
      <c r="H13" s="21">
        <v>130.5</v>
      </c>
      <c r="I13" s="21">
        <v>122</v>
      </c>
      <c r="K13" s="17" t="s">
        <v>874</v>
      </c>
      <c r="L13" s="21" t="s">
        <v>875</v>
      </c>
      <c r="M13" s="21">
        <v>122</v>
      </c>
      <c r="N13" s="21">
        <v>371</v>
      </c>
      <c r="P13" s="17" t="s">
        <v>816</v>
      </c>
      <c r="Q13" s="21" t="s">
        <v>817</v>
      </c>
      <c r="R13" s="21">
        <v>80.5</v>
      </c>
      <c r="S13" s="21">
        <v>137</v>
      </c>
      <c r="U13" s="17" t="s">
        <v>808</v>
      </c>
      <c r="V13" s="21" t="s">
        <v>809</v>
      </c>
      <c r="W13" s="21">
        <v>64.5</v>
      </c>
      <c r="X13" s="21">
        <v>90</v>
      </c>
      <c r="Y13" s="21">
        <v>119</v>
      </c>
      <c r="AA13" s="17" t="s">
        <v>269</v>
      </c>
      <c r="AB13" s="21" t="s">
        <v>270</v>
      </c>
      <c r="AC13" s="21">
        <v>62.5</v>
      </c>
      <c r="AD13" s="21">
        <v>90</v>
      </c>
      <c r="AE13" s="21">
        <v>44</v>
      </c>
      <c r="AG13" s="17" t="s">
        <v>181</v>
      </c>
      <c r="AH13" s="21" t="s">
        <v>182</v>
      </c>
      <c r="AI13" s="21">
        <v>65.25</v>
      </c>
      <c r="AJ13" s="21">
        <v>88</v>
      </c>
      <c r="AK13" s="21">
        <v>161</v>
      </c>
      <c r="AM13" s="17" t="s">
        <v>1291</v>
      </c>
      <c r="AN13" s="21" t="s">
        <v>1292</v>
      </c>
      <c r="AO13" s="21">
        <v>74</v>
      </c>
      <c r="AP13" s="21">
        <v>93</v>
      </c>
      <c r="AQ13" s="21">
        <v>50</v>
      </c>
    </row>
    <row r="14" ht="14.25" spans="1:43">
      <c r="A14" s="17" t="s">
        <v>225</v>
      </c>
      <c r="B14" s="21" t="s">
        <v>226</v>
      </c>
      <c r="C14" s="21">
        <v>113.5</v>
      </c>
      <c r="D14" s="21">
        <v>139</v>
      </c>
      <c r="F14" s="17" t="s">
        <v>838</v>
      </c>
      <c r="G14" s="21" t="s">
        <v>839</v>
      </c>
      <c r="H14" s="21">
        <v>130.5</v>
      </c>
      <c r="I14" s="21">
        <v>122</v>
      </c>
      <c r="K14" s="17" t="s">
        <v>868</v>
      </c>
      <c r="L14" s="21" t="s">
        <v>869</v>
      </c>
      <c r="M14" s="21">
        <v>122</v>
      </c>
      <c r="N14" s="21">
        <v>371</v>
      </c>
      <c r="P14" s="17" t="s">
        <v>832</v>
      </c>
      <c r="Q14" s="21" t="s">
        <v>833</v>
      </c>
      <c r="R14" s="21">
        <v>80.5</v>
      </c>
      <c r="S14" s="21">
        <v>137</v>
      </c>
      <c r="U14" s="17" t="s">
        <v>782</v>
      </c>
      <c r="V14" s="21" t="s">
        <v>783</v>
      </c>
      <c r="W14" s="21">
        <v>63.5</v>
      </c>
      <c r="X14" s="21">
        <v>90</v>
      </c>
      <c r="Y14" s="21">
        <v>119</v>
      </c>
      <c r="AA14" s="17" t="s">
        <v>347</v>
      </c>
      <c r="AB14" s="21" t="s">
        <v>348</v>
      </c>
      <c r="AC14" s="21">
        <v>61.5</v>
      </c>
      <c r="AD14" s="21">
        <v>90</v>
      </c>
      <c r="AE14" s="21">
        <v>44</v>
      </c>
      <c r="AG14" s="17" t="s">
        <v>223</v>
      </c>
      <c r="AH14" s="21" t="s">
        <v>224</v>
      </c>
      <c r="AI14" s="21">
        <v>64.75</v>
      </c>
      <c r="AJ14" s="21">
        <v>88</v>
      </c>
      <c r="AK14" s="21">
        <v>161</v>
      </c>
      <c r="AM14" s="17" t="s">
        <v>581</v>
      </c>
      <c r="AN14" s="21" t="s">
        <v>582</v>
      </c>
      <c r="AO14" s="21">
        <v>73.5</v>
      </c>
      <c r="AP14" s="21">
        <v>93</v>
      </c>
      <c r="AQ14" s="21">
        <v>50</v>
      </c>
    </row>
    <row r="15" ht="14.25" spans="1:43">
      <c r="A15" s="117"/>
      <c r="B15" s="118"/>
      <c r="C15" s="118"/>
      <c r="D15" s="118"/>
      <c r="F15" s="17" t="s">
        <v>423</v>
      </c>
      <c r="G15" s="21" t="s">
        <v>424</v>
      </c>
      <c r="H15" s="21">
        <v>130.5</v>
      </c>
      <c r="I15" s="21">
        <v>122</v>
      </c>
      <c r="K15" s="17" t="s">
        <v>193</v>
      </c>
      <c r="L15" s="21" t="s">
        <v>194</v>
      </c>
      <c r="M15" s="21">
        <v>122</v>
      </c>
      <c r="N15" s="21">
        <v>371</v>
      </c>
      <c r="P15" s="120"/>
      <c r="Q15" s="120"/>
      <c r="R15" s="121"/>
      <c r="S15" s="121"/>
      <c r="U15" s="17" t="s">
        <v>834</v>
      </c>
      <c r="V15" s="21" t="s">
        <v>835</v>
      </c>
      <c r="W15" s="21">
        <v>63.5</v>
      </c>
      <c r="X15" s="21">
        <v>90</v>
      </c>
      <c r="Y15" s="21">
        <v>119</v>
      </c>
      <c r="AA15" s="17" t="s">
        <v>267</v>
      </c>
      <c r="AB15" s="21" t="s">
        <v>268</v>
      </c>
      <c r="AC15" s="21">
        <v>62.5</v>
      </c>
      <c r="AD15" s="21">
        <v>90</v>
      </c>
      <c r="AE15" s="21">
        <v>44</v>
      </c>
      <c r="AG15" s="17" t="s">
        <v>185</v>
      </c>
      <c r="AH15" s="21" t="s">
        <v>186</v>
      </c>
      <c r="AI15" s="21">
        <v>64</v>
      </c>
      <c r="AJ15" s="21">
        <v>88</v>
      </c>
      <c r="AK15" s="21">
        <v>161</v>
      </c>
      <c r="AM15" s="117"/>
      <c r="AN15" s="118"/>
      <c r="AO15" s="118"/>
      <c r="AP15" s="118"/>
      <c r="AQ15" s="118"/>
    </row>
    <row r="16" ht="14.25" spans="1:43">
      <c r="A16" s="117"/>
      <c r="B16" s="118"/>
      <c r="C16" s="118"/>
      <c r="D16" s="118"/>
      <c r="F16" s="17" t="s">
        <v>792</v>
      </c>
      <c r="G16" s="21" t="s">
        <v>793</v>
      </c>
      <c r="H16" s="21">
        <v>130.5</v>
      </c>
      <c r="I16" s="21">
        <v>122</v>
      </c>
      <c r="K16" s="17" t="s">
        <v>227</v>
      </c>
      <c r="L16" s="21" t="s">
        <v>228</v>
      </c>
      <c r="M16" s="21">
        <v>122</v>
      </c>
      <c r="N16" s="21">
        <v>371</v>
      </c>
      <c r="P16" s="120"/>
      <c r="Q16" s="120"/>
      <c r="R16" s="121"/>
      <c r="S16" s="121"/>
      <c r="U16" s="17" t="s">
        <v>850</v>
      </c>
      <c r="V16" s="21" t="s">
        <v>851</v>
      </c>
      <c r="W16" s="21">
        <v>63.5</v>
      </c>
      <c r="X16" s="21">
        <v>90</v>
      </c>
      <c r="Y16" s="21">
        <v>119</v>
      </c>
      <c r="AA16" s="17" t="s">
        <v>509</v>
      </c>
      <c r="AB16" s="21" t="s">
        <v>510</v>
      </c>
      <c r="AC16" s="21">
        <v>61</v>
      </c>
      <c r="AD16" s="21">
        <v>90</v>
      </c>
      <c r="AE16" s="21">
        <v>44</v>
      </c>
      <c r="AG16" s="17" t="s">
        <v>28</v>
      </c>
      <c r="AH16" s="21" t="s">
        <v>29</v>
      </c>
      <c r="AI16" s="21">
        <v>65</v>
      </c>
      <c r="AJ16" s="21">
        <v>88</v>
      </c>
      <c r="AK16" s="21">
        <v>161</v>
      </c>
      <c r="AM16" s="117"/>
      <c r="AN16" s="118"/>
      <c r="AO16" s="118"/>
      <c r="AP16" s="118"/>
      <c r="AQ16" s="118"/>
    </row>
    <row r="17" ht="14.25" spans="1:43">
      <c r="A17" s="119"/>
      <c r="B17" s="119"/>
      <c r="C17" s="119"/>
      <c r="D17" s="119"/>
      <c r="F17" s="21"/>
      <c r="G17" s="21"/>
      <c r="H17" s="21"/>
      <c r="I17" s="21"/>
      <c r="K17" s="120"/>
      <c r="L17" s="120"/>
      <c r="M17" s="121"/>
      <c r="N17" s="121"/>
      <c r="P17" s="120"/>
      <c r="Q17" s="120"/>
      <c r="R17" s="121"/>
      <c r="S17" s="121"/>
      <c r="U17" s="17" t="s">
        <v>381</v>
      </c>
      <c r="V17" s="21" t="s">
        <v>382</v>
      </c>
      <c r="W17" s="21">
        <v>64.5</v>
      </c>
      <c r="X17" s="21">
        <v>90</v>
      </c>
      <c r="Y17" s="21">
        <v>119</v>
      </c>
      <c r="AA17" s="117"/>
      <c r="AB17" s="118"/>
      <c r="AC17" s="118"/>
      <c r="AD17" s="118"/>
      <c r="AE17" s="118"/>
      <c r="AG17" s="17" t="s">
        <v>30</v>
      </c>
      <c r="AH17" s="21" t="s">
        <v>31</v>
      </c>
      <c r="AI17" s="21">
        <v>65.25</v>
      </c>
      <c r="AJ17" s="21">
        <v>88</v>
      </c>
      <c r="AK17" s="21">
        <v>161</v>
      </c>
      <c r="AM17" s="117"/>
      <c r="AN17" s="118"/>
      <c r="AO17" s="118"/>
      <c r="AP17" s="118"/>
      <c r="AQ17" s="118"/>
    </row>
    <row r="18" ht="14.25" spans="1:43">
      <c r="A18" s="119"/>
      <c r="B18" s="119"/>
      <c r="C18" s="119"/>
      <c r="D18" s="119"/>
      <c r="F18" s="120"/>
      <c r="G18" s="120"/>
      <c r="H18" s="121"/>
      <c r="I18" s="121"/>
      <c r="K18" s="120"/>
      <c r="L18" s="120"/>
      <c r="M18" s="121"/>
      <c r="N18" s="121"/>
      <c r="P18" s="120"/>
      <c r="Q18" s="120"/>
      <c r="R18" s="121"/>
      <c r="S18" s="121"/>
      <c r="U18" s="17" t="s">
        <v>267</v>
      </c>
      <c r="V18" s="21" t="s">
        <v>268</v>
      </c>
      <c r="W18" s="21">
        <v>63.5</v>
      </c>
      <c r="X18" s="21">
        <v>90</v>
      </c>
      <c r="Y18" s="21">
        <v>119</v>
      </c>
      <c r="AA18" s="21"/>
      <c r="AB18" s="21"/>
      <c r="AC18" s="21"/>
      <c r="AD18" s="21"/>
      <c r="AE18" s="21"/>
      <c r="AG18" s="17" t="s">
        <v>62</v>
      </c>
      <c r="AH18" s="21" t="s">
        <v>63</v>
      </c>
      <c r="AI18" s="21">
        <v>64</v>
      </c>
      <c r="AJ18" s="21">
        <v>88</v>
      </c>
      <c r="AK18" s="21">
        <v>161</v>
      </c>
      <c r="AM18" s="117"/>
      <c r="AN18" s="118"/>
      <c r="AO18" s="118"/>
      <c r="AP18" s="118"/>
      <c r="AQ18" s="118"/>
    </row>
    <row r="19" spans="1:43">
      <c r="A19" s="119"/>
      <c r="B19" s="119"/>
      <c r="C19" s="119"/>
      <c r="D19" s="119"/>
      <c r="F19" s="120"/>
      <c r="G19" s="120"/>
      <c r="H19" s="121"/>
      <c r="I19" s="121"/>
      <c r="K19" s="120"/>
      <c r="L19" s="120"/>
      <c r="M19" s="121"/>
      <c r="N19" s="121"/>
      <c r="P19" s="120"/>
      <c r="Q19" s="120"/>
      <c r="R19" s="121"/>
      <c r="S19" s="121"/>
      <c r="U19" s="21"/>
      <c r="V19" s="21"/>
      <c r="W19" s="21"/>
      <c r="X19" s="21"/>
      <c r="Y19" s="21"/>
      <c r="AA19" s="21"/>
      <c r="AB19" s="21"/>
      <c r="AC19" s="21"/>
      <c r="AD19" s="21"/>
      <c r="AE19" s="21"/>
      <c r="AG19" s="120"/>
      <c r="AH19" s="120"/>
      <c r="AI19" s="121"/>
      <c r="AJ19" s="121"/>
      <c r="AK19" s="121"/>
      <c r="AM19" s="117"/>
      <c r="AN19" s="118"/>
      <c r="AO19" s="118"/>
      <c r="AP19" s="118"/>
      <c r="AQ19" s="118"/>
    </row>
    <row r="22" ht="20.25" spans="1:43">
      <c r="A22" s="114" t="s">
        <v>1950</v>
      </c>
      <c r="B22" s="114"/>
      <c r="C22" s="114"/>
      <c r="D22" s="114"/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23"/>
      <c r="U22" s="114" t="s">
        <v>1950</v>
      </c>
      <c r="V22" s="114"/>
      <c r="W22" s="114"/>
      <c r="X22" s="114"/>
      <c r="Y22" s="114"/>
      <c r="Z22" s="114"/>
      <c r="AA22" s="114"/>
      <c r="AB22" s="114"/>
      <c r="AC22" s="114"/>
      <c r="AD22" s="114"/>
      <c r="AE22" s="114"/>
      <c r="AF22" s="114"/>
      <c r="AG22" s="114"/>
      <c r="AH22" s="114"/>
      <c r="AI22" s="114"/>
      <c r="AJ22" s="114"/>
      <c r="AK22" s="114"/>
      <c r="AL22" s="123"/>
      <c r="AM22" s="123"/>
      <c r="AN22" s="123"/>
      <c r="AO22" s="123"/>
      <c r="AP22" s="123"/>
      <c r="AQ22" s="123"/>
    </row>
    <row r="23" spans="1:37">
      <c r="A23" s="34" t="s">
        <v>5</v>
      </c>
      <c r="B23" s="34"/>
      <c r="C23" s="34"/>
      <c r="D23" s="34"/>
      <c r="F23" s="34" t="s">
        <v>6</v>
      </c>
      <c r="G23" s="34"/>
      <c r="H23" s="34"/>
      <c r="I23" s="34"/>
      <c r="K23" s="34" t="s">
        <v>7</v>
      </c>
      <c r="L23" s="34"/>
      <c r="M23" s="34"/>
      <c r="N23" s="34"/>
      <c r="P23" s="34" t="s">
        <v>9</v>
      </c>
      <c r="Q23" s="34"/>
      <c r="R23" s="34"/>
      <c r="S23" s="34"/>
      <c r="U23" s="34" t="s">
        <v>11</v>
      </c>
      <c r="V23" s="34"/>
      <c r="W23" s="34"/>
      <c r="X23" s="34"/>
      <c r="Y23" s="34"/>
      <c r="AA23" s="34" t="s">
        <v>12</v>
      </c>
      <c r="AB23" s="34"/>
      <c r="AC23" s="34"/>
      <c r="AD23" s="34"/>
      <c r="AE23" s="34"/>
      <c r="AG23" s="34" t="s">
        <v>13</v>
      </c>
      <c r="AH23" s="34"/>
      <c r="AI23" s="34"/>
      <c r="AJ23" s="34"/>
      <c r="AK23" s="34"/>
    </row>
    <row r="24" spans="1:37">
      <c r="A24" s="34" t="s">
        <v>1</v>
      </c>
      <c r="B24" s="34" t="s">
        <v>4</v>
      </c>
      <c r="C24" s="34" t="s">
        <v>1947</v>
      </c>
      <c r="D24" s="115" t="s">
        <v>1929</v>
      </c>
      <c r="E24" s="116"/>
      <c r="F24" s="34" t="s">
        <v>1</v>
      </c>
      <c r="G24" s="34" t="s">
        <v>4</v>
      </c>
      <c r="H24" s="34" t="s">
        <v>1947</v>
      </c>
      <c r="I24" s="115" t="s">
        <v>1929</v>
      </c>
      <c r="J24" s="116"/>
      <c r="K24" s="34" t="s">
        <v>1</v>
      </c>
      <c r="L24" s="34" t="s">
        <v>4</v>
      </c>
      <c r="M24" s="34" t="s">
        <v>1947</v>
      </c>
      <c r="N24" s="115" t="s">
        <v>1929</v>
      </c>
      <c r="O24" s="116"/>
      <c r="P24" s="34" t="s">
        <v>1</v>
      </c>
      <c r="Q24" s="34" t="s">
        <v>4</v>
      </c>
      <c r="R24" s="34" t="s">
        <v>1947</v>
      </c>
      <c r="S24" s="115" t="s">
        <v>1929</v>
      </c>
      <c r="U24" s="34" t="s">
        <v>1</v>
      </c>
      <c r="V24" s="34" t="s">
        <v>4</v>
      </c>
      <c r="W24" s="34" t="s">
        <v>1948</v>
      </c>
      <c r="X24" s="34" t="s">
        <v>1949</v>
      </c>
      <c r="Y24" s="115" t="s">
        <v>1929</v>
      </c>
      <c r="AA24" s="34" t="s">
        <v>1</v>
      </c>
      <c r="AB24" s="34" t="s">
        <v>4</v>
      </c>
      <c r="AC24" s="34" t="s">
        <v>1948</v>
      </c>
      <c r="AD24" s="34" t="s">
        <v>1949</v>
      </c>
      <c r="AE24" s="115" t="s">
        <v>1929</v>
      </c>
      <c r="AG24" s="34" t="s">
        <v>1</v>
      </c>
      <c r="AH24" s="34" t="s">
        <v>4</v>
      </c>
      <c r="AI24" s="34" t="s">
        <v>1948</v>
      </c>
      <c r="AJ24" s="34" t="s">
        <v>1949</v>
      </c>
      <c r="AK24" s="115" t="s">
        <v>1929</v>
      </c>
    </row>
    <row r="25" ht="14.25" spans="1:37">
      <c r="A25" s="122" t="s">
        <v>1650</v>
      </c>
      <c r="B25" s="21" t="s">
        <v>1651</v>
      </c>
      <c r="C25" s="21">
        <v>119.5</v>
      </c>
      <c r="D25" s="21">
        <v>11</v>
      </c>
      <c r="F25" s="122" t="s">
        <v>1504</v>
      </c>
      <c r="G25" s="21" t="s">
        <v>1505</v>
      </c>
      <c r="H25" s="21">
        <v>130</v>
      </c>
      <c r="I25" s="21">
        <v>9</v>
      </c>
      <c r="K25" s="122" t="s">
        <v>1496</v>
      </c>
      <c r="L25" s="21" t="s">
        <v>1497</v>
      </c>
      <c r="M25" s="21">
        <v>135</v>
      </c>
      <c r="N25" s="21">
        <v>7</v>
      </c>
      <c r="P25" s="122" t="s">
        <v>1546</v>
      </c>
      <c r="Q25" s="21" t="s">
        <v>1547</v>
      </c>
      <c r="R25" s="21">
        <v>82.5</v>
      </c>
      <c r="S25" s="21">
        <v>1</v>
      </c>
      <c r="U25" s="122" t="s">
        <v>1612</v>
      </c>
      <c r="V25" s="21" t="s">
        <v>1613</v>
      </c>
      <c r="W25" s="21">
        <v>68.5</v>
      </c>
      <c r="X25" s="21">
        <v>94</v>
      </c>
      <c r="Y25" s="21">
        <v>5</v>
      </c>
      <c r="AA25" s="122" t="s">
        <v>1535</v>
      </c>
      <c r="AB25" s="21" t="s">
        <v>1536</v>
      </c>
      <c r="AC25" s="21">
        <v>80</v>
      </c>
      <c r="AD25" s="21">
        <v>96</v>
      </c>
      <c r="AE25" s="21">
        <v>2</v>
      </c>
      <c r="AG25" s="122" t="s">
        <v>1496</v>
      </c>
      <c r="AH25" s="21" t="s">
        <v>1497</v>
      </c>
      <c r="AI25" s="21">
        <v>72</v>
      </c>
      <c r="AJ25" s="21">
        <v>93</v>
      </c>
      <c r="AK25" s="21">
        <v>3</v>
      </c>
    </row>
    <row r="26" ht="14.25" spans="1:37">
      <c r="A26" s="122" t="s">
        <v>1558</v>
      </c>
      <c r="B26" s="21" t="s">
        <v>1559</v>
      </c>
      <c r="C26" s="21">
        <v>118</v>
      </c>
      <c r="D26" s="21">
        <v>15</v>
      </c>
      <c r="F26" s="122" t="s">
        <v>1498</v>
      </c>
      <c r="G26" s="21" t="s">
        <v>75</v>
      </c>
      <c r="H26" s="21">
        <v>126</v>
      </c>
      <c r="I26" s="21">
        <v>15</v>
      </c>
      <c r="K26" s="122" t="s">
        <v>1510</v>
      </c>
      <c r="L26" s="21" t="s">
        <v>1511</v>
      </c>
      <c r="M26" s="21">
        <v>131</v>
      </c>
      <c r="N26" s="21">
        <v>23</v>
      </c>
      <c r="P26" s="122" t="s">
        <v>1682</v>
      </c>
      <c r="Q26" s="21" t="s">
        <v>1683</v>
      </c>
      <c r="R26" s="21">
        <v>76</v>
      </c>
      <c r="S26" s="21">
        <v>4</v>
      </c>
      <c r="U26" s="122" t="s">
        <v>1538</v>
      </c>
      <c r="V26" s="21" t="s">
        <v>1539</v>
      </c>
      <c r="W26" s="21">
        <v>68.5</v>
      </c>
      <c r="X26" s="21">
        <v>94</v>
      </c>
      <c r="Y26" s="21">
        <v>5</v>
      </c>
      <c r="AA26" s="122" t="s">
        <v>1504</v>
      </c>
      <c r="AB26" s="21" t="s">
        <v>1505</v>
      </c>
      <c r="AC26" s="21">
        <v>77</v>
      </c>
      <c r="AD26" s="21">
        <v>94</v>
      </c>
      <c r="AE26" s="21">
        <v>8</v>
      </c>
      <c r="AG26" s="122" t="s">
        <v>1504</v>
      </c>
      <c r="AH26" s="21" t="s">
        <v>1505</v>
      </c>
      <c r="AI26" s="21">
        <v>69</v>
      </c>
      <c r="AJ26" s="21">
        <v>91</v>
      </c>
      <c r="AK26" s="21">
        <v>9</v>
      </c>
    </row>
    <row r="27" ht="14.25" spans="1:37">
      <c r="A27" s="122" t="s">
        <v>1529</v>
      </c>
      <c r="B27" s="21" t="s">
        <v>1530</v>
      </c>
      <c r="C27" s="21">
        <v>117.5</v>
      </c>
      <c r="D27" s="21">
        <v>26</v>
      </c>
      <c r="F27" s="122" t="s">
        <v>1512</v>
      </c>
      <c r="G27" s="21" t="s">
        <v>65</v>
      </c>
      <c r="H27" s="21">
        <v>125</v>
      </c>
      <c r="I27" s="21">
        <v>16</v>
      </c>
      <c r="K27" s="122" t="s">
        <v>1533</v>
      </c>
      <c r="L27" s="21" t="s">
        <v>1534</v>
      </c>
      <c r="M27" s="21">
        <v>130.5</v>
      </c>
      <c r="N27" s="21">
        <v>27</v>
      </c>
      <c r="P27" s="122" t="s">
        <v>1508</v>
      </c>
      <c r="Q27" s="21" t="s">
        <v>1509</v>
      </c>
      <c r="R27" s="21">
        <v>72</v>
      </c>
      <c r="S27" s="21">
        <v>20</v>
      </c>
      <c r="U27" s="122" t="s">
        <v>1540</v>
      </c>
      <c r="V27" s="21" t="s">
        <v>1541</v>
      </c>
      <c r="W27" s="21">
        <v>67.5</v>
      </c>
      <c r="X27" s="21">
        <v>93</v>
      </c>
      <c r="Y27" s="21">
        <v>12</v>
      </c>
      <c r="AA27" s="122" t="s">
        <v>1527</v>
      </c>
      <c r="AB27" s="21" t="s">
        <v>1528</v>
      </c>
      <c r="AC27" s="21">
        <v>74</v>
      </c>
      <c r="AD27" s="21">
        <v>93</v>
      </c>
      <c r="AE27" s="21">
        <v>12</v>
      </c>
      <c r="AG27" s="122" t="s">
        <v>1443</v>
      </c>
      <c r="AH27" s="21" t="s">
        <v>1444</v>
      </c>
      <c r="AI27" s="21">
        <v>68</v>
      </c>
      <c r="AJ27" s="21">
        <v>91</v>
      </c>
      <c r="AK27" s="21">
        <v>9</v>
      </c>
    </row>
    <row r="28" ht="14.25" spans="1:37">
      <c r="A28" s="122" t="s">
        <v>1354</v>
      </c>
      <c r="B28" s="21" t="s">
        <v>1355</v>
      </c>
      <c r="C28" s="21">
        <v>116</v>
      </c>
      <c r="D28" s="21">
        <v>34</v>
      </c>
      <c r="F28" s="122" t="s">
        <v>1496</v>
      </c>
      <c r="G28" s="21" t="s">
        <v>1497</v>
      </c>
      <c r="H28" s="21">
        <v>124</v>
      </c>
      <c r="I28" s="21">
        <v>18</v>
      </c>
      <c r="K28" s="122" t="s">
        <v>1437</v>
      </c>
      <c r="L28" s="21" t="s">
        <v>1438</v>
      </c>
      <c r="M28" s="21">
        <v>129</v>
      </c>
      <c r="N28" s="21">
        <v>40</v>
      </c>
      <c r="P28" s="122" t="s">
        <v>1558</v>
      </c>
      <c r="Q28" s="21" t="s">
        <v>1559</v>
      </c>
      <c r="R28" s="21">
        <v>71.5</v>
      </c>
      <c r="S28" s="21">
        <v>24</v>
      </c>
      <c r="U28" s="122" t="s">
        <v>1682</v>
      </c>
      <c r="V28" s="21" t="s">
        <v>1683</v>
      </c>
      <c r="W28" s="21">
        <v>65</v>
      </c>
      <c r="X28" s="21">
        <v>92</v>
      </c>
      <c r="Y28" s="21">
        <v>16</v>
      </c>
      <c r="AA28" s="122" t="s">
        <v>1503</v>
      </c>
      <c r="AB28" s="21" t="s">
        <v>1029</v>
      </c>
      <c r="AC28" s="21">
        <v>74</v>
      </c>
      <c r="AD28" s="21">
        <v>93</v>
      </c>
      <c r="AE28" s="21">
        <v>12</v>
      </c>
      <c r="AG28" s="122" t="s">
        <v>1525</v>
      </c>
      <c r="AH28" s="21" t="s">
        <v>1526</v>
      </c>
      <c r="AI28" s="21">
        <v>63</v>
      </c>
      <c r="AJ28" s="21">
        <v>89</v>
      </c>
      <c r="AK28" s="21">
        <v>23</v>
      </c>
    </row>
    <row r="29" ht="14.25" spans="1:37">
      <c r="A29" s="122" t="s">
        <v>1614</v>
      </c>
      <c r="B29" s="21" t="s">
        <v>1615</v>
      </c>
      <c r="C29" s="21">
        <v>115.5</v>
      </c>
      <c r="D29" s="21">
        <v>41</v>
      </c>
      <c r="F29" s="122" t="s">
        <v>1531</v>
      </c>
      <c r="G29" s="21" t="s">
        <v>1532</v>
      </c>
      <c r="H29" s="21">
        <v>124</v>
      </c>
      <c r="I29" s="21">
        <v>18</v>
      </c>
      <c r="K29" s="122" t="s">
        <v>1531</v>
      </c>
      <c r="L29" s="21" t="s">
        <v>1532</v>
      </c>
      <c r="M29" s="21">
        <v>126</v>
      </c>
      <c r="N29" s="21">
        <v>66</v>
      </c>
      <c r="P29" s="122" t="s">
        <v>1688</v>
      </c>
      <c r="Q29" s="21" t="s">
        <v>1689</v>
      </c>
      <c r="R29" s="21">
        <v>71.5</v>
      </c>
      <c r="S29" s="21">
        <v>24</v>
      </c>
      <c r="U29" s="122" t="s">
        <v>1542</v>
      </c>
      <c r="V29" s="21" t="s">
        <v>1543</v>
      </c>
      <c r="W29" s="21">
        <v>65.5</v>
      </c>
      <c r="X29" s="21">
        <v>92</v>
      </c>
      <c r="Y29" s="21">
        <v>16</v>
      </c>
      <c r="AA29" s="122" t="s">
        <v>1499</v>
      </c>
      <c r="AB29" s="21" t="s">
        <v>1500</v>
      </c>
      <c r="AC29" s="21">
        <v>74</v>
      </c>
      <c r="AD29" s="21">
        <v>93</v>
      </c>
      <c r="AE29" s="21">
        <v>12</v>
      </c>
      <c r="AG29" s="122" t="s">
        <v>1437</v>
      </c>
      <c r="AH29" s="21" t="s">
        <v>1438</v>
      </c>
      <c r="AI29" s="21">
        <v>63</v>
      </c>
      <c r="AJ29" s="21">
        <v>89</v>
      </c>
      <c r="AK29" s="21">
        <v>23</v>
      </c>
    </row>
    <row r="30" ht="14.25" spans="1:37">
      <c r="A30" s="122" t="s">
        <v>1484</v>
      </c>
      <c r="B30" s="21" t="s">
        <v>1485</v>
      </c>
      <c r="C30" s="21">
        <v>115.25</v>
      </c>
      <c r="D30" s="21">
        <v>49</v>
      </c>
      <c r="F30" s="122" t="s">
        <v>1447</v>
      </c>
      <c r="G30" s="21" t="s">
        <v>1448</v>
      </c>
      <c r="H30" s="21">
        <v>120.5</v>
      </c>
      <c r="I30" s="21">
        <v>31</v>
      </c>
      <c r="K30" s="122" t="s">
        <v>1560</v>
      </c>
      <c r="L30" s="21" t="s">
        <v>1561</v>
      </c>
      <c r="M30" s="21">
        <v>125</v>
      </c>
      <c r="N30" s="21">
        <v>77</v>
      </c>
      <c r="P30" s="122" t="s">
        <v>1664</v>
      </c>
      <c r="Q30" s="21" t="s">
        <v>1665</v>
      </c>
      <c r="R30" s="21">
        <v>71</v>
      </c>
      <c r="S30" s="21">
        <v>28</v>
      </c>
      <c r="U30" s="122" t="s">
        <v>1552</v>
      </c>
      <c r="V30" s="21" t="s">
        <v>1553</v>
      </c>
      <c r="W30" s="21">
        <v>65.5</v>
      </c>
      <c r="X30" s="21">
        <v>92</v>
      </c>
      <c r="Y30" s="21">
        <v>16</v>
      </c>
      <c r="AA30" s="122" t="s">
        <v>1529</v>
      </c>
      <c r="AB30" s="21" t="s">
        <v>1530</v>
      </c>
      <c r="AC30" s="21">
        <v>73</v>
      </c>
      <c r="AD30" s="21">
        <v>92</v>
      </c>
      <c r="AE30" s="21">
        <v>30</v>
      </c>
      <c r="AG30" s="122" t="s">
        <v>1510</v>
      </c>
      <c r="AH30" s="21" t="s">
        <v>1511</v>
      </c>
      <c r="AI30" s="21">
        <v>62</v>
      </c>
      <c r="AJ30" s="21">
        <v>88</v>
      </c>
      <c r="AK30" s="21">
        <v>30</v>
      </c>
    </row>
    <row r="31" ht="14.25" spans="1:37">
      <c r="A31" s="122" t="s">
        <v>1624</v>
      </c>
      <c r="B31" s="21" t="s">
        <v>1625</v>
      </c>
      <c r="C31" s="21">
        <v>115</v>
      </c>
      <c r="D31" s="21">
        <v>50</v>
      </c>
      <c r="F31" s="122" t="s">
        <v>1494</v>
      </c>
      <c r="G31" s="21" t="s">
        <v>1495</v>
      </c>
      <c r="H31" s="21">
        <v>119.5</v>
      </c>
      <c r="I31" s="21">
        <v>35</v>
      </c>
      <c r="K31" s="122" t="s">
        <v>1503</v>
      </c>
      <c r="L31" s="21" t="s">
        <v>1029</v>
      </c>
      <c r="M31" s="21">
        <v>125</v>
      </c>
      <c r="N31" s="21">
        <v>77</v>
      </c>
      <c r="P31" s="122" t="s">
        <v>1552</v>
      </c>
      <c r="Q31" s="21" t="s">
        <v>1553</v>
      </c>
      <c r="R31" s="21">
        <v>70.5</v>
      </c>
      <c r="S31" s="21">
        <v>40</v>
      </c>
      <c r="U31" s="122" t="s">
        <v>1498</v>
      </c>
      <c r="V31" s="21" t="s">
        <v>75</v>
      </c>
      <c r="W31" s="21">
        <v>64.5</v>
      </c>
      <c r="X31" s="21">
        <v>91</v>
      </c>
      <c r="Y31" s="21">
        <v>30</v>
      </c>
      <c r="AA31" s="122" t="s">
        <v>1506</v>
      </c>
      <c r="AB31" s="21" t="s">
        <v>1507</v>
      </c>
      <c r="AC31" s="21">
        <v>72</v>
      </c>
      <c r="AD31" s="21">
        <v>92</v>
      </c>
      <c r="AE31" s="21">
        <v>30</v>
      </c>
      <c r="AG31" s="122" t="s">
        <v>1529</v>
      </c>
      <c r="AH31" s="21" t="s">
        <v>1530</v>
      </c>
      <c r="AI31" s="21">
        <v>60.5</v>
      </c>
      <c r="AJ31" s="21">
        <v>88</v>
      </c>
      <c r="AK31" s="21">
        <v>30</v>
      </c>
    </row>
    <row r="32" ht="14.25" spans="1:37">
      <c r="A32" s="122" t="s">
        <v>1504</v>
      </c>
      <c r="B32" s="21" t="s">
        <v>1505</v>
      </c>
      <c r="C32" s="21">
        <v>114.5</v>
      </c>
      <c r="D32" s="21">
        <v>52</v>
      </c>
      <c r="F32" s="122" t="s">
        <v>1552</v>
      </c>
      <c r="G32" s="21" t="s">
        <v>1553</v>
      </c>
      <c r="H32" s="21">
        <v>119</v>
      </c>
      <c r="I32" s="21">
        <v>37</v>
      </c>
      <c r="K32" s="122" t="s">
        <v>1674</v>
      </c>
      <c r="L32" s="21" t="s">
        <v>1675</v>
      </c>
      <c r="M32" s="21">
        <v>125</v>
      </c>
      <c r="N32" s="21">
        <v>77</v>
      </c>
      <c r="P32" s="122" t="s">
        <v>1376</v>
      </c>
      <c r="Q32" s="21" t="s">
        <v>1377</v>
      </c>
      <c r="R32" s="21">
        <v>70.5</v>
      </c>
      <c r="S32" s="21">
        <v>40</v>
      </c>
      <c r="U32" s="122" t="s">
        <v>1614</v>
      </c>
      <c r="V32" s="21" t="s">
        <v>1615</v>
      </c>
      <c r="W32" s="21">
        <v>64</v>
      </c>
      <c r="X32" s="21">
        <v>91</v>
      </c>
      <c r="Y32" s="21">
        <v>30</v>
      </c>
      <c r="AA32" s="122" t="s">
        <v>1354</v>
      </c>
      <c r="AB32" s="21" t="s">
        <v>1355</v>
      </c>
      <c r="AC32" s="21">
        <v>72.5</v>
      </c>
      <c r="AD32" s="21">
        <v>92</v>
      </c>
      <c r="AE32" s="21">
        <v>30</v>
      </c>
      <c r="AG32" s="122" t="s">
        <v>1506</v>
      </c>
      <c r="AH32" s="21" t="s">
        <v>1507</v>
      </c>
      <c r="AI32" s="21">
        <v>61.5</v>
      </c>
      <c r="AJ32" s="21">
        <v>88</v>
      </c>
      <c r="AK32" s="21">
        <v>30</v>
      </c>
    </row>
    <row r="33" ht="14.25" spans="1:37">
      <c r="A33" s="122" t="s">
        <v>1546</v>
      </c>
      <c r="B33" s="21" t="s">
        <v>1547</v>
      </c>
      <c r="C33" s="21">
        <v>114.5</v>
      </c>
      <c r="D33" s="21">
        <v>52</v>
      </c>
      <c r="F33" s="122" t="s">
        <v>1501</v>
      </c>
      <c r="G33" s="21" t="s">
        <v>1502</v>
      </c>
      <c r="H33" s="21">
        <v>119</v>
      </c>
      <c r="I33" s="21">
        <v>37</v>
      </c>
      <c r="K33" s="122" t="s">
        <v>1546</v>
      </c>
      <c r="L33" s="21" t="s">
        <v>1547</v>
      </c>
      <c r="M33" s="21">
        <v>124.75</v>
      </c>
      <c r="N33" s="21">
        <v>83</v>
      </c>
      <c r="P33" s="122" t="s">
        <v>1336</v>
      </c>
      <c r="Q33" s="21" t="s">
        <v>1337</v>
      </c>
      <c r="R33" s="21">
        <v>70</v>
      </c>
      <c r="S33" s="21">
        <v>52</v>
      </c>
      <c r="U33" s="122" t="s">
        <v>1654</v>
      </c>
      <c r="V33" s="21" t="s">
        <v>1655</v>
      </c>
      <c r="W33" s="21">
        <v>64</v>
      </c>
      <c r="X33" s="21">
        <v>91</v>
      </c>
      <c r="Y33" s="21">
        <v>30</v>
      </c>
      <c r="AA33" s="122" t="s">
        <v>1418</v>
      </c>
      <c r="AB33" s="21" t="s">
        <v>1363</v>
      </c>
      <c r="AC33" s="21">
        <v>72</v>
      </c>
      <c r="AD33" s="21">
        <v>92</v>
      </c>
      <c r="AE33" s="21">
        <v>30</v>
      </c>
      <c r="AG33" s="122" t="s">
        <v>1362</v>
      </c>
      <c r="AH33" s="21" t="s">
        <v>1363</v>
      </c>
      <c r="AI33" s="21">
        <v>62</v>
      </c>
      <c r="AJ33" s="21">
        <v>88</v>
      </c>
      <c r="AK33" s="21">
        <v>30</v>
      </c>
    </row>
    <row r="34" ht="14.25" spans="1:37">
      <c r="A34" s="122" t="s">
        <v>1535</v>
      </c>
      <c r="B34" s="21" t="s">
        <v>1536</v>
      </c>
      <c r="C34" s="21">
        <v>113</v>
      </c>
      <c r="D34" s="21">
        <v>78</v>
      </c>
      <c r="F34" s="122" t="s">
        <v>1544</v>
      </c>
      <c r="G34" s="21" t="s">
        <v>1545</v>
      </c>
      <c r="H34" s="21">
        <v>119</v>
      </c>
      <c r="I34" s="21">
        <v>37</v>
      </c>
      <c r="K34" s="122" t="s">
        <v>1519</v>
      </c>
      <c r="L34" s="21" t="s">
        <v>1520</v>
      </c>
      <c r="M34" s="21">
        <v>124</v>
      </c>
      <c r="N34" s="21">
        <v>89</v>
      </c>
      <c r="P34" s="122" t="s">
        <v>1362</v>
      </c>
      <c r="Q34" s="21" t="s">
        <v>1363</v>
      </c>
      <c r="R34" s="21">
        <v>70</v>
      </c>
      <c r="S34" s="21">
        <v>52</v>
      </c>
      <c r="U34" s="122" t="s">
        <v>1664</v>
      </c>
      <c r="V34" s="21" t="s">
        <v>1665</v>
      </c>
      <c r="W34" s="21">
        <v>63</v>
      </c>
      <c r="X34" s="21">
        <v>91</v>
      </c>
      <c r="Y34" s="21">
        <v>30</v>
      </c>
      <c r="AA34" s="122" t="s">
        <v>1513</v>
      </c>
      <c r="AB34" s="21" t="s">
        <v>1514</v>
      </c>
      <c r="AC34" s="21">
        <v>70.5</v>
      </c>
      <c r="AD34" s="21">
        <v>91</v>
      </c>
      <c r="AE34" s="21">
        <v>51</v>
      </c>
      <c r="AG34" s="122" t="s">
        <v>1515</v>
      </c>
      <c r="AH34" s="21" t="s">
        <v>1516</v>
      </c>
      <c r="AI34" s="21">
        <v>62</v>
      </c>
      <c r="AJ34" s="21">
        <v>88</v>
      </c>
      <c r="AK34" s="21">
        <v>30</v>
      </c>
    </row>
    <row r="35" ht="14.25" spans="1:37">
      <c r="A35" s="122" t="s">
        <v>1431</v>
      </c>
      <c r="B35" s="21" t="s">
        <v>1432</v>
      </c>
      <c r="C35" s="21">
        <v>113</v>
      </c>
      <c r="D35" s="21">
        <v>78</v>
      </c>
      <c r="F35" s="21"/>
      <c r="G35" s="21"/>
      <c r="H35" s="21"/>
      <c r="I35" s="21"/>
      <c r="U35" s="122" t="s">
        <v>1548</v>
      </c>
      <c r="V35" s="21" t="s">
        <v>1549</v>
      </c>
      <c r="W35" s="21">
        <v>64</v>
      </c>
      <c r="X35" s="21">
        <v>91</v>
      </c>
      <c r="Y35" s="21">
        <v>30</v>
      </c>
      <c r="AA35" s="122" t="s">
        <v>1612</v>
      </c>
      <c r="AB35" s="21" t="s">
        <v>1613</v>
      </c>
      <c r="AC35" s="21">
        <v>70.5</v>
      </c>
      <c r="AD35" s="21">
        <v>91</v>
      </c>
      <c r="AE35" s="21">
        <v>51</v>
      </c>
      <c r="AG35" s="122" t="s">
        <v>1433</v>
      </c>
      <c r="AH35" s="21" t="s">
        <v>1434</v>
      </c>
      <c r="AI35" s="21">
        <v>60.5</v>
      </c>
      <c r="AJ35" s="21">
        <v>88</v>
      </c>
      <c r="AK35" s="21">
        <v>30</v>
      </c>
    </row>
    <row r="36" ht="14.25" spans="1:37">
      <c r="A36" s="122" t="s">
        <v>1580</v>
      </c>
      <c r="B36" s="21" t="s">
        <v>1581</v>
      </c>
      <c r="C36" s="21">
        <v>113</v>
      </c>
      <c r="D36" s="21">
        <v>78</v>
      </c>
      <c r="U36" s="21"/>
      <c r="V36" s="21"/>
      <c r="W36" s="21"/>
      <c r="X36" s="21"/>
      <c r="Y36" s="21"/>
      <c r="AA36" s="122" t="s">
        <v>1716</v>
      </c>
      <c r="AB36" s="21" t="s">
        <v>1717</v>
      </c>
      <c r="AC36" s="21">
        <v>70.5</v>
      </c>
      <c r="AD36" s="21">
        <v>91</v>
      </c>
      <c r="AE36" s="21">
        <v>51</v>
      </c>
      <c r="AG36" s="122" t="s">
        <v>1466</v>
      </c>
      <c r="AH36" s="21" t="s">
        <v>1467</v>
      </c>
      <c r="AI36" s="21">
        <v>62</v>
      </c>
      <c r="AJ36" s="21">
        <v>88</v>
      </c>
      <c r="AK36" s="21">
        <v>30</v>
      </c>
    </row>
    <row r="37" ht="14.25" spans="1:4">
      <c r="A37" s="122" t="s">
        <v>1517</v>
      </c>
      <c r="B37" s="21" t="s">
        <v>1518</v>
      </c>
      <c r="C37" s="21">
        <v>113</v>
      </c>
      <c r="D37" s="21">
        <v>78</v>
      </c>
    </row>
  </sheetData>
  <mergeCells count="19">
    <mergeCell ref="A1:S1"/>
    <mergeCell ref="U1:AQ1"/>
    <mergeCell ref="A2:D2"/>
    <mergeCell ref="F2:I2"/>
    <mergeCell ref="K2:N2"/>
    <mergeCell ref="P2:S2"/>
    <mergeCell ref="U2:Y2"/>
    <mergeCell ref="AA2:AE2"/>
    <mergeCell ref="AG2:AK2"/>
    <mergeCell ref="AM2:AQ2"/>
    <mergeCell ref="A22:S22"/>
    <mergeCell ref="U22:AK22"/>
    <mergeCell ref="A23:D23"/>
    <mergeCell ref="F23:I23"/>
    <mergeCell ref="K23:N23"/>
    <mergeCell ref="P23:S23"/>
    <mergeCell ref="U23:Y23"/>
    <mergeCell ref="AA23:AE23"/>
    <mergeCell ref="AG23:AK23"/>
  </mergeCells>
  <conditionalFormatting sqref="A4:A14">
    <cfRule type="duplicateValues" dxfId="0" priority="8"/>
  </conditionalFormatting>
  <conditionalFormatting sqref="F4:F16">
    <cfRule type="duplicateValues" dxfId="0" priority="7"/>
  </conditionalFormatting>
  <conditionalFormatting sqref="K4:K16">
    <cfRule type="duplicateValues" dxfId="0" priority="6"/>
  </conditionalFormatting>
  <conditionalFormatting sqref="P4:P14">
    <cfRule type="duplicateValues" dxfId="0" priority="5"/>
  </conditionalFormatting>
  <conditionalFormatting sqref="U4:U18">
    <cfRule type="duplicateValues" dxfId="0" priority="4"/>
  </conditionalFormatting>
  <conditionalFormatting sqref="AA4:AA16">
    <cfRule type="duplicateValues" dxfId="0" priority="1"/>
  </conditionalFormatting>
  <conditionalFormatting sqref="AG4:AG18">
    <cfRule type="duplicateValues" dxfId="0" priority="2"/>
  </conditionalFormatting>
  <conditionalFormatting sqref="AM4:AM14">
    <cfRule type="duplicateValues" dxfId="0" priority="3"/>
  </conditionalFormatting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49"/>
  <sheetViews>
    <sheetView topLeftCell="A45" workbookViewId="0">
      <selection activeCell="X69" sqref="X69"/>
    </sheetView>
  </sheetViews>
  <sheetFormatPr defaultColWidth="9" defaultRowHeight="13.5"/>
  <cols>
    <col min="1" max="1" width="9.125" style="46" customWidth="1"/>
    <col min="2" max="2" width="7.5" style="47" customWidth="1"/>
    <col min="3" max="3" width="7.25" style="47" customWidth="1"/>
    <col min="4" max="4" width="7.5" style="47" customWidth="1"/>
    <col min="5" max="5" width="7.25" style="47" customWidth="1"/>
    <col min="6" max="6" width="7.5" style="47" customWidth="1"/>
    <col min="7" max="8" width="7.25" style="47" customWidth="1"/>
    <col min="9" max="9" width="7.5" style="47" customWidth="1"/>
    <col min="10" max="11" width="7.25" style="47" customWidth="1"/>
    <col min="12" max="12" width="7.5" style="47" customWidth="1"/>
    <col min="13" max="13" width="7.25" style="47" customWidth="1"/>
    <col min="14" max="14" width="7.5" style="47" customWidth="1"/>
    <col min="15" max="17" width="7.25" style="47" customWidth="1"/>
    <col min="18" max="18" width="7.5" style="47" customWidth="1"/>
    <col min="19" max="20" width="7.25" style="47" customWidth="1"/>
    <col min="21" max="21" width="7.5" style="47" customWidth="1"/>
    <col min="22" max="22" width="7.25" style="47" customWidth="1"/>
    <col min="23" max="23" width="6.125" style="47" customWidth="1"/>
    <col min="24" max="16384" width="9" style="47"/>
  </cols>
  <sheetData>
    <row r="1" ht="25.5" customHeight="1" spans="1:21">
      <c r="A1" s="48" t="s">
        <v>1951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</row>
    <row r="2" ht="14.1" customHeight="1" spans="1:21">
      <c r="A2" s="49" t="s">
        <v>1952</v>
      </c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</row>
    <row r="3" ht="14.1" customHeight="1" spans="1:21">
      <c r="A3" s="50" t="s">
        <v>1953</v>
      </c>
      <c r="B3" s="51">
        <v>1</v>
      </c>
      <c r="C3" s="51">
        <v>2</v>
      </c>
      <c r="D3" s="51">
        <v>3</v>
      </c>
      <c r="E3" s="51">
        <v>4</v>
      </c>
      <c r="F3" s="51">
        <v>5</v>
      </c>
      <c r="G3" s="51">
        <v>6</v>
      </c>
      <c r="H3" s="51">
        <v>7</v>
      </c>
      <c r="I3" s="51">
        <v>8</v>
      </c>
      <c r="J3" s="51">
        <v>9</v>
      </c>
      <c r="K3" s="51">
        <v>10</v>
      </c>
      <c r="L3" s="51">
        <v>11</v>
      </c>
      <c r="M3" s="51">
        <v>12</v>
      </c>
      <c r="N3" s="51">
        <v>13</v>
      </c>
      <c r="O3" s="51">
        <v>14</v>
      </c>
      <c r="P3" s="51">
        <v>15</v>
      </c>
      <c r="Q3" s="51">
        <v>16</v>
      </c>
      <c r="R3" s="51">
        <v>17</v>
      </c>
      <c r="S3" s="51">
        <v>18</v>
      </c>
      <c r="T3" s="69" t="s">
        <v>1954</v>
      </c>
      <c r="U3" s="70"/>
    </row>
    <row r="4" ht="14.1" customHeight="1" spans="1:21">
      <c r="A4" s="52" t="s">
        <v>1955</v>
      </c>
      <c r="B4" s="50" t="s">
        <v>1956</v>
      </c>
      <c r="C4" s="50" t="s">
        <v>1956</v>
      </c>
      <c r="D4" s="50" t="s">
        <v>1957</v>
      </c>
      <c r="E4" s="50" t="s">
        <v>1957</v>
      </c>
      <c r="F4" s="50" t="s">
        <v>1958</v>
      </c>
      <c r="G4" s="50" t="s">
        <v>1959</v>
      </c>
      <c r="H4" s="53" t="s">
        <v>1960</v>
      </c>
      <c r="I4" s="50" t="s">
        <v>1961</v>
      </c>
      <c r="J4" s="50" t="s">
        <v>1961</v>
      </c>
      <c r="K4" s="53" t="s">
        <v>1962</v>
      </c>
      <c r="L4" s="50" t="s">
        <v>1963</v>
      </c>
      <c r="M4" s="53" t="s">
        <v>1962</v>
      </c>
      <c r="N4" s="50" t="s">
        <v>1958</v>
      </c>
      <c r="O4" s="53" t="s">
        <v>1786</v>
      </c>
      <c r="P4" s="53" t="s">
        <v>1964</v>
      </c>
      <c r="Q4" s="53" t="s">
        <v>1786</v>
      </c>
      <c r="R4" s="53" t="s">
        <v>1964</v>
      </c>
      <c r="S4" s="50" t="s">
        <v>1771</v>
      </c>
      <c r="T4" s="71"/>
      <c r="U4" s="72"/>
    </row>
    <row r="5" ht="14.1" customHeight="1" spans="1:21">
      <c r="A5" s="50" t="s">
        <v>1965</v>
      </c>
      <c r="B5" s="51">
        <f t="shared" ref="B5:S5" si="0">COUNTIFS(班级,"="&amp;B$3,语文,"&gt;0")</f>
        <v>54</v>
      </c>
      <c r="C5" s="51">
        <f t="shared" si="0"/>
        <v>54</v>
      </c>
      <c r="D5" s="51">
        <f t="shared" si="0"/>
        <v>51</v>
      </c>
      <c r="E5" s="51">
        <f t="shared" si="0"/>
        <v>54</v>
      </c>
      <c r="F5" s="51">
        <f t="shared" si="0"/>
        <v>52</v>
      </c>
      <c r="G5" s="51">
        <f t="shared" si="0"/>
        <v>52</v>
      </c>
      <c r="H5" s="51">
        <f t="shared" si="0"/>
        <v>44</v>
      </c>
      <c r="I5" s="51">
        <f t="shared" si="0"/>
        <v>49</v>
      </c>
      <c r="J5" s="51">
        <f t="shared" si="0"/>
        <v>50</v>
      </c>
      <c r="K5" s="51">
        <f t="shared" si="0"/>
        <v>35</v>
      </c>
      <c r="L5" s="51">
        <f t="shared" si="0"/>
        <v>47</v>
      </c>
      <c r="M5" s="51">
        <f t="shared" si="0"/>
        <v>47</v>
      </c>
      <c r="N5" s="51">
        <f t="shared" si="0"/>
        <v>45</v>
      </c>
      <c r="O5" s="51">
        <f t="shared" si="0"/>
        <v>42</v>
      </c>
      <c r="P5" s="51">
        <f t="shared" si="0"/>
        <v>34</v>
      </c>
      <c r="Q5" s="51">
        <f t="shared" si="0"/>
        <v>46</v>
      </c>
      <c r="R5" s="51">
        <f t="shared" si="0"/>
        <v>47</v>
      </c>
      <c r="S5" s="51">
        <f t="shared" si="0"/>
        <v>49</v>
      </c>
      <c r="T5" s="51">
        <f t="shared" ref="T5:T13" si="1">SUM(B5:S5)</f>
        <v>852</v>
      </c>
      <c r="U5" s="51"/>
    </row>
    <row r="6" ht="14.1" customHeight="1" spans="1:21">
      <c r="A6" s="53" t="s">
        <v>1754</v>
      </c>
      <c r="B6" s="51">
        <f t="array" ref="B6">MAX(IF(班级=B$3,语文))</f>
        <v>112.5</v>
      </c>
      <c r="C6" s="51">
        <f t="array" ref="C6">MAX(IF(班级=C$3,语文))</f>
        <v>111.5</v>
      </c>
      <c r="D6" s="51">
        <f t="array" ref="D6">MAX(IF(班级=D$3,语文))</f>
        <v>114</v>
      </c>
      <c r="E6" s="51">
        <f t="array" ref="E6">MAX(IF(班级=E$3,语文))</f>
        <v>116</v>
      </c>
      <c r="F6" s="51">
        <f t="array" ref="F6">MAX(IF(班级=F$3,语文))</f>
        <v>115</v>
      </c>
      <c r="G6" s="51">
        <f t="array" ref="G6">MAX(IF(班级=G$3,语文))</f>
        <v>117</v>
      </c>
      <c r="H6" s="51">
        <f t="array" ref="H6">MAX(IF(班级=H$3,语文))</f>
        <v>118.5</v>
      </c>
      <c r="I6" s="51">
        <f t="array" ref="I6">MAX(IF(班级=I$3,语文))</f>
        <v>116.75</v>
      </c>
      <c r="J6" s="51">
        <f t="array" ref="J6">MAX(IF(班级=J$3,语文))</f>
        <v>113.5</v>
      </c>
      <c r="K6" s="51">
        <f t="array" ref="K6">MAX(IF(班级=K$3,语文))</f>
        <v>117</v>
      </c>
      <c r="L6" s="51">
        <f t="array" ref="L6">MAX(IF(班级=L$3,语文))</f>
        <v>118.5</v>
      </c>
      <c r="M6" s="51">
        <f t="array" ref="M6">MAX(IF(班级=M$3,语文))</f>
        <v>112.5</v>
      </c>
      <c r="N6" s="51">
        <f t="array" ref="N6">MAX(IF(班级=N$3,语文))</f>
        <v>109.5</v>
      </c>
      <c r="O6" s="51">
        <f t="array" ref="O6">MAX(IF(班级=O$3,语文))</f>
        <v>122</v>
      </c>
      <c r="P6" s="51">
        <f t="array" ref="P6">MAX(IF(班级=P$3,语文))</f>
        <v>115.5</v>
      </c>
      <c r="Q6" s="51">
        <f t="array" ref="Q6">MAX(IF(班级=Q$3,语文))</f>
        <v>115.5</v>
      </c>
      <c r="R6" s="51">
        <f t="array" ref="R6">MAX(IF(班级=R$3,语文))</f>
        <v>122</v>
      </c>
      <c r="S6" s="51">
        <f t="array" ref="S6">MAX(IF(班级=S$3,语文))</f>
        <v>121</v>
      </c>
      <c r="T6" s="51"/>
      <c r="U6" s="51"/>
    </row>
    <row r="7" ht="14.1" customHeight="1" spans="1:21">
      <c r="A7" s="53" t="s">
        <v>1755</v>
      </c>
      <c r="B7" s="51">
        <f t="array" ref="B7">MIN(IF((班级=B$3)*(语文&gt;0),语文))</f>
        <v>82</v>
      </c>
      <c r="C7" s="51">
        <f t="array" ref="C7">MIN(IF((班级=C$3)*(语文&gt;0),语文))</f>
        <v>76.75</v>
      </c>
      <c r="D7" s="51">
        <f t="array" ref="D7">MIN(IF((班级=D$3)*(语文&gt;0),语文))</f>
        <v>86.5</v>
      </c>
      <c r="E7" s="51">
        <f t="array" ref="E7">MIN(IF((班级=E$3)*(语文&gt;0),语文))</f>
        <v>86.5</v>
      </c>
      <c r="F7" s="51">
        <f t="array" ref="F7">MIN(IF((班级=F$3)*(语文&gt;0),语文))</f>
        <v>60</v>
      </c>
      <c r="G7" s="51">
        <f t="array" ref="G7">MIN(IF((班级=G$3)*(语文&gt;0),语文))</f>
        <v>87.5</v>
      </c>
      <c r="H7" s="51">
        <f t="array" ref="H7">MIN(IF((班级=H$3)*(语文&gt;0),语文))</f>
        <v>79</v>
      </c>
      <c r="I7" s="51">
        <f t="array" ref="I7">MIN(IF((班级=I$3)*(语文&gt;0),语文))</f>
        <v>87</v>
      </c>
      <c r="J7" s="51">
        <f t="array" ref="J7">MIN(IF((班级=J$3)*(语文&gt;0),语文))</f>
        <v>82.5</v>
      </c>
      <c r="K7" s="51">
        <f t="array" ref="K7">MIN(IF((班级=K$3)*(语文&gt;0),语文))</f>
        <v>79</v>
      </c>
      <c r="L7" s="51">
        <f t="array" ref="L7">MIN(IF((班级=L$3)*(语文&gt;0),语文))</f>
        <v>79</v>
      </c>
      <c r="M7" s="51">
        <f t="array" ref="M7">MIN(IF((班级=M$3)*(语文&gt;0),语文))</f>
        <v>75.75</v>
      </c>
      <c r="N7" s="51">
        <f t="array" ref="N7">MIN(IF((班级=N$3)*(语文&gt;0),语文))</f>
        <v>59.25</v>
      </c>
      <c r="O7" s="51">
        <f t="array" ref="O7">MIN(IF((班级=O$3)*(语文&gt;0),语文))</f>
        <v>92.25</v>
      </c>
      <c r="P7" s="51">
        <f t="array" ref="P7">MIN(IF((班级=P$3)*(语文&gt;0),语文))</f>
        <v>85.25</v>
      </c>
      <c r="Q7" s="51">
        <f t="array" ref="Q7">MIN(IF((班级=Q$3)*(语文&gt;0),语文))</f>
        <v>94</v>
      </c>
      <c r="R7" s="51">
        <f t="array" ref="R7">MIN(IF((班级=R$3)*(语文&gt;0),语文))</f>
        <v>92.25</v>
      </c>
      <c r="S7" s="51">
        <f t="array" ref="S7">MIN(IF((班级=S$3)*(语文&gt;0),语文))</f>
        <v>95</v>
      </c>
      <c r="T7" s="51" t="s">
        <v>1966</v>
      </c>
      <c r="U7" s="51" t="s">
        <v>1967</v>
      </c>
    </row>
    <row r="8" ht="14.1" customHeight="1" spans="1:21">
      <c r="A8" s="50" t="s">
        <v>1968</v>
      </c>
      <c r="B8" s="51">
        <f t="shared" ref="B8:S8" si="2">COUNTIFS(班级,"="&amp;B$3,语文,"&gt;=135")</f>
        <v>0</v>
      </c>
      <c r="C8" s="51">
        <f t="shared" si="2"/>
        <v>0</v>
      </c>
      <c r="D8" s="51">
        <f t="shared" si="2"/>
        <v>0</v>
      </c>
      <c r="E8" s="51">
        <f t="shared" si="2"/>
        <v>0</v>
      </c>
      <c r="F8" s="51">
        <f t="shared" si="2"/>
        <v>0</v>
      </c>
      <c r="G8" s="51">
        <f t="shared" si="2"/>
        <v>0</v>
      </c>
      <c r="H8" s="51">
        <f t="shared" si="2"/>
        <v>0</v>
      </c>
      <c r="I8" s="51">
        <f t="shared" si="2"/>
        <v>0</v>
      </c>
      <c r="J8" s="51">
        <f t="shared" si="2"/>
        <v>0</v>
      </c>
      <c r="K8" s="51">
        <f t="shared" si="2"/>
        <v>0</v>
      </c>
      <c r="L8" s="51">
        <f t="shared" si="2"/>
        <v>0</v>
      </c>
      <c r="M8" s="51">
        <f t="shared" si="2"/>
        <v>0</v>
      </c>
      <c r="N8" s="51">
        <f t="shared" si="2"/>
        <v>0</v>
      </c>
      <c r="O8" s="51">
        <f t="shared" si="2"/>
        <v>0</v>
      </c>
      <c r="P8" s="51">
        <f t="shared" si="2"/>
        <v>0</v>
      </c>
      <c r="Q8" s="51">
        <f t="shared" si="2"/>
        <v>0</v>
      </c>
      <c r="R8" s="51">
        <f t="shared" si="2"/>
        <v>0</v>
      </c>
      <c r="S8" s="51">
        <f t="shared" si="2"/>
        <v>0</v>
      </c>
      <c r="T8" s="51">
        <f t="shared" si="1"/>
        <v>0</v>
      </c>
      <c r="U8" s="51">
        <f>T8</f>
        <v>0</v>
      </c>
    </row>
    <row r="9" ht="14.1" customHeight="1" spans="1:21">
      <c r="A9" s="50" t="s">
        <v>1969</v>
      </c>
      <c r="B9" s="51">
        <f t="shared" ref="B9:S9" si="3">COUNTIFS(班级,"="&amp;B$3,语文,"&gt;=120",语文,"&lt;135")</f>
        <v>0</v>
      </c>
      <c r="C9" s="51">
        <f t="shared" si="3"/>
        <v>0</v>
      </c>
      <c r="D9" s="51">
        <f t="shared" si="3"/>
        <v>0</v>
      </c>
      <c r="E9" s="51">
        <f t="shared" si="3"/>
        <v>0</v>
      </c>
      <c r="F9" s="51">
        <f t="shared" si="3"/>
        <v>0</v>
      </c>
      <c r="G9" s="51">
        <f t="shared" si="3"/>
        <v>0</v>
      </c>
      <c r="H9" s="51">
        <f t="shared" si="3"/>
        <v>0</v>
      </c>
      <c r="I9" s="51">
        <f t="shared" si="3"/>
        <v>0</v>
      </c>
      <c r="J9" s="51">
        <f t="shared" si="3"/>
        <v>0</v>
      </c>
      <c r="K9" s="51">
        <f t="shared" si="3"/>
        <v>0</v>
      </c>
      <c r="L9" s="51">
        <f t="shared" si="3"/>
        <v>0</v>
      </c>
      <c r="M9" s="51">
        <f t="shared" si="3"/>
        <v>0</v>
      </c>
      <c r="N9" s="51">
        <f t="shared" si="3"/>
        <v>0</v>
      </c>
      <c r="O9" s="51">
        <f t="shared" si="3"/>
        <v>1</v>
      </c>
      <c r="P9" s="51">
        <f t="shared" si="3"/>
        <v>0</v>
      </c>
      <c r="Q9" s="51">
        <f t="shared" si="3"/>
        <v>0</v>
      </c>
      <c r="R9" s="51">
        <f t="shared" si="3"/>
        <v>1</v>
      </c>
      <c r="S9" s="51">
        <f t="shared" si="3"/>
        <v>1</v>
      </c>
      <c r="T9" s="51">
        <f t="shared" si="1"/>
        <v>3</v>
      </c>
      <c r="U9" s="51">
        <f t="shared" ref="U9:U13" si="4">U8+T9</f>
        <v>3</v>
      </c>
    </row>
    <row r="10" ht="14.1" customHeight="1" spans="1:21">
      <c r="A10" s="50" t="s">
        <v>1970</v>
      </c>
      <c r="B10" s="51">
        <f t="shared" ref="B10:S10" si="5">COUNTIFS(班级,"="&amp;B$3,语文,"&gt;=105",语文,"&lt;120")</f>
        <v>8</v>
      </c>
      <c r="C10" s="51">
        <f t="shared" si="5"/>
        <v>18</v>
      </c>
      <c r="D10" s="51">
        <f t="shared" si="5"/>
        <v>12</v>
      </c>
      <c r="E10" s="51">
        <f t="shared" si="5"/>
        <v>13</v>
      </c>
      <c r="F10" s="51">
        <f t="shared" si="5"/>
        <v>12</v>
      </c>
      <c r="G10" s="51">
        <f t="shared" si="5"/>
        <v>24</v>
      </c>
      <c r="H10" s="51">
        <f t="shared" si="5"/>
        <v>12</v>
      </c>
      <c r="I10" s="51">
        <f t="shared" si="5"/>
        <v>16</v>
      </c>
      <c r="J10" s="51">
        <f t="shared" si="5"/>
        <v>21</v>
      </c>
      <c r="K10" s="51">
        <f t="shared" si="5"/>
        <v>8</v>
      </c>
      <c r="L10" s="51">
        <f t="shared" si="5"/>
        <v>14</v>
      </c>
      <c r="M10" s="51">
        <f t="shared" si="5"/>
        <v>12</v>
      </c>
      <c r="N10" s="51">
        <f t="shared" si="5"/>
        <v>9</v>
      </c>
      <c r="O10" s="51">
        <f t="shared" si="5"/>
        <v>22</v>
      </c>
      <c r="P10" s="51">
        <f t="shared" si="5"/>
        <v>12</v>
      </c>
      <c r="Q10" s="51">
        <f t="shared" si="5"/>
        <v>16</v>
      </c>
      <c r="R10" s="51">
        <f t="shared" si="5"/>
        <v>20</v>
      </c>
      <c r="S10" s="51">
        <f t="shared" si="5"/>
        <v>38</v>
      </c>
      <c r="T10" s="51">
        <f t="shared" si="1"/>
        <v>287</v>
      </c>
      <c r="U10" s="51">
        <f t="shared" si="4"/>
        <v>290</v>
      </c>
    </row>
    <row r="11" ht="14.1" customHeight="1" spans="1:21">
      <c r="A11" s="50" t="s">
        <v>1971</v>
      </c>
      <c r="B11" s="51">
        <f t="shared" ref="B11:S11" si="6">COUNTIFS(班级,"="&amp;B$3,语文,"&gt;=90",语文,"&lt;105")</f>
        <v>40</v>
      </c>
      <c r="C11" s="51">
        <f t="shared" si="6"/>
        <v>31</v>
      </c>
      <c r="D11" s="51">
        <f t="shared" si="6"/>
        <v>36</v>
      </c>
      <c r="E11" s="51">
        <f t="shared" si="6"/>
        <v>39</v>
      </c>
      <c r="F11" s="51">
        <f t="shared" si="6"/>
        <v>35</v>
      </c>
      <c r="G11" s="51">
        <f t="shared" si="6"/>
        <v>26</v>
      </c>
      <c r="H11" s="51">
        <f t="shared" si="6"/>
        <v>29</v>
      </c>
      <c r="I11" s="51">
        <f t="shared" si="6"/>
        <v>30</v>
      </c>
      <c r="J11" s="51">
        <f t="shared" si="6"/>
        <v>26</v>
      </c>
      <c r="K11" s="51">
        <f t="shared" si="6"/>
        <v>23</v>
      </c>
      <c r="L11" s="51">
        <f t="shared" si="6"/>
        <v>27</v>
      </c>
      <c r="M11" s="51">
        <f t="shared" si="6"/>
        <v>28</v>
      </c>
      <c r="N11" s="51">
        <f t="shared" si="6"/>
        <v>30</v>
      </c>
      <c r="O11" s="51">
        <f t="shared" si="6"/>
        <v>19</v>
      </c>
      <c r="P11" s="51">
        <f t="shared" si="6"/>
        <v>21</v>
      </c>
      <c r="Q11" s="51">
        <f t="shared" si="6"/>
        <v>30</v>
      </c>
      <c r="R11" s="51">
        <f t="shared" si="6"/>
        <v>26</v>
      </c>
      <c r="S11" s="51">
        <f t="shared" si="6"/>
        <v>10</v>
      </c>
      <c r="T11" s="51">
        <f t="shared" si="1"/>
        <v>506</v>
      </c>
      <c r="U11" s="51">
        <f t="shared" si="4"/>
        <v>796</v>
      </c>
    </row>
    <row r="12" ht="14.1" customHeight="1" spans="1:21">
      <c r="A12" s="50" t="s">
        <v>1972</v>
      </c>
      <c r="B12" s="51">
        <f t="shared" ref="B12:S12" si="7">COUNTIFS(班级,"="&amp;B$3,语文,"&gt;=75",语文,"&lt;90")</f>
        <v>6</v>
      </c>
      <c r="C12" s="51">
        <f t="shared" si="7"/>
        <v>5</v>
      </c>
      <c r="D12" s="51">
        <f t="shared" si="7"/>
        <v>3</v>
      </c>
      <c r="E12" s="51">
        <f t="shared" si="7"/>
        <v>2</v>
      </c>
      <c r="F12" s="51">
        <f t="shared" si="7"/>
        <v>4</v>
      </c>
      <c r="G12" s="51">
        <f t="shared" si="7"/>
        <v>2</v>
      </c>
      <c r="H12" s="51">
        <f t="shared" si="7"/>
        <v>3</v>
      </c>
      <c r="I12" s="51">
        <f t="shared" si="7"/>
        <v>3</v>
      </c>
      <c r="J12" s="51">
        <f t="shared" si="7"/>
        <v>3</v>
      </c>
      <c r="K12" s="51">
        <f t="shared" si="7"/>
        <v>4</v>
      </c>
      <c r="L12" s="51">
        <f t="shared" si="7"/>
        <v>6</v>
      </c>
      <c r="M12" s="51">
        <f t="shared" si="7"/>
        <v>7</v>
      </c>
      <c r="N12" s="51">
        <f t="shared" si="7"/>
        <v>5</v>
      </c>
      <c r="O12" s="51">
        <f t="shared" si="7"/>
        <v>0</v>
      </c>
      <c r="P12" s="51">
        <f t="shared" si="7"/>
        <v>1</v>
      </c>
      <c r="Q12" s="51">
        <f t="shared" si="7"/>
        <v>0</v>
      </c>
      <c r="R12" s="51">
        <f t="shared" si="7"/>
        <v>0</v>
      </c>
      <c r="S12" s="51">
        <f t="shared" si="7"/>
        <v>0</v>
      </c>
      <c r="T12" s="51">
        <f t="shared" si="1"/>
        <v>54</v>
      </c>
      <c r="U12" s="51">
        <f t="shared" si="4"/>
        <v>850</v>
      </c>
    </row>
    <row r="13" ht="14.1" customHeight="1" spans="1:21">
      <c r="A13" s="50" t="s">
        <v>1973</v>
      </c>
      <c r="B13" s="51">
        <f t="shared" ref="B13:S13" si="8">COUNTIFS(班级,"="&amp;B$3,语文,"&gt;0",语文,"&lt;75")</f>
        <v>0</v>
      </c>
      <c r="C13" s="51">
        <f t="shared" si="8"/>
        <v>0</v>
      </c>
      <c r="D13" s="51">
        <f t="shared" si="8"/>
        <v>0</v>
      </c>
      <c r="E13" s="51">
        <f t="shared" si="8"/>
        <v>0</v>
      </c>
      <c r="F13" s="51">
        <f t="shared" si="8"/>
        <v>1</v>
      </c>
      <c r="G13" s="51">
        <f t="shared" si="8"/>
        <v>0</v>
      </c>
      <c r="H13" s="51">
        <f t="shared" si="8"/>
        <v>0</v>
      </c>
      <c r="I13" s="51">
        <f t="shared" si="8"/>
        <v>0</v>
      </c>
      <c r="J13" s="51">
        <f t="shared" si="8"/>
        <v>0</v>
      </c>
      <c r="K13" s="51">
        <f t="shared" si="8"/>
        <v>0</v>
      </c>
      <c r="L13" s="51">
        <f t="shared" si="8"/>
        <v>0</v>
      </c>
      <c r="M13" s="51">
        <f t="shared" si="8"/>
        <v>0</v>
      </c>
      <c r="N13" s="51">
        <f t="shared" si="8"/>
        <v>1</v>
      </c>
      <c r="O13" s="51">
        <f t="shared" si="8"/>
        <v>0</v>
      </c>
      <c r="P13" s="51">
        <f t="shared" si="8"/>
        <v>0</v>
      </c>
      <c r="Q13" s="51">
        <f t="shared" si="8"/>
        <v>0</v>
      </c>
      <c r="R13" s="51">
        <f t="shared" si="8"/>
        <v>0</v>
      </c>
      <c r="S13" s="51">
        <f t="shared" si="8"/>
        <v>0</v>
      </c>
      <c r="T13" s="51">
        <f t="shared" si="1"/>
        <v>2</v>
      </c>
      <c r="U13" s="51">
        <f t="shared" si="4"/>
        <v>852</v>
      </c>
    </row>
    <row r="14" ht="14.1" customHeight="1" spans="1:21">
      <c r="A14" s="53" t="s">
        <v>1974</v>
      </c>
      <c r="B14" s="54">
        <f t="shared" ref="B14:S14" si="9">COUNTIFS(班级,"="&amp;B$3,语文,"&gt;="&amp;$U$14)/B5</f>
        <v>0.0740740740740741</v>
      </c>
      <c r="C14" s="54">
        <f t="shared" si="9"/>
        <v>0.0740740740740741</v>
      </c>
      <c r="D14" s="54">
        <f t="shared" si="9"/>
        <v>0.0784313725490196</v>
      </c>
      <c r="E14" s="54">
        <f t="shared" si="9"/>
        <v>0.0555555555555556</v>
      </c>
      <c r="F14" s="54">
        <f t="shared" si="9"/>
        <v>0.134615384615385</v>
      </c>
      <c r="G14" s="54">
        <f t="shared" si="9"/>
        <v>0.288461538461538</v>
      </c>
      <c r="H14" s="54">
        <f t="shared" si="9"/>
        <v>0.136363636363636</v>
      </c>
      <c r="I14" s="54">
        <f t="shared" si="9"/>
        <v>0.142857142857143</v>
      </c>
      <c r="J14" s="54">
        <f t="shared" si="9"/>
        <v>0.22</v>
      </c>
      <c r="K14" s="54">
        <f t="shared" si="9"/>
        <v>0.0571428571428571</v>
      </c>
      <c r="L14" s="54">
        <f t="shared" si="9"/>
        <v>0.170212765957447</v>
      </c>
      <c r="M14" s="54">
        <f t="shared" si="9"/>
        <v>0.0425531914893617</v>
      </c>
      <c r="N14" s="54">
        <f t="shared" si="9"/>
        <v>0.0666666666666667</v>
      </c>
      <c r="O14" s="54">
        <f t="shared" si="9"/>
        <v>0.214285714285714</v>
      </c>
      <c r="P14" s="54">
        <f t="shared" si="9"/>
        <v>0.117647058823529</v>
      </c>
      <c r="Q14" s="54">
        <f t="shared" si="9"/>
        <v>0.217391304347826</v>
      </c>
      <c r="R14" s="54">
        <f t="shared" si="9"/>
        <v>0.191489361702128</v>
      </c>
      <c r="S14" s="54">
        <f t="shared" si="9"/>
        <v>0.469387755102041</v>
      </c>
      <c r="T14" s="73" t="s">
        <v>1975</v>
      </c>
      <c r="U14" s="51">
        <f>LARGE(语文,COUNT(语文)*0.15)</f>
        <v>108.75</v>
      </c>
    </row>
    <row r="15" s="45" customFormat="1" ht="14.1" customHeight="1" spans="1:21">
      <c r="A15" s="55" t="s">
        <v>1779</v>
      </c>
      <c r="B15" s="56">
        <f t="shared" ref="B15:S15" si="10">COUNTIFS(班级,"="&amp;B$3,语文,"&gt;=90")/B5</f>
        <v>0.888888888888889</v>
      </c>
      <c r="C15" s="56">
        <f t="shared" si="10"/>
        <v>0.907407407407407</v>
      </c>
      <c r="D15" s="56">
        <f t="shared" si="10"/>
        <v>0.941176470588235</v>
      </c>
      <c r="E15" s="56">
        <f t="shared" si="10"/>
        <v>0.962962962962963</v>
      </c>
      <c r="F15" s="56">
        <f t="shared" si="10"/>
        <v>0.903846153846154</v>
      </c>
      <c r="G15" s="56">
        <f t="shared" si="10"/>
        <v>0.961538461538462</v>
      </c>
      <c r="H15" s="56">
        <f t="shared" si="10"/>
        <v>0.931818181818182</v>
      </c>
      <c r="I15" s="56">
        <f t="shared" si="10"/>
        <v>0.938775510204082</v>
      </c>
      <c r="J15" s="56">
        <f t="shared" si="10"/>
        <v>0.94</v>
      </c>
      <c r="K15" s="56">
        <f t="shared" si="10"/>
        <v>0.885714285714286</v>
      </c>
      <c r="L15" s="56">
        <f t="shared" si="10"/>
        <v>0.872340425531915</v>
      </c>
      <c r="M15" s="56">
        <f t="shared" si="10"/>
        <v>0.851063829787234</v>
      </c>
      <c r="N15" s="56">
        <f t="shared" si="10"/>
        <v>0.866666666666667</v>
      </c>
      <c r="O15" s="56">
        <f t="shared" si="10"/>
        <v>1</v>
      </c>
      <c r="P15" s="56">
        <f t="shared" si="10"/>
        <v>0.970588235294118</v>
      </c>
      <c r="Q15" s="56">
        <f t="shared" si="10"/>
        <v>1</v>
      </c>
      <c r="R15" s="56">
        <f t="shared" si="10"/>
        <v>1</v>
      </c>
      <c r="S15" s="56">
        <f t="shared" si="10"/>
        <v>1</v>
      </c>
      <c r="T15" s="55" t="s">
        <v>1976</v>
      </c>
      <c r="U15" s="74"/>
    </row>
    <row r="16" ht="14.1" customHeight="1" spans="1:21">
      <c r="A16" s="50" t="s">
        <v>1977</v>
      </c>
      <c r="B16" s="57">
        <f t="shared" ref="B16:S16" si="11">AVERAGEIFS(语文,班级,"="&amp;B3)</f>
        <v>98.4907407407407</v>
      </c>
      <c r="C16" s="57">
        <f t="shared" si="11"/>
        <v>100.222222222222</v>
      </c>
      <c r="D16" s="57">
        <f t="shared" si="11"/>
        <v>99.406862745098</v>
      </c>
      <c r="E16" s="57">
        <f t="shared" si="11"/>
        <v>99.6759259259259</v>
      </c>
      <c r="F16" s="57">
        <f t="shared" si="11"/>
        <v>99.8798076923077</v>
      </c>
      <c r="G16" s="57">
        <f t="shared" si="11"/>
        <v>104.653846153846</v>
      </c>
      <c r="H16" s="57">
        <f t="shared" si="11"/>
        <v>102</v>
      </c>
      <c r="I16" s="57">
        <f t="shared" si="11"/>
        <v>100.938775510204</v>
      </c>
      <c r="J16" s="57">
        <f t="shared" si="11"/>
        <v>102.265</v>
      </c>
      <c r="K16" s="57">
        <f t="shared" si="11"/>
        <v>98.7357142857143</v>
      </c>
      <c r="L16" s="57">
        <f t="shared" si="11"/>
        <v>99.8191489361702</v>
      </c>
      <c r="M16" s="57">
        <f t="shared" si="11"/>
        <v>98.4414893617021</v>
      </c>
      <c r="N16" s="57">
        <f t="shared" si="11"/>
        <v>97.1722222222222</v>
      </c>
      <c r="O16" s="57">
        <f t="shared" si="11"/>
        <v>104.166666666667</v>
      </c>
      <c r="P16" s="57">
        <f t="shared" si="11"/>
        <v>100.985294117647</v>
      </c>
      <c r="Q16" s="57">
        <f t="shared" si="11"/>
        <v>103.266304347826</v>
      </c>
      <c r="R16" s="57">
        <f t="shared" si="11"/>
        <v>104.574468085106</v>
      </c>
      <c r="S16" s="57">
        <f t="shared" si="11"/>
        <v>108.520408163265</v>
      </c>
      <c r="T16" s="57">
        <f>AVERAGE(语文)</f>
        <v>101.293618266979</v>
      </c>
      <c r="U16" s="51"/>
    </row>
    <row r="17" ht="14.1" customHeight="1" spans="1:21">
      <c r="A17" s="53" t="s">
        <v>1759</v>
      </c>
      <c r="B17" s="57">
        <f t="shared" ref="B17:S17" si="12">B16-$T16</f>
        <v>-2.80287752623818</v>
      </c>
      <c r="C17" s="57">
        <f t="shared" si="12"/>
        <v>-1.0713960447567</v>
      </c>
      <c r="D17" s="57">
        <f t="shared" si="12"/>
        <v>-1.88675552188089</v>
      </c>
      <c r="E17" s="57">
        <f t="shared" si="12"/>
        <v>-1.617692341053</v>
      </c>
      <c r="F17" s="57">
        <f t="shared" si="12"/>
        <v>-1.41381057467123</v>
      </c>
      <c r="G17" s="57">
        <f t="shared" si="12"/>
        <v>3.36022788686724</v>
      </c>
      <c r="H17" s="57">
        <f t="shared" si="12"/>
        <v>0.706381733021075</v>
      </c>
      <c r="I17" s="57">
        <f t="shared" si="12"/>
        <v>-0.354842756774843</v>
      </c>
      <c r="J17" s="57">
        <f t="shared" si="12"/>
        <v>0.971381733021076</v>
      </c>
      <c r="K17" s="57">
        <f t="shared" si="12"/>
        <v>-2.55790398126464</v>
      </c>
      <c r="L17" s="57">
        <f t="shared" si="12"/>
        <v>-1.47446933080872</v>
      </c>
      <c r="M17" s="57">
        <f t="shared" si="12"/>
        <v>-2.8521289052768</v>
      </c>
      <c r="N17" s="57">
        <f t="shared" si="12"/>
        <v>-4.12139604475671</v>
      </c>
      <c r="O17" s="57">
        <f t="shared" si="12"/>
        <v>2.87304839968775</v>
      </c>
      <c r="P17" s="57">
        <f t="shared" si="12"/>
        <v>-0.308324149331867</v>
      </c>
      <c r="Q17" s="57">
        <f t="shared" si="12"/>
        <v>1.97268608084717</v>
      </c>
      <c r="R17" s="57">
        <f t="shared" si="12"/>
        <v>3.28084981812746</v>
      </c>
      <c r="S17" s="57">
        <f t="shared" si="12"/>
        <v>7.22678989628638</v>
      </c>
      <c r="T17" s="57"/>
      <c r="U17" s="51"/>
    </row>
    <row r="18" ht="14.1" customHeight="1" spans="1:21">
      <c r="A18" s="50" t="s">
        <v>1978</v>
      </c>
      <c r="B18" s="51">
        <f t="shared" ref="B18:S18" si="13">RANK(B16,$B16:$S16)</f>
        <v>16</v>
      </c>
      <c r="C18" s="51">
        <f t="shared" si="13"/>
        <v>10</v>
      </c>
      <c r="D18" s="51">
        <f t="shared" si="13"/>
        <v>14</v>
      </c>
      <c r="E18" s="51">
        <f t="shared" si="13"/>
        <v>13</v>
      </c>
      <c r="F18" s="51">
        <f t="shared" si="13"/>
        <v>11</v>
      </c>
      <c r="G18" s="51">
        <f t="shared" si="13"/>
        <v>2</v>
      </c>
      <c r="H18" s="51">
        <f t="shared" si="13"/>
        <v>7</v>
      </c>
      <c r="I18" s="51">
        <f t="shared" si="13"/>
        <v>9</v>
      </c>
      <c r="J18" s="51">
        <f t="shared" si="13"/>
        <v>6</v>
      </c>
      <c r="K18" s="51">
        <f t="shared" si="13"/>
        <v>15</v>
      </c>
      <c r="L18" s="51">
        <f t="shared" si="13"/>
        <v>12</v>
      </c>
      <c r="M18" s="51">
        <f t="shared" si="13"/>
        <v>17</v>
      </c>
      <c r="N18" s="51">
        <f t="shared" si="13"/>
        <v>18</v>
      </c>
      <c r="O18" s="51">
        <f t="shared" si="13"/>
        <v>4</v>
      </c>
      <c r="P18" s="51">
        <f t="shared" si="13"/>
        <v>8</v>
      </c>
      <c r="Q18" s="51">
        <f t="shared" si="13"/>
        <v>5</v>
      </c>
      <c r="R18" s="51">
        <f t="shared" si="13"/>
        <v>3</v>
      </c>
      <c r="S18" s="51">
        <f t="shared" si="13"/>
        <v>1</v>
      </c>
      <c r="T18" s="51"/>
      <c r="U18" s="51"/>
    </row>
    <row r="19" ht="14.1" customHeight="1" spans="1:19">
      <c r="A19" s="58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</row>
    <row r="20" ht="14.1" customHeight="1" spans="1:21">
      <c r="A20" s="60" t="s">
        <v>1979</v>
      </c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1" ht="14.1" customHeight="1" spans="1:21">
      <c r="A21" s="50" t="s">
        <v>1953</v>
      </c>
      <c r="B21" s="51">
        <v>1</v>
      </c>
      <c r="C21" s="51">
        <v>2</v>
      </c>
      <c r="D21" s="51">
        <v>3</v>
      </c>
      <c r="E21" s="51">
        <v>4</v>
      </c>
      <c r="F21" s="51">
        <v>5</v>
      </c>
      <c r="G21" s="51">
        <v>6</v>
      </c>
      <c r="H21" s="51">
        <v>7</v>
      </c>
      <c r="I21" s="51">
        <v>8</v>
      </c>
      <c r="J21" s="51">
        <v>9</v>
      </c>
      <c r="K21" s="51">
        <v>10</v>
      </c>
      <c r="L21" s="51">
        <v>11</v>
      </c>
      <c r="M21" s="51">
        <v>12</v>
      </c>
      <c r="N21" s="51">
        <v>13</v>
      </c>
      <c r="O21" s="51">
        <v>14</v>
      </c>
      <c r="P21" s="51">
        <v>15</v>
      </c>
      <c r="Q21" s="51">
        <v>16</v>
      </c>
      <c r="R21" s="51">
        <v>17</v>
      </c>
      <c r="S21" s="51">
        <v>18</v>
      </c>
      <c r="T21" s="69" t="s">
        <v>1954</v>
      </c>
      <c r="U21" s="70"/>
    </row>
    <row r="22" ht="14.1" customHeight="1" spans="1:21">
      <c r="A22" s="52" t="s">
        <v>1955</v>
      </c>
      <c r="B22" s="50" t="s">
        <v>1980</v>
      </c>
      <c r="C22" s="50" t="s">
        <v>1980</v>
      </c>
      <c r="D22" s="50" t="s">
        <v>1981</v>
      </c>
      <c r="E22" s="50" t="s">
        <v>1981</v>
      </c>
      <c r="F22" s="50" t="s">
        <v>1982</v>
      </c>
      <c r="G22" s="50" t="s">
        <v>1983</v>
      </c>
      <c r="H22" s="50" t="s">
        <v>1984</v>
      </c>
      <c r="I22" s="50" t="s">
        <v>1985</v>
      </c>
      <c r="J22" s="50" t="s">
        <v>1985</v>
      </c>
      <c r="K22" s="50" t="s">
        <v>1986</v>
      </c>
      <c r="L22" s="50" t="s">
        <v>1986</v>
      </c>
      <c r="M22" s="50" t="s">
        <v>1987</v>
      </c>
      <c r="N22" s="50" t="s">
        <v>1987</v>
      </c>
      <c r="O22" s="50" t="s">
        <v>1988</v>
      </c>
      <c r="P22" s="50" t="s">
        <v>1988</v>
      </c>
      <c r="Q22" s="50" t="s">
        <v>1989</v>
      </c>
      <c r="R22" s="50" t="s">
        <v>1989</v>
      </c>
      <c r="S22" s="50" t="s">
        <v>1990</v>
      </c>
      <c r="T22" s="71"/>
      <c r="U22" s="72"/>
    </row>
    <row r="23" ht="14.1" customHeight="1" spans="1:21">
      <c r="A23" s="50" t="s">
        <v>1965</v>
      </c>
      <c r="B23" s="51">
        <f t="shared" ref="B23:S23" si="14">COUNTIFS(班级,"="&amp;B21,英语,"&gt;0")</f>
        <v>54</v>
      </c>
      <c r="C23" s="51">
        <f t="shared" si="14"/>
        <v>54</v>
      </c>
      <c r="D23" s="51">
        <f t="shared" si="14"/>
        <v>51</v>
      </c>
      <c r="E23" s="51">
        <f t="shared" si="14"/>
        <v>54</v>
      </c>
      <c r="F23" s="51">
        <f t="shared" si="14"/>
        <v>52</v>
      </c>
      <c r="G23" s="51">
        <f t="shared" si="14"/>
        <v>52</v>
      </c>
      <c r="H23" s="51">
        <f t="shared" si="14"/>
        <v>44</v>
      </c>
      <c r="I23" s="51">
        <f t="shared" si="14"/>
        <v>48</v>
      </c>
      <c r="J23" s="51">
        <f t="shared" si="14"/>
        <v>50</v>
      </c>
      <c r="K23" s="51">
        <f t="shared" si="14"/>
        <v>35</v>
      </c>
      <c r="L23" s="51">
        <f t="shared" si="14"/>
        <v>47</v>
      </c>
      <c r="M23" s="51">
        <f t="shared" si="14"/>
        <v>47</v>
      </c>
      <c r="N23" s="51">
        <f t="shared" si="14"/>
        <v>45</v>
      </c>
      <c r="O23" s="51">
        <f t="shared" si="14"/>
        <v>41</v>
      </c>
      <c r="P23" s="51">
        <f t="shared" si="14"/>
        <v>34</v>
      </c>
      <c r="Q23" s="51">
        <f t="shared" si="14"/>
        <v>46</v>
      </c>
      <c r="R23" s="51">
        <f t="shared" si="14"/>
        <v>47</v>
      </c>
      <c r="S23" s="51">
        <f t="shared" si="14"/>
        <v>49</v>
      </c>
      <c r="T23" s="51">
        <f t="shared" ref="T23:T31" si="15">SUM(B23:S23)</f>
        <v>850</v>
      </c>
      <c r="U23" s="51"/>
    </row>
    <row r="24" ht="14.1" customHeight="1" spans="1:21">
      <c r="A24" s="50" t="s">
        <v>1991</v>
      </c>
      <c r="B24" s="51">
        <f t="array" ref="B24">MAX(IF((班级=B21)*(英语&gt;0),英语))</f>
        <v>128</v>
      </c>
      <c r="C24" s="51">
        <f t="array" ref="C24">MAX(IF((班级=C$21)*(英语&gt;0),英语))</f>
        <v>119</v>
      </c>
      <c r="D24" s="51">
        <f t="array" ref="D24">MAX(IF((班级=D$21)*(英语&gt;0),英语))</f>
        <v>126</v>
      </c>
      <c r="E24" s="51">
        <f t="array" ref="E24">MAX(IF((班级=E$21)*(英语&gt;0),英语))</f>
        <v>130</v>
      </c>
      <c r="F24" s="51">
        <f t="array" ref="F24">MAX(IF((班级=F$21)*(英语&gt;0),英语))</f>
        <v>125</v>
      </c>
      <c r="G24" s="51">
        <f t="array" ref="G24">MAX(IF((班级=G$21)*(英语&gt;0),英语))</f>
        <v>137</v>
      </c>
      <c r="H24" s="51">
        <f t="array" ref="H24">MAX(IF((班级=H$21)*(英语&gt;0),英语))</f>
        <v>133.5</v>
      </c>
      <c r="I24" s="51">
        <f t="array" ref="I24">MAX(IF((班级=I$21)*(英语&gt;0),英语))</f>
        <v>127.25</v>
      </c>
      <c r="J24" s="51">
        <f t="array" ref="J24">MAX(IF((班级=J$21)*(英语&gt;0),英语))</f>
        <v>131</v>
      </c>
      <c r="K24" s="51">
        <f t="array" ref="K24">MAX(IF((班级=K$21)*(英语&gt;0),英语))</f>
        <v>130.5</v>
      </c>
      <c r="L24" s="51">
        <f t="array" ref="L24">MAX(IF((班级=L$21)*(英语&gt;0),英语))</f>
        <v>120.5</v>
      </c>
      <c r="M24" s="51">
        <f t="array" ref="M24">MAX(IF((班级=M$21)*(英语&gt;0),英语))</f>
        <v>124.5</v>
      </c>
      <c r="N24" s="51">
        <f t="array" ref="N24">MAX(IF((班级=N$21)*(英语&gt;0),英语))</f>
        <v>123</v>
      </c>
      <c r="O24" s="51">
        <f t="array" ref="O24">MAX(IF((班级=O$21)*(英语&gt;0),英语))</f>
        <v>129.5</v>
      </c>
      <c r="P24" s="51">
        <f t="array" ref="P24">MAX(IF((班级=P$21)*(英语&gt;0),英语))</f>
        <v>130.5</v>
      </c>
      <c r="Q24" s="51">
        <f t="array" ref="Q24">MAX(IF((班级=Q$21)*(英语&gt;0),英语))</f>
        <v>127</v>
      </c>
      <c r="R24" s="51">
        <f t="array" ref="R24">MAX(IF((班级=R$21)*(英语&gt;0),英语))</f>
        <v>127.5</v>
      </c>
      <c r="S24" s="51">
        <f t="array" ref="S24">MAX(IF((班级=S$21)*(英语&gt;0),英语))</f>
        <v>136</v>
      </c>
      <c r="T24" s="51"/>
      <c r="U24" s="51"/>
    </row>
    <row r="25" ht="14.1" customHeight="1" spans="1:21">
      <c r="A25" s="50" t="s">
        <v>1992</v>
      </c>
      <c r="B25" s="51">
        <f t="array" ref="B25">MIN(IF((班级=B21)*(英语&gt;0),英语))</f>
        <v>58</v>
      </c>
      <c r="C25" s="51">
        <f t="array" ref="C25">MIN(IF((班级=C$21)*(英语&gt;0),英语))</f>
        <v>63.5</v>
      </c>
      <c r="D25" s="51">
        <f t="array" ref="D25">MIN(IF((班级=D$21)*(英语&gt;0),英语))</f>
        <v>77.5</v>
      </c>
      <c r="E25" s="51">
        <f t="array" ref="E25">MIN(IF((班级=E$21)*(英语&gt;0),英语))</f>
        <v>78.5</v>
      </c>
      <c r="F25" s="51">
        <f t="array" ref="F25">MIN(IF((班级=F$21)*(英语&gt;0),英语))</f>
        <v>53</v>
      </c>
      <c r="G25" s="51">
        <f t="array" ref="G25">MIN(IF((班级=G$21)*(英语&gt;0),英语))</f>
        <v>99.75</v>
      </c>
      <c r="H25" s="51">
        <f t="array" ref="H25">MIN(IF((班级=H$21)*(英语&gt;0),英语))</f>
        <v>80</v>
      </c>
      <c r="I25" s="51">
        <f t="array" ref="I25">MIN(IF((班级=I$21)*(英语&gt;0),英语))</f>
        <v>48.5</v>
      </c>
      <c r="J25" s="51">
        <f t="array" ref="J25">MIN(IF((班级=J$21)*(英语&gt;0),英语))</f>
        <v>79.5</v>
      </c>
      <c r="K25" s="51">
        <f t="array" ref="K25">MIN(IF((班级=K$21)*(英语&gt;0),英语))</f>
        <v>67.5</v>
      </c>
      <c r="L25" s="51">
        <f t="array" ref="L25">MIN(IF((班级=L$21)*(英语&gt;0),英语))</f>
        <v>65.5</v>
      </c>
      <c r="M25" s="51">
        <f t="array" ref="M25">MIN(IF((班级=M$21)*(英语&gt;0),英语))</f>
        <v>72.5</v>
      </c>
      <c r="N25" s="51">
        <f t="array" ref="N25">MIN(IF((班级=N$21)*(英语&gt;0),英语))</f>
        <v>70.5</v>
      </c>
      <c r="O25" s="51">
        <f t="array" ref="O25">MIN(IF((班级=O$21)*(英语&gt;0),英语))</f>
        <v>85.5</v>
      </c>
      <c r="P25" s="51">
        <f t="array" ref="P25">MIN(IF((班级=P$21)*(英语&gt;0),英语))</f>
        <v>69</v>
      </c>
      <c r="Q25" s="51">
        <f t="array" ref="Q25">MIN(IF((班级=Q$21)*(英语&gt;0),英语))</f>
        <v>79</v>
      </c>
      <c r="R25" s="51">
        <f t="array" ref="R25">MIN(IF((班级=R$21)*(英语&gt;0),英语))</f>
        <v>70.5</v>
      </c>
      <c r="S25" s="51">
        <f t="array" ref="S25">MIN(IF((班级=S$21)*(英语&gt;0),英语))</f>
        <v>101</v>
      </c>
      <c r="T25" s="51" t="s">
        <v>1966</v>
      </c>
      <c r="U25" s="51" t="s">
        <v>1967</v>
      </c>
    </row>
    <row r="26" ht="14.1" customHeight="1" spans="1:21">
      <c r="A26" s="50" t="s">
        <v>1968</v>
      </c>
      <c r="B26" s="51">
        <f>COUNTIFS(班级,"="&amp;B21,英语,"&gt;=135")</f>
        <v>0</v>
      </c>
      <c r="C26" s="51">
        <f t="shared" ref="C26:S26" si="16">COUNTIFS(班级,"="&amp;C$21,英语,"&gt;=135")</f>
        <v>0</v>
      </c>
      <c r="D26" s="51">
        <f t="shared" si="16"/>
        <v>0</v>
      </c>
      <c r="E26" s="51">
        <f t="shared" si="16"/>
        <v>0</v>
      </c>
      <c r="F26" s="51">
        <f t="shared" si="16"/>
        <v>0</v>
      </c>
      <c r="G26" s="51">
        <f t="shared" si="16"/>
        <v>1</v>
      </c>
      <c r="H26" s="51">
        <f t="shared" si="16"/>
        <v>0</v>
      </c>
      <c r="I26" s="51">
        <f t="shared" si="16"/>
        <v>0</v>
      </c>
      <c r="J26" s="51">
        <f t="shared" si="16"/>
        <v>0</v>
      </c>
      <c r="K26" s="51">
        <f t="shared" si="16"/>
        <v>0</v>
      </c>
      <c r="L26" s="51">
        <f t="shared" si="16"/>
        <v>0</v>
      </c>
      <c r="M26" s="51">
        <f t="shared" si="16"/>
        <v>0</v>
      </c>
      <c r="N26" s="51">
        <f t="shared" si="16"/>
        <v>0</v>
      </c>
      <c r="O26" s="51">
        <f t="shared" si="16"/>
        <v>0</v>
      </c>
      <c r="P26" s="51">
        <f t="shared" si="16"/>
        <v>0</v>
      </c>
      <c r="Q26" s="51">
        <f t="shared" si="16"/>
        <v>0</v>
      </c>
      <c r="R26" s="51">
        <f t="shared" si="16"/>
        <v>0</v>
      </c>
      <c r="S26" s="51">
        <f t="shared" si="16"/>
        <v>3</v>
      </c>
      <c r="T26" s="51">
        <f t="shared" si="15"/>
        <v>4</v>
      </c>
      <c r="U26" s="51">
        <f>T26</f>
        <v>4</v>
      </c>
    </row>
    <row r="27" ht="14.1" customHeight="1" spans="1:21">
      <c r="A27" s="50" t="s">
        <v>1969</v>
      </c>
      <c r="B27" s="51">
        <f>COUNTIFS(班级,"="&amp;B21,英语,"&gt;=120",英语,"&lt;135")</f>
        <v>4</v>
      </c>
      <c r="C27" s="51">
        <f t="shared" ref="C27:S27" si="17">COUNTIFS(班级,"="&amp;C$21,英语,"&gt;=120",英语,"&lt;135")</f>
        <v>0</v>
      </c>
      <c r="D27" s="51">
        <f t="shared" si="17"/>
        <v>4</v>
      </c>
      <c r="E27" s="51">
        <f t="shared" si="17"/>
        <v>11</v>
      </c>
      <c r="F27" s="51">
        <f t="shared" si="17"/>
        <v>2</v>
      </c>
      <c r="G27" s="51">
        <f t="shared" si="17"/>
        <v>29</v>
      </c>
      <c r="H27" s="51">
        <f t="shared" si="17"/>
        <v>10</v>
      </c>
      <c r="I27" s="51">
        <f t="shared" si="17"/>
        <v>2</v>
      </c>
      <c r="J27" s="51">
        <f t="shared" si="17"/>
        <v>5</v>
      </c>
      <c r="K27" s="51">
        <f t="shared" si="17"/>
        <v>6</v>
      </c>
      <c r="L27" s="51">
        <f t="shared" si="17"/>
        <v>1</v>
      </c>
      <c r="M27" s="51">
        <f t="shared" si="17"/>
        <v>3</v>
      </c>
      <c r="N27" s="51">
        <f t="shared" si="17"/>
        <v>3</v>
      </c>
      <c r="O27" s="51">
        <f t="shared" si="17"/>
        <v>6</v>
      </c>
      <c r="P27" s="51">
        <f t="shared" si="17"/>
        <v>7</v>
      </c>
      <c r="Q27" s="51">
        <f t="shared" si="17"/>
        <v>3</v>
      </c>
      <c r="R27" s="51">
        <f t="shared" si="17"/>
        <v>8</v>
      </c>
      <c r="S27" s="51">
        <f t="shared" si="17"/>
        <v>28</v>
      </c>
      <c r="T27" s="51">
        <f t="shared" si="15"/>
        <v>132</v>
      </c>
      <c r="U27" s="51">
        <f t="shared" ref="U27:U31" si="18">U26+T27</f>
        <v>136</v>
      </c>
    </row>
    <row r="28" ht="14.1" customHeight="1" spans="1:21">
      <c r="A28" s="50" t="s">
        <v>1970</v>
      </c>
      <c r="B28" s="51">
        <f t="shared" ref="B28:S28" si="19">COUNTIFS(班级,"="&amp;B$21,英语,"&gt;=105",英语,"&lt;120")</f>
        <v>10</v>
      </c>
      <c r="C28" s="51">
        <f t="shared" si="19"/>
        <v>13</v>
      </c>
      <c r="D28" s="51">
        <f t="shared" si="19"/>
        <v>20</v>
      </c>
      <c r="E28" s="51">
        <f t="shared" si="19"/>
        <v>19</v>
      </c>
      <c r="F28" s="51">
        <f t="shared" si="19"/>
        <v>18</v>
      </c>
      <c r="G28" s="51">
        <f t="shared" si="19"/>
        <v>18</v>
      </c>
      <c r="H28" s="51">
        <f t="shared" si="19"/>
        <v>18</v>
      </c>
      <c r="I28" s="51">
        <f t="shared" si="19"/>
        <v>16</v>
      </c>
      <c r="J28" s="51">
        <f t="shared" si="19"/>
        <v>17</v>
      </c>
      <c r="K28" s="51">
        <f t="shared" si="19"/>
        <v>9</v>
      </c>
      <c r="L28" s="51">
        <f t="shared" si="19"/>
        <v>14</v>
      </c>
      <c r="M28" s="51">
        <f t="shared" si="19"/>
        <v>17</v>
      </c>
      <c r="N28" s="51">
        <f t="shared" si="19"/>
        <v>18</v>
      </c>
      <c r="O28" s="51">
        <f t="shared" si="19"/>
        <v>13</v>
      </c>
      <c r="P28" s="51">
        <f t="shared" si="19"/>
        <v>7</v>
      </c>
      <c r="Q28" s="51">
        <f t="shared" si="19"/>
        <v>19</v>
      </c>
      <c r="R28" s="51">
        <f t="shared" si="19"/>
        <v>19</v>
      </c>
      <c r="S28" s="51">
        <f t="shared" si="19"/>
        <v>17</v>
      </c>
      <c r="T28" s="51">
        <f t="shared" si="15"/>
        <v>282</v>
      </c>
      <c r="U28" s="51">
        <f t="shared" si="18"/>
        <v>418</v>
      </c>
    </row>
    <row r="29" ht="14.1" customHeight="1" spans="1:21">
      <c r="A29" s="50" t="s">
        <v>1971</v>
      </c>
      <c r="B29" s="51">
        <f>COUNTIFS(班级,"="&amp;B21,英语,"&gt;=90",英语,"&lt;105")</f>
        <v>22</v>
      </c>
      <c r="C29" s="51">
        <f t="shared" ref="C29:S29" si="20">COUNTIFS(班级,"="&amp;C$21,英语,"&gt;=90",英语,"&lt;105")</f>
        <v>23</v>
      </c>
      <c r="D29" s="51">
        <f t="shared" si="20"/>
        <v>24</v>
      </c>
      <c r="E29" s="51">
        <f t="shared" si="20"/>
        <v>17</v>
      </c>
      <c r="F29" s="51">
        <f t="shared" si="20"/>
        <v>15</v>
      </c>
      <c r="G29" s="51">
        <f t="shared" si="20"/>
        <v>4</v>
      </c>
      <c r="H29" s="51">
        <f t="shared" si="20"/>
        <v>12</v>
      </c>
      <c r="I29" s="51">
        <f t="shared" si="20"/>
        <v>18</v>
      </c>
      <c r="J29" s="51">
        <f t="shared" si="20"/>
        <v>20</v>
      </c>
      <c r="K29" s="51">
        <f t="shared" si="20"/>
        <v>9</v>
      </c>
      <c r="L29" s="51">
        <f t="shared" si="20"/>
        <v>20</v>
      </c>
      <c r="M29" s="51">
        <f t="shared" si="20"/>
        <v>18</v>
      </c>
      <c r="N29" s="51">
        <f t="shared" si="20"/>
        <v>14</v>
      </c>
      <c r="O29" s="51">
        <f t="shared" si="20"/>
        <v>21</v>
      </c>
      <c r="P29" s="51">
        <f t="shared" si="20"/>
        <v>14</v>
      </c>
      <c r="Q29" s="51">
        <f t="shared" si="20"/>
        <v>16</v>
      </c>
      <c r="R29" s="51">
        <f t="shared" si="20"/>
        <v>12</v>
      </c>
      <c r="S29" s="51">
        <f t="shared" si="20"/>
        <v>1</v>
      </c>
      <c r="T29" s="51">
        <f t="shared" si="15"/>
        <v>280</v>
      </c>
      <c r="U29" s="51">
        <f t="shared" si="18"/>
        <v>698</v>
      </c>
    </row>
    <row r="30" ht="14.1" customHeight="1" spans="1:21">
      <c r="A30" s="50" t="s">
        <v>1972</v>
      </c>
      <c r="B30" s="51">
        <f>COUNTIFS(班级,"="&amp;B21,英语,"&gt;=75",英语,"&lt;90")</f>
        <v>12</v>
      </c>
      <c r="C30" s="51">
        <f t="shared" ref="C30:S30" si="21">COUNTIFS(班级,"="&amp;C$21,英语,"&gt;=75",英语,"&lt;90")</f>
        <v>16</v>
      </c>
      <c r="D30" s="51">
        <f t="shared" si="21"/>
        <v>3</v>
      </c>
      <c r="E30" s="51">
        <f t="shared" si="21"/>
        <v>7</v>
      </c>
      <c r="F30" s="51">
        <f t="shared" si="21"/>
        <v>15</v>
      </c>
      <c r="G30" s="51">
        <f t="shared" si="21"/>
        <v>0</v>
      </c>
      <c r="H30" s="51">
        <f t="shared" si="21"/>
        <v>4</v>
      </c>
      <c r="I30" s="51">
        <f t="shared" si="21"/>
        <v>11</v>
      </c>
      <c r="J30" s="51">
        <f t="shared" si="21"/>
        <v>8</v>
      </c>
      <c r="K30" s="51">
        <f t="shared" si="21"/>
        <v>9</v>
      </c>
      <c r="L30" s="51">
        <f t="shared" si="21"/>
        <v>10</v>
      </c>
      <c r="M30" s="51">
        <f t="shared" si="21"/>
        <v>7</v>
      </c>
      <c r="N30" s="51">
        <f t="shared" si="21"/>
        <v>9</v>
      </c>
      <c r="O30" s="51">
        <f t="shared" si="21"/>
        <v>1</v>
      </c>
      <c r="P30" s="51">
        <f t="shared" si="21"/>
        <v>4</v>
      </c>
      <c r="Q30" s="51">
        <f t="shared" si="21"/>
        <v>8</v>
      </c>
      <c r="R30" s="51">
        <f t="shared" si="21"/>
        <v>7</v>
      </c>
      <c r="S30" s="51">
        <f t="shared" si="21"/>
        <v>0</v>
      </c>
      <c r="T30" s="51">
        <f t="shared" si="15"/>
        <v>131</v>
      </c>
      <c r="U30" s="51">
        <f t="shared" si="18"/>
        <v>829</v>
      </c>
    </row>
    <row r="31" ht="14.1" customHeight="1" spans="1:21">
      <c r="A31" s="50" t="s">
        <v>1973</v>
      </c>
      <c r="B31" s="51">
        <f>COUNTIFS(班级,"="&amp;B21,英语,"&gt;0",英语,"&lt;75")</f>
        <v>6</v>
      </c>
      <c r="C31" s="51">
        <f t="shared" ref="C31:S31" si="22">COUNTIFS(班级,"="&amp;C$21,英语,"&gt;0",英语,"&lt;75")</f>
        <v>2</v>
      </c>
      <c r="D31" s="51">
        <f t="shared" si="22"/>
        <v>0</v>
      </c>
      <c r="E31" s="51">
        <f t="shared" si="22"/>
        <v>0</v>
      </c>
      <c r="F31" s="51">
        <f t="shared" si="22"/>
        <v>2</v>
      </c>
      <c r="G31" s="51">
        <f t="shared" si="22"/>
        <v>0</v>
      </c>
      <c r="H31" s="51">
        <f t="shared" si="22"/>
        <v>0</v>
      </c>
      <c r="I31" s="51">
        <f t="shared" si="22"/>
        <v>1</v>
      </c>
      <c r="J31" s="51">
        <f t="shared" si="22"/>
        <v>0</v>
      </c>
      <c r="K31" s="51">
        <f t="shared" si="22"/>
        <v>2</v>
      </c>
      <c r="L31" s="51">
        <f t="shared" si="22"/>
        <v>2</v>
      </c>
      <c r="M31" s="51">
        <f t="shared" si="22"/>
        <v>2</v>
      </c>
      <c r="N31" s="51">
        <f t="shared" si="22"/>
        <v>1</v>
      </c>
      <c r="O31" s="51">
        <f t="shared" si="22"/>
        <v>0</v>
      </c>
      <c r="P31" s="51">
        <f t="shared" si="22"/>
        <v>2</v>
      </c>
      <c r="Q31" s="51">
        <f t="shared" si="22"/>
        <v>0</v>
      </c>
      <c r="R31" s="51">
        <f t="shared" si="22"/>
        <v>1</v>
      </c>
      <c r="S31" s="51">
        <f t="shared" si="22"/>
        <v>0</v>
      </c>
      <c r="T31" s="51">
        <f t="shared" si="15"/>
        <v>21</v>
      </c>
      <c r="U31" s="51">
        <f t="shared" si="18"/>
        <v>850</v>
      </c>
    </row>
    <row r="32" ht="14.1" customHeight="1" spans="1:21">
      <c r="A32" s="53" t="s">
        <v>1974</v>
      </c>
      <c r="B32" s="54">
        <f t="shared" ref="B32:S32" si="23">COUNTIFS(班级,"="&amp;B21,英语,"&gt;="&amp;$U$32)/B23</f>
        <v>0.0740740740740741</v>
      </c>
      <c r="C32" s="54">
        <f t="shared" si="23"/>
        <v>0</v>
      </c>
      <c r="D32" s="54">
        <f t="shared" si="23"/>
        <v>0.0784313725490196</v>
      </c>
      <c r="E32" s="54">
        <f t="shared" si="23"/>
        <v>0.203703703703704</v>
      </c>
      <c r="F32" s="54">
        <f t="shared" si="23"/>
        <v>0.0384615384615385</v>
      </c>
      <c r="G32" s="54">
        <f t="shared" si="23"/>
        <v>0.576923076923077</v>
      </c>
      <c r="H32" s="54">
        <f t="shared" si="23"/>
        <v>0.204545454545455</v>
      </c>
      <c r="I32" s="54">
        <f t="shared" si="23"/>
        <v>0.0416666666666667</v>
      </c>
      <c r="J32" s="54">
        <f t="shared" si="23"/>
        <v>0.1</v>
      </c>
      <c r="K32" s="54">
        <f t="shared" si="23"/>
        <v>0.142857142857143</v>
      </c>
      <c r="L32" s="54">
        <f t="shared" si="23"/>
        <v>0.0212765957446809</v>
      </c>
      <c r="M32" s="54">
        <f t="shared" si="23"/>
        <v>0.0638297872340425</v>
      </c>
      <c r="N32" s="54">
        <f t="shared" si="23"/>
        <v>0.0444444444444444</v>
      </c>
      <c r="O32" s="54">
        <f t="shared" si="23"/>
        <v>0.146341463414634</v>
      </c>
      <c r="P32" s="54">
        <f t="shared" si="23"/>
        <v>0.176470588235294</v>
      </c>
      <c r="Q32" s="54">
        <f t="shared" si="23"/>
        <v>0.0652173913043478</v>
      </c>
      <c r="R32" s="54">
        <f t="shared" si="23"/>
        <v>0.170212765957447</v>
      </c>
      <c r="S32" s="54">
        <f t="shared" si="23"/>
        <v>0.571428571428571</v>
      </c>
      <c r="T32" s="73" t="s">
        <v>1993</v>
      </c>
      <c r="U32" s="51">
        <f>LARGE(英语,COUNT(英语)*0.15)</f>
        <v>120.5</v>
      </c>
    </row>
    <row r="33" s="45" customFormat="1" ht="14.1" customHeight="1" spans="1:21">
      <c r="A33" s="55" t="s">
        <v>1779</v>
      </c>
      <c r="B33" s="56">
        <f>COUNTIFS(班级,"="&amp;B21,英语,"&gt;=90")/B23</f>
        <v>0.666666666666667</v>
      </c>
      <c r="C33" s="56">
        <f t="shared" ref="C33:S33" si="24">COUNTIFS(班级,"="&amp;C$21,英语,"&gt;=90")/C23</f>
        <v>0.666666666666667</v>
      </c>
      <c r="D33" s="56">
        <f t="shared" si="24"/>
        <v>0.941176470588235</v>
      </c>
      <c r="E33" s="56">
        <f t="shared" si="24"/>
        <v>0.87037037037037</v>
      </c>
      <c r="F33" s="56">
        <f t="shared" si="24"/>
        <v>0.673076923076923</v>
      </c>
      <c r="G33" s="56">
        <f t="shared" si="24"/>
        <v>1</v>
      </c>
      <c r="H33" s="56">
        <f t="shared" si="24"/>
        <v>0.909090909090909</v>
      </c>
      <c r="I33" s="56">
        <f t="shared" si="24"/>
        <v>0.75</v>
      </c>
      <c r="J33" s="56">
        <f t="shared" si="24"/>
        <v>0.84</v>
      </c>
      <c r="K33" s="56">
        <f t="shared" si="24"/>
        <v>0.685714285714286</v>
      </c>
      <c r="L33" s="56">
        <f t="shared" si="24"/>
        <v>0.74468085106383</v>
      </c>
      <c r="M33" s="56">
        <f t="shared" si="24"/>
        <v>0.808510638297872</v>
      </c>
      <c r="N33" s="56">
        <f t="shared" si="24"/>
        <v>0.777777777777778</v>
      </c>
      <c r="O33" s="56">
        <f t="shared" si="24"/>
        <v>0.975609756097561</v>
      </c>
      <c r="P33" s="56">
        <f t="shared" si="24"/>
        <v>0.823529411764706</v>
      </c>
      <c r="Q33" s="56">
        <f t="shared" si="24"/>
        <v>0.826086956521739</v>
      </c>
      <c r="R33" s="56">
        <f t="shared" si="24"/>
        <v>0.829787234042553</v>
      </c>
      <c r="S33" s="56">
        <f t="shared" si="24"/>
        <v>1</v>
      </c>
      <c r="T33" s="55" t="s">
        <v>1976</v>
      </c>
      <c r="U33" s="74"/>
    </row>
    <row r="34" ht="14.1" customHeight="1" spans="1:21">
      <c r="A34" s="50" t="s">
        <v>1977</v>
      </c>
      <c r="B34" s="57">
        <f t="shared" ref="B34:S34" si="25">AVERAGEIFS(英语,班级,"="&amp;B21)</f>
        <v>94.9861111111111</v>
      </c>
      <c r="C34" s="57">
        <f t="shared" si="25"/>
        <v>94.4953703703704</v>
      </c>
      <c r="D34" s="57">
        <f t="shared" si="25"/>
        <v>104.941176470588</v>
      </c>
      <c r="E34" s="57">
        <f t="shared" si="25"/>
        <v>106.861111111111</v>
      </c>
      <c r="F34" s="57">
        <f t="shared" si="25"/>
        <v>98.0576923076923</v>
      </c>
      <c r="G34" s="57">
        <f t="shared" si="25"/>
        <v>120.413461538462</v>
      </c>
      <c r="H34" s="57">
        <f t="shared" si="25"/>
        <v>109.039772727273</v>
      </c>
      <c r="I34" s="57">
        <f t="shared" si="25"/>
        <v>99.7760416666667</v>
      </c>
      <c r="J34" s="57">
        <f t="shared" si="25"/>
        <v>102.46</v>
      </c>
      <c r="K34" s="57">
        <f t="shared" si="25"/>
        <v>101.392857142857</v>
      </c>
      <c r="L34" s="57">
        <f t="shared" si="25"/>
        <v>97.6755319148936</v>
      </c>
      <c r="M34" s="57">
        <f t="shared" si="25"/>
        <v>101.367021276596</v>
      </c>
      <c r="N34" s="57">
        <f t="shared" si="25"/>
        <v>100.672222222222</v>
      </c>
      <c r="O34" s="57">
        <f t="shared" si="25"/>
        <v>105.615853658537</v>
      </c>
      <c r="P34" s="57">
        <f t="shared" si="25"/>
        <v>103.676470588235</v>
      </c>
      <c r="Q34" s="57">
        <f t="shared" si="25"/>
        <v>103.625</v>
      </c>
      <c r="R34" s="57">
        <f t="shared" si="25"/>
        <v>105.085106382979</v>
      </c>
      <c r="S34" s="57">
        <f t="shared" si="25"/>
        <v>121.770408163265</v>
      </c>
      <c r="T34" s="57">
        <f>AVERAGE(英语)</f>
        <v>103.984411764706</v>
      </c>
      <c r="U34" s="51"/>
    </row>
    <row r="35" ht="14.1" customHeight="1" spans="1:21">
      <c r="A35" s="53" t="s">
        <v>1759</v>
      </c>
      <c r="B35" s="57">
        <f t="shared" ref="B35:S35" si="26">B34-$T34</f>
        <v>-8.99830065359477</v>
      </c>
      <c r="C35" s="57">
        <f t="shared" si="26"/>
        <v>-9.48904139433552</v>
      </c>
      <c r="D35" s="57">
        <f t="shared" si="26"/>
        <v>0.95676470588235</v>
      </c>
      <c r="E35" s="57">
        <f t="shared" si="26"/>
        <v>2.87669934640523</v>
      </c>
      <c r="F35" s="57">
        <f t="shared" si="26"/>
        <v>-5.92671945701358</v>
      </c>
      <c r="G35" s="57">
        <f t="shared" si="26"/>
        <v>16.4290497737557</v>
      </c>
      <c r="H35" s="57">
        <f t="shared" si="26"/>
        <v>5.05536096256685</v>
      </c>
      <c r="I35" s="57">
        <f t="shared" si="26"/>
        <v>-4.20837009803921</v>
      </c>
      <c r="J35" s="57">
        <f t="shared" si="26"/>
        <v>-1.52441176470589</v>
      </c>
      <c r="K35" s="57">
        <f t="shared" si="26"/>
        <v>-2.59155462184874</v>
      </c>
      <c r="L35" s="57">
        <f t="shared" si="26"/>
        <v>-6.30887984981227</v>
      </c>
      <c r="M35" s="57">
        <f t="shared" si="26"/>
        <v>-2.61739048811013</v>
      </c>
      <c r="N35" s="57">
        <f t="shared" si="26"/>
        <v>-3.31218954248366</v>
      </c>
      <c r="O35" s="57">
        <f t="shared" si="26"/>
        <v>1.6314418938307</v>
      </c>
      <c r="P35" s="57">
        <f t="shared" si="26"/>
        <v>-0.307941176470592</v>
      </c>
      <c r="Q35" s="57">
        <f t="shared" si="26"/>
        <v>-0.359411764705882</v>
      </c>
      <c r="R35" s="57">
        <f t="shared" si="26"/>
        <v>1.10069461827284</v>
      </c>
      <c r="S35" s="57">
        <f t="shared" si="26"/>
        <v>17.7859963985594</v>
      </c>
      <c r="T35" s="57"/>
      <c r="U35" s="51"/>
    </row>
    <row r="36" ht="14.1" customHeight="1" spans="1:21">
      <c r="A36" s="50" t="s">
        <v>1978</v>
      </c>
      <c r="B36" s="51">
        <f t="shared" ref="B36:S36" si="27">RANK(B34,$B34:$S34)</f>
        <v>17</v>
      </c>
      <c r="C36" s="51">
        <f t="shared" si="27"/>
        <v>18</v>
      </c>
      <c r="D36" s="51">
        <f t="shared" si="27"/>
        <v>7</v>
      </c>
      <c r="E36" s="51">
        <f t="shared" si="27"/>
        <v>4</v>
      </c>
      <c r="F36" s="51">
        <f t="shared" si="27"/>
        <v>15</v>
      </c>
      <c r="G36" s="51">
        <f t="shared" si="27"/>
        <v>2</v>
      </c>
      <c r="H36" s="51">
        <f t="shared" si="27"/>
        <v>3</v>
      </c>
      <c r="I36" s="51">
        <f t="shared" si="27"/>
        <v>14</v>
      </c>
      <c r="J36" s="51">
        <f t="shared" si="27"/>
        <v>10</v>
      </c>
      <c r="K36" s="51">
        <f t="shared" si="27"/>
        <v>11</v>
      </c>
      <c r="L36" s="51">
        <f t="shared" si="27"/>
        <v>16</v>
      </c>
      <c r="M36" s="51">
        <f t="shared" si="27"/>
        <v>12</v>
      </c>
      <c r="N36" s="51">
        <f t="shared" si="27"/>
        <v>13</v>
      </c>
      <c r="O36" s="51">
        <f t="shared" si="27"/>
        <v>5</v>
      </c>
      <c r="P36" s="51">
        <f t="shared" si="27"/>
        <v>8</v>
      </c>
      <c r="Q36" s="51">
        <f t="shared" si="27"/>
        <v>9</v>
      </c>
      <c r="R36" s="51">
        <f t="shared" si="27"/>
        <v>6</v>
      </c>
      <c r="S36" s="51">
        <f t="shared" si="27"/>
        <v>1</v>
      </c>
      <c r="T36" s="51"/>
      <c r="U36" s="51"/>
    </row>
    <row r="37" ht="14.1" customHeight="1" spans="1:19">
      <c r="A37" s="58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</row>
    <row r="38" ht="14.1" customHeight="1" spans="1:21">
      <c r="A38" s="49" t="s">
        <v>1994</v>
      </c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</row>
    <row r="39" ht="14.1" customHeight="1" spans="1:21">
      <c r="A39" s="50" t="s">
        <v>1953</v>
      </c>
      <c r="B39" s="51">
        <v>1</v>
      </c>
      <c r="C39" s="51">
        <v>2</v>
      </c>
      <c r="D39" s="51">
        <v>3</v>
      </c>
      <c r="E39" s="51">
        <v>4</v>
      </c>
      <c r="F39" s="51">
        <v>5</v>
      </c>
      <c r="G39" s="51">
        <v>6</v>
      </c>
      <c r="H39" s="51">
        <v>7</v>
      </c>
      <c r="I39" s="51">
        <v>8</v>
      </c>
      <c r="J39" s="51">
        <v>9</v>
      </c>
      <c r="K39" s="51">
        <v>10</v>
      </c>
      <c r="L39" s="51">
        <v>11</v>
      </c>
      <c r="M39" s="51">
        <v>12</v>
      </c>
      <c r="N39" s="51">
        <v>13</v>
      </c>
      <c r="O39" s="51">
        <v>14</v>
      </c>
      <c r="P39" s="51">
        <v>15</v>
      </c>
      <c r="Q39" s="51">
        <v>16</v>
      </c>
      <c r="R39" s="51">
        <v>17</v>
      </c>
      <c r="S39" s="51">
        <v>18</v>
      </c>
      <c r="T39" s="69" t="s">
        <v>1954</v>
      </c>
      <c r="U39" s="70"/>
    </row>
    <row r="40" ht="14.1" customHeight="1" spans="1:21">
      <c r="A40" s="52" t="s">
        <v>1955</v>
      </c>
      <c r="B40" s="50" t="s">
        <v>1995</v>
      </c>
      <c r="C40" s="61" t="s">
        <v>1996</v>
      </c>
      <c r="D40" s="62" t="s">
        <v>1997</v>
      </c>
      <c r="E40" s="62" t="s">
        <v>1997</v>
      </c>
      <c r="F40" s="50" t="s">
        <v>1998</v>
      </c>
      <c r="G40" s="50" t="s">
        <v>1999</v>
      </c>
      <c r="H40" s="50" t="s">
        <v>1792</v>
      </c>
      <c r="I40" s="50" t="s">
        <v>2000</v>
      </c>
      <c r="J40" s="50" t="s">
        <v>2000</v>
      </c>
      <c r="K40" s="50" t="s">
        <v>2001</v>
      </c>
      <c r="L40" s="50" t="s">
        <v>2002</v>
      </c>
      <c r="M40" s="50" t="s">
        <v>2003</v>
      </c>
      <c r="N40" s="50" t="s">
        <v>2003</v>
      </c>
      <c r="O40" s="50" t="s">
        <v>2004</v>
      </c>
      <c r="P40" s="50" t="s">
        <v>2004</v>
      </c>
      <c r="Q40" s="50" t="s">
        <v>2005</v>
      </c>
      <c r="R40" s="50" t="s">
        <v>2005</v>
      </c>
      <c r="S40" s="50" t="s">
        <v>2006</v>
      </c>
      <c r="T40" s="71"/>
      <c r="U40" s="72"/>
    </row>
    <row r="41" ht="14.1" customHeight="1" spans="1:21">
      <c r="A41" s="50" t="s">
        <v>1965</v>
      </c>
      <c r="B41" s="51">
        <f t="shared" ref="B41:S41" si="28">COUNTIFS(班级,"="&amp;B39,数学,"&gt;0")</f>
        <v>54</v>
      </c>
      <c r="C41" s="51">
        <f t="shared" si="28"/>
        <v>54</v>
      </c>
      <c r="D41" s="51">
        <f t="shared" si="28"/>
        <v>51</v>
      </c>
      <c r="E41" s="51">
        <f t="shared" si="28"/>
        <v>54</v>
      </c>
      <c r="F41" s="51">
        <f t="shared" si="28"/>
        <v>52</v>
      </c>
      <c r="G41" s="51">
        <f t="shared" si="28"/>
        <v>52</v>
      </c>
      <c r="H41" s="51">
        <f t="shared" si="28"/>
        <v>44</v>
      </c>
      <c r="I41" s="51">
        <f t="shared" si="28"/>
        <v>49</v>
      </c>
      <c r="J41" s="51">
        <f t="shared" si="28"/>
        <v>50</v>
      </c>
      <c r="K41" s="51">
        <f t="shared" si="28"/>
        <v>35</v>
      </c>
      <c r="L41" s="51">
        <f t="shared" si="28"/>
        <v>47</v>
      </c>
      <c r="M41" s="51">
        <f t="shared" si="28"/>
        <v>47</v>
      </c>
      <c r="N41" s="51">
        <f t="shared" si="28"/>
        <v>45</v>
      </c>
      <c r="O41" s="51">
        <f t="shared" si="28"/>
        <v>42</v>
      </c>
      <c r="P41" s="51">
        <f t="shared" si="28"/>
        <v>34</v>
      </c>
      <c r="Q41" s="51">
        <f t="shared" si="28"/>
        <v>46</v>
      </c>
      <c r="R41" s="51">
        <f t="shared" si="28"/>
        <v>47</v>
      </c>
      <c r="S41" s="51">
        <f t="shared" si="28"/>
        <v>49</v>
      </c>
      <c r="T41" s="51">
        <f t="shared" ref="T41:T49" si="29">SUM(B41:S41)</f>
        <v>852</v>
      </c>
      <c r="U41" s="51"/>
    </row>
    <row r="42" ht="14.1" customHeight="1" spans="1:21">
      <c r="A42" s="53" t="s">
        <v>1754</v>
      </c>
      <c r="B42" s="51">
        <f t="array" ref="B42">MAX(IF((班级=B39)*(数学&gt;0),数学))</f>
        <v>103</v>
      </c>
      <c r="C42" s="51">
        <f t="array" ref="C42">MAX(IF((班级=C39)*(数学&gt;0),数学))</f>
        <v>119</v>
      </c>
      <c r="D42" s="51">
        <f t="array" ref="D42">MAX(IF((班级=D39)*(数学&gt;0),数学))</f>
        <v>103</v>
      </c>
      <c r="E42" s="51">
        <f t="array" ref="E42">MAX(IF((班级=E39)*(数学&gt;0),数学))</f>
        <v>115</v>
      </c>
      <c r="F42" s="51">
        <f t="array" ref="F42">MAX(IF((班级=F39)*(数学&gt;0),数学))</f>
        <v>105</v>
      </c>
      <c r="G42" s="51">
        <f t="array" ref="G42">MAX(IF((班级=G39)*(数学&gt;0),数学))</f>
        <v>128</v>
      </c>
      <c r="H42" s="51">
        <f t="array" ref="H42">MAX(IF((班级=H39)*(数学&gt;0),数学))</f>
        <v>109.5</v>
      </c>
      <c r="I42" s="51">
        <f t="array" ref="I42">MAX(IF((班级=I39)*(数学&gt;0),数学))</f>
        <v>98</v>
      </c>
      <c r="J42" s="51">
        <f t="array" ref="J42">MAX(IF((班级=J39)*(数学&gt;0),数学))</f>
        <v>101</v>
      </c>
      <c r="K42" s="51">
        <f t="array" ref="K42">MAX(IF((班级=K39)*(数学&gt;0),数学))</f>
        <v>92.5</v>
      </c>
      <c r="L42" s="51">
        <f t="array" ref="L42">MAX(IF((班级=L39)*(数学&gt;0),数学))</f>
        <v>107.5</v>
      </c>
      <c r="M42" s="51">
        <f t="array" ref="M42">MAX(IF((班级=M39)*(数学&gt;0),数学))</f>
        <v>95.5</v>
      </c>
      <c r="N42" s="51">
        <f t="array" ref="N42">MAX(IF((班级=N39)*(数学&gt;0),数学))</f>
        <v>103.5</v>
      </c>
      <c r="O42" s="51">
        <f t="array" ref="O42">MAX(IF((班级=O39)*(数学&gt;0),数学))</f>
        <v>88</v>
      </c>
      <c r="P42" s="51">
        <f t="array" ref="P42">MAX(IF((班级=P39)*(数学&gt;0),数学))</f>
        <v>96</v>
      </c>
      <c r="Q42" s="51">
        <f t="array" ref="Q42">MAX(IF((班级=Q39)*(数学&gt;0),数学))</f>
        <v>101.5</v>
      </c>
      <c r="R42" s="51">
        <f t="array" ref="R42">MAX(IF((班级=R39)*(数学&gt;0),数学))</f>
        <v>66.5</v>
      </c>
      <c r="S42" s="51">
        <f t="array" ref="S42">MAX(IF((班级=S39)*(数学&gt;0),数学))</f>
        <v>112</v>
      </c>
      <c r="T42" s="51"/>
      <c r="U42" s="51"/>
    </row>
    <row r="43" ht="14.1" customHeight="1" spans="1:21">
      <c r="A43" s="53" t="s">
        <v>1755</v>
      </c>
      <c r="B43" s="51">
        <f t="array" ref="B43">MIN(IF((班级=B39)*(数学&gt;0),数学))</f>
        <v>36</v>
      </c>
      <c r="C43" s="51">
        <f t="array" ref="C43">MIN(IF((班级=C39)*(数学&gt;0),数学))</f>
        <v>39</v>
      </c>
      <c r="D43" s="51">
        <f t="array" ref="D43">MIN(IF((班级=D39)*(数学&gt;0),数学))</f>
        <v>30.5</v>
      </c>
      <c r="E43" s="51">
        <f t="array" ref="E43">MIN(IF((班级=E39)*(数学&gt;0),数学))</f>
        <v>45</v>
      </c>
      <c r="F43" s="51">
        <f t="array" ref="F43">MIN(IF((班级=F39)*(数学&gt;0),数学))</f>
        <v>44</v>
      </c>
      <c r="G43" s="51">
        <f t="array" ref="G43">MIN(IF((班级=G39)*(数学&gt;0),数学))</f>
        <v>70</v>
      </c>
      <c r="H43" s="51">
        <f t="array" ref="H43">MIN(IF((班级=H39)*(数学&gt;0),数学))</f>
        <v>36</v>
      </c>
      <c r="I43" s="51">
        <f t="array" ref="I43">MIN(IF((班级=I39)*(数学&gt;0),数学))</f>
        <v>34</v>
      </c>
      <c r="J43" s="51">
        <f t="array" ref="J43">MIN(IF((班级=J39)*(数学&gt;0),数学))</f>
        <v>39.5</v>
      </c>
      <c r="K43" s="51">
        <f t="array" ref="K43">MIN(IF((班级=K39)*(数学&gt;0),数学))</f>
        <v>26.5</v>
      </c>
      <c r="L43" s="51">
        <f t="array" ref="L43">MIN(IF((班级=L39)*(数学&gt;0),数学))</f>
        <v>37.5</v>
      </c>
      <c r="M43" s="51">
        <f t="array" ref="M43">MIN(IF((班级=M39)*(数学&gt;0),数学))</f>
        <v>36.5</v>
      </c>
      <c r="N43" s="51">
        <f t="array" ref="N43">MIN(IF((班级=N39)*(数学&gt;0),数学))</f>
        <v>21.5</v>
      </c>
      <c r="O43" s="51">
        <f t="array" ref="O43">MIN(IF((班级=O39)*(数学&gt;0),数学))</f>
        <v>28</v>
      </c>
      <c r="P43" s="51">
        <f t="array" ref="P43">MIN(IF((班级=P39)*(数学&gt;0),数学))</f>
        <v>28</v>
      </c>
      <c r="Q43" s="51">
        <f t="array" ref="Q43">MIN(IF((班级=Q39)*(数学&gt;0),数学))</f>
        <v>23.5</v>
      </c>
      <c r="R43" s="51">
        <f t="array" ref="R43">MIN(IF((班级=R39)*(数学&gt;0),数学))</f>
        <v>21</v>
      </c>
      <c r="S43" s="51">
        <f t="array" ref="S43">MIN(IF((班级=S39)*(数学&gt;0),数学))</f>
        <v>35</v>
      </c>
      <c r="T43" s="51" t="s">
        <v>1966</v>
      </c>
      <c r="U43" s="51" t="s">
        <v>1967</v>
      </c>
    </row>
    <row r="44" ht="14.1" customHeight="1" spans="1:21">
      <c r="A44" s="50" t="s">
        <v>1968</v>
      </c>
      <c r="B44" s="51">
        <f t="shared" ref="B44:S44" si="30">COUNTIFS(班级,"="&amp;B39,数学,"&gt;=135")</f>
        <v>0</v>
      </c>
      <c r="C44" s="51">
        <f t="shared" si="30"/>
        <v>0</v>
      </c>
      <c r="D44" s="51">
        <f t="shared" si="30"/>
        <v>0</v>
      </c>
      <c r="E44" s="51">
        <f t="shared" si="30"/>
        <v>0</v>
      </c>
      <c r="F44" s="51">
        <f t="shared" si="30"/>
        <v>0</v>
      </c>
      <c r="G44" s="51">
        <f t="shared" si="30"/>
        <v>0</v>
      </c>
      <c r="H44" s="51">
        <f t="shared" si="30"/>
        <v>0</v>
      </c>
      <c r="I44" s="51">
        <f t="shared" si="30"/>
        <v>0</v>
      </c>
      <c r="J44" s="51">
        <f t="shared" si="30"/>
        <v>0</v>
      </c>
      <c r="K44" s="51">
        <f t="shared" si="30"/>
        <v>0</v>
      </c>
      <c r="L44" s="51">
        <f t="shared" si="30"/>
        <v>0</v>
      </c>
      <c r="M44" s="51">
        <f t="shared" si="30"/>
        <v>0</v>
      </c>
      <c r="N44" s="51">
        <f t="shared" si="30"/>
        <v>0</v>
      </c>
      <c r="O44" s="51">
        <f t="shared" si="30"/>
        <v>0</v>
      </c>
      <c r="P44" s="51">
        <f t="shared" si="30"/>
        <v>0</v>
      </c>
      <c r="Q44" s="51">
        <f t="shared" si="30"/>
        <v>0</v>
      </c>
      <c r="R44" s="51">
        <f t="shared" si="30"/>
        <v>0</v>
      </c>
      <c r="S44" s="51">
        <f t="shared" si="30"/>
        <v>0</v>
      </c>
      <c r="T44" s="51">
        <f t="shared" si="29"/>
        <v>0</v>
      </c>
      <c r="U44" s="51">
        <f>T44</f>
        <v>0</v>
      </c>
    </row>
    <row r="45" ht="14.1" customHeight="1" spans="1:21">
      <c r="A45" s="50" t="s">
        <v>1969</v>
      </c>
      <c r="B45" s="51">
        <f t="shared" ref="B45:S45" si="31">COUNTIFS(班级,"="&amp;B39,数学,"&gt;=120",数学,"&lt;135")</f>
        <v>0</v>
      </c>
      <c r="C45" s="51">
        <f t="shared" si="31"/>
        <v>0</v>
      </c>
      <c r="D45" s="51">
        <f t="shared" si="31"/>
        <v>0</v>
      </c>
      <c r="E45" s="51">
        <f t="shared" si="31"/>
        <v>0</v>
      </c>
      <c r="F45" s="51">
        <f t="shared" si="31"/>
        <v>0</v>
      </c>
      <c r="G45" s="51">
        <f t="shared" si="31"/>
        <v>2</v>
      </c>
      <c r="H45" s="51">
        <f t="shared" si="31"/>
        <v>0</v>
      </c>
      <c r="I45" s="51">
        <f t="shared" si="31"/>
        <v>0</v>
      </c>
      <c r="J45" s="51">
        <f t="shared" si="31"/>
        <v>0</v>
      </c>
      <c r="K45" s="51">
        <f t="shared" si="31"/>
        <v>0</v>
      </c>
      <c r="L45" s="51">
        <f t="shared" si="31"/>
        <v>0</v>
      </c>
      <c r="M45" s="51">
        <f t="shared" si="31"/>
        <v>0</v>
      </c>
      <c r="N45" s="51">
        <f t="shared" si="31"/>
        <v>0</v>
      </c>
      <c r="O45" s="51">
        <f t="shared" si="31"/>
        <v>0</v>
      </c>
      <c r="P45" s="51">
        <f t="shared" si="31"/>
        <v>0</v>
      </c>
      <c r="Q45" s="51">
        <f t="shared" si="31"/>
        <v>0</v>
      </c>
      <c r="R45" s="51">
        <f t="shared" si="31"/>
        <v>0</v>
      </c>
      <c r="S45" s="51">
        <f t="shared" si="31"/>
        <v>0</v>
      </c>
      <c r="T45" s="51">
        <f t="shared" si="29"/>
        <v>2</v>
      </c>
      <c r="U45" s="51">
        <f t="shared" ref="U45:U49" si="32">U44+T45</f>
        <v>2</v>
      </c>
    </row>
    <row r="46" ht="14.1" customHeight="1" spans="1:21">
      <c r="A46" s="50" t="s">
        <v>1970</v>
      </c>
      <c r="B46" s="51">
        <f t="shared" ref="B46:S46" si="33">COUNTIFS(班级,"="&amp;B$21,数学,"&gt;=105",数学,"&lt;120")</f>
        <v>0</v>
      </c>
      <c r="C46" s="51">
        <f t="shared" si="33"/>
        <v>1</v>
      </c>
      <c r="D46" s="51">
        <f t="shared" si="33"/>
        <v>0</v>
      </c>
      <c r="E46" s="51">
        <f t="shared" si="33"/>
        <v>4</v>
      </c>
      <c r="F46" s="51">
        <f t="shared" si="33"/>
        <v>1</v>
      </c>
      <c r="G46" s="51">
        <f t="shared" si="33"/>
        <v>23</v>
      </c>
      <c r="H46" s="51">
        <f t="shared" si="33"/>
        <v>3</v>
      </c>
      <c r="I46" s="51">
        <f t="shared" si="33"/>
        <v>0</v>
      </c>
      <c r="J46" s="51">
        <f t="shared" si="33"/>
        <v>0</v>
      </c>
      <c r="K46" s="51">
        <f t="shared" si="33"/>
        <v>0</v>
      </c>
      <c r="L46" s="51">
        <f t="shared" si="33"/>
        <v>2</v>
      </c>
      <c r="M46" s="51">
        <f t="shared" si="33"/>
        <v>0</v>
      </c>
      <c r="N46" s="51">
        <f t="shared" si="33"/>
        <v>0</v>
      </c>
      <c r="O46" s="51">
        <f t="shared" si="33"/>
        <v>0</v>
      </c>
      <c r="P46" s="51">
        <f t="shared" si="33"/>
        <v>0</v>
      </c>
      <c r="Q46" s="51">
        <f t="shared" si="33"/>
        <v>0</v>
      </c>
      <c r="R46" s="51">
        <f t="shared" si="33"/>
        <v>0</v>
      </c>
      <c r="S46" s="51">
        <f t="shared" si="33"/>
        <v>1</v>
      </c>
      <c r="T46" s="51">
        <f t="shared" si="29"/>
        <v>35</v>
      </c>
      <c r="U46" s="51">
        <f t="shared" si="32"/>
        <v>37</v>
      </c>
    </row>
    <row r="47" ht="14.1" customHeight="1" spans="1:21">
      <c r="A47" s="50" t="s">
        <v>1971</v>
      </c>
      <c r="B47" s="51">
        <f t="shared" ref="B47:S47" si="34">COUNTIFS(班级,"="&amp;B39,数学,"&gt;=90",数学,"&lt;105")</f>
        <v>9</v>
      </c>
      <c r="C47" s="51">
        <f t="shared" si="34"/>
        <v>6</v>
      </c>
      <c r="D47" s="51">
        <f t="shared" si="34"/>
        <v>6</v>
      </c>
      <c r="E47" s="51">
        <f t="shared" si="34"/>
        <v>5</v>
      </c>
      <c r="F47" s="51">
        <f t="shared" si="34"/>
        <v>8</v>
      </c>
      <c r="G47" s="51">
        <f t="shared" si="34"/>
        <v>18</v>
      </c>
      <c r="H47" s="51">
        <f t="shared" si="34"/>
        <v>15</v>
      </c>
      <c r="I47" s="51">
        <f t="shared" si="34"/>
        <v>2</v>
      </c>
      <c r="J47" s="51">
        <f t="shared" si="34"/>
        <v>5</v>
      </c>
      <c r="K47" s="51">
        <f t="shared" si="34"/>
        <v>2</v>
      </c>
      <c r="L47" s="51">
        <f t="shared" si="34"/>
        <v>4</v>
      </c>
      <c r="M47" s="51">
        <f t="shared" si="34"/>
        <v>5</v>
      </c>
      <c r="N47" s="51">
        <f t="shared" si="34"/>
        <v>6</v>
      </c>
      <c r="O47" s="51">
        <f t="shared" si="34"/>
        <v>0</v>
      </c>
      <c r="P47" s="51">
        <f t="shared" si="34"/>
        <v>1</v>
      </c>
      <c r="Q47" s="51">
        <f t="shared" si="34"/>
        <v>2</v>
      </c>
      <c r="R47" s="51">
        <f t="shared" si="34"/>
        <v>0</v>
      </c>
      <c r="S47" s="51">
        <f t="shared" si="34"/>
        <v>8</v>
      </c>
      <c r="T47" s="51">
        <f t="shared" si="29"/>
        <v>102</v>
      </c>
      <c r="U47" s="51">
        <f t="shared" si="32"/>
        <v>139</v>
      </c>
    </row>
    <row r="48" ht="14.1" customHeight="1" spans="1:21">
      <c r="A48" s="50" t="s">
        <v>1972</v>
      </c>
      <c r="B48" s="51">
        <f t="shared" ref="B48:S48" si="35">COUNTIFS(班级,"="&amp;B39,数学,"&gt;=75",数学,"&lt;90")</f>
        <v>18</v>
      </c>
      <c r="C48" s="51">
        <f t="shared" si="35"/>
        <v>15</v>
      </c>
      <c r="D48" s="51">
        <f t="shared" si="35"/>
        <v>14</v>
      </c>
      <c r="E48" s="51">
        <f t="shared" si="35"/>
        <v>14</v>
      </c>
      <c r="F48" s="51">
        <f t="shared" si="35"/>
        <v>13</v>
      </c>
      <c r="G48" s="51">
        <f t="shared" si="35"/>
        <v>8</v>
      </c>
      <c r="H48" s="51">
        <f t="shared" si="35"/>
        <v>18</v>
      </c>
      <c r="I48" s="51">
        <f t="shared" si="35"/>
        <v>15</v>
      </c>
      <c r="J48" s="51">
        <f t="shared" si="35"/>
        <v>11</v>
      </c>
      <c r="K48" s="51">
        <f t="shared" si="35"/>
        <v>5</v>
      </c>
      <c r="L48" s="51">
        <f t="shared" si="35"/>
        <v>13</v>
      </c>
      <c r="M48" s="51">
        <f t="shared" si="35"/>
        <v>16</v>
      </c>
      <c r="N48" s="51">
        <f t="shared" si="35"/>
        <v>12</v>
      </c>
      <c r="O48" s="51">
        <f t="shared" si="35"/>
        <v>12</v>
      </c>
      <c r="P48" s="51">
        <f t="shared" si="35"/>
        <v>4</v>
      </c>
      <c r="Q48" s="51">
        <f t="shared" si="35"/>
        <v>1</v>
      </c>
      <c r="R48" s="51">
        <f t="shared" si="35"/>
        <v>0</v>
      </c>
      <c r="S48" s="51">
        <f t="shared" si="35"/>
        <v>17</v>
      </c>
      <c r="T48" s="51">
        <f t="shared" si="29"/>
        <v>206</v>
      </c>
      <c r="U48" s="51">
        <f t="shared" si="32"/>
        <v>345</v>
      </c>
    </row>
    <row r="49" ht="14.1" customHeight="1" spans="1:21">
      <c r="A49" s="50" t="s">
        <v>1973</v>
      </c>
      <c r="B49" s="51">
        <f t="shared" ref="B49:S49" si="36">COUNTIFS(班级,"="&amp;B39,数学,"&gt;0",数学,"&lt;75")</f>
        <v>27</v>
      </c>
      <c r="C49" s="51">
        <f t="shared" si="36"/>
        <v>32</v>
      </c>
      <c r="D49" s="51">
        <f t="shared" si="36"/>
        <v>31</v>
      </c>
      <c r="E49" s="51">
        <f t="shared" si="36"/>
        <v>31</v>
      </c>
      <c r="F49" s="51">
        <f t="shared" si="36"/>
        <v>30</v>
      </c>
      <c r="G49" s="51">
        <f t="shared" si="36"/>
        <v>1</v>
      </c>
      <c r="H49" s="51">
        <f t="shared" si="36"/>
        <v>8</v>
      </c>
      <c r="I49" s="51">
        <f t="shared" si="36"/>
        <v>32</v>
      </c>
      <c r="J49" s="51">
        <f t="shared" si="36"/>
        <v>34</v>
      </c>
      <c r="K49" s="51">
        <f t="shared" si="36"/>
        <v>28</v>
      </c>
      <c r="L49" s="51">
        <f t="shared" si="36"/>
        <v>28</v>
      </c>
      <c r="M49" s="51">
        <f t="shared" si="36"/>
        <v>26</v>
      </c>
      <c r="N49" s="51">
        <f t="shared" si="36"/>
        <v>27</v>
      </c>
      <c r="O49" s="51">
        <f t="shared" si="36"/>
        <v>30</v>
      </c>
      <c r="P49" s="51">
        <f t="shared" si="36"/>
        <v>29</v>
      </c>
      <c r="Q49" s="51">
        <f t="shared" si="36"/>
        <v>43</v>
      </c>
      <c r="R49" s="51">
        <f t="shared" si="36"/>
        <v>47</v>
      </c>
      <c r="S49" s="51">
        <f t="shared" si="36"/>
        <v>23</v>
      </c>
      <c r="T49" s="51">
        <f t="shared" si="29"/>
        <v>507</v>
      </c>
      <c r="U49" s="51">
        <f t="shared" si="32"/>
        <v>852</v>
      </c>
    </row>
    <row r="50" ht="14.1" customHeight="1" spans="1:21">
      <c r="A50" s="53" t="s">
        <v>1974</v>
      </c>
      <c r="B50" s="54">
        <f t="shared" ref="B50:S50" si="37">COUNTIFS(班级,"="&amp;B39,数学,"&gt;="&amp;$U$50)/B41</f>
        <v>0.148148148148148</v>
      </c>
      <c r="C50" s="54">
        <f t="shared" si="37"/>
        <v>0.111111111111111</v>
      </c>
      <c r="D50" s="54">
        <f t="shared" si="37"/>
        <v>0.117647058823529</v>
      </c>
      <c r="E50" s="54">
        <f t="shared" si="37"/>
        <v>0.166666666666667</v>
      </c>
      <c r="F50" s="54">
        <f t="shared" si="37"/>
        <v>0.153846153846154</v>
      </c>
      <c r="G50" s="54">
        <f t="shared" si="37"/>
        <v>0.807692307692308</v>
      </c>
      <c r="H50" s="54">
        <f t="shared" si="37"/>
        <v>0.386363636363636</v>
      </c>
      <c r="I50" s="54">
        <f t="shared" si="37"/>
        <v>0.0204081632653061</v>
      </c>
      <c r="J50" s="54">
        <f t="shared" si="37"/>
        <v>0.1</v>
      </c>
      <c r="K50" s="54">
        <f t="shared" si="37"/>
        <v>0.0285714285714286</v>
      </c>
      <c r="L50" s="54">
        <f t="shared" si="37"/>
        <v>0.127659574468085</v>
      </c>
      <c r="M50" s="54">
        <f t="shared" si="37"/>
        <v>0.0638297872340425</v>
      </c>
      <c r="N50" s="54">
        <f t="shared" si="37"/>
        <v>0.133333333333333</v>
      </c>
      <c r="O50" s="54">
        <f t="shared" si="37"/>
        <v>0</v>
      </c>
      <c r="P50" s="54">
        <f t="shared" si="37"/>
        <v>0.0294117647058824</v>
      </c>
      <c r="Q50" s="54">
        <f t="shared" si="37"/>
        <v>0.0434782608695652</v>
      </c>
      <c r="R50" s="54">
        <f t="shared" si="37"/>
        <v>0</v>
      </c>
      <c r="S50" s="54">
        <f t="shared" si="37"/>
        <v>0.163265306122449</v>
      </c>
      <c r="T50" s="73" t="s">
        <v>1975</v>
      </c>
      <c r="U50" s="51">
        <f>LARGE(数学,COUNT(数学)*0.15)</f>
        <v>91</v>
      </c>
    </row>
    <row r="51" ht="14.1" customHeight="1" spans="1:21">
      <c r="A51" s="50" t="s">
        <v>2007</v>
      </c>
      <c r="B51" s="54">
        <f t="shared" ref="B51:S51" si="38">COUNTIFS(班级,"="&amp;B39,数学,"&gt;=90")/B41</f>
        <v>0.166666666666667</v>
      </c>
      <c r="C51" s="54">
        <f t="shared" si="38"/>
        <v>0.12962962962963</v>
      </c>
      <c r="D51" s="54">
        <f t="shared" si="38"/>
        <v>0.117647058823529</v>
      </c>
      <c r="E51" s="54">
        <f t="shared" si="38"/>
        <v>0.166666666666667</v>
      </c>
      <c r="F51" s="54">
        <f t="shared" si="38"/>
        <v>0.173076923076923</v>
      </c>
      <c r="G51" s="54">
        <f t="shared" si="38"/>
        <v>0.826923076923077</v>
      </c>
      <c r="H51" s="54">
        <f t="shared" si="38"/>
        <v>0.409090909090909</v>
      </c>
      <c r="I51" s="54">
        <f t="shared" si="38"/>
        <v>0.0408163265306122</v>
      </c>
      <c r="J51" s="54">
        <f t="shared" si="38"/>
        <v>0.1</v>
      </c>
      <c r="K51" s="54">
        <f t="shared" si="38"/>
        <v>0.0571428571428571</v>
      </c>
      <c r="L51" s="54">
        <f t="shared" si="38"/>
        <v>0.127659574468085</v>
      </c>
      <c r="M51" s="54">
        <f t="shared" si="38"/>
        <v>0.106382978723404</v>
      </c>
      <c r="N51" s="54">
        <f t="shared" si="38"/>
        <v>0.133333333333333</v>
      </c>
      <c r="O51" s="54">
        <f t="shared" si="38"/>
        <v>0</v>
      </c>
      <c r="P51" s="54">
        <f t="shared" si="38"/>
        <v>0.0294117647058824</v>
      </c>
      <c r="Q51" s="54">
        <f t="shared" si="38"/>
        <v>0.0434782608695652</v>
      </c>
      <c r="R51" s="54">
        <f t="shared" si="38"/>
        <v>0</v>
      </c>
      <c r="S51" s="54">
        <f t="shared" si="38"/>
        <v>0.183673469387755</v>
      </c>
      <c r="T51" s="51" t="s">
        <v>1976</v>
      </c>
      <c r="U51" s="51"/>
    </row>
    <row r="52" ht="14.1" customHeight="1" spans="1:21">
      <c r="A52" s="50" t="s">
        <v>1977</v>
      </c>
      <c r="B52" s="57">
        <f t="shared" ref="B52:S52" si="39">AVERAGEIFS(数学,班级,"="&amp;B39)</f>
        <v>73.6851851851852</v>
      </c>
      <c r="C52" s="57">
        <f t="shared" si="39"/>
        <v>72.0277777777778</v>
      </c>
      <c r="D52" s="57">
        <f t="shared" si="39"/>
        <v>68.1862745098039</v>
      </c>
      <c r="E52" s="57">
        <f t="shared" si="39"/>
        <v>71.5648148148148</v>
      </c>
      <c r="F52" s="57">
        <f t="shared" si="39"/>
        <v>72.9615384615385</v>
      </c>
      <c r="G52" s="57">
        <f t="shared" si="39"/>
        <v>102.259615384615</v>
      </c>
      <c r="H52" s="57">
        <f t="shared" si="39"/>
        <v>85.3977272727273</v>
      </c>
      <c r="I52" s="57">
        <f t="shared" si="39"/>
        <v>65.7857142857143</v>
      </c>
      <c r="J52" s="57">
        <f t="shared" si="39"/>
        <v>65.855</v>
      </c>
      <c r="K52" s="57">
        <f t="shared" si="39"/>
        <v>63.5</v>
      </c>
      <c r="L52" s="57">
        <f t="shared" si="39"/>
        <v>71.3191489361702</v>
      </c>
      <c r="M52" s="57">
        <f t="shared" si="39"/>
        <v>71.5744680851064</v>
      </c>
      <c r="N52" s="57">
        <f t="shared" si="39"/>
        <v>70.2111111111111</v>
      </c>
      <c r="O52" s="57">
        <f t="shared" si="39"/>
        <v>61.4523809523809</v>
      </c>
      <c r="P52" s="57">
        <f t="shared" si="39"/>
        <v>57.1029411764706</v>
      </c>
      <c r="Q52" s="57">
        <f t="shared" si="39"/>
        <v>54.7282608695652</v>
      </c>
      <c r="R52" s="57">
        <f t="shared" si="39"/>
        <v>50.5957446808511</v>
      </c>
      <c r="S52" s="57">
        <f t="shared" si="39"/>
        <v>74.8877551020408</v>
      </c>
      <c r="T52" s="57">
        <f>AVERAGE(数学)</f>
        <v>70.1657863849765</v>
      </c>
      <c r="U52" s="51"/>
    </row>
    <row r="53" ht="14.1" customHeight="1" spans="1:21">
      <c r="A53" s="53" t="s">
        <v>1759</v>
      </c>
      <c r="B53" s="57">
        <f t="shared" ref="B53:S53" si="40">B52-$T52</f>
        <v>3.51939880020866</v>
      </c>
      <c r="C53" s="57">
        <f t="shared" si="40"/>
        <v>1.86199139280124</v>
      </c>
      <c r="D53" s="57">
        <f t="shared" si="40"/>
        <v>-1.97951187517261</v>
      </c>
      <c r="E53" s="57">
        <f t="shared" si="40"/>
        <v>1.39902842983828</v>
      </c>
      <c r="F53" s="57">
        <f t="shared" si="40"/>
        <v>2.79575207656194</v>
      </c>
      <c r="G53" s="57">
        <f t="shared" si="40"/>
        <v>32.0938289996389</v>
      </c>
      <c r="H53" s="57">
        <f t="shared" si="40"/>
        <v>15.2319408877507</v>
      </c>
      <c r="I53" s="57">
        <f t="shared" si="40"/>
        <v>-4.38007209926224</v>
      </c>
      <c r="J53" s="57">
        <f t="shared" si="40"/>
        <v>-4.31078638497652</v>
      </c>
      <c r="K53" s="57">
        <f t="shared" si="40"/>
        <v>-6.66578638497653</v>
      </c>
      <c r="L53" s="57">
        <f t="shared" si="40"/>
        <v>1.15336255119368</v>
      </c>
      <c r="M53" s="57">
        <f t="shared" si="40"/>
        <v>1.40868170012986</v>
      </c>
      <c r="N53" s="57">
        <f t="shared" si="40"/>
        <v>0.0453247261345808</v>
      </c>
      <c r="O53" s="57">
        <f t="shared" si="40"/>
        <v>-8.71340543259558</v>
      </c>
      <c r="P53" s="57">
        <f t="shared" si="40"/>
        <v>-13.0628452085059</v>
      </c>
      <c r="Q53" s="57">
        <f t="shared" si="40"/>
        <v>-15.4375255154113</v>
      </c>
      <c r="R53" s="57">
        <f t="shared" si="40"/>
        <v>-19.5700417041255</v>
      </c>
      <c r="S53" s="57">
        <f t="shared" si="40"/>
        <v>4.72196871706429</v>
      </c>
      <c r="T53" s="57"/>
      <c r="U53" s="51"/>
    </row>
    <row r="54" ht="14.1" customHeight="1" spans="1:21">
      <c r="A54" s="50" t="s">
        <v>1978</v>
      </c>
      <c r="B54" s="51">
        <f t="shared" ref="B54:S54" si="41">RANK(B52,$B52:$S52)</f>
        <v>4</v>
      </c>
      <c r="C54" s="51">
        <f t="shared" si="41"/>
        <v>6</v>
      </c>
      <c r="D54" s="51">
        <f t="shared" si="41"/>
        <v>11</v>
      </c>
      <c r="E54" s="51">
        <f t="shared" si="41"/>
        <v>8</v>
      </c>
      <c r="F54" s="51">
        <f t="shared" si="41"/>
        <v>5</v>
      </c>
      <c r="G54" s="51">
        <f t="shared" si="41"/>
        <v>1</v>
      </c>
      <c r="H54" s="51">
        <f t="shared" si="41"/>
        <v>2</v>
      </c>
      <c r="I54" s="51">
        <f t="shared" si="41"/>
        <v>13</v>
      </c>
      <c r="J54" s="51">
        <f t="shared" si="41"/>
        <v>12</v>
      </c>
      <c r="K54" s="51">
        <f t="shared" si="41"/>
        <v>14</v>
      </c>
      <c r="L54" s="51">
        <f t="shared" si="41"/>
        <v>9</v>
      </c>
      <c r="M54" s="51">
        <f t="shared" si="41"/>
        <v>7</v>
      </c>
      <c r="N54" s="51">
        <f t="shared" si="41"/>
        <v>10</v>
      </c>
      <c r="O54" s="51">
        <f t="shared" si="41"/>
        <v>15</v>
      </c>
      <c r="P54" s="51">
        <f t="shared" si="41"/>
        <v>16</v>
      </c>
      <c r="Q54" s="51">
        <f t="shared" si="41"/>
        <v>17</v>
      </c>
      <c r="R54" s="51">
        <f t="shared" si="41"/>
        <v>18</v>
      </c>
      <c r="S54" s="51">
        <f t="shared" si="41"/>
        <v>3</v>
      </c>
      <c r="T54" s="51"/>
      <c r="U54" s="51"/>
    </row>
    <row r="55" ht="14.1" customHeight="1" spans="1:19">
      <c r="A55" s="58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</row>
    <row r="56" ht="14.1" customHeight="1" spans="1:20">
      <c r="A56" s="49" t="s">
        <v>2008</v>
      </c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75"/>
      <c r="R56" s="75"/>
      <c r="S56" s="75"/>
      <c r="T56" s="76"/>
    </row>
    <row r="57" ht="14.1" customHeight="1" spans="1:16">
      <c r="A57" s="50" t="s">
        <v>1953</v>
      </c>
      <c r="B57" s="51">
        <v>1</v>
      </c>
      <c r="C57" s="51">
        <v>2</v>
      </c>
      <c r="D57" s="51">
        <v>3</v>
      </c>
      <c r="E57" s="51">
        <v>4</v>
      </c>
      <c r="F57" s="51">
        <v>5</v>
      </c>
      <c r="G57" s="51">
        <v>6</v>
      </c>
      <c r="H57" s="51">
        <v>7</v>
      </c>
      <c r="I57" s="51">
        <v>8</v>
      </c>
      <c r="J57" s="51">
        <v>9</v>
      </c>
      <c r="K57" s="51">
        <v>10</v>
      </c>
      <c r="L57" s="51">
        <v>11</v>
      </c>
      <c r="M57" s="51">
        <v>12</v>
      </c>
      <c r="N57" s="51">
        <v>13</v>
      </c>
      <c r="O57" s="63" t="s">
        <v>2009</v>
      </c>
      <c r="P57" s="64"/>
    </row>
    <row r="58" ht="14.1" customHeight="1" spans="1:16">
      <c r="A58" s="52" t="s">
        <v>1955</v>
      </c>
      <c r="B58" s="50" t="s">
        <v>2010</v>
      </c>
      <c r="C58" s="50" t="s">
        <v>2010</v>
      </c>
      <c r="D58" s="50" t="s">
        <v>372</v>
      </c>
      <c r="E58" s="50" t="s">
        <v>2011</v>
      </c>
      <c r="F58" s="50" t="s">
        <v>2011</v>
      </c>
      <c r="G58" s="46" t="s">
        <v>2012</v>
      </c>
      <c r="H58" s="46" t="s">
        <v>1766</v>
      </c>
      <c r="I58" s="53" t="s">
        <v>2013</v>
      </c>
      <c r="J58" s="53" t="s">
        <v>2014</v>
      </c>
      <c r="K58" s="53" t="s">
        <v>2013</v>
      </c>
      <c r="L58" s="53" t="s">
        <v>2014</v>
      </c>
      <c r="M58" s="53" t="s">
        <v>2015</v>
      </c>
      <c r="N58" s="55" t="s">
        <v>2015</v>
      </c>
      <c r="O58" s="65"/>
      <c r="P58" s="66"/>
    </row>
    <row r="59" ht="14.1" customHeight="1" spans="1:16">
      <c r="A59" s="50" t="s">
        <v>1965</v>
      </c>
      <c r="B59" s="51">
        <f t="shared" ref="B59:N59" si="42">COUNTIFS(班级,"="&amp;B57,物理,"&gt;0")</f>
        <v>54</v>
      </c>
      <c r="C59" s="51">
        <f t="shared" si="42"/>
        <v>54</v>
      </c>
      <c r="D59" s="51">
        <f t="shared" si="42"/>
        <v>51</v>
      </c>
      <c r="E59" s="51">
        <f t="shared" si="42"/>
        <v>53</v>
      </c>
      <c r="F59" s="51">
        <f t="shared" si="42"/>
        <v>52</v>
      </c>
      <c r="G59" s="51">
        <f t="shared" si="42"/>
        <v>52</v>
      </c>
      <c r="H59" s="51">
        <f t="shared" si="42"/>
        <v>44</v>
      </c>
      <c r="I59" s="51">
        <f t="shared" si="42"/>
        <v>49</v>
      </c>
      <c r="J59" s="51">
        <f t="shared" si="42"/>
        <v>50</v>
      </c>
      <c r="K59" s="51">
        <f t="shared" si="42"/>
        <v>35</v>
      </c>
      <c r="L59" s="51">
        <f t="shared" si="42"/>
        <v>47</v>
      </c>
      <c r="M59" s="51">
        <f t="shared" si="42"/>
        <v>47</v>
      </c>
      <c r="N59" s="51">
        <f t="shared" si="42"/>
        <v>45</v>
      </c>
      <c r="O59" s="51">
        <f t="shared" ref="O59:O67" si="43">SUM(B59:N59)</f>
        <v>633</v>
      </c>
      <c r="P59" s="67"/>
    </row>
    <row r="60" ht="14.1" customHeight="1" spans="1:16">
      <c r="A60" s="53" t="s">
        <v>1754</v>
      </c>
      <c r="B60" s="51">
        <f t="array" ref="B60">MAX(IF((班级=B57)*(物理&gt;0),物理))</f>
        <v>84</v>
      </c>
      <c r="C60" s="51">
        <f t="array" ref="C60">MAX(IF((班级=C57)*(物理&gt;0),物理))</f>
        <v>91.5</v>
      </c>
      <c r="D60" s="51">
        <f t="array" ref="D60">MAX(IF((班级=D57)*(物理&gt;0),物理))</f>
        <v>86.5</v>
      </c>
      <c r="E60" s="51">
        <f t="array" ref="E60">MAX(IF((班级=E57)*(物理&gt;0),物理))</f>
        <v>86.5</v>
      </c>
      <c r="F60" s="51">
        <f t="array" ref="F60">MAX(IF((班级=F57)*(物理&gt;0),物理))</f>
        <v>85</v>
      </c>
      <c r="G60" s="51">
        <f t="array" ref="G60">MAX(IF((班级=G57)*(物理&gt;0),物理))</f>
        <v>97</v>
      </c>
      <c r="H60" s="51">
        <f t="array" ref="H60">MAX(IF((班级=H57)*(物理&gt;0),物理))</f>
        <v>88.5</v>
      </c>
      <c r="I60" s="51">
        <f t="array" ref="I60">MAX(IF((班级=I57)*(物理&gt;0),物理))</f>
        <v>75.5</v>
      </c>
      <c r="J60" s="51">
        <f t="array" ref="J60">MAX(IF((班级=J57)*(物理&gt;0),物理))</f>
        <v>84</v>
      </c>
      <c r="K60" s="51">
        <f t="array" ref="K60">MAX(IF((班级=K57)*(物理&gt;0),物理))</f>
        <v>77.5</v>
      </c>
      <c r="L60" s="51">
        <f t="array" ref="L60">MAX(IF((班级=L57)*(物理&gt;0),物理))</f>
        <v>84.5</v>
      </c>
      <c r="M60" s="51">
        <f t="array" ref="M60">MAX(IF((班级=M57)*(物理&gt;0),物理))</f>
        <v>90.5</v>
      </c>
      <c r="N60" s="51">
        <f t="array" ref="N60">MAX(IF((班级=N57)*(物理&gt;0),物理))</f>
        <v>84</v>
      </c>
      <c r="O60" s="67"/>
      <c r="P60" s="67"/>
    </row>
    <row r="61" ht="14.1" customHeight="1" spans="1:16">
      <c r="A61" s="53" t="s">
        <v>1755</v>
      </c>
      <c r="B61" s="51">
        <f t="array" ref="B61">MIN(IF((班级=B57)*(物理&gt;0),物理))</f>
        <v>19.5</v>
      </c>
      <c r="C61" s="51">
        <f t="array" ref="C61">MIN(IF((班级=C57)*(物理&gt;0),物理))</f>
        <v>14.5</v>
      </c>
      <c r="D61" s="51">
        <f t="array" ref="D61">MIN(IF((班级=D57)*(物理&gt;0),物理))</f>
        <v>37.5</v>
      </c>
      <c r="E61" s="51">
        <f t="array" ref="E61">MIN(IF((班级=E57)*(物理&gt;0),物理))</f>
        <v>25.5</v>
      </c>
      <c r="F61" s="51">
        <f t="array" ref="F61">MIN(IF((班级=F57)*(物理&gt;0),物理))</f>
        <v>34.5</v>
      </c>
      <c r="G61" s="51">
        <f t="array" ref="G61">MIN(IF((班级=G57)*(物理&gt;0),物理))</f>
        <v>45</v>
      </c>
      <c r="H61" s="51">
        <f t="array" ref="H61">MIN(IF((班级=H57)*(物理&gt;0),物理))</f>
        <v>45</v>
      </c>
      <c r="I61" s="51">
        <f t="array" ref="I61">MIN(IF((班级=I57)*(物理&gt;0),物理))</f>
        <v>33.5</v>
      </c>
      <c r="J61" s="51">
        <f t="array" ref="J61">MIN(IF((班级=J57)*(物理&gt;0),物理))</f>
        <v>27.5</v>
      </c>
      <c r="K61" s="51">
        <f t="array" ref="K61">MIN(IF((班级=K57)*(物理&gt;0),物理))</f>
        <v>31</v>
      </c>
      <c r="L61" s="51">
        <f t="array" ref="L61">MIN(IF((班级=L57)*(物理&gt;0),物理))</f>
        <v>20.5</v>
      </c>
      <c r="M61" s="51">
        <f t="array" ref="M61">MIN(IF((班级=M57)*(物理&gt;0),物理))</f>
        <v>24</v>
      </c>
      <c r="N61" s="51">
        <f t="array" ref="N61">MIN(IF((班级=N57)*(物理&gt;0),物理))</f>
        <v>28.5</v>
      </c>
      <c r="O61" s="68" t="s">
        <v>1966</v>
      </c>
      <c r="P61" s="51" t="s">
        <v>1967</v>
      </c>
    </row>
    <row r="62" ht="14.1" customHeight="1" spans="1:16">
      <c r="A62" s="50" t="s">
        <v>2016</v>
      </c>
      <c r="B62" s="51">
        <f t="shared" ref="B62:N62" si="44">COUNTIFS(班级,"="&amp;B57,物理,"&gt;=90")</f>
        <v>0</v>
      </c>
      <c r="C62" s="51">
        <f t="shared" si="44"/>
        <v>1</v>
      </c>
      <c r="D62" s="51">
        <f t="shared" si="44"/>
        <v>0</v>
      </c>
      <c r="E62" s="51">
        <f t="shared" si="44"/>
        <v>0</v>
      </c>
      <c r="F62" s="51">
        <f t="shared" si="44"/>
        <v>0</v>
      </c>
      <c r="G62" s="51">
        <f t="shared" si="44"/>
        <v>7</v>
      </c>
      <c r="H62" s="51">
        <f t="shared" si="44"/>
        <v>0</v>
      </c>
      <c r="I62" s="51">
        <f t="shared" si="44"/>
        <v>0</v>
      </c>
      <c r="J62" s="51">
        <f t="shared" si="44"/>
        <v>0</v>
      </c>
      <c r="K62" s="51">
        <f t="shared" si="44"/>
        <v>0</v>
      </c>
      <c r="L62" s="51">
        <f t="shared" si="44"/>
        <v>0</v>
      </c>
      <c r="M62" s="51">
        <f t="shared" si="44"/>
        <v>1</v>
      </c>
      <c r="N62" s="51">
        <f t="shared" si="44"/>
        <v>0</v>
      </c>
      <c r="O62" s="68">
        <f t="shared" si="43"/>
        <v>9</v>
      </c>
      <c r="P62" s="51">
        <f>O62</f>
        <v>9</v>
      </c>
    </row>
    <row r="63" ht="14.1" customHeight="1" spans="1:16">
      <c r="A63" s="50" t="s">
        <v>2017</v>
      </c>
      <c r="B63" s="51">
        <f t="shared" ref="B63:N63" si="45">COUNTIFS(班级,"="&amp;B57,物理,"&gt;=80",物理,"&lt;90")</f>
        <v>3</v>
      </c>
      <c r="C63" s="51">
        <f t="shared" si="45"/>
        <v>4</v>
      </c>
      <c r="D63" s="51">
        <f t="shared" si="45"/>
        <v>7</v>
      </c>
      <c r="E63" s="51">
        <f t="shared" si="45"/>
        <v>7</v>
      </c>
      <c r="F63" s="51">
        <f t="shared" si="45"/>
        <v>2</v>
      </c>
      <c r="G63" s="51">
        <f t="shared" si="45"/>
        <v>23</v>
      </c>
      <c r="H63" s="51">
        <f t="shared" si="45"/>
        <v>12</v>
      </c>
      <c r="I63" s="51">
        <f t="shared" si="45"/>
        <v>0</v>
      </c>
      <c r="J63" s="51">
        <f t="shared" si="45"/>
        <v>2</v>
      </c>
      <c r="K63" s="51">
        <f t="shared" si="45"/>
        <v>0</v>
      </c>
      <c r="L63" s="51">
        <f t="shared" si="45"/>
        <v>3</v>
      </c>
      <c r="M63" s="51">
        <f t="shared" si="45"/>
        <v>3</v>
      </c>
      <c r="N63" s="51">
        <f t="shared" si="45"/>
        <v>4</v>
      </c>
      <c r="O63" s="68">
        <f t="shared" si="43"/>
        <v>70</v>
      </c>
      <c r="P63" s="51">
        <f t="shared" ref="P63:P67" si="46">P62+O63</f>
        <v>79</v>
      </c>
    </row>
    <row r="64" ht="14.1" customHeight="1" spans="1:16">
      <c r="A64" s="50" t="s">
        <v>2018</v>
      </c>
      <c r="B64" s="51">
        <f t="shared" ref="B64:N64" si="47">COUNTIFS(班级,"="&amp;B$21,物理,"&gt;=70",物理,"&lt;80")</f>
        <v>8</v>
      </c>
      <c r="C64" s="51">
        <f t="shared" si="47"/>
        <v>5</v>
      </c>
      <c r="D64" s="51">
        <f t="shared" si="47"/>
        <v>11</v>
      </c>
      <c r="E64" s="51">
        <f t="shared" si="47"/>
        <v>11</v>
      </c>
      <c r="F64" s="51">
        <f t="shared" si="47"/>
        <v>12</v>
      </c>
      <c r="G64" s="51">
        <f t="shared" si="47"/>
        <v>17</v>
      </c>
      <c r="H64" s="51">
        <f t="shared" si="47"/>
        <v>23</v>
      </c>
      <c r="I64" s="51">
        <f t="shared" si="47"/>
        <v>10</v>
      </c>
      <c r="J64" s="51">
        <f t="shared" si="47"/>
        <v>5</v>
      </c>
      <c r="K64" s="51">
        <f t="shared" si="47"/>
        <v>1</v>
      </c>
      <c r="L64" s="51">
        <f t="shared" si="47"/>
        <v>9</v>
      </c>
      <c r="M64" s="51">
        <f t="shared" si="47"/>
        <v>4</v>
      </c>
      <c r="N64" s="51">
        <f t="shared" si="47"/>
        <v>9</v>
      </c>
      <c r="O64" s="68">
        <f t="shared" si="43"/>
        <v>125</v>
      </c>
      <c r="P64" s="51">
        <f t="shared" si="46"/>
        <v>204</v>
      </c>
    </row>
    <row r="65" ht="14.1" customHeight="1" spans="1:16">
      <c r="A65" s="50" t="s">
        <v>2019</v>
      </c>
      <c r="B65" s="51">
        <f t="shared" ref="B65:N65" si="48">COUNTIFS(班级,"="&amp;B57,物理,"&gt;=60",物理,"&lt;70")</f>
        <v>17</v>
      </c>
      <c r="C65" s="51">
        <f t="shared" si="48"/>
        <v>11</v>
      </c>
      <c r="D65" s="51">
        <f t="shared" si="48"/>
        <v>12</v>
      </c>
      <c r="E65" s="51">
        <f t="shared" si="48"/>
        <v>18</v>
      </c>
      <c r="F65" s="51">
        <f t="shared" si="48"/>
        <v>18</v>
      </c>
      <c r="G65" s="51">
        <f t="shared" si="48"/>
        <v>4</v>
      </c>
      <c r="H65" s="51">
        <f t="shared" si="48"/>
        <v>6</v>
      </c>
      <c r="I65" s="51">
        <f t="shared" si="48"/>
        <v>14</v>
      </c>
      <c r="J65" s="51">
        <f t="shared" si="48"/>
        <v>8</v>
      </c>
      <c r="K65" s="51">
        <f t="shared" si="48"/>
        <v>7</v>
      </c>
      <c r="L65" s="51">
        <f t="shared" si="48"/>
        <v>12</v>
      </c>
      <c r="M65" s="51">
        <f t="shared" si="48"/>
        <v>18</v>
      </c>
      <c r="N65" s="51">
        <f t="shared" si="48"/>
        <v>11</v>
      </c>
      <c r="O65" s="68">
        <f t="shared" si="43"/>
        <v>156</v>
      </c>
      <c r="P65" s="51">
        <f t="shared" si="46"/>
        <v>360</v>
      </c>
    </row>
    <row r="66" ht="14.1" customHeight="1" spans="1:16">
      <c r="A66" s="50" t="s">
        <v>2020</v>
      </c>
      <c r="B66" s="51">
        <f t="shared" ref="B66:N66" si="49">COUNTIFS(班级,"="&amp;B57,物理,"&gt;=50",物理,"&lt;60")</f>
        <v>13</v>
      </c>
      <c r="C66" s="51">
        <f t="shared" si="49"/>
        <v>19</v>
      </c>
      <c r="D66" s="51">
        <f t="shared" si="49"/>
        <v>13</v>
      </c>
      <c r="E66" s="51">
        <f t="shared" si="49"/>
        <v>12</v>
      </c>
      <c r="F66" s="51">
        <f t="shared" si="49"/>
        <v>12</v>
      </c>
      <c r="G66" s="51">
        <f t="shared" si="49"/>
        <v>0</v>
      </c>
      <c r="H66" s="51">
        <f t="shared" si="49"/>
        <v>1</v>
      </c>
      <c r="I66" s="51">
        <f t="shared" si="49"/>
        <v>16</v>
      </c>
      <c r="J66" s="51">
        <f t="shared" si="49"/>
        <v>13</v>
      </c>
      <c r="K66" s="51">
        <f t="shared" si="49"/>
        <v>11</v>
      </c>
      <c r="L66" s="51">
        <f t="shared" si="49"/>
        <v>10</v>
      </c>
      <c r="M66" s="51">
        <f t="shared" si="49"/>
        <v>14</v>
      </c>
      <c r="N66" s="51">
        <f t="shared" si="49"/>
        <v>11</v>
      </c>
      <c r="O66" s="68">
        <f t="shared" si="43"/>
        <v>145</v>
      </c>
      <c r="P66" s="51">
        <f t="shared" si="46"/>
        <v>505</v>
      </c>
    </row>
    <row r="67" ht="14.1" customHeight="1" spans="1:16">
      <c r="A67" s="50" t="s">
        <v>2021</v>
      </c>
      <c r="B67" s="51">
        <f t="shared" ref="B67:N67" si="50">COUNTIFS(班级,"="&amp;B57,物理,"&gt;0",物理,"&lt;50")</f>
        <v>13</v>
      </c>
      <c r="C67" s="51">
        <f t="shared" si="50"/>
        <v>14</v>
      </c>
      <c r="D67" s="51">
        <f t="shared" si="50"/>
        <v>8</v>
      </c>
      <c r="E67" s="51">
        <f t="shared" si="50"/>
        <v>5</v>
      </c>
      <c r="F67" s="51">
        <f t="shared" si="50"/>
        <v>8</v>
      </c>
      <c r="G67" s="51">
        <f t="shared" si="50"/>
        <v>1</v>
      </c>
      <c r="H67" s="51">
        <f t="shared" si="50"/>
        <v>2</v>
      </c>
      <c r="I67" s="51">
        <f t="shared" si="50"/>
        <v>9</v>
      </c>
      <c r="J67" s="51">
        <f t="shared" si="50"/>
        <v>22</v>
      </c>
      <c r="K67" s="51">
        <f t="shared" si="50"/>
        <v>16</v>
      </c>
      <c r="L67" s="51">
        <f t="shared" si="50"/>
        <v>13</v>
      </c>
      <c r="M67" s="51">
        <f t="shared" si="50"/>
        <v>7</v>
      </c>
      <c r="N67" s="51">
        <f t="shared" si="50"/>
        <v>10</v>
      </c>
      <c r="O67" s="68">
        <f t="shared" si="43"/>
        <v>128</v>
      </c>
      <c r="P67" s="51">
        <f t="shared" si="46"/>
        <v>633</v>
      </c>
    </row>
    <row r="68" ht="14.1" customHeight="1" spans="1:16">
      <c r="A68" s="50" t="s">
        <v>1974</v>
      </c>
      <c r="B68" s="54">
        <f t="shared" ref="B68:N68" si="51">COUNTIFS(班级,"="&amp;B57,物理,"&gt;="&amp;$P$68)/B59</f>
        <v>0.0555555555555556</v>
      </c>
      <c r="C68" s="54">
        <f t="shared" si="51"/>
        <v>0.111111111111111</v>
      </c>
      <c r="D68" s="54">
        <f t="shared" si="51"/>
        <v>0.156862745098039</v>
      </c>
      <c r="E68" s="54">
        <f t="shared" si="51"/>
        <v>0.150943396226415</v>
      </c>
      <c r="F68" s="54">
        <f t="shared" si="51"/>
        <v>0.0961538461538462</v>
      </c>
      <c r="G68" s="54">
        <f t="shared" si="51"/>
        <v>0.692307692307692</v>
      </c>
      <c r="H68" s="54">
        <f t="shared" si="51"/>
        <v>0.409090909090909</v>
      </c>
      <c r="I68" s="54">
        <f t="shared" si="51"/>
        <v>0</v>
      </c>
      <c r="J68" s="54">
        <f t="shared" si="51"/>
        <v>0.06</v>
      </c>
      <c r="K68" s="54">
        <f t="shared" si="51"/>
        <v>0</v>
      </c>
      <c r="L68" s="54">
        <f t="shared" si="51"/>
        <v>0.0638297872340425</v>
      </c>
      <c r="M68" s="54">
        <f t="shared" si="51"/>
        <v>0.0851063829787234</v>
      </c>
      <c r="N68" s="54">
        <f t="shared" si="51"/>
        <v>0.133333333333333</v>
      </c>
      <c r="O68" s="73" t="s">
        <v>1975</v>
      </c>
      <c r="P68" s="51">
        <f>LARGE(物理,COUNT(物理)*0.15)</f>
        <v>78</v>
      </c>
    </row>
    <row r="69" ht="14.1" customHeight="1" spans="1:15">
      <c r="A69" s="50" t="s">
        <v>2007</v>
      </c>
      <c r="B69" s="54">
        <f t="shared" ref="B69:N69" si="52">COUNTIFS(班级,"="&amp;B57,物理,"&gt;=60")/B59</f>
        <v>0.518518518518518</v>
      </c>
      <c r="C69" s="54">
        <f t="shared" si="52"/>
        <v>0.388888888888889</v>
      </c>
      <c r="D69" s="54">
        <f t="shared" si="52"/>
        <v>0.588235294117647</v>
      </c>
      <c r="E69" s="54">
        <f t="shared" si="52"/>
        <v>0.679245283018868</v>
      </c>
      <c r="F69" s="54">
        <f t="shared" si="52"/>
        <v>0.615384615384615</v>
      </c>
      <c r="G69" s="54">
        <f t="shared" si="52"/>
        <v>0.980769230769231</v>
      </c>
      <c r="H69" s="54">
        <f t="shared" si="52"/>
        <v>0.931818181818182</v>
      </c>
      <c r="I69" s="54">
        <f t="shared" si="52"/>
        <v>0.489795918367347</v>
      </c>
      <c r="J69" s="54">
        <f t="shared" si="52"/>
        <v>0.3</v>
      </c>
      <c r="K69" s="54">
        <f t="shared" si="52"/>
        <v>0.228571428571429</v>
      </c>
      <c r="L69" s="54">
        <f t="shared" si="52"/>
        <v>0.51063829787234</v>
      </c>
      <c r="M69" s="54">
        <f t="shared" si="52"/>
        <v>0.553191489361702</v>
      </c>
      <c r="N69" s="54">
        <f t="shared" si="52"/>
        <v>0.533333333333333</v>
      </c>
      <c r="O69" s="68" t="s">
        <v>1976</v>
      </c>
    </row>
    <row r="70" ht="14.1" customHeight="1" spans="1:15">
      <c r="A70" s="50" t="s">
        <v>1977</v>
      </c>
      <c r="B70" s="57">
        <f t="shared" ref="B70:N70" si="53">AVERAGEIFS(物理,班级,"="&amp;B57)</f>
        <v>58.4259259259259</v>
      </c>
      <c r="C70" s="57">
        <f t="shared" si="53"/>
        <v>57.5</v>
      </c>
      <c r="D70" s="57">
        <f t="shared" si="53"/>
        <v>63.6911764705882</v>
      </c>
      <c r="E70" s="57">
        <f t="shared" si="53"/>
        <v>64.0188679245283</v>
      </c>
      <c r="F70" s="57">
        <f t="shared" si="53"/>
        <v>62.125</v>
      </c>
      <c r="G70" s="57">
        <f t="shared" si="53"/>
        <v>80.6346153846154</v>
      </c>
      <c r="H70" s="57">
        <f t="shared" si="53"/>
        <v>74.3977272727273</v>
      </c>
      <c r="I70" s="57">
        <f t="shared" si="53"/>
        <v>59.2040816326531</v>
      </c>
      <c r="J70" s="57">
        <f t="shared" si="53"/>
        <v>52.64</v>
      </c>
      <c r="K70" s="57">
        <f t="shared" si="53"/>
        <v>51.4</v>
      </c>
      <c r="L70" s="57">
        <f t="shared" si="53"/>
        <v>59.4042553191489</v>
      </c>
      <c r="M70" s="57">
        <f t="shared" si="53"/>
        <v>59.9042553191489</v>
      </c>
      <c r="N70" s="57">
        <f t="shared" si="53"/>
        <v>60.2555555555556</v>
      </c>
      <c r="O70" s="85">
        <f>AVERAGE(物理)</f>
        <v>62.0051342812006</v>
      </c>
    </row>
    <row r="71" ht="14.1" customHeight="1" spans="1:15">
      <c r="A71" s="53" t="s">
        <v>1759</v>
      </c>
      <c r="B71" s="57">
        <f t="shared" ref="B71:N71" si="54">B70-$O70</f>
        <v>-3.57920835527471</v>
      </c>
      <c r="C71" s="57">
        <f t="shared" si="54"/>
        <v>-4.50513428120063</v>
      </c>
      <c r="D71" s="57">
        <f t="shared" si="54"/>
        <v>1.6860421893876</v>
      </c>
      <c r="E71" s="57">
        <f t="shared" si="54"/>
        <v>2.01373364332768</v>
      </c>
      <c r="F71" s="57">
        <f t="shared" si="54"/>
        <v>0.119865718799367</v>
      </c>
      <c r="G71" s="57">
        <f t="shared" si="54"/>
        <v>18.6294811034148</v>
      </c>
      <c r="H71" s="57">
        <f t="shared" si="54"/>
        <v>12.3925929915266</v>
      </c>
      <c r="I71" s="57">
        <f t="shared" si="54"/>
        <v>-2.80105264854757</v>
      </c>
      <c r="J71" s="57">
        <f t="shared" si="54"/>
        <v>-9.36513428120063</v>
      </c>
      <c r="K71" s="57">
        <f t="shared" si="54"/>
        <v>-10.6051342812006</v>
      </c>
      <c r="L71" s="57">
        <f t="shared" si="54"/>
        <v>-2.60087896205169</v>
      </c>
      <c r="M71" s="57">
        <f t="shared" si="54"/>
        <v>-2.10087896205169</v>
      </c>
      <c r="N71" s="57">
        <f t="shared" si="54"/>
        <v>-1.74957872564508</v>
      </c>
      <c r="O71" s="86"/>
    </row>
    <row r="72" ht="14.1" customHeight="1" spans="1:14">
      <c r="A72" s="50" t="s">
        <v>1978</v>
      </c>
      <c r="B72" s="51">
        <f t="shared" ref="B72:N72" si="55">RANK(B70,$B70:$N70)</f>
        <v>10</v>
      </c>
      <c r="C72" s="51">
        <f t="shared" si="55"/>
        <v>11</v>
      </c>
      <c r="D72" s="51">
        <f t="shared" si="55"/>
        <v>4</v>
      </c>
      <c r="E72" s="51">
        <f t="shared" si="55"/>
        <v>3</v>
      </c>
      <c r="F72" s="51">
        <f t="shared" si="55"/>
        <v>5</v>
      </c>
      <c r="G72" s="51">
        <f t="shared" si="55"/>
        <v>1</v>
      </c>
      <c r="H72" s="51">
        <f t="shared" si="55"/>
        <v>2</v>
      </c>
      <c r="I72" s="51">
        <f t="shared" si="55"/>
        <v>9</v>
      </c>
      <c r="J72" s="51">
        <f t="shared" si="55"/>
        <v>12</v>
      </c>
      <c r="K72" s="51">
        <f t="shared" si="55"/>
        <v>13</v>
      </c>
      <c r="L72" s="51">
        <f t="shared" si="55"/>
        <v>8</v>
      </c>
      <c r="M72" s="51">
        <f t="shared" si="55"/>
        <v>7</v>
      </c>
      <c r="N72" s="51">
        <f t="shared" si="55"/>
        <v>6</v>
      </c>
    </row>
    <row r="73" ht="15" spans="1:19">
      <c r="A73" s="58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</row>
    <row r="74" ht="12.95" customHeight="1" spans="1:21">
      <c r="A74" s="49" t="s">
        <v>2022</v>
      </c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87"/>
      <c r="O74" s="88" t="s">
        <v>2023</v>
      </c>
      <c r="P74" s="49"/>
      <c r="Q74" s="49"/>
      <c r="R74" s="49"/>
      <c r="S74" s="49"/>
      <c r="T74" s="49"/>
      <c r="U74" s="49"/>
    </row>
    <row r="75" ht="12.95" customHeight="1" spans="1:21">
      <c r="A75" s="50" t="s">
        <v>1953</v>
      </c>
      <c r="B75" s="51">
        <v>1</v>
      </c>
      <c r="C75" s="51">
        <v>2</v>
      </c>
      <c r="D75" s="51">
        <v>3</v>
      </c>
      <c r="E75" s="51">
        <v>4</v>
      </c>
      <c r="F75" s="51">
        <v>5</v>
      </c>
      <c r="G75" s="51">
        <v>6</v>
      </c>
      <c r="H75" s="51">
        <v>7</v>
      </c>
      <c r="I75" s="51">
        <v>10</v>
      </c>
      <c r="J75" s="51">
        <v>11</v>
      </c>
      <c r="K75" s="51">
        <v>12</v>
      </c>
      <c r="L75" s="51">
        <v>13</v>
      </c>
      <c r="M75" s="63" t="s">
        <v>2009</v>
      </c>
      <c r="N75" s="64"/>
      <c r="O75" s="89">
        <v>14</v>
      </c>
      <c r="P75" s="51">
        <v>15</v>
      </c>
      <c r="Q75" s="51">
        <v>16</v>
      </c>
      <c r="R75" s="51">
        <v>17</v>
      </c>
      <c r="S75" s="51">
        <v>18</v>
      </c>
      <c r="T75" s="69" t="s">
        <v>1954</v>
      </c>
      <c r="U75" s="70"/>
    </row>
    <row r="76" ht="12.95" customHeight="1" spans="1:21">
      <c r="A76" s="52" t="s">
        <v>1955</v>
      </c>
      <c r="B76" s="50" t="s">
        <v>2024</v>
      </c>
      <c r="C76" s="46" t="s">
        <v>2025</v>
      </c>
      <c r="D76" s="46" t="s">
        <v>2025</v>
      </c>
      <c r="E76" s="50" t="s">
        <v>2026</v>
      </c>
      <c r="F76" s="50" t="s">
        <v>2026</v>
      </c>
      <c r="G76" s="50" t="s">
        <v>2027</v>
      </c>
      <c r="H76" s="77" t="s">
        <v>1815</v>
      </c>
      <c r="I76" s="90"/>
      <c r="J76" s="91" t="s">
        <v>1815</v>
      </c>
      <c r="K76" s="91" t="s">
        <v>2028</v>
      </c>
      <c r="L76" s="91" t="s">
        <v>2028</v>
      </c>
      <c r="M76" s="65"/>
      <c r="N76" s="92"/>
      <c r="O76" s="93" t="s">
        <v>1812</v>
      </c>
      <c r="P76" s="50" t="s">
        <v>2029</v>
      </c>
      <c r="Q76" s="50" t="s">
        <v>2030</v>
      </c>
      <c r="R76" s="50" t="s">
        <v>1812</v>
      </c>
      <c r="S76" s="50" t="s">
        <v>2030</v>
      </c>
      <c r="T76" s="71"/>
      <c r="U76" s="72"/>
    </row>
    <row r="77" ht="12.95" customHeight="1" spans="1:21">
      <c r="A77" s="50" t="s">
        <v>1965</v>
      </c>
      <c r="B77" s="51">
        <f t="shared" ref="B77:L77" si="56">COUNTIFS(班级,"="&amp;B75,化学,"&gt;0")</f>
        <v>53</v>
      </c>
      <c r="C77" s="51">
        <f t="shared" si="56"/>
        <v>53</v>
      </c>
      <c r="D77" s="51">
        <f t="shared" si="56"/>
        <v>50</v>
      </c>
      <c r="E77" s="51">
        <f t="shared" si="56"/>
        <v>54</v>
      </c>
      <c r="F77" s="51">
        <f t="shared" si="56"/>
        <v>52</v>
      </c>
      <c r="G77" s="51">
        <f t="shared" si="56"/>
        <v>52</v>
      </c>
      <c r="H77" s="51">
        <f t="shared" si="56"/>
        <v>7</v>
      </c>
      <c r="I77" s="51">
        <f t="shared" si="56"/>
        <v>35</v>
      </c>
      <c r="J77" s="51">
        <f t="shared" si="56"/>
        <v>47</v>
      </c>
      <c r="K77" s="51">
        <f t="shared" si="56"/>
        <v>46</v>
      </c>
      <c r="L77" s="51">
        <f t="shared" si="56"/>
        <v>45</v>
      </c>
      <c r="M77" s="51">
        <f t="shared" ref="M77:M85" si="57">SUM(B77:L77)</f>
        <v>494</v>
      </c>
      <c r="N77" s="94"/>
      <c r="O77" s="68">
        <f>COUNTIFS(班级,"="&amp;O75,历史,"&gt;0")</f>
        <v>41</v>
      </c>
      <c r="P77" s="51">
        <f>COUNTIFS(班级,"="&amp;P75,历史,"&gt;0")</f>
        <v>32</v>
      </c>
      <c r="Q77" s="51">
        <f>COUNTIFS(班级,"="&amp;Q75,历史,"&gt;0")</f>
        <v>46</v>
      </c>
      <c r="R77" s="51">
        <f>COUNTIFS(班级,"="&amp;R75,历史,"&gt;0")</f>
        <v>47</v>
      </c>
      <c r="S77" s="51">
        <f>COUNTIFS(班级,"="&amp;S75,历史,"&gt;0")</f>
        <v>49</v>
      </c>
      <c r="T77" s="51">
        <f t="shared" ref="T77:T85" si="58">SUM(O77:S77)</f>
        <v>215</v>
      </c>
      <c r="U77" s="51"/>
    </row>
    <row r="78" ht="12.95" customHeight="1" spans="1:21">
      <c r="A78" s="50" t="s">
        <v>1991</v>
      </c>
      <c r="B78" s="51">
        <f t="array" ref="B78">MAX(IF((班级=B75)*(化学&gt;0),化学))</f>
        <v>62.5</v>
      </c>
      <c r="C78" s="51">
        <f t="array" ref="C78">MAX(IF((班级=C75)*(化学&gt;0),化学))</f>
        <v>65.75</v>
      </c>
      <c r="D78" s="51">
        <f t="array" ref="D78">MAX(IF((班级=D75)*(化学&gt;0),化学))</f>
        <v>63.5</v>
      </c>
      <c r="E78" s="51">
        <f t="array" ref="E78">MAX(IF((班级=E75)*(化学&gt;0),化学))</f>
        <v>67.5</v>
      </c>
      <c r="F78" s="51">
        <f t="array" ref="F78">MAX(IF((班级=F75)*(化学&gt;0),化学))</f>
        <v>69.5</v>
      </c>
      <c r="G78" s="51">
        <f t="array" ref="G78">MAX(IF((班级=G75)*(化学&gt;0),化学))</f>
        <v>77.5</v>
      </c>
      <c r="H78" s="51">
        <f t="array" ref="H78">MAX(IF((班级=H75)*(化学&gt;0),化学))</f>
        <v>70</v>
      </c>
      <c r="I78" s="51">
        <f t="array" ref="I78">MAX(IF((班级=I75)*(化学&gt;0),化学))</f>
        <v>62.5</v>
      </c>
      <c r="J78" s="51">
        <f t="array" ref="J78">MAX(IF((班级=J75)*(化学&gt;0),化学))</f>
        <v>71</v>
      </c>
      <c r="K78" s="51">
        <f t="array" ref="K78">MAX(IF((班级=K75)*(化学&gt;0),化学))</f>
        <v>70</v>
      </c>
      <c r="L78" s="51">
        <f t="array" ref="L78">MAX(IF((班级=L75)*(化学&gt;0),化学))</f>
        <v>73.5</v>
      </c>
      <c r="M78" s="67"/>
      <c r="N78" s="94"/>
      <c r="O78" s="68">
        <f t="array" ref="O78">MAX(IF((班级=O75)*(历史&gt;0),历史))</f>
        <v>69.5</v>
      </c>
      <c r="P78" s="51">
        <f t="array" ref="P78">MAX(IF((班级=P75)*(历史&gt;0),历史))</f>
        <v>64</v>
      </c>
      <c r="Q78" s="51">
        <f t="array" ref="Q78">MAX(IF((班级=Q75)*(历史&gt;0),历史))</f>
        <v>77.5</v>
      </c>
      <c r="R78" s="51">
        <f t="array" ref="R78">MAX(IF((班级=R75)*(历史&gt;0),历史))</f>
        <v>75</v>
      </c>
      <c r="S78" s="51">
        <f t="array" ref="S78">MAX(IF((班级=S75)*(历史&gt;0),历史))</f>
        <v>78.5</v>
      </c>
      <c r="T78" s="51"/>
      <c r="U78" s="51"/>
    </row>
    <row r="79" ht="12.95" customHeight="1" spans="1:21">
      <c r="A79" s="50" t="s">
        <v>1992</v>
      </c>
      <c r="B79" s="51">
        <f t="array" ref="B79">MIN(IF((班级=B75)*(化学&gt;0),化学))</f>
        <v>19</v>
      </c>
      <c r="C79" s="51">
        <f t="array" ref="C79">MIN(IF((班级=C75)*(化学&gt;0),化学))</f>
        <v>27</v>
      </c>
      <c r="D79" s="51">
        <f t="array" ref="D79">MIN(IF((班级=D75)*(化学&gt;0),化学))</f>
        <v>27.5</v>
      </c>
      <c r="E79" s="51">
        <f t="array" ref="E79">MIN(IF((班级=E75)*(化学&gt;0),化学))</f>
        <v>27</v>
      </c>
      <c r="F79" s="51">
        <f t="array" ref="F79">MIN(IF((班级=F75)*(化学&gt;0),化学))</f>
        <v>26</v>
      </c>
      <c r="G79" s="51">
        <f t="array" ref="G79">MIN(IF((班级=G75)*(化学&gt;0),化学))</f>
        <v>42.5</v>
      </c>
      <c r="H79" s="51">
        <f t="array" ref="H79">MIN(IF((班级=H75)*(化学&gt;0),化学))</f>
        <v>57</v>
      </c>
      <c r="I79" s="51">
        <f t="array" ref="I79">MIN(IF((班级=I75)*(化学&gt;0),化学))</f>
        <v>26.25</v>
      </c>
      <c r="J79" s="51">
        <f t="array" ref="J79">MIN(IF((班级=J75)*(化学&gt;0),化学))</f>
        <v>25.5</v>
      </c>
      <c r="K79" s="51">
        <f t="array" ref="K79">MIN(IF((班级=K75)*(化学&gt;0),化学))</f>
        <v>19</v>
      </c>
      <c r="L79" s="51">
        <f t="array" ref="L79">MIN(IF((班级=L75)*(化学&gt;0),化学))</f>
        <v>21</v>
      </c>
      <c r="M79" s="51" t="s">
        <v>1966</v>
      </c>
      <c r="N79" s="80" t="s">
        <v>1967</v>
      </c>
      <c r="O79" s="89">
        <f t="array" ref="O79">MIN(IF((班级=O75)*(历史&gt;0),历史))</f>
        <v>38</v>
      </c>
      <c r="P79" s="51">
        <f t="array" ref="P79">MIN(IF((班级=P75)*(历史&gt;0),历史))</f>
        <v>34.5</v>
      </c>
      <c r="Q79" s="51">
        <f t="array" ref="Q79">MIN(IF((班级=Q75)*(历史&gt;0),历史))</f>
        <v>48</v>
      </c>
      <c r="R79" s="51">
        <f t="array" ref="R79">MIN(IF((班级=R75)*(历史&gt;0),历史))</f>
        <v>40</v>
      </c>
      <c r="S79" s="51">
        <f t="array" ref="S79">MIN(IF((班级=S75)*(历史&gt;0),历史))</f>
        <v>47.5</v>
      </c>
      <c r="T79" s="51" t="s">
        <v>1966</v>
      </c>
      <c r="U79" s="51" t="s">
        <v>1967</v>
      </c>
    </row>
    <row r="80" ht="12.95" customHeight="1" spans="1:21">
      <c r="A80" s="50" t="s">
        <v>2016</v>
      </c>
      <c r="B80" s="51">
        <f t="shared" ref="B80:L80" si="59">COUNTIFS(班级,"="&amp;B75,化学,"&gt;=90")</f>
        <v>0</v>
      </c>
      <c r="C80" s="51">
        <f t="shared" si="59"/>
        <v>0</v>
      </c>
      <c r="D80" s="51">
        <f t="shared" si="59"/>
        <v>0</v>
      </c>
      <c r="E80" s="51">
        <f t="shared" si="59"/>
        <v>0</v>
      </c>
      <c r="F80" s="51">
        <f t="shared" si="59"/>
        <v>0</v>
      </c>
      <c r="G80" s="51">
        <f t="shared" si="59"/>
        <v>0</v>
      </c>
      <c r="H80" s="51">
        <f t="shared" si="59"/>
        <v>0</v>
      </c>
      <c r="I80" s="51">
        <f t="shared" si="59"/>
        <v>0</v>
      </c>
      <c r="J80" s="51">
        <f t="shared" si="59"/>
        <v>0</v>
      </c>
      <c r="K80" s="51">
        <f t="shared" si="59"/>
        <v>0</v>
      </c>
      <c r="L80" s="51">
        <f t="shared" si="59"/>
        <v>0</v>
      </c>
      <c r="M80" s="51">
        <f t="shared" si="57"/>
        <v>0</v>
      </c>
      <c r="N80" s="80">
        <f>M80</f>
        <v>0</v>
      </c>
      <c r="O80" s="89">
        <f>COUNTIFS(班级,"="&amp;O75,历史,"&gt;=90")</f>
        <v>0</v>
      </c>
      <c r="P80" s="51">
        <f>COUNTIFS(班级,"="&amp;P75,历史,"&gt;=90")</f>
        <v>0</v>
      </c>
      <c r="Q80" s="51">
        <f>COUNTIFS(班级,"="&amp;Q75,历史,"&gt;=90")</f>
        <v>0</v>
      </c>
      <c r="R80" s="51">
        <f>COUNTIFS(班级,"="&amp;R75,历史,"&gt;=90")</f>
        <v>0</v>
      </c>
      <c r="S80" s="51">
        <f>COUNTIFS(班级,"="&amp;S75,历史,"&gt;=90")</f>
        <v>0</v>
      </c>
      <c r="T80" s="51">
        <f t="shared" si="58"/>
        <v>0</v>
      </c>
      <c r="U80" s="51">
        <f>T80</f>
        <v>0</v>
      </c>
    </row>
    <row r="81" ht="12.95" customHeight="1" spans="1:21">
      <c r="A81" s="50" t="s">
        <v>2017</v>
      </c>
      <c r="B81" s="51">
        <f t="shared" ref="B81:L81" si="60">COUNTIFS(班级,"="&amp;B75,化学,"&gt;=80",化学,"&lt;90")</f>
        <v>0</v>
      </c>
      <c r="C81" s="51">
        <f t="shared" si="60"/>
        <v>0</v>
      </c>
      <c r="D81" s="51">
        <f t="shared" si="60"/>
        <v>0</v>
      </c>
      <c r="E81" s="51">
        <f t="shared" si="60"/>
        <v>0</v>
      </c>
      <c r="F81" s="51">
        <f t="shared" si="60"/>
        <v>0</v>
      </c>
      <c r="G81" s="51">
        <f t="shared" si="60"/>
        <v>0</v>
      </c>
      <c r="H81" s="51">
        <f t="shared" si="60"/>
        <v>0</v>
      </c>
      <c r="I81" s="51">
        <f t="shared" si="60"/>
        <v>0</v>
      </c>
      <c r="J81" s="51">
        <f t="shared" si="60"/>
        <v>0</v>
      </c>
      <c r="K81" s="51">
        <f t="shared" si="60"/>
        <v>0</v>
      </c>
      <c r="L81" s="51">
        <f t="shared" si="60"/>
        <v>0</v>
      </c>
      <c r="M81" s="51">
        <f t="shared" si="57"/>
        <v>0</v>
      </c>
      <c r="N81" s="80">
        <f t="shared" ref="N81:N85" si="61">N80+M81</f>
        <v>0</v>
      </c>
      <c r="O81" s="89">
        <f>COUNTIFS(班级,"="&amp;O75,历史,"&gt;=80",历史,"&lt;90")</f>
        <v>0</v>
      </c>
      <c r="P81" s="51">
        <f>COUNTIFS(班级,"="&amp;P75,历史,"&gt;=80",历史,"&lt;90")</f>
        <v>0</v>
      </c>
      <c r="Q81" s="51">
        <f>COUNTIFS(班级,"="&amp;Q75,历史,"&gt;=80",历史,"&lt;90")</f>
        <v>0</v>
      </c>
      <c r="R81" s="51">
        <f>COUNTIFS(班级,"="&amp;R75,历史,"&gt;=80",历史,"&lt;90")</f>
        <v>0</v>
      </c>
      <c r="S81" s="51">
        <f>COUNTIFS(班级,"="&amp;S75,历史,"&gt;=80",历史,"&lt;90")</f>
        <v>0</v>
      </c>
      <c r="T81" s="51">
        <f t="shared" si="58"/>
        <v>0</v>
      </c>
      <c r="U81" s="51">
        <f t="shared" ref="U81:U85" si="62">U80+T81</f>
        <v>0</v>
      </c>
    </row>
    <row r="82" ht="12.95" customHeight="1" spans="1:21">
      <c r="A82" s="50" t="s">
        <v>2018</v>
      </c>
      <c r="B82" s="51">
        <f t="shared" ref="B82:H82" si="63">COUNTIFS(班级,"="&amp;B$21,化学,"&gt;=70",化学,"&lt;80")</f>
        <v>0</v>
      </c>
      <c r="C82" s="51">
        <f t="shared" si="63"/>
        <v>0</v>
      </c>
      <c r="D82" s="51">
        <f t="shared" si="63"/>
        <v>0</v>
      </c>
      <c r="E82" s="51">
        <f t="shared" si="63"/>
        <v>0</v>
      </c>
      <c r="F82" s="51">
        <f t="shared" si="63"/>
        <v>0</v>
      </c>
      <c r="G82" s="51">
        <f t="shared" si="63"/>
        <v>7</v>
      </c>
      <c r="H82" s="51">
        <f t="shared" si="63"/>
        <v>1</v>
      </c>
      <c r="I82" s="51">
        <f>COUNTIFS(班级,"="&amp;K$21,化学,"&gt;=70",化学,"&lt;80")</f>
        <v>0</v>
      </c>
      <c r="J82" s="51">
        <f>COUNTIFS(班级,"="&amp;L$21,化学,"&gt;=70",化学,"&lt;80")</f>
        <v>1</v>
      </c>
      <c r="K82" s="51">
        <f>COUNTIFS(班级,"="&amp;M$21,化学,"&gt;=70",化学,"&lt;80")</f>
        <v>1</v>
      </c>
      <c r="L82" s="51">
        <f>COUNTIFS(班级,"="&amp;N$21,化学,"&gt;=70",化学,"&lt;80")</f>
        <v>1</v>
      </c>
      <c r="M82" s="51">
        <f t="shared" si="57"/>
        <v>11</v>
      </c>
      <c r="N82" s="80">
        <f t="shared" si="61"/>
        <v>11</v>
      </c>
      <c r="O82" s="89">
        <f>COUNTIFS(班级,"="&amp;O$21,历史,"&gt;=70",历史,"&lt;80")</f>
        <v>0</v>
      </c>
      <c r="P82" s="51">
        <f>COUNTIFS(班级,"="&amp;P$21,历史,"&gt;=70",历史,"&lt;80")</f>
        <v>0</v>
      </c>
      <c r="Q82" s="51">
        <f>COUNTIFS(班级,"="&amp;Q$21,历史,"&gt;=70",历史,"&lt;80")</f>
        <v>4</v>
      </c>
      <c r="R82" s="51">
        <f>COUNTIFS(班级,"="&amp;R$21,历史,"&gt;=70",历史,"&lt;80")</f>
        <v>1</v>
      </c>
      <c r="S82" s="51">
        <f>COUNTIFS(班级,"="&amp;S$21,历史,"&gt;=70",历史,"&lt;80")</f>
        <v>9</v>
      </c>
      <c r="T82" s="51">
        <f t="shared" si="58"/>
        <v>14</v>
      </c>
      <c r="U82" s="51">
        <f t="shared" si="62"/>
        <v>14</v>
      </c>
    </row>
    <row r="83" ht="12.95" customHeight="1" spans="1:21">
      <c r="A83" s="50" t="s">
        <v>2019</v>
      </c>
      <c r="B83" s="51">
        <f t="shared" ref="B83:L83" si="64">COUNTIFS(班级,"="&amp;B75,化学,"&gt;=60",化学,"&lt;70")</f>
        <v>4</v>
      </c>
      <c r="C83" s="51">
        <f t="shared" si="64"/>
        <v>5</v>
      </c>
      <c r="D83" s="51">
        <f t="shared" si="64"/>
        <v>4</v>
      </c>
      <c r="E83" s="51">
        <f t="shared" si="64"/>
        <v>5</v>
      </c>
      <c r="F83" s="51">
        <f t="shared" si="64"/>
        <v>3</v>
      </c>
      <c r="G83" s="51">
        <f t="shared" si="64"/>
        <v>17</v>
      </c>
      <c r="H83" s="51">
        <f t="shared" si="64"/>
        <v>4</v>
      </c>
      <c r="I83" s="51">
        <f t="shared" si="64"/>
        <v>2</v>
      </c>
      <c r="J83" s="51">
        <f t="shared" si="64"/>
        <v>3</v>
      </c>
      <c r="K83" s="51">
        <f t="shared" si="64"/>
        <v>1</v>
      </c>
      <c r="L83" s="51">
        <f t="shared" si="64"/>
        <v>2</v>
      </c>
      <c r="M83" s="51">
        <f t="shared" si="57"/>
        <v>50</v>
      </c>
      <c r="N83" s="80">
        <f t="shared" si="61"/>
        <v>61</v>
      </c>
      <c r="O83" s="89">
        <f>COUNTIFS(班级,"="&amp;O75,历史,"&gt;=60",历史,"&lt;70")</f>
        <v>12</v>
      </c>
      <c r="P83" s="51">
        <f>COUNTIFS(班级,"="&amp;P75,历史,"&gt;=60",历史,"&lt;70")</f>
        <v>11</v>
      </c>
      <c r="Q83" s="51">
        <f>COUNTIFS(班级,"="&amp;Q75,历史,"&gt;=60",历史,"&lt;70")</f>
        <v>24</v>
      </c>
      <c r="R83" s="51">
        <f>COUNTIFS(班级,"="&amp;R75,历史,"&gt;=60",历史,"&lt;70")</f>
        <v>16</v>
      </c>
      <c r="S83" s="51">
        <f>COUNTIFS(班级,"="&amp;S75,历史,"&gt;=60",历史,"&lt;70")</f>
        <v>28</v>
      </c>
      <c r="T83" s="51">
        <f t="shared" si="58"/>
        <v>91</v>
      </c>
      <c r="U83" s="51">
        <f t="shared" si="62"/>
        <v>105</v>
      </c>
    </row>
    <row r="84" ht="12.95" customHeight="1" spans="1:21">
      <c r="A84" s="50" t="s">
        <v>2020</v>
      </c>
      <c r="B84" s="51">
        <f t="shared" ref="B84:L84" si="65">COUNTIFS(班级,"="&amp;B75,化学,"&gt;=50",化学,"&lt;60")</f>
        <v>13</v>
      </c>
      <c r="C84" s="51">
        <f t="shared" si="65"/>
        <v>10</v>
      </c>
      <c r="D84" s="51">
        <f t="shared" si="65"/>
        <v>17</v>
      </c>
      <c r="E84" s="51">
        <f t="shared" si="65"/>
        <v>20</v>
      </c>
      <c r="F84" s="51">
        <f t="shared" si="65"/>
        <v>17</v>
      </c>
      <c r="G84" s="51">
        <f t="shared" si="65"/>
        <v>20</v>
      </c>
      <c r="H84" s="51">
        <f t="shared" si="65"/>
        <v>2</v>
      </c>
      <c r="I84" s="51">
        <f t="shared" si="65"/>
        <v>5</v>
      </c>
      <c r="J84" s="51">
        <f t="shared" si="65"/>
        <v>14</v>
      </c>
      <c r="K84" s="51">
        <f t="shared" si="65"/>
        <v>13</v>
      </c>
      <c r="L84" s="51">
        <f t="shared" si="65"/>
        <v>11</v>
      </c>
      <c r="M84" s="51">
        <f t="shared" si="57"/>
        <v>142</v>
      </c>
      <c r="N84" s="80">
        <f t="shared" si="61"/>
        <v>203</v>
      </c>
      <c r="O84" s="89">
        <f>COUNTIFS(班级,"="&amp;O75,历史,"&gt;=50",历史,"&lt;60")</f>
        <v>20</v>
      </c>
      <c r="P84" s="51">
        <f>COUNTIFS(班级,"="&amp;P75,历史,"&gt;=50",历史,"&lt;60")</f>
        <v>18</v>
      </c>
      <c r="Q84" s="51">
        <f>COUNTIFS(班级,"="&amp;Q75,历史,"&gt;=50",历史,"&lt;60")</f>
        <v>17</v>
      </c>
      <c r="R84" s="51">
        <f>COUNTIFS(班级,"="&amp;R75,历史,"&gt;=50",历史,"&lt;60")</f>
        <v>25</v>
      </c>
      <c r="S84" s="51">
        <f>COUNTIFS(班级,"="&amp;S75,历史,"&gt;=50",历史,"&lt;60")</f>
        <v>11</v>
      </c>
      <c r="T84" s="51">
        <f t="shared" si="58"/>
        <v>91</v>
      </c>
      <c r="U84" s="51">
        <f t="shared" si="62"/>
        <v>196</v>
      </c>
    </row>
    <row r="85" ht="12.95" customHeight="1" spans="1:21">
      <c r="A85" s="50" t="s">
        <v>2021</v>
      </c>
      <c r="B85" s="51">
        <f t="shared" ref="B85:L85" si="66">COUNTIFS(班级,"="&amp;B75,化学,"&gt;0",化学,"&lt;50")</f>
        <v>36</v>
      </c>
      <c r="C85" s="51">
        <f t="shared" si="66"/>
        <v>38</v>
      </c>
      <c r="D85" s="51">
        <f t="shared" si="66"/>
        <v>29</v>
      </c>
      <c r="E85" s="51">
        <f t="shared" si="66"/>
        <v>29</v>
      </c>
      <c r="F85" s="51">
        <f t="shared" si="66"/>
        <v>32</v>
      </c>
      <c r="G85" s="51">
        <f t="shared" si="66"/>
        <v>8</v>
      </c>
      <c r="H85" s="51">
        <f t="shared" si="66"/>
        <v>0</v>
      </c>
      <c r="I85" s="51">
        <f t="shared" si="66"/>
        <v>28</v>
      </c>
      <c r="J85" s="51">
        <f t="shared" si="66"/>
        <v>29</v>
      </c>
      <c r="K85" s="51">
        <f t="shared" si="66"/>
        <v>31</v>
      </c>
      <c r="L85" s="51">
        <f t="shared" si="66"/>
        <v>31</v>
      </c>
      <c r="M85" s="51">
        <f t="shared" si="57"/>
        <v>291</v>
      </c>
      <c r="N85" s="80">
        <f t="shared" si="61"/>
        <v>494</v>
      </c>
      <c r="O85" s="89">
        <f>COUNTIFS(班级,"="&amp;O75,历史,"&gt;0",历史,"&lt;50")</f>
        <v>9</v>
      </c>
      <c r="P85" s="51">
        <f>COUNTIFS(班级,"="&amp;P75,历史,"&gt;0",历史,"&lt;50")</f>
        <v>3</v>
      </c>
      <c r="Q85" s="51">
        <f>COUNTIFS(班级,"="&amp;Q75,历史,"&gt;0",历史,"&lt;50")</f>
        <v>1</v>
      </c>
      <c r="R85" s="51">
        <f>COUNTIFS(班级,"="&amp;R75,历史,"&gt;0",历史,"&lt;50")</f>
        <v>5</v>
      </c>
      <c r="S85" s="51">
        <f>COUNTIFS(班级,"="&amp;S75,历史,"&gt;0",历史,"&lt;50")</f>
        <v>1</v>
      </c>
      <c r="T85" s="51">
        <f t="shared" si="58"/>
        <v>19</v>
      </c>
      <c r="U85" s="51">
        <f t="shared" si="62"/>
        <v>215</v>
      </c>
    </row>
    <row r="86" ht="12.95" customHeight="1" spans="1:21">
      <c r="A86" s="50" t="s">
        <v>1974</v>
      </c>
      <c r="B86" s="54">
        <f t="shared" ref="B86:G86" si="67">COUNTIFS(班级,"="&amp;B75,化学,"&gt;="&amp;$N$86)/B77</f>
        <v>0.0943396226415094</v>
      </c>
      <c r="C86" s="54">
        <f t="shared" si="67"/>
        <v>0.113207547169811</v>
      </c>
      <c r="D86" s="54">
        <f t="shared" si="67"/>
        <v>0.12</v>
      </c>
      <c r="E86" s="54">
        <f t="shared" si="67"/>
        <v>0.111111111111111</v>
      </c>
      <c r="F86" s="54">
        <f t="shared" si="67"/>
        <v>0.0769230769230769</v>
      </c>
      <c r="G86" s="54">
        <f t="shared" si="67"/>
        <v>0.596153846153846</v>
      </c>
      <c r="H86" s="78">
        <f>(COUNTIFS(班级,"="&amp;H75,化学,"&gt;="&amp;$N$86)+COUNTIFS(班级,"="&amp;I75,化学,"&gt;="&amp;$N$86))/(H77+I77)</f>
        <v>0.19047619047619</v>
      </c>
      <c r="I86" s="95"/>
      <c r="J86" s="54">
        <f>COUNTIFS(班级,"="&amp;J75,化学,"&gt;="&amp;$N$86)/J77</f>
        <v>0.0851063829787234</v>
      </c>
      <c r="K86" s="54">
        <f>COUNTIFS(班级,"="&amp;K75,化学,"&gt;="&amp;$N$86)/K77</f>
        <v>0.0434782608695652</v>
      </c>
      <c r="L86" s="54">
        <f>COUNTIFS(班级,"="&amp;L75,化学,"&gt;="&amp;$N$86)/L77</f>
        <v>0.0888888888888889</v>
      </c>
      <c r="M86" s="73" t="s">
        <v>1975</v>
      </c>
      <c r="N86" s="80">
        <f>LARGE(化学,COUNT(化学)*0.15)</f>
        <v>58.25</v>
      </c>
      <c r="O86" s="96">
        <f>COUNTIFS(班级,"="&amp;O75,历史,"&gt;="&amp;$U$86)/O77</f>
        <v>0.121951219512195</v>
      </c>
      <c r="P86" s="95">
        <f>COUNTIFS(班级,"="&amp;P75,历史,"&gt;="&amp;$U$86)/P77</f>
        <v>0</v>
      </c>
      <c r="Q86" s="95">
        <f>COUNTIFS(班级,"="&amp;Q75,历史,"&gt;="&amp;$U$86)/Q77</f>
        <v>0.239130434782609</v>
      </c>
      <c r="R86" s="95">
        <f>COUNTIFS(班级,"="&amp;R75,历史,"&gt;="&amp;$U$86)/R77</f>
        <v>0.106382978723404</v>
      </c>
      <c r="S86" s="95">
        <f>COUNTIFS(班级,"="&amp;S75,历史,"&gt;="&amp;$U$86)/S77</f>
        <v>0.326530612244898</v>
      </c>
      <c r="T86" s="73" t="s">
        <v>1975</v>
      </c>
      <c r="U86" s="51">
        <f>LARGE(历史,COUNT(历史)*0.15)</f>
        <v>66</v>
      </c>
    </row>
    <row r="87" ht="12.95" customHeight="1" spans="1:21">
      <c r="A87" s="50" t="s">
        <v>2007</v>
      </c>
      <c r="B87" s="54">
        <f t="shared" ref="B87:G87" si="68">COUNTIFS(班级,"="&amp;B75,化学,"&gt;=60")/B77</f>
        <v>0.0754716981132075</v>
      </c>
      <c r="C87" s="54">
        <f t="shared" si="68"/>
        <v>0.0943396226415094</v>
      </c>
      <c r="D87" s="54">
        <f t="shared" si="68"/>
        <v>0.08</v>
      </c>
      <c r="E87" s="54">
        <f t="shared" si="68"/>
        <v>0.0925925925925926</v>
      </c>
      <c r="F87" s="54">
        <f t="shared" si="68"/>
        <v>0.0576923076923077</v>
      </c>
      <c r="G87" s="54">
        <f t="shared" si="68"/>
        <v>0.461538461538462</v>
      </c>
      <c r="H87" s="78">
        <f>(COUNTIFS(班级,"="&amp;H75,化学,"&gt;=60")+COUNTIFS(班级,"="&amp;I75,化学,"&gt;=60"))/(H77+I77)</f>
        <v>0.166666666666667</v>
      </c>
      <c r="I87" s="95"/>
      <c r="J87" s="54">
        <f>COUNTIFS(班级,"="&amp;J75,化学,"&gt;=60")/J77</f>
        <v>0.0851063829787234</v>
      </c>
      <c r="K87" s="54">
        <f>COUNTIFS(班级,"="&amp;K75,化学,"&gt;=60")/K77</f>
        <v>0.0434782608695652</v>
      </c>
      <c r="L87" s="54">
        <f>COUNTIFS(班级,"="&amp;L75,化学,"&gt;=60")/L77</f>
        <v>0.0666666666666667</v>
      </c>
      <c r="M87" s="67" t="s">
        <v>1976</v>
      </c>
      <c r="N87" s="97"/>
      <c r="O87" s="96">
        <f>COUNTIFS(班级,"="&amp;O75,历史,"&gt;=60")/O77</f>
        <v>0.292682926829268</v>
      </c>
      <c r="P87" s="54">
        <f>COUNTIFS(班级,"="&amp;P75,历史,"&gt;=60")/P77</f>
        <v>0.34375</v>
      </c>
      <c r="Q87" s="54">
        <f>COUNTIFS(班级,"="&amp;Q75,历史,"&gt;=60")/Q77</f>
        <v>0.608695652173913</v>
      </c>
      <c r="R87" s="54">
        <f>COUNTIFS(班级,"="&amp;R75,历史,"&gt;=60")/R77</f>
        <v>0.361702127659574</v>
      </c>
      <c r="S87" s="56">
        <f>COUNTIFS(班级,"="&amp;S75,历史,"&gt;=60")/S77</f>
        <v>0.755102040816326</v>
      </c>
      <c r="T87" s="51" t="s">
        <v>1976</v>
      </c>
      <c r="U87" s="51"/>
    </row>
    <row r="88" ht="12.95" customHeight="1" spans="1:21">
      <c r="A88" s="50" t="s">
        <v>1977</v>
      </c>
      <c r="B88" s="57">
        <f t="shared" ref="B88:G88" si="69">AVERAGEIFS(化学,班级,"="&amp;B75)</f>
        <v>45.0754716981132</v>
      </c>
      <c r="C88" s="57">
        <f t="shared" si="69"/>
        <v>44.1933962264151</v>
      </c>
      <c r="D88" s="57">
        <f t="shared" si="69"/>
        <v>46.96</v>
      </c>
      <c r="E88" s="57">
        <f t="shared" si="69"/>
        <v>47.8148148148148</v>
      </c>
      <c r="F88" s="57">
        <f t="shared" si="69"/>
        <v>47.5480769230769</v>
      </c>
      <c r="G88" s="57">
        <f t="shared" si="69"/>
        <v>59.6490384615385</v>
      </c>
      <c r="H88" s="79">
        <f>(AVERAGEIFS(化学,班级,"="&amp;H75)*H77+AVERAGEIFS(化学,班级,"="&amp;I75)*I77)/(H77+I77)</f>
        <v>44.7321428571429</v>
      </c>
      <c r="I88" s="85"/>
      <c r="J88" s="57">
        <f>AVERAGEIFS(化学,班级,"="&amp;J75)</f>
        <v>46.2287234042553</v>
      </c>
      <c r="K88" s="57">
        <f>AVERAGEIFS(化学,班级,"="&amp;K75)</f>
        <v>45.8097826086956</v>
      </c>
      <c r="L88" s="57">
        <f>AVERAGEIFS(化学,班级,"="&amp;L75)</f>
        <v>45.9611111111111</v>
      </c>
      <c r="M88" s="85">
        <f>AVERAGE(化学)</f>
        <v>47.4949392712551</v>
      </c>
      <c r="N88" s="97"/>
      <c r="O88" s="98">
        <f>AVERAGEIFS(历史,班级,"="&amp;O75)</f>
        <v>55.8780487804878</v>
      </c>
      <c r="P88" s="57">
        <f>AVERAGEIFS(历史,班级,"="&amp;P75)</f>
        <v>56.921875</v>
      </c>
      <c r="Q88" s="57">
        <f>AVERAGEIFS(历史,班级,"="&amp;Q75)</f>
        <v>61.7826086956522</v>
      </c>
      <c r="R88" s="57">
        <f>AVERAGEIFS(历史,班级,"="&amp;R75)</f>
        <v>57.6914893617021</v>
      </c>
      <c r="S88" s="57">
        <f>AVERAGEIFS(历史,班级,"="&amp;S75)</f>
        <v>63.8061224489796</v>
      </c>
      <c r="T88" s="57">
        <f>AVERAGE(历史)</f>
        <v>59.5</v>
      </c>
      <c r="U88" s="51"/>
    </row>
    <row r="89" ht="12.95" customHeight="1" spans="1:21">
      <c r="A89" s="53" t="s">
        <v>1759</v>
      </c>
      <c r="B89" s="57">
        <f t="shared" ref="B89:H89" si="70">B88-$M$88</f>
        <v>-2.41946757314186</v>
      </c>
      <c r="C89" s="57">
        <f t="shared" si="70"/>
        <v>-3.30154304483997</v>
      </c>
      <c r="D89" s="57">
        <f t="shared" si="70"/>
        <v>-0.534939271255062</v>
      </c>
      <c r="E89" s="57">
        <f t="shared" si="70"/>
        <v>0.319875543559753</v>
      </c>
      <c r="F89" s="57">
        <f t="shared" si="70"/>
        <v>0.0531376518218565</v>
      </c>
      <c r="G89" s="57">
        <f t="shared" si="70"/>
        <v>12.1540991902834</v>
      </c>
      <c r="H89" s="79">
        <f t="shared" si="70"/>
        <v>-2.76279641411221</v>
      </c>
      <c r="I89" s="85"/>
      <c r="J89" s="57">
        <f t="shared" ref="J89:L89" si="71">J88-$M$88</f>
        <v>-1.26621586699974</v>
      </c>
      <c r="K89" s="57">
        <f t="shared" si="71"/>
        <v>-1.68515666255941</v>
      </c>
      <c r="L89" s="57">
        <f t="shared" si="71"/>
        <v>-1.53382816014395</v>
      </c>
      <c r="M89" s="57"/>
      <c r="N89" s="57"/>
      <c r="O89" s="99">
        <f t="shared" ref="O89:S89" si="72">O88-$T$88</f>
        <v>-3.6219512195122</v>
      </c>
      <c r="P89" s="57">
        <f t="shared" si="72"/>
        <v>-2.578125</v>
      </c>
      <c r="Q89" s="57">
        <f t="shared" si="72"/>
        <v>2.28260869565217</v>
      </c>
      <c r="R89" s="85">
        <f t="shared" si="72"/>
        <v>-1.80851063829788</v>
      </c>
      <c r="S89" s="85">
        <f t="shared" si="72"/>
        <v>4.30612244897959</v>
      </c>
      <c r="T89" s="57"/>
      <c r="U89" s="51"/>
    </row>
    <row r="90" ht="12.95" customHeight="1" spans="1:21">
      <c r="A90" s="50" t="s">
        <v>1978</v>
      </c>
      <c r="B90" s="51">
        <f t="shared" ref="B90:H90" si="73">RANK(B88,$B88:$L88)</f>
        <v>8</v>
      </c>
      <c r="C90" s="51">
        <f t="shared" si="73"/>
        <v>10</v>
      </c>
      <c r="D90" s="51">
        <f t="shared" si="73"/>
        <v>4</v>
      </c>
      <c r="E90" s="51">
        <f t="shared" si="73"/>
        <v>2</v>
      </c>
      <c r="F90" s="51">
        <f t="shared" si="73"/>
        <v>3</v>
      </c>
      <c r="G90" s="51">
        <f t="shared" si="73"/>
        <v>1</v>
      </c>
      <c r="H90" s="80">
        <f t="shared" si="73"/>
        <v>9</v>
      </c>
      <c r="I90" s="68"/>
      <c r="J90" s="51">
        <f>RANK(J88,$B88:$L88)</f>
        <v>5</v>
      </c>
      <c r="K90" s="51">
        <f>RANK(K88,$B88:$L88)</f>
        <v>7</v>
      </c>
      <c r="L90" s="51">
        <f>RANK(L88,$B88:$L88)</f>
        <v>6</v>
      </c>
      <c r="M90" s="67"/>
      <c r="N90" s="97"/>
      <c r="O90" s="89">
        <f t="shared" ref="O90:S90" si="74">RANK(O88,$O88:$S88)</f>
        <v>5</v>
      </c>
      <c r="P90" s="68">
        <f t="shared" si="74"/>
        <v>4</v>
      </c>
      <c r="Q90" s="68">
        <f t="shared" si="74"/>
        <v>2</v>
      </c>
      <c r="R90" s="68">
        <f t="shared" si="74"/>
        <v>3</v>
      </c>
      <c r="S90" s="68">
        <f t="shared" si="74"/>
        <v>1</v>
      </c>
      <c r="T90" s="51"/>
      <c r="U90" s="51"/>
    </row>
    <row r="91" ht="12.95" customHeight="1" spans="1:19">
      <c r="A91" s="58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</row>
    <row r="92" ht="12.95" customHeight="1" spans="1:21">
      <c r="A92" s="49" t="s">
        <v>2031</v>
      </c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87"/>
      <c r="O92" s="88" t="s">
        <v>2032</v>
      </c>
      <c r="P92" s="49"/>
      <c r="Q92" s="49"/>
      <c r="R92" s="49"/>
      <c r="S92" s="49"/>
      <c r="T92" s="49"/>
      <c r="U92" s="49"/>
    </row>
    <row r="93" ht="12.95" customHeight="1" spans="1:21">
      <c r="A93" s="50" t="s">
        <v>1953</v>
      </c>
      <c r="B93" s="51">
        <v>1</v>
      </c>
      <c r="C93" s="51">
        <v>2</v>
      </c>
      <c r="D93" s="51">
        <v>3</v>
      </c>
      <c r="E93" s="51">
        <v>4</v>
      </c>
      <c r="F93" s="51">
        <v>5</v>
      </c>
      <c r="G93" s="51">
        <v>6</v>
      </c>
      <c r="H93" s="51">
        <v>7</v>
      </c>
      <c r="I93" s="51">
        <v>8</v>
      </c>
      <c r="J93" s="51">
        <v>9</v>
      </c>
      <c r="K93" s="51">
        <v>14</v>
      </c>
      <c r="L93" s="51">
        <v>15</v>
      </c>
      <c r="M93" s="69" t="s">
        <v>1954</v>
      </c>
      <c r="N93" s="100"/>
      <c r="O93" s="68">
        <v>10</v>
      </c>
      <c r="P93" s="51">
        <v>14</v>
      </c>
      <c r="Q93" s="51">
        <v>16</v>
      </c>
      <c r="R93" s="51">
        <v>17</v>
      </c>
      <c r="S93" s="51">
        <v>18</v>
      </c>
      <c r="T93" s="69" t="s">
        <v>1954</v>
      </c>
      <c r="U93" s="70"/>
    </row>
    <row r="94" ht="12.95" customHeight="1" spans="1:21">
      <c r="A94" s="52" t="s">
        <v>1955</v>
      </c>
      <c r="B94" s="50" t="s">
        <v>2033</v>
      </c>
      <c r="C94" s="53" t="s">
        <v>2034</v>
      </c>
      <c r="D94" s="50" t="s">
        <v>2035</v>
      </c>
      <c r="E94" s="46" t="s">
        <v>1828</v>
      </c>
      <c r="F94" s="46" t="s">
        <v>1828</v>
      </c>
      <c r="G94" s="50" t="s">
        <v>2033</v>
      </c>
      <c r="H94" s="50" t="s">
        <v>2036</v>
      </c>
      <c r="I94" s="50" t="s">
        <v>2036</v>
      </c>
      <c r="J94" s="53" t="s">
        <v>2034</v>
      </c>
      <c r="K94" s="53" t="s">
        <v>1829</v>
      </c>
      <c r="L94" s="53" t="s">
        <v>1829</v>
      </c>
      <c r="M94" s="71"/>
      <c r="N94" s="101"/>
      <c r="O94" s="102" t="s">
        <v>2037</v>
      </c>
      <c r="P94" s="53" t="s">
        <v>2037</v>
      </c>
      <c r="Q94" s="50" t="s">
        <v>2038</v>
      </c>
      <c r="R94" s="50" t="s">
        <v>2039</v>
      </c>
      <c r="S94" s="50" t="s">
        <v>2038</v>
      </c>
      <c r="T94" s="71"/>
      <c r="U94" s="72"/>
    </row>
    <row r="95" ht="12.95" customHeight="1" spans="1:21">
      <c r="A95" s="50" t="s">
        <v>1965</v>
      </c>
      <c r="B95" s="51">
        <f t="shared" ref="B95:L95" si="75">COUNTIFS(班级,"="&amp;B93,生物,"&gt;0")</f>
        <v>53</v>
      </c>
      <c r="C95" s="51">
        <f t="shared" si="75"/>
        <v>54</v>
      </c>
      <c r="D95" s="51">
        <f t="shared" si="75"/>
        <v>51</v>
      </c>
      <c r="E95" s="51">
        <f t="shared" si="75"/>
        <v>54</v>
      </c>
      <c r="F95" s="51">
        <f t="shared" si="75"/>
        <v>51</v>
      </c>
      <c r="G95" s="51">
        <f t="shared" si="75"/>
        <v>52</v>
      </c>
      <c r="H95" s="51">
        <f t="shared" si="75"/>
        <v>37</v>
      </c>
      <c r="I95" s="51">
        <f t="shared" si="75"/>
        <v>49</v>
      </c>
      <c r="J95" s="51">
        <f t="shared" si="75"/>
        <v>50</v>
      </c>
      <c r="K95" s="51">
        <f t="shared" si="75"/>
        <v>41</v>
      </c>
      <c r="L95" s="51">
        <f t="shared" si="75"/>
        <v>34</v>
      </c>
      <c r="M95" s="51">
        <f t="shared" ref="M95:M103" si="76">SUM(B95:L95)</f>
        <v>526</v>
      </c>
      <c r="N95" s="103"/>
      <c r="O95" s="68">
        <f>COUNTIFS(班级,"="&amp;O93,政治,"&gt;0")</f>
        <v>35</v>
      </c>
      <c r="P95" s="51">
        <f>COUNTIFS(班级,"="&amp;P93,政治,"&gt;0")</f>
        <v>41</v>
      </c>
      <c r="Q95" s="51">
        <f>COUNTIFS(班级,"="&amp;Q93,政治,"&gt;0")</f>
        <v>46</v>
      </c>
      <c r="R95" s="51">
        <f>COUNTIFS(班级,"="&amp;R93,政治,"&gt;0")</f>
        <v>47</v>
      </c>
      <c r="S95" s="51">
        <f>COUNTIFS(班级,"="&amp;S93,政治,"&gt;0")</f>
        <v>49</v>
      </c>
      <c r="T95" s="51">
        <f t="shared" ref="T95:T103" si="77">SUM(O95:S95)</f>
        <v>218</v>
      </c>
      <c r="U95" s="51"/>
    </row>
    <row r="96" ht="12.95" customHeight="1" spans="1:21">
      <c r="A96" s="50" t="s">
        <v>1991</v>
      </c>
      <c r="B96" s="51">
        <f t="array" ref="B96">MAX(IF((班级=B93)*(生物&gt;0),生物))</f>
        <v>71</v>
      </c>
      <c r="C96" s="51">
        <f t="array" ref="C96">MAX(IF((班级=C93)*(生物&gt;0),生物))</f>
        <v>75.5</v>
      </c>
      <c r="D96" s="51">
        <f t="array" ref="D96">MAX(IF((班级=D93)*(生物&gt;0),生物))</f>
        <v>67</v>
      </c>
      <c r="E96" s="51">
        <f t="array" ref="E96">MAX(IF((班级=E93)*(生物&gt;0),生物))</f>
        <v>75</v>
      </c>
      <c r="F96" s="51">
        <f t="array" ref="F96">MAX(IF((班级=F93)*(生物&gt;0),生物))</f>
        <v>70.5</v>
      </c>
      <c r="G96" s="51">
        <f t="array" ref="G96">MAX(IF((班级=G93)*(生物&gt;0),生物))</f>
        <v>77</v>
      </c>
      <c r="H96" s="51">
        <f t="array" ref="H96">MAX(IF((班级=H93)*(生物&gt;0),生物))</f>
        <v>74.5</v>
      </c>
      <c r="I96" s="51">
        <f t="array" ref="I96">MAX(IF((班级=I93)*(生物&gt;0),生物))</f>
        <v>78</v>
      </c>
      <c r="J96" s="51">
        <f t="array" ref="J96">MAX(IF((班级=J93)*(生物&gt;0),生物))</f>
        <v>79.5</v>
      </c>
      <c r="K96" s="51">
        <f t="array" ref="K96">MAX(IF((班级=K93)*(生物&gt;0),生物))</f>
        <v>66.5</v>
      </c>
      <c r="L96" s="51">
        <f t="array" ref="L96">MAX(IF((班级=L93)*(生物&gt;0),生物))</f>
        <v>74</v>
      </c>
      <c r="M96" s="51"/>
      <c r="N96" s="103"/>
      <c r="O96" s="68">
        <f t="array" ref="O96">MAX(IF((班级=O93)*(政治&gt;0),政治))</f>
        <v>72</v>
      </c>
      <c r="P96" s="51">
        <f t="array" ref="P96">MAX(IF((班级=P93)*(政治&gt;0),政治))</f>
        <v>73</v>
      </c>
      <c r="Q96" s="51">
        <f t="array" ref="Q96">MAX(IF((班级=Q93)*(政治&gt;0),政治))</f>
        <v>66.5</v>
      </c>
      <c r="R96" s="51">
        <f t="array" ref="R96">MAX(IF((班级=R93)*(政治&gt;0),政治))</f>
        <v>73.25</v>
      </c>
      <c r="S96" s="51">
        <f t="array" ref="S96">MAX(IF((班级=S93)*(政治&gt;0),政治))</f>
        <v>71.5</v>
      </c>
      <c r="T96" s="51"/>
      <c r="U96" s="51"/>
    </row>
    <row r="97" ht="12.95" customHeight="1" spans="1:21">
      <c r="A97" s="50" t="s">
        <v>1992</v>
      </c>
      <c r="B97" s="51">
        <f t="array" ref="B97">MIN(IF((班级=B93)*(生物&gt;0),生物))</f>
        <v>27</v>
      </c>
      <c r="C97" s="51">
        <f t="array" ref="C97">MIN(IF((班级=C93)*(生物&gt;0),生物))</f>
        <v>26.5</v>
      </c>
      <c r="D97" s="51">
        <f t="array" ref="D97">MIN(IF((班级=D93)*(生物&gt;0),生物))</f>
        <v>30</v>
      </c>
      <c r="E97" s="51">
        <f t="array" ref="E97">MIN(IF((班级=E93)*(生物&gt;0),生物))</f>
        <v>24</v>
      </c>
      <c r="F97" s="51">
        <f t="array" ref="F97">MIN(IF((班级=F93)*(生物&gt;0),生物))</f>
        <v>32</v>
      </c>
      <c r="G97" s="51">
        <f t="array" ref="G97">MIN(IF((班级=G93)*(生物&gt;0),生物))</f>
        <v>48.5</v>
      </c>
      <c r="H97" s="51">
        <f t="array" ref="H97">MIN(IF((班级=H93)*(生物&gt;0),生物))</f>
        <v>35</v>
      </c>
      <c r="I97" s="51">
        <f t="array" ref="I97">MIN(IF((班级=I93)*(生物&gt;0),生物))</f>
        <v>36</v>
      </c>
      <c r="J97" s="51">
        <f t="array" ref="J97">MIN(IF((班级=J93)*(生物&gt;0),生物))</f>
        <v>31</v>
      </c>
      <c r="K97" s="51">
        <f t="array" ref="K97">MIN(IF((班级=K93)*(生物&gt;0),生物))</f>
        <v>28</v>
      </c>
      <c r="L97" s="51">
        <f t="array" ref="L97">MIN(IF((班级=L93)*(生物&gt;0),生物))</f>
        <v>25</v>
      </c>
      <c r="M97" s="51" t="s">
        <v>1966</v>
      </c>
      <c r="N97" s="103" t="s">
        <v>1967</v>
      </c>
      <c r="O97" s="68">
        <f t="array" ref="O97">MIN(IF((班级=O93)*(政治&gt;0),政治))</f>
        <v>34.5</v>
      </c>
      <c r="P97" s="51">
        <f t="array" ref="P97">MIN(IF((班级=P93)*(政治&gt;0),政治))</f>
        <v>34.5</v>
      </c>
      <c r="Q97" s="51">
        <f t="array" ref="Q97">MIN(IF((班级=Q93)*(政治&gt;0),政治))</f>
        <v>37.75</v>
      </c>
      <c r="R97" s="51">
        <f t="array" ref="R97">MIN(IF((班级=R93)*(政治&gt;0),政治))</f>
        <v>28.5</v>
      </c>
      <c r="S97" s="51">
        <f t="array" ref="S97">MIN(IF((班级=S93)*(政治&gt;0),政治))</f>
        <v>43.5</v>
      </c>
      <c r="T97" s="51" t="s">
        <v>1966</v>
      </c>
      <c r="U97" s="51" t="s">
        <v>1967</v>
      </c>
    </row>
    <row r="98" ht="12.95" customHeight="1" spans="1:21">
      <c r="A98" s="50" t="s">
        <v>2016</v>
      </c>
      <c r="B98" s="51">
        <f t="shared" ref="B98:L98" si="78">COUNTIFS(班级,"="&amp;B93,生物,"&gt;=90")</f>
        <v>0</v>
      </c>
      <c r="C98" s="51">
        <f t="shared" si="78"/>
        <v>0</v>
      </c>
      <c r="D98" s="51">
        <f t="shared" si="78"/>
        <v>0</v>
      </c>
      <c r="E98" s="51">
        <f t="shared" si="78"/>
        <v>0</v>
      </c>
      <c r="F98" s="51">
        <f t="shared" si="78"/>
        <v>0</v>
      </c>
      <c r="G98" s="51">
        <f t="shared" si="78"/>
        <v>0</v>
      </c>
      <c r="H98" s="51">
        <f t="shared" si="78"/>
        <v>0</v>
      </c>
      <c r="I98" s="51">
        <f t="shared" si="78"/>
        <v>0</v>
      </c>
      <c r="J98" s="51">
        <f t="shared" si="78"/>
        <v>0</v>
      </c>
      <c r="K98" s="51">
        <f t="shared" si="78"/>
        <v>0</v>
      </c>
      <c r="L98" s="51">
        <f t="shared" si="78"/>
        <v>0</v>
      </c>
      <c r="M98" s="51">
        <f t="shared" si="76"/>
        <v>0</v>
      </c>
      <c r="N98" s="103">
        <f>M98</f>
        <v>0</v>
      </c>
      <c r="O98" s="68">
        <f>COUNTIFS(班级,"="&amp;O93,政治,"&gt;=90")</f>
        <v>0</v>
      </c>
      <c r="P98" s="51">
        <f>COUNTIFS(班级,"="&amp;P93,政治,"&gt;=90")</f>
        <v>0</v>
      </c>
      <c r="Q98" s="51">
        <f>COUNTIFS(班级,"="&amp;Q93,政治,"&gt;=90")</f>
        <v>0</v>
      </c>
      <c r="R98" s="51">
        <f>COUNTIFS(班级,"="&amp;R93,政治,"&gt;=90")</f>
        <v>0</v>
      </c>
      <c r="S98" s="51">
        <f>COUNTIFS(班级,"="&amp;S93,政治,"&gt;=90")</f>
        <v>0</v>
      </c>
      <c r="T98" s="51">
        <f t="shared" si="77"/>
        <v>0</v>
      </c>
      <c r="U98" s="51">
        <f>T98</f>
        <v>0</v>
      </c>
    </row>
    <row r="99" ht="12.95" customHeight="1" spans="1:21">
      <c r="A99" s="50" t="s">
        <v>2017</v>
      </c>
      <c r="B99" s="51">
        <f t="shared" ref="B99:L99" si="79">COUNTIFS(班级,"="&amp;B93,生物,"&gt;=80",生物,"&lt;90")</f>
        <v>0</v>
      </c>
      <c r="C99" s="51">
        <f t="shared" si="79"/>
        <v>0</v>
      </c>
      <c r="D99" s="51">
        <f t="shared" si="79"/>
        <v>0</v>
      </c>
      <c r="E99" s="51">
        <f t="shared" si="79"/>
        <v>0</v>
      </c>
      <c r="F99" s="51">
        <f t="shared" si="79"/>
        <v>0</v>
      </c>
      <c r="G99" s="51">
        <f t="shared" si="79"/>
        <v>0</v>
      </c>
      <c r="H99" s="51">
        <f t="shared" si="79"/>
        <v>0</v>
      </c>
      <c r="I99" s="51">
        <f t="shared" si="79"/>
        <v>0</v>
      </c>
      <c r="J99" s="51">
        <f t="shared" si="79"/>
        <v>0</v>
      </c>
      <c r="K99" s="51">
        <f t="shared" si="79"/>
        <v>0</v>
      </c>
      <c r="L99" s="51">
        <f t="shared" si="79"/>
        <v>0</v>
      </c>
      <c r="M99" s="51">
        <f t="shared" si="76"/>
        <v>0</v>
      </c>
      <c r="N99" s="103">
        <f t="shared" ref="N99:N103" si="80">N98+M99</f>
        <v>0</v>
      </c>
      <c r="O99" s="68">
        <f>COUNTIFS(班级,"="&amp;O93,政治,"&gt;=80",政治,"&lt;90")</f>
        <v>0</v>
      </c>
      <c r="P99" s="51">
        <f>COUNTIFS(班级,"="&amp;P93,政治,"&gt;=80",政治,"&lt;90")</f>
        <v>0</v>
      </c>
      <c r="Q99" s="51">
        <f>COUNTIFS(班级,"="&amp;Q93,政治,"&gt;=80",政治,"&lt;90")</f>
        <v>0</v>
      </c>
      <c r="R99" s="51">
        <f>COUNTIFS(班级,"="&amp;R93,政治,"&gt;=80",政治,"&lt;90")</f>
        <v>0</v>
      </c>
      <c r="S99" s="51">
        <f>COUNTIFS(班级,"="&amp;S93,政治,"&gt;=80",政治,"&lt;90")</f>
        <v>0</v>
      </c>
      <c r="T99" s="51">
        <f t="shared" si="77"/>
        <v>0</v>
      </c>
      <c r="U99" s="51">
        <f t="shared" ref="U99:U103" si="81">U98+T99</f>
        <v>0</v>
      </c>
    </row>
    <row r="100" ht="12.95" customHeight="1" spans="1:21">
      <c r="A100" s="50" t="s">
        <v>2018</v>
      </c>
      <c r="B100" s="51">
        <f t="shared" ref="B100:J100" si="82">COUNTIFS(班级,"="&amp;B$21,生物,"&gt;=70",生物,"&lt;80")</f>
        <v>2</v>
      </c>
      <c r="C100" s="51">
        <f t="shared" si="82"/>
        <v>1</v>
      </c>
      <c r="D100" s="51">
        <f t="shared" si="82"/>
        <v>0</v>
      </c>
      <c r="E100" s="51">
        <f t="shared" si="82"/>
        <v>2</v>
      </c>
      <c r="F100" s="51">
        <f t="shared" si="82"/>
        <v>1</v>
      </c>
      <c r="G100" s="51">
        <f t="shared" si="82"/>
        <v>8</v>
      </c>
      <c r="H100" s="51">
        <f t="shared" si="82"/>
        <v>2</v>
      </c>
      <c r="I100" s="51">
        <f t="shared" si="82"/>
        <v>1</v>
      </c>
      <c r="J100" s="51">
        <f t="shared" si="82"/>
        <v>1</v>
      </c>
      <c r="K100" s="51">
        <f>COUNTIFS(班级,"="&amp;O$21,生物,"&gt;=70",生物,"&lt;80")</f>
        <v>0</v>
      </c>
      <c r="L100" s="51">
        <f>COUNTIFS(班级,"="&amp;P$21,生物,"&gt;=70",生物,"&lt;80")</f>
        <v>1</v>
      </c>
      <c r="M100" s="51">
        <f t="shared" si="76"/>
        <v>19</v>
      </c>
      <c r="N100" s="103">
        <f t="shared" si="80"/>
        <v>19</v>
      </c>
      <c r="O100" s="68">
        <f>COUNTIFS(班级,"="&amp;K$21,政治,"&gt;=70",政治,"&lt;80")</f>
        <v>1</v>
      </c>
      <c r="P100" s="51">
        <f>COUNTIFS(班级,"="&amp;K$21,政治,"&gt;=70",政治,"&lt;80")</f>
        <v>1</v>
      </c>
      <c r="Q100" s="51">
        <f>COUNTIFS(班级,"="&amp;Q$21,政治,"&gt;=70",政治,"&lt;80")</f>
        <v>0</v>
      </c>
      <c r="R100" s="51">
        <f>COUNTIFS(班级,"="&amp;R$21,政治,"&gt;=70",政治,"&lt;80")</f>
        <v>1</v>
      </c>
      <c r="S100" s="51">
        <f>COUNTIFS(班级,"="&amp;S$21,政治,"&gt;=70",政治,"&lt;80")</f>
        <v>1</v>
      </c>
      <c r="T100" s="51">
        <f t="shared" si="77"/>
        <v>4</v>
      </c>
      <c r="U100" s="51">
        <f t="shared" si="81"/>
        <v>4</v>
      </c>
    </row>
    <row r="101" ht="12.95" customHeight="1" spans="1:21">
      <c r="A101" s="50" t="s">
        <v>2019</v>
      </c>
      <c r="B101" s="51">
        <f t="shared" ref="B101:L101" si="83">COUNTIFS(班级,"="&amp;B93,生物,"&gt;=60",生物,"&lt;70")</f>
        <v>9</v>
      </c>
      <c r="C101" s="51">
        <f t="shared" si="83"/>
        <v>4</v>
      </c>
      <c r="D101" s="51">
        <f t="shared" si="83"/>
        <v>8</v>
      </c>
      <c r="E101" s="51">
        <f t="shared" si="83"/>
        <v>13</v>
      </c>
      <c r="F101" s="51">
        <f t="shared" si="83"/>
        <v>10</v>
      </c>
      <c r="G101" s="51">
        <f t="shared" si="83"/>
        <v>29</v>
      </c>
      <c r="H101" s="51">
        <f t="shared" si="83"/>
        <v>14</v>
      </c>
      <c r="I101" s="51">
        <f t="shared" si="83"/>
        <v>11</v>
      </c>
      <c r="J101" s="51">
        <f t="shared" si="83"/>
        <v>7</v>
      </c>
      <c r="K101" s="51">
        <f t="shared" si="83"/>
        <v>5</v>
      </c>
      <c r="L101" s="51">
        <f t="shared" si="83"/>
        <v>6</v>
      </c>
      <c r="M101" s="51">
        <f t="shared" si="76"/>
        <v>116</v>
      </c>
      <c r="N101" s="103">
        <f t="shared" si="80"/>
        <v>135</v>
      </c>
      <c r="O101" s="68">
        <f>COUNTIFS(班级,"="&amp;O93,政治,"&gt;=60",政治,"&lt;70")</f>
        <v>2</v>
      </c>
      <c r="P101" s="51">
        <f>COUNTIFS(班级,"="&amp;P93,政治,"&gt;=60",政治,"&lt;70")</f>
        <v>4</v>
      </c>
      <c r="Q101" s="51">
        <f>COUNTIFS(班级,"="&amp;Q93,政治,"&gt;=60",政治,"&lt;70")</f>
        <v>10</v>
      </c>
      <c r="R101" s="51">
        <f>COUNTIFS(班级,"="&amp;R93,政治,"&gt;=60",政治,"&lt;70")</f>
        <v>8</v>
      </c>
      <c r="S101" s="51">
        <f>COUNTIFS(班级,"="&amp;S93,政治,"&gt;=60",政治,"&lt;70")</f>
        <v>14</v>
      </c>
      <c r="T101" s="51">
        <f t="shared" si="77"/>
        <v>38</v>
      </c>
      <c r="U101" s="51">
        <f t="shared" si="81"/>
        <v>42</v>
      </c>
    </row>
    <row r="102" ht="12.95" customHeight="1" spans="1:21">
      <c r="A102" s="50" t="s">
        <v>2020</v>
      </c>
      <c r="B102" s="51">
        <f t="shared" ref="B102:L102" si="84">COUNTIFS(班级,"="&amp;B93,生物,"&gt;=50",生物,"&lt;60")</f>
        <v>23</v>
      </c>
      <c r="C102" s="51">
        <f t="shared" si="84"/>
        <v>15</v>
      </c>
      <c r="D102" s="51">
        <f t="shared" si="84"/>
        <v>18</v>
      </c>
      <c r="E102" s="51">
        <f t="shared" si="84"/>
        <v>17</v>
      </c>
      <c r="F102" s="51">
        <f t="shared" si="84"/>
        <v>23</v>
      </c>
      <c r="G102" s="51">
        <f t="shared" si="84"/>
        <v>12</v>
      </c>
      <c r="H102" s="51">
        <f t="shared" si="84"/>
        <v>17</v>
      </c>
      <c r="I102" s="51">
        <f t="shared" si="84"/>
        <v>17</v>
      </c>
      <c r="J102" s="51">
        <f t="shared" si="84"/>
        <v>22</v>
      </c>
      <c r="K102" s="51">
        <f t="shared" si="84"/>
        <v>14</v>
      </c>
      <c r="L102" s="51">
        <f t="shared" si="84"/>
        <v>13</v>
      </c>
      <c r="M102" s="51">
        <f t="shared" si="76"/>
        <v>191</v>
      </c>
      <c r="N102" s="103">
        <f t="shared" si="80"/>
        <v>326</v>
      </c>
      <c r="O102" s="68">
        <f>COUNTIFS(班级,"="&amp;O93,政治,"&gt;=50",政治,"&lt;60")</f>
        <v>12</v>
      </c>
      <c r="P102" s="51">
        <f>COUNTIFS(班级,"="&amp;P93,政治,"&gt;=50",政治,"&lt;60")</f>
        <v>14</v>
      </c>
      <c r="Q102" s="51">
        <f>COUNTIFS(班级,"="&amp;Q93,政治,"&gt;=50",政治,"&lt;60")</f>
        <v>22</v>
      </c>
      <c r="R102" s="51">
        <f>COUNTIFS(班级,"="&amp;R93,政治,"&gt;=50",政治,"&lt;60")</f>
        <v>14</v>
      </c>
      <c r="S102" s="51">
        <f>COUNTIFS(班级,"="&amp;S93,政治,"&gt;=50",政治,"&lt;60")</f>
        <v>28</v>
      </c>
      <c r="T102" s="51">
        <f t="shared" si="77"/>
        <v>90</v>
      </c>
      <c r="U102" s="51">
        <f t="shared" si="81"/>
        <v>132</v>
      </c>
    </row>
    <row r="103" ht="12.95" customHeight="1" spans="1:21">
      <c r="A103" s="50" t="s">
        <v>2021</v>
      </c>
      <c r="B103" s="51">
        <f t="shared" ref="B103:L103" si="85">COUNTIFS(班级,"="&amp;B93,生物,"&gt;0",生物,"&lt;50")</f>
        <v>19</v>
      </c>
      <c r="C103" s="51">
        <f t="shared" si="85"/>
        <v>34</v>
      </c>
      <c r="D103" s="51">
        <f t="shared" si="85"/>
        <v>25</v>
      </c>
      <c r="E103" s="51">
        <f t="shared" si="85"/>
        <v>22</v>
      </c>
      <c r="F103" s="51">
        <f t="shared" si="85"/>
        <v>17</v>
      </c>
      <c r="G103" s="51">
        <f t="shared" si="85"/>
        <v>3</v>
      </c>
      <c r="H103" s="51">
        <f t="shared" si="85"/>
        <v>4</v>
      </c>
      <c r="I103" s="51">
        <f t="shared" si="85"/>
        <v>20</v>
      </c>
      <c r="J103" s="51">
        <f t="shared" si="85"/>
        <v>20</v>
      </c>
      <c r="K103" s="51">
        <f t="shared" si="85"/>
        <v>22</v>
      </c>
      <c r="L103" s="51">
        <f t="shared" si="85"/>
        <v>14</v>
      </c>
      <c r="M103" s="51">
        <f t="shared" si="76"/>
        <v>200</v>
      </c>
      <c r="N103" s="103">
        <f t="shared" si="80"/>
        <v>526</v>
      </c>
      <c r="O103" s="68">
        <f>COUNTIFS(班级,"="&amp;O93,政治,"&gt;0",政治,"&lt;50")</f>
        <v>20</v>
      </c>
      <c r="P103" s="51">
        <f>COUNTIFS(班级,"="&amp;P93,政治,"&gt;0",政治,"&lt;50")</f>
        <v>22</v>
      </c>
      <c r="Q103" s="51">
        <f>COUNTIFS(班级,"="&amp;Q93,政治,"&gt;0",政治,"&lt;50")</f>
        <v>14</v>
      </c>
      <c r="R103" s="51">
        <f>COUNTIFS(班级,"="&amp;R93,政治,"&gt;0",政治,"&lt;50")</f>
        <v>24</v>
      </c>
      <c r="S103" s="51">
        <f>COUNTIFS(班级,"="&amp;S93,政治,"&gt;0",政治,"&lt;50")</f>
        <v>6</v>
      </c>
      <c r="T103" s="51">
        <f t="shared" si="77"/>
        <v>86</v>
      </c>
      <c r="U103" s="51">
        <f t="shared" si="81"/>
        <v>218</v>
      </c>
    </row>
    <row r="104" ht="12.95" customHeight="1" spans="1:21">
      <c r="A104" s="50" t="s">
        <v>1974</v>
      </c>
      <c r="B104" s="54">
        <f t="shared" ref="B104:L104" si="86">COUNTIFS(班级,"="&amp;B93,生物,"&gt;="&amp;$N$104)/B95</f>
        <v>0.113207547169811</v>
      </c>
      <c r="C104" s="54">
        <f t="shared" si="86"/>
        <v>0.037037037037037</v>
      </c>
      <c r="D104" s="54">
        <f t="shared" si="86"/>
        <v>0.117647058823529</v>
      </c>
      <c r="E104" s="54">
        <f t="shared" si="86"/>
        <v>0.12962962962963</v>
      </c>
      <c r="F104" s="54">
        <f t="shared" si="86"/>
        <v>0.137254901960784</v>
      </c>
      <c r="G104" s="54">
        <f t="shared" si="86"/>
        <v>0.519230769230769</v>
      </c>
      <c r="H104" s="54">
        <f t="shared" si="86"/>
        <v>0.351351351351351</v>
      </c>
      <c r="I104" s="54">
        <f t="shared" si="86"/>
        <v>0.0816326530612245</v>
      </c>
      <c r="J104" s="54">
        <f t="shared" si="86"/>
        <v>0.12</v>
      </c>
      <c r="K104" s="54">
        <f t="shared" si="86"/>
        <v>0.0487804878048781</v>
      </c>
      <c r="L104" s="54">
        <f t="shared" si="86"/>
        <v>0.147058823529412</v>
      </c>
      <c r="M104" s="73" t="s">
        <v>1975</v>
      </c>
      <c r="N104" s="103">
        <f>LARGE(生物,COUNT(生物)*0.15)</f>
        <v>63.5</v>
      </c>
      <c r="O104" s="95">
        <f>COUNTIFS(班级,"="&amp;O93,政治,"&gt;="&amp;$U$104)/O95</f>
        <v>0.0857142857142857</v>
      </c>
      <c r="P104" s="95">
        <f>COUNTIFS(班级,"="&amp;P93,政治,"&gt;="&amp;$U$104)/P95</f>
        <v>0.121951219512195</v>
      </c>
      <c r="Q104" s="95">
        <f>COUNTIFS(班级,"="&amp;Q93,政治,"&gt;="&amp;$U$104)/Q95</f>
        <v>0.130434782608696</v>
      </c>
      <c r="R104" s="95">
        <f>COUNTIFS(班级,"="&amp;R93,政治,"&gt;="&amp;$U$104)/R95</f>
        <v>0.191489361702128</v>
      </c>
      <c r="S104" s="95">
        <f>COUNTIFS(班级,"="&amp;S93,政治,"&gt;="&amp;$U$104)/S95</f>
        <v>0.26530612244898</v>
      </c>
      <c r="T104" s="73" t="s">
        <v>1975</v>
      </c>
      <c r="U104" s="51">
        <f>LARGE(政治,COUNT(政治)*0.15)</f>
        <v>61.5</v>
      </c>
    </row>
    <row r="105" ht="12.95" customHeight="1" spans="1:21">
      <c r="A105" s="50" t="s">
        <v>2007</v>
      </c>
      <c r="B105" s="54">
        <f t="shared" ref="B105:L105" si="87">COUNTIFS(班级,"="&amp;B93,生物,"&gt;=60")/B95</f>
        <v>0.207547169811321</v>
      </c>
      <c r="C105" s="54">
        <f t="shared" si="87"/>
        <v>0.0925925925925926</v>
      </c>
      <c r="D105" s="54">
        <f t="shared" si="87"/>
        <v>0.156862745098039</v>
      </c>
      <c r="E105" s="54">
        <f t="shared" si="87"/>
        <v>0.277777777777778</v>
      </c>
      <c r="F105" s="54">
        <f t="shared" si="87"/>
        <v>0.215686274509804</v>
      </c>
      <c r="G105" s="54">
        <f t="shared" si="87"/>
        <v>0.711538461538462</v>
      </c>
      <c r="H105" s="54">
        <f t="shared" si="87"/>
        <v>0.432432432432432</v>
      </c>
      <c r="I105" s="54">
        <f t="shared" si="87"/>
        <v>0.244897959183673</v>
      </c>
      <c r="J105" s="54">
        <f t="shared" si="87"/>
        <v>0.16</v>
      </c>
      <c r="K105" s="54">
        <f t="shared" si="87"/>
        <v>0.121951219512195</v>
      </c>
      <c r="L105" s="54">
        <f t="shared" si="87"/>
        <v>0.205882352941176</v>
      </c>
      <c r="M105" s="51" t="s">
        <v>1976</v>
      </c>
      <c r="N105" s="103"/>
      <c r="O105" s="95">
        <f>COUNTIFS(班级,"="&amp;O93,政治,"&gt;=60")/O95</f>
        <v>0.0857142857142857</v>
      </c>
      <c r="P105" s="54">
        <f>COUNTIFS(班级,"="&amp;P93,政治,"&gt;=60")/P95</f>
        <v>0.121951219512195</v>
      </c>
      <c r="Q105" s="54">
        <f>COUNTIFS(班级,"="&amp;Q93,政治,"&gt;=60")/Q95</f>
        <v>0.217391304347826</v>
      </c>
      <c r="R105" s="54">
        <f>COUNTIFS(班级,"="&amp;R93,政治,"&gt;=60")/R95</f>
        <v>0.191489361702128</v>
      </c>
      <c r="S105" s="56">
        <f>COUNTIFS(班级,"="&amp;S93,政治,"&gt;=60")/S95</f>
        <v>0.306122448979592</v>
      </c>
      <c r="T105" s="51" t="s">
        <v>1976</v>
      </c>
      <c r="U105" s="51"/>
    </row>
    <row r="106" ht="12.95" customHeight="1" spans="1:21">
      <c r="A106" s="50" t="s">
        <v>1977</v>
      </c>
      <c r="B106" s="57">
        <f t="shared" ref="B106:L106" si="88">AVERAGEIFS(生物,班级,"="&amp;B93)</f>
        <v>52.3679245283019</v>
      </c>
      <c r="C106" s="57">
        <f t="shared" si="88"/>
        <v>46.7962962962963</v>
      </c>
      <c r="D106" s="57">
        <f t="shared" si="88"/>
        <v>50.7647058823529</v>
      </c>
      <c r="E106" s="57">
        <f t="shared" si="88"/>
        <v>52.8055555555556</v>
      </c>
      <c r="F106" s="57">
        <f t="shared" si="88"/>
        <v>52.7745098039216</v>
      </c>
      <c r="G106" s="57">
        <f t="shared" si="88"/>
        <v>62.9326923076923</v>
      </c>
      <c r="H106" s="57">
        <f t="shared" si="88"/>
        <v>57.8648648648649</v>
      </c>
      <c r="I106" s="57">
        <f t="shared" si="88"/>
        <v>52.6020408163265</v>
      </c>
      <c r="J106" s="57">
        <f t="shared" si="88"/>
        <v>51.47</v>
      </c>
      <c r="K106" s="57">
        <f t="shared" si="88"/>
        <v>49.219512195122</v>
      </c>
      <c r="L106" s="57">
        <f t="shared" si="88"/>
        <v>51.0588235294118</v>
      </c>
      <c r="M106" s="57">
        <f>AVERAGE(生物)</f>
        <v>52.7623574144487</v>
      </c>
      <c r="N106" s="103"/>
      <c r="O106" s="85">
        <f>AVERAGEIFS(政治,班级,"="&amp;O93)</f>
        <v>48.5928571428571</v>
      </c>
      <c r="P106" s="57">
        <f>AVERAGEIFS(政治,班级,"="&amp;P93)</f>
        <v>50.5365853658537</v>
      </c>
      <c r="Q106" s="57">
        <f>AVERAGEIFS(政治,班级,"="&amp;Q93)</f>
        <v>54.0163043478261</v>
      </c>
      <c r="R106" s="57">
        <f>AVERAGEIFS(政治,班级,"="&amp;R93)</f>
        <v>50.8457446808511</v>
      </c>
      <c r="S106" s="57">
        <f>AVERAGEIFS(政治,班级,"="&amp;S93)</f>
        <v>57.0204081632653</v>
      </c>
      <c r="T106" s="57">
        <f>AVERAGE(政治)</f>
        <v>52.3961187214612</v>
      </c>
      <c r="U106" s="51"/>
    </row>
    <row r="107" ht="12.95" customHeight="1" spans="1:21">
      <c r="A107" s="53" t="s">
        <v>1759</v>
      </c>
      <c r="B107" s="57">
        <f t="shared" ref="B107:L107" si="89">B106-$M$106</f>
        <v>-0.394432886146788</v>
      </c>
      <c r="C107" s="57">
        <f t="shared" si="89"/>
        <v>-5.96606111815237</v>
      </c>
      <c r="D107" s="57">
        <f t="shared" si="89"/>
        <v>-1.99765153209573</v>
      </c>
      <c r="E107" s="57">
        <f t="shared" si="89"/>
        <v>0.0431981411068847</v>
      </c>
      <c r="F107" s="57">
        <f t="shared" si="89"/>
        <v>0.0121523894728952</v>
      </c>
      <c r="G107" s="57">
        <f t="shared" si="89"/>
        <v>10.1703348932436</v>
      </c>
      <c r="H107" s="57">
        <f t="shared" si="89"/>
        <v>5.10250745041619</v>
      </c>
      <c r="I107" s="57">
        <f t="shared" si="89"/>
        <v>-0.160316598122144</v>
      </c>
      <c r="J107" s="57">
        <f t="shared" si="89"/>
        <v>-1.29235741444867</v>
      </c>
      <c r="K107" s="57">
        <f t="shared" si="89"/>
        <v>-3.54284521932672</v>
      </c>
      <c r="L107" s="57">
        <f t="shared" si="89"/>
        <v>-1.7035338850369</v>
      </c>
      <c r="M107" s="57"/>
      <c r="N107" s="103"/>
      <c r="O107" s="85">
        <f t="shared" ref="O107:S107" si="90">O106-$T$106</f>
        <v>-3.80326157860404</v>
      </c>
      <c r="P107" s="85">
        <f t="shared" si="90"/>
        <v>-1.85953335560752</v>
      </c>
      <c r="Q107" s="85">
        <f t="shared" si="90"/>
        <v>1.6201856263649</v>
      </c>
      <c r="R107" s="85">
        <f t="shared" si="90"/>
        <v>-1.55037404061012</v>
      </c>
      <c r="S107" s="85">
        <f t="shared" si="90"/>
        <v>4.62428944180412</v>
      </c>
      <c r="T107" s="57"/>
      <c r="U107" s="51"/>
    </row>
    <row r="108" ht="12.95" customHeight="1" spans="1:21">
      <c r="A108" s="50" t="s">
        <v>1978</v>
      </c>
      <c r="B108" s="51">
        <f t="shared" ref="B108:L108" si="91">RANK(B106,$B106:$L106)</f>
        <v>6</v>
      </c>
      <c r="C108" s="51">
        <f t="shared" si="91"/>
        <v>11</v>
      </c>
      <c r="D108" s="51">
        <f t="shared" si="91"/>
        <v>9</v>
      </c>
      <c r="E108" s="51">
        <f t="shared" si="91"/>
        <v>3</v>
      </c>
      <c r="F108" s="51">
        <f t="shared" si="91"/>
        <v>4</v>
      </c>
      <c r="G108" s="51">
        <f t="shared" si="91"/>
        <v>1</v>
      </c>
      <c r="H108" s="51">
        <f t="shared" si="91"/>
        <v>2</v>
      </c>
      <c r="I108" s="51">
        <f t="shared" si="91"/>
        <v>5</v>
      </c>
      <c r="J108" s="51">
        <f t="shared" si="91"/>
        <v>7</v>
      </c>
      <c r="K108" s="51">
        <f t="shared" si="91"/>
        <v>10</v>
      </c>
      <c r="L108" s="51">
        <f t="shared" si="91"/>
        <v>8</v>
      </c>
      <c r="M108" s="51"/>
      <c r="N108" s="103"/>
      <c r="O108" s="68">
        <f t="shared" ref="O108:S108" si="92">RANK(O106,$O106:$S106)</f>
        <v>5</v>
      </c>
      <c r="P108" s="68">
        <f t="shared" si="92"/>
        <v>4</v>
      </c>
      <c r="Q108" s="68">
        <f t="shared" si="92"/>
        <v>2</v>
      </c>
      <c r="R108" s="68">
        <f t="shared" si="92"/>
        <v>3</v>
      </c>
      <c r="S108" s="68">
        <f t="shared" si="92"/>
        <v>1</v>
      </c>
      <c r="T108" s="51"/>
      <c r="U108" s="51"/>
    </row>
    <row r="109" ht="12.95" customHeight="1" spans="1:20">
      <c r="A109" s="81"/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76"/>
    </row>
    <row r="110" ht="15.95" customHeight="1" spans="1:19">
      <c r="A110" s="49" t="s">
        <v>2040</v>
      </c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75"/>
      <c r="O110" s="75"/>
      <c r="P110" s="75"/>
      <c r="Q110" s="75"/>
      <c r="R110" s="75"/>
      <c r="S110" s="75"/>
    </row>
    <row r="111" ht="12.95" customHeight="1" spans="1:13">
      <c r="A111" s="50" t="s">
        <v>1953</v>
      </c>
      <c r="B111" s="51">
        <v>7</v>
      </c>
      <c r="C111" s="51">
        <v>8</v>
      </c>
      <c r="D111" s="51">
        <v>9</v>
      </c>
      <c r="E111" s="51">
        <v>11</v>
      </c>
      <c r="F111" s="51">
        <v>12</v>
      </c>
      <c r="G111" s="51">
        <v>13</v>
      </c>
      <c r="H111" s="51">
        <v>15</v>
      </c>
      <c r="I111" s="51">
        <v>16</v>
      </c>
      <c r="J111" s="51">
        <v>17</v>
      </c>
      <c r="K111" s="51">
        <v>18</v>
      </c>
      <c r="L111" s="69" t="s">
        <v>1954</v>
      </c>
      <c r="M111" s="70"/>
    </row>
    <row r="112" ht="12.95" customHeight="1" spans="1:13">
      <c r="A112" s="52" t="s">
        <v>1955</v>
      </c>
      <c r="B112" s="50" t="s">
        <v>2041</v>
      </c>
      <c r="C112" s="50" t="s">
        <v>2041</v>
      </c>
      <c r="D112" s="50" t="s">
        <v>2042</v>
      </c>
      <c r="E112" s="50" t="s">
        <v>2043</v>
      </c>
      <c r="F112" s="83" t="s">
        <v>2043</v>
      </c>
      <c r="G112" s="53" t="s">
        <v>1820</v>
      </c>
      <c r="H112" s="46" t="s">
        <v>2044</v>
      </c>
      <c r="I112" s="104" t="s">
        <v>2045</v>
      </c>
      <c r="J112" s="104" t="s">
        <v>2045</v>
      </c>
      <c r="K112" s="62" t="s">
        <v>2042</v>
      </c>
      <c r="L112" s="71"/>
      <c r="M112" s="72"/>
    </row>
    <row r="113" ht="12.95" customHeight="1" spans="1:13">
      <c r="A113" s="50" t="s">
        <v>1965</v>
      </c>
      <c r="B113" s="51">
        <f t="shared" ref="B113:K113" si="93">COUNTIFS(班级,"="&amp;B111,地理,"&gt;0")</f>
        <v>44</v>
      </c>
      <c r="C113" s="51">
        <f t="shared" si="93"/>
        <v>49</v>
      </c>
      <c r="D113" s="51">
        <f t="shared" si="93"/>
        <v>50</v>
      </c>
      <c r="E113" s="51">
        <f t="shared" si="93"/>
        <v>47</v>
      </c>
      <c r="F113" s="51">
        <f t="shared" si="93"/>
        <v>47</v>
      </c>
      <c r="G113" s="51">
        <f t="shared" si="93"/>
        <v>45</v>
      </c>
      <c r="H113" s="51">
        <f t="shared" si="93"/>
        <v>34</v>
      </c>
      <c r="I113" s="51">
        <f t="shared" si="93"/>
        <v>46</v>
      </c>
      <c r="J113" s="51">
        <f t="shared" si="93"/>
        <v>47</v>
      </c>
      <c r="K113" s="51">
        <f t="shared" si="93"/>
        <v>49</v>
      </c>
      <c r="L113" s="51">
        <f t="shared" ref="L113:L121" si="94">SUM(B113:K113)</f>
        <v>458</v>
      </c>
      <c r="M113" s="51"/>
    </row>
    <row r="114" ht="12.95" customHeight="1" spans="1:13">
      <c r="A114" s="50" t="s">
        <v>1991</v>
      </c>
      <c r="B114" s="51">
        <f t="array" ref="B114">MAX(IF((班级=B111)*(地理&gt;0),地理))</f>
        <v>75</v>
      </c>
      <c r="C114" s="51">
        <f t="array" ref="C114">MAX(IF((班级=C111)*(地理&gt;0),地理))</f>
        <v>79.5</v>
      </c>
      <c r="D114" s="51">
        <f t="array" ref="D114">MAX(IF((班级=D111)*(地理&gt;0),地理))</f>
        <v>71.5</v>
      </c>
      <c r="E114" s="51">
        <f t="array" ref="E114">MAX(IF((班级=E111)*(地理&gt;0),地理))</f>
        <v>71.5</v>
      </c>
      <c r="F114" s="51">
        <f t="array" ref="F114">MAX(IF((班级=F111)*(地理&gt;0),地理))</f>
        <v>72.5</v>
      </c>
      <c r="G114" s="51">
        <f t="array" ref="G114">MAX(IF((班级=G111)*(地理&gt;0),地理))</f>
        <v>67</v>
      </c>
      <c r="H114" s="51">
        <f t="array" ref="H114">MAX(IF((班级=H111)*(地理&gt;0),地理))</f>
        <v>67</v>
      </c>
      <c r="I114" s="51">
        <f t="array" ref="I114">MAX(IF((班级=I111)*(地理&gt;0),地理))</f>
        <v>73.5</v>
      </c>
      <c r="J114" s="51">
        <f t="array" ref="J114">MAX(IF((班级=J111)*(地理&gt;0),地理))</f>
        <v>66.5</v>
      </c>
      <c r="K114" s="51">
        <f t="array" ref="K114">MAX(IF((班级=K111)*(地理&gt;0),地理))</f>
        <v>75</v>
      </c>
      <c r="L114" s="51"/>
      <c r="M114" s="51"/>
    </row>
    <row r="115" ht="12.95" customHeight="1" spans="1:13">
      <c r="A115" s="50" t="s">
        <v>1992</v>
      </c>
      <c r="B115" s="51">
        <f t="array" ref="B115">MIN(IF((班级=B111)*(地理&gt;0),地理))</f>
        <v>38</v>
      </c>
      <c r="C115" s="51">
        <f t="array" ref="C115">MIN(IF((班级=C111)*(地理&gt;0),地理))</f>
        <v>36</v>
      </c>
      <c r="D115" s="51">
        <f t="array" ref="D115">MIN(IF((班级=D111)*(地理&gt;0),地理))</f>
        <v>38.5</v>
      </c>
      <c r="E115" s="51">
        <f t="array" ref="E115">MIN(IF((班级=E111)*(地理&gt;0),地理))</f>
        <v>41</v>
      </c>
      <c r="F115" s="51">
        <f t="array" ref="F115">MIN(IF((班级=F111)*(地理&gt;0),地理))</f>
        <v>17.5</v>
      </c>
      <c r="G115" s="51">
        <f t="array" ref="G115">MIN(IF((班级=G111)*(地理&gt;0),地理))</f>
        <v>36.5</v>
      </c>
      <c r="H115" s="51">
        <f t="array" ref="H115">MIN(IF((班级=H111)*(地理&gt;0),地理))</f>
        <v>37.5</v>
      </c>
      <c r="I115" s="51">
        <f t="array" ref="I115">MIN(IF((班级=I111)*(地理&gt;0),地理))</f>
        <v>35.5</v>
      </c>
      <c r="J115" s="51">
        <f t="array" ref="J115">MIN(IF((班级=J111)*(地理&gt;0),地理))</f>
        <v>38.5</v>
      </c>
      <c r="K115" s="51">
        <f t="array" ref="K115">MIN(IF((班级=K111)*(地理&gt;0),地理))</f>
        <v>42.5</v>
      </c>
      <c r="L115" s="51" t="s">
        <v>1966</v>
      </c>
      <c r="M115" s="51" t="s">
        <v>1967</v>
      </c>
    </row>
    <row r="116" ht="12.95" customHeight="1" spans="1:13">
      <c r="A116" s="50" t="s">
        <v>2016</v>
      </c>
      <c r="B116" s="51">
        <f t="shared" ref="B116:K116" si="95">COUNTIFS(班级,"="&amp;B111,地理,"&gt;=90")</f>
        <v>0</v>
      </c>
      <c r="C116" s="51">
        <f t="shared" si="95"/>
        <v>0</v>
      </c>
      <c r="D116" s="51">
        <f t="shared" si="95"/>
        <v>0</v>
      </c>
      <c r="E116" s="51">
        <f t="shared" si="95"/>
        <v>0</v>
      </c>
      <c r="F116" s="51">
        <f t="shared" si="95"/>
        <v>0</v>
      </c>
      <c r="G116" s="51">
        <f t="shared" si="95"/>
        <v>0</v>
      </c>
      <c r="H116" s="51">
        <f t="shared" si="95"/>
        <v>0</v>
      </c>
      <c r="I116" s="51">
        <f t="shared" si="95"/>
        <v>0</v>
      </c>
      <c r="J116" s="51">
        <f t="shared" si="95"/>
        <v>0</v>
      </c>
      <c r="K116" s="51">
        <f t="shared" si="95"/>
        <v>0</v>
      </c>
      <c r="L116" s="51">
        <f t="shared" si="94"/>
        <v>0</v>
      </c>
      <c r="M116" s="51">
        <f>L116</f>
        <v>0</v>
      </c>
    </row>
    <row r="117" ht="12.95" customHeight="1" spans="1:13">
      <c r="A117" s="50" t="s">
        <v>2017</v>
      </c>
      <c r="B117" s="51">
        <f t="shared" ref="B117:K117" si="96">COUNTIFS(班级,"="&amp;B111,地理,"&gt;=80",地理,"&lt;90")</f>
        <v>0</v>
      </c>
      <c r="C117" s="51">
        <f t="shared" si="96"/>
        <v>0</v>
      </c>
      <c r="D117" s="51">
        <f t="shared" si="96"/>
        <v>0</v>
      </c>
      <c r="E117" s="51">
        <f t="shared" si="96"/>
        <v>0</v>
      </c>
      <c r="F117" s="51">
        <f t="shared" si="96"/>
        <v>0</v>
      </c>
      <c r="G117" s="51">
        <f t="shared" si="96"/>
        <v>0</v>
      </c>
      <c r="H117" s="51">
        <f t="shared" si="96"/>
        <v>0</v>
      </c>
      <c r="I117" s="51">
        <f t="shared" si="96"/>
        <v>0</v>
      </c>
      <c r="J117" s="51">
        <f t="shared" si="96"/>
        <v>0</v>
      </c>
      <c r="K117" s="51">
        <f t="shared" si="96"/>
        <v>0</v>
      </c>
      <c r="L117" s="51">
        <f t="shared" si="94"/>
        <v>0</v>
      </c>
      <c r="M117" s="51">
        <f t="shared" ref="M117:M121" si="97">M116+L117</f>
        <v>0</v>
      </c>
    </row>
    <row r="118" ht="12.95" customHeight="1" spans="1:13">
      <c r="A118" s="50" t="s">
        <v>2018</v>
      </c>
      <c r="B118" s="51">
        <f t="shared" ref="B118:K118" si="98">COUNTIFS(班级,"="&amp;B$111,地理,"&gt;=70",地理,"&lt;80")</f>
        <v>3</v>
      </c>
      <c r="C118" s="51">
        <f t="shared" si="98"/>
        <v>1</v>
      </c>
      <c r="D118" s="51">
        <f t="shared" si="98"/>
        <v>1</v>
      </c>
      <c r="E118" s="51">
        <f t="shared" si="98"/>
        <v>2</v>
      </c>
      <c r="F118" s="51">
        <f t="shared" si="98"/>
        <v>1</v>
      </c>
      <c r="G118" s="51">
        <f t="shared" si="98"/>
        <v>0</v>
      </c>
      <c r="H118" s="51">
        <f t="shared" si="98"/>
        <v>0</v>
      </c>
      <c r="I118" s="51">
        <f t="shared" si="98"/>
        <v>1</v>
      </c>
      <c r="J118" s="51">
        <f t="shared" si="98"/>
        <v>0</v>
      </c>
      <c r="K118" s="51">
        <f t="shared" si="98"/>
        <v>3</v>
      </c>
      <c r="L118" s="51">
        <f t="shared" si="94"/>
        <v>12</v>
      </c>
      <c r="M118" s="51">
        <f t="shared" si="97"/>
        <v>12</v>
      </c>
    </row>
    <row r="119" ht="12.95" customHeight="1" spans="1:13">
      <c r="A119" s="50" t="s">
        <v>2019</v>
      </c>
      <c r="B119" s="51">
        <f t="shared" ref="B119:K119" si="99">COUNTIFS(班级,"="&amp;B111,地理,"&gt;=60",地理,"&lt;70")</f>
        <v>16</v>
      </c>
      <c r="C119" s="51">
        <f t="shared" si="99"/>
        <v>11</v>
      </c>
      <c r="D119" s="51">
        <f t="shared" si="99"/>
        <v>9</v>
      </c>
      <c r="E119" s="51">
        <f t="shared" si="99"/>
        <v>8</v>
      </c>
      <c r="F119" s="51">
        <f t="shared" si="99"/>
        <v>12</v>
      </c>
      <c r="G119" s="51">
        <f t="shared" si="99"/>
        <v>12</v>
      </c>
      <c r="H119" s="51">
        <f t="shared" si="99"/>
        <v>7</v>
      </c>
      <c r="I119" s="51">
        <f t="shared" si="99"/>
        <v>12</v>
      </c>
      <c r="J119" s="51">
        <f t="shared" si="99"/>
        <v>10</v>
      </c>
      <c r="K119" s="51">
        <f t="shared" si="99"/>
        <v>13</v>
      </c>
      <c r="L119" s="51">
        <f t="shared" si="94"/>
        <v>110</v>
      </c>
      <c r="M119" s="51">
        <f t="shared" si="97"/>
        <v>122</v>
      </c>
    </row>
    <row r="120" ht="12.95" customHeight="1" spans="1:13">
      <c r="A120" s="50" t="s">
        <v>2020</v>
      </c>
      <c r="B120" s="51">
        <f t="shared" ref="B120:K120" si="100">COUNTIFS(班级,"="&amp;B111,地理,"&gt;=50",地理,"&lt;60")</f>
        <v>19</v>
      </c>
      <c r="C120" s="51">
        <f t="shared" si="100"/>
        <v>24</v>
      </c>
      <c r="D120" s="51">
        <f t="shared" si="100"/>
        <v>21</v>
      </c>
      <c r="E120" s="51">
        <f t="shared" si="100"/>
        <v>20</v>
      </c>
      <c r="F120" s="51">
        <f t="shared" si="100"/>
        <v>22</v>
      </c>
      <c r="G120" s="51">
        <f t="shared" si="100"/>
        <v>21</v>
      </c>
      <c r="H120" s="51">
        <f t="shared" si="100"/>
        <v>19</v>
      </c>
      <c r="I120" s="51">
        <f t="shared" si="100"/>
        <v>18</v>
      </c>
      <c r="J120" s="51">
        <f t="shared" si="100"/>
        <v>24</v>
      </c>
      <c r="K120" s="51">
        <f t="shared" si="100"/>
        <v>24</v>
      </c>
      <c r="L120" s="51">
        <f t="shared" si="94"/>
        <v>212</v>
      </c>
      <c r="M120" s="51">
        <f t="shared" si="97"/>
        <v>334</v>
      </c>
    </row>
    <row r="121" ht="12.95" customHeight="1" spans="1:13">
      <c r="A121" s="50" t="s">
        <v>2021</v>
      </c>
      <c r="B121" s="51">
        <f t="shared" ref="B121:K121" si="101">COUNTIFS(班级,"="&amp;B111,地理,"&gt;0",地理,"&lt;50")</f>
        <v>6</v>
      </c>
      <c r="C121" s="51">
        <f t="shared" si="101"/>
        <v>13</v>
      </c>
      <c r="D121" s="51">
        <f t="shared" si="101"/>
        <v>19</v>
      </c>
      <c r="E121" s="51">
        <f t="shared" si="101"/>
        <v>17</v>
      </c>
      <c r="F121" s="51">
        <f t="shared" si="101"/>
        <v>12</v>
      </c>
      <c r="G121" s="51">
        <f t="shared" si="101"/>
        <v>12</v>
      </c>
      <c r="H121" s="51">
        <f t="shared" si="101"/>
        <v>8</v>
      </c>
      <c r="I121" s="51">
        <f t="shared" si="101"/>
        <v>15</v>
      </c>
      <c r="J121" s="51">
        <f t="shared" si="101"/>
        <v>13</v>
      </c>
      <c r="K121" s="51">
        <f t="shared" si="101"/>
        <v>9</v>
      </c>
      <c r="L121" s="51">
        <f t="shared" si="94"/>
        <v>124</v>
      </c>
      <c r="M121" s="51">
        <f t="shared" si="97"/>
        <v>458</v>
      </c>
    </row>
    <row r="122" ht="12.95" customHeight="1" spans="1:13">
      <c r="A122" s="50" t="s">
        <v>1974</v>
      </c>
      <c r="B122" s="54">
        <f t="shared" ref="B122:K122" si="102">COUNTIFS(班级,"="&amp;B111,地理,"&gt;="&amp;$M$122)/B113</f>
        <v>0.340909090909091</v>
      </c>
      <c r="C122" s="54">
        <f t="shared" si="102"/>
        <v>0.122448979591837</v>
      </c>
      <c r="D122" s="54">
        <f t="shared" si="102"/>
        <v>0.14</v>
      </c>
      <c r="E122" s="54">
        <f t="shared" si="102"/>
        <v>0.170212765957447</v>
      </c>
      <c r="F122" s="54">
        <f t="shared" si="102"/>
        <v>0.170212765957447</v>
      </c>
      <c r="G122" s="54">
        <f t="shared" si="102"/>
        <v>0.111111111111111</v>
      </c>
      <c r="H122" s="54">
        <f t="shared" si="102"/>
        <v>0.117647058823529</v>
      </c>
      <c r="I122" s="54">
        <f t="shared" si="102"/>
        <v>0.130434782608696</v>
      </c>
      <c r="J122" s="54">
        <f t="shared" si="102"/>
        <v>0.127659574468085</v>
      </c>
      <c r="K122" s="54">
        <f t="shared" si="102"/>
        <v>0.102040816326531</v>
      </c>
      <c r="L122" s="73" t="s">
        <v>1975</v>
      </c>
      <c r="M122" s="51">
        <f>LARGE(地理,COUNT(地理)*0.15)</f>
        <v>63</v>
      </c>
    </row>
    <row r="123" ht="12.95" customHeight="1" spans="1:13">
      <c r="A123" s="50" t="s">
        <v>2007</v>
      </c>
      <c r="B123" s="54">
        <f t="shared" ref="B123:K123" si="103">COUNTIFS(班级,"="&amp;B111,地理,"&gt;=60")/B113</f>
        <v>0.431818181818182</v>
      </c>
      <c r="C123" s="54">
        <f t="shared" si="103"/>
        <v>0.244897959183673</v>
      </c>
      <c r="D123" s="54">
        <f t="shared" si="103"/>
        <v>0.2</v>
      </c>
      <c r="E123" s="54">
        <f t="shared" si="103"/>
        <v>0.212765957446809</v>
      </c>
      <c r="F123" s="54">
        <f t="shared" si="103"/>
        <v>0.276595744680851</v>
      </c>
      <c r="G123" s="54">
        <f t="shared" si="103"/>
        <v>0.266666666666667</v>
      </c>
      <c r="H123" s="54">
        <f t="shared" si="103"/>
        <v>0.205882352941176</v>
      </c>
      <c r="I123" s="54">
        <f t="shared" si="103"/>
        <v>0.282608695652174</v>
      </c>
      <c r="J123" s="54">
        <f t="shared" si="103"/>
        <v>0.212765957446809</v>
      </c>
      <c r="K123" s="54">
        <f t="shared" si="103"/>
        <v>0.326530612244898</v>
      </c>
      <c r="L123" s="51" t="s">
        <v>1976</v>
      </c>
      <c r="M123" s="51"/>
    </row>
    <row r="124" ht="12.95" customHeight="1" spans="1:13">
      <c r="A124" s="50" t="s">
        <v>1977</v>
      </c>
      <c r="B124" s="57">
        <f t="shared" ref="B124:K124" si="104">AVERAGEIFS(地理,班级,"="&amp;B111)</f>
        <v>58.4943181818182</v>
      </c>
      <c r="C124" s="57">
        <f t="shared" si="104"/>
        <v>54.6428571428571</v>
      </c>
      <c r="D124" s="57">
        <f t="shared" si="104"/>
        <v>53.45</v>
      </c>
      <c r="E124" s="57">
        <f t="shared" si="104"/>
        <v>54.4787234042553</v>
      </c>
      <c r="F124" s="57">
        <f t="shared" si="104"/>
        <v>53.7446808510638</v>
      </c>
      <c r="G124" s="57">
        <f t="shared" si="104"/>
        <v>54.15</v>
      </c>
      <c r="H124" s="57">
        <f t="shared" si="104"/>
        <v>53.3382352941176</v>
      </c>
      <c r="I124" s="57">
        <f t="shared" si="104"/>
        <v>53.6304347826087</v>
      </c>
      <c r="J124" s="57">
        <f t="shared" si="104"/>
        <v>53.5531914893617</v>
      </c>
      <c r="K124" s="57">
        <f t="shared" si="104"/>
        <v>56.2857142857143</v>
      </c>
      <c r="L124" s="57">
        <f>AVERAGE(地理)</f>
        <v>54.5906113537118</v>
      </c>
      <c r="M124" s="51"/>
    </row>
    <row r="125" ht="12.95" customHeight="1" spans="1:13">
      <c r="A125" s="53" t="s">
        <v>1759</v>
      </c>
      <c r="B125" s="57">
        <f t="shared" ref="B125:K125" si="105">B124-$L$124</f>
        <v>3.90370682810639</v>
      </c>
      <c r="C125" s="57">
        <f t="shared" si="105"/>
        <v>0.0522457891453527</v>
      </c>
      <c r="D125" s="57">
        <f t="shared" si="105"/>
        <v>-1.14061135371179</v>
      </c>
      <c r="E125" s="57">
        <f t="shared" si="105"/>
        <v>-0.111887949456474</v>
      </c>
      <c r="F125" s="57">
        <f t="shared" si="105"/>
        <v>-0.845930502647967</v>
      </c>
      <c r="G125" s="57">
        <f t="shared" si="105"/>
        <v>-0.440611353711795</v>
      </c>
      <c r="H125" s="57">
        <f t="shared" si="105"/>
        <v>-1.25237605959415</v>
      </c>
      <c r="I125" s="57">
        <f t="shared" si="105"/>
        <v>-0.960176571103098</v>
      </c>
      <c r="J125" s="57">
        <f t="shared" si="105"/>
        <v>-1.03741986435009</v>
      </c>
      <c r="K125" s="57">
        <f t="shared" si="105"/>
        <v>1.69510293200249</v>
      </c>
      <c r="L125" s="57"/>
      <c r="M125" s="80"/>
    </row>
    <row r="126" ht="12.95" customHeight="1" spans="1:22">
      <c r="A126" s="50" t="s">
        <v>1978</v>
      </c>
      <c r="B126" s="51">
        <f t="shared" ref="B126:K126" si="106">RANK(B124,$B124:$K124)</f>
        <v>1</v>
      </c>
      <c r="C126" s="51">
        <f t="shared" si="106"/>
        <v>3</v>
      </c>
      <c r="D126" s="51">
        <f t="shared" si="106"/>
        <v>9</v>
      </c>
      <c r="E126" s="51">
        <f t="shared" si="106"/>
        <v>4</v>
      </c>
      <c r="F126" s="51">
        <f t="shared" si="106"/>
        <v>6</v>
      </c>
      <c r="G126" s="51">
        <f t="shared" si="106"/>
        <v>5</v>
      </c>
      <c r="H126" s="51">
        <f t="shared" si="106"/>
        <v>10</v>
      </c>
      <c r="I126" s="51">
        <f t="shared" si="106"/>
        <v>7</v>
      </c>
      <c r="J126" s="51">
        <f t="shared" si="106"/>
        <v>8</v>
      </c>
      <c r="K126" s="51">
        <f t="shared" si="106"/>
        <v>2</v>
      </c>
      <c r="L126" s="51"/>
      <c r="M126" s="80"/>
      <c r="N126" s="76"/>
      <c r="O126" s="76"/>
      <c r="P126" s="76"/>
      <c r="Q126" s="76"/>
      <c r="R126" s="76"/>
      <c r="S126" s="76"/>
      <c r="T126" s="76"/>
      <c r="U126" s="76"/>
      <c r="V126" s="76"/>
    </row>
    <row r="127" ht="12.95" customHeight="1" spans="1:22">
      <c r="A127" s="84"/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105"/>
      <c r="N127" s="105"/>
      <c r="O127" s="105"/>
      <c r="P127" s="105"/>
      <c r="Q127" s="105"/>
      <c r="R127" s="105"/>
      <c r="S127" s="105"/>
      <c r="T127" s="76"/>
      <c r="U127" s="76"/>
      <c r="V127" s="76"/>
    </row>
    <row r="128" ht="20.1" customHeight="1" spans="1:23">
      <c r="A128" s="49" t="s">
        <v>2046</v>
      </c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</row>
    <row r="129" ht="12.95" customHeight="1" spans="1:23">
      <c r="A129" s="50" t="s">
        <v>1953</v>
      </c>
      <c r="B129" s="51">
        <v>1</v>
      </c>
      <c r="C129" s="51">
        <v>2</v>
      </c>
      <c r="D129" s="51">
        <v>3</v>
      </c>
      <c r="E129" s="51">
        <v>4</v>
      </c>
      <c r="F129" s="51">
        <v>5</v>
      </c>
      <c r="G129" s="51">
        <v>6</v>
      </c>
      <c r="H129" s="51">
        <v>7</v>
      </c>
      <c r="I129" s="51">
        <v>8</v>
      </c>
      <c r="J129" s="51">
        <v>9</v>
      </c>
      <c r="K129" s="51">
        <v>10</v>
      </c>
      <c r="L129" s="51">
        <v>11</v>
      </c>
      <c r="M129" s="51">
        <v>12</v>
      </c>
      <c r="N129" s="51">
        <v>13</v>
      </c>
      <c r="O129" s="69" t="s">
        <v>1954</v>
      </c>
      <c r="P129" s="100"/>
      <c r="Q129" s="68">
        <v>14</v>
      </c>
      <c r="R129" s="51">
        <v>15</v>
      </c>
      <c r="S129" s="51">
        <v>16</v>
      </c>
      <c r="T129" s="51">
        <v>17</v>
      </c>
      <c r="U129" s="51">
        <v>18</v>
      </c>
      <c r="V129" s="69" t="s">
        <v>1954</v>
      </c>
      <c r="W129" s="70"/>
    </row>
    <row r="130" ht="12.95" customHeight="1" spans="1:23">
      <c r="A130" s="52" t="s">
        <v>2047</v>
      </c>
      <c r="B130" s="50" t="s">
        <v>1980</v>
      </c>
      <c r="C130" s="50" t="s">
        <v>2010</v>
      </c>
      <c r="D130" s="50" t="s">
        <v>1997</v>
      </c>
      <c r="E130" s="50" t="s">
        <v>1981</v>
      </c>
      <c r="F130" s="53" t="s">
        <v>1828</v>
      </c>
      <c r="G130" s="50" t="s">
        <v>1999</v>
      </c>
      <c r="H130" s="50" t="s">
        <v>1766</v>
      </c>
      <c r="I130" s="50" t="s">
        <v>2036</v>
      </c>
      <c r="J130" s="50" t="s">
        <v>2042</v>
      </c>
      <c r="K130" s="50" t="s">
        <v>1815</v>
      </c>
      <c r="L130" s="53" t="s">
        <v>1963</v>
      </c>
      <c r="M130" s="104" t="s">
        <v>2015</v>
      </c>
      <c r="N130" s="104" t="s">
        <v>1958</v>
      </c>
      <c r="O130" s="71"/>
      <c r="P130" s="101"/>
      <c r="Q130" s="111" t="s">
        <v>2004</v>
      </c>
      <c r="R130" s="91" t="s">
        <v>2029</v>
      </c>
      <c r="S130" s="50" t="s">
        <v>2030</v>
      </c>
      <c r="T130" s="53" t="s">
        <v>1964</v>
      </c>
      <c r="U130" s="50" t="s">
        <v>2006</v>
      </c>
      <c r="V130" s="71"/>
      <c r="W130" s="72"/>
    </row>
    <row r="131" ht="12.95" customHeight="1" spans="1:23">
      <c r="A131" s="50" t="s">
        <v>1965</v>
      </c>
      <c r="B131" s="51">
        <f t="shared" ref="B131:N131" si="107">COUNTIFS(赋分班级,"="&amp;B$129,赋分总分,"&gt;0")</f>
        <v>54</v>
      </c>
      <c r="C131" s="51">
        <f t="shared" si="107"/>
        <v>54</v>
      </c>
      <c r="D131" s="51">
        <f t="shared" si="107"/>
        <v>51</v>
      </c>
      <c r="E131" s="51">
        <f t="shared" si="107"/>
        <v>54</v>
      </c>
      <c r="F131" s="51">
        <f t="shared" si="107"/>
        <v>52</v>
      </c>
      <c r="G131" s="51">
        <f t="shared" si="107"/>
        <v>52</v>
      </c>
      <c r="H131" s="51">
        <f t="shared" si="107"/>
        <v>44</v>
      </c>
      <c r="I131" s="51">
        <f t="shared" si="107"/>
        <v>49</v>
      </c>
      <c r="J131" s="51">
        <f t="shared" si="107"/>
        <v>50</v>
      </c>
      <c r="K131" s="51">
        <f t="shared" si="107"/>
        <v>35</v>
      </c>
      <c r="L131" s="51">
        <f t="shared" si="107"/>
        <v>47</v>
      </c>
      <c r="M131" s="51">
        <f t="shared" si="107"/>
        <v>47</v>
      </c>
      <c r="N131" s="51">
        <f t="shared" si="107"/>
        <v>45</v>
      </c>
      <c r="O131" s="51">
        <f t="shared" ref="O131:O146" si="108">SUM(B131:N131)</f>
        <v>634</v>
      </c>
      <c r="P131" s="103"/>
      <c r="Q131" s="68">
        <f>COUNTIFS(赋分班级,"="&amp;Q$129,赋分总分,"&gt;0")</f>
        <v>42</v>
      </c>
      <c r="R131" s="51">
        <f>COUNTIFS(赋分班级,"="&amp;R$129,赋分总分,"&gt;0")</f>
        <v>34</v>
      </c>
      <c r="S131" s="51">
        <f>COUNTIFS(赋分班级,"="&amp;S$129,赋分总分,"&gt;0")</f>
        <v>46</v>
      </c>
      <c r="T131" s="51">
        <f>COUNTIFS(赋分班级,"="&amp;T$129,赋分总分,"&gt;0")</f>
        <v>47</v>
      </c>
      <c r="U131" s="51">
        <f>COUNTIFS(赋分班级,"="&amp;U$129,赋分总分,"&gt;0")</f>
        <v>49</v>
      </c>
      <c r="V131" s="51">
        <f t="shared" ref="V131:V146" si="109">SUM(Q131:U131)</f>
        <v>218</v>
      </c>
      <c r="W131" s="51"/>
    </row>
    <row r="132" ht="12.95" customHeight="1" spans="1:23">
      <c r="A132" s="50" t="s">
        <v>1991</v>
      </c>
      <c r="B132" s="51">
        <f t="array" ref="B132">MAX(IF(赋分班级=B$129,赋分总分))</f>
        <v>557.75</v>
      </c>
      <c r="C132" s="51">
        <f t="array" ref="C132">MAX(IF(赋分班级=C$129,赋分总分))</f>
        <v>560.5</v>
      </c>
      <c r="D132" s="51">
        <f t="array" ref="D132">MAX(IF(赋分班级=D$129,赋分总分))</f>
        <v>561.75</v>
      </c>
      <c r="E132" s="51">
        <f t="array" ref="E132">MAX(IF(赋分班级=E$129,赋分总分))</f>
        <v>578</v>
      </c>
      <c r="F132" s="51">
        <f t="array" ref="F132">MAX(IF(赋分班级=F$129,赋分总分))</f>
        <v>588.75</v>
      </c>
      <c r="G132" s="51">
        <f t="array" ref="G132">MAX(IF(赋分班级=G$129,赋分总分))</f>
        <v>638</v>
      </c>
      <c r="H132" s="51">
        <f t="array" ref="H132">MAX(IF(赋分班级=H$129,赋分总分))</f>
        <v>597</v>
      </c>
      <c r="I132" s="51">
        <f t="array" ref="I132">MAX(IF(赋分班级=I$129,赋分总分))</f>
        <v>553.5</v>
      </c>
      <c r="J132" s="51">
        <f t="array" ref="J132">MAX(IF(赋分班级=J$129,赋分总分))</f>
        <v>582.5</v>
      </c>
      <c r="K132" s="51">
        <f t="array" ref="K132">MAX(IF(赋分班级=K$129,赋分总分))</f>
        <v>540</v>
      </c>
      <c r="L132" s="51">
        <f t="array" ref="L132">MAX(IF(赋分班级=L$129,赋分总分))</f>
        <v>585.5</v>
      </c>
      <c r="M132" s="51">
        <f t="array" ref="M132">MAX(IF(赋分班级=M$129,赋分总分))</f>
        <v>567.5</v>
      </c>
      <c r="N132" s="51">
        <f t="array" ref="N132">MAX(IF(赋分班级=N$129,赋分总分))</f>
        <v>556</v>
      </c>
      <c r="O132" s="51"/>
      <c r="P132" s="103"/>
      <c r="Q132" s="51">
        <f t="array" ref="Q132">MAX(IF(赋分班级=Q$129,赋分总分))</f>
        <v>547.5</v>
      </c>
      <c r="R132" s="51">
        <f t="array" ref="R132">MAX(IF(赋分班级=R$129,赋分总分))</f>
        <v>541.25</v>
      </c>
      <c r="S132" s="51">
        <f t="array" ref="S132">MAX(IF(赋分班级=S$129,赋分总分))</f>
        <v>551.5</v>
      </c>
      <c r="T132" s="51">
        <f t="array" ref="T132">MAX(IF(赋分班级=T$129,赋分总分))</f>
        <v>550.5</v>
      </c>
      <c r="U132" s="51">
        <f t="array" ref="U132">MAX(IF(赋分班级=U$129,赋分总分))</f>
        <v>588.5</v>
      </c>
      <c r="V132" s="51"/>
      <c r="W132" s="51"/>
    </row>
    <row r="133" ht="12.95" customHeight="1" spans="1:23">
      <c r="A133" s="50" t="s">
        <v>1992</v>
      </c>
      <c r="B133" s="51">
        <f t="array" ref="B133">MIN(IF((赋分班级=B$129)*(赋分总分&gt;0),总分))</f>
        <v>302.5</v>
      </c>
      <c r="C133" s="51">
        <f t="array" ref="C133">MIN(IF((赋分班级=C$129)*(赋分总分&gt;0),总分))</f>
        <v>261</v>
      </c>
      <c r="D133" s="51">
        <f t="array" ref="D133">MIN(IF((赋分班级=D$129)*(赋分总分&gt;0),总分))</f>
        <v>342.5</v>
      </c>
      <c r="E133" s="51">
        <f t="array" ref="E133">MIN(IF((赋分班级=E$129)*(赋分总分&gt;0),总分))</f>
        <v>308.5</v>
      </c>
      <c r="F133" s="51">
        <f t="array" ref="F133">MIN(IF((赋分班级=F$129)*(赋分总分&gt;0),总分))</f>
        <v>336</v>
      </c>
      <c r="G133" s="51">
        <f t="array" ref="G133">MIN(IF((赋分班级=G$129)*(赋分总分&gt;0),总分))</f>
        <v>433.5</v>
      </c>
      <c r="H133" s="51">
        <f t="array" ref="H133">MIN(IF((赋分班级=H$129)*(赋分总分&gt;0),总分))</f>
        <v>349</v>
      </c>
      <c r="I133" s="51">
        <f t="array" ref="I133">MIN(IF((赋分班级=I$129)*(赋分总分&gt;0),总分))</f>
        <v>273</v>
      </c>
      <c r="J133" s="51">
        <f t="array" ref="J133">MIN(IF((赋分班级=J$129)*(赋分总分&gt;0),总分))</f>
        <v>340</v>
      </c>
      <c r="K133" s="51">
        <f t="array" ref="K133">MIN(IF((赋分班级=K$129)*(赋分总分&gt;0),总分))</f>
        <v>295</v>
      </c>
      <c r="L133" s="51">
        <f t="array" ref="L133">MIN(IF((赋分班级=L$129)*(赋分总分&gt;0),总分))</f>
        <v>342.25</v>
      </c>
      <c r="M133" s="51">
        <f t="array" ref="M133">MIN(IF((赋分班级=M$129)*(赋分总分&gt;0),总分))</f>
        <v>277</v>
      </c>
      <c r="N133" s="51">
        <f t="array" ref="N133">MIN(IF((赋分班级=N$129)*(赋分总分&gt;0),总分))</f>
        <v>323.25</v>
      </c>
      <c r="O133" s="51" t="s">
        <v>1966</v>
      </c>
      <c r="P133" s="103" t="s">
        <v>1967</v>
      </c>
      <c r="Q133" s="51">
        <f t="array" ref="Q133">MIN(IF((赋分班级=Q$129)*(赋分总分&gt;0),总分))</f>
        <v>148</v>
      </c>
      <c r="R133" s="51">
        <f t="array" ref="R133">MIN(IF((赋分班级=R$129)*(赋分总分&gt;0),总分))</f>
        <v>316.75</v>
      </c>
      <c r="S133" s="51">
        <f t="array" ref="S133">MIN(IF((赋分班级=S$129)*(赋分总分&gt;0),总分))</f>
        <v>356.5</v>
      </c>
      <c r="T133" s="51">
        <f t="array" ref="T133">MIN(IF((赋分班级=T$129)*(赋分总分&gt;0),总分))</f>
        <v>360</v>
      </c>
      <c r="U133" s="51">
        <f t="array" ref="U133">MIN(IF((赋分班级=U$129)*(赋分总分&gt;0),总分))</f>
        <v>422.75</v>
      </c>
      <c r="V133" s="51" t="s">
        <v>1966</v>
      </c>
      <c r="W133" s="51" t="s">
        <v>1967</v>
      </c>
    </row>
    <row r="134" ht="12.95" customHeight="1" spans="1:23">
      <c r="A134" s="52" t="s">
        <v>2048</v>
      </c>
      <c r="B134" s="106">
        <f t="shared" ref="B134:N134" si="110">COUNTIFS(赋分班级,"="&amp;B$129,赋分总分,"&gt;=640")</f>
        <v>0</v>
      </c>
      <c r="C134" s="106">
        <f t="shared" si="110"/>
        <v>0</v>
      </c>
      <c r="D134" s="106">
        <f t="shared" si="110"/>
        <v>0</v>
      </c>
      <c r="E134" s="106">
        <f t="shared" si="110"/>
        <v>0</v>
      </c>
      <c r="F134" s="106">
        <f t="shared" si="110"/>
        <v>0</v>
      </c>
      <c r="G134" s="106">
        <f t="shared" si="110"/>
        <v>0</v>
      </c>
      <c r="H134" s="106">
        <f t="shared" si="110"/>
        <v>0</v>
      </c>
      <c r="I134" s="106">
        <f t="shared" si="110"/>
        <v>0</v>
      </c>
      <c r="J134" s="106">
        <f t="shared" si="110"/>
        <v>0</v>
      </c>
      <c r="K134" s="106">
        <f t="shared" si="110"/>
        <v>0</v>
      </c>
      <c r="L134" s="106">
        <f t="shared" si="110"/>
        <v>0</v>
      </c>
      <c r="M134" s="106">
        <f t="shared" si="110"/>
        <v>0</v>
      </c>
      <c r="N134" s="106">
        <f t="shared" si="110"/>
        <v>0</v>
      </c>
      <c r="O134" s="106">
        <f t="shared" si="108"/>
        <v>0</v>
      </c>
      <c r="P134" s="108">
        <f>O134</f>
        <v>0</v>
      </c>
      <c r="Q134" s="106">
        <f>COUNTIFS(赋分班级,"="&amp;Q$129,赋分总分,"&gt;=640")</f>
        <v>0</v>
      </c>
      <c r="R134" s="106">
        <f>COUNTIFS(赋分班级,"="&amp;R$129,赋分总分,"&gt;=640")</f>
        <v>0</v>
      </c>
      <c r="S134" s="106">
        <f>COUNTIFS(赋分班级,"="&amp;S$129,赋分总分,"&gt;=640")</f>
        <v>0</v>
      </c>
      <c r="T134" s="106">
        <f>COUNTIFS(赋分班级,"="&amp;T$129,赋分总分,"&gt;=640")</f>
        <v>0</v>
      </c>
      <c r="U134" s="106">
        <f>COUNTIFS(赋分班级,"="&amp;U$129,赋分总分,"&gt;=640")</f>
        <v>0</v>
      </c>
      <c r="V134" s="106">
        <f t="shared" si="109"/>
        <v>0</v>
      </c>
      <c r="W134" s="106">
        <f>V134</f>
        <v>0</v>
      </c>
    </row>
    <row r="135" ht="12.95" customHeight="1" spans="1:23">
      <c r="A135" s="52" t="s">
        <v>1855</v>
      </c>
      <c r="B135" s="106">
        <f t="shared" ref="B135:N135" si="111">COUNTIFS(赋分班级,"="&amp;B$129,赋分总分,"&gt;=620",赋分总分,"&lt;640")</f>
        <v>0</v>
      </c>
      <c r="C135" s="106">
        <f t="shared" si="111"/>
        <v>0</v>
      </c>
      <c r="D135" s="106">
        <f t="shared" si="111"/>
        <v>0</v>
      </c>
      <c r="E135" s="106">
        <f t="shared" si="111"/>
        <v>0</v>
      </c>
      <c r="F135" s="106">
        <f t="shared" si="111"/>
        <v>0</v>
      </c>
      <c r="G135" s="106">
        <f t="shared" si="111"/>
        <v>2</v>
      </c>
      <c r="H135" s="106">
        <f t="shared" si="111"/>
        <v>0</v>
      </c>
      <c r="I135" s="106">
        <f t="shared" si="111"/>
        <v>0</v>
      </c>
      <c r="J135" s="106">
        <f t="shared" si="111"/>
        <v>0</v>
      </c>
      <c r="K135" s="106">
        <f t="shared" si="111"/>
        <v>0</v>
      </c>
      <c r="L135" s="106">
        <f t="shared" si="111"/>
        <v>0</v>
      </c>
      <c r="M135" s="106">
        <f t="shared" si="111"/>
        <v>0</v>
      </c>
      <c r="N135" s="106">
        <f t="shared" si="111"/>
        <v>0</v>
      </c>
      <c r="O135" s="106">
        <f t="shared" si="108"/>
        <v>2</v>
      </c>
      <c r="P135" s="108">
        <f t="shared" ref="P135:P146" si="112">P134+O135</f>
        <v>2</v>
      </c>
      <c r="Q135" s="106">
        <f>COUNTIFS(赋分班级,"="&amp;Q$129,赋分总分,"&gt;=620",赋分总分,"&lt;640")</f>
        <v>0</v>
      </c>
      <c r="R135" s="106">
        <f>COUNTIFS(赋分班级,"="&amp;R$129,赋分总分,"&gt;=620",赋分总分,"&lt;640")</f>
        <v>0</v>
      </c>
      <c r="S135" s="106">
        <f>COUNTIFS(赋分班级,"="&amp;S$129,赋分总分,"&gt;=620",赋分总分,"&lt;640")</f>
        <v>0</v>
      </c>
      <c r="T135" s="106">
        <f>COUNTIFS(赋分班级,"="&amp;T$129,赋分总分,"&gt;=620",赋分总分,"&lt;640")</f>
        <v>0</v>
      </c>
      <c r="U135" s="106">
        <f>COUNTIFS(赋分班级,"="&amp;U$129,赋分总分,"&gt;=620",赋分总分,"&lt;640")</f>
        <v>0</v>
      </c>
      <c r="V135" s="106">
        <f t="shared" si="109"/>
        <v>0</v>
      </c>
      <c r="W135" s="106">
        <f t="shared" ref="W135:W146" si="113">W134+V135</f>
        <v>0</v>
      </c>
    </row>
    <row r="136" ht="12.95" customHeight="1" spans="1:23">
      <c r="A136" s="52" t="s">
        <v>2049</v>
      </c>
      <c r="B136" s="106">
        <f t="shared" ref="B136:N136" si="114">COUNTIFS(赋分班级,"="&amp;B$129,赋分总分,"&gt;=600",赋分总分,"&lt;620")</f>
        <v>0</v>
      </c>
      <c r="C136" s="106">
        <f t="shared" si="114"/>
        <v>0</v>
      </c>
      <c r="D136" s="106">
        <f t="shared" si="114"/>
        <v>0</v>
      </c>
      <c r="E136" s="106">
        <f t="shared" si="114"/>
        <v>0</v>
      </c>
      <c r="F136" s="106">
        <f t="shared" si="114"/>
        <v>0</v>
      </c>
      <c r="G136" s="106">
        <f t="shared" si="114"/>
        <v>8</v>
      </c>
      <c r="H136" s="106">
        <f t="shared" si="114"/>
        <v>0</v>
      </c>
      <c r="I136" s="106">
        <f t="shared" si="114"/>
        <v>0</v>
      </c>
      <c r="J136" s="106">
        <f t="shared" si="114"/>
        <v>0</v>
      </c>
      <c r="K136" s="106">
        <f t="shared" si="114"/>
        <v>0</v>
      </c>
      <c r="L136" s="106">
        <f t="shared" si="114"/>
        <v>0</v>
      </c>
      <c r="M136" s="106">
        <f t="shared" si="114"/>
        <v>0</v>
      </c>
      <c r="N136" s="106">
        <f t="shared" si="114"/>
        <v>0</v>
      </c>
      <c r="O136" s="106">
        <f t="shared" si="108"/>
        <v>8</v>
      </c>
      <c r="P136" s="108">
        <f t="shared" si="112"/>
        <v>10</v>
      </c>
      <c r="Q136" s="106">
        <f>COUNTIFS(赋分班级,"="&amp;Q$129,赋分总分,"&gt;=600",赋分总分,"&lt;620")</f>
        <v>0</v>
      </c>
      <c r="R136" s="106">
        <f>COUNTIFS(赋分班级,"="&amp;R$129,赋分总分,"&gt;=600",赋分总分,"&lt;620")</f>
        <v>0</v>
      </c>
      <c r="S136" s="106">
        <f>COUNTIFS(赋分班级,"="&amp;S$129,赋分总分,"&gt;=600",赋分总分,"&lt;620")</f>
        <v>0</v>
      </c>
      <c r="T136" s="106">
        <f>COUNTIFS(赋分班级,"="&amp;T$129,赋分总分,"&gt;=600",赋分总分,"&lt;620")</f>
        <v>0</v>
      </c>
      <c r="U136" s="106">
        <f>COUNTIFS(赋分班级,"="&amp;U$129,赋分总分,"&gt;=600",赋分总分,"&lt;620")</f>
        <v>0</v>
      </c>
      <c r="V136" s="106">
        <f t="shared" si="109"/>
        <v>0</v>
      </c>
      <c r="W136" s="106">
        <f t="shared" si="113"/>
        <v>0</v>
      </c>
    </row>
    <row r="137" ht="12.95" customHeight="1" spans="1:23">
      <c r="A137" s="52" t="s">
        <v>1857</v>
      </c>
      <c r="B137" s="106">
        <f t="shared" ref="B137:N137" si="115">COUNTIFS(赋分班级,"="&amp;B$129,赋分总分,"&gt;=580",赋分总分,"&lt;600")</f>
        <v>0</v>
      </c>
      <c r="C137" s="106">
        <f t="shared" si="115"/>
        <v>0</v>
      </c>
      <c r="D137" s="106">
        <f t="shared" si="115"/>
        <v>0</v>
      </c>
      <c r="E137" s="106">
        <f t="shared" si="115"/>
        <v>0</v>
      </c>
      <c r="F137" s="106">
        <f t="shared" si="115"/>
        <v>1</v>
      </c>
      <c r="G137" s="106">
        <f t="shared" si="115"/>
        <v>12</v>
      </c>
      <c r="H137" s="106">
        <f t="shared" si="115"/>
        <v>4</v>
      </c>
      <c r="I137" s="106">
        <f t="shared" si="115"/>
        <v>0</v>
      </c>
      <c r="J137" s="106">
        <f t="shared" si="115"/>
        <v>1</v>
      </c>
      <c r="K137" s="106">
        <f t="shared" si="115"/>
        <v>0</v>
      </c>
      <c r="L137" s="106">
        <f t="shared" si="115"/>
        <v>1</v>
      </c>
      <c r="M137" s="106">
        <f t="shared" si="115"/>
        <v>0</v>
      </c>
      <c r="N137" s="106">
        <f t="shared" si="115"/>
        <v>0</v>
      </c>
      <c r="O137" s="106">
        <f t="shared" si="108"/>
        <v>19</v>
      </c>
      <c r="P137" s="108">
        <f t="shared" si="112"/>
        <v>29</v>
      </c>
      <c r="Q137" s="106">
        <f>COUNTIFS(赋分班级,"="&amp;Q$129,赋分总分,"&gt;=580",赋分总分,"&lt;600")</f>
        <v>0</v>
      </c>
      <c r="R137" s="106">
        <f>COUNTIFS(赋分班级,"="&amp;R$129,赋分总分,"&gt;=580",赋分总分,"&lt;600")</f>
        <v>0</v>
      </c>
      <c r="S137" s="106">
        <f>COUNTIFS(赋分班级,"="&amp;S$129,赋分总分,"&gt;=580",赋分总分,"&lt;600")</f>
        <v>0</v>
      </c>
      <c r="T137" s="106">
        <f>COUNTIFS(赋分班级,"="&amp;T$129,赋分总分,"&gt;=580",赋分总分,"&lt;600")</f>
        <v>0</v>
      </c>
      <c r="U137" s="106">
        <f>COUNTIFS(赋分班级,"="&amp;U$129,赋分总分,"&gt;=580",赋分总分,"&lt;600")</f>
        <v>1</v>
      </c>
      <c r="V137" s="106">
        <f t="shared" si="109"/>
        <v>1</v>
      </c>
      <c r="W137" s="106">
        <f t="shared" si="113"/>
        <v>1</v>
      </c>
    </row>
    <row r="138" ht="12.95" customHeight="1" spans="1:23">
      <c r="A138" s="52" t="s">
        <v>1858</v>
      </c>
      <c r="B138" s="106">
        <f t="shared" ref="B138:N138" si="116">COUNTIFS(赋分班级,"="&amp;B$129,赋分总分,"&gt;=560",赋分总分,"&lt;580")</f>
        <v>0</v>
      </c>
      <c r="C138" s="106">
        <f t="shared" si="116"/>
        <v>1</v>
      </c>
      <c r="D138" s="106">
        <f t="shared" si="116"/>
        <v>1</v>
      </c>
      <c r="E138" s="106">
        <f t="shared" si="116"/>
        <v>3</v>
      </c>
      <c r="F138" s="106">
        <f t="shared" si="116"/>
        <v>0</v>
      </c>
      <c r="G138" s="106">
        <f t="shared" si="116"/>
        <v>22</v>
      </c>
      <c r="H138" s="106">
        <f t="shared" si="116"/>
        <v>8</v>
      </c>
      <c r="I138" s="106">
        <f t="shared" si="116"/>
        <v>0</v>
      </c>
      <c r="J138" s="106">
        <f t="shared" si="116"/>
        <v>2</v>
      </c>
      <c r="K138" s="106">
        <f t="shared" si="116"/>
        <v>0</v>
      </c>
      <c r="L138" s="106">
        <f t="shared" si="116"/>
        <v>1</v>
      </c>
      <c r="M138" s="106">
        <f t="shared" si="116"/>
        <v>2</v>
      </c>
      <c r="N138" s="106">
        <f t="shared" si="116"/>
        <v>0</v>
      </c>
      <c r="O138" s="106">
        <f t="shared" si="108"/>
        <v>40</v>
      </c>
      <c r="P138" s="108">
        <f t="shared" si="112"/>
        <v>69</v>
      </c>
      <c r="Q138" s="106">
        <f>COUNTIFS(赋分班级,"="&amp;Q$129,赋分总分,"&gt;=560",赋分总分,"&lt;580")</f>
        <v>0</v>
      </c>
      <c r="R138" s="106">
        <f>COUNTIFS(赋分班级,"="&amp;R$129,赋分总分,"&gt;=560",赋分总分,"&lt;580")</f>
        <v>0</v>
      </c>
      <c r="S138" s="106">
        <f>COUNTIFS(赋分班级,"="&amp;S$129,赋分总分,"&gt;=560",赋分总分,"&lt;580")</f>
        <v>0</v>
      </c>
      <c r="T138" s="106">
        <f>COUNTIFS(赋分班级,"="&amp;T$129,赋分总分,"&gt;=560",赋分总分,"&lt;580")</f>
        <v>0</v>
      </c>
      <c r="U138" s="106">
        <f>COUNTIFS(赋分班级,"="&amp;U$129,赋分总分,"&gt;=560",赋分总分,"&lt;580")</f>
        <v>7</v>
      </c>
      <c r="V138" s="106">
        <f t="shared" si="109"/>
        <v>7</v>
      </c>
      <c r="W138" s="106">
        <f t="shared" si="113"/>
        <v>8</v>
      </c>
    </row>
    <row r="139" ht="12.95" customHeight="1" spans="1:23">
      <c r="A139" s="52" t="s">
        <v>1859</v>
      </c>
      <c r="B139" s="106">
        <f t="shared" ref="B139:N139" si="117">COUNTIFS(赋分班级,"="&amp;B$129,赋分总分,"&gt;=540",赋分总分,"&lt;560")</f>
        <v>3</v>
      </c>
      <c r="C139" s="106">
        <f t="shared" si="117"/>
        <v>4</v>
      </c>
      <c r="D139" s="106">
        <f t="shared" si="117"/>
        <v>6</v>
      </c>
      <c r="E139" s="106">
        <f t="shared" si="117"/>
        <v>9</v>
      </c>
      <c r="F139" s="106">
        <f t="shared" si="117"/>
        <v>3</v>
      </c>
      <c r="G139" s="106">
        <f t="shared" si="117"/>
        <v>6</v>
      </c>
      <c r="H139" s="106">
        <f t="shared" si="117"/>
        <v>15</v>
      </c>
      <c r="I139" s="106">
        <f t="shared" si="117"/>
        <v>2</v>
      </c>
      <c r="J139" s="106">
        <f t="shared" si="117"/>
        <v>1</v>
      </c>
      <c r="K139" s="106">
        <f t="shared" si="117"/>
        <v>1</v>
      </c>
      <c r="L139" s="106">
        <f t="shared" si="117"/>
        <v>4</v>
      </c>
      <c r="M139" s="106">
        <f t="shared" si="117"/>
        <v>1</v>
      </c>
      <c r="N139" s="106">
        <f t="shared" si="117"/>
        <v>6</v>
      </c>
      <c r="O139" s="106">
        <f t="shared" si="108"/>
        <v>61</v>
      </c>
      <c r="P139" s="108">
        <f t="shared" si="112"/>
        <v>130</v>
      </c>
      <c r="Q139" s="106">
        <f>COUNTIFS(赋分班级,"="&amp;Q$129,赋分总分,"&gt;=540",赋分总分,"&lt;560")</f>
        <v>2</v>
      </c>
      <c r="R139" s="106">
        <f>COUNTIFS(赋分班级,"="&amp;R$129,赋分总分,"&gt;=540",赋分总分,"&lt;560")</f>
        <v>1</v>
      </c>
      <c r="S139" s="106">
        <f>COUNTIFS(赋分班级,"="&amp;S$129,赋分总分,"&gt;=540",赋分总分,"&lt;560")</f>
        <v>3</v>
      </c>
      <c r="T139" s="106">
        <f>COUNTIFS(赋分班级,"="&amp;T$129,赋分总分,"&gt;=540",赋分总分,"&lt;560")</f>
        <v>2</v>
      </c>
      <c r="U139" s="106">
        <f>COUNTIFS(赋分班级,"="&amp;U$129,赋分总分,"&gt;=540",赋分总分,"&lt;560")</f>
        <v>14</v>
      </c>
      <c r="V139" s="106">
        <f t="shared" si="109"/>
        <v>22</v>
      </c>
      <c r="W139" s="106">
        <f t="shared" si="113"/>
        <v>30</v>
      </c>
    </row>
    <row r="140" ht="12.95" customHeight="1" spans="1:23">
      <c r="A140" s="52" t="s">
        <v>1860</v>
      </c>
      <c r="B140" s="106">
        <f t="shared" ref="B140:N140" si="118">COUNTIFS(赋分班级,"="&amp;B$129,赋分总分,"&gt;=520",赋分总分,"&lt;540")</f>
        <v>7</v>
      </c>
      <c r="C140" s="106">
        <f t="shared" si="118"/>
        <v>4</v>
      </c>
      <c r="D140" s="106">
        <f t="shared" si="118"/>
        <v>9</v>
      </c>
      <c r="E140" s="106">
        <f t="shared" si="118"/>
        <v>6</v>
      </c>
      <c r="F140" s="106">
        <f t="shared" si="118"/>
        <v>7</v>
      </c>
      <c r="G140" s="106">
        <f t="shared" si="118"/>
        <v>0</v>
      </c>
      <c r="H140" s="106">
        <f t="shared" si="118"/>
        <v>7</v>
      </c>
      <c r="I140" s="106">
        <f t="shared" si="118"/>
        <v>6</v>
      </c>
      <c r="J140" s="106">
        <f t="shared" si="118"/>
        <v>3</v>
      </c>
      <c r="K140" s="106">
        <f t="shared" si="118"/>
        <v>2</v>
      </c>
      <c r="L140" s="106">
        <f t="shared" si="118"/>
        <v>3</v>
      </c>
      <c r="M140" s="106">
        <f t="shared" si="118"/>
        <v>4</v>
      </c>
      <c r="N140" s="106">
        <f t="shared" si="118"/>
        <v>2</v>
      </c>
      <c r="O140" s="106">
        <f t="shared" si="108"/>
        <v>60</v>
      </c>
      <c r="P140" s="108">
        <f t="shared" si="112"/>
        <v>190</v>
      </c>
      <c r="Q140" s="106">
        <f>COUNTIFS(赋分班级,"="&amp;Q$129,赋分总分,"&gt;=520",赋分总分,"&lt;540")</f>
        <v>4</v>
      </c>
      <c r="R140" s="106">
        <f>COUNTIFS(赋分班级,"="&amp;R$129,赋分总分,"&gt;=520",赋分总分,"&lt;540")</f>
        <v>3</v>
      </c>
      <c r="S140" s="106">
        <f>COUNTIFS(赋分班级,"="&amp;S$129,赋分总分,"&gt;=520",赋分总分,"&lt;540")</f>
        <v>1</v>
      </c>
      <c r="T140" s="106">
        <f>COUNTIFS(赋分班级,"="&amp;T$129,赋分总分,"&gt;=520",赋分总分,"&lt;540")</f>
        <v>0</v>
      </c>
      <c r="U140" s="106">
        <f>COUNTIFS(赋分班级,"="&amp;U$129,赋分总分,"&gt;=520",赋分总分,"&lt;540")</f>
        <v>10</v>
      </c>
      <c r="V140" s="106">
        <f t="shared" si="109"/>
        <v>18</v>
      </c>
      <c r="W140" s="106">
        <f t="shared" si="113"/>
        <v>48</v>
      </c>
    </row>
    <row r="141" ht="12.95" customHeight="1" spans="1:23">
      <c r="A141" s="52" t="s">
        <v>1861</v>
      </c>
      <c r="B141" s="106">
        <f t="shared" ref="B141:N141" si="119">COUNTIFS(赋分班级,"="&amp;B$129,赋分总分,"&gt;=500",赋分总分,"&lt;520")</f>
        <v>11</v>
      </c>
      <c r="C141" s="106">
        <f t="shared" si="119"/>
        <v>4</v>
      </c>
      <c r="D141" s="106">
        <f t="shared" si="119"/>
        <v>6</v>
      </c>
      <c r="E141" s="106">
        <f t="shared" si="119"/>
        <v>8</v>
      </c>
      <c r="F141" s="106">
        <f t="shared" si="119"/>
        <v>10</v>
      </c>
      <c r="G141" s="106">
        <f t="shared" si="119"/>
        <v>1</v>
      </c>
      <c r="H141" s="106">
        <f t="shared" si="119"/>
        <v>4</v>
      </c>
      <c r="I141" s="106">
        <f t="shared" si="119"/>
        <v>12</v>
      </c>
      <c r="J141" s="106">
        <f t="shared" si="119"/>
        <v>7</v>
      </c>
      <c r="K141" s="106">
        <f t="shared" si="119"/>
        <v>3</v>
      </c>
      <c r="L141" s="106">
        <f t="shared" si="119"/>
        <v>4</v>
      </c>
      <c r="M141" s="106">
        <f t="shared" si="119"/>
        <v>11</v>
      </c>
      <c r="N141" s="106">
        <f t="shared" si="119"/>
        <v>4</v>
      </c>
      <c r="O141" s="106">
        <f t="shared" si="108"/>
        <v>85</v>
      </c>
      <c r="P141" s="108">
        <f t="shared" si="112"/>
        <v>275</v>
      </c>
      <c r="Q141" s="106">
        <f>COUNTIFS(赋分班级,"="&amp;Q$129,赋分总分,"&gt;=500",赋分总分,"&lt;520")</f>
        <v>5</v>
      </c>
      <c r="R141" s="106">
        <f>COUNTIFS(赋分班级,"="&amp;R$129,赋分总分,"&gt;=500",赋分总分,"&lt;520")</f>
        <v>7</v>
      </c>
      <c r="S141" s="106">
        <f>COUNTIFS(赋分班级,"="&amp;S$129,赋分总分,"&gt;=500",赋分总分,"&lt;520")</f>
        <v>6</v>
      </c>
      <c r="T141" s="106">
        <f>COUNTIFS(赋分班级,"="&amp;T$129,赋分总分,"&gt;=500",赋分总分,"&lt;520")</f>
        <v>5</v>
      </c>
      <c r="U141" s="106">
        <f>COUNTIFS(赋分班级,"="&amp;U$129,赋分总分,"&gt;=500",赋分总分,"&lt;520")</f>
        <v>9</v>
      </c>
      <c r="V141" s="106">
        <f t="shared" si="109"/>
        <v>32</v>
      </c>
      <c r="W141" s="106">
        <f t="shared" si="113"/>
        <v>80</v>
      </c>
    </row>
    <row r="142" ht="12.95" customHeight="1" spans="1:23">
      <c r="A142" s="52" t="s">
        <v>1862</v>
      </c>
      <c r="B142" s="106">
        <f t="shared" ref="B142:N142" si="120">COUNTIFS(赋分班级,"="&amp;B$129,赋分总分,"&gt;=480",赋分总分,"&lt;500")</f>
        <v>5</v>
      </c>
      <c r="C142" s="106">
        <f t="shared" si="120"/>
        <v>8</v>
      </c>
      <c r="D142" s="106">
        <f t="shared" si="120"/>
        <v>6</v>
      </c>
      <c r="E142" s="106">
        <f t="shared" si="120"/>
        <v>8</v>
      </c>
      <c r="F142" s="106">
        <f t="shared" si="120"/>
        <v>7</v>
      </c>
      <c r="G142" s="106">
        <f t="shared" si="120"/>
        <v>1</v>
      </c>
      <c r="H142" s="106">
        <f t="shared" si="120"/>
        <v>3</v>
      </c>
      <c r="I142" s="106">
        <f t="shared" si="120"/>
        <v>6</v>
      </c>
      <c r="J142" s="106">
        <f t="shared" si="120"/>
        <v>13</v>
      </c>
      <c r="K142" s="106">
        <f t="shared" si="120"/>
        <v>5</v>
      </c>
      <c r="L142" s="106">
        <f t="shared" si="120"/>
        <v>11</v>
      </c>
      <c r="M142" s="106">
        <f t="shared" si="120"/>
        <v>11</v>
      </c>
      <c r="N142" s="106">
        <f t="shared" si="120"/>
        <v>16</v>
      </c>
      <c r="O142" s="106">
        <f t="shared" si="108"/>
        <v>100</v>
      </c>
      <c r="P142" s="108">
        <f t="shared" si="112"/>
        <v>375</v>
      </c>
      <c r="Q142" s="106">
        <f>COUNTIFS(赋分班级,"="&amp;Q$129,赋分总分,"&gt;=480",赋分总分,"&lt;500")</f>
        <v>5</v>
      </c>
      <c r="R142" s="106">
        <f>COUNTIFS(赋分班级,"="&amp;R$129,赋分总分,"&gt;=480",赋分总分,"&lt;500")</f>
        <v>3</v>
      </c>
      <c r="S142" s="106">
        <f>COUNTIFS(赋分班级,"="&amp;S$129,赋分总分,"&gt;=480",赋分总分,"&lt;500")</f>
        <v>14</v>
      </c>
      <c r="T142" s="106">
        <f>COUNTIFS(赋分班级,"="&amp;T$129,赋分总分,"&gt;=480",赋分总分,"&lt;500")</f>
        <v>13</v>
      </c>
      <c r="U142" s="106">
        <f>COUNTIFS(赋分班级,"="&amp;U$129,赋分总分,"&gt;=480",赋分总分,"&lt;500")</f>
        <v>7</v>
      </c>
      <c r="V142" s="106">
        <f t="shared" si="109"/>
        <v>42</v>
      </c>
      <c r="W142" s="106">
        <f t="shared" si="113"/>
        <v>122</v>
      </c>
    </row>
    <row r="143" ht="12.95" customHeight="1" spans="1:23">
      <c r="A143" s="52" t="s">
        <v>1863</v>
      </c>
      <c r="B143" s="106">
        <f t="shared" ref="B143:N143" si="121">COUNTIFS(赋分班级,"="&amp;B$129,赋分总分,"&gt;=460",赋分总分,"&lt;480")</f>
        <v>9</v>
      </c>
      <c r="C143" s="106">
        <f t="shared" si="121"/>
        <v>8</v>
      </c>
      <c r="D143" s="106">
        <f t="shared" si="121"/>
        <v>9</v>
      </c>
      <c r="E143" s="106">
        <f t="shared" si="121"/>
        <v>9</v>
      </c>
      <c r="F143" s="106">
        <f t="shared" si="121"/>
        <v>10</v>
      </c>
      <c r="G143" s="106">
        <f t="shared" si="121"/>
        <v>0</v>
      </c>
      <c r="H143" s="106">
        <f t="shared" si="121"/>
        <v>1</v>
      </c>
      <c r="I143" s="106">
        <f t="shared" si="121"/>
        <v>9</v>
      </c>
      <c r="J143" s="106">
        <f t="shared" si="121"/>
        <v>6</v>
      </c>
      <c r="K143" s="106">
        <f t="shared" si="121"/>
        <v>7</v>
      </c>
      <c r="L143" s="106">
        <f t="shared" si="121"/>
        <v>8</v>
      </c>
      <c r="M143" s="106">
        <f t="shared" si="121"/>
        <v>7</v>
      </c>
      <c r="N143" s="106">
        <f t="shared" si="121"/>
        <v>4</v>
      </c>
      <c r="O143" s="106">
        <f t="shared" si="108"/>
        <v>87</v>
      </c>
      <c r="P143" s="108">
        <f t="shared" si="112"/>
        <v>462</v>
      </c>
      <c r="Q143" s="106">
        <f>COUNTIFS(赋分班级,"="&amp;Q$129,赋分总分,"&gt;=460",赋分总分,"&lt;480")</f>
        <v>12</v>
      </c>
      <c r="R143" s="106">
        <f>COUNTIFS(赋分班级,"="&amp;R$129,赋分总分,"&gt;=460",赋分总分,"&lt;480")</f>
        <v>6</v>
      </c>
      <c r="S143" s="106">
        <f>COUNTIFS(赋分班级,"="&amp;S$129,赋分总分,"&gt;=460",赋分总分,"&lt;480")</f>
        <v>11</v>
      </c>
      <c r="T143" s="106">
        <f>COUNTIFS(赋分班级,"="&amp;T$129,赋分总分,"&gt;=460",赋分总分,"&lt;480")</f>
        <v>8</v>
      </c>
      <c r="U143" s="106">
        <f>COUNTIFS(赋分班级,"="&amp;U$129,赋分总分,"&gt;=460",赋分总分,"&lt;480")</f>
        <v>1</v>
      </c>
      <c r="V143" s="106">
        <f t="shared" si="109"/>
        <v>38</v>
      </c>
      <c r="W143" s="106">
        <f t="shared" si="113"/>
        <v>160</v>
      </c>
    </row>
    <row r="144" ht="12.95" customHeight="1" spans="1:23">
      <c r="A144" s="52" t="s">
        <v>1864</v>
      </c>
      <c r="B144" s="106">
        <f t="shared" ref="B144:N144" si="122">COUNTIFS(赋分班级,"="&amp;B$129,赋分总分,"&gt;=440",赋分总分,"&lt;460")</f>
        <v>4</v>
      </c>
      <c r="C144" s="106">
        <f t="shared" si="122"/>
        <v>13</v>
      </c>
      <c r="D144" s="106">
        <f t="shared" si="122"/>
        <v>6</v>
      </c>
      <c r="E144" s="106">
        <f t="shared" si="122"/>
        <v>5</v>
      </c>
      <c r="F144" s="106">
        <f t="shared" si="122"/>
        <v>8</v>
      </c>
      <c r="G144" s="106">
        <f t="shared" si="122"/>
        <v>0</v>
      </c>
      <c r="H144" s="106">
        <f t="shared" si="122"/>
        <v>0</v>
      </c>
      <c r="I144" s="106">
        <f t="shared" si="122"/>
        <v>7</v>
      </c>
      <c r="J144" s="106">
        <f t="shared" si="122"/>
        <v>7</v>
      </c>
      <c r="K144" s="106">
        <f t="shared" si="122"/>
        <v>5</v>
      </c>
      <c r="L144" s="106">
        <f t="shared" si="122"/>
        <v>8</v>
      </c>
      <c r="M144" s="106">
        <f t="shared" si="122"/>
        <v>6</v>
      </c>
      <c r="N144" s="106">
        <f t="shared" si="122"/>
        <v>3</v>
      </c>
      <c r="O144" s="106">
        <f t="shared" si="108"/>
        <v>72</v>
      </c>
      <c r="P144" s="108">
        <f t="shared" si="112"/>
        <v>534</v>
      </c>
      <c r="Q144" s="106">
        <f>COUNTIFS(赋分班级,"="&amp;Q$129,赋分总分,"&gt;=440",赋分总分,"&lt;460")</f>
        <v>7</v>
      </c>
      <c r="R144" s="106">
        <f>COUNTIFS(赋分班级,"="&amp;R$129,赋分总分,"&gt;=440",赋分总分,"&lt;460")</f>
        <v>7</v>
      </c>
      <c r="S144" s="106">
        <f>COUNTIFS(赋分班级,"="&amp;S$129,赋分总分,"&gt;=440",赋分总分,"&lt;460")</f>
        <v>6</v>
      </c>
      <c r="T144" s="106">
        <f>COUNTIFS(赋分班级,"="&amp;T$129,赋分总分,"&gt;=440",赋分总分,"&lt;460")</f>
        <v>12</v>
      </c>
      <c r="U144" s="106">
        <f>COUNTIFS(赋分班级,"="&amp;U$129,赋分总分,"&gt;=440",赋分总分,"&lt;460")</f>
        <v>0</v>
      </c>
      <c r="V144" s="106">
        <f t="shared" si="109"/>
        <v>32</v>
      </c>
      <c r="W144" s="106">
        <f t="shared" si="113"/>
        <v>192</v>
      </c>
    </row>
    <row r="145" ht="12.95" customHeight="1" spans="1:23">
      <c r="A145" s="52" t="s">
        <v>2050</v>
      </c>
      <c r="B145" s="106">
        <f t="shared" ref="B145:N145" si="123">COUNTIFS(赋分班级,"="&amp;B$129,赋分总分,"&gt;=420",赋分总分,"&lt;440")</f>
        <v>5</v>
      </c>
      <c r="C145" s="106">
        <f t="shared" si="123"/>
        <v>7</v>
      </c>
      <c r="D145" s="106">
        <f t="shared" si="123"/>
        <v>3</v>
      </c>
      <c r="E145" s="106">
        <f t="shared" si="123"/>
        <v>1</v>
      </c>
      <c r="F145" s="106">
        <f t="shared" si="123"/>
        <v>1</v>
      </c>
      <c r="G145" s="106">
        <f t="shared" si="123"/>
        <v>0</v>
      </c>
      <c r="H145" s="106">
        <f t="shared" si="123"/>
        <v>0</v>
      </c>
      <c r="I145" s="106">
        <f t="shared" si="123"/>
        <v>6</v>
      </c>
      <c r="J145" s="106">
        <f t="shared" si="123"/>
        <v>5</v>
      </c>
      <c r="K145" s="106">
        <f t="shared" si="123"/>
        <v>4</v>
      </c>
      <c r="L145" s="106">
        <f t="shared" si="123"/>
        <v>6</v>
      </c>
      <c r="M145" s="106">
        <f t="shared" si="123"/>
        <v>1</v>
      </c>
      <c r="N145" s="106">
        <f t="shared" si="123"/>
        <v>6</v>
      </c>
      <c r="O145" s="106">
        <f t="shared" si="108"/>
        <v>45</v>
      </c>
      <c r="P145" s="108">
        <f t="shared" si="112"/>
        <v>579</v>
      </c>
      <c r="Q145" s="106">
        <f>COUNTIFS(赋分班级,"="&amp;Q$129,赋分总分,"&gt;=420",赋分总分,"&lt;440")</f>
        <v>4</v>
      </c>
      <c r="R145" s="106">
        <f>COUNTIFS(赋分班级,"="&amp;R$129,赋分总分,"&gt;=420",赋分总分,"&lt;440")</f>
        <v>3</v>
      </c>
      <c r="S145" s="106">
        <f>COUNTIFS(赋分班级,"="&amp;S$129,赋分总分,"&gt;=420",赋分总分,"&lt;440")</f>
        <v>4</v>
      </c>
      <c r="T145" s="106">
        <f>COUNTIFS(赋分班级,"="&amp;T$129,赋分总分,"&gt;=420",赋分总分,"&lt;440")</f>
        <v>5</v>
      </c>
      <c r="U145" s="106">
        <f>COUNTIFS(赋分班级,"="&amp;U$129,赋分总分,"&gt;=420",赋分总分,"&lt;440")</f>
        <v>0</v>
      </c>
      <c r="V145" s="106">
        <f t="shared" si="109"/>
        <v>16</v>
      </c>
      <c r="W145" s="106">
        <f t="shared" si="113"/>
        <v>208</v>
      </c>
    </row>
    <row r="146" ht="12.95" customHeight="1" spans="1:23">
      <c r="A146" s="52" t="s">
        <v>2051</v>
      </c>
      <c r="B146" s="106">
        <f t="shared" ref="B146:N146" si="124">COUNTIFS(赋分班级,"="&amp;B$129,赋分总分,"&lt;420")</f>
        <v>10</v>
      </c>
      <c r="C146" s="106">
        <f t="shared" si="124"/>
        <v>5</v>
      </c>
      <c r="D146" s="106">
        <f t="shared" si="124"/>
        <v>5</v>
      </c>
      <c r="E146" s="106">
        <f t="shared" si="124"/>
        <v>5</v>
      </c>
      <c r="F146" s="106">
        <f t="shared" si="124"/>
        <v>5</v>
      </c>
      <c r="G146" s="106">
        <f t="shared" si="124"/>
        <v>0</v>
      </c>
      <c r="H146" s="106">
        <f t="shared" si="124"/>
        <v>2</v>
      </c>
      <c r="I146" s="106">
        <f t="shared" si="124"/>
        <v>1</v>
      </c>
      <c r="J146" s="106">
        <f t="shared" si="124"/>
        <v>5</v>
      </c>
      <c r="K146" s="106">
        <f t="shared" si="124"/>
        <v>8</v>
      </c>
      <c r="L146" s="106">
        <f t="shared" si="124"/>
        <v>1</v>
      </c>
      <c r="M146" s="106">
        <f t="shared" si="124"/>
        <v>4</v>
      </c>
      <c r="N146" s="106">
        <f t="shared" si="124"/>
        <v>4</v>
      </c>
      <c r="O146" s="106">
        <f t="shared" si="108"/>
        <v>55</v>
      </c>
      <c r="P146" s="108">
        <f t="shared" si="112"/>
        <v>634</v>
      </c>
      <c r="Q146" s="106">
        <f>COUNTIFS(赋分班级,"="&amp;Q$129,赋分总分,"&lt;420")</f>
        <v>3</v>
      </c>
      <c r="R146" s="106">
        <f>COUNTIFS(赋分班级,"="&amp;R$129,赋分总分,"&lt;420")</f>
        <v>4</v>
      </c>
      <c r="S146" s="106">
        <f>COUNTIFS(赋分班级,"="&amp;S$129,赋分总分,"&lt;420")</f>
        <v>1</v>
      </c>
      <c r="T146" s="106">
        <f>COUNTIFS(赋分班级,"="&amp;T$129,赋分总分,"&lt;420")</f>
        <v>2</v>
      </c>
      <c r="U146" s="106">
        <f>COUNTIFS(赋分班级,"="&amp;U$129,赋分总分,"&lt;420")</f>
        <v>0</v>
      </c>
      <c r="V146" s="106">
        <f t="shared" si="109"/>
        <v>10</v>
      </c>
      <c r="W146" s="106">
        <f t="shared" si="113"/>
        <v>218</v>
      </c>
    </row>
    <row r="147" ht="12.95" customHeight="1" spans="1:23">
      <c r="A147" s="52" t="s">
        <v>1977</v>
      </c>
      <c r="B147" s="107">
        <f t="shared" ref="B147:N147" si="125">AVERAGEIFS(赋分总分,赋分班级,"="&amp;B129)</f>
        <v>473.421296296296</v>
      </c>
      <c r="C147" s="107">
        <f t="shared" si="125"/>
        <v>467.782407407407</v>
      </c>
      <c r="D147" s="107">
        <f t="shared" si="125"/>
        <v>486.009803921569</v>
      </c>
      <c r="E147" s="107">
        <f t="shared" si="125"/>
        <v>494.398148148148</v>
      </c>
      <c r="F147" s="107">
        <f t="shared" si="125"/>
        <v>486.043269230769</v>
      </c>
      <c r="G147" s="107">
        <f t="shared" si="125"/>
        <v>578.423076923077</v>
      </c>
      <c r="H147" s="107">
        <f t="shared" si="125"/>
        <v>537.517045454545</v>
      </c>
      <c r="I147" s="107">
        <f t="shared" si="125"/>
        <v>481.525510204082</v>
      </c>
      <c r="J147" s="107">
        <f t="shared" si="125"/>
        <v>478.78</v>
      </c>
      <c r="K147" s="107">
        <f t="shared" si="125"/>
        <v>455.714285714286</v>
      </c>
      <c r="L147" s="107">
        <f t="shared" si="125"/>
        <v>482.303191489362</v>
      </c>
      <c r="M147" s="107">
        <f t="shared" si="125"/>
        <v>482.329787234043</v>
      </c>
      <c r="N147" s="107">
        <f t="shared" si="125"/>
        <v>481.777777777778</v>
      </c>
      <c r="O147" s="109" t="s">
        <v>2052</v>
      </c>
      <c r="P147" s="110">
        <f>AVERAGEIFS(赋分总分,类别,"=物理")</f>
        <v>491.084123222749</v>
      </c>
      <c r="Q147" s="107">
        <f>AVERAGEIFS(赋分总分,赋分班级,"="&amp;Q129)</f>
        <v>468.196428571429</v>
      </c>
      <c r="R147" s="107">
        <f>AVERAGEIFS(赋分总分,赋分班级,"="&amp;R129)</f>
        <v>470.191176470588</v>
      </c>
      <c r="S147" s="107">
        <f>AVERAGEIFS(赋分总分,赋分班级,"="&amp;S129)</f>
        <v>479.836956521739</v>
      </c>
      <c r="T147" s="107">
        <f>AVERAGEIFS(赋分总分,赋分班级,"="&amp;T129)</f>
        <v>470.776595744681</v>
      </c>
      <c r="U147" s="107">
        <f>AVERAGEIFS(赋分总分,赋分班级,"="&amp;U129)</f>
        <v>531.535714285714</v>
      </c>
      <c r="V147" s="109" t="s">
        <v>2052</v>
      </c>
      <c r="W147" s="112">
        <f>AVERAGEIFS(赋分总分,类别,"=历史")</f>
        <v>483.978310502283</v>
      </c>
    </row>
    <row r="148" ht="12.95" customHeight="1" spans="1:23">
      <c r="A148" s="53" t="s">
        <v>1759</v>
      </c>
      <c r="B148" s="107">
        <f t="shared" ref="B148:N148" si="126">B147-$P$147</f>
        <v>-17.6628269264525</v>
      </c>
      <c r="C148" s="107">
        <f t="shared" si="126"/>
        <v>-23.3017158153414</v>
      </c>
      <c r="D148" s="107">
        <f t="shared" si="126"/>
        <v>-5.0743193011802</v>
      </c>
      <c r="E148" s="107">
        <f t="shared" si="126"/>
        <v>3.31402492539934</v>
      </c>
      <c r="F148" s="107">
        <f t="shared" si="126"/>
        <v>-5.04085399197959</v>
      </c>
      <c r="G148" s="107">
        <f t="shared" si="126"/>
        <v>87.3389537003281</v>
      </c>
      <c r="H148" s="107">
        <f t="shared" si="126"/>
        <v>46.4329222317967</v>
      </c>
      <c r="I148" s="107">
        <f t="shared" si="126"/>
        <v>-9.55861301866719</v>
      </c>
      <c r="J148" s="107">
        <f t="shared" si="126"/>
        <v>-12.3041232227488</v>
      </c>
      <c r="K148" s="107">
        <f t="shared" si="126"/>
        <v>-35.3698375084631</v>
      </c>
      <c r="L148" s="107">
        <f t="shared" si="126"/>
        <v>-8.78093173338709</v>
      </c>
      <c r="M148" s="107">
        <f t="shared" si="126"/>
        <v>-8.75433598870626</v>
      </c>
      <c r="N148" s="107">
        <f t="shared" si="126"/>
        <v>-9.30634544497104</v>
      </c>
      <c r="O148" s="106"/>
      <c r="P148" s="108"/>
      <c r="Q148" s="107">
        <f t="shared" ref="Q148:U148" si="127">Q147-$W$147</f>
        <v>-15.7818819308545</v>
      </c>
      <c r="R148" s="107">
        <f t="shared" si="127"/>
        <v>-13.7871340316948</v>
      </c>
      <c r="S148" s="107">
        <f t="shared" si="127"/>
        <v>-4.14135398054395</v>
      </c>
      <c r="T148" s="107">
        <f t="shared" si="127"/>
        <v>-13.2017147576022</v>
      </c>
      <c r="U148" s="107">
        <f t="shared" si="127"/>
        <v>47.5574037834313</v>
      </c>
      <c r="V148" s="106"/>
      <c r="W148" s="106"/>
    </row>
    <row r="149" ht="12.95" customHeight="1" spans="1:23">
      <c r="A149" s="52" t="s">
        <v>1978</v>
      </c>
      <c r="B149" s="106">
        <f t="shared" ref="B149:N149" si="128">RANK(B147,$B147:$N147)</f>
        <v>11</v>
      </c>
      <c r="C149" s="106">
        <f t="shared" si="128"/>
        <v>12</v>
      </c>
      <c r="D149" s="106">
        <f t="shared" si="128"/>
        <v>5</v>
      </c>
      <c r="E149" s="106">
        <f t="shared" si="128"/>
        <v>3</v>
      </c>
      <c r="F149" s="106">
        <f t="shared" si="128"/>
        <v>4</v>
      </c>
      <c r="G149" s="106">
        <f t="shared" si="128"/>
        <v>1</v>
      </c>
      <c r="H149" s="106">
        <f t="shared" si="128"/>
        <v>2</v>
      </c>
      <c r="I149" s="106">
        <f t="shared" si="128"/>
        <v>9</v>
      </c>
      <c r="J149" s="106">
        <f t="shared" si="128"/>
        <v>10</v>
      </c>
      <c r="K149" s="106">
        <f t="shared" si="128"/>
        <v>13</v>
      </c>
      <c r="L149" s="106">
        <f t="shared" si="128"/>
        <v>7</v>
      </c>
      <c r="M149" s="106">
        <f t="shared" si="128"/>
        <v>6</v>
      </c>
      <c r="N149" s="106">
        <f t="shared" si="128"/>
        <v>8</v>
      </c>
      <c r="O149" s="106"/>
      <c r="P149" s="108"/>
      <c r="Q149" s="106">
        <f t="shared" ref="Q149:U149" si="129">RANK(Q147,$Q147:$U147)</f>
        <v>5</v>
      </c>
      <c r="R149" s="106">
        <f t="shared" si="129"/>
        <v>4</v>
      </c>
      <c r="S149" s="106">
        <f t="shared" si="129"/>
        <v>2</v>
      </c>
      <c r="T149" s="106">
        <f t="shared" si="129"/>
        <v>3</v>
      </c>
      <c r="U149" s="106">
        <f t="shared" si="129"/>
        <v>1</v>
      </c>
      <c r="V149" s="106"/>
      <c r="W149" s="106"/>
    </row>
  </sheetData>
  <mergeCells count="18">
    <mergeCell ref="A1:U1"/>
    <mergeCell ref="A2:U2"/>
    <mergeCell ref="A20:U20"/>
    <mergeCell ref="A38:U38"/>
    <mergeCell ref="A56:P56"/>
    <mergeCell ref="A74:N74"/>
    <mergeCell ref="O74:U74"/>
    <mergeCell ref="H76:I76"/>
    <mergeCell ref="H86:I86"/>
    <mergeCell ref="H87:I87"/>
    <mergeCell ref="H88:I88"/>
    <mergeCell ref="H89:I89"/>
    <mergeCell ref="H90:I90"/>
    <mergeCell ref="A92:N92"/>
    <mergeCell ref="O92:U92"/>
    <mergeCell ref="A109:S109"/>
    <mergeCell ref="A110:M110"/>
    <mergeCell ref="A128:W128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63"/>
  <sheetViews>
    <sheetView zoomScale="85" zoomScaleNormal="85" workbookViewId="0">
      <selection activeCell="N24" sqref="N24"/>
    </sheetView>
  </sheetViews>
  <sheetFormatPr defaultColWidth="9" defaultRowHeight="13.5"/>
  <cols>
    <col min="1" max="1" width="6.375" style="26" customWidth="1"/>
    <col min="2" max="2" width="14.5" style="26" customWidth="1"/>
    <col min="3" max="3" width="7.5" style="26" customWidth="1"/>
    <col min="4" max="4" width="7.875" style="26" customWidth="1"/>
    <col min="5" max="6" width="8.5" style="26" customWidth="1"/>
    <col min="7" max="7" width="8.125" style="26" customWidth="1"/>
    <col min="8" max="8" width="7.75" style="26" customWidth="1"/>
    <col min="9" max="9" width="8.5" style="26" customWidth="1"/>
    <col min="10" max="10" width="7.625" style="26" customWidth="1"/>
    <col min="11" max="11" width="7.875" style="26" customWidth="1"/>
    <col min="12" max="12" width="7.75" style="26" customWidth="1"/>
    <col min="13" max="15" width="8.5" style="26" customWidth="1"/>
    <col min="16" max="16" width="8" style="26" customWidth="1"/>
    <col min="17" max="17" width="8.5" style="26" customWidth="1"/>
    <col min="18" max="18" width="10.625" style="26" customWidth="1"/>
    <col min="19" max="20" width="8.5" style="26" customWidth="1"/>
    <col min="21" max="32" width="9" style="26"/>
    <col min="33" max="33" width="14.875" style="26" customWidth="1"/>
    <col min="34" max="16384" width="9" style="26"/>
  </cols>
  <sheetData>
    <row r="1" ht="24" customHeight="1" spans="1:20">
      <c r="A1" s="7" t="s">
        <v>2053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</row>
    <row r="2" ht="15.95" customHeight="1" spans="1:20">
      <c r="A2" s="9" t="s">
        <v>1</v>
      </c>
      <c r="B2" s="9"/>
      <c r="C2" s="9">
        <v>1</v>
      </c>
      <c r="D2" s="9">
        <v>2</v>
      </c>
      <c r="E2" s="9">
        <v>3</v>
      </c>
      <c r="F2" s="9">
        <v>4</v>
      </c>
      <c r="G2" s="9">
        <v>5</v>
      </c>
      <c r="H2" s="9">
        <v>6</v>
      </c>
      <c r="I2" s="9">
        <v>7</v>
      </c>
      <c r="J2" s="9">
        <v>8</v>
      </c>
      <c r="K2" s="9">
        <v>9</v>
      </c>
      <c r="L2" s="9">
        <v>10</v>
      </c>
      <c r="M2" s="9">
        <v>11</v>
      </c>
      <c r="N2" s="9">
        <v>12</v>
      </c>
      <c r="O2" s="9">
        <v>13</v>
      </c>
      <c r="P2" s="9">
        <v>14</v>
      </c>
      <c r="Q2" s="9">
        <v>15</v>
      </c>
      <c r="R2" s="9">
        <v>16</v>
      </c>
      <c r="S2" s="9">
        <v>17</v>
      </c>
      <c r="T2" s="9">
        <v>18</v>
      </c>
    </row>
    <row r="3" ht="15.95" customHeight="1" spans="1:20">
      <c r="A3" s="9" t="s">
        <v>1739</v>
      </c>
      <c r="B3" s="9"/>
      <c r="C3" s="30" t="s">
        <v>1740</v>
      </c>
      <c r="D3" s="14" t="s">
        <v>1741</v>
      </c>
      <c r="E3" s="14" t="s">
        <v>1742</v>
      </c>
      <c r="F3" s="14" t="s">
        <v>1742</v>
      </c>
      <c r="G3" s="14" t="s">
        <v>1742</v>
      </c>
      <c r="H3" s="14" t="s">
        <v>1743</v>
      </c>
      <c r="I3" s="14" t="s">
        <v>1743</v>
      </c>
      <c r="J3" s="30" t="s">
        <v>1744</v>
      </c>
      <c r="K3" s="30" t="s">
        <v>1744</v>
      </c>
      <c r="L3" s="30" t="s">
        <v>1744</v>
      </c>
      <c r="M3" s="30" t="s">
        <v>1744</v>
      </c>
      <c r="N3" s="30" t="s">
        <v>1744</v>
      </c>
      <c r="O3" s="30" t="s">
        <v>1744</v>
      </c>
      <c r="P3" s="14" t="s">
        <v>1745</v>
      </c>
      <c r="Q3" s="14" t="s">
        <v>1745</v>
      </c>
      <c r="R3" s="13" t="s">
        <v>1746</v>
      </c>
      <c r="S3" s="14" t="s">
        <v>1747</v>
      </c>
      <c r="T3" s="14" t="s">
        <v>1747</v>
      </c>
    </row>
    <row r="4" ht="15.95" customHeight="1" spans="1:20">
      <c r="A4" s="9" t="s">
        <v>1748</v>
      </c>
      <c r="B4" s="9"/>
      <c r="C4" s="9">
        <v>64</v>
      </c>
      <c r="D4" s="9">
        <v>48</v>
      </c>
      <c r="E4" s="9">
        <v>49</v>
      </c>
      <c r="F4" s="9">
        <v>46</v>
      </c>
      <c r="G4" s="9">
        <v>47</v>
      </c>
      <c r="H4" s="9">
        <v>40</v>
      </c>
      <c r="I4" s="9">
        <v>39</v>
      </c>
      <c r="J4" s="9">
        <v>58</v>
      </c>
      <c r="K4" s="9">
        <v>54</v>
      </c>
      <c r="L4" s="9">
        <v>58</v>
      </c>
      <c r="M4" s="9">
        <v>57</v>
      </c>
      <c r="N4" s="9">
        <v>58</v>
      </c>
      <c r="O4" s="9">
        <v>57</v>
      </c>
      <c r="P4" s="9">
        <v>42</v>
      </c>
      <c r="Q4" s="9">
        <v>43</v>
      </c>
      <c r="R4" s="9">
        <v>40</v>
      </c>
      <c r="S4" s="9">
        <v>45</v>
      </c>
      <c r="T4" s="9">
        <v>44</v>
      </c>
    </row>
    <row r="5" ht="15.95" customHeight="1" spans="1:20">
      <c r="A5" s="9" t="s">
        <v>1749</v>
      </c>
      <c r="B5" s="9"/>
      <c r="C5" s="9">
        <f>COUNTIF(原始分!$B:$B,C2)</f>
        <v>63</v>
      </c>
      <c r="D5" s="9">
        <f>COUNTIF(原始分!$B:$B,D2)</f>
        <v>48</v>
      </c>
      <c r="E5" s="9">
        <f>COUNTIF(原始分!$B:$B,E2)</f>
        <v>49</v>
      </c>
      <c r="F5" s="9">
        <f>COUNTIF(原始分!$B:$B,F2)</f>
        <v>44</v>
      </c>
      <c r="G5" s="9">
        <f>COUNTIF(原始分!$B:$B,G2)</f>
        <v>47</v>
      </c>
      <c r="H5" s="9">
        <f>COUNTIF(原始分!$B:$B,H2)</f>
        <v>39</v>
      </c>
      <c r="I5" s="9">
        <f>COUNTIF(原始分!$B:$B,I2)</f>
        <v>38</v>
      </c>
      <c r="J5" s="9">
        <f>COUNTIF(原始分!$B:$B,J2)</f>
        <v>57</v>
      </c>
      <c r="K5" s="9">
        <f>COUNTIF(原始分!$B:$B,K2)</f>
        <v>54</v>
      </c>
      <c r="L5" s="9">
        <f>COUNTIF(原始分!$B:$B,L2)</f>
        <v>57</v>
      </c>
      <c r="M5" s="9">
        <f>COUNTIF(原始分!$B:$B,M2)</f>
        <v>57</v>
      </c>
      <c r="N5" s="9">
        <f>COUNTIF(原始分!$B:$B,N2)</f>
        <v>56</v>
      </c>
      <c r="O5" s="9">
        <f>COUNTIF(原始分!$B:$B,O2)</f>
        <v>54</v>
      </c>
      <c r="P5" s="9">
        <f>COUNTIF(原始分!$B:$B,P2)</f>
        <v>40</v>
      </c>
      <c r="Q5" s="9">
        <f>COUNTIF(原始分!$B:$B,Q2)</f>
        <v>42</v>
      </c>
      <c r="R5" s="9">
        <f>COUNTIF(原始分!$B:$B,R2)</f>
        <v>38</v>
      </c>
      <c r="S5" s="9">
        <f>COUNTIF(原始分!$B:$B,S2)</f>
        <v>43</v>
      </c>
      <c r="T5" s="9">
        <f>COUNTIF(原始分!$B:$B,T2)</f>
        <v>43</v>
      </c>
    </row>
    <row r="6" ht="15.95" customHeight="1" spans="1:20">
      <c r="A6" s="31" t="s">
        <v>1885</v>
      </c>
      <c r="B6" s="13" t="s">
        <v>1751</v>
      </c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  <c r="M6" s="13" t="s">
        <v>2054</v>
      </c>
      <c r="N6" s="13"/>
      <c r="O6" s="13"/>
      <c r="P6" s="13"/>
      <c r="Q6" s="13"/>
      <c r="R6" s="13"/>
      <c r="S6" s="13"/>
      <c r="T6" s="13"/>
    </row>
    <row r="7" ht="15.95" customHeight="1" spans="1:20">
      <c r="A7" s="31"/>
      <c r="B7" s="13" t="s">
        <v>1756</v>
      </c>
      <c r="C7" s="32">
        <f>AVERAGE(原始分!F2:F897)</f>
        <v>99.0785385500575</v>
      </c>
      <c r="D7" s="32">
        <f>AVERAGE(原始分!G2:G897)</f>
        <v>98.1731875719217</v>
      </c>
      <c r="E7" s="32">
        <f>AVERAGE(原始分!H2:H897)</f>
        <v>96.4277905638665</v>
      </c>
      <c r="F7" s="32">
        <f>AVERAGE(原始分!I2:I897)</f>
        <v>51.0806938159879</v>
      </c>
      <c r="G7" s="32">
        <f>AVERAGE(原始分!J2:J897)</f>
        <v>56.8216019417476</v>
      </c>
      <c r="H7" s="32">
        <f>AVERAGE(原始分!K2:K897)</f>
        <v>42.2532407407407</v>
      </c>
      <c r="I7" s="32">
        <f>AVERAGE(原始分!L2:L897)</f>
        <v>50.0713166144201</v>
      </c>
      <c r="J7" s="32">
        <f>AVERAGE(原始分!M2:M897)</f>
        <v>57.0357142857143</v>
      </c>
      <c r="K7" s="32">
        <f>AVERAGE(原始分!N2:N897)</f>
        <v>50.7734929078014</v>
      </c>
      <c r="L7" s="32">
        <f>SUM(C7:E7)</f>
        <v>293.679516685846</v>
      </c>
      <c r="M7" s="32">
        <f>AVERAGE(原始分!P2:P897)</f>
        <v>444.385788262371</v>
      </c>
      <c r="N7" s="43"/>
      <c r="O7" s="13"/>
      <c r="P7" s="13"/>
      <c r="Q7" s="13"/>
      <c r="R7" s="13"/>
      <c r="S7" s="13"/>
      <c r="T7" s="13"/>
    </row>
    <row r="8" ht="15.95" customHeight="1" spans="1:20">
      <c r="A8" s="31"/>
      <c r="B8" s="13" t="s">
        <v>1757</v>
      </c>
      <c r="C8" s="32">
        <f>MAX(C18:T18)-MIN(C18:T18)</f>
        <v>11.6225832438238</v>
      </c>
      <c r="D8" s="32">
        <f>MAX(C23:T23)-MIN(C23:T23)</f>
        <v>36.3485142118863</v>
      </c>
      <c r="E8" s="32">
        <f>MAX(C28:T28)-MIN(C28:T28)</f>
        <v>33.8421052631579</v>
      </c>
      <c r="F8" s="32">
        <f>MAX(C33:T33)-MIN(C33:T33)</f>
        <v>31.0872319688109</v>
      </c>
      <c r="G8" s="32">
        <f>MAX(P33:T33)-MIN(P33:T33)</f>
        <v>8.01667686658507</v>
      </c>
      <c r="H8" s="32">
        <f>MAX(C38:T38)-MIN(C38:T38)</f>
        <v>14.2106481481481</v>
      </c>
      <c r="I8" s="32">
        <f>MAX(C43:T43)-MIN(C43:T43)</f>
        <v>9.9599358974359</v>
      </c>
      <c r="J8" s="32">
        <f>MAX(C48:T48)-MIN(C48:T48)</f>
        <v>9.72718253968254</v>
      </c>
      <c r="K8" s="32">
        <f>MAX(C53:T53)-MIN(C53:T53)</f>
        <v>16.7446393762183</v>
      </c>
      <c r="L8" s="32">
        <f>MAX(C13:T13)-MIN(C13:T13)</f>
        <v>61.3335769980507</v>
      </c>
      <c r="M8" s="32">
        <f>MAX(C9:T9)-MIN(C9:T9)</f>
        <v>113.353070175439</v>
      </c>
      <c r="N8" s="13"/>
      <c r="O8" s="13"/>
      <c r="P8" s="13"/>
      <c r="Q8" s="13"/>
      <c r="R8" s="13"/>
      <c r="S8" s="13"/>
      <c r="T8" s="13"/>
    </row>
    <row r="9" ht="15.95" customHeight="1" spans="1:20">
      <c r="A9" s="34" t="s">
        <v>15</v>
      </c>
      <c r="B9" s="34" t="s">
        <v>1756</v>
      </c>
      <c r="C9" s="35">
        <f>AVERAGEIFS(原始分!$P$2:$P$1664,原始分!$B$2:$B$1664,C2)</f>
        <v>434.103174603175</v>
      </c>
      <c r="D9" s="35">
        <f>AVERAGEIFS(原始分!$P$2:$P$1664,原始分!$B$2:$B$1664,D2)</f>
        <v>441.119791666667</v>
      </c>
      <c r="E9" s="35">
        <f>AVERAGEIFS(原始分!$P$2:$P$1664,原始分!$B$2:$B$1664,E2)</f>
        <v>424.142857142857</v>
      </c>
      <c r="F9" s="35">
        <f>AVERAGEIFS(原始分!$P$2:$P$1664,原始分!$B$2:$B$1664,F2)</f>
        <v>429.147727272727</v>
      </c>
      <c r="G9" s="35">
        <f>AVERAGEIFS(原始分!$P$2:$P$1664,原始分!$B$2:$B$1664,G2)</f>
        <v>438.452127659574</v>
      </c>
      <c r="H9" s="35">
        <f>AVERAGEIFS(原始分!$P$2:$P$1664,原始分!$B$2:$B$1664,H2)</f>
        <v>424.166666666667</v>
      </c>
      <c r="I9" s="35">
        <f>AVERAGEIFS(原始分!$P$2:$P$1664,原始分!$B$2:$B$1664,I2)</f>
        <v>407.480263157895</v>
      </c>
      <c r="J9" s="35">
        <f>AVERAGEIFS(原始分!$P$2:$P$1664,原始分!$B$2:$B$1664,J2)</f>
        <v>427.118421052632</v>
      </c>
      <c r="K9" s="35">
        <f>AVERAGEIFS(原始分!$P$2:$P$1664,原始分!$B$2:$B$1664,K2)</f>
        <v>520.833333333333</v>
      </c>
      <c r="L9" s="35">
        <f>AVERAGEIFS(原始分!$P$2:$P$1664,原始分!$B$2:$B$1664,L2)</f>
        <v>484.732456140351</v>
      </c>
      <c r="M9" s="35">
        <f>AVERAGEIFS(原始分!$P$2:$P$1664,原始分!$B$2:$B$1664,M2)</f>
        <v>419.40350877193</v>
      </c>
      <c r="N9" s="35">
        <f>AVERAGEIFS(原始分!$P$2:$P$1664,原始分!$B$2:$B$1664,N2)</f>
        <v>408.133928571429</v>
      </c>
      <c r="O9" s="35">
        <f>AVERAGEIFS(原始分!$P$2:$P$1664,原始分!$B$2:$B$1664,O2)</f>
        <v>425.833333333333</v>
      </c>
      <c r="P9" s="35">
        <f>AVERAGEIFS(原始分!$P$2:$P$1664,原始分!$B$2:$B$1664,P2)</f>
        <v>450.8625</v>
      </c>
      <c r="Q9" s="35">
        <f>AVERAGEIFS(原始分!$P$2:$P$1664,原始分!$B$2:$B$1664,Q2)</f>
        <v>454.10119047619</v>
      </c>
      <c r="R9" s="35">
        <f>AVERAGEIFS(原始分!$P$2:$P$1664,原始分!$B$2:$B$1664,R2)</f>
        <v>515.809210526316</v>
      </c>
      <c r="S9" s="35">
        <f>AVERAGEIFS(原始分!$P$2:$P$1664,原始分!$B$2:$B$1664,S2)</f>
        <v>454.837209302326</v>
      </c>
      <c r="T9" s="35">
        <f>AVERAGEIFS(原始分!$P$2:$P$1664,原始分!$B$2:$B$1664,T2)</f>
        <v>447.139534883721</v>
      </c>
    </row>
    <row r="10" ht="15.95" customHeight="1" spans="1:20">
      <c r="A10" s="34"/>
      <c r="B10" s="34" t="s">
        <v>1834</v>
      </c>
      <c r="C10" s="34">
        <f>RANK(C9,$C$9:$O$9)</f>
        <v>5</v>
      </c>
      <c r="D10" s="34">
        <f t="shared" ref="D10:O10" si="0">RANK(D9,$C$9:$O$9)</f>
        <v>3</v>
      </c>
      <c r="E10" s="34">
        <f t="shared" si="0"/>
        <v>10</v>
      </c>
      <c r="F10" s="34">
        <f t="shared" si="0"/>
        <v>6</v>
      </c>
      <c r="G10" s="34">
        <f t="shared" si="0"/>
        <v>4</v>
      </c>
      <c r="H10" s="34">
        <f t="shared" si="0"/>
        <v>9</v>
      </c>
      <c r="I10" s="34">
        <f t="shared" si="0"/>
        <v>13</v>
      </c>
      <c r="J10" s="34">
        <f t="shared" si="0"/>
        <v>7</v>
      </c>
      <c r="K10" s="34">
        <f t="shared" si="0"/>
        <v>1</v>
      </c>
      <c r="L10" s="34">
        <f t="shared" si="0"/>
        <v>2</v>
      </c>
      <c r="M10" s="34">
        <f t="shared" si="0"/>
        <v>11</v>
      </c>
      <c r="N10" s="34">
        <f t="shared" si="0"/>
        <v>12</v>
      </c>
      <c r="O10" s="34">
        <f t="shared" si="0"/>
        <v>8</v>
      </c>
      <c r="P10" s="34">
        <f>RANK(P9,$P$9:$T$9)</f>
        <v>4</v>
      </c>
      <c r="Q10" s="34">
        <f>RANK(Q9,$P$9:$T$9)</f>
        <v>3</v>
      </c>
      <c r="R10" s="34">
        <f>RANK(R9,$P$9:$T$9)</f>
        <v>1</v>
      </c>
      <c r="S10" s="34">
        <f>RANK(S9,$P$9:$T$9)</f>
        <v>2</v>
      </c>
      <c r="T10" s="34">
        <f>RANK(T9,$P$9:$T$9)</f>
        <v>5</v>
      </c>
    </row>
    <row r="11" ht="15.95" customHeight="1" spans="1:20">
      <c r="A11" s="34"/>
      <c r="B11" s="34" t="s">
        <v>2055</v>
      </c>
      <c r="C11" s="37">
        <v>6</v>
      </c>
      <c r="D11" s="37">
        <v>11</v>
      </c>
      <c r="E11" s="37">
        <v>3</v>
      </c>
      <c r="F11" s="37">
        <v>5</v>
      </c>
      <c r="G11" s="37">
        <v>4</v>
      </c>
      <c r="H11" s="37">
        <v>13</v>
      </c>
      <c r="I11" s="37">
        <v>12</v>
      </c>
      <c r="J11" s="37">
        <v>8</v>
      </c>
      <c r="K11" s="37">
        <v>1</v>
      </c>
      <c r="L11" s="37">
        <v>2</v>
      </c>
      <c r="M11" s="37">
        <v>7</v>
      </c>
      <c r="N11" s="37">
        <v>10</v>
      </c>
      <c r="O11" s="37">
        <v>9</v>
      </c>
      <c r="P11" s="37">
        <v>3</v>
      </c>
      <c r="Q11" s="37">
        <v>2</v>
      </c>
      <c r="R11" s="37">
        <v>1</v>
      </c>
      <c r="S11" s="37">
        <v>5</v>
      </c>
      <c r="T11" s="37">
        <v>4</v>
      </c>
    </row>
    <row r="12" ht="15.95" customHeight="1" spans="1:20">
      <c r="A12" s="34"/>
      <c r="B12" s="34" t="s">
        <v>2056</v>
      </c>
      <c r="C12" s="37">
        <f>C11-C10</f>
        <v>1</v>
      </c>
      <c r="D12" s="37">
        <f t="shared" ref="D12:T12" si="1">D11-D10</f>
        <v>8</v>
      </c>
      <c r="E12" s="37">
        <f t="shared" si="1"/>
        <v>-7</v>
      </c>
      <c r="F12" s="37">
        <f t="shared" si="1"/>
        <v>-1</v>
      </c>
      <c r="G12" s="37">
        <f t="shared" si="1"/>
        <v>0</v>
      </c>
      <c r="H12" s="37">
        <f t="shared" si="1"/>
        <v>4</v>
      </c>
      <c r="I12" s="37">
        <f t="shared" si="1"/>
        <v>-1</v>
      </c>
      <c r="J12" s="37">
        <f t="shared" si="1"/>
        <v>1</v>
      </c>
      <c r="K12" s="37">
        <f t="shared" si="1"/>
        <v>0</v>
      </c>
      <c r="L12" s="37">
        <f t="shared" si="1"/>
        <v>0</v>
      </c>
      <c r="M12" s="37">
        <f t="shared" si="1"/>
        <v>-4</v>
      </c>
      <c r="N12" s="37">
        <f t="shared" si="1"/>
        <v>-2</v>
      </c>
      <c r="O12" s="37">
        <f t="shared" si="1"/>
        <v>1</v>
      </c>
      <c r="P12" s="37">
        <f t="shared" si="1"/>
        <v>-1</v>
      </c>
      <c r="Q12" s="37">
        <f t="shared" si="1"/>
        <v>-1</v>
      </c>
      <c r="R12" s="37">
        <f t="shared" si="1"/>
        <v>0</v>
      </c>
      <c r="S12" s="37">
        <f t="shared" si="1"/>
        <v>3</v>
      </c>
      <c r="T12" s="37">
        <f t="shared" si="1"/>
        <v>-1</v>
      </c>
    </row>
    <row r="13" ht="15.95" customHeight="1" spans="1:20">
      <c r="A13" s="34" t="s">
        <v>14</v>
      </c>
      <c r="B13" s="34" t="s">
        <v>1756</v>
      </c>
      <c r="C13" s="35">
        <f>AVERAGEIFS(原始分!$O$2:$O$1664,原始分!$B$2:$B$1664,C2)</f>
        <v>290.420634920635</v>
      </c>
      <c r="D13" s="35">
        <f>AVERAGEIFS(原始分!$O$2:$O$1664,原始分!$B$2:$B$1664,D2)</f>
        <v>288.776041666667</v>
      </c>
      <c r="E13" s="35">
        <f>AVERAGEIFS(原始分!$O$2:$O$1664,原始分!$B$2:$B$1664,E2)</f>
        <v>286.775510204082</v>
      </c>
      <c r="F13" s="35">
        <f>AVERAGEIFS(原始分!$O$2:$O$1664,原始分!$B$2:$B$1664,F2)</f>
        <v>291.346590909091</v>
      </c>
      <c r="G13" s="35">
        <f>AVERAGEIFS(原始分!$O$2:$O$1664,原始分!$B$2:$B$1664,G2)</f>
        <v>297.191489361702</v>
      </c>
      <c r="H13" s="35">
        <f>AVERAGEIFS(原始分!$O$2:$O$1664,原始分!$B$2:$B$1664,H2)</f>
        <v>279.057692307692</v>
      </c>
      <c r="I13" s="35">
        <f>AVERAGEIFS(原始分!$O$2:$O$1664,原始分!$B$2:$B$1664,I2)</f>
        <v>275.546052631579</v>
      </c>
      <c r="J13" s="35">
        <f>AVERAGEIFS(原始分!$O$2:$O$1664,原始分!$B$2:$B$1664,J2)</f>
        <v>287.232456140351</v>
      </c>
      <c r="K13" s="35">
        <f>AVERAGEIFS(原始分!$O$2:$O$1664,原始分!$B$2:$B$1664,K2)</f>
        <v>336.87962962963</v>
      </c>
      <c r="L13" s="35">
        <f>AVERAGEIFS(原始分!$O$2:$O$1664,原始分!$B$2:$B$1664,L2)</f>
        <v>314.828947368421</v>
      </c>
      <c r="M13" s="35">
        <f>AVERAGEIFS(原始分!$O$2:$O$1664,原始分!$B$2:$B$1664,M2)</f>
        <v>282.811403508772</v>
      </c>
      <c r="N13" s="35">
        <f>AVERAGEIFS(原始分!$O$2:$O$1664,原始分!$B$2:$B$1664,N2)</f>
        <v>278.8125</v>
      </c>
      <c r="O13" s="35">
        <f>AVERAGEIFS(原始分!$O$2:$O$1664,原始分!$B$2:$B$1664,O2)</f>
        <v>284.305555555556</v>
      </c>
      <c r="P13" s="35">
        <f>AVERAGEIFS(原始分!$O$2:$O$1664,原始分!$B$2:$B$1664,P2)</f>
        <v>290.74375</v>
      </c>
      <c r="Q13" s="35">
        <f>AVERAGEIFS(原始分!$O$2:$O$1664,原始分!$B$2:$B$1664,Q2)</f>
        <v>290.422619047619</v>
      </c>
      <c r="R13" s="35">
        <f>AVERAGEIFS(原始分!$O$2:$O$1664,原始分!$B$2:$B$1664,R2)</f>
        <v>332.585526315789</v>
      </c>
      <c r="S13" s="35">
        <f>AVERAGEIFS(原始分!$O$2:$O$1664,原始分!$B$2:$B$1664,S2)</f>
        <v>290.145348837209</v>
      </c>
      <c r="T13" s="35">
        <f>AVERAGEIFS(原始分!$O$2:$O$1664,原始分!$B$2:$B$1664,T2)</f>
        <v>286.494186046512</v>
      </c>
    </row>
    <row r="14" ht="15.95" customHeight="1" spans="1:20">
      <c r="A14" s="34"/>
      <c r="B14" s="34" t="s">
        <v>1834</v>
      </c>
      <c r="C14" s="34">
        <f t="shared" ref="C14:T14" si="2">RANK(C13,$C$13:$T$13)</f>
        <v>8</v>
      </c>
      <c r="D14" s="34">
        <f t="shared" si="2"/>
        <v>10</v>
      </c>
      <c r="E14" s="34">
        <f t="shared" si="2"/>
        <v>12</v>
      </c>
      <c r="F14" s="34">
        <f t="shared" si="2"/>
        <v>5</v>
      </c>
      <c r="G14" s="34">
        <f t="shared" si="2"/>
        <v>4</v>
      </c>
      <c r="H14" s="34">
        <f t="shared" si="2"/>
        <v>16</v>
      </c>
      <c r="I14" s="34">
        <f t="shared" si="2"/>
        <v>18</v>
      </c>
      <c r="J14" s="34">
        <f t="shared" si="2"/>
        <v>11</v>
      </c>
      <c r="K14" s="34">
        <f t="shared" si="2"/>
        <v>1</v>
      </c>
      <c r="L14" s="34">
        <f t="shared" si="2"/>
        <v>3</v>
      </c>
      <c r="M14" s="34">
        <f t="shared" si="2"/>
        <v>15</v>
      </c>
      <c r="N14" s="34">
        <f t="shared" si="2"/>
        <v>17</v>
      </c>
      <c r="O14" s="34">
        <f t="shared" si="2"/>
        <v>14</v>
      </c>
      <c r="P14" s="34">
        <f t="shared" si="2"/>
        <v>6</v>
      </c>
      <c r="Q14" s="34">
        <f t="shared" si="2"/>
        <v>7</v>
      </c>
      <c r="R14" s="34">
        <f t="shared" si="2"/>
        <v>2</v>
      </c>
      <c r="S14" s="34">
        <f t="shared" si="2"/>
        <v>9</v>
      </c>
      <c r="T14" s="34">
        <f t="shared" si="2"/>
        <v>13</v>
      </c>
    </row>
    <row r="15" ht="15.95" customHeight="1" spans="1:20">
      <c r="A15" s="34"/>
      <c r="B15" s="34" t="s">
        <v>2055</v>
      </c>
      <c r="C15" s="30">
        <v>7</v>
      </c>
      <c r="D15" s="30">
        <v>13</v>
      </c>
      <c r="E15" s="14">
        <v>6</v>
      </c>
      <c r="F15" s="30">
        <v>5</v>
      </c>
      <c r="G15" s="14">
        <v>4</v>
      </c>
      <c r="H15" s="30">
        <v>16</v>
      </c>
      <c r="I15" s="30">
        <v>15</v>
      </c>
      <c r="J15" s="30">
        <v>9</v>
      </c>
      <c r="K15" s="30">
        <v>1</v>
      </c>
      <c r="L15" s="30">
        <v>3</v>
      </c>
      <c r="M15" s="30">
        <v>8</v>
      </c>
      <c r="N15" s="14">
        <v>12</v>
      </c>
      <c r="O15" s="30">
        <v>10</v>
      </c>
      <c r="P15" s="30">
        <v>14</v>
      </c>
      <c r="Q15" s="14">
        <v>11</v>
      </c>
      <c r="R15" s="30">
        <v>2</v>
      </c>
      <c r="S15" s="30">
        <v>18</v>
      </c>
      <c r="T15" s="30">
        <v>17</v>
      </c>
    </row>
    <row r="16" ht="15.95" customHeight="1" spans="1:20">
      <c r="A16" s="34"/>
      <c r="B16" s="34" t="s">
        <v>2056</v>
      </c>
      <c r="C16" s="30">
        <f>C15-C14</f>
        <v>-1</v>
      </c>
      <c r="D16" s="30">
        <f t="shared" ref="D16:T16" si="3">D15-D14</f>
        <v>3</v>
      </c>
      <c r="E16" s="30">
        <f t="shared" si="3"/>
        <v>-6</v>
      </c>
      <c r="F16" s="30">
        <f t="shared" si="3"/>
        <v>0</v>
      </c>
      <c r="G16" s="30">
        <f t="shared" si="3"/>
        <v>0</v>
      </c>
      <c r="H16" s="30">
        <f t="shared" si="3"/>
        <v>0</v>
      </c>
      <c r="I16" s="30">
        <f t="shared" si="3"/>
        <v>-3</v>
      </c>
      <c r="J16" s="30">
        <f t="shared" si="3"/>
        <v>-2</v>
      </c>
      <c r="K16" s="30">
        <f t="shared" si="3"/>
        <v>0</v>
      </c>
      <c r="L16" s="30">
        <f t="shared" si="3"/>
        <v>0</v>
      </c>
      <c r="M16" s="30">
        <f t="shared" si="3"/>
        <v>-7</v>
      </c>
      <c r="N16" s="30">
        <f t="shared" si="3"/>
        <v>-5</v>
      </c>
      <c r="O16" s="30">
        <f t="shared" si="3"/>
        <v>-4</v>
      </c>
      <c r="P16" s="30">
        <f t="shared" si="3"/>
        <v>8</v>
      </c>
      <c r="Q16" s="30">
        <f t="shared" si="3"/>
        <v>4</v>
      </c>
      <c r="R16" s="30">
        <f t="shared" si="3"/>
        <v>0</v>
      </c>
      <c r="S16" s="30">
        <f t="shared" si="3"/>
        <v>9</v>
      </c>
      <c r="T16" s="30">
        <f t="shared" si="3"/>
        <v>4</v>
      </c>
    </row>
    <row r="17" ht="15.95" customHeight="1" spans="1:20">
      <c r="A17" s="34"/>
      <c r="B17" s="34" t="s">
        <v>1760</v>
      </c>
      <c r="C17" s="30" t="s">
        <v>1761</v>
      </c>
      <c r="D17" s="30" t="s">
        <v>1762</v>
      </c>
      <c r="E17" s="14" t="s">
        <v>1763</v>
      </c>
      <c r="F17" s="30" t="s">
        <v>1764</v>
      </c>
      <c r="G17" s="14" t="s">
        <v>1765</v>
      </c>
      <c r="H17" s="30" t="s">
        <v>1766</v>
      </c>
      <c r="I17" s="30" t="s">
        <v>1767</v>
      </c>
      <c r="J17" s="30" t="s">
        <v>1768</v>
      </c>
      <c r="K17" s="30" t="s">
        <v>1769</v>
      </c>
      <c r="L17" s="30" t="s">
        <v>1770</v>
      </c>
      <c r="M17" s="30" t="s">
        <v>1771</v>
      </c>
      <c r="N17" s="14" t="s">
        <v>1772</v>
      </c>
      <c r="O17" s="30" t="s">
        <v>1773</v>
      </c>
      <c r="P17" s="30" t="s">
        <v>1774</v>
      </c>
      <c r="Q17" s="14" t="s">
        <v>1775</v>
      </c>
      <c r="R17" s="30" t="s">
        <v>1776</v>
      </c>
      <c r="S17" s="30" t="s">
        <v>1777</v>
      </c>
      <c r="T17" s="30" t="s">
        <v>1778</v>
      </c>
    </row>
    <row r="18" ht="15.95" customHeight="1" spans="1:20">
      <c r="A18" s="9" t="s">
        <v>5</v>
      </c>
      <c r="B18" s="9" t="s">
        <v>1756</v>
      </c>
      <c r="C18" s="39">
        <f>AVERAGEIFS(原始分!$F$2:$F$1664,原始分!$B$2:$B$1664,C2)</f>
        <v>99.1547619047619</v>
      </c>
      <c r="D18" s="39">
        <f>AVERAGEIFS(原始分!$F$2:$F$1664,原始分!$B$2:$B$1664,D2)</f>
        <v>99.1875</v>
      </c>
      <c r="E18" s="39">
        <f>AVERAGEIFS(原始分!$F$2:$F$1664,原始分!$B$2:$B$1664,E2)</f>
        <v>94.9234693877551</v>
      </c>
      <c r="F18" s="39">
        <f>AVERAGEIFS(原始分!$F$2:$F$1664,原始分!$B$2:$B$1664,F2)</f>
        <v>96.4147727272727</v>
      </c>
      <c r="G18" s="39">
        <f>AVERAGEIFS(原始分!$F$2:$F$1664,原始分!$B$2:$B$1664,G2)</f>
        <v>96.2234042553192</v>
      </c>
      <c r="H18" s="39">
        <f>AVERAGEIFS(原始分!$F$2:$F$1664,原始分!$B$2:$B$1664,H2)</f>
        <v>97.0512820512821</v>
      </c>
      <c r="I18" s="39">
        <f>AVERAGEIFS(原始分!$F$2:$F$1664,原始分!$B$2:$B$1664,I2)</f>
        <v>97.6644736842105</v>
      </c>
      <c r="J18" s="39">
        <f>AVERAGEIFS(原始分!$F$2:$F$1664,原始分!$B$2:$B$1664,J2)</f>
        <v>98.640350877193</v>
      </c>
      <c r="K18" s="39">
        <f>AVERAGEIFS(原始分!$F$2:$F$1664,原始分!$B$2:$B$1664,K2)</f>
        <v>102.828703703704</v>
      </c>
      <c r="L18" s="39">
        <f>AVERAGEIFS(原始分!$F$2:$F$1664,原始分!$B$2:$B$1664,L2)</f>
        <v>102.171052631579</v>
      </c>
      <c r="M18" s="39">
        <f>AVERAGEIFS(原始分!$F$2:$F$1664,原始分!$B$2:$B$1664,M2)</f>
        <v>96.8640350877193</v>
      </c>
      <c r="N18" s="39">
        <f>AVERAGEIFS(原始分!$F$2:$F$1664,原始分!$B$2:$B$1664,N2)</f>
        <v>95.53125</v>
      </c>
      <c r="O18" s="39">
        <f>AVERAGEIFS(原始分!$F$2:$F$1664,原始分!$B$2:$B$1664,O2)</f>
        <v>97.3240740740741</v>
      </c>
      <c r="P18" s="39">
        <f>AVERAGEIFS(原始分!$F$2:$F$1664,原始分!$B$2:$B$1664,P2)</f>
        <v>100.00625</v>
      </c>
      <c r="Q18" s="39">
        <f>AVERAGEIFS(原始分!$F$2:$F$1664,原始分!$B$2:$B$1664,Q2)</f>
        <v>99.7261904761905</v>
      </c>
      <c r="R18" s="39">
        <f>AVERAGEIFS(原始分!$F$2:$F$1664,原始分!$B$2:$B$1664,R2)</f>
        <v>106.546052631579</v>
      </c>
      <c r="S18" s="39">
        <f>AVERAGEIFS(原始分!$F$2:$F$1664,原始分!$B$2:$B$1664,S2)</f>
        <v>102.046511627907</v>
      </c>
      <c r="T18" s="39">
        <f>AVERAGEIFS(原始分!$F$2:$F$1664,原始分!$B$2:$B$1664,T2)</f>
        <v>102.982558139535</v>
      </c>
    </row>
    <row r="19" ht="15.95" customHeight="1" spans="1:20">
      <c r="A19" s="9"/>
      <c r="B19" s="9" t="s">
        <v>1834</v>
      </c>
      <c r="C19" s="9">
        <f t="shared" ref="C19:T19" si="4">RANK(C18,$C$18:$T$18)</f>
        <v>9</v>
      </c>
      <c r="D19" s="9">
        <f t="shared" si="4"/>
        <v>8</v>
      </c>
      <c r="E19" s="9">
        <f t="shared" si="4"/>
        <v>18</v>
      </c>
      <c r="F19" s="9">
        <f t="shared" si="4"/>
        <v>15</v>
      </c>
      <c r="G19" s="9">
        <f t="shared" si="4"/>
        <v>16</v>
      </c>
      <c r="H19" s="9">
        <f t="shared" si="4"/>
        <v>13</v>
      </c>
      <c r="I19" s="9">
        <f t="shared" si="4"/>
        <v>11</v>
      </c>
      <c r="J19" s="9">
        <f t="shared" si="4"/>
        <v>10</v>
      </c>
      <c r="K19" s="9">
        <f t="shared" si="4"/>
        <v>3</v>
      </c>
      <c r="L19" s="9">
        <f t="shared" si="4"/>
        <v>4</v>
      </c>
      <c r="M19" s="9">
        <f t="shared" si="4"/>
        <v>14</v>
      </c>
      <c r="N19" s="9">
        <f t="shared" si="4"/>
        <v>17</v>
      </c>
      <c r="O19" s="9">
        <f t="shared" si="4"/>
        <v>12</v>
      </c>
      <c r="P19" s="9">
        <f t="shared" si="4"/>
        <v>6</v>
      </c>
      <c r="Q19" s="9">
        <f t="shared" si="4"/>
        <v>7</v>
      </c>
      <c r="R19" s="9">
        <f t="shared" si="4"/>
        <v>1</v>
      </c>
      <c r="S19" s="9">
        <f t="shared" si="4"/>
        <v>5</v>
      </c>
      <c r="T19" s="9">
        <f t="shared" si="4"/>
        <v>2</v>
      </c>
    </row>
    <row r="20" ht="15.95" customHeight="1" spans="1:20">
      <c r="A20" s="9"/>
      <c r="B20" s="34" t="s">
        <v>2055</v>
      </c>
      <c r="C20" s="14">
        <v>12</v>
      </c>
      <c r="D20" s="30">
        <v>6</v>
      </c>
      <c r="E20" s="14">
        <v>11</v>
      </c>
      <c r="F20" s="14">
        <v>14</v>
      </c>
      <c r="G20" s="14">
        <v>15</v>
      </c>
      <c r="H20" s="14">
        <v>13</v>
      </c>
      <c r="I20" s="30">
        <v>10</v>
      </c>
      <c r="J20" s="14">
        <v>16</v>
      </c>
      <c r="K20" s="14">
        <v>2</v>
      </c>
      <c r="L20" s="14">
        <v>3</v>
      </c>
      <c r="M20" s="14">
        <v>17</v>
      </c>
      <c r="N20" s="14">
        <v>18</v>
      </c>
      <c r="O20" s="30">
        <v>9</v>
      </c>
      <c r="P20" s="14">
        <v>5</v>
      </c>
      <c r="Q20" s="30">
        <v>4</v>
      </c>
      <c r="R20" s="14">
        <v>1</v>
      </c>
      <c r="S20" s="30">
        <v>7</v>
      </c>
      <c r="T20" s="30">
        <v>8</v>
      </c>
    </row>
    <row r="21" ht="15.95" customHeight="1" spans="1:20">
      <c r="A21" s="9"/>
      <c r="B21" s="34" t="s">
        <v>2056</v>
      </c>
      <c r="C21" s="14">
        <f>C20-C19</f>
        <v>3</v>
      </c>
      <c r="D21" s="14">
        <f t="shared" ref="D21:T21" si="5">D20-D19</f>
        <v>-2</v>
      </c>
      <c r="E21" s="14">
        <f t="shared" si="5"/>
        <v>-7</v>
      </c>
      <c r="F21" s="14">
        <f t="shared" si="5"/>
        <v>-1</v>
      </c>
      <c r="G21" s="14">
        <f t="shared" si="5"/>
        <v>-1</v>
      </c>
      <c r="H21" s="14">
        <f t="shared" si="5"/>
        <v>0</v>
      </c>
      <c r="I21" s="14">
        <f t="shared" si="5"/>
        <v>-1</v>
      </c>
      <c r="J21" s="14">
        <f t="shared" si="5"/>
        <v>6</v>
      </c>
      <c r="K21" s="14">
        <f t="shared" si="5"/>
        <v>-1</v>
      </c>
      <c r="L21" s="14">
        <f t="shared" si="5"/>
        <v>-1</v>
      </c>
      <c r="M21" s="14">
        <f t="shared" si="5"/>
        <v>3</v>
      </c>
      <c r="N21" s="14">
        <f t="shared" si="5"/>
        <v>1</v>
      </c>
      <c r="O21" s="14">
        <f t="shared" si="5"/>
        <v>-3</v>
      </c>
      <c r="P21" s="14">
        <f t="shared" si="5"/>
        <v>-1</v>
      </c>
      <c r="Q21" s="14">
        <f t="shared" si="5"/>
        <v>-3</v>
      </c>
      <c r="R21" s="14">
        <f t="shared" si="5"/>
        <v>0</v>
      </c>
      <c r="S21" s="14">
        <f t="shared" si="5"/>
        <v>2</v>
      </c>
      <c r="T21" s="14">
        <f t="shared" si="5"/>
        <v>6</v>
      </c>
    </row>
    <row r="22" ht="15.95" customHeight="1" spans="1:20">
      <c r="A22" s="9"/>
      <c r="B22" s="9" t="s">
        <v>1781</v>
      </c>
      <c r="C22" s="40" t="s">
        <v>1782</v>
      </c>
      <c r="D22" s="40" t="s">
        <v>1783</v>
      </c>
      <c r="E22" s="40" t="s">
        <v>1784</v>
      </c>
      <c r="F22" s="40" t="s">
        <v>1785</v>
      </c>
      <c r="G22" s="40" t="s">
        <v>1784</v>
      </c>
      <c r="H22" s="40" t="s">
        <v>1772</v>
      </c>
      <c r="I22" s="40" t="s">
        <v>1786</v>
      </c>
      <c r="J22" s="40" t="s">
        <v>1782</v>
      </c>
      <c r="K22" s="40" t="s">
        <v>1787</v>
      </c>
      <c r="L22" s="40" t="s">
        <v>1771</v>
      </c>
      <c r="M22" s="40" t="s">
        <v>1771</v>
      </c>
      <c r="N22" s="40" t="s">
        <v>1772</v>
      </c>
      <c r="O22" s="40" t="s">
        <v>1788</v>
      </c>
      <c r="P22" s="40" t="s">
        <v>1789</v>
      </c>
      <c r="Q22" s="40" t="s">
        <v>1788</v>
      </c>
      <c r="R22" s="40" t="s">
        <v>1790</v>
      </c>
      <c r="S22" s="40" t="s">
        <v>1783</v>
      </c>
      <c r="T22" s="40" t="s">
        <v>1786</v>
      </c>
    </row>
    <row r="23" ht="15.95" customHeight="1" spans="1:20">
      <c r="A23" s="34" t="s">
        <v>6</v>
      </c>
      <c r="B23" s="34" t="s">
        <v>1756</v>
      </c>
      <c r="C23" s="35">
        <f>AVERAGEIFS(原始分!$G$2:$G$1664,原始分!$B$2:$B$1664,C2)</f>
        <v>97.7936507936508</v>
      </c>
      <c r="D23" s="35">
        <f>AVERAGEIFS(原始分!$G$2:$G$1664,原始分!$B$2:$B$1664,D2)</f>
        <v>92.03125</v>
      </c>
      <c r="E23" s="35">
        <f>AVERAGEIFS(原始分!$G$2:$G$1664,原始分!$B$2:$B$1664,E2)</f>
        <v>96.7857142857143</v>
      </c>
      <c r="F23" s="35">
        <f>AVERAGEIFS(原始分!$G$2:$G$1664,原始分!$B$2:$B$1664,F2)</f>
        <v>100.477272727273</v>
      </c>
      <c r="G23" s="35">
        <f>AVERAGEIFS(原始分!$G$2:$G$1664,原始分!$B$2:$B$1664,G2)</f>
        <v>106.026595744681</v>
      </c>
      <c r="H23" s="35">
        <f>AVERAGEIFS(原始分!$G$2:$G$1664,原始分!$B$2:$B$1664,H2)</f>
        <v>89.1666666666667</v>
      </c>
      <c r="I23" s="35">
        <f>AVERAGEIFS(原始分!$G$2:$G$1664,原始分!$B$2:$B$1664,I2)</f>
        <v>92.7631578947368</v>
      </c>
      <c r="J23" s="35">
        <f>AVERAGEIFS(原始分!$G$2:$G$1664,原始分!$B$2:$B$1664,J2)</f>
        <v>98.3070175438596</v>
      </c>
      <c r="K23" s="35">
        <f>AVERAGEIFS(原始分!$G$2:$G$1664,原始分!$B$2:$B$1664,K2)</f>
        <v>121.069444444444</v>
      </c>
      <c r="L23" s="35">
        <f>AVERAGEIFS(原始分!$G$2:$G$1664,原始分!$B$2:$B$1664,L2)</f>
        <v>110.263157894737</v>
      </c>
      <c r="M23" s="35">
        <f>AVERAGEIFS(原始分!$G$2:$G$1664,原始分!$B$2:$B$1664,M2)</f>
        <v>96.7017543859649</v>
      </c>
      <c r="N23" s="35">
        <f>AVERAGEIFS(原始分!$G$2:$G$1664,原始分!$B$2:$B$1664,N2)</f>
        <v>95.8214285714286</v>
      </c>
      <c r="O23" s="35">
        <f>AVERAGEIFS(原始分!$G$2:$G$1664,原始分!$B$2:$B$1664,O2)</f>
        <v>98.3611111111111</v>
      </c>
      <c r="P23" s="35">
        <f>AVERAGEIFS(原始分!$G$2:$G$1664,原始分!$B$2:$B$1664,P2)</f>
        <v>91.125</v>
      </c>
      <c r="Q23" s="35">
        <f>AVERAGEIFS(原始分!$G$2:$G$1664,原始分!$B$2:$B$1664,Q2)</f>
        <v>91.3809523809524</v>
      </c>
      <c r="R23" s="35">
        <f>AVERAGEIFS(原始分!$G$2:$G$1664,原始分!$B$2:$B$1664,R2)</f>
        <v>107.078947368421</v>
      </c>
      <c r="S23" s="35">
        <f>AVERAGEIFS(原始分!$G$2:$G$1664,原始分!$B$2:$B$1664,S2)</f>
        <v>87.7674418604651</v>
      </c>
      <c r="T23" s="35">
        <f>AVERAGEIFS(原始分!$G$2:$G$1664,原始分!$B$2:$B$1664,T2)</f>
        <v>84.7209302325581</v>
      </c>
    </row>
    <row r="24" ht="15.95" customHeight="1" spans="1:20">
      <c r="A24" s="34"/>
      <c r="B24" s="34" t="s">
        <v>1834</v>
      </c>
      <c r="C24" s="34">
        <f t="shared" ref="C24:T24" si="6">RANK(C23,$C$23:$T$23)</f>
        <v>8</v>
      </c>
      <c r="D24" s="34">
        <f t="shared" si="6"/>
        <v>13</v>
      </c>
      <c r="E24" s="34">
        <f t="shared" si="6"/>
        <v>9</v>
      </c>
      <c r="F24" s="34">
        <f t="shared" si="6"/>
        <v>5</v>
      </c>
      <c r="G24" s="34">
        <f t="shared" si="6"/>
        <v>4</v>
      </c>
      <c r="H24" s="34">
        <f t="shared" si="6"/>
        <v>16</v>
      </c>
      <c r="I24" s="34">
        <f t="shared" si="6"/>
        <v>12</v>
      </c>
      <c r="J24" s="34">
        <f t="shared" si="6"/>
        <v>7</v>
      </c>
      <c r="K24" s="34">
        <f t="shared" si="6"/>
        <v>1</v>
      </c>
      <c r="L24" s="34">
        <f t="shared" si="6"/>
        <v>2</v>
      </c>
      <c r="M24" s="34">
        <f t="shared" si="6"/>
        <v>10</v>
      </c>
      <c r="N24" s="34">
        <f t="shared" si="6"/>
        <v>11</v>
      </c>
      <c r="O24" s="34">
        <f t="shared" si="6"/>
        <v>6</v>
      </c>
      <c r="P24" s="34">
        <f t="shared" si="6"/>
        <v>15</v>
      </c>
      <c r="Q24" s="34">
        <f t="shared" si="6"/>
        <v>14</v>
      </c>
      <c r="R24" s="34">
        <f t="shared" si="6"/>
        <v>3</v>
      </c>
      <c r="S24" s="34">
        <f t="shared" si="6"/>
        <v>17</v>
      </c>
      <c r="T24" s="34">
        <f t="shared" si="6"/>
        <v>18</v>
      </c>
    </row>
    <row r="25" ht="15.95" customHeight="1" spans="1:20">
      <c r="A25" s="34"/>
      <c r="B25" s="34" t="s">
        <v>2055</v>
      </c>
      <c r="C25" s="14">
        <v>7</v>
      </c>
      <c r="D25" s="14">
        <v>14</v>
      </c>
      <c r="E25" s="14">
        <v>6</v>
      </c>
      <c r="F25" s="14">
        <v>4</v>
      </c>
      <c r="G25" s="14">
        <v>5</v>
      </c>
      <c r="H25" s="14">
        <v>13</v>
      </c>
      <c r="I25" s="14">
        <v>12</v>
      </c>
      <c r="J25" s="14">
        <v>11</v>
      </c>
      <c r="K25" s="14">
        <v>1</v>
      </c>
      <c r="L25" s="14">
        <v>2</v>
      </c>
      <c r="M25" s="14">
        <v>8</v>
      </c>
      <c r="N25" s="14">
        <v>9</v>
      </c>
      <c r="O25" s="30">
        <v>10</v>
      </c>
      <c r="P25" s="30">
        <v>16</v>
      </c>
      <c r="Q25" s="14">
        <v>15</v>
      </c>
      <c r="R25" s="14">
        <v>3</v>
      </c>
      <c r="S25" s="30">
        <v>17</v>
      </c>
      <c r="T25" s="14">
        <v>18</v>
      </c>
    </row>
    <row r="26" ht="15.95" customHeight="1" spans="1:20">
      <c r="A26" s="34"/>
      <c r="B26" s="34" t="s">
        <v>2056</v>
      </c>
      <c r="C26" s="14">
        <f>C25-C24</f>
        <v>-1</v>
      </c>
      <c r="D26" s="14">
        <f t="shared" ref="D26:T26" si="7">D25-D24</f>
        <v>1</v>
      </c>
      <c r="E26" s="14">
        <f t="shared" si="7"/>
        <v>-3</v>
      </c>
      <c r="F26" s="14">
        <f t="shared" si="7"/>
        <v>-1</v>
      </c>
      <c r="G26" s="14">
        <f t="shared" si="7"/>
        <v>1</v>
      </c>
      <c r="H26" s="14">
        <f t="shared" si="7"/>
        <v>-3</v>
      </c>
      <c r="I26" s="14">
        <f t="shared" si="7"/>
        <v>0</v>
      </c>
      <c r="J26" s="14">
        <f t="shared" si="7"/>
        <v>4</v>
      </c>
      <c r="K26" s="14">
        <f t="shared" si="7"/>
        <v>0</v>
      </c>
      <c r="L26" s="14">
        <f t="shared" si="7"/>
        <v>0</v>
      </c>
      <c r="M26" s="14">
        <f t="shared" si="7"/>
        <v>-2</v>
      </c>
      <c r="N26" s="14">
        <f t="shared" si="7"/>
        <v>-2</v>
      </c>
      <c r="O26" s="14">
        <f t="shared" si="7"/>
        <v>4</v>
      </c>
      <c r="P26" s="14">
        <f t="shared" si="7"/>
        <v>1</v>
      </c>
      <c r="Q26" s="14">
        <f t="shared" si="7"/>
        <v>1</v>
      </c>
      <c r="R26" s="14">
        <f t="shared" si="7"/>
        <v>0</v>
      </c>
      <c r="S26" s="14">
        <f t="shared" si="7"/>
        <v>0</v>
      </c>
      <c r="T26" s="14">
        <f t="shared" si="7"/>
        <v>0</v>
      </c>
    </row>
    <row r="27" ht="15.95" customHeight="1" spans="1:20">
      <c r="A27" s="34"/>
      <c r="B27" s="34" t="s">
        <v>1781</v>
      </c>
      <c r="C27" s="40" t="s">
        <v>1791</v>
      </c>
      <c r="D27" s="41" t="s">
        <v>1792</v>
      </c>
      <c r="E27" s="40" t="s">
        <v>1763</v>
      </c>
      <c r="F27" s="40" t="s">
        <v>1793</v>
      </c>
      <c r="G27" s="40" t="s">
        <v>1765</v>
      </c>
      <c r="H27" s="40" t="s">
        <v>294</v>
      </c>
      <c r="I27" s="40" t="s">
        <v>1794</v>
      </c>
      <c r="J27" s="40" t="s">
        <v>1794</v>
      </c>
      <c r="K27" s="40" t="s">
        <v>1769</v>
      </c>
      <c r="L27" s="40" t="s">
        <v>1770</v>
      </c>
      <c r="M27" s="40" t="s">
        <v>1763</v>
      </c>
      <c r="N27" s="40" t="s">
        <v>1795</v>
      </c>
      <c r="O27" s="40" t="s">
        <v>1777</v>
      </c>
      <c r="P27" s="40" t="s">
        <v>1774</v>
      </c>
      <c r="Q27" s="40" t="s">
        <v>1765</v>
      </c>
      <c r="R27" s="40" t="s">
        <v>1776</v>
      </c>
      <c r="S27" s="40" t="s">
        <v>1777</v>
      </c>
      <c r="T27" s="40" t="s">
        <v>1774</v>
      </c>
    </row>
    <row r="28" ht="15.95" customHeight="1" spans="1:20">
      <c r="A28" s="9" t="s">
        <v>7</v>
      </c>
      <c r="B28" s="9" t="s">
        <v>1756</v>
      </c>
      <c r="C28" s="39">
        <f>AVERAGEIFS(原始分!$H$2:$H$1664,原始分!$B$2:$B$1664,C2)</f>
        <v>93.4722222222222</v>
      </c>
      <c r="D28" s="39">
        <f>AVERAGEIFS(原始分!$H$2:$H$1664,原始分!$B$2:$B$1664,D2)</f>
        <v>97.5572916666667</v>
      </c>
      <c r="E28" s="39">
        <f>AVERAGEIFS(原始分!$H$2:$H$1664,原始分!$B$2:$B$1664,E2)</f>
        <v>95.0663265306122</v>
      </c>
      <c r="F28" s="39">
        <f>AVERAGEIFS(原始分!$H$2:$H$1664,原始分!$B$2:$B$1664,F2)</f>
        <v>94.4545454545455</v>
      </c>
      <c r="G28" s="39">
        <f>AVERAGEIFS(原始分!$H$2:$H$1664,原始分!$B$2:$B$1664,G2)</f>
        <v>94.9414893617021</v>
      </c>
      <c r="H28" s="39">
        <f>AVERAGEIFS(原始分!$H$2:$H$1664,原始分!$B$2:$B$1664,H2)</f>
        <v>92.8397435897436</v>
      </c>
      <c r="I28" s="39">
        <f>AVERAGEIFS(原始分!$H$2:$H$1664,原始分!$B$2:$B$1664,I2)</f>
        <v>85.1184210526316</v>
      </c>
      <c r="J28" s="39">
        <f>AVERAGEIFS(原始分!$H$2:$H$1664,原始分!$B$2:$B$1664,J2)</f>
        <v>90.2850877192982</v>
      </c>
      <c r="K28" s="39">
        <f>AVERAGEIFS(原始分!$H$2:$H$1664,原始分!$B$2:$B$1664,K2)</f>
        <v>112.981481481481</v>
      </c>
      <c r="L28" s="39">
        <f>AVERAGEIFS(原始分!$H$2:$H$1664,原始分!$B$2:$B$1664,L2)</f>
        <v>102.394736842105</v>
      </c>
      <c r="M28" s="39">
        <f>AVERAGEIFS(原始分!$H$2:$H$1664,原始分!$B$2:$B$1664,M2)</f>
        <v>89.2456140350877</v>
      </c>
      <c r="N28" s="39">
        <f>AVERAGEIFS(原始分!$H$2:$H$1664,原始分!$B$2:$B$1664,N2)</f>
        <v>87.4598214285714</v>
      </c>
      <c r="O28" s="39">
        <f>AVERAGEIFS(原始分!$H$2:$H$1664,原始分!$B$2:$B$1664,O2)</f>
        <v>88.6203703703704</v>
      </c>
      <c r="P28" s="39">
        <f>AVERAGEIFS(原始分!$H$2:$H$1664,原始分!$B$2:$B$1664,P2)</f>
        <v>99.6125</v>
      </c>
      <c r="Q28" s="39">
        <f>AVERAGEIFS(原始分!$H$2:$H$1664,原始分!$B$2:$B$1664,Q2)</f>
        <v>99.3154761904762</v>
      </c>
      <c r="R28" s="39">
        <f>AVERAGEIFS(原始分!$H$2:$H$1664,原始分!$B$2:$B$1664,R2)</f>
        <v>118.960526315789</v>
      </c>
      <c r="S28" s="39">
        <f>AVERAGEIFS(原始分!$H$2:$H$1664,原始分!$B$2:$B$1664,S2)</f>
        <v>100.331395348837</v>
      </c>
      <c r="T28" s="39">
        <f>AVERAGEIFS(原始分!$H$2:$H$1664,原始分!$B$2:$B$1664,T2)</f>
        <v>98.7906976744186</v>
      </c>
    </row>
    <row r="29" ht="15.95" customHeight="1" spans="1:20">
      <c r="A29" s="9"/>
      <c r="B29" s="9" t="s">
        <v>1834</v>
      </c>
      <c r="C29" s="9">
        <f t="shared" ref="C29:T29" si="8">RANK(C28,$C$28:$T$28)</f>
        <v>12</v>
      </c>
      <c r="D29" s="9">
        <f t="shared" si="8"/>
        <v>8</v>
      </c>
      <c r="E29" s="9">
        <f t="shared" si="8"/>
        <v>9</v>
      </c>
      <c r="F29" s="9">
        <f t="shared" si="8"/>
        <v>11</v>
      </c>
      <c r="G29" s="9">
        <f t="shared" si="8"/>
        <v>10</v>
      </c>
      <c r="H29" s="9">
        <f t="shared" si="8"/>
        <v>13</v>
      </c>
      <c r="I29" s="9">
        <f t="shared" si="8"/>
        <v>18</v>
      </c>
      <c r="J29" s="9">
        <f t="shared" si="8"/>
        <v>14</v>
      </c>
      <c r="K29" s="9">
        <f t="shared" si="8"/>
        <v>2</v>
      </c>
      <c r="L29" s="9">
        <f t="shared" si="8"/>
        <v>3</v>
      </c>
      <c r="M29" s="9">
        <f t="shared" si="8"/>
        <v>15</v>
      </c>
      <c r="N29" s="9">
        <f t="shared" si="8"/>
        <v>17</v>
      </c>
      <c r="O29" s="9">
        <f t="shared" si="8"/>
        <v>16</v>
      </c>
      <c r="P29" s="9">
        <f t="shared" si="8"/>
        <v>5</v>
      </c>
      <c r="Q29" s="9">
        <f t="shared" si="8"/>
        <v>6</v>
      </c>
      <c r="R29" s="9">
        <f t="shared" si="8"/>
        <v>1</v>
      </c>
      <c r="S29" s="9">
        <f t="shared" si="8"/>
        <v>4</v>
      </c>
      <c r="T29" s="9">
        <f t="shared" si="8"/>
        <v>7</v>
      </c>
    </row>
    <row r="30" ht="15.95" customHeight="1" spans="1:20">
      <c r="A30" s="9"/>
      <c r="B30" s="34" t="s">
        <v>2055</v>
      </c>
      <c r="C30" s="30">
        <v>10</v>
      </c>
      <c r="D30" s="30">
        <v>6</v>
      </c>
      <c r="E30" s="30">
        <v>8</v>
      </c>
      <c r="F30" s="30">
        <v>11</v>
      </c>
      <c r="G30" s="14">
        <v>7</v>
      </c>
      <c r="H30" s="30">
        <v>17</v>
      </c>
      <c r="I30" s="30">
        <v>16</v>
      </c>
      <c r="J30" s="30">
        <v>9</v>
      </c>
      <c r="K30" s="14">
        <v>2</v>
      </c>
      <c r="L30" s="30">
        <v>3</v>
      </c>
      <c r="M30" s="30">
        <v>13</v>
      </c>
      <c r="N30" s="30">
        <v>14</v>
      </c>
      <c r="O30" s="30">
        <v>15</v>
      </c>
      <c r="P30" s="30">
        <v>5</v>
      </c>
      <c r="Q30" s="30">
        <v>4</v>
      </c>
      <c r="R30" s="14">
        <v>1</v>
      </c>
      <c r="S30" s="30">
        <v>18</v>
      </c>
      <c r="T30" s="30">
        <v>12</v>
      </c>
    </row>
    <row r="31" ht="15.95" customHeight="1" spans="1:20">
      <c r="A31" s="9"/>
      <c r="B31" s="34" t="s">
        <v>2056</v>
      </c>
      <c r="C31" s="30">
        <f>C30-C29</f>
        <v>-2</v>
      </c>
      <c r="D31" s="30">
        <f t="shared" ref="D31:T31" si="9">D30-D29</f>
        <v>-2</v>
      </c>
      <c r="E31" s="30">
        <f t="shared" si="9"/>
        <v>-1</v>
      </c>
      <c r="F31" s="30">
        <f t="shared" si="9"/>
        <v>0</v>
      </c>
      <c r="G31" s="30">
        <f t="shared" si="9"/>
        <v>-3</v>
      </c>
      <c r="H31" s="30">
        <f t="shared" si="9"/>
        <v>4</v>
      </c>
      <c r="I31" s="30">
        <f t="shared" si="9"/>
        <v>-2</v>
      </c>
      <c r="J31" s="30">
        <f t="shared" si="9"/>
        <v>-5</v>
      </c>
      <c r="K31" s="30">
        <f t="shared" si="9"/>
        <v>0</v>
      </c>
      <c r="L31" s="30">
        <f t="shared" si="9"/>
        <v>0</v>
      </c>
      <c r="M31" s="30">
        <f t="shared" si="9"/>
        <v>-2</v>
      </c>
      <c r="N31" s="30">
        <f t="shared" si="9"/>
        <v>-3</v>
      </c>
      <c r="O31" s="30">
        <f t="shared" si="9"/>
        <v>-1</v>
      </c>
      <c r="P31" s="30">
        <f t="shared" si="9"/>
        <v>0</v>
      </c>
      <c r="Q31" s="30">
        <f t="shared" si="9"/>
        <v>-2</v>
      </c>
      <c r="R31" s="30">
        <f t="shared" si="9"/>
        <v>0</v>
      </c>
      <c r="S31" s="30">
        <f t="shared" si="9"/>
        <v>14</v>
      </c>
      <c r="T31" s="30">
        <f t="shared" si="9"/>
        <v>5</v>
      </c>
    </row>
    <row r="32" ht="15.95" customHeight="1" spans="1:20">
      <c r="A32" s="9"/>
      <c r="B32" s="9" t="s">
        <v>1781</v>
      </c>
      <c r="C32" s="40" t="s">
        <v>1796</v>
      </c>
      <c r="D32" s="40" t="s">
        <v>1797</v>
      </c>
      <c r="E32" s="40" t="s">
        <v>1798</v>
      </c>
      <c r="F32" s="40" t="s">
        <v>1764</v>
      </c>
      <c r="G32" s="40" t="s">
        <v>1798</v>
      </c>
      <c r="H32" s="40" t="s">
        <v>1799</v>
      </c>
      <c r="I32" s="40" t="s">
        <v>1767</v>
      </c>
      <c r="J32" s="40" t="s">
        <v>1764</v>
      </c>
      <c r="K32" s="40" t="s">
        <v>1800</v>
      </c>
      <c r="L32" s="40" t="s">
        <v>1801</v>
      </c>
      <c r="M32" s="40" t="s">
        <v>1767</v>
      </c>
      <c r="N32" s="40" t="s">
        <v>1802</v>
      </c>
      <c r="O32" s="40" t="s">
        <v>1803</v>
      </c>
      <c r="P32" s="40" t="s">
        <v>1803</v>
      </c>
      <c r="Q32" s="40" t="s">
        <v>1799</v>
      </c>
      <c r="R32" s="40" t="s">
        <v>1804</v>
      </c>
      <c r="S32" s="40" t="s">
        <v>1805</v>
      </c>
      <c r="T32" s="40" t="s">
        <v>1797</v>
      </c>
    </row>
    <row r="33" ht="15.95" customHeight="1" spans="1:20">
      <c r="A33" s="42" t="s">
        <v>1806</v>
      </c>
      <c r="B33" s="34" t="s">
        <v>1756</v>
      </c>
      <c r="C33" s="35">
        <f>AVERAGEIFS(原始分!$I$2:$I$1664,原始分!$B$2:$B$1664,C2)</f>
        <v>48.5634920634921</v>
      </c>
      <c r="D33" s="35">
        <f>AVERAGEIFS(原始分!$I$2:$I$1664,原始分!$B$2:$B$1664,D2)</f>
        <v>46.3229166666667</v>
      </c>
      <c r="E33" s="35">
        <f>AVERAGEIFS(原始分!$I$2:$I$1664,原始分!$B$2:$B$1664,E2)</f>
        <v>49.4285714285714</v>
      </c>
      <c r="F33" s="35">
        <f>AVERAGEIFS(原始分!$I$2:$I$1664,原始分!$B$2:$B$1664,F2)</f>
        <v>47.1931818181818</v>
      </c>
      <c r="G33" s="35">
        <f>AVERAGEIFS(原始分!$I$2:$I$1664,原始分!$B$2:$B$1664,G2)</f>
        <v>49.4148936170213</v>
      </c>
      <c r="H33" s="35">
        <f>AVERAGEIFS(原始分!$I$2:$I$1664,原始分!$B$2:$B$1664,H2)</f>
        <v>49.3076923076923</v>
      </c>
      <c r="I33" s="35">
        <f>AVERAGEIFS(原始分!$I$2:$I$1664,原始分!$B$2:$B$1664,I2)</f>
        <v>39.7368421052632</v>
      </c>
      <c r="J33" s="35">
        <f>AVERAGEIFS(原始分!$I$2:$I$1664,原始分!$B$2:$B$1664,J2)</f>
        <v>52.1315789473684</v>
      </c>
      <c r="K33" s="35">
        <f>AVERAGEIFS(原始分!$I$2:$I$1664,原始分!$B$2:$B$1664,K2)</f>
        <v>70.8240740740741</v>
      </c>
      <c r="L33" s="35">
        <f>AVERAGEIFS(原始分!$I$2:$I$1664,原始分!$B$2:$B$1664,L2)</f>
        <v>63.2982456140351</v>
      </c>
      <c r="M33" s="35">
        <f>AVERAGEIFS(原始分!$I$2:$I$1664,原始分!$B$2:$B$1664,M2)</f>
        <v>45.8947368421053</v>
      </c>
      <c r="N33" s="35">
        <f>AVERAGEIFS(原始分!$I$2:$I$1664,原始分!$B$2:$B$1664,N2)</f>
        <v>46.9285714285714</v>
      </c>
      <c r="O33" s="35">
        <f>AVERAGEIFS(原始分!$I$2:$I$1664,原始分!$B$2:$B$1664,O2)</f>
        <v>49.6574074074074</v>
      </c>
      <c r="P33" s="39">
        <f>AVERAGEIFS(原始分!$J$2:$J$1664,原始分!$B$2:$B$1664,P2)</f>
        <v>56.34375</v>
      </c>
      <c r="Q33" s="39">
        <f>AVERAGEIFS(原始分!$J$2:$J$1664,原始分!$B$2:$B$1664,Q2)</f>
        <v>55.6964285714286</v>
      </c>
      <c r="R33" s="39">
        <f>AVERAGEIFS(原始分!$J$2:$J$1664,原始分!$B$2:$B$1664,R2)</f>
        <v>62.4934210526316</v>
      </c>
      <c r="S33" s="39">
        <f>AVERAGEIFS(原始分!$J$2:$J$1664,原始分!$B$2:$B$1664,S2)</f>
        <v>55.6976744186046</v>
      </c>
      <c r="T33" s="39">
        <f>AVERAGEIFS(原始分!$J$2:$J$1664,原始分!$B$2:$B$1664,T2)</f>
        <v>54.4767441860465</v>
      </c>
    </row>
    <row r="34" ht="15.95" customHeight="1" spans="1:20">
      <c r="A34" s="42"/>
      <c r="B34" s="34" t="s">
        <v>1834</v>
      </c>
      <c r="C34" s="34">
        <f t="shared" ref="C34:O34" si="10">RANK(C33,$C$33:$O$33)</f>
        <v>8</v>
      </c>
      <c r="D34" s="34">
        <f t="shared" si="10"/>
        <v>11</v>
      </c>
      <c r="E34" s="34">
        <f t="shared" si="10"/>
        <v>5</v>
      </c>
      <c r="F34" s="34">
        <f t="shared" si="10"/>
        <v>9</v>
      </c>
      <c r="G34" s="34">
        <f t="shared" si="10"/>
        <v>6</v>
      </c>
      <c r="H34" s="34">
        <f t="shared" si="10"/>
        <v>7</v>
      </c>
      <c r="I34" s="34">
        <f t="shared" si="10"/>
        <v>13</v>
      </c>
      <c r="J34" s="34">
        <f t="shared" si="10"/>
        <v>3</v>
      </c>
      <c r="K34" s="34">
        <f t="shared" si="10"/>
        <v>1</v>
      </c>
      <c r="L34" s="34">
        <f t="shared" si="10"/>
        <v>2</v>
      </c>
      <c r="M34" s="34">
        <f t="shared" si="10"/>
        <v>12</v>
      </c>
      <c r="N34" s="34">
        <f t="shared" si="10"/>
        <v>10</v>
      </c>
      <c r="O34" s="34">
        <f t="shared" si="10"/>
        <v>4</v>
      </c>
      <c r="P34" s="9">
        <f t="shared" ref="P34:T34" si="11">RANK(P33,$P$33:$T$33)</f>
        <v>2</v>
      </c>
      <c r="Q34" s="9">
        <f t="shared" si="11"/>
        <v>4</v>
      </c>
      <c r="R34" s="9">
        <f t="shared" si="11"/>
        <v>1</v>
      </c>
      <c r="S34" s="9">
        <f t="shared" si="11"/>
        <v>3</v>
      </c>
      <c r="T34" s="9">
        <f t="shared" si="11"/>
        <v>5</v>
      </c>
    </row>
    <row r="35" ht="15.95" customHeight="1" spans="1:20">
      <c r="A35" s="42"/>
      <c r="B35" s="34" t="s">
        <v>2055</v>
      </c>
      <c r="C35" s="30">
        <v>9</v>
      </c>
      <c r="D35" s="14">
        <v>13</v>
      </c>
      <c r="E35" s="30">
        <v>6</v>
      </c>
      <c r="F35" s="30">
        <v>3</v>
      </c>
      <c r="G35" s="14">
        <v>4</v>
      </c>
      <c r="H35" s="30">
        <v>11</v>
      </c>
      <c r="I35" s="30">
        <v>12</v>
      </c>
      <c r="J35" s="30">
        <v>7</v>
      </c>
      <c r="K35" s="14">
        <v>1</v>
      </c>
      <c r="L35" s="14">
        <v>2</v>
      </c>
      <c r="M35" s="14">
        <v>5</v>
      </c>
      <c r="N35" s="14">
        <v>8</v>
      </c>
      <c r="O35" s="14">
        <v>10</v>
      </c>
      <c r="P35" s="14">
        <v>3</v>
      </c>
      <c r="Q35" s="14">
        <v>2</v>
      </c>
      <c r="R35" s="14">
        <v>1</v>
      </c>
      <c r="S35" s="14">
        <v>5</v>
      </c>
      <c r="T35" s="14">
        <v>4</v>
      </c>
    </row>
    <row r="36" ht="15.95" customHeight="1" spans="1:20">
      <c r="A36" s="42"/>
      <c r="B36" s="34" t="s">
        <v>2056</v>
      </c>
      <c r="C36" s="30">
        <f>C35-C34</f>
        <v>1</v>
      </c>
      <c r="D36" s="30">
        <f t="shared" ref="D36:T36" si="12">D35-D34</f>
        <v>2</v>
      </c>
      <c r="E36" s="30">
        <f t="shared" si="12"/>
        <v>1</v>
      </c>
      <c r="F36" s="30">
        <f t="shared" si="12"/>
        <v>-6</v>
      </c>
      <c r="G36" s="30">
        <f t="shared" si="12"/>
        <v>-2</v>
      </c>
      <c r="H36" s="30">
        <f t="shared" si="12"/>
        <v>4</v>
      </c>
      <c r="I36" s="30">
        <f t="shared" si="12"/>
        <v>-1</v>
      </c>
      <c r="J36" s="30">
        <f t="shared" si="12"/>
        <v>4</v>
      </c>
      <c r="K36" s="30">
        <f t="shared" si="12"/>
        <v>0</v>
      </c>
      <c r="L36" s="30">
        <f t="shared" si="12"/>
        <v>0</v>
      </c>
      <c r="M36" s="30">
        <f t="shared" si="12"/>
        <v>-7</v>
      </c>
      <c r="N36" s="30">
        <f t="shared" si="12"/>
        <v>-2</v>
      </c>
      <c r="O36" s="30">
        <f t="shared" si="12"/>
        <v>6</v>
      </c>
      <c r="P36" s="30">
        <f t="shared" si="12"/>
        <v>1</v>
      </c>
      <c r="Q36" s="30">
        <f t="shared" si="12"/>
        <v>-2</v>
      </c>
      <c r="R36" s="30">
        <f t="shared" si="12"/>
        <v>0</v>
      </c>
      <c r="S36" s="30">
        <f t="shared" si="12"/>
        <v>2</v>
      </c>
      <c r="T36" s="30">
        <f t="shared" si="12"/>
        <v>-1</v>
      </c>
    </row>
    <row r="37" ht="15.95" customHeight="1" spans="1:20">
      <c r="A37" s="42"/>
      <c r="B37" s="34" t="s">
        <v>1781</v>
      </c>
      <c r="C37" s="40" t="s">
        <v>1761</v>
      </c>
      <c r="D37" s="13" t="s">
        <v>1766</v>
      </c>
      <c r="E37" s="40" t="s">
        <v>1807</v>
      </c>
      <c r="F37" s="40" t="s">
        <v>1808</v>
      </c>
      <c r="G37" s="40" t="s">
        <v>1809</v>
      </c>
      <c r="H37" s="13" t="s">
        <v>1766</v>
      </c>
      <c r="I37" s="40" t="s">
        <v>1810</v>
      </c>
      <c r="J37" s="40" t="s">
        <v>1768</v>
      </c>
      <c r="K37" s="40" t="s">
        <v>1811</v>
      </c>
      <c r="L37" s="40" t="s">
        <v>1768</v>
      </c>
      <c r="M37" s="40" t="s">
        <v>1809</v>
      </c>
      <c r="N37" s="40" t="s">
        <v>1807</v>
      </c>
      <c r="O37" s="40" t="s">
        <v>1761</v>
      </c>
      <c r="P37" s="40" t="s">
        <v>1812</v>
      </c>
      <c r="Q37" s="40" t="s">
        <v>1775</v>
      </c>
      <c r="R37" s="40" t="s">
        <v>1813</v>
      </c>
      <c r="S37" s="40" t="s">
        <v>1814</v>
      </c>
      <c r="T37" s="40" t="s">
        <v>1814</v>
      </c>
    </row>
    <row r="38" ht="15.95" customHeight="1" spans="1:20">
      <c r="A38" s="34" t="s">
        <v>10</v>
      </c>
      <c r="B38" s="34" t="s">
        <v>1756</v>
      </c>
      <c r="C38" s="35">
        <f>AVERAGEIFS(原始分!$K$2:$K$1664,原始分!$B$2:$B$1664,C2)</f>
        <v>40.7698412698413</v>
      </c>
      <c r="D38" s="35"/>
      <c r="E38" s="35">
        <f>AVERAGEIFS(原始分!$K$2:$K$1664,原始分!$B$2:$B$1664,E2)</f>
        <v>38.8571428571429</v>
      </c>
      <c r="F38" s="35">
        <f>AVERAGEIFS(原始分!$K$2:$K$1664,原始分!$B$2:$B$1664,F2)</f>
        <v>39</v>
      </c>
      <c r="G38" s="35">
        <f>AVERAGEIFS(原始分!$K$2:$K$1664,原始分!$B$2:$B$1664,G2)</f>
        <v>41.8085106382979</v>
      </c>
      <c r="H38" s="35"/>
      <c r="I38" s="35"/>
      <c r="J38" s="35">
        <f>AVERAGEIFS(原始分!$K$2:$K$1664,原始分!$B$2:$B$1664,J2)</f>
        <v>40.0438596491228</v>
      </c>
      <c r="K38" s="35">
        <f>AVERAGEIFS(原始分!$K$2:$K$1664,原始分!$B$2:$B$1664,K2)</f>
        <v>51.6481481481481</v>
      </c>
      <c r="L38" s="35">
        <f>AVERAGEIFS(原始分!$K$2:$K$1664,原始分!$B$2:$B$1664,L2)</f>
        <v>49.3157894736842</v>
      </c>
      <c r="M38" s="35">
        <f>AVERAGEIFS(原始分!$K$2:$K$1664,原始分!$B$2:$B$1664,M2)</f>
        <v>41.5657894736842</v>
      </c>
      <c r="N38" s="35">
        <f>AVERAGEIFS(原始分!$K$2:$K$1664,原始分!$B$2:$B$1664,N2)</f>
        <v>37.4375</v>
      </c>
      <c r="O38" s="35">
        <f>AVERAGEIFS(原始分!$K$2:$K$1664,原始分!$B$2:$B$1664,O2)</f>
        <v>41.1574074074074</v>
      </c>
      <c r="P38" s="35"/>
      <c r="Q38" s="35"/>
      <c r="R38" s="35"/>
      <c r="S38" s="35"/>
      <c r="T38" s="35"/>
    </row>
    <row r="39" ht="15.95" customHeight="1" spans="1:20">
      <c r="A39" s="34"/>
      <c r="B39" s="34" t="s">
        <v>1834</v>
      </c>
      <c r="C39" s="34">
        <f>RANK(C38,$C$38:$T$38)</f>
        <v>6</v>
      </c>
      <c r="D39" s="34"/>
      <c r="E39" s="34">
        <f>RANK(E38,$C$38:$T$38)</f>
        <v>9</v>
      </c>
      <c r="F39" s="34">
        <f>RANK(F38,$C$38:$T$38)</f>
        <v>8</v>
      </c>
      <c r="G39" s="34">
        <f>RANK(G38,$C$38:$T$38)</f>
        <v>3</v>
      </c>
      <c r="H39" s="34"/>
      <c r="I39" s="34"/>
      <c r="J39" s="34">
        <f t="shared" ref="J39:O39" si="13">RANK(J38,$C$38:$T$38)</f>
        <v>7</v>
      </c>
      <c r="K39" s="34">
        <f t="shared" si="13"/>
        <v>1</v>
      </c>
      <c r="L39" s="34">
        <f t="shared" si="13"/>
        <v>2</v>
      </c>
      <c r="M39" s="34">
        <f t="shared" si="13"/>
        <v>4</v>
      </c>
      <c r="N39" s="34">
        <f t="shared" si="13"/>
        <v>10</v>
      </c>
      <c r="O39" s="34">
        <f t="shared" si="13"/>
        <v>5</v>
      </c>
      <c r="P39" s="34"/>
      <c r="Q39" s="34"/>
      <c r="R39" s="34"/>
      <c r="S39" s="34"/>
      <c r="T39" s="34"/>
    </row>
    <row r="40" ht="15.95" customHeight="1" spans="1:20">
      <c r="A40" s="34"/>
      <c r="B40" s="34" t="s">
        <v>2055</v>
      </c>
      <c r="C40" s="30">
        <v>10</v>
      </c>
      <c r="D40" s="30"/>
      <c r="E40" s="30">
        <v>5</v>
      </c>
      <c r="F40" s="30">
        <v>11</v>
      </c>
      <c r="G40" s="30">
        <v>9</v>
      </c>
      <c r="H40" s="14"/>
      <c r="I40" s="30"/>
      <c r="J40" s="14">
        <v>8</v>
      </c>
      <c r="K40" s="14">
        <v>1</v>
      </c>
      <c r="L40" s="30">
        <v>3</v>
      </c>
      <c r="M40" s="30">
        <v>7</v>
      </c>
      <c r="N40" s="30">
        <v>4</v>
      </c>
      <c r="O40" s="30">
        <v>6</v>
      </c>
      <c r="P40" s="30"/>
      <c r="Q40" s="14"/>
      <c r="R40" s="14"/>
      <c r="S40" s="34"/>
      <c r="T40" s="34"/>
    </row>
    <row r="41" ht="15.95" customHeight="1" spans="1:20">
      <c r="A41" s="34"/>
      <c r="B41" s="34" t="s">
        <v>2056</v>
      </c>
      <c r="C41" s="30">
        <f>C40-C39</f>
        <v>4</v>
      </c>
      <c r="D41" s="30"/>
      <c r="E41" s="30">
        <f t="shared" ref="E41:O41" si="14">E40-E39</f>
        <v>-4</v>
      </c>
      <c r="F41" s="30">
        <f t="shared" si="14"/>
        <v>3</v>
      </c>
      <c r="G41" s="30">
        <f t="shared" si="14"/>
        <v>6</v>
      </c>
      <c r="H41" s="30"/>
      <c r="I41" s="30"/>
      <c r="J41" s="30">
        <f t="shared" si="14"/>
        <v>1</v>
      </c>
      <c r="K41" s="30">
        <f t="shared" si="14"/>
        <v>0</v>
      </c>
      <c r="L41" s="30">
        <f t="shared" si="14"/>
        <v>1</v>
      </c>
      <c r="M41" s="30">
        <f t="shared" si="14"/>
        <v>3</v>
      </c>
      <c r="N41" s="30">
        <f t="shared" si="14"/>
        <v>-6</v>
      </c>
      <c r="O41" s="30">
        <f t="shared" si="14"/>
        <v>1</v>
      </c>
      <c r="P41" s="30"/>
      <c r="Q41" s="30"/>
      <c r="R41" s="30"/>
      <c r="S41" s="34"/>
      <c r="T41" s="34"/>
    </row>
    <row r="42" ht="15.95" customHeight="1" spans="1:20">
      <c r="A42" s="34"/>
      <c r="B42" s="34" t="s">
        <v>1781</v>
      </c>
      <c r="C42" s="13" t="s">
        <v>1815</v>
      </c>
      <c r="D42" s="40"/>
      <c r="E42" s="40" t="s">
        <v>1816</v>
      </c>
      <c r="F42" s="40" t="s">
        <v>1817</v>
      </c>
      <c r="G42" s="40" t="s">
        <v>1773</v>
      </c>
      <c r="H42" s="40"/>
      <c r="I42" s="40"/>
      <c r="J42" s="40" t="s">
        <v>1818</v>
      </c>
      <c r="K42" s="40" t="s">
        <v>1819</v>
      </c>
      <c r="L42" s="40" t="s">
        <v>1817</v>
      </c>
      <c r="M42" s="13" t="s">
        <v>1815</v>
      </c>
      <c r="N42" s="40" t="s">
        <v>1818</v>
      </c>
      <c r="O42" s="40" t="s">
        <v>1773</v>
      </c>
      <c r="P42" s="30"/>
      <c r="Q42" s="14"/>
      <c r="R42" s="14"/>
      <c r="S42" s="34"/>
      <c r="T42" s="34"/>
    </row>
    <row r="43" ht="15.95" customHeight="1" spans="1:20">
      <c r="A43" s="9" t="s">
        <v>11</v>
      </c>
      <c r="B43" s="9" t="s">
        <v>1756</v>
      </c>
      <c r="C43" s="39"/>
      <c r="D43" s="39"/>
      <c r="E43" s="39">
        <f>AVERAGEIFS(原始分!$L$2:$L$1664,原始分!$B$2:$B$1664,E2)</f>
        <v>49.0816326530612</v>
      </c>
      <c r="F43" s="39">
        <f>AVERAGEIFS(原始分!$L$2:$L$1664,原始分!$B$2:$B$1664,F2)</f>
        <v>51.6079545454545</v>
      </c>
      <c r="G43" s="39">
        <f>AVERAGEIFS(原始分!$L$2:$L$1664,原始分!$B$2:$B$1664,G2)</f>
        <v>50.0372340425532</v>
      </c>
      <c r="H43" s="39">
        <f>AVERAGEIFS(原始分!$L$2:$L$1664,原始分!$B$2:$B$1664,H2)</f>
        <v>47.1025641025641</v>
      </c>
      <c r="I43" s="39">
        <f>AVERAGEIFS(原始分!$L$2:$L$1664,原始分!$B$2:$B$1664,I2)</f>
        <v>47.4605263157895</v>
      </c>
      <c r="J43" s="39"/>
      <c r="K43" s="39"/>
      <c r="L43" s="39"/>
      <c r="M43" s="39"/>
      <c r="N43" s="39"/>
      <c r="O43" s="39"/>
      <c r="P43" s="39"/>
      <c r="Q43" s="39"/>
      <c r="R43" s="39">
        <f>AVERAGEIFS(原始分!$L$2:$L$1664,原始分!$B$2:$B$1664,R2)</f>
        <v>57.0625</v>
      </c>
      <c r="S43" s="39">
        <f>AVERAGEIFS(原始分!$L$2:$L$1664,原始分!$B$2:$B$1664,S2)</f>
        <v>50.3720930232558</v>
      </c>
      <c r="T43" s="39">
        <f>AVERAGEIFS(原始分!$L$2:$L$1664,原始分!$B$2:$B$1664,T2)</f>
        <v>51.7616279069767</v>
      </c>
    </row>
    <row r="44" ht="15.95" customHeight="1" spans="1:20">
      <c r="A44" s="9"/>
      <c r="B44" s="9" t="s">
        <v>1834</v>
      </c>
      <c r="C44" s="9"/>
      <c r="D44" s="9"/>
      <c r="E44" s="9">
        <f>RANK(E43,$C$43:$T$43)</f>
        <v>6</v>
      </c>
      <c r="F44" s="9">
        <f>RANK(F43,$C$43:$T$43)</f>
        <v>3</v>
      </c>
      <c r="G44" s="9">
        <f>RANK(G43,$C$43:$T$43)</f>
        <v>5</v>
      </c>
      <c r="H44" s="9">
        <f>RANK(H43,$C$43:$T$43)</f>
        <v>8</v>
      </c>
      <c r="I44" s="9">
        <f>RANK(I43,$C$43:$T$43)</f>
        <v>7</v>
      </c>
      <c r="J44" s="9"/>
      <c r="K44" s="9"/>
      <c r="L44" s="9"/>
      <c r="M44" s="9"/>
      <c r="N44" s="9"/>
      <c r="O44" s="9"/>
      <c r="P44" s="9"/>
      <c r="Q44" s="9"/>
      <c r="R44" s="9">
        <f>RANK(R43,$C$43:$T$43)</f>
        <v>1</v>
      </c>
      <c r="S44" s="9">
        <f>RANK(S43,$C$43:$T$43)</f>
        <v>4</v>
      </c>
      <c r="T44" s="9">
        <f>RANK(T43,$C$43:$T$43)</f>
        <v>2</v>
      </c>
    </row>
    <row r="45" ht="15.95" customHeight="1" spans="1:20">
      <c r="A45" s="9"/>
      <c r="B45" s="34" t="s">
        <v>2055</v>
      </c>
      <c r="C45" s="9"/>
      <c r="D45" s="9"/>
      <c r="E45" s="14">
        <v>3</v>
      </c>
      <c r="F45" s="30">
        <v>2</v>
      </c>
      <c r="G45" s="14">
        <v>5</v>
      </c>
      <c r="H45" s="30">
        <v>4</v>
      </c>
      <c r="I45" s="30">
        <v>6</v>
      </c>
      <c r="J45" s="14"/>
      <c r="K45" s="14"/>
      <c r="L45" s="14"/>
      <c r="M45" s="30"/>
      <c r="N45" s="30"/>
      <c r="O45" s="30"/>
      <c r="P45" s="14"/>
      <c r="Q45" s="14"/>
      <c r="R45" s="14">
        <v>1</v>
      </c>
      <c r="S45" s="30">
        <v>7</v>
      </c>
      <c r="T45" s="30">
        <v>8</v>
      </c>
    </row>
    <row r="46" ht="15.95" customHeight="1" spans="1:20">
      <c r="A46" s="9"/>
      <c r="B46" s="34" t="s">
        <v>2056</v>
      </c>
      <c r="C46" s="9"/>
      <c r="D46" s="9"/>
      <c r="E46" s="14">
        <f>E45-E44</f>
        <v>-3</v>
      </c>
      <c r="F46" s="14">
        <f>F45-F44</f>
        <v>-1</v>
      </c>
      <c r="G46" s="14">
        <f>G45-G44</f>
        <v>0</v>
      </c>
      <c r="H46" s="14">
        <f>H45-H44</f>
        <v>-4</v>
      </c>
      <c r="I46" s="14">
        <f>I45-I44</f>
        <v>-1</v>
      </c>
      <c r="J46" s="14"/>
      <c r="K46" s="14"/>
      <c r="L46" s="14"/>
      <c r="M46" s="30"/>
      <c r="N46" s="30"/>
      <c r="O46" s="30"/>
      <c r="P46" s="14"/>
      <c r="Q46" s="14"/>
      <c r="R46" s="14">
        <f>R45-R44</f>
        <v>0</v>
      </c>
      <c r="S46" s="14">
        <f>S45-S44</f>
        <v>3</v>
      </c>
      <c r="T46" s="14">
        <f>T45-T44</f>
        <v>6</v>
      </c>
    </row>
    <row r="47" ht="15.95" customHeight="1" spans="1:20">
      <c r="A47" s="9"/>
      <c r="B47" s="9" t="s">
        <v>1781</v>
      </c>
      <c r="C47" s="9"/>
      <c r="D47" s="9"/>
      <c r="E47" s="40" t="s">
        <v>1820</v>
      </c>
      <c r="F47" s="40" t="s">
        <v>1820</v>
      </c>
      <c r="G47" s="40" t="s">
        <v>1821</v>
      </c>
      <c r="H47" s="40" t="s">
        <v>1822</v>
      </c>
      <c r="I47" s="40" t="s">
        <v>1823</v>
      </c>
      <c r="J47" s="40"/>
      <c r="K47" s="40"/>
      <c r="L47" s="40"/>
      <c r="M47" s="40"/>
      <c r="N47" s="40"/>
      <c r="O47" s="40"/>
      <c r="P47" s="40"/>
      <c r="Q47" s="40"/>
      <c r="R47" s="40" t="s">
        <v>1778</v>
      </c>
      <c r="S47" s="40" t="s">
        <v>1822</v>
      </c>
      <c r="T47" s="40" t="s">
        <v>1778</v>
      </c>
    </row>
    <row r="48" ht="15.95" customHeight="1" spans="1:20">
      <c r="A48" s="34" t="s">
        <v>12</v>
      </c>
      <c r="B48" s="34" t="s">
        <v>1756</v>
      </c>
      <c r="C48" s="35">
        <f>AVERAGEIFS(原始分!$M$2:$M$1664,原始分!$B$2:$B$1664,C2)</f>
        <v>54.3492063492063</v>
      </c>
      <c r="D48" s="35">
        <f>AVERAGEIFS(原始分!$M$2:$M$1664,原始分!$B$2:$B$1664,D2)</f>
        <v>55.4479166666667</v>
      </c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>
        <f>AVERAGEIFS(原始分!$M$2:$M$1664,原始分!$B$2:$B$1664,P2)</f>
        <v>57.4375</v>
      </c>
      <c r="Q48" s="35">
        <f>AVERAGEIFS(原始分!$M$2:$M$1664,原始分!$B$2:$B$1664,Q2)</f>
        <v>57.5297619047619</v>
      </c>
      <c r="R48" s="35">
        <f>AVERAGEIFS(原始分!$M$2:$M$1664,原始分!$B$2:$B$1664,R2)</f>
        <v>64.0763888888889</v>
      </c>
      <c r="S48" s="35">
        <f>AVERAGEIFS(原始分!$M$2:$M$1664,原始分!$B$2:$B$1664,S2)</f>
        <v>58.6220930232558</v>
      </c>
      <c r="T48" s="35">
        <f>AVERAGEIFS(原始分!$M$2:$M$1664,原始分!$B$2:$B$1664,T2)</f>
        <v>54.406976744186</v>
      </c>
    </row>
    <row r="49" ht="15.95" customHeight="1" spans="1:20">
      <c r="A49" s="34"/>
      <c r="B49" s="34" t="s">
        <v>1834</v>
      </c>
      <c r="C49" s="34">
        <f>RANK(C48,$C$48:$T$48)</f>
        <v>7</v>
      </c>
      <c r="D49" s="34">
        <f>RANK(D48,$C$48:$T$48)</f>
        <v>5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>
        <f>RANK(P48,$C$48:$T$48)</f>
        <v>4</v>
      </c>
      <c r="Q49" s="34">
        <f>RANK(Q48,$C$48:$T$48)</f>
        <v>3</v>
      </c>
      <c r="R49" s="34">
        <f>RANK(R48,$C$48:$T$48)</f>
        <v>1</v>
      </c>
      <c r="S49" s="34">
        <f>RANK(S48,$C$48:$T$48)</f>
        <v>2</v>
      </c>
      <c r="T49" s="34">
        <f>RANK(T48,$C$48:$T$48)</f>
        <v>6</v>
      </c>
    </row>
    <row r="50" ht="15.95" customHeight="1" spans="1:20">
      <c r="A50" s="34"/>
      <c r="B50" s="34" t="s">
        <v>2055</v>
      </c>
      <c r="C50" s="30">
        <v>5</v>
      </c>
      <c r="D50" s="14">
        <v>3</v>
      </c>
      <c r="E50" s="14"/>
      <c r="F50" s="14"/>
      <c r="G50" s="30"/>
      <c r="H50" s="14"/>
      <c r="I50" s="14"/>
      <c r="J50" s="30"/>
      <c r="K50" s="14"/>
      <c r="L50" s="14"/>
      <c r="M50" s="14"/>
      <c r="N50" s="14"/>
      <c r="O50" s="30"/>
      <c r="P50" s="14">
        <v>2</v>
      </c>
      <c r="Q50" s="14">
        <v>4</v>
      </c>
      <c r="R50" s="14">
        <v>1</v>
      </c>
      <c r="S50" s="30">
        <v>7</v>
      </c>
      <c r="T50" s="30">
        <v>6</v>
      </c>
    </row>
    <row r="51" ht="15.95" customHeight="1" spans="1:20">
      <c r="A51" s="34"/>
      <c r="B51" s="34" t="s">
        <v>2056</v>
      </c>
      <c r="C51" s="30">
        <f>C50-C49</f>
        <v>-2</v>
      </c>
      <c r="D51" s="30">
        <f>D50-D49</f>
        <v>-2</v>
      </c>
      <c r="E51" s="14"/>
      <c r="F51" s="14"/>
      <c r="G51" s="30"/>
      <c r="H51" s="14"/>
      <c r="I51" s="14"/>
      <c r="J51" s="30"/>
      <c r="K51" s="14"/>
      <c r="L51" s="14"/>
      <c r="M51" s="14"/>
      <c r="N51" s="14"/>
      <c r="O51" s="30"/>
      <c r="P51" s="14">
        <f>P50-P49</f>
        <v>-2</v>
      </c>
      <c r="Q51" s="14">
        <f>Q50-Q49</f>
        <v>1</v>
      </c>
      <c r="R51" s="14">
        <f>R50-R49</f>
        <v>0</v>
      </c>
      <c r="S51" s="14">
        <f>S50-S49</f>
        <v>5</v>
      </c>
      <c r="T51" s="14">
        <f>T50-T49</f>
        <v>0</v>
      </c>
    </row>
    <row r="52" ht="15.95" customHeight="1" spans="1:20">
      <c r="A52" s="34"/>
      <c r="B52" s="34" t="s">
        <v>1781</v>
      </c>
      <c r="C52" s="40" t="s">
        <v>1824</v>
      </c>
      <c r="D52" s="40" t="s">
        <v>1825</v>
      </c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 t="s">
        <v>1826</v>
      </c>
      <c r="Q52" s="40" t="s">
        <v>1825</v>
      </c>
      <c r="R52" s="40" t="s">
        <v>1826</v>
      </c>
      <c r="S52" s="40" t="s">
        <v>1824</v>
      </c>
      <c r="T52" s="40" t="s">
        <v>1827</v>
      </c>
    </row>
    <row r="53" ht="15.95" customHeight="1" spans="1:20">
      <c r="A53" s="9" t="s">
        <v>13</v>
      </c>
      <c r="B53" s="9" t="s">
        <v>1756</v>
      </c>
      <c r="C53" s="39"/>
      <c r="D53" s="39">
        <f>AVERAGEIFS(原始分!$N$2:$N$1664,原始分!$B$2:$B$1664,D2)</f>
        <v>50.5729166666667</v>
      </c>
      <c r="E53" s="39"/>
      <c r="F53" s="39"/>
      <c r="G53" s="39"/>
      <c r="H53" s="39">
        <f>AVERAGEIFS(原始分!$N$2:$N$1664,原始分!$B$2:$B$1664,H2)</f>
        <v>48.6987179487179</v>
      </c>
      <c r="I53" s="39">
        <f>AVERAGEIFS(原始分!$N$2:$N$1664,原始分!$B$2:$B$1664,I2)</f>
        <v>44.7368421052632</v>
      </c>
      <c r="J53" s="39">
        <f>AVERAGEIFS(原始分!$N$2:$N$1664,原始分!$B$2:$B$1664,J2)</f>
        <v>47.7105263157895</v>
      </c>
      <c r="K53" s="39">
        <f>AVERAGEIFS(原始分!$N$2:$N$1664,原始分!$B$2:$B$1664,K2)</f>
        <v>61.4814814814815</v>
      </c>
      <c r="L53" s="39">
        <f>AVERAGEIFS(原始分!$N$2:$N$1664,原始分!$B$2:$B$1664,L2)</f>
        <v>57.2894736842105</v>
      </c>
      <c r="M53" s="39">
        <f>AVERAGEIFS(原始分!$N$2:$N$1664,原始分!$B$2:$B$1664,M2)</f>
        <v>49.1315789473684</v>
      </c>
      <c r="N53" s="39">
        <f>AVERAGEIFS(原始分!$N$2:$N$1664,原始分!$B$2:$B$1664,N2)</f>
        <v>44.9553571428571</v>
      </c>
      <c r="O53" s="39">
        <f>AVERAGEIFS(原始分!$N$2:$N$1664,原始分!$B$2:$B$1664,O2)</f>
        <v>50.712962962963</v>
      </c>
      <c r="P53" s="39">
        <f>AVERAGEIFS(原始分!$N$2:$N$1664,原始分!$B$2:$B$1664,P2)</f>
        <v>46.3375</v>
      </c>
      <c r="Q53" s="39">
        <f>AVERAGEIFS(原始分!$N$2:$N$1664,原始分!$B$2:$B$1664,Q2)</f>
        <v>50.4523809523809</v>
      </c>
      <c r="R53" s="39">
        <f>AVERAGEIFS(原始分!$N$2:$N$1664,原始分!$B$2:$B$1664,R2)</f>
        <v>57.9772727272727</v>
      </c>
      <c r="S53" s="39"/>
      <c r="T53" s="39"/>
    </row>
    <row r="54" ht="15.95" customHeight="1" spans="1:20">
      <c r="A54" s="9"/>
      <c r="B54" s="9" t="s">
        <v>1834</v>
      </c>
      <c r="C54" s="9"/>
      <c r="D54" s="9">
        <f>RANK(D53,$C$53:$T$53)</f>
        <v>5</v>
      </c>
      <c r="E54" s="9"/>
      <c r="F54" s="9"/>
      <c r="G54" s="9"/>
      <c r="H54" s="9">
        <f t="shared" ref="H54:R54" si="15">RANK(H53,$C$53:$T$53)</f>
        <v>8</v>
      </c>
      <c r="I54" s="9">
        <f t="shared" si="15"/>
        <v>12</v>
      </c>
      <c r="J54" s="9">
        <f t="shared" si="15"/>
        <v>9</v>
      </c>
      <c r="K54" s="9">
        <f t="shared" si="15"/>
        <v>1</v>
      </c>
      <c r="L54" s="9">
        <f t="shared" si="15"/>
        <v>3</v>
      </c>
      <c r="M54" s="9">
        <f t="shared" si="15"/>
        <v>7</v>
      </c>
      <c r="N54" s="9">
        <f t="shared" si="15"/>
        <v>11</v>
      </c>
      <c r="O54" s="9">
        <f t="shared" si="15"/>
        <v>4</v>
      </c>
      <c r="P54" s="9">
        <f t="shared" si="15"/>
        <v>10</v>
      </c>
      <c r="Q54" s="9">
        <f t="shared" si="15"/>
        <v>6</v>
      </c>
      <c r="R54" s="9">
        <f t="shared" si="15"/>
        <v>2</v>
      </c>
      <c r="S54" s="9"/>
      <c r="T54" s="9"/>
    </row>
    <row r="55" ht="15.95" customHeight="1" spans="1:20">
      <c r="A55" s="9"/>
      <c r="B55" s="34" t="s">
        <v>2055</v>
      </c>
      <c r="C55" s="9"/>
      <c r="D55" s="30">
        <v>11</v>
      </c>
      <c r="E55" s="14"/>
      <c r="F55" s="14"/>
      <c r="G55" s="30"/>
      <c r="H55" s="30">
        <v>12</v>
      </c>
      <c r="I55" s="14">
        <v>8</v>
      </c>
      <c r="J55" s="14">
        <v>5</v>
      </c>
      <c r="K55" s="14">
        <v>1</v>
      </c>
      <c r="L55" s="14">
        <v>3</v>
      </c>
      <c r="M55" s="30">
        <v>6</v>
      </c>
      <c r="N55" s="30">
        <v>7</v>
      </c>
      <c r="O55" s="30">
        <v>4</v>
      </c>
      <c r="P55" s="14">
        <v>9</v>
      </c>
      <c r="Q55" s="14">
        <v>10</v>
      </c>
      <c r="R55" s="14">
        <v>2</v>
      </c>
      <c r="S55" s="9"/>
      <c r="T55" s="9"/>
    </row>
    <row r="56" ht="15.95" customHeight="1" spans="1:20">
      <c r="A56" s="9"/>
      <c r="B56" s="34" t="s">
        <v>2056</v>
      </c>
      <c r="C56" s="9"/>
      <c r="D56" s="30">
        <f>D55-D54</f>
        <v>6</v>
      </c>
      <c r="E56" s="30"/>
      <c r="F56" s="30"/>
      <c r="G56" s="30"/>
      <c r="H56" s="30">
        <f t="shared" ref="H56:R56" si="16">H55-H54</f>
        <v>4</v>
      </c>
      <c r="I56" s="30">
        <f t="shared" si="16"/>
        <v>-4</v>
      </c>
      <c r="J56" s="30">
        <f t="shared" si="16"/>
        <v>-4</v>
      </c>
      <c r="K56" s="30">
        <f t="shared" si="16"/>
        <v>0</v>
      </c>
      <c r="L56" s="30">
        <f t="shared" si="16"/>
        <v>0</v>
      </c>
      <c r="M56" s="30">
        <f t="shared" si="16"/>
        <v>-1</v>
      </c>
      <c r="N56" s="30">
        <f t="shared" si="16"/>
        <v>-4</v>
      </c>
      <c r="O56" s="30">
        <f t="shared" si="16"/>
        <v>0</v>
      </c>
      <c r="P56" s="30">
        <f t="shared" si="16"/>
        <v>-1</v>
      </c>
      <c r="Q56" s="30">
        <f t="shared" si="16"/>
        <v>4</v>
      </c>
      <c r="R56" s="30">
        <f t="shared" si="16"/>
        <v>0</v>
      </c>
      <c r="S56" s="9"/>
      <c r="T56" s="9"/>
    </row>
    <row r="57" ht="15.95" customHeight="1" spans="1:20">
      <c r="A57" s="9"/>
      <c r="B57" s="9" t="s">
        <v>1781</v>
      </c>
      <c r="C57" s="9"/>
      <c r="D57" s="40" t="s">
        <v>1762</v>
      </c>
      <c r="E57" s="40"/>
      <c r="F57" s="40"/>
      <c r="G57" s="40"/>
      <c r="H57" s="13" t="s">
        <v>1828</v>
      </c>
      <c r="I57" s="44" t="s">
        <v>1829</v>
      </c>
      <c r="J57" s="44" t="s">
        <v>1829</v>
      </c>
      <c r="K57" s="40" t="s">
        <v>1830</v>
      </c>
      <c r="L57" s="40" t="s">
        <v>1830</v>
      </c>
      <c r="M57" s="13" t="s">
        <v>1828</v>
      </c>
      <c r="N57" s="40" t="s">
        <v>1831</v>
      </c>
      <c r="O57" s="40" t="s">
        <v>1762</v>
      </c>
      <c r="P57" s="40" t="s">
        <v>1831</v>
      </c>
      <c r="Q57" s="40" t="s">
        <v>1832</v>
      </c>
      <c r="R57" s="40" t="s">
        <v>1832</v>
      </c>
      <c r="S57" s="9"/>
      <c r="T57" s="9"/>
    </row>
    <row r="58" ht="15.95" customHeight="1"/>
    <row r="59" ht="15.95" customHeight="1"/>
    <row r="60" ht="15.95" customHeight="1"/>
    <row r="61" ht="15.95" customHeight="1"/>
    <row r="62" ht="15.95" customHeight="1"/>
    <row r="63" ht="15.95" customHeight="1"/>
  </sheetData>
  <mergeCells count="16">
    <mergeCell ref="A1:T1"/>
    <mergeCell ref="A2:B2"/>
    <mergeCell ref="A3:B3"/>
    <mergeCell ref="A4:B4"/>
    <mergeCell ref="A5:B5"/>
    <mergeCell ref="A6:A8"/>
    <mergeCell ref="A9:A12"/>
    <mergeCell ref="A13:A17"/>
    <mergeCell ref="A18:A22"/>
    <mergeCell ref="A23:A27"/>
    <mergeCell ref="A28:A32"/>
    <mergeCell ref="A33:A37"/>
    <mergeCell ref="A38:A42"/>
    <mergeCell ref="A43:A47"/>
    <mergeCell ref="A48:A52"/>
    <mergeCell ref="A53:A57"/>
  </mergeCells>
  <printOptions gridLines="1"/>
  <pageMargins left="0.432638888888889" right="0.0784722222222222" top="1" bottom="1" header="0.5" footer="0.5"/>
  <pageSetup paperSize="286" scale="75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57"/>
  <sheetViews>
    <sheetView zoomScale="75" zoomScaleNormal="75" workbookViewId="0">
      <selection activeCell="Y21" sqref="Y21"/>
    </sheetView>
  </sheetViews>
  <sheetFormatPr defaultColWidth="9" defaultRowHeight="13.5"/>
  <cols>
    <col min="1" max="1" width="6.125" style="26" customWidth="1"/>
    <col min="2" max="2" width="14.5" style="26" customWidth="1"/>
    <col min="3" max="3" width="7.625" style="26" customWidth="1"/>
    <col min="4" max="4" width="7.75" style="26" customWidth="1"/>
    <col min="5" max="5" width="9" style="26" customWidth="1"/>
    <col min="6" max="8" width="8.5" style="26" customWidth="1"/>
    <col min="9" max="9" width="8.125" style="26" customWidth="1"/>
    <col min="10" max="10" width="7.625" style="26" customWidth="1"/>
    <col min="11" max="13" width="8.5" style="26" customWidth="1"/>
    <col min="14" max="14" width="7.75" style="26" customWidth="1"/>
    <col min="15" max="17" width="8" style="26" customWidth="1"/>
    <col min="18" max="18" width="10.625" style="26" customWidth="1"/>
    <col min="19" max="20" width="8.5" style="26" customWidth="1"/>
    <col min="21" max="32" width="9" style="26"/>
    <col min="33" max="33" width="14.875" style="26" customWidth="1"/>
    <col min="34" max="16384" width="9" style="26"/>
  </cols>
  <sheetData>
    <row r="1" ht="24" customHeight="1" spans="1:20">
      <c r="A1" s="27" t="s">
        <v>2057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</row>
    <row r="2" ht="15.95" customHeight="1" spans="1:20">
      <c r="A2" s="9" t="s">
        <v>1</v>
      </c>
      <c r="B2" s="9"/>
      <c r="C2" s="9">
        <v>1</v>
      </c>
      <c r="D2" s="9">
        <v>2</v>
      </c>
      <c r="E2" s="9">
        <v>3</v>
      </c>
      <c r="F2" s="9">
        <v>4</v>
      </c>
      <c r="G2" s="9">
        <v>5</v>
      </c>
      <c r="H2" s="9">
        <v>6</v>
      </c>
      <c r="I2" s="9">
        <v>7</v>
      </c>
      <c r="J2" s="9">
        <v>8</v>
      </c>
      <c r="K2" s="9">
        <v>9</v>
      </c>
      <c r="L2" s="9">
        <v>10</v>
      </c>
      <c r="M2" s="9">
        <v>11</v>
      </c>
      <c r="N2" s="9">
        <v>12</v>
      </c>
      <c r="O2" s="9">
        <v>13</v>
      </c>
      <c r="P2" s="9">
        <v>14</v>
      </c>
      <c r="Q2" s="9">
        <v>15</v>
      </c>
      <c r="R2" s="9">
        <v>16</v>
      </c>
      <c r="S2" s="9">
        <v>17</v>
      </c>
      <c r="T2" s="9">
        <v>18</v>
      </c>
    </row>
    <row r="3" ht="15.95" customHeight="1" spans="1:20">
      <c r="A3" s="28" t="s">
        <v>1739</v>
      </c>
      <c r="B3" s="29"/>
      <c r="C3" s="30" t="s">
        <v>1740</v>
      </c>
      <c r="D3" s="14" t="s">
        <v>1741</v>
      </c>
      <c r="E3" s="14" t="s">
        <v>1742</v>
      </c>
      <c r="F3" s="14" t="s">
        <v>1742</v>
      </c>
      <c r="G3" s="14" t="s">
        <v>1742</v>
      </c>
      <c r="H3" s="14" t="s">
        <v>1743</v>
      </c>
      <c r="I3" s="14" t="s">
        <v>1743</v>
      </c>
      <c r="J3" s="30" t="s">
        <v>1744</v>
      </c>
      <c r="K3" s="30" t="s">
        <v>1744</v>
      </c>
      <c r="L3" s="30" t="s">
        <v>1744</v>
      </c>
      <c r="M3" s="30" t="s">
        <v>1744</v>
      </c>
      <c r="N3" s="30" t="s">
        <v>1744</v>
      </c>
      <c r="O3" s="30" t="s">
        <v>1744</v>
      </c>
      <c r="P3" s="14" t="s">
        <v>1745</v>
      </c>
      <c r="Q3" s="14" t="s">
        <v>1745</v>
      </c>
      <c r="R3" s="13" t="s">
        <v>1746</v>
      </c>
      <c r="S3" s="14" t="s">
        <v>1747</v>
      </c>
      <c r="T3" s="14" t="s">
        <v>1747</v>
      </c>
    </row>
    <row r="4" ht="15.95" customHeight="1" spans="1:20">
      <c r="A4" s="9" t="s">
        <v>1748</v>
      </c>
      <c r="B4" s="9"/>
      <c r="C4" s="9">
        <v>64</v>
      </c>
      <c r="D4" s="9">
        <v>48</v>
      </c>
      <c r="E4" s="9">
        <v>49</v>
      </c>
      <c r="F4" s="9">
        <v>46</v>
      </c>
      <c r="G4" s="9">
        <v>47</v>
      </c>
      <c r="H4" s="9">
        <v>40</v>
      </c>
      <c r="I4" s="9">
        <v>39</v>
      </c>
      <c r="J4" s="9">
        <v>58</v>
      </c>
      <c r="K4" s="9">
        <v>54</v>
      </c>
      <c r="L4" s="9">
        <v>58</v>
      </c>
      <c r="M4" s="9">
        <v>57</v>
      </c>
      <c r="N4" s="9">
        <v>58</v>
      </c>
      <c r="O4" s="9">
        <v>57</v>
      </c>
      <c r="P4" s="9">
        <v>42</v>
      </c>
      <c r="Q4" s="9">
        <v>43</v>
      </c>
      <c r="R4" s="9">
        <v>40</v>
      </c>
      <c r="S4" s="9">
        <v>45</v>
      </c>
      <c r="T4" s="9">
        <v>44</v>
      </c>
    </row>
    <row r="5" ht="15.95" customHeight="1" spans="1:20">
      <c r="A5" s="9" t="s">
        <v>1749</v>
      </c>
      <c r="B5" s="9"/>
      <c r="C5" s="9">
        <f>COUNTIF(赋分!$B:$B,C2)</f>
        <v>63</v>
      </c>
      <c r="D5" s="9">
        <f>COUNTIF(赋分!$B:$B,D2)</f>
        <v>48</v>
      </c>
      <c r="E5" s="9">
        <f>COUNTIF(赋分!$B:$B,E2)</f>
        <v>49</v>
      </c>
      <c r="F5" s="9">
        <f>COUNTIF(赋分!$B:$B,F2)</f>
        <v>44</v>
      </c>
      <c r="G5" s="9">
        <f>COUNTIF(赋分!$B:$B,G2)</f>
        <v>47</v>
      </c>
      <c r="H5" s="9">
        <f>COUNTIF(赋分!$B:$B,H2)</f>
        <v>39</v>
      </c>
      <c r="I5" s="9">
        <f>COUNTIF(赋分!$B:$B,I2)</f>
        <v>38</v>
      </c>
      <c r="J5" s="9">
        <f>COUNTIF(赋分!$B:$B,J2)</f>
        <v>57</v>
      </c>
      <c r="K5" s="9">
        <f>COUNTIF(赋分!$B:$B,K2)</f>
        <v>54</v>
      </c>
      <c r="L5" s="9">
        <f>COUNTIF(赋分!$B:$B,L2)</f>
        <v>57</v>
      </c>
      <c r="M5" s="9">
        <f>COUNTIF(赋分!$B:$B,M2)</f>
        <v>57</v>
      </c>
      <c r="N5" s="9">
        <f>COUNTIF(赋分!$B:$B,N2)</f>
        <v>56</v>
      </c>
      <c r="O5" s="9">
        <f>COUNTIF(赋分!$B:$B,O2)</f>
        <v>54</v>
      </c>
      <c r="P5" s="9">
        <f>COUNTIF(赋分!$B:$B,P2)</f>
        <v>40</v>
      </c>
      <c r="Q5" s="9">
        <f>COUNTIF(赋分!$B:$B,Q2)</f>
        <v>42</v>
      </c>
      <c r="R5" s="9">
        <f>COUNTIF(赋分!$B:$B,R2)</f>
        <v>38</v>
      </c>
      <c r="S5" s="9">
        <f>COUNTIF(赋分!$B:$B,S2)</f>
        <v>43</v>
      </c>
      <c r="T5" s="9">
        <f>COUNTIF(赋分!$B:$B,T2)</f>
        <v>43</v>
      </c>
    </row>
    <row r="6" ht="15.95" customHeight="1" spans="1:20">
      <c r="A6" s="31" t="s">
        <v>1885</v>
      </c>
      <c r="B6" s="13" t="s">
        <v>1751</v>
      </c>
      <c r="C6" s="13" t="s">
        <v>5</v>
      </c>
      <c r="D6" s="13" t="s">
        <v>6</v>
      </c>
      <c r="E6" s="13" t="s">
        <v>7</v>
      </c>
      <c r="F6" s="13" t="s">
        <v>8</v>
      </c>
      <c r="G6" s="13" t="s">
        <v>9</v>
      </c>
      <c r="H6" s="13" t="s">
        <v>10</v>
      </c>
      <c r="I6" s="13" t="s">
        <v>11</v>
      </c>
      <c r="J6" s="13" t="s">
        <v>12</v>
      </c>
      <c r="K6" s="13" t="s">
        <v>13</v>
      </c>
      <c r="L6" s="13" t="s">
        <v>14</v>
      </c>
      <c r="M6" s="13" t="s">
        <v>2054</v>
      </c>
      <c r="N6" s="13"/>
      <c r="O6" s="13"/>
      <c r="P6" s="13"/>
      <c r="Q6" s="13"/>
      <c r="R6" s="13"/>
      <c r="S6" s="13"/>
      <c r="T6" s="13"/>
    </row>
    <row r="7" ht="15.95" customHeight="1" spans="1:20">
      <c r="A7" s="31"/>
      <c r="B7" s="13" t="s">
        <v>1756</v>
      </c>
      <c r="C7" s="32">
        <f>AVERAGE(赋分!F2:F899)</f>
        <v>99.0785385500575</v>
      </c>
      <c r="D7" s="32">
        <f>AVERAGE(赋分!G2:G899)</f>
        <v>98.1731875719217</v>
      </c>
      <c r="E7" s="32">
        <f>AVERAGE(赋分!H2:H899)</f>
        <v>96.4277905638665</v>
      </c>
      <c r="F7" s="32">
        <f>AVERAGE(赋分!I2:I899)</f>
        <v>51.0806938159879</v>
      </c>
      <c r="G7" s="32">
        <f>AVERAGE(赋分!J2:J899)</f>
        <v>56.8216019417476</v>
      </c>
      <c r="H7" s="32">
        <f>AVERAGE(赋分!K2:K899)</f>
        <v>73.9907407407407</v>
      </c>
      <c r="I7" s="32">
        <f>AVERAGE(赋分!L2:L899)</f>
        <v>78.282131661442</v>
      </c>
      <c r="J7" s="32">
        <f>AVERAGE(赋分!M2:M899)</f>
        <v>79.4857142857143</v>
      </c>
      <c r="K7" s="32">
        <f>AVERAGE(赋分!N2:N899)</f>
        <v>78.1099290780142</v>
      </c>
      <c r="L7" s="32">
        <f>SUM(C7:E7)</f>
        <v>293.679516685846</v>
      </c>
      <c r="M7" s="32">
        <f>AVERAGE(赋分!P2:P899)</f>
        <v>500.343210586881</v>
      </c>
      <c r="N7" s="43"/>
      <c r="O7" s="13"/>
      <c r="P7" s="13"/>
      <c r="Q7" s="13"/>
      <c r="R7" s="13"/>
      <c r="S7" s="13"/>
      <c r="T7" s="13"/>
    </row>
    <row r="8" ht="15.95" customHeight="1" spans="1:20">
      <c r="A8" s="31"/>
      <c r="B8" s="13" t="s">
        <v>1757</v>
      </c>
      <c r="C8" s="32">
        <f>MAX(C18:T18)-MIN(C18:T18)</f>
        <v>11.6225832438238</v>
      </c>
      <c r="D8" s="32">
        <f>MAX(C23:T23)-MIN(C23:T23)</f>
        <v>36.3485142118863</v>
      </c>
      <c r="E8" s="32">
        <f>MAX(C28:T28)-MIN(C28:T28)</f>
        <v>33.8421052631579</v>
      </c>
      <c r="F8" s="32">
        <f>MAX(C33:T33)-MIN(C33:T33)</f>
        <v>31.0872319688109</v>
      </c>
      <c r="G8" s="32">
        <f>MAX(P33:T33)-MIN(P33:T33)</f>
        <v>8.01667686658507</v>
      </c>
      <c r="H8" s="32">
        <f>MAX(C38:T38)-MIN(C38:T38)</f>
        <v>13.0734126984127</v>
      </c>
      <c r="I8" s="32">
        <f>MAX(C43:T43)-MIN(C43:T43)</f>
        <v>11.0929487179487</v>
      </c>
      <c r="J8" s="32">
        <f>MAX(C48:T48)-MIN(C48:T48)</f>
        <v>9.71825396825398</v>
      </c>
      <c r="K8" s="32">
        <f>MAX(C53:T53)-MIN(C53:T53)</f>
        <v>14.4678362573099</v>
      </c>
      <c r="L8" s="32">
        <f>MAX(C13:T13)-MIN(C13:T13)</f>
        <v>61.3335769980507</v>
      </c>
      <c r="M8" s="32">
        <f>MAX(C9:T9)-MIN(C9:T9)</f>
        <v>113.944200779727</v>
      </c>
      <c r="N8" s="13"/>
      <c r="O8" s="13"/>
      <c r="P8" s="13"/>
      <c r="Q8" s="13"/>
      <c r="R8" s="13"/>
      <c r="S8" s="13"/>
      <c r="T8" s="13"/>
    </row>
    <row r="9" ht="15.95" customHeight="1" spans="1:20">
      <c r="A9" s="33" t="s">
        <v>15</v>
      </c>
      <c r="B9" s="34" t="s">
        <v>1756</v>
      </c>
      <c r="C9" s="35">
        <f>AVERAGEIFS(赋分!$P$2:$P$1666,赋分!$B$2:$B$1666,C2)</f>
        <v>488.650793650794</v>
      </c>
      <c r="D9" s="35">
        <f>AVERAGEIFS(赋分!$P$2:$P$1666,赋分!$B$2:$B$1666,D2)</f>
        <v>491.119791666667</v>
      </c>
      <c r="E9" s="35">
        <f>AVERAGEIFS(赋分!$P$2:$P$1666,赋分!$B$2:$B$1666,E2)</f>
        <v>483.510204081633</v>
      </c>
      <c r="F9" s="35">
        <f>AVERAGEIFS(赋分!$P$2:$P$1666,赋分!$B$2:$B$1666,F2)</f>
        <v>489.857954545455</v>
      </c>
      <c r="G9" s="35">
        <f>AVERAGEIFS(赋分!$P$2:$P$1666,赋分!$B$2:$B$1666,G2)</f>
        <v>499.031914893617</v>
      </c>
      <c r="H9" s="35">
        <f>AVERAGEIFS(赋分!$P$2:$P$1666,赋分!$B$2:$B$1666,H2)</f>
        <v>478.852564102564</v>
      </c>
      <c r="I9" s="35">
        <f>AVERAGEIFS(赋分!$P$2:$P$1666,赋分!$B$2:$B$1666,I2)</f>
        <v>462.703947368421</v>
      </c>
      <c r="J9" s="35">
        <f>AVERAGEIFS(赋分!$P$2:$P$1666,赋分!$B$2:$B$1666,J2)</f>
        <v>486.486842105263</v>
      </c>
      <c r="K9" s="35">
        <f>AVERAGEIFS(赋分!$P$2:$P$1666,赋分!$B$2:$B$1666,K2)</f>
        <v>576.648148148148</v>
      </c>
      <c r="L9" s="35">
        <f>AVERAGEIFS(赋分!$P$2:$P$1666,赋分!$B$2:$B$1666,L2)</f>
        <v>543.25</v>
      </c>
      <c r="M9" s="35">
        <f>AVERAGEIFS(赋分!$P$2:$P$1666,赋分!$B$2:$B$1666,M2)</f>
        <v>479.214912280702</v>
      </c>
      <c r="N9" s="35">
        <f>AVERAGEIFS(赋分!$P$2:$P$1666,赋分!$B$2:$B$1666,N2)</f>
        <v>467.205357142857</v>
      </c>
      <c r="O9" s="35">
        <f>AVERAGEIFS(赋分!$P$2:$P$1666,赋分!$B$2:$B$1666,O2)</f>
        <v>485.462962962963</v>
      </c>
      <c r="P9" s="35">
        <f>AVERAGEIFS(赋分!$P$2:$P$1666,赋分!$B$2:$B$1666,P2)</f>
        <v>501.2125</v>
      </c>
      <c r="Q9" s="35">
        <f>AVERAGEIFS(赋分!$P$2:$P$1666,赋分!$B$2:$B$1666,Q2)</f>
        <v>504.714285714286</v>
      </c>
      <c r="R9" s="35">
        <f>AVERAGEIFS(赋分!$P$2:$P$1666,赋分!$B$2:$B$1666,R2)</f>
        <v>566.289473684211</v>
      </c>
      <c r="S9" s="35">
        <f>AVERAGEIFS(赋分!$P$2:$P$1666,赋分!$B$2:$B$1666,S2)</f>
        <v>505.889534883721</v>
      </c>
      <c r="T9" s="35">
        <f>AVERAGEIFS(赋分!$P$2:$P$1666,赋分!$B$2:$B$1666,T2)</f>
        <v>498.482558139535</v>
      </c>
    </row>
    <row r="10" ht="15.95" customHeight="1" spans="1:20">
      <c r="A10" s="36"/>
      <c r="B10" s="34" t="s">
        <v>1834</v>
      </c>
      <c r="C10" s="34">
        <f>RANK(C9,$C$9:$O$9)</f>
        <v>6</v>
      </c>
      <c r="D10" s="34">
        <f t="shared" ref="D10:O10" si="0">RANK(D9,$C$9:$O$9)</f>
        <v>4</v>
      </c>
      <c r="E10" s="34">
        <f t="shared" si="0"/>
        <v>9</v>
      </c>
      <c r="F10" s="34">
        <f t="shared" si="0"/>
        <v>5</v>
      </c>
      <c r="G10" s="34">
        <f t="shared" si="0"/>
        <v>3</v>
      </c>
      <c r="H10" s="34">
        <f t="shared" si="0"/>
        <v>11</v>
      </c>
      <c r="I10" s="34">
        <f t="shared" si="0"/>
        <v>13</v>
      </c>
      <c r="J10" s="34">
        <f t="shared" si="0"/>
        <v>7</v>
      </c>
      <c r="K10" s="34">
        <f t="shared" si="0"/>
        <v>1</v>
      </c>
      <c r="L10" s="34">
        <f t="shared" si="0"/>
        <v>2</v>
      </c>
      <c r="M10" s="34">
        <f t="shared" si="0"/>
        <v>10</v>
      </c>
      <c r="N10" s="34">
        <f t="shared" si="0"/>
        <v>12</v>
      </c>
      <c r="O10" s="34">
        <f t="shared" si="0"/>
        <v>8</v>
      </c>
      <c r="P10" s="34">
        <f>RANK(P9,$P$9:$T$9)</f>
        <v>4</v>
      </c>
      <c r="Q10" s="34">
        <f>RANK(Q9,$P$9:$T$9)</f>
        <v>3</v>
      </c>
      <c r="R10" s="34">
        <f>RANK(R9,$P$9:$T$9)</f>
        <v>1</v>
      </c>
      <c r="S10" s="34">
        <f>RANK(S9,$P$9:$T$9)</f>
        <v>2</v>
      </c>
      <c r="T10" s="34">
        <f>RANK(T9,$P$9:$T$9)</f>
        <v>5</v>
      </c>
    </row>
    <row r="11" ht="15.95" customHeight="1" spans="1:20">
      <c r="A11" s="36"/>
      <c r="B11" s="34" t="s">
        <v>2055</v>
      </c>
      <c r="C11" s="37">
        <v>9</v>
      </c>
      <c r="D11" s="37">
        <v>11</v>
      </c>
      <c r="E11" s="37">
        <v>3</v>
      </c>
      <c r="F11" s="37">
        <v>4</v>
      </c>
      <c r="G11" s="37">
        <v>5</v>
      </c>
      <c r="H11" s="37">
        <v>13</v>
      </c>
      <c r="I11" s="37">
        <v>12</v>
      </c>
      <c r="J11" s="37">
        <v>7</v>
      </c>
      <c r="K11" s="37">
        <v>1</v>
      </c>
      <c r="L11" s="37">
        <v>2</v>
      </c>
      <c r="M11" s="37">
        <v>6</v>
      </c>
      <c r="N11" s="37">
        <v>10</v>
      </c>
      <c r="O11" s="37">
        <v>8</v>
      </c>
      <c r="P11" s="37">
        <v>2</v>
      </c>
      <c r="Q11" s="37">
        <v>3</v>
      </c>
      <c r="R11" s="37">
        <v>1</v>
      </c>
      <c r="S11" s="37">
        <v>5</v>
      </c>
      <c r="T11" s="37">
        <v>4</v>
      </c>
    </row>
    <row r="12" ht="15.95" customHeight="1" spans="1:20">
      <c r="A12" s="38"/>
      <c r="B12" s="34" t="s">
        <v>2056</v>
      </c>
      <c r="C12" s="37">
        <f>C11-C10</f>
        <v>3</v>
      </c>
      <c r="D12" s="37">
        <f t="shared" ref="D12:T12" si="1">D11-D10</f>
        <v>7</v>
      </c>
      <c r="E12" s="37">
        <f t="shared" si="1"/>
        <v>-6</v>
      </c>
      <c r="F12" s="37">
        <f t="shared" si="1"/>
        <v>-1</v>
      </c>
      <c r="G12" s="37">
        <f t="shared" si="1"/>
        <v>2</v>
      </c>
      <c r="H12" s="37">
        <f t="shared" si="1"/>
        <v>2</v>
      </c>
      <c r="I12" s="37">
        <f t="shared" si="1"/>
        <v>-1</v>
      </c>
      <c r="J12" s="37">
        <f t="shared" si="1"/>
        <v>0</v>
      </c>
      <c r="K12" s="37">
        <f t="shared" si="1"/>
        <v>0</v>
      </c>
      <c r="L12" s="37">
        <f t="shared" si="1"/>
        <v>0</v>
      </c>
      <c r="M12" s="37">
        <f t="shared" si="1"/>
        <v>-4</v>
      </c>
      <c r="N12" s="37">
        <f t="shared" si="1"/>
        <v>-2</v>
      </c>
      <c r="O12" s="37">
        <f t="shared" si="1"/>
        <v>0</v>
      </c>
      <c r="P12" s="37">
        <f t="shared" si="1"/>
        <v>-2</v>
      </c>
      <c r="Q12" s="37">
        <f t="shared" si="1"/>
        <v>0</v>
      </c>
      <c r="R12" s="37">
        <f t="shared" si="1"/>
        <v>0</v>
      </c>
      <c r="S12" s="37">
        <f t="shared" si="1"/>
        <v>3</v>
      </c>
      <c r="T12" s="37">
        <f t="shared" si="1"/>
        <v>-1</v>
      </c>
    </row>
    <row r="13" ht="15.95" customHeight="1" spans="1:20">
      <c r="A13" s="34" t="s">
        <v>14</v>
      </c>
      <c r="B13" s="34" t="s">
        <v>1756</v>
      </c>
      <c r="C13" s="35">
        <f>AVERAGEIFS(赋分!$O$2:$O$1666,赋分!$B$2:$B$1666,C2)</f>
        <v>290.420634920635</v>
      </c>
      <c r="D13" s="35">
        <f>AVERAGEIFS(赋分!$O$2:$O$1666,赋分!$B$2:$B$1666,D2)</f>
        <v>288.776041666667</v>
      </c>
      <c r="E13" s="35">
        <f>AVERAGEIFS(赋分!$O$2:$O$1666,赋分!$B$2:$B$1666,E2)</f>
        <v>286.775510204082</v>
      </c>
      <c r="F13" s="35">
        <f>AVERAGEIFS(赋分!$O$2:$O$1666,赋分!$B$2:$B$1666,F2)</f>
        <v>291.346590909091</v>
      </c>
      <c r="G13" s="35">
        <f>AVERAGEIFS(赋分!$O$2:$O$1666,赋分!$B$2:$B$1666,G2)</f>
        <v>297.191489361702</v>
      </c>
      <c r="H13" s="35">
        <f>AVERAGEIFS(赋分!$O$2:$O$1666,赋分!$B$2:$B$1666,H2)</f>
        <v>279.057692307692</v>
      </c>
      <c r="I13" s="35">
        <f>AVERAGEIFS(赋分!$O$2:$O$1666,赋分!$B$2:$B$1666,I2)</f>
        <v>275.546052631579</v>
      </c>
      <c r="J13" s="35">
        <f>AVERAGEIFS(赋分!$O$2:$O$1666,赋分!$B$2:$B$1666,J2)</f>
        <v>287.232456140351</v>
      </c>
      <c r="K13" s="35">
        <f>AVERAGEIFS(赋分!$O$2:$O$1666,赋分!$B$2:$B$1666,K2)</f>
        <v>336.87962962963</v>
      </c>
      <c r="L13" s="35">
        <f>AVERAGEIFS(赋分!$O$2:$O$1666,赋分!$B$2:$B$1666,L2)</f>
        <v>314.828947368421</v>
      </c>
      <c r="M13" s="35">
        <f>AVERAGEIFS(赋分!$O$2:$O$1666,赋分!$B$2:$B$1666,M2)</f>
        <v>282.811403508772</v>
      </c>
      <c r="N13" s="35">
        <f>AVERAGEIFS(赋分!$O$2:$O$1666,赋分!$B$2:$B$1666,N2)</f>
        <v>278.8125</v>
      </c>
      <c r="O13" s="35">
        <f>AVERAGEIFS(赋分!$O$2:$O$1666,赋分!$B$2:$B$1666,O2)</f>
        <v>284.305555555556</v>
      </c>
      <c r="P13" s="35">
        <f>AVERAGEIFS(赋分!$O$2:$O$1666,赋分!$B$2:$B$1666,P2)</f>
        <v>290.74375</v>
      </c>
      <c r="Q13" s="35">
        <f>AVERAGEIFS(赋分!$O$2:$O$1666,赋分!$B$2:$B$1666,Q2)</f>
        <v>290.422619047619</v>
      </c>
      <c r="R13" s="35">
        <f>AVERAGEIFS(赋分!$O$2:$O$1666,赋分!$B$2:$B$1666,R2)</f>
        <v>332.585526315789</v>
      </c>
      <c r="S13" s="35">
        <f>AVERAGEIFS(赋分!$O$2:$O$1666,赋分!$B$2:$B$1666,S2)</f>
        <v>290.145348837209</v>
      </c>
      <c r="T13" s="35">
        <f>AVERAGEIFS(赋分!$O$2:$O$1666,赋分!$B$2:$B$1666,T2)</f>
        <v>286.494186046512</v>
      </c>
    </row>
    <row r="14" ht="15.95" customHeight="1" spans="1:20">
      <c r="A14" s="34"/>
      <c r="B14" s="34" t="s">
        <v>1834</v>
      </c>
      <c r="C14" s="34">
        <f t="shared" ref="C14:T14" si="2">RANK(C13,$C$13:$T$13)</f>
        <v>8</v>
      </c>
      <c r="D14" s="34">
        <f t="shared" si="2"/>
        <v>10</v>
      </c>
      <c r="E14" s="34">
        <f t="shared" si="2"/>
        <v>12</v>
      </c>
      <c r="F14" s="34">
        <f t="shared" si="2"/>
        <v>5</v>
      </c>
      <c r="G14" s="34">
        <f t="shared" si="2"/>
        <v>4</v>
      </c>
      <c r="H14" s="34">
        <f t="shared" si="2"/>
        <v>16</v>
      </c>
      <c r="I14" s="34">
        <f t="shared" si="2"/>
        <v>18</v>
      </c>
      <c r="J14" s="34">
        <f t="shared" si="2"/>
        <v>11</v>
      </c>
      <c r="K14" s="34">
        <f t="shared" si="2"/>
        <v>1</v>
      </c>
      <c r="L14" s="34">
        <f t="shared" si="2"/>
        <v>3</v>
      </c>
      <c r="M14" s="34">
        <f t="shared" si="2"/>
        <v>15</v>
      </c>
      <c r="N14" s="34">
        <f t="shared" si="2"/>
        <v>17</v>
      </c>
      <c r="O14" s="34">
        <f t="shared" si="2"/>
        <v>14</v>
      </c>
      <c r="P14" s="34">
        <f t="shared" si="2"/>
        <v>6</v>
      </c>
      <c r="Q14" s="34">
        <f t="shared" si="2"/>
        <v>7</v>
      </c>
      <c r="R14" s="34">
        <f t="shared" si="2"/>
        <v>2</v>
      </c>
      <c r="S14" s="34">
        <f t="shared" si="2"/>
        <v>9</v>
      </c>
      <c r="T14" s="34">
        <f t="shared" si="2"/>
        <v>13</v>
      </c>
    </row>
    <row r="15" ht="15.95" customHeight="1" spans="1:20">
      <c r="A15" s="34"/>
      <c r="B15" s="34" t="s">
        <v>2055</v>
      </c>
      <c r="C15" s="30">
        <v>7</v>
      </c>
      <c r="D15" s="30">
        <v>13</v>
      </c>
      <c r="E15" s="14">
        <v>6</v>
      </c>
      <c r="F15" s="30">
        <v>5</v>
      </c>
      <c r="G15" s="14">
        <v>4</v>
      </c>
      <c r="H15" s="30">
        <v>16</v>
      </c>
      <c r="I15" s="30">
        <v>15</v>
      </c>
      <c r="J15" s="30">
        <v>9</v>
      </c>
      <c r="K15" s="30">
        <v>1</v>
      </c>
      <c r="L15" s="30">
        <v>3</v>
      </c>
      <c r="M15" s="30">
        <v>8</v>
      </c>
      <c r="N15" s="14">
        <v>12</v>
      </c>
      <c r="O15" s="30">
        <v>10</v>
      </c>
      <c r="P15" s="30">
        <v>14</v>
      </c>
      <c r="Q15" s="14">
        <v>11</v>
      </c>
      <c r="R15" s="30">
        <v>2</v>
      </c>
      <c r="S15" s="30">
        <v>18</v>
      </c>
      <c r="T15" s="30">
        <v>17</v>
      </c>
    </row>
    <row r="16" ht="15.95" customHeight="1" spans="1:20">
      <c r="A16" s="34"/>
      <c r="B16" s="34" t="s">
        <v>2056</v>
      </c>
      <c r="C16" s="30">
        <f>C15-C14</f>
        <v>-1</v>
      </c>
      <c r="D16" s="30">
        <f t="shared" ref="D16:T16" si="3">D15-D14</f>
        <v>3</v>
      </c>
      <c r="E16" s="30">
        <f t="shared" si="3"/>
        <v>-6</v>
      </c>
      <c r="F16" s="30">
        <f t="shared" si="3"/>
        <v>0</v>
      </c>
      <c r="G16" s="30">
        <f t="shared" si="3"/>
        <v>0</v>
      </c>
      <c r="H16" s="30">
        <f t="shared" si="3"/>
        <v>0</v>
      </c>
      <c r="I16" s="30">
        <f t="shared" si="3"/>
        <v>-3</v>
      </c>
      <c r="J16" s="30">
        <f t="shared" si="3"/>
        <v>-2</v>
      </c>
      <c r="K16" s="30">
        <f t="shared" si="3"/>
        <v>0</v>
      </c>
      <c r="L16" s="30">
        <f t="shared" si="3"/>
        <v>0</v>
      </c>
      <c r="M16" s="30">
        <f t="shared" si="3"/>
        <v>-7</v>
      </c>
      <c r="N16" s="30">
        <f t="shared" si="3"/>
        <v>-5</v>
      </c>
      <c r="O16" s="30">
        <f t="shared" si="3"/>
        <v>-4</v>
      </c>
      <c r="P16" s="30">
        <f t="shared" si="3"/>
        <v>8</v>
      </c>
      <c r="Q16" s="30">
        <f t="shared" si="3"/>
        <v>4</v>
      </c>
      <c r="R16" s="30">
        <f t="shared" si="3"/>
        <v>0</v>
      </c>
      <c r="S16" s="30">
        <f t="shared" si="3"/>
        <v>9</v>
      </c>
      <c r="T16" s="30">
        <f t="shared" si="3"/>
        <v>4</v>
      </c>
    </row>
    <row r="17" ht="15.95" customHeight="1" spans="1:20">
      <c r="A17" s="34"/>
      <c r="B17" s="34" t="s">
        <v>1760</v>
      </c>
      <c r="C17" s="30" t="s">
        <v>1761</v>
      </c>
      <c r="D17" s="30" t="s">
        <v>1762</v>
      </c>
      <c r="E17" s="14" t="s">
        <v>1763</v>
      </c>
      <c r="F17" s="30" t="s">
        <v>1764</v>
      </c>
      <c r="G17" s="14" t="s">
        <v>1765</v>
      </c>
      <c r="H17" s="30" t="s">
        <v>1766</v>
      </c>
      <c r="I17" s="30" t="s">
        <v>1767</v>
      </c>
      <c r="J17" s="30" t="s">
        <v>1768</v>
      </c>
      <c r="K17" s="30" t="s">
        <v>1769</v>
      </c>
      <c r="L17" s="30" t="s">
        <v>1770</v>
      </c>
      <c r="M17" s="30" t="s">
        <v>1771</v>
      </c>
      <c r="N17" s="14" t="s">
        <v>1772</v>
      </c>
      <c r="O17" s="30" t="s">
        <v>1773</v>
      </c>
      <c r="P17" s="30" t="s">
        <v>1774</v>
      </c>
      <c r="Q17" s="14" t="s">
        <v>1775</v>
      </c>
      <c r="R17" s="30" t="s">
        <v>1776</v>
      </c>
      <c r="S17" s="30" t="s">
        <v>1777</v>
      </c>
      <c r="T17" s="30" t="s">
        <v>1778</v>
      </c>
    </row>
    <row r="18" ht="15.95" customHeight="1" spans="1:20">
      <c r="A18" s="9" t="s">
        <v>5</v>
      </c>
      <c r="B18" s="9" t="s">
        <v>1756</v>
      </c>
      <c r="C18" s="39">
        <f>AVERAGEIFS(赋分!$F$2:$F$1666,赋分!$B$2:$B$1666,C2)</f>
        <v>99.1547619047619</v>
      </c>
      <c r="D18" s="39">
        <f>AVERAGEIFS(赋分!$F$2:$F$1666,赋分!$B$2:$B$1666,D2)</f>
        <v>99.1875</v>
      </c>
      <c r="E18" s="39">
        <f>AVERAGEIFS(赋分!$F$2:$F$1666,赋分!$B$2:$B$1666,E2)</f>
        <v>94.9234693877551</v>
      </c>
      <c r="F18" s="39">
        <f>AVERAGEIFS(赋分!$F$2:$F$1666,赋分!$B$2:$B$1666,F2)</f>
        <v>96.4147727272727</v>
      </c>
      <c r="G18" s="39">
        <f>AVERAGEIFS(赋分!$F$2:$F$1666,赋分!$B$2:$B$1666,G2)</f>
        <v>96.2234042553192</v>
      </c>
      <c r="H18" s="39">
        <f>AVERAGEIFS(赋分!$F$2:$F$1666,赋分!$B$2:$B$1666,H2)</f>
        <v>97.0512820512821</v>
      </c>
      <c r="I18" s="39">
        <f>AVERAGEIFS(赋分!$F$2:$F$1666,赋分!$B$2:$B$1666,I2)</f>
        <v>97.6644736842105</v>
      </c>
      <c r="J18" s="39">
        <f>AVERAGEIFS(赋分!$F$2:$F$1666,赋分!$B$2:$B$1666,J2)</f>
        <v>98.640350877193</v>
      </c>
      <c r="K18" s="39">
        <f>AVERAGEIFS(赋分!$F$2:$F$1666,赋分!$B$2:$B$1666,K2)</f>
        <v>102.828703703704</v>
      </c>
      <c r="L18" s="39">
        <f>AVERAGEIFS(赋分!$F$2:$F$1666,赋分!$B$2:$B$1666,L2)</f>
        <v>102.171052631579</v>
      </c>
      <c r="M18" s="39">
        <f>AVERAGEIFS(赋分!$F$2:$F$1666,赋分!$B$2:$B$1666,M2)</f>
        <v>96.8640350877193</v>
      </c>
      <c r="N18" s="39">
        <f>AVERAGEIFS(赋分!$F$2:$F$1666,赋分!$B$2:$B$1666,N2)</f>
        <v>95.53125</v>
      </c>
      <c r="O18" s="39">
        <f>AVERAGEIFS(赋分!$F$2:$F$1666,赋分!$B$2:$B$1666,O2)</f>
        <v>97.3240740740741</v>
      </c>
      <c r="P18" s="39">
        <f>AVERAGEIFS(赋分!$F$2:$F$1666,赋分!$B$2:$B$1666,P2)</f>
        <v>100.00625</v>
      </c>
      <c r="Q18" s="39">
        <f>AVERAGEIFS(赋分!$F$2:$F$1666,赋分!$B$2:$B$1666,Q2)</f>
        <v>99.7261904761905</v>
      </c>
      <c r="R18" s="39">
        <f>AVERAGEIFS(赋分!$F$2:$F$1666,赋分!$B$2:$B$1666,R2)</f>
        <v>106.546052631579</v>
      </c>
      <c r="S18" s="39">
        <f>AVERAGEIFS(赋分!$F$2:$F$1666,赋分!$B$2:$B$1666,S2)</f>
        <v>102.046511627907</v>
      </c>
      <c r="T18" s="39">
        <f>AVERAGEIFS(赋分!$F$2:$F$1666,赋分!$B$2:$B$1666,T2)</f>
        <v>102.982558139535</v>
      </c>
    </row>
    <row r="19" ht="15.95" customHeight="1" spans="1:20">
      <c r="A19" s="9"/>
      <c r="B19" s="9" t="s">
        <v>1834</v>
      </c>
      <c r="C19" s="9">
        <f t="shared" ref="C19:T19" si="4">RANK(C18,$C$18:$T$18)</f>
        <v>9</v>
      </c>
      <c r="D19" s="9">
        <f t="shared" si="4"/>
        <v>8</v>
      </c>
      <c r="E19" s="9">
        <f t="shared" si="4"/>
        <v>18</v>
      </c>
      <c r="F19" s="9">
        <f t="shared" si="4"/>
        <v>15</v>
      </c>
      <c r="G19" s="9">
        <f t="shared" si="4"/>
        <v>16</v>
      </c>
      <c r="H19" s="9">
        <f t="shared" si="4"/>
        <v>13</v>
      </c>
      <c r="I19" s="9">
        <f t="shared" si="4"/>
        <v>11</v>
      </c>
      <c r="J19" s="9">
        <f t="shared" si="4"/>
        <v>10</v>
      </c>
      <c r="K19" s="9">
        <f t="shared" si="4"/>
        <v>3</v>
      </c>
      <c r="L19" s="9">
        <f t="shared" si="4"/>
        <v>4</v>
      </c>
      <c r="M19" s="9">
        <f t="shared" si="4"/>
        <v>14</v>
      </c>
      <c r="N19" s="9">
        <f t="shared" si="4"/>
        <v>17</v>
      </c>
      <c r="O19" s="9">
        <f t="shared" si="4"/>
        <v>12</v>
      </c>
      <c r="P19" s="9">
        <f t="shared" si="4"/>
        <v>6</v>
      </c>
      <c r="Q19" s="9">
        <f t="shared" si="4"/>
        <v>7</v>
      </c>
      <c r="R19" s="9">
        <f t="shared" si="4"/>
        <v>1</v>
      </c>
      <c r="S19" s="9">
        <f t="shared" si="4"/>
        <v>5</v>
      </c>
      <c r="T19" s="9">
        <f t="shared" si="4"/>
        <v>2</v>
      </c>
    </row>
    <row r="20" ht="15.95" customHeight="1" spans="1:20">
      <c r="A20" s="9"/>
      <c r="B20" s="34" t="s">
        <v>2055</v>
      </c>
      <c r="C20" s="14">
        <v>12</v>
      </c>
      <c r="D20" s="30">
        <v>6</v>
      </c>
      <c r="E20" s="14">
        <v>11</v>
      </c>
      <c r="F20" s="14">
        <v>14</v>
      </c>
      <c r="G20" s="14">
        <v>15</v>
      </c>
      <c r="H20" s="14">
        <v>13</v>
      </c>
      <c r="I20" s="30">
        <v>10</v>
      </c>
      <c r="J20" s="14">
        <v>16</v>
      </c>
      <c r="K20" s="14">
        <v>2</v>
      </c>
      <c r="L20" s="14">
        <v>3</v>
      </c>
      <c r="M20" s="14">
        <v>17</v>
      </c>
      <c r="N20" s="14">
        <v>18</v>
      </c>
      <c r="O20" s="30">
        <v>9</v>
      </c>
      <c r="P20" s="14">
        <v>5</v>
      </c>
      <c r="Q20" s="30">
        <v>4</v>
      </c>
      <c r="R20" s="14">
        <v>1</v>
      </c>
      <c r="S20" s="30">
        <v>7</v>
      </c>
      <c r="T20" s="30">
        <v>8</v>
      </c>
    </row>
    <row r="21" ht="15.95" customHeight="1" spans="1:20">
      <c r="A21" s="9"/>
      <c r="B21" s="34" t="s">
        <v>2056</v>
      </c>
      <c r="C21" s="14">
        <f>C20-C19</f>
        <v>3</v>
      </c>
      <c r="D21" s="14">
        <f t="shared" ref="D21:T21" si="5">D20-D19</f>
        <v>-2</v>
      </c>
      <c r="E21" s="14">
        <f t="shared" si="5"/>
        <v>-7</v>
      </c>
      <c r="F21" s="14">
        <f t="shared" si="5"/>
        <v>-1</v>
      </c>
      <c r="G21" s="14">
        <f t="shared" si="5"/>
        <v>-1</v>
      </c>
      <c r="H21" s="14">
        <f t="shared" si="5"/>
        <v>0</v>
      </c>
      <c r="I21" s="14">
        <f t="shared" si="5"/>
        <v>-1</v>
      </c>
      <c r="J21" s="14">
        <f t="shared" si="5"/>
        <v>6</v>
      </c>
      <c r="K21" s="14">
        <f t="shared" si="5"/>
        <v>-1</v>
      </c>
      <c r="L21" s="14">
        <f t="shared" si="5"/>
        <v>-1</v>
      </c>
      <c r="M21" s="14">
        <f t="shared" si="5"/>
        <v>3</v>
      </c>
      <c r="N21" s="14">
        <f t="shared" si="5"/>
        <v>1</v>
      </c>
      <c r="O21" s="14">
        <f t="shared" si="5"/>
        <v>-3</v>
      </c>
      <c r="P21" s="14">
        <f t="shared" si="5"/>
        <v>-1</v>
      </c>
      <c r="Q21" s="14">
        <f t="shared" si="5"/>
        <v>-3</v>
      </c>
      <c r="R21" s="14">
        <f t="shared" si="5"/>
        <v>0</v>
      </c>
      <c r="S21" s="14">
        <f t="shared" si="5"/>
        <v>2</v>
      </c>
      <c r="T21" s="14">
        <f t="shared" si="5"/>
        <v>6</v>
      </c>
    </row>
    <row r="22" ht="15.95" customHeight="1" spans="1:20">
      <c r="A22" s="9"/>
      <c r="B22" s="9" t="s">
        <v>1781</v>
      </c>
      <c r="C22" s="40" t="s">
        <v>1782</v>
      </c>
      <c r="D22" s="40" t="s">
        <v>1783</v>
      </c>
      <c r="E22" s="40" t="s">
        <v>1784</v>
      </c>
      <c r="F22" s="40" t="s">
        <v>1785</v>
      </c>
      <c r="G22" s="40" t="s">
        <v>1784</v>
      </c>
      <c r="H22" s="40" t="s">
        <v>1772</v>
      </c>
      <c r="I22" s="40" t="s">
        <v>1786</v>
      </c>
      <c r="J22" s="40" t="s">
        <v>1782</v>
      </c>
      <c r="K22" s="40" t="s">
        <v>1787</v>
      </c>
      <c r="L22" s="40" t="s">
        <v>1771</v>
      </c>
      <c r="M22" s="40" t="s">
        <v>1771</v>
      </c>
      <c r="N22" s="40" t="s">
        <v>1772</v>
      </c>
      <c r="O22" s="40" t="s">
        <v>1788</v>
      </c>
      <c r="P22" s="40" t="s">
        <v>1789</v>
      </c>
      <c r="Q22" s="40" t="s">
        <v>1788</v>
      </c>
      <c r="R22" s="40" t="s">
        <v>1790</v>
      </c>
      <c r="S22" s="40" t="s">
        <v>1783</v>
      </c>
      <c r="T22" s="40" t="s">
        <v>1786</v>
      </c>
    </row>
    <row r="23" ht="15.95" customHeight="1" spans="1:20">
      <c r="A23" s="34" t="s">
        <v>6</v>
      </c>
      <c r="B23" s="34" t="s">
        <v>1756</v>
      </c>
      <c r="C23" s="35">
        <f>AVERAGEIFS(赋分!$G$2:$G$1666,赋分!$B$2:$B$1666,C2)</f>
        <v>97.7936507936508</v>
      </c>
      <c r="D23" s="35">
        <f>AVERAGEIFS(赋分!$G$2:$G$1666,赋分!$B$2:$B$1666,D2)</f>
        <v>92.03125</v>
      </c>
      <c r="E23" s="35">
        <f>AVERAGEIFS(赋分!$G$2:$G$1666,赋分!$B$2:$B$1666,E2)</f>
        <v>96.7857142857143</v>
      </c>
      <c r="F23" s="35">
        <f>AVERAGEIFS(赋分!$G$2:$G$1666,赋分!$B$2:$B$1666,F2)</f>
        <v>100.477272727273</v>
      </c>
      <c r="G23" s="35">
        <f>AVERAGEIFS(赋分!$G$2:$G$1666,赋分!$B$2:$B$1666,G2)</f>
        <v>106.026595744681</v>
      </c>
      <c r="H23" s="35">
        <f>AVERAGEIFS(赋分!$G$2:$G$1666,赋分!$B$2:$B$1666,H2)</f>
        <v>89.1666666666667</v>
      </c>
      <c r="I23" s="35">
        <f>AVERAGEIFS(赋分!$G$2:$G$1666,赋分!$B$2:$B$1666,I2)</f>
        <v>92.7631578947368</v>
      </c>
      <c r="J23" s="35">
        <f>AVERAGEIFS(赋分!$G$2:$G$1666,赋分!$B$2:$B$1666,J2)</f>
        <v>98.3070175438596</v>
      </c>
      <c r="K23" s="35">
        <f>AVERAGEIFS(赋分!$G$2:$G$1666,赋分!$B$2:$B$1666,K2)</f>
        <v>121.069444444444</v>
      </c>
      <c r="L23" s="35">
        <f>AVERAGEIFS(赋分!$G$2:$G$1666,赋分!$B$2:$B$1666,L2)</f>
        <v>110.263157894737</v>
      </c>
      <c r="M23" s="35">
        <f>AVERAGEIFS(赋分!$G$2:$G$1666,赋分!$B$2:$B$1666,M2)</f>
        <v>96.7017543859649</v>
      </c>
      <c r="N23" s="35">
        <f>AVERAGEIFS(赋分!$G$2:$G$1666,赋分!$B$2:$B$1666,N2)</f>
        <v>95.8214285714286</v>
      </c>
      <c r="O23" s="35">
        <f>AVERAGEIFS(赋分!$G$2:$G$1666,赋分!$B$2:$B$1666,O2)</f>
        <v>98.3611111111111</v>
      </c>
      <c r="P23" s="35">
        <f>AVERAGEIFS(赋分!$G$2:$G$1666,赋分!$B$2:$B$1666,P2)</f>
        <v>91.125</v>
      </c>
      <c r="Q23" s="35">
        <f>AVERAGEIFS(赋分!$G$2:$G$1666,赋分!$B$2:$B$1666,Q2)</f>
        <v>91.3809523809524</v>
      </c>
      <c r="R23" s="35">
        <f>AVERAGEIFS(赋分!$G$2:$G$1666,赋分!$B$2:$B$1666,R2)</f>
        <v>107.078947368421</v>
      </c>
      <c r="S23" s="35">
        <f>AVERAGEIFS(赋分!$G$2:$G$1666,赋分!$B$2:$B$1666,S2)</f>
        <v>87.7674418604651</v>
      </c>
      <c r="T23" s="35">
        <f>AVERAGEIFS(赋分!$G$2:$G$1666,赋分!$B$2:$B$1666,T2)</f>
        <v>84.7209302325581</v>
      </c>
    </row>
    <row r="24" ht="15.95" customHeight="1" spans="1:20">
      <c r="A24" s="34"/>
      <c r="B24" s="34" t="s">
        <v>1834</v>
      </c>
      <c r="C24" s="34">
        <f t="shared" ref="C24:T24" si="6">RANK(C23,$C$23:$T$23)</f>
        <v>8</v>
      </c>
      <c r="D24" s="34">
        <f t="shared" si="6"/>
        <v>13</v>
      </c>
      <c r="E24" s="34">
        <f t="shared" si="6"/>
        <v>9</v>
      </c>
      <c r="F24" s="34">
        <f t="shared" si="6"/>
        <v>5</v>
      </c>
      <c r="G24" s="34">
        <f t="shared" si="6"/>
        <v>4</v>
      </c>
      <c r="H24" s="34">
        <f t="shared" si="6"/>
        <v>16</v>
      </c>
      <c r="I24" s="34">
        <f t="shared" si="6"/>
        <v>12</v>
      </c>
      <c r="J24" s="34">
        <f t="shared" si="6"/>
        <v>7</v>
      </c>
      <c r="K24" s="34">
        <f t="shared" si="6"/>
        <v>1</v>
      </c>
      <c r="L24" s="34">
        <f t="shared" si="6"/>
        <v>2</v>
      </c>
      <c r="M24" s="34">
        <f t="shared" si="6"/>
        <v>10</v>
      </c>
      <c r="N24" s="34">
        <f t="shared" si="6"/>
        <v>11</v>
      </c>
      <c r="O24" s="34">
        <f t="shared" si="6"/>
        <v>6</v>
      </c>
      <c r="P24" s="34">
        <f t="shared" si="6"/>
        <v>15</v>
      </c>
      <c r="Q24" s="34">
        <f t="shared" si="6"/>
        <v>14</v>
      </c>
      <c r="R24" s="34">
        <f t="shared" si="6"/>
        <v>3</v>
      </c>
      <c r="S24" s="34">
        <f t="shared" si="6"/>
        <v>17</v>
      </c>
      <c r="T24" s="34">
        <f t="shared" si="6"/>
        <v>18</v>
      </c>
    </row>
    <row r="25" ht="15.95" customHeight="1" spans="1:20">
      <c r="A25" s="34"/>
      <c r="B25" s="34" t="s">
        <v>2055</v>
      </c>
      <c r="C25" s="14">
        <v>7</v>
      </c>
      <c r="D25" s="14">
        <v>14</v>
      </c>
      <c r="E25" s="14">
        <v>6</v>
      </c>
      <c r="F25" s="14">
        <v>4</v>
      </c>
      <c r="G25" s="14">
        <v>5</v>
      </c>
      <c r="H25" s="14">
        <v>13</v>
      </c>
      <c r="I25" s="14">
        <v>12</v>
      </c>
      <c r="J25" s="14">
        <v>11</v>
      </c>
      <c r="K25" s="14">
        <v>1</v>
      </c>
      <c r="L25" s="14">
        <v>2</v>
      </c>
      <c r="M25" s="14">
        <v>8</v>
      </c>
      <c r="N25" s="14">
        <v>9</v>
      </c>
      <c r="O25" s="30">
        <v>10</v>
      </c>
      <c r="P25" s="30">
        <v>16</v>
      </c>
      <c r="Q25" s="14">
        <v>15</v>
      </c>
      <c r="R25" s="14">
        <v>3</v>
      </c>
      <c r="S25" s="30">
        <v>17</v>
      </c>
      <c r="T25" s="14">
        <v>18</v>
      </c>
    </row>
    <row r="26" ht="15.95" customHeight="1" spans="1:20">
      <c r="A26" s="34"/>
      <c r="B26" s="34" t="s">
        <v>2056</v>
      </c>
      <c r="C26" s="14">
        <f>C25-C24</f>
        <v>-1</v>
      </c>
      <c r="D26" s="14">
        <f t="shared" ref="D26:T26" si="7">D25-D24</f>
        <v>1</v>
      </c>
      <c r="E26" s="14">
        <f t="shared" si="7"/>
        <v>-3</v>
      </c>
      <c r="F26" s="14">
        <f t="shared" si="7"/>
        <v>-1</v>
      </c>
      <c r="G26" s="14">
        <f t="shared" si="7"/>
        <v>1</v>
      </c>
      <c r="H26" s="14">
        <f t="shared" si="7"/>
        <v>-3</v>
      </c>
      <c r="I26" s="14">
        <f t="shared" si="7"/>
        <v>0</v>
      </c>
      <c r="J26" s="14">
        <f t="shared" si="7"/>
        <v>4</v>
      </c>
      <c r="K26" s="14">
        <f t="shared" si="7"/>
        <v>0</v>
      </c>
      <c r="L26" s="14">
        <f t="shared" si="7"/>
        <v>0</v>
      </c>
      <c r="M26" s="14">
        <f t="shared" si="7"/>
        <v>-2</v>
      </c>
      <c r="N26" s="14">
        <f t="shared" si="7"/>
        <v>-2</v>
      </c>
      <c r="O26" s="14">
        <f t="shared" si="7"/>
        <v>4</v>
      </c>
      <c r="P26" s="14">
        <f t="shared" si="7"/>
        <v>1</v>
      </c>
      <c r="Q26" s="14">
        <f t="shared" si="7"/>
        <v>1</v>
      </c>
      <c r="R26" s="14">
        <f t="shared" si="7"/>
        <v>0</v>
      </c>
      <c r="S26" s="14">
        <f t="shared" si="7"/>
        <v>0</v>
      </c>
      <c r="T26" s="14">
        <f t="shared" si="7"/>
        <v>0</v>
      </c>
    </row>
    <row r="27" ht="15.95" customHeight="1" spans="1:20">
      <c r="A27" s="34"/>
      <c r="B27" s="34" t="s">
        <v>1781</v>
      </c>
      <c r="C27" s="40" t="s">
        <v>1791</v>
      </c>
      <c r="D27" s="41" t="s">
        <v>1792</v>
      </c>
      <c r="E27" s="40" t="s">
        <v>1763</v>
      </c>
      <c r="F27" s="40" t="s">
        <v>1793</v>
      </c>
      <c r="G27" s="40" t="s">
        <v>1765</v>
      </c>
      <c r="H27" s="40" t="s">
        <v>294</v>
      </c>
      <c r="I27" s="40" t="s">
        <v>1794</v>
      </c>
      <c r="J27" s="40" t="s">
        <v>1794</v>
      </c>
      <c r="K27" s="40" t="s">
        <v>1769</v>
      </c>
      <c r="L27" s="40" t="s">
        <v>1770</v>
      </c>
      <c r="M27" s="40" t="s">
        <v>1763</v>
      </c>
      <c r="N27" s="40" t="s">
        <v>1795</v>
      </c>
      <c r="O27" s="40" t="s">
        <v>1777</v>
      </c>
      <c r="P27" s="40" t="s">
        <v>1774</v>
      </c>
      <c r="Q27" s="40" t="s">
        <v>1765</v>
      </c>
      <c r="R27" s="40" t="s">
        <v>1776</v>
      </c>
      <c r="S27" s="40" t="s">
        <v>1777</v>
      </c>
      <c r="T27" s="40" t="s">
        <v>1774</v>
      </c>
    </row>
    <row r="28" ht="15.95" customHeight="1" spans="1:20">
      <c r="A28" s="9" t="s">
        <v>7</v>
      </c>
      <c r="B28" s="9" t="s">
        <v>1756</v>
      </c>
      <c r="C28" s="39">
        <f>AVERAGEIFS(赋分!$H$2:$H$1666,赋分!$B$2:$B$1666,C2)</f>
        <v>93.4722222222222</v>
      </c>
      <c r="D28" s="39">
        <f>AVERAGEIFS(赋分!$H$2:$H$1666,赋分!$B$2:$B$1666,D2)</f>
        <v>97.5572916666667</v>
      </c>
      <c r="E28" s="39">
        <f>AVERAGEIFS(赋分!$H$2:$H$1666,赋分!$B$2:$B$1666,E2)</f>
        <v>95.0663265306122</v>
      </c>
      <c r="F28" s="39">
        <f>AVERAGEIFS(赋分!$H$2:$H$1666,赋分!$B$2:$B$1666,F2)</f>
        <v>94.4545454545455</v>
      </c>
      <c r="G28" s="39">
        <f>AVERAGEIFS(赋分!$H$2:$H$1666,赋分!$B$2:$B$1666,G2)</f>
        <v>94.9414893617021</v>
      </c>
      <c r="H28" s="39">
        <f>AVERAGEIFS(赋分!$H$2:$H$1666,赋分!$B$2:$B$1666,H2)</f>
        <v>92.8397435897436</v>
      </c>
      <c r="I28" s="39">
        <f>AVERAGEIFS(赋分!$H$2:$H$1666,赋分!$B$2:$B$1666,I2)</f>
        <v>85.1184210526316</v>
      </c>
      <c r="J28" s="39">
        <f>AVERAGEIFS(赋分!$H$2:$H$1666,赋分!$B$2:$B$1666,J2)</f>
        <v>90.2850877192982</v>
      </c>
      <c r="K28" s="39">
        <f>AVERAGEIFS(赋分!$H$2:$H$1666,赋分!$B$2:$B$1666,K2)</f>
        <v>112.981481481481</v>
      </c>
      <c r="L28" s="39">
        <f>AVERAGEIFS(赋分!$H$2:$H$1666,赋分!$B$2:$B$1666,L2)</f>
        <v>102.394736842105</v>
      </c>
      <c r="M28" s="39">
        <f>AVERAGEIFS(赋分!$H$2:$H$1666,赋分!$B$2:$B$1666,M2)</f>
        <v>89.2456140350877</v>
      </c>
      <c r="N28" s="39">
        <f>AVERAGEIFS(赋分!$H$2:$H$1666,赋分!$B$2:$B$1666,N2)</f>
        <v>87.4598214285714</v>
      </c>
      <c r="O28" s="39">
        <f>AVERAGEIFS(赋分!$H$2:$H$1666,赋分!$B$2:$B$1666,O2)</f>
        <v>88.6203703703704</v>
      </c>
      <c r="P28" s="39">
        <f>AVERAGEIFS(赋分!$H$2:$H$1666,赋分!$B$2:$B$1666,P2)</f>
        <v>99.6125</v>
      </c>
      <c r="Q28" s="39">
        <f>AVERAGEIFS(赋分!$H$2:$H$1666,赋分!$B$2:$B$1666,Q2)</f>
        <v>99.3154761904762</v>
      </c>
      <c r="R28" s="39">
        <f>AVERAGEIFS(赋分!$H$2:$H$1666,赋分!$B$2:$B$1666,R2)</f>
        <v>118.960526315789</v>
      </c>
      <c r="S28" s="39">
        <f>AVERAGEIFS(赋分!$H$2:$H$1666,赋分!$B$2:$B$1666,S2)</f>
        <v>100.331395348837</v>
      </c>
      <c r="T28" s="39">
        <f>AVERAGEIFS(赋分!$H$2:$H$1666,赋分!$B$2:$B$1666,T2)</f>
        <v>98.7906976744186</v>
      </c>
    </row>
    <row r="29" ht="15.95" customHeight="1" spans="1:20">
      <c r="A29" s="9"/>
      <c r="B29" s="9" t="s">
        <v>1834</v>
      </c>
      <c r="C29" s="9">
        <f t="shared" ref="C29:T29" si="8">RANK(C28,$C$28:$T$28)</f>
        <v>12</v>
      </c>
      <c r="D29" s="9">
        <f t="shared" si="8"/>
        <v>8</v>
      </c>
      <c r="E29" s="9">
        <f t="shared" si="8"/>
        <v>9</v>
      </c>
      <c r="F29" s="9">
        <f t="shared" si="8"/>
        <v>11</v>
      </c>
      <c r="G29" s="9">
        <f t="shared" si="8"/>
        <v>10</v>
      </c>
      <c r="H29" s="9">
        <f t="shared" si="8"/>
        <v>13</v>
      </c>
      <c r="I29" s="9">
        <f t="shared" si="8"/>
        <v>18</v>
      </c>
      <c r="J29" s="9">
        <f t="shared" si="8"/>
        <v>14</v>
      </c>
      <c r="K29" s="9">
        <f t="shared" si="8"/>
        <v>2</v>
      </c>
      <c r="L29" s="9">
        <f t="shared" si="8"/>
        <v>3</v>
      </c>
      <c r="M29" s="9">
        <f t="shared" si="8"/>
        <v>15</v>
      </c>
      <c r="N29" s="9">
        <f t="shared" si="8"/>
        <v>17</v>
      </c>
      <c r="O29" s="9">
        <f t="shared" si="8"/>
        <v>16</v>
      </c>
      <c r="P29" s="9">
        <f t="shared" si="8"/>
        <v>5</v>
      </c>
      <c r="Q29" s="9">
        <f t="shared" si="8"/>
        <v>6</v>
      </c>
      <c r="R29" s="9">
        <f t="shared" si="8"/>
        <v>1</v>
      </c>
      <c r="S29" s="9">
        <f t="shared" si="8"/>
        <v>4</v>
      </c>
      <c r="T29" s="9">
        <f t="shared" si="8"/>
        <v>7</v>
      </c>
    </row>
    <row r="30" ht="15.95" customHeight="1" spans="1:20">
      <c r="A30" s="9"/>
      <c r="B30" s="34" t="s">
        <v>2055</v>
      </c>
      <c r="C30" s="30">
        <v>10</v>
      </c>
      <c r="D30" s="30">
        <v>6</v>
      </c>
      <c r="E30" s="30">
        <v>8</v>
      </c>
      <c r="F30" s="30">
        <v>11</v>
      </c>
      <c r="G30" s="14">
        <v>7</v>
      </c>
      <c r="H30" s="30">
        <v>17</v>
      </c>
      <c r="I30" s="30">
        <v>16</v>
      </c>
      <c r="J30" s="30">
        <v>9</v>
      </c>
      <c r="K30" s="14">
        <v>2</v>
      </c>
      <c r="L30" s="30">
        <v>3</v>
      </c>
      <c r="M30" s="30">
        <v>13</v>
      </c>
      <c r="N30" s="30">
        <v>14</v>
      </c>
      <c r="O30" s="30">
        <v>15</v>
      </c>
      <c r="P30" s="30">
        <v>5</v>
      </c>
      <c r="Q30" s="30">
        <v>4</v>
      </c>
      <c r="R30" s="14">
        <v>1</v>
      </c>
      <c r="S30" s="30">
        <v>18</v>
      </c>
      <c r="T30" s="30">
        <v>12</v>
      </c>
    </row>
    <row r="31" ht="15.95" customHeight="1" spans="1:20">
      <c r="A31" s="9"/>
      <c r="B31" s="34" t="s">
        <v>2056</v>
      </c>
      <c r="C31" s="30">
        <f>C30-C29</f>
        <v>-2</v>
      </c>
      <c r="D31" s="30">
        <f t="shared" ref="D31:T31" si="9">D30-D29</f>
        <v>-2</v>
      </c>
      <c r="E31" s="30">
        <f t="shared" si="9"/>
        <v>-1</v>
      </c>
      <c r="F31" s="30">
        <f t="shared" si="9"/>
        <v>0</v>
      </c>
      <c r="G31" s="30">
        <f t="shared" si="9"/>
        <v>-3</v>
      </c>
      <c r="H31" s="30">
        <f t="shared" si="9"/>
        <v>4</v>
      </c>
      <c r="I31" s="30">
        <f t="shared" si="9"/>
        <v>-2</v>
      </c>
      <c r="J31" s="30">
        <f t="shared" si="9"/>
        <v>-5</v>
      </c>
      <c r="K31" s="30">
        <f t="shared" si="9"/>
        <v>0</v>
      </c>
      <c r="L31" s="30">
        <f t="shared" si="9"/>
        <v>0</v>
      </c>
      <c r="M31" s="30">
        <f t="shared" si="9"/>
        <v>-2</v>
      </c>
      <c r="N31" s="30">
        <f t="shared" si="9"/>
        <v>-3</v>
      </c>
      <c r="O31" s="30">
        <f t="shared" si="9"/>
        <v>-1</v>
      </c>
      <c r="P31" s="30">
        <f t="shared" si="9"/>
        <v>0</v>
      </c>
      <c r="Q31" s="30">
        <f t="shared" si="9"/>
        <v>-2</v>
      </c>
      <c r="R31" s="30">
        <f t="shared" si="9"/>
        <v>0</v>
      </c>
      <c r="S31" s="30">
        <f t="shared" si="9"/>
        <v>14</v>
      </c>
      <c r="T31" s="30">
        <f t="shared" si="9"/>
        <v>5</v>
      </c>
    </row>
    <row r="32" ht="15.95" customHeight="1" spans="1:20">
      <c r="A32" s="9"/>
      <c r="B32" s="9" t="s">
        <v>1781</v>
      </c>
      <c r="C32" s="40" t="s">
        <v>1796</v>
      </c>
      <c r="D32" s="40" t="s">
        <v>1797</v>
      </c>
      <c r="E32" s="40" t="s">
        <v>1798</v>
      </c>
      <c r="F32" s="40" t="s">
        <v>1764</v>
      </c>
      <c r="G32" s="40" t="s">
        <v>1798</v>
      </c>
      <c r="H32" s="40" t="s">
        <v>1799</v>
      </c>
      <c r="I32" s="40" t="s">
        <v>1767</v>
      </c>
      <c r="J32" s="40" t="s">
        <v>1764</v>
      </c>
      <c r="K32" s="40" t="s">
        <v>1800</v>
      </c>
      <c r="L32" s="40" t="s">
        <v>1801</v>
      </c>
      <c r="M32" s="40" t="s">
        <v>1767</v>
      </c>
      <c r="N32" s="40" t="s">
        <v>1802</v>
      </c>
      <c r="O32" s="40" t="s">
        <v>1803</v>
      </c>
      <c r="P32" s="40" t="s">
        <v>1803</v>
      </c>
      <c r="Q32" s="40" t="s">
        <v>1799</v>
      </c>
      <c r="R32" s="40" t="s">
        <v>1804</v>
      </c>
      <c r="S32" s="40" t="s">
        <v>1805</v>
      </c>
      <c r="T32" s="40" t="s">
        <v>1797</v>
      </c>
    </row>
    <row r="33" ht="15.95" customHeight="1" spans="1:20">
      <c r="A33" s="42" t="s">
        <v>1806</v>
      </c>
      <c r="B33" s="34" t="s">
        <v>1756</v>
      </c>
      <c r="C33" s="35">
        <f>AVERAGEIFS(赋分!$I$2:$I$1666,赋分!$B$2:$B$1666,C2)</f>
        <v>48.5634920634921</v>
      </c>
      <c r="D33" s="35">
        <f>AVERAGEIFS(赋分!$I$2:$I$1666,赋分!$B$2:$B$1666,D2)</f>
        <v>46.3229166666667</v>
      </c>
      <c r="E33" s="35">
        <f>AVERAGEIFS(赋分!$I$2:$I$1666,赋分!$B$2:$B$1666,E2)</f>
        <v>49.4285714285714</v>
      </c>
      <c r="F33" s="35">
        <f>AVERAGEIFS(赋分!$I$2:$I$1666,赋分!$B$2:$B$1666,F2)</f>
        <v>47.1931818181818</v>
      </c>
      <c r="G33" s="35">
        <f>AVERAGEIFS(赋分!$I$2:$I$1666,赋分!$B$2:$B$1666,G2)</f>
        <v>49.4148936170213</v>
      </c>
      <c r="H33" s="35">
        <f>AVERAGEIFS(赋分!$I$2:$I$1666,赋分!$B$2:$B$1666,H2)</f>
        <v>49.3076923076923</v>
      </c>
      <c r="I33" s="35">
        <f>AVERAGEIFS(赋分!$I$2:$I$1666,赋分!$B$2:$B$1666,I2)</f>
        <v>39.7368421052632</v>
      </c>
      <c r="J33" s="35">
        <f>AVERAGEIFS(赋分!$I$2:$I$1666,赋分!$B$2:$B$1666,J2)</f>
        <v>52.1315789473684</v>
      </c>
      <c r="K33" s="35">
        <f>AVERAGEIFS(赋分!$I$2:$I$1666,赋分!$B$2:$B$1666,K2)</f>
        <v>70.8240740740741</v>
      </c>
      <c r="L33" s="35">
        <f>AVERAGEIFS(赋分!$I$2:$I$1666,赋分!$B$2:$B$1666,L2)</f>
        <v>63.2982456140351</v>
      </c>
      <c r="M33" s="35">
        <f>AVERAGEIFS(赋分!$I$2:$I$1666,赋分!$B$2:$B$1666,M2)</f>
        <v>45.8947368421053</v>
      </c>
      <c r="N33" s="35">
        <f>AVERAGEIFS(赋分!$I$2:$I$1666,赋分!$B$2:$B$1666,N2)</f>
        <v>46.9285714285714</v>
      </c>
      <c r="O33" s="35">
        <f>AVERAGEIFS(赋分!$I$2:$I$1666,赋分!$B$2:$B$1666,O2)</f>
        <v>49.6574074074074</v>
      </c>
      <c r="P33" s="39">
        <f>AVERAGEIFS(赋分!$J$2:$J$1666,赋分!$B$2:$B$1666,P2)</f>
        <v>56.34375</v>
      </c>
      <c r="Q33" s="39">
        <f>AVERAGEIFS(赋分!$J$2:$J$1666,赋分!$B$2:$B$1666,Q2)</f>
        <v>55.6964285714286</v>
      </c>
      <c r="R33" s="39">
        <f>AVERAGEIFS(赋分!$J$2:$J$1666,赋分!$B$2:$B$1666,R2)</f>
        <v>62.4934210526316</v>
      </c>
      <c r="S33" s="39">
        <f>AVERAGEIFS(赋分!$J$2:$J$1666,赋分!$B$2:$B$1666,S2)</f>
        <v>55.6976744186046</v>
      </c>
      <c r="T33" s="39">
        <f>AVERAGEIFS(赋分!$J$2:$J$1666,赋分!$B$2:$B$1666,T2)</f>
        <v>54.4767441860465</v>
      </c>
    </row>
    <row r="34" ht="15.95" customHeight="1" spans="1:20">
      <c r="A34" s="42"/>
      <c r="B34" s="34" t="s">
        <v>1834</v>
      </c>
      <c r="C34" s="34">
        <f>RANK(C33,$C$33:$O$33)</f>
        <v>8</v>
      </c>
      <c r="D34" s="34">
        <f t="shared" ref="D34:O34" si="10">RANK(D33,$C$33:$O$33)</f>
        <v>11</v>
      </c>
      <c r="E34" s="34">
        <f t="shared" si="10"/>
        <v>5</v>
      </c>
      <c r="F34" s="34">
        <f t="shared" si="10"/>
        <v>9</v>
      </c>
      <c r="G34" s="34">
        <f t="shared" si="10"/>
        <v>6</v>
      </c>
      <c r="H34" s="34">
        <f t="shared" si="10"/>
        <v>7</v>
      </c>
      <c r="I34" s="34">
        <f t="shared" si="10"/>
        <v>13</v>
      </c>
      <c r="J34" s="34">
        <f t="shared" si="10"/>
        <v>3</v>
      </c>
      <c r="K34" s="34">
        <f t="shared" si="10"/>
        <v>1</v>
      </c>
      <c r="L34" s="34">
        <f t="shared" si="10"/>
        <v>2</v>
      </c>
      <c r="M34" s="34">
        <f t="shared" si="10"/>
        <v>12</v>
      </c>
      <c r="N34" s="34">
        <f t="shared" si="10"/>
        <v>10</v>
      </c>
      <c r="O34" s="34">
        <f t="shared" si="10"/>
        <v>4</v>
      </c>
      <c r="P34" s="9">
        <f>RANK(P33,$P$33:$T$33)</f>
        <v>2</v>
      </c>
      <c r="Q34" s="9">
        <f>RANK(Q33,$P$33:$T$33)</f>
        <v>4</v>
      </c>
      <c r="R34" s="9">
        <f>RANK(R33,$P$33:$T$33)</f>
        <v>1</v>
      </c>
      <c r="S34" s="9">
        <f>RANK(S33,$P$33:$T$33)</f>
        <v>3</v>
      </c>
      <c r="T34" s="9">
        <f>RANK(T33,$P$33:$T$33)</f>
        <v>5</v>
      </c>
    </row>
    <row r="35" ht="15.95" customHeight="1" spans="1:20">
      <c r="A35" s="42"/>
      <c r="B35" s="34" t="s">
        <v>2055</v>
      </c>
      <c r="C35" s="30">
        <v>9</v>
      </c>
      <c r="D35" s="14">
        <v>13</v>
      </c>
      <c r="E35" s="30">
        <v>6</v>
      </c>
      <c r="F35" s="30">
        <v>3</v>
      </c>
      <c r="G35" s="14">
        <v>4</v>
      </c>
      <c r="H35" s="30">
        <v>11</v>
      </c>
      <c r="I35" s="30">
        <v>12</v>
      </c>
      <c r="J35" s="30">
        <v>7</v>
      </c>
      <c r="K35" s="14">
        <v>1</v>
      </c>
      <c r="L35" s="14">
        <v>2</v>
      </c>
      <c r="M35" s="14">
        <v>5</v>
      </c>
      <c r="N35" s="14">
        <v>8</v>
      </c>
      <c r="O35" s="14">
        <v>10</v>
      </c>
      <c r="P35" s="14">
        <v>3</v>
      </c>
      <c r="Q35" s="14">
        <v>2</v>
      </c>
      <c r="R35" s="14">
        <v>1</v>
      </c>
      <c r="S35" s="14">
        <v>5</v>
      </c>
      <c r="T35" s="14">
        <v>4</v>
      </c>
    </row>
    <row r="36" ht="15.95" customHeight="1" spans="1:20">
      <c r="A36" s="42"/>
      <c r="B36" s="34" t="s">
        <v>2056</v>
      </c>
      <c r="C36" s="30">
        <f>C35-C34</f>
        <v>1</v>
      </c>
      <c r="D36" s="30">
        <f t="shared" ref="D36:T36" si="11">D35-D34</f>
        <v>2</v>
      </c>
      <c r="E36" s="30">
        <f t="shared" si="11"/>
        <v>1</v>
      </c>
      <c r="F36" s="30">
        <f t="shared" si="11"/>
        <v>-6</v>
      </c>
      <c r="G36" s="30">
        <f t="shared" si="11"/>
        <v>-2</v>
      </c>
      <c r="H36" s="30">
        <f t="shared" si="11"/>
        <v>4</v>
      </c>
      <c r="I36" s="30">
        <f t="shared" si="11"/>
        <v>-1</v>
      </c>
      <c r="J36" s="30">
        <f t="shared" si="11"/>
        <v>4</v>
      </c>
      <c r="K36" s="30">
        <f t="shared" si="11"/>
        <v>0</v>
      </c>
      <c r="L36" s="30">
        <f t="shared" si="11"/>
        <v>0</v>
      </c>
      <c r="M36" s="30">
        <f t="shared" si="11"/>
        <v>-7</v>
      </c>
      <c r="N36" s="30">
        <f t="shared" si="11"/>
        <v>-2</v>
      </c>
      <c r="O36" s="30">
        <f t="shared" si="11"/>
        <v>6</v>
      </c>
      <c r="P36" s="14">
        <f t="shared" si="11"/>
        <v>1</v>
      </c>
      <c r="Q36" s="14">
        <f t="shared" si="11"/>
        <v>-2</v>
      </c>
      <c r="R36" s="14">
        <f t="shared" si="11"/>
        <v>0</v>
      </c>
      <c r="S36" s="14">
        <f t="shared" si="11"/>
        <v>2</v>
      </c>
      <c r="T36" s="14">
        <f t="shared" si="11"/>
        <v>-1</v>
      </c>
    </row>
    <row r="37" ht="15.95" customHeight="1" spans="1:20">
      <c r="A37" s="42"/>
      <c r="B37" s="34" t="s">
        <v>1781</v>
      </c>
      <c r="C37" s="40" t="s">
        <v>1761</v>
      </c>
      <c r="D37" s="13" t="s">
        <v>1766</v>
      </c>
      <c r="E37" s="40" t="s">
        <v>1807</v>
      </c>
      <c r="F37" s="40" t="s">
        <v>1808</v>
      </c>
      <c r="G37" s="40" t="s">
        <v>1809</v>
      </c>
      <c r="H37" s="13" t="s">
        <v>1766</v>
      </c>
      <c r="I37" s="40" t="s">
        <v>1810</v>
      </c>
      <c r="J37" s="40" t="s">
        <v>1768</v>
      </c>
      <c r="K37" s="40" t="s">
        <v>1811</v>
      </c>
      <c r="L37" s="40" t="s">
        <v>1768</v>
      </c>
      <c r="M37" s="40" t="s">
        <v>1809</v>
      </c>
      <c r="N37" s="40" t="s">
        <v>1807</v>
      </c>
      <c r="O37" s="40" t="s">
        <v>1761</v>
      </c>
      <c r="P37" s="40" t="s">
        <v>1812</v>
      </c>
      <c r="Q37" s="40" t="s">
        <v>1775</v>
      </c>
      <c r="R37" s="40" t="s">
        <v>1813</v>
      </c>
      <c r="S37" s="40" t="s">
        <v>1814</v>
      </c>
      <c r="T37" s="40" t="s">
        <v>1814</v>
      </c>
    </row>
    <row r="38" ht="15.95" customHeight="1" spans="1:20">
      <c r="A38" s="34" t="s">
        <v>10</v>
      </c>
      <c r="B38" s="34" t="s">
        <v>1756</v>
      </c>
      <c r="C38" s="35">
        <f>AVERAGEIFS(赋分!$K$2:$K$1666,赋分!$B$2:$B$1666,C2)</f>
        <v>72.968253968254</v>
      </c>
      <c r="D38" s="35"/>
      <c r="E38" s="35">
        <f>AVERAGEIFS(赋分!$K$2:$K$1666,赋分!$B$2:$B$1666,E2)</f>
        <v>70.4897959183673</v>
      </c>
      <c r="F38" s="35">
        <f>AVERAGEIFS(赋分!$K$2:$K$1666,赋分!$B$2:$B$1666,F2)</f>
        <v>70.8863636363636</v>
      </c>
      <c r="G38" s="35">
        <f>AVERAGEIFS(赋分!$K$2:$K$1666,赋分!$B$2:$B$1666,G2)</f>
        <v>73.8723404255319</v>
      </c>
      <c r="H38" s="35"/>
      <c r="I38" s="35"/>
      <c r="J38" s="35">
        <f>AVERAGEIFS(赋分!$K$2:$K$1666,赋分!$B$2:$B$1666,J2)</f>
        <v>71.8947368421053</v>
      </c>
      <c r="K38" s="35">
        <f>AVERAGEIFS(赋分!$K$2:$K$1666,赋分!$B$2:$B$1666,K2)</f>
        <v>82.0555555555556</v>
      </c>
      <c r="L38" s="35">
        <f>AVERAGEIFS(赋分!$K$2:$K$1666,赋分!$B$2:$B$1666,L2)</f>
        <v>80.9649122807018</v>
      </c>
      <c r="M38" s="35">
        <f>AVERAGEIFS(赋分!$K$2:$K$1666,赋分!$B$2:$B$1666,M2)</f>
        <v>73.719298245614</v>
      </c>
      <c r="N38" s="35">
        <f>AVERAGEIFS(赋分!$K$2:$K$1666,赋分!$B$2:$B$1666,N2)</f>
        <v>68.9821428571429</v>
      </c>
      <c r="O38" s="35">
        <f>AVERAGEIFS(赋分!$K$2:$K$1666,赋分!$B$2:$B$1666,O2)</f>
        <v>73.0740740740741</v>
      </c>
      <c r="P38" s="35"/>
      <c r="Q38" s="35"/>
      <c r="R38" s="35"/>
      <c r="S38" s="35"/>
      <c r="T38" s="35"/>
    </row>
    <row r="39" ht="15.95" customHeight="1" spans="1:20">
      <c r="A39" s="34"/>
      <c r="B39" s="34" t="s">
        <v>1834</v>
      </c>
      <c r="C39" s="34">
        <f>RANK(C38,$C$38:$T$38)</f>
        <v>6</v>
      </c>
      <c r="D39" s="34"/>
      <c r="E39" s="34">
        <f>RANK(E38,$C$38:$T$38)</f>
        <v>9</v>
      </c>
      <c r="F39" s="34">
        <f>RANK(F38,$C$38:$T$38)</f>
        <v>8</v>
      </c>
      <c r="G39" s="34">
        <f>RANK(G38,$C$38:$T$38)</f>
        <v>3</v>
      </c>
      <c r="H39" s="34"/>
      <c r="I39" s="34"/>
      <c r="J39" s="34">
        <f t="shared" ref="J39:O39" si="12">RANK(J38,$C$38:$T$38)</f>
        <v>7</v>
      </c>
      <c r="K39" s="34">
        <f t="shared" si="12"/>
        <v>1</v>
      </c>
      <c r="L39" s="34">
        <f t="shared" si="12"/>
        <v>2</v>
      </c>
      <c r="M39" s="34">
        <f t="shared" si="12"/>
        <v>4</v>
      </c>
      <c r="N39" s="34">
        <f t="shared" si="12"/>
        <v>10</v>
      </c>
      <c r="O39" s="34">
        <f t="shared" si="12"/>
        <v>5</v>
      </c>
      <c r="P39" s="34"/>
      <c r="Q39" s="34"/>
      <c r="R39" s="34"/>
      <c r="S39" s="34"/>
      <c r="T39" s="34"/>
    </row>
    <row r="40" ht="15.95" customHeight="1" spans="1:20">
      <c r="A40" s="34"/>
      <c r="B40" s="34" t="s">
        <v>2055</v>
      </c>
      <c r="C40" s="30">
        <v>10</v>
      </c>
      <c r="D40" s="30"/>
      <c r="E40" s="30">
        <v>5</v>
      </c>
      <c r="F40" s="30">
        <v>11</v>
      </c>
      <c r="G40" s="30">
        <v>9</v>
      </c>
      <c r="H40" s="14"/>
      <c r="I40" s="30"/>
      <c r="J40" s="14">
        <v>8</v>
      </c>
      <c r="K40" s="14">
        <v>1</v>
      </c>
      <c r="L40" s="30">
        <v>3</v>
      </c>
      <c r="M40" s="30">
        <v>7</v>
      </c>
      <c r="N40" s="30">
        <v>4</v>
      </c>
      <c r="O40" s="30">
        <v>6</v>
      </c>
      <c r="P40" s="30"/>
      <c r="Q40" s="14"/>
      <c r="R40" s="14"/>
      <c r="S40" s="14"/>
      <c r="T40" s="30"/>
    </row>
    <row r="41" ht="15.95" customHeight="1" spans="1:20">
      <c r="A41" s="34"/>
      <c r="B41" s="34" t="s">
        <v>2056</v>
      </c>
      <c r="C41" s="30">
        <f>C40-C39</f>
        <v>4</v>
      </c>
      <c r="D41" s="30"/>
      <c r="E41" s="30">
        <f t="shared" ref="E41:O41" si="13">E40-E39</f>
        <v>-4</v>
      </c>
      <c r="F41" s="30">
        <f t="shared" si="13"/>
        <v>3</v>
      </c>
      <c r="G41" s="30">
        <f t="shared" si="13"/>
        <v>6</v>
      </c>
      <c r="H41" s="30"/>
      <c r="I41" s="30"/>
      <c r="J41" s="30">
        <f t="shared" si="13"/>
        <v>1</v>
      </c>
      <c r="K41" s="30">
        <f t="shared" si="13"/>
        <v>0</v>
      </c>
      <c r="L41" s="30">
        <f t="shared" si="13"/>
        <v>1</v>
      </c>
      <c r="M41" s="30">
        <f t="shared" si="13"/>
        <v>3</v>
      </c>
      <c r="N41" s="30">
        <f t="shared" si="13"/>
        <v>-6</v>
      </c>
      <c r="O41" s="30">
        <f t="shared" si="13"/>
        <v>1</v>
      </c>
      <c r="P41" s="30"/>
      <c r="Q41" s="30"/>
      <c r="R41" s="30"/>
      <c r="S41" s="14"/>
      <c r="T41" s="30"/>
    </row>
    <row r="42" ht="15.95" customHeight="1" spans="1:20">
      <c r="A42" s="34"/>
      <c r="B42" s="34" t="s">
        <v>1781</v>
      </c>
      <c r="C42" s="13" t="s">
        <v>1815</v>
      </c>
      <c r="D42" s="40"/>
      <c r="E42" s="40" t="s">
        <v>1816</v>
      </c>
      <c r="F42" s="40" t="s">
        <v>1817</v>
      </c>
      <c r="G42" s="40" t="s">
        <v>1773</v>
      </c>
      <c r="H42" s="40"/>
      <c r="I42" s="40"/>
      <c r="J42" s="40" t="s">
        <v>1818</v>
      </c>
      <c r="K42" s="40" t="s">
        <v>1819</v>
      </c>
      <c r="L42" s="40" t="s">
        <v>1817</v>
      </c>
      <c r="M42" s="13" t="s">
        <v>1815</v>
      </c>
      <c r="N42" s="40" t="s">
        <v>1818</v>
      </c>
      <c r="O42" s="40" t="s">
        <v>1773</v>
      </c>
      <c r="P42" s="30"/>
      <c r="Q42" s="14"/>
      <c r="R42" s="14"/>
      <c r="S42" s="14"/>
      <c r="T42" s="30"/>
    </row>
    <row r="43" ht="15.95" customHeight="1" spans="1:20">
      <c r="A43" s="9" t="s">
        <v>11</v>
      </c>
      <c r="B43" s="9" t="s">
        <v>1756</v>
      </c>
      <c r="C43" s="39"/>
      <c r="D43" s="39"/>
      <c r="E43" s="39">
        <f>AVERAGEIFS(赋分!$L$2:$L$1666,赋分!$B$2:$B$1666,E2)</f>
        <v>76.8163265306122</v>
      </c>
      <c r="F43" s="39">
        <f>AVERAGEIFS(赋分!$L$2:$L$1666,赋分!$B$2:$B$1666,F2)</f>
        <v>80.4318181818182</v>
      </c>
      <c r="G43" s="39">
        <f>AVERAGEIFS(赋分!$L$2:$L$1666,赋分!$B$2:$B$1666,G2)</f>
        <v>78.5531914893617</v>
      </c>
      <c r="H43" s="39">
        <f>AVERAGEIFS(赋分!$L$2:$L$1666,赋分!$B$2:$B$1666,H2)</f>
        <v>74.2820512820513</v>
      </c>
      <c r="I43" s="39">
        <f>AVERAGEIFS(赋分!$L$2:$L$1666,赋分!$B$2:$B$1666,I2)</f>
        <v>75</v>
      </c>
      <c r="J43" s="39"/>
      <c r="K43" s="39"/>
      <c r="L43" s="39"/>
      <c r="M43" s="39"/>
      <c r="N43" s="39"/>
      <c r="O43" s="39"/>
      <c r="P43" s="39"/>
      <c r="Q43" s="39"/>
      <c r="R43" s="39">
        <f>AVERAGEIFS(赋分!$L$2:$L$1666,赋分!$B$2:$B$1666,R2)</f>
        <v>85.375</v>
      </c>
      <c r="S43" s="39">
        <f>AVERAGEIFS(赋分!$L$2:$L$1666,赋分!$B$2:$B$1666,S2)</f>
        <v>78.9302325581395</v>
      </c>
      <c r="T43" s="39">
        <f>AVERAGEIFS(赋分!$L$2:$L$1666,赋分!$B$2:$B$1666,T2)</f>
        <v>80.6976744186046</v>
      </c>
    </row>
    <row r="44" ht="15.95" customHeight="1" spans="1:20">
      <c r="A44" s="9"/>
      <c r="B44" s="9" t="s">
        <v>1834</v>
      </c>
      <c r="C44" s="9"/>
      <c r="D44" s="9"/>
      <c r="E44" s="9">
        <f>RANK(E43,$C$43:$T$43)</f>
        <v>6</v>
      </c>
      <c r="F44" s="9">
        <f>RANK(F43,$C$43:$T$43)</f>
        <v>3</v>
      </c>
      <c r="G44" s="9">
        <f>RANK(G43,$C$43:$T$43)</f>
        <v>5</v>
      </c>
      <c r="H44" s="9">
        <f>RANK(H43,$C$43:$T$43)</f>
        <v>8</v>
      </c>
      <c r="I44" s="9">
        <f>RANK(I43,$C$43:$T$43)</f>
        <v>7</v>
      </c>
      <c r="J44" s="9"/>
      <c r="K44" s="9"/>
      <c r="L44" s="9"/>
      <c r="M44" s="9"/>
      <c r="N44" s="9"/>
      <c r="O44" s="9"/>
      <c r="P44" s="9"/>
      <c r="Q44" s="9"/>
      <c r="R44" s="9">
        <f>RANK(R43,$C$43:$T$43)</f>
        <v>1</v>
      </c>
      <c r="S44" s="9">
        <f>RANK(S43,$C$43:$T$43)</f>
        <v>4</v>
      </c>
      <c r="T44" s="9">
        <f>RANK(T43,$C$43:$T$43)</f>
        <v>2</v>
      </c>
    </row>
    <row r="45" ht="15.95" customHeight="1" spans="1:20">
      <c r="A45" s="9"/>
      <c r="B45" s="34" t="s">
        <v>2055</v>
      </c>
      <c r="C45" s="30"/>
      <c r="D45" s="30"/>
      <c r="E45" s="14">
        <v>3</v>
      </c>
      <c r="F45" s="30">
        <v>2</v>
      </c>
      <c r="G45" s="14">
        <v>5</v>
      </c>
      <c r="H45" s="30">
        <v>4</v>
      </c>
      <c r="I45" s="30">
        <v>6</v>
      </c>
      <c r="J45" s="14"/>
      <c r="K45" s="14"/>
      <c r="L45" s="14"/>
      <c r="M45" s="30"/>
      <c r="N45" s="30"/>
      <c r="O45" s="30"/>
      <c r="P45" s="14"/>
      <c r="Q45" s="14"/>
      <c r="R45" s="14">
        <v>1</v>
      </c>
      <c r="S45" s="30">
        <v>7</v>
      </c>
      <c r="T45" s="30">
        <v>8</v>
      </c>
    </row>
    <row r="46" ht="15.95" customHeight="1" spans="1:20">
      <c r="A46" s="9"/>
      <c r="B46" s="34" t="s">
        <v>2056</v>
      </c>
      <c r="C46" s="30"/>
      <c r="D46" s="30"/>
      <c r="E46" s="14">
        <f>E45-E44</f>
        <v>-3</v>
      </c>
      <c r="F46" s="14">
        <f t="shared" ref="F46:T46" si="14">F45-F44</f>
        <v>-1</v>
      </c>
      <c r="G46" s="14">
        <f t="shared" si="14"/>
        <v>0</v>
      </c>
      <c r="H46" s="14">
        <f t="shared" si="14"/>
        <v>-4</v>
      </c>
      <c r="I46" s="14">
        <f t="shared" si="14"/>
        <v>-1</v>
      </c>
      <c r="J46" s="14"/>
      <c r="K46" s="14"/>
      <c r="L46" s="14"/>
      <c r="M46" s="14"/>
      <c r="N46" s="14"/>
      <c r="O46" s="14"/>
      <c r="P46" s="14"/>
      <c r="Q46" s="14"/>
      <c r="R46" s="14">
        <f t="shared" si="14"/>
        <v>0</v>
      </c>
      <c r="S46" s="14">
        <f t="shared" si="14"/>
        <v>3</v>
      </c>
      <c r="T46" s="14">
        <f t="shared" si="14"/>
        <v>6</v>
      </c>
    </row>
    <row r="47" ht="15.95" customHeight="1" spans="1:20">
      <c r="A47" s="9"/>
      <c r="B47" s="9" t="s">
        <v>1781</v>
      </c>
      <c r="C47" s="30"/>
      <c r="D47" s="30"/>
      <c r="E47" s="40" t="s">
        <v>1820</v>
      </c>
      <c r="F47" s="40" t="s">
        <v>1820</v>
      </c>
      <c r="G47" s="40" t="s">
        <v>1821</v>
      </c>
      <c r="H47" s="40" t="s">
        <v>1822</v>
      </c>
      <c r="I47" s="40" t="s">
        <v>1823</v>
      </c>
      <c r="J47" s="40"/>
      <c r="K47" s="40"/>
      <c r="L47" s="40"/>
      <c r="M47" s="40"/>
      <c r="N47" s="40"/>
      <c r="O47" s="40"/>
      <c r="P47" s="40"/>
      <c r="Q47" s="40"/>
      <c r="R47" s="40" t="s">
        <v>1778</v>
      </c>
      <c r="S47" s="40" t="s">
        <v>1822</v>
      </c>
      <c r="T47" s="40" t="s">
        <v>1778</v>
      </c>
    </row>
    <row r="48" ht="15.95" customHeight="1" spans="1:20">
      <c r="A48" s="34" t="s">
        <v>12</v>
      </c>
      <c r="B48" s="34" t="s">
        <v>1756</v>
      </c>
      <c r="C48" s="35">
        <f>AVERAGEIFS(赋分!$M$2:$M$1666,赋分!$B$2:$B$1666,C2)</f>
        <v>76.6984126984127</v>
      </c>
      <c r="D48" s="35">
        <f>AVERAGEIFS(赋分!$M$2:$M$1666,赋分!$B$2:$B$1666,D2)</f>
        <v>77.6875</v>
      </c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>
        <f>AVERAGEIFS(赋分!$M$2:$M$1666,赋分!$B$2:$B$1666,P2)</f>
        <v>80.025</v>
      </c>
      <c r="Q48" s="35">
        <f>AVERAGEIFS(赋分!$M$2:$M$1666,赋分!$B$2:$B$1666,Q2)</f>
        <v>80.3333333333333</v>
      </c>
      <c r="R48" s="35">
        <f>AVERAGEIFS(赋分!$M$2:$M$1666,赋分!$B$2:$B$1666,R2)</f>
        <v>86.4166666666667</v>
      </c>
      <c r="S48" s="35">
        <f>AVERAGEIFS(赋分!$M$2:$M$1666,赋分!$B$2:$B$1666,S2)</f>
        <v>81.1162790697674</v>
      </c>
      <c r="T48" s="35">
        <f>AVERAGEIFS(赋分!$M$2:$M$1666,赋分!$B$2:$B$1666,T2)</f>
        <v>76.8139534883721</v>
      </c>
    </row>
    <row r="49" ht="15.95" customHeight="1" spans="1:20">
      <c r="A49" s="34"/>
      <c r="B49" s="34" t="s">
        <v>1834</v>
      </c>
      <c r="C49" s="34">
        <f>RANK(C48,$C$48:$T$48)</f>
        <v>7</v>
      </c>
      <c r="D49" s="34">
        <f>RANK(D48,$C$48:$T$48)</f>
        <v>5</v>
      </c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>
        <f>RANK(P48,$C$48:$T$48)</f>
        <v>4</v>
      </c>
      <c r="Q49" s="34">
        <f>RANK(Q48,$C$48:$T$48)</f>
        <v>3</v>
      </c>
      <c r="R49" s="34">
        <f>RANK(R48,$C$48:$T$48)</f>
        <v>1</v>
      </c>
      <c r="S49" s="34">
        <f>RANK(S48,$C$48:$T$48)</f>
        <v>2</v>
      </c>
      <c r="T49" s="34">
        <f>RANK(T48,$C$48:$T$48)</f>
        <v>6</v>
      </c>
    </row>
    <row r="50" ht="15.95" customHeight="1" spans="1:20">
      <c r="A50" s="34"/>
      <c r="B50" s="34" t="s">
        <v>2055</v>
      </c>
      <c r="C50" s="30">
        <v>5</v>
      </c>
      <c r="D50" s="14">
        <v>3</v>
      </c>
      <c r="E50" s="14"/>
      <c r="F50" s="14"/>
      <c r="G50" s="30"/>
      <c r="H50" s="14"/>
      <c r="I50" s="14"/>
      <c r="J50" s="30"/>
      <c r="K50" s="14"/>
      <c r="L50" s="14"/>
      <c r="M50" s="14"/>
      <c r="N50" s="14"/>
      <c r="O50" s="30"/>
      <c r="P50" s="14">
        <v>2</v>
      </c>
      <c r="Q50" s="14">
        <v>4</v>
      </c>
      <c r="R50" s="14">
        <v>1</v>
      </c>
      <c r="S50" s="30">
        <v>7</v>
      </c>
      <c r="T50" s="30">
        <v>6</v>
      </c>
    </row>
    <row r="51" ht="15.95" customHeight="1" spans="1:20">
      <c r="A51" s="34"/>
      <c r="B51" s="34" t="s">
        <v>2056</v>
      </c>
      <c r="C51" s="30">
        <f>C50-C49</f>
        <v>-2</v>
      </c>
      <c r="D51" s="30">
        <f>D50-D49</f>
        <v>-2</v>
      </c>
      <c r="E51" s="14"/>
      <c r="F51" s="14"/>
      <c r="G51" s="30"/>
      <c r="H51" s="14"/>
      <c r="I51" s="14"/>
      <c r="J51" s="30"/>
      <c r="K51" s="14"/>
      <c r="L51" s="14"/>
      <c r="M51" s="14"/>
      <c r="N51" s="14"/>
      <c r="O51" s="30"/>
      <c r="P51" s="14">
        <f>P50-P49</f>
        <v>-2</v>
      </c>
      <c r="Q51" s="14">
        <f>Q50-Q49</f>
        <v>1</v>
      </c>
      <c r="R51" s="14">
        <f>R50-R49</f>
        <v>0</v>
      </c>
      <c r="S51" s="14">
        <f>S50-S49</f>
        <v>5</v>
      </c>
      <c r="T51" s="14">
        <f>T50-T49</f>
        <v>0</v>
      </c>
    </row>
    <row r="52" ht="15.95" customHeight="1" spans="1:20">
      <c r="A52" s="34"/>
      <c r="B52" s="34" t="s">
        <v>1781</v>
      </c>
      <c r="C52" s="40" t="s">
        <v>1824</v>
      </c>
      <c r="D52" s="40" t="s">
        <v>1825</v>
      </c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 t="s">
        <v>1826</v>
      </c>
      <c r="Q52" s="40" t="s">
        <v>1825</v>
      </c>
      <c r="R52" s="40" t="s">
        <v>1826</v>
      </c>
      <c r="S52" s="40" t="s">
        <v>1824</v>
      </c>
      <c r="T52" s="40" t="s">
        <v>1827</v>
      </c>
    </row>
    <row r="53" ht="15.95" customHeight="1" spans="1:20">
      <c r="A53" s="9" t="s">
        <v>13</v>
      </c>
      <c r="B53" s="9" t="s">
        <v>1756</v>
      </c>
      <c r="C53" s="39"/>
      <c r="D53" s="39">
        <f>AVERAGEIFS(赋分!$N$2:$N$1666,赋分!$B$2:$B$1666,D2)</f>
        <v>78.3333333333333</v>
      </c>
      <c r="E53" s="39"/>
      <c r="F53" s="39"/>
      <c r="G53" s="39"/>
      <c r="H53" s="39">
        <f>AVERAGEIFS(赋分!$N$2:$N$1666,赋分!$B$2:$B$1666,H2)</f>
        <v>76.2051282051282</v>
      </c>
      <c r="I53" s="39">
        <f>AVERAGEIFS(赋分!$N$2:$N$1666,赋分!$B$2:$B$1666,I2)</f>
        <v>72.4210526315789</v>
      </c>
      <c r="J53" s="39">
        <f>AVERAGEIFS(赋分!$N$2:$N$1666,赋分!$B$2:$B$1666,J2)</f>
        <v>75.2280701754386</v>
      </c>
      <c r="K53" s="39">
        <f>AVERAGEIFS(赋分!$N$2:$N$1666,赋分!$B$2:$B$1666,K2)</f>
        <v>86.8888888888889</v>
      </c>
      <c r="L53" s="39">
        <f>AVERAGEIFS(赋分!$N$2:$N$1666,赋分!$B$2:$B$1666,L2)</f>
        <v>84.1578947368421</v>
      </c>
      <c r="M53" s="39">
        <f>AVERAGEIFS(赋分!$N$2:$N$1666,赋分!$B$2:$B$1666,M2)</f>
        <v>76.7894736842105</v>
      </c>
      <c r="N53" s="39">
        <f>AVERAGEIFS(赋分!$N$2:$N$1666,赋分!$B$2:$B$1666,N2)</f>
        <v>72.4821428571429</v>
      </c>
      <c r="O53" s="39">
        <f>AVERAGEIFS(赋分!$N$2:$N$1666,赋分!$B$2:$B$1666,O2)</f>
        <v>78.4259259259259</v>
      </c>
      <c r="P53" s="39">
        <f>AVERAGEIFS(赋分!$N$2:$N$1666,赋分!$B$2:$B$1666,P2)</f>
        <v>74.1</v>
      </c>
      <c r="Q53" s="39">
        <f>AVERAGEIFS(赋分!$N$2:$N$1666,赋分!$B$2:$B$1666,Q2)</f>
        <v>78.2619047619048</v>
      </c>
      <c r="R53" s="39">
        <f>AVERAGEIFS(赋分!$N$2:$N$1666,赋分!$B$2:$B$1666,R2)</f>
        <v>85.0454545454545</v>
      </c>
      <c r="S53" s="39"/>
      <c r="T53" s="39"/>
    </row>
    <row r="54" ht="15.95" customHeight="1" spans="1:20">
      <c r="A54" s="9"/>
      <c r="B54" s="9" t="s">
        <v>1834</v>
      </c>
      <c r="C54" s="9"/>
      <c r="D54" s="9">
        <f>RANK(D53,$C$53:$T$53)</f>
        <v>5</v>
      </c>
      <c r="E54" s="9"/>
      <c r="F54" s="9"/>
      <c r="G54" s="9"/>
      <c r="H54" s="9">
        <f t="shared" ref="H54:R54" si="15">RANK(H53,$C$53:$T$53)</f>
        <v>8</v>
      </c>
      <c r="I54" s="9">
        <f t="shared" si="15"/>
        <v>12</v>
      </c>
      <c r="J54" s="9">
        <f t="shared" si="15"/>
        <v>9</v>
      </c>
      <c r="K54" s="9">
        <f t="shared" si="15"/>
        <v>1</v>
      </c>
      <c r="L54" s="9">
        <f t="shared" si="15"/>
        <v>3</v>
      </c>
      <c r="M54" s="9">
        <f t="shared" si="15"/>
        <v>7</v>
      </c>
      <c r="N54" s="9">
        <f t="shared" si="15"/>
        <v>11</v>
      </c>
      <c r="O54" s="9">
        <f t="shared" si="15"/>
        <v>4</v>
      </c>
      <c r="P54" s="9">
        <f t="shared" si="15"/>
        <v>10</v>
      </c>
      <c r="Q54" s="9">
        <f t="shared" si="15"/>
        <v>6</v>
      </c>
      <c r="R54" s="9">
        <f t="shared" si="15"/>
        <v>2</v>
      </c>
      <c r="S54" s="9"/>
      <c r="T54" s="9"/>
    </row>
    <row r="55" ht="15.95" customHeight="1" spans="1:20">
      <c r="A55" s="9"/>
      <c r="B55" s="34" t="s">
        <v>2055</v>
      </c>
      <c r="C55" s="40"/>
      <c r="D55" s="30">
        <v>11</v>
      </c>
      <c r="E55" s="14"/>
      <c r="F55" s="14"/>
      <c r="G55" s="30"/>
      <c r="H55" s="30">
        <v>12</v>
      </c>
      <c r="I55" s="14">
        <v>8</v>
      </c>
      <c r="J55" s="14">
        <v>5</v>
      </c>
      <c r="K55" s="14">
        <v>1</v>
      </c>
      <c r="L55" s="14">
        <v>3</v>
      </c>
      <c r="M55" s="30">
        <v>6</v>
      </c>
      <c r="N55" s="30">
        <v>7</v>
      </c>
      <c r="O55" s="30">
        <v>4</v>
      </c>
      <c r="P55" s="14">
        <v>9</v>
      </c>
      <c r="Q55" s="14">
        <v>10</v>
      </c>
      <c r="R55" s="14">
        <v>2</v>
      </c>
      <c r="S55" s="30"/>
      <c r="T55" s="14"/>
    </row>
    <row r="56" ht="15.95" customHeight="1" spans="1:20">
      <c r="A56" s="9"/>
      <c r="B56" s="34" t="s">
        <v>2056</v>
      </c>
      <c r="C56" s="40"/>
      <c r="D56" s="30">
        <f>D55-D54</f>
        <v>6</v>
      </c>
      <c r="E56" s="30"/>
      <c r="F56" s="30"/>
      <c r="G56" s="30"/>
      <c r="H56" s="30">
        <f t="shared" ref="H56:R56" si="16">H55-H54</f>
        <v>4</v>
      </c>
      <c r="I56" s="30">
        <f t="shared" si="16"/>
        <v>-4</v>
      </c>
      <c r="J56" s="30">
        <f t="shared" si="16"/>
        <v>-4</v>
      </c>
      <c r="K56" s="30">
        <f t="shared" si="16"/>
        <v>0</v>
      </c>
      <c r="L56" s="30">
        <f t="shared" si="16"/>
        <v>0</v>
      </c>
      <c r="M56" s="30">
        <f t="shared" si="16"/>
        <v>-1</v>
      </c>
      <c r="N56" s="30">
        <f t="shared" si="16"/>
        <v>-4</v>
      </c>
      <c r="O56" s="30">
        <f t="shared" si="16"/>
        <v>0</v>
      </c>
      <c r="P56" s="30">
        <f t="shared" si="16"/>
        <v>-1</v>
      </c>
      <c r="Q56" s="30">
        <f t="shared" si="16"/>
        <v>4</v>
      </c>
      <c r="R56" s="30">
        <f t="shared" si="16"/>
        <v>0</v>
      </c>
      <c r="S56" s="30"/>
      <c r="T56" s="14"/>
    </row>
    <row r="57" ht="15.95" customHeight="1" spans="1:20">
      <c r="A57" s="9"/>
      <c r="B57" s="9" t="s">
        <v>1781</v>
      </c>
      <c r="C57" s="40"/>
      <c r="D57" s="40" t="s">
        <v>1762</v>
      </c>
      <c r="E57" s="40"/>
      <c r="F57" s="40"/>
      <c r="G57" s="40"/>
      <c r="H57" s="13" t="s">
        <v>1828</v>
      </c>
      <c r="I57" s="44" t="s">
        <v>1829</v>
      </c>
      <c r="J57" s="44" t="s">
        <v>1829</v>
      </c>
      <c r="K57" s="40" t="s">
        <v>1830</v>
      </c>
      <c r="L57" s="40" t="s">
        <v>1830</v>
      </c>
      <c r="M57" s="13" t="s">
        <v>1828</v>
      </c>
      <c r="N57" s="40" t="s">
        <v>1831</v>
      </c>
      <c r="O57" s="40" t="s">
        <v>1762</v>
      </c>
      <c r="P57" s="40" t="s">
        <v>1831</v>
      </c>
      <c r="Q57" s="40" t="s">
        <v>1832</v>
      </c>
      <c r="R57" s="40" t="s">
        <v>1832</v>
      </c>
      <c r="S57" s="30"/>
      <c r="T57" s="14"/>
    </row>
  </sheetData>
  <mergeCells count="16">
    <mergeCell ref="A1:T1"/>
    <mergeCell ref="A2:B2"/>
    <mergeCell ref="A3:B3"/>
    <mergeCell ref="A4:B4"/>
    <mergeCell ref="A5:B5"/>
    <mergeCell ref="A6:A8"/>
    <mergeCell ref="A9:A12"/>
    <mergeCell ref="A13:A17"/>
    <mergeCell ref="A18:A22"/>
    <mergeCell ref="A23:A27"/>
    <mergeCell ref="A28:A32"/>
    <mergeCell ref="A33:A37"/>
    <mergeCell ref="A38:A42"/>
    <mergeCell ref="A43:A47"/>
    <mergeCell ref="A48:A52"/>
    <mergeCell ref="A53:A57"/>
  </mergeCells>
  <printOptions gridLines="1"/>
  <pageMargins left="0.432638888888889" right="0.196527777777778" top="1.22013888888889" bottom="1" header="0.5" footer="0.5"/>
  <pageSetup paperSize="286" scale="75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1419"/>
  <sheetViews>
    <sheetView view="pageBreakPreview" zoomScaleNormal="100" topLeftCell="A192" workbookViewId="0">
      <selection activeCell="AB30" sqref="AB30"/>
    </sheetView>
  </sheetViews>
  <sheetFormatPr defaultColWidth="9" defaultRowHeight="13.5"/>
  <cols>
    <col min="1" max="3" width="5.125" style="9" customWidth="1"/>
    <col min="4" max="4" width="5.375" style="10" customWidth="1"/>
    <col min="5" max="5" width="9.375" style="9" customWidth="1"/>
    <col min="6" max="6" width="7.375" style="9" customWidth="1"/>
    <col min="7" max="7" width="6.375" style="9" customWidth="1"/>
    <col min="8" max="8" width="7.375" style="9" customWidth="1"/>
    <col min="9" max="9" width="6.375" style="9" customWidth="1"/>
    <col min="10" max="10" width="7.375" style="9" customWidth="1"/>
    <col min="11" max="11" width="6.375" style="9" customWidth="1"/>
    <col min="12" max="12" width="5.375" style="9" customWidth="1"/>
    <col min="13" max="13" width="6.375" style="9" customWidth="1"/>
    <col min="14" max="14" width="5.75" style="9" customWidth="1"/>
    <col min="15" max="15" width="4.875" style="9" customWidth="1"/>
    <col min="16" max="16" width="5.125" style="9" customWidth="1"/>
    <col min="17" max="17" width="6.375" style="9" customWidth="1"/>
    <col min="18" max="18" width="5.125" style="9" customWidth="1"/>
    <col min="19" max="19" width="6.375" style="9" customWidth="1"/>
    <col min="20" max="20" width="5.125" style="9" customWidth="1"/>
    <col min="21" max="21" width="5.375" style="9" customWidth="1"/>
    <col min="22" max="22" width="5.125" style="9" customWidth="1"/>
    <col min="23" max="23" width="5.375" style="9" customWidth="1"/>
    <col min="24" max="24" width="7.375" style="11" customWidth="1"/>
    <col min="25" max="25" width="5.25" style="9" customWidth="1"/>
    <col min="26" max="26" width="7.375" style="11" customWidth="1"/>
    <col min="27" max="27" width="6.375" style="9" customWidth="1"/>
    <col min="28" max="28" width="4.375" style="12" customWidth="1"/>
    <col min="29" max="16384" width="9" style="12"/>
  </cols>
  <sheetData>
    <row r="1" ht="20.25" spans="1:27">
      <c r="A1" s="7" t="s">
        <v>1887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18"/>
      <c r="Y1" s="7"/>
      <c r="Z1" s="18"/>
      <c r="AA1" s="7"/>
    </row>
    <row r="2" spans="1:27">
      <c r="A2" s="13" t="s">
        <v>0</v>
      </c>
      <c r="B2" s="13" t="s">
        <v>1</v>
      </c>
      <c r="C2" s="13" t="s">
        <v>2</v>
      </c>
      <c r="D2" s="14" t="s">
        <v>3</v>
      </c>
      <c r="E2" s="14" t="s">
        <v>4</v>
      </c>
      <c r="F2" s="9" t="s">
        <v>5</v>
      </c>
      <c r="G2" s="9" t="s">
        <v>1837</v>
      </c>
      <c r="H2" s="9" t="s">
        <v>6</v>
      </c>
      <c r="I2" s="9" t="s">
        <v>1838</v>
      </c>
      <c r="J2" s="9" t="s">
        <v>7</v>
      </c>
      <c r="K2" s="9" t="s">
        <v>1839</v>
      </c>
      <c r="L2" s="9" t="s">
        <v>8</v>
      </c>
      <c r="M2" s="9" t="s">
        <v>1840</v>
      </c>
      <c r="N2" s="11" t="s">
        <v>9</v>
      </c>
      <c r="O2" s="11" t="s">
        <v>1841</v>
      </c>
      <c r="P2" s="9" t="s">
        <v>10</v>
      </c>
      <c r="Q2" s="9" t="s">
        <v>1842</v>
      </c>
      <c r="R2" s="9" t="s">
        <v>11</v>
      </c>
      <c r="S2" s="9" t="s">
        <v>1843</v>
      </c>
      <c r="T2" s="9" t="s">
        <v>12</v>
      </c>
      <c r="U2" s="9" t="s">
        <v>1844</v>
      </c>
      <c r="V2" s="9" t="s">
        <v>13</v>
      </c>
      <c r="W2" s="9" t="s">
        <v>1845</v>
      </c>
      <c r="X2" s="11" t="s">
        <v>14</v>
      </c>
      <c r="Y2" s="9" t="s">
        <v>1846</v>
      </c>
      <c r="Z2" s="11" t="s">
        <v>15</v>
      </c>
      <c r="AA2" s="9" t="s">
        <v>1847</v>
      </c>
    </row>
    <row r="3" ht="14.25" spans="1:28">
      <c r="A3" s="13">
        <v>1</v>
      </c>
      <c r="B3" s="15">
        <v>1</v>
      </c>
      <c r="C3" s="16">
        <v>1</v>
      </c>
      <c r="D3" s="17" t="s">
        <v>16</v>
      </c>
      <c r="E3" s="17" t="s">
        <v>17</v>
      </c>
      <c r="F3" s="17">
        <v>95.5</v>
      </c>
      <c r="G3" s="17">
        <v>5877</v>
      </c>
      <c r="H3" s="17">
        <v>86.5</v>
      </c>
      <c r="I3" s="17">
        <v>6657</v>
      </c>
      <c r="J3" s="17">
        <v>96.5</v>
      </c>
      <c r="K3" s="17">
        <v>3746</v>
      </c>
      <c r="L3" s="17">
        <v>39.5</v>
      </c>
      <c r="M3" s="17">
        <v>6404</v>
      </c>
      <c r="N3" s="17"/>
      <c r="O3" s="17"/>
      <c r="P3" s="17">
        <v>62</v>
      </c>
      <c r="Q3" s="17">
        <v>8021</v>
      </c>
      <c r="R3" s="17"/>
      <c r="S3" s="17"/>
      <c r="T3" s="17">
        <v>73</v>
      </c>
      <c r="U3" s="17">
        <v>1585</v>
      </c>
      <c r="V3" s="17"/>
      <c r="W3" s="17"/>
      <c r="X3" s="15">
        <v>278.5</v>
      </c>
      <c r="Y3" s="17">
        <v>462</v>
      </c>
      <c r="Z3" s="17">
        <v>453</v>
      </c>
      <c r="AA3" s="17">
        <v>5915</v>
      </c>
      <c r="AB3" s="12">
        <v>532</v>
      </c>
    </row>
    <row r="4" ht="14.25" spans="1:28">
      <c r="A4" s="13">
        <v>2</v>
      </c>
      <c r="B4" s="15">
        <v>1</v>
      </c>
      <c r="C4" s="16">
        <v>2</v>
      </c>
      <c r="D4" s="17" t="s">
        <v>18</v>
      </c>
      <c r="E4" s="17" t="s">
        <v>19</v>
      </c>
      <c r="F4" s="17">
        <v>97.5</v>
      </c>
      <c r="G4" s="17">
        <v>4695</v>
      </c>
      <c r="H4" s="17">
        <v>101.5</v>
      </c>
      <c r="I4" s="17">
        <v>3477</v>
      </c>
      <c r="J4" s="17">
        <v>83.5</v>
      </c>
      <c r="K4" s="17">
        <v>6874</v>
      </c>
      <c r="L4" s="17">
        <v>32</v>
      </c>
      <c r="M4" s="17">
        <v>8723</v>
      </c>
      <c r="N4" s="17"/>
      <c r="O4" s="17"/>
      <c r="P4" s="17">
        <v>68</v>
      </c>
      <c r="Q4" s="17">
        <v>6016</v>
      </c>
      <c r="R4" s="17"/>
      <c r="S4" s="17"/>
      <c r="T4" s="17">
        <v>83</v>
      </c>
      <c r="U4" s="17">
        <v>561</v>
      </c>
      <c r="V4" s="17"/>
      <c r="W4" s="17"/>
      <c r="X4" s="15">
        <v>282.5</v>
      </c>
      <c r="Y4" s="17">
        <v>425</v>
      </c>
      <c r="Z4" s="17">
        <v>465.5</v>
      </c>
      <c r="AA4" s="17">
        <v>5127</v>
      </c>
      <c r="AB4" s="12">
        <v>485</v>
      </c>
    </row>
    <row r="5" ht="14.25" spans="1:28">
      <c r="A5" s="13">
        <v>3</v>
      </c>
      <c r="B5" s="15">
        <v>1</v>
      </c>
      <c r="C5" s="16">
        <v>4</v>
      </c>
      <c r="D5" s="17" t="s">
        <v>20</v>
      </c>
      <c r="E5" s="17" t="s">
        <v>21</v>
      </c>
      <c r="F5" s="17">
        <v>83</v>
      </c>
      <c r="G5" s="17">
        <v>13396</v>
      </c>
      <c r="H5" s="17">
        <v>96.5</v>
      </c>
      <c r="I5" s="17">
        <v>4438</v>
      </c>
      <c r="J5" s="17">
        <v>90.5</v>
      </c>
      <c r="K5" s="17">
        <v>5135</v>
      </c>
      <c r="L5" s="17">
        <v>56.5</v>
      </c>
      <c r="M5" s="17">
        <v>2801</v>
      </c>
      <c r="N5" s="17"/>
      <c r="O5" s="17"/>
      <c r="P5" s="17">
        <v>66</v>
      </c>
      <c r="Q5" s="17">
        <v>6766</v>
      </c>
      <c r="R5" s="17"/>
      <c r="S5" s="17"/>
      <c r="T5" s="17">
        <v>73</v>
      </c>
      <c r="U5" s="17">
        <v>1585</v>
      </c>
      <c r="V5" s="17"/>
      <c r="W5" s="17"/>
      <c r="X5" s="15">
        <v>270</v>
      </c>
      <c r="Y5" s="17">
        <v>531</v>
      </c>
      <c r="Z5" s="17">
        <v>465.5</v>
      </c>
      <c r="AA5" s="17">
        <v>5127</v>
      </c>
      <c r="AB5" s="12">
        <v>485</v>
      </c>
    </row>
    <row r="6" ht="14.25" spans="1:28">
      <c r="A6" s="13">
        <v>4</v>
      </c>
      <c r="B6" s="15">
        <v>1</v>
      </c>
      <c r="C6" s="16">
        <v>5</v>
      </c>
      <c r="D6" s="17" t="s">
        <v>22</v>
      </c>
      <c r="E6" s="17" t="s">
        <v>23</v>
      </c>
      <c r="F6" s="17">
        <v>92.5</v>
      </c>
      <c r="G6" s="17">
        <v>7705</v>
      </c>
      <c r="H6" s="17">
        <v>114.5</v>
      </c>
      <c r="I6" s="17">
        <v>1277</v>
      </c>
      <c r="J6" s="17">
        <v>71.75</v>
      </c>
      <c r="K6" s="17">
        <v>9931</v>
      </c>
      <c r="L6" s="17">
        <v>48.5</v>
      </c>
      <c r="M6" s="17">
        <v>4255</v>
      </c>
      <c r="N6" s="17"/>
      <c r="O6" s="17"/>
      <c r="P6" s="17">
        <v>72</v>
      </c>
      <c r="Q6" s="17">
        <v>4881</v>
      </c>
      <c r="R6" s="17"/>
      <c r="S6" s="17"/>
      <c r="T6" s="17">
        <v>67</v>
      </c>
      <c r="U6" s="17">
        <v>2274</v>
      </c>
      <c r="V6" s="17"/>
      <c r="W6" s="17"/>
      <c r="X6" s="15">
        <v>278.75</v>
      </c>
      <c r="Y6" s="17">
        <v>459</v>
      </c>
      <c r="Z6" s="17">
        <v>466.25</v>
      </c>
      <c r="AA6" s="17">
        <v>5079</v>
      </c>
      <c r="AB6" s="12">
        <v>480</v>
      </c>
    </row>
    <row r="7" ht="14.25" spans="1:28">
      <c r="A7" s="13">
        <v>5</v>
      </c>
      <c r="B7" s="15">
        <v>1</v>
      </c>
      <c r="C7" s="16">
        <v>6</v>
      </c>
      <c r="D7" s="17" t="s">
        <v>24</v>
      </c>
      <c r="E7" s="17" t="s">
        <v>25</v>
      </c>
      <c r="F7" s="17">
        <v>111</v>
      </c>
      <c r="G7" s="17">
        <v>303</v>
      </c>
      <c r="H7" s="17">
        <v>107.5</v>
      </c>
      <c r="I7" s="17">
        <v>2373</v>
      </c>
      <c r="J7" s="17">
        <v>83.5</v>
      </c>
      <c r="K7" s="17">
        <v>6874</v>
      </c>
      <c r="L7" s="17">
        <v>48.5</v>
      </c>
      <c r="M7" s="17">
        <v>4255</v>
      </c>
      <c r="N7" s="17"/>
      <c r="O7" s="17"/>
      <c r="P7" s="17">
        <v>76</v>
      </c>
      <c r="Q7" s="17">
        <v>3515</v>
      </c>
      <c r="R7" s="17"/>
      <c r="S7" s="17"/>
      <c r="T7" s="17">
        <v>77</v>
      </c>
      <c r="U7" s="17">
        <v>1152</v>
      </c>
      <c r="V7" s="17"/>
      <c r="W7" s="17"/>
      <c r="X7" s="15">
        <v>302</v>
      </c>
      <c r="Y7" s="17">
        <v>261</v>
      </c>
      <c r="Z7" s="17">
        <v>503.5</v>
      </c>
      <c r="AA7" s="17">
        <v>3078</v>
      </c>
      <c r="AB7" s="12">
        <v>308</v>
      </c>
    </row>
    <row r="8" ht="14.25" spans="1:28">
      <c r="A8" s="13">
        <v>6</v>
      </c>
      <c r="B8" s="15">
        <v>1</v>
      </c>
      <c r="C8" s="16">
        <v>7</v>
      </c>
      <c r="D8" s="17" t="s">
        <v>26</v>
      </c>
      <c r="E8" s="17" t="s">
        <v>27</v>
      </c>
      <c r="F8" s="17">
        <v>99.5</v>
      </c>
      <c r="G8" s="17">
        <v>3607</v>
      </c>
      <c r="H8" s="17">
        <v>96.5</v>
      </c>
      <c r="I8" s="17">
        <v>4438</v>
      </c>
      <c r="J8" s="17">
        <v>109.75</v>
      </c>
      <c r="K8" s="17">
        <v>1503</v>
      </c>
      <c r="L8" s="17">
        <v>57</v>
      </c>
      <c r="M8" s="17">
        <v>2714</v>
      </c>
      <c r="N8" s="17"/>
      <c r="O8" s="17"/>
      <c r="P8" s="17">
        <v>86</v>
      </c>
      <c r="Q8" s="17">
        <v>1052</v>
      </c>
      <c r="R8" s="17"/>
      <c r="S8" s="17"/>
      <c r="T8" s="17">
        <v>87</v>
      </c>
      <c r="U8" s="17">
        <v>259</v>
      </c>
      <c r="V8" s="17"/>
      <c r="W8" s="17"/>
      <c r="X8" s="15">
        <v>305.75</v>
      </c>
      <c r="Y8" s="17">
        <v>229</v>
      </c>
      <c r="Z8" s="17">
        <v>535.75</v>
      </c>
      <c r="AA8" s="17">
        <v>1752</v>
      </c>
      <c r="AB8" s="12">
        <v>148</v>
      </c>
    </row>
    <row r="9" ht="14.25" spans="1:28">
      <c r="A9" s="13">
        <v>7</v>
      </c>
      <c r="B9" s="15">
        <v>1</v>
      </c>
      <c r="C9" s="16">
        <v>8</v>
      </c>
      <c r="D9" s="17" t="s">
        <v>28</v>
      </c>
      <c r="E9" s="17" t="s">
        <v>29</v>
      </c>
      <c r="F9" s="17">
        <v>101.5</v>
      </c>
      <c r="G9" s="17">
        <v>2674</v>
      </c>
      <c r="H9" s="17">
        <v>114</v>
      </c>
      <c r="I9" s="17">
        <v>1340</v>
      </c>
      <c r="J9" s="17">
        <v>114</v>
      </c>
      <c r="K9" s="17">
        <v>991</v>
      </c>
      <c r="L9" s="17">
        <v>69.5</v>
      </c>
      <c r="M9" s="17">
        <v>899</v>
      </c>
      <c r="N9" s="17"/>
      <c r="O9" s="17"/>
      <c r="P9" s="17">
        <v>87</v>
      </c>
      <c r="Q9" s="17">
        <v>681</v>
      </c>
      <c r="R9" s="17"/>
      <c r="S9" s="17"/>
      <c r="T9" s="17">
        <v>88</v>
      </c>
      <c r="U9" s="17">
        <v>161</v>
      </c>
      <c r="V9" s="17"/>
      <c r="W9" s="17"/>
      <c r="X9" s="15">
        <v>329.5</v>
      </c>
      <c r="Y9" s="17">
        <v>69</v>
      </c>
      <c r="Z9" s="17">
        <v>574</v>
      </c>
      <c r="AA9" s="17">
        <v>650</v>
      </c>
      <c r="AB9" s="12">
        <v>37</v>
      </c>
    </row>
    <row r="10" ht="14.25" spans="1:28">
      <c r="A10" s="13">
        <v>8</v>
      </c>
      <c r="B10" s="15">
        <v>1</v>
      </c>
      <c r="C10" s="16">
        <v>9</v>
      </c>
      <c r="D10" s="17" t="s">
        <v>30</v>
      </c>
      <c r="E10" s="17" t="s">
        <v>31</v>
      </c>
      <c r="F10" s="17">
        <v>100.5</v>
      </c>
      <c r="G10" s="17">
        <v>3131</v>
      </c>
      <c r="H10" s="17">
        <v>90.5</v>
      </c>
      <c r="I10" s="17">
        <v>5743</v>
      </c>
      <c r="J10" s="17">
        <v>119</v>
      </c>
      <c r="K10" s="17">
        <v>560</v>
      </c>
      <c r="L10" s="17">
        <v>45.5</v>
      </c>
      <c r="M10" s="17">
        <v>4898</v>
      </c>
      <c r="N10" s="17"/>
      <c r="O10" s="17"/>
      <c r="P10" s="17">
        <v>82</v>
      </c>
      <c r="Q10" s="17">
        <v>1870</v>
      </c>
      <c r="R10" s="17"/>
      <c r="S10" s="17"/>
      <c r="T10" s="17">
        <v>88</v>
      </c>
      <c r="U10" s="17">
        <v>161</v>
      </c>
      <c r="V10" s="17"/>
      <c r="W10" s="17"/>
      <c r="X10" s="15">
        <v>310</v>
      </c>
      <c r="Y10" s="17">
        <v>193</v>
      </c>
      <c r="Z10" s="17">
        <v>525.5</v>
      </c>
      <c r="AA10" s="17">
        <v>2118</v>
      </c>
      <c r="AB10" s="12">
        <v>181</v>
      </c>
    </row>
    <row r="11" ht="14.25" spans="1:28">
      <c r="A11" s="13">
        <v>9</v>
      </c>
      <c r="B11" s="15">
        <v>1</v>
      </c>
      <c r="C11" s="16">
        <v>10</v>
      </c>
      <c r="D11" s="17" t="s">
        <v>32</v>
      </c>
      <c r="E11" s="17" t="s">
        <v>33</v>
      </c>
      <c r="F11" s="17">
        <v>98.5</v>
      </c>
      <c r="G11" s="17">
        <v>4145</v>
      </c>
      <c r="H11" s="17">
        <v>94.5</v>
      </c>
      <c r="I11" s="17">
        <v>4840</v>
      </c>
      <c r="J11" s="17">
        <v>98.5</v>
      </c>
      <c r="K11" s="17">
        <v>3338</v>
      </c>
      <c r="L11" s="17">
        <v>66.5</v>
      </c>
      <c r="M11" s="17">
        <v>1237</v>
      </c>
      <c r="N11" s="17"/>
      <c r="O11" s="17"/>
      <c r="P11" s="17">
        <v>61</v>
      </c>
      <c r="Q11" s="17">
        <v>8358</v>
      </c>
      <c r="R11" s="17"/>
      <c r="S11" s="17"/>
      <c r="T11" s="17">
        <v>80</v>
      </c>
      <c r="U11" s="17">
        <v>813</v>
      </c>
      <c r="V11" s="17"/>
      <c r="W11" s="17"/>
      <c r="X11" s="15">
        <v>291.5</v>
      </c>
      <c r="Y11" s="17">
        <v>357</v>
      </c>
      <c r="Z11" s="17">
        <v>499</v>
      </c>
      <c r="AA11" s="17">
        <v>3285</v>
      </c>
      <c r="AB11" s="12">
        <v>332</v>
      </c>
    </row>
    <row r="12" ht="14.25" spans="1:28">
      <c r="A12" s="13">
        <v>10</v>
      </c>
      <c r="B12" s="15">
        <v>1</v>
      </c>
      <c r="C12" s="16">
        <v>11</v>
      </c>
      <c r="D12" s="17" t="s">
        <v>34</v>
      </c>
      <c r="E12" s="17" t="s">
        <v>35</v>
      </c>
      <c r="F12" s="17">
        <v>104.5</v>
      </c>
      <c r="G12" s="17">
        <v>1551</v>
      </c>
      <c r="H12" s="17">
        <v>75</v>
      </c>
      <c r="I12" s="17">
        <v>9019</v>
      </c>
      <c r="J12" s="17">
        <v>85.75</v>
      </c>
      <c r="K12" s="17">
        <v>6343</v>
      </c>
      <c r="L12" s="17">
        <v>21</v>
      </c>
      <c r="M12" s="17">
        <v>13491</v>
      </c>
      <c r="N12" s="17"/>
      <c r="O12" s="17"/>
      <c r="P12" s="17">
        <v>73</v>
      </c>
      <c r="Q12" s="17">
        <v>4501</v>
      </c>
      <c r="R12" s="17"/>
      <c r="S12" s="17"/>
      <c r="T12" s="17">
        <v>64</v>
      </c>
      <c r="U12" s="17">
        <v>2679</v>
      </c>
      <c r="V12" s="17"/>
      <c r="W12" s="17"/>
      <c r="X12" s="15">
        <v>265.25</v>
      </c>
      <c r="Y12" s="17">
        <v>553</v>
      </c>
      <c r="Z12" s="17">
        <v>423.25</v>
      </c>
      <c r="AA12" s="17">
        <v>7986</v>
      </c>
      <c r="AB12" s="12">
        <v>619</v>
      </c>
    </row>
    <row r="13" ht="14.25" spans="1:28">
      <c r="A13" s="13">
        <v>11</v>
      </c>
      <c r="B13" s="15">
        <v>1</v>
      </c>
      <c r="C13" s="16">
        <v>12</v>
      </c>
      <c r="D13" s="17" t="s">
        <v>36</v>
      </c>
      <c r="E13" s="17" t="s">
        <v>37</v>
      </c>
      <c r="F13" s="17">
        <v>87.5</v>
      </c>
      <c r="G13" s="17">
        <v>10920</v>
      </c>
      <c r="H13" s="17">
        <v>98.5</v>
      </c>
      <c r="I13" s="17">
        <v>4047</v>
      </c>
      <c r="J13" s="17">
        <v>85.5</v>
      </c>
      <c r="K13" s="17">
        <v>6376</v>
      </c>
      <c r="L13" s="17">
        <v>55</v>
      </c>
      <c r="M13" s="17">
        <v>3031</v>
      </c>
      <c r="N13" s="17"/>
      <c r="O13" s="17"/>
      <c r="P13" s="17">
        <v>77</v>
      </c>
      <c r="Q13" s="17">
        <v>3207</v>
      </c>
      <c r="R13" s="17"/>
      <c r="S13" s="17"/>
      <c r="T13" s="17">
        <v>80</v>
      </c>
      <c r="U13" s="17">
        <v>813</v>
      </c>
      <c r="V13" s="17"/>
      <c r="W13" s="17"/>
      <c r="X13" s="15">
        <v>271.5</v>
      </c>
      <c r="Y13" s="17">
        <v>518</v>
      </c>
      <c r="Z13" s="17">
        <v>483.5</v>
      </c>
      <c r="AA13" s="17">
        <v>4074</v>
      </c>
      <c r="AB13" s="12">
        <v>406</v>
      </c>
    </row>
    <row r="14" ht="14.25" spans="1:28">
      <c r="A14" s="13">
        <v>12</v>
      </c>
      <c r="B14" s="15">
        <v>1</v>
      </c>
      <c r="C14" s="16">
        <v>13</v>
      </c>
      <c r="D14" s="17" t="s">
        <v>38</v>
      </c>
      <c r="E14" s="17" t="s">
        <v>39</v>
      </c>
      <c r="F14" s="17">
        <v>98</v>
      </c>
      <c r="G14" s="17">
        <v>4423</v>
      </c>
      <c r="H14" s="17">
        <v>85</v>
      </c>
      <c r="I14" s="17">
        <v>6959</v>
      </c>
      <c r="J14" s="17">
        <v>104</v>
      </c>
      <c r="K14" s="17">
        <v>2352</v>
      </c>
      <c r="L14" s="17">
        <v>39</v>
      </c>
      <c r="M14" s="17">
        <v>6535</v>
      </c>
      <c r="N14" s="17"/>
      <c r="O14" s="17"/>
      <c r="P14" s="17">
        <v>81</v>
      </c>
      <c r="Q14" s="17">
        <v>2079</v>
      </c>
      <c r="R14" s="17"/>
      <c r="S14" s="17"/>
      <c r="T14" s="17">
        <v>67</v>
      </c>
      <c r="U14" s="17">
        <v>2274</v>
      </c>
      <c r="V14" s="17"/>
      <c r="W14" s="17"/>
      <c r="X14" s="15">
        <v>287</v>
      </c>
      <c r="Y14" s="17">
        <v>386</v>
      </c>
      <c r="Z14" s="17">
        <v>474</v>
      </c>
      <c r="AA14" s="17">
        <v>4595</v>
      </c>
      <c r="AB14" s="12">
        <v>443</v>
      </c>
    </row>
    <row r="15" ht="14.25" spans="1:28">
      <c r="A15" s="13">
        <v>13</v>
      </c>
      <c r="B15" s="15">
        <v>1</v>
      </c>
      <c r="C15" s="16">
        <v>14</v>
      </c>
      <c r="D15" s="17" t="s">
        <v>40</v>
      </c>
      <c r="E15" s="17" t="s">
        <v>41</v>
      </c>
      <c r="F15" s="17">
        <v>111</v>
      </c>
      <c r="G15" s="17">
        <v>303</v>
      </c>
      <c r="H15" s="17">
        <v>119.5</v>
      </c>
      <c r="I15" s="17">
        <v>753</v>
      </c>
      <c r="J15" s="17">
        <v>106.5</v>
      </c>
      <c r="K15" s="17">
        <v>1929</v>
      </c>
      <c r="L15" s="17">
        <v>63.5</v>
      </c>
      <c r="M15" s="17">
        <v>1636</v>
      </c>
      <c r="N15" s="17"/>
      <c r="O15" s="17"/>
      <c r="P15" s="17">
        <v>88</v>
      </c>
      <c r="Q15" s="17">
        <v>397</v>
      </c>
      <c r="R15" s="17"/>
      <c r="S15" s="17"/>
      <c r="T15" s="17">
        <v>82</v>
      </c>
      <c r="U15" s="17">
        <v>654</v>
      </c>
      <c r="V15" s="17"/>
      <c r="W15" s="17"/>
      <c r="X15" s="15">
        <v>337</v>
      </c>
      <c r="Y15" s="17">
        <v>37</v>
      </c>
      <c r="Z15" s="17">
        <v>570.5</v>
      </c>
      <c r="AA15" s="17">
        <v>736</v>
      </c>
      <c r="AB15" s="12">
        <v>44</v>
      </c>
    </row>
    <row r="16" ht="14.25" spans="1:28">
      <c r="A16" s="13">
        <v>14</v>
      </c>
      <c r="B16" s="15">
        <v>1</v>
      </c>
      <c r="C16" s="16">
        <v>15</v>
      </c>
      <c r="D16" s="17" t="s">
        <v>42</v>
      </c>
      <c r="E16" s="17" t="s">
        <v>43</v>
      </c>
      <c r="F16" s="17">
        <v>104</v>
      </c>
      <c r="G16" s="17">
        <v>1709</v>
      </c>
      <c r="H16" s="17">
        <v>112</v>
      </c>
      <c r="I16" s="17">
        <v>1617</v>
      </c>
      <c r="J16" s="17">
        <v>107.5</v>
      </c>
      <c r="K16" s="17">
        <v>1810</v>
      </c>
      <c r="L16" s="17">
        <v>56.5</v>
      </c>
      <c r="M16" s="17">
        <v>2801</v>
      </c>
      <c r="N16" s="17"/>
      <c r="O16" s="17"/>
      <c r="P16" s="17">
        <v>87</v>
      </c>
      <c r="Q16" s="17">
        <v>681</v>
      </c>
      <c r="R16" s="17"/>
      <c r="S16" s="17"/>
      <c r="T16" s="17">
        <v>89</v>
      </c>
      <c r="U16" s="17">
        <v>84</v>
      </c>
      <c r="V16" s="17"/>
      <c r="W16" s="17"/>
      <c r="X16" s="15">
        <v>323.5</v>
      </c>
      <c r="Y16" s="17">
        <v>95</v>
      </c>
      <c r="Z16" s="17">
        <v>556</v>
      </c>
      <c r="AA16" s="17">
        <v>1115</v>
      </c>
      <c r="AB16" s="12">
        <v>81</v>
      </c>
    </row>
    <row r="17" ht="14.25" spans="1:28">
      <c r="A17" s="13">
        <v>15</v>
      </c>
      <c r="B17" s="15">
        <v>1</v>
      </c>
      <c r="C17" s="16">
        <v>17</v>
      </c>
      <c r="D17" s="17" t="s">
        <v>44</v>
      </c>
      <c r="E17" s="17" t="s">
        <v>45</v>
      </c>
      <c r="F17" s="17">
        <v>95.5</v>
      </c>
      <c r="G17" s="17">
        <v>5877</v>
      </c>
      <c r="H17" s="17">
        <v>124.5</v>
      </c>
      <c r="I17" s="17">
        <v>386</v>
      </c>
      <c r="J17" s="17">
        <v>91.25</v>
      </c>
      <c r="K17" s="17">
        <v>4978</v>
      </c>
      <c r="L17" s="17">
        <v>71</v>
      </c>
      <c r="M17" s="17">
        <v>762</v>
      </c>
      <c r="N17" s="17"/>
      <c r="O17" s="17"/>
      <c r="P17" s="17">
        <v>73</v>
      </c>
      <c r="Q17" s="17">
        <v>4501</v>
      </c>
      <c r="R17" s="17"/>
      <c r="S17" s="17"/>
      <c r="T17" s="17">
        <v>80</v>
      </c>
      <c r="U17" s="17">
        <v>813</v>
      </c>
      <c r="V17" s="17"/>
      <c r="W17" s="17"/>
      <c r="X17" s="15">
        <v>311.25</v>
      </c>
      <c r="Y17" s="17">
        <v>176</v>
      </c>
      <c r="Z17" s="17">
        <v>535.25</v>
      </c>
      <c r="AA17" s="17">
        <v>1775</v>
      </c>
      <c r="AB17" s="12">
        <v>151</v>
      </c>
    </row>
    <row r="18" ht="14.25" spans="1:28">
      <c r="A18" s="13">
        <v>16</v>
      </c>
      <c r="B18" s="15">
        <v>1</v>
      </c>
      <c r="C18" s="16">
        <v>18</v>
      </c>
      <c r="D18" s="17" t="s">
        <v>46</v>
      </c>
      <c r="E18" s="17" t="s">
        <v>47</v>
      </c>
      <c r="F18" s="17">
        <v>97.5</v>
      </c>
      <c r="G18" s="17">
        <v>4695</v>
      </c>
      <c r="H18" s="17">
        <v>87</v>
      </c>
      <c r="I18" s="17">
        <v>6532</v>
      </c>
      <c r="J18" s="17">
        <v>86</v>
      </c>
      <c r="K18" s="17">
        <v>6253</v>
      </c>
      <c r="L18" s="17">
        <v>52</v>
      </c>
      <c r="M18" s="17">
        <v>3556</v>
      </c>
      <c r="N18" s="17"/>
      <c r="O18" s="17"/>
      <c r="P18" s="17">
        <v>73</v>
      </c>
      <c r="Q18" s="17">
        <v>4501</v>
      </c>
      <c r="R18" s="17"/>
      <c r="S18" s="17"/>
      <c r="T18" s="17">
        <v>77</v>
      </c>
      <c r="U18" s="17">
        <v>1152</v>
      </c>
      <c r="V18" s="17"/>
      <c r="W18" s="17"/>
      <c r="X18" s="15">
        <v>270.5</v>
      </c>
      <c r="Y18" s="17">
        <v>526</v>
      </c>
      <c r="Z18" s="17">
        <v>472.5</v>
      </c>
      <c r="AA18" s="17">
        <v>4687</v>
      </c>
      <c r="AB18" s="12">
        <v>448</v>
      </c>
    </row>
    <row r="19" ht="14.25" spans="1:28">
      <c r="A19" s="13">
        <v>17</v>
      </c>
      <c r="B19" s="15">
        <v>1</v>
      </c>
      <c r="C19" s="16">
        <v>19</v>
      </c>
      <c r="D19" s="17" t="s">
        <v>48</v>
      </c>
      <c r="E19" s="17" t="s">
        <v>49</v>
      </c>
      <c r="F19" s="17">
        <v>106</v>
      </c>
      <c r="G19" s="17">
        <v>1174</v>
      </c>
      <c r="H19" s="17">
        <v>89</v>
      </c>
      <c r="I19" s="17">
        <v>6077</v>
      </c>
      <c r="J19" s="17">
        <v>98.75</v>
      </c>
      <c r="K19" s="17">
        <v>3309</v>
      </c>
      <c r="L19" s="17">
        <v>57</v>
      </c>
      <c r="M19" s="17">
        <v>2714</v>
      </c>
      <c r="N19" s="17"/>
      <c r="O19" s="17"/>
      <c r="P19" s="17">
        <v>74</v>
      </c>
      <c r="Q19" s="17">
        <v>4168</v>
      </c>
      <c r="R19" s="17"/>
      <c r="S19" s="17"/>
      <c r="T19" s="17">
        <v>74</v>
      </c>
      <c r="U19" s="17">
        <v>1516</v>
      </c>
      <c r="V19" s="17"/>
      <c r="W19" s="17"/>
      <c r="X19" s="15">
        <v>293.75</v>
      </c>
      <c r="Y19" s="17">
        <v>328</v>
      </c>
      <c r="Z19" s="17">
        <v>498.75</v>
      </c>
      <c r="AA19" s="17">
        <v>3301</v>
      </c>
      <c r="AB19" s="12">
        <v>335</v>
      </c>
    </row>
    <row r="20" ht="14.25" spans="1:28">
      <c r="A20" s="13">
        <v>18</v>
      </c>
      <c r="B20" s="15">
        <v>1</v>
      </c>
      <c r="C20" s="16">
        <v>20</v>
      </c>
      <c r="D20" s="17" t="s">
        <v>50</v>
      </c>
      <c r="E20" s="17" t="s">
        <v>51</v>
      </c>
      <c r="F20" s="17">
        <v>104.5</v>
      </c>
      <c r="G20" s="17">
        <v>1551</v>
      </c>
      <c r="H20" s="17">
        <v>94.5</v>
      </c>
      <c r="I20" s="17">
        <v>4840</v>
      </c>
      <c r="J20" s="17">
        <v>88.25</v>
      </c>
      <c r="K20" s="17">
        <v>5710</v>
      </c>
      <c r="L20" s="17">
        <v>62</v>
      </c>
      <c r="M20" s="17">
        <v>1839</v>
      </c>
      <c r="N20" s="17"/>
      <c r="O20" s="17"/>
      <c r="P20" s="17">
        <v>72</v>
      </c>
      <c r="Q20" s="17">
        <v>4881</v>
      </c>
      <c r="R20" s="17"/>
      <c r="S20" s="17"/>
      <c r="T20" s="17">
        <v>79</v>
      </c>
      <c r="U20" s="17">
        <v>951</v>
      </c>
      <c r="V20" s="17"/>
      <c r="W20" s="17"/>
      <c r="X20" s="15">
        <v>287.25</v>
      </c>
      <c r="Y20" s="17">
        <v>384</v>
      </c>
      <c r="Z20" s="17">
        <v>500.25</v>
      </c>
      <c r="AA20" s="17">
        <v>3240</v>
      </c>
      <c r="AB20" s="12">
        <v>324</v>
      </c>
    </row>
    <row r="21" ht="14.25" spans="1:28">
      <c r="A21" s="13">
        <v>19</v>
      </c>
      <c r="B21" s="15">
        <v>1</v>
      </c>
      <c r="C21" s="16">
        <v>21</v>
      </c>
      <c r="D21" s="17" t="s">
        <v>52</v>
      </c>
      <c r="E21" s="17" t="s">
        <v>53</v>
      </c>
      <c r="F21" s="17">
        <v>85.5</v>
      </c>
      <c r="G21" s="17">
        <v>12079</v>
      </c>
      <c r="H21" s="17">
        <v>125</v>
      </c>
      <c r="I21" s="17">
        <v>360</v>
      </c>
      <c r="J21" s="17">
        <v>87.5</v>
      </c>
      <c r="K21" s="17">
        <v>5877</v>
      </c>
      <c r="L21" s="17">
        <v>55</v>
      </c>
      <c r="M21" s="17">
        <v>3031</v>
      </c>
      <c r="N21" s="17"/>
      <c r="O21" s="17"/>
      <c r="P21" s="17">
        <v>72</v>
      </c>
      <c r="Q21" s="17">
        <v>4881</v>
      </c>
      <c r="R21" s="17"/>
      <c r="S21" s="17"/>
      <c r="T21" s="17">
        <v>86</v>
      </c>
      <c r="U21" s="17">
        <v>377</v>
      </c>
      <c r="V21" s="17"/>
      <c r="W21" s="17"/>
      <c r="X21" s="15">
        <v>298</v>
      </c>
      <c r="Y21" s="17">
        <v>293</v>
      </c>
      <c r="Z21" s="17">
        <v>511</v>
      </c>
      <c r="AA21" s="17">
        <v>2723</v>
      </c>
      <c r="AB21" s="12">
        <v>268</v>
      </c>
    </row>
    <row r="22" ht="14.25" spans="1:28">
      <c r="A22" s="13">
        <v>20</v>
      </c>
      <c r="B22" s="15">
        <v>1</v>
      </c>
      <c r="C22" s="16">
        <v>22</v>
      </c>
      <c r="D22" s="17" t="s">
        <v>54</v>
      </c>
      <c r="E22" s="17" t="s">
        <v>55</v>
      </c>
      <c r="F22" s="17">
        <v>93.5</v>
      </c>
      <c r="G22" s="17">
        <v>7127</v>
      </c>
      <c r="H22" s="17">
        <v>96.5</v>
      </c>
      <c r="I22" s="17">
        <v>4438</v>
      </c>
      <c r="J22" s="17">
        <v>93.25</v>
      </c>
      <c r="K22" s="17">
        <v>4519</v>
      </c>
      <c r="L22" s="17">
        <v>46.5</v>
      </c>
      <c r="M22" s="17">
        <v>4690</v>
      </c>
      <c r="N22" s="17"/>
      <c r="O22" s="17"/>
      <c r="P22" s="17">
        <v>59</v>
      </c>
      <c r="Q22" s="17">
        <v>8996</v>
      </c>
      <c r="R22" s="17"/>
      <c r="S22" s="17"/>
      <c r="T22" s="17">
        <v>72</v>
      </c>
      <c r="U22" s="17">
        <v>1741</v>
      </c>
      <c r="V22" s="17"/>
      <c r="W22" s="17"/>
      <c r="X22" s="15">
        <v>283.25</v>
      </c>
      <c r="Y22" s="17">
        <v>416</v>
      </c>
      <c r="Z22" s="17">
        <v>460.75</v>
      </c>
      <c r="AA22" s="17">
        <v>5435</v>
      </c>
      <c r="AB22" s="12">
        <v>507</v>
      </c>
    </row>
    <row r="23" ht="14.25" spans="1:28">
      <c r="A23" s="13">
        <v>21</v>
      </c>
      <c r="B23" s="15">
        <v>1</v>
      </c>
      <c r="C23" s="16">
        <v>23</v>
      </c>
      <c r="D23" s="17" t="s">
        <v>56</v>
      </c>
      <c r="E23" s="17" t="s">
        <v>57</v>
      </c>
      <c r="F23" s="17">
        <v>91</v>
      </c>
      <c r="G23" s="17">
        <v>8620</v>
      </c>
      <c r="H23" s="17">
        <v>64</v>
      </c>
      <c r="I23" s="17">
        <v>11086</v>
      </c>
      <c r="J23" s="17">
        <v>113.25</v>
      </c>
      <c r="K23" s="17">
        <v>1094</v>
      </c>
      <c r="L23" s="17">
        <v>43</v>
      </c>
      <c r="M23" s="17">
        <v>5463</v>
      </c>
      <c r="N23" s="17"/>
      <c r="O23" s="17"/>
      <c r="P23" s="17">
        <v>72</v>
      </c>
      <c r="Q23" s="17">
        <v>4881</v>
      </c>
      <c r="R23" s="17"/>
      <c r="S23" s="17"/>
      <c r="T23" s="17">
        <v>78</v>
      </c>
      <c r="U23" s="17">
        <v>1013</v>
      </c>
      <c r="V23" s="17"/>
      <c r="W23" s="17"/>
      <c r="X23" s="15">
        <v>268.25</v>
      </c>
      <c r="Y23" s="17">
        <v>540</v>
      </c>
      <c r="Z23" s="17">
        <v>461.25</v>
      </c>
      <c r="AA23" s="17">
        <v>5398</v>
      </c>
      <c r="AB23" s="12">
        <v>505</v>
      </c>
    </row>
    <row r="24" ht="14.25" spans="1:28">
      <c r="A24" s="13">
        <v>22</v>
      </c>
      <c r="B24" s="15">
        <v>1</v>
      </c>
      <c r="C24" s="16">
        <v>24</v>
      </c>
      <c r="D24" s="17" t="s">
        <v>58</v>
      </c>
      <c r="E24" s="17" t="s">
        <v>59</v>
      </c>
      <c r="F24" s="17">
        <v>91.25</v>
      </c>
      <c r="G24" s="17">
        <v>8581</v>
      </c>
      <c r="H24" s="17">
        <v>102</v>
      </c>
      <c r="I24" s="17">
        <v>3381</v>
      </c>
      <c r="J24" s="17">
        <v>87</v>
      </c>
      <c r="K24" s="17">
        <v>5999</v>
      </c>
      <c r="L24" s="17">
        <v>43</v>
      </c>
      <c r="M24" s="17">
        <v>5463</v>
      </c>
      <c r="N24" s="17"/>
      <c r="O24" s="17"/>
      <c r="P24" s="17">
        <v>71</v>
      </c>
      <c r="Q24" s="17">
        <v>5258</v>
      </c>
      <c r="R24" s="17"/>
      <c r="S24" s="17"/>
      <c r="T24" s="17">
        <v>73</v>
      </c>
      <c r="U24" s="17">
        <v>1585</v>
      </c>
      <c r="V24" s="17"/>
      <c r="W24" s="17"/>
      <c r="X24" s="15">
        <v>280.25</v>
      </c>
      <c r="Y24" s="17">
        <v>447</v>
      </c>
      <c r="Z24" s="17">
        <v>467.25</v>
      </c>
      <c r="AA24" s="17">
        <v>5021</v>
      </c>
      <c r="AB24" s="12">
        <v>474</v>
      </c>
    </row>
    <row r="25" ht="14.25" spans="1:28">
      <c r="A25" s="13">
        <v>23</v>
      </c>
      <c r="B25" s="15">
        <v>1</v>
      </c>
      <c r="C25" s="16">
        <v>25</v>
      </c>
      <c r="D25" s="17" t="s">
        <v>60</v>
      </c>
      <c r="E25" s="17" t="s">
        <v>61</v>
      </c>
      <c r="F25" s="17">
        <v>102</v>
      </c>
      <c r="G25" s="17">
        <v>2480</v>
      </c>
      <c r="H25" s="17">
        <v>103</v>
      </c>
      <c r="I25" s="17">
        <v>3209</v>
      </c>
      <c r="J25" s="17">
        <v>95</v>
      </c>
      <c r="K25" s="17">
        <v>4092</v>
      </c>
      <c r="L25" s="17">
        <v>32.5</v>
      </c>
      <c r="M25" s="17">
        <v>8567</v>
      </c>
      <c r="N25" s="17"/>
      <c r="O25" s="17"/>
      <c r="P25" s="17">
        <v>60</v>
      </c>
      <c r="Q25" s="17">
        <v>8673</v>
      </c>
      <c r="R25" s="17"/>
      <c r="S25" s="17"/>
      <c r="T25" s="17">
        <v>82</v>
      </c>
      <c r="U25" s="17">
        <v>654</v>
      </c>
      <c r="V25" s="17"/>
      <c r="W25" s="17"/>
      <c r="X25" s="15">
        <v>300</v>
      </c>
      <c r="Y25" s="17">
        <v>276</v>
      </c>
      <c r="Z25" s="17">
        <v>474.5</v>
      </c>
      <c r="AA25" s="17">
        <v>4571</v>
      </c>
      <c r="AB25" s="12">
        <v>439</v>
      </c>
    </row>
    <row r="26" ht="14.25" spans="1:28">
      <c r="A26" s="13">
        <v>24</v>
      </c>
      <c r="B26" s="15">
        <v>1</v>
      </c>
      <c r="C26" s="16">
        <v>26</v>
      </c>
      <c r="D26" s="17" t="s">
        <v>62</v>
      </c>
      <c r="E26" s="17" t="s">
        <v>63</v>
      </c>
      <c r="F26" s="17">
        <v>104.25</v>
      </c>
      <c r="G26" s="17">
        <v>1691</v>
      </c>
      <c r="H26" s="17">
        <v>94.5</v>
      </c>
      <c r="I26" s="17">
        <v>4840</v>
      </c>
      <c r="J26" s="17">
        <v>102.5</v>
      </c>
      <c r="K26" s="17">
        <v>2600</v>
      </c>
      <c r="L26" s="17">
        <v>51</v>
      </c>
      <c r="M26" s="17">
        <v>3730</v>
      </c>
      <c r="N26" s="17"/>
      <c r="O26" s="17"/>
      <c r="P26" s="17">
        <v>64</v>
      </c>
      <c r="Q26" s="17">
        <v>7304</v>
      </c>
      <c r="R26" s="17"/>
      <c r="S26" s="17"/>
      <c r="T26" s="17">
        <v>88</v>
      </c>
      <c r="U26" s="17">
        <v>161</v>
      </c>
      <c r="V26" s="17"/>
      <c r="W26" s="17"/>
      <c r="X26" s="15">
        <v>301.25</v>
      </c>
      <c r="Y26" s="17">
        <v>268</v>
      </c>
      <c r="Z26" s="17">
        <v>504.25</v>
      </c>
      <c r="AA26" s="17">
        <v>3051</v>
      </c>
      <c r="AB26" s="12">
        <v>305</v>
      </c>
    </row>
    <row r="27" ht="14.25" spans="1:28">
      <c r="A27" s="13">
        <v>25</v>
      </c>
      <c r="B27" s="15">
        <v>1</v>
      </c>
      <c r="C27" s="16">
        <v>27</v>
      </c>
      <c r="D27" s="17" t="s">
        <v>64</v>
      </c>
      <c r="E27" s="17" t="s">
        <v>65</v>
      </c>
      <c r="F27" s="17">
        <v>111</v>
      </c>
      <c r="G27" s="17">
        <v>303</v>
      </c>
      <c r="H27" s="17">
        <v>107.5</v>
      </c>
      <c r="I27" s="17">
        <v>2373</v>
      </c>
      <c r="J27" s="17">
        <v>91</v>
      </c>
      <c r="K27" s="17">
        <v>5010</v>
      </c>
      <c r="L27" s="17">
        <v>56</v>
      </c>
      <c r="M27" s="17">
        <v>2878</v>
      </c>
      <c r="N27" s="17"/>
      <c r="O27" s="17"/>
      <c r="P27" s="17">
        <v>70</v>
      </c>
      <c r="Q27" s="17">
        <v>5445</v>
      </c>
      <c r="R27" s="17"/>
      <c r="S27" s="17"/>
      <c r="T27" s="17">
        <v>80</v>
      </c>
      <c r="U27" s="17">
        <v>813</v>
      </c>
      <c r="V27" s="17"/>
      <c r="W27" s="17"/>
      <c r="X27" s="15">
        <v>309.5</v>
      </c>
      <c r="Y27" s="17">
        <v>197</v>
      </c>
      <c r="Z27" s="17">
        <v>515.5</v>
      </c>
      <c r="AA27" s="17">
        <v>2526</v>
      </c>
      <c r="AB27" s="12">
        <v>243</v>
      </c>
    </row>
    <row r="28" ht="14.25" spans="1:28">
      <c r="A28" s="13">
        <v>26</v>
      </c>
      <c r="B28" s="15">
        <v>1</v>
      </c>
      <c r="C28" s="16">
        <v>28</v>
      </c>
      <c r="D28" s="17" t="s">
        <v>66</v>
      </c>
      <c r="E28" s="17" t="s">
        <v>67</v>
      </c>
      <c r="F28" s="17">
        <v>95.5</v>
      </c>
      <c r="G28" s="17">
        <v>5877</v>
      </c>
      <c r="H28" s="17">
        <v>115</v>
      </c>
      <c r="I28" s="17">
        <v>1213</v>
      </c>
      <c r="J28" s="17">
        <v>109.5</v>
      </c>
      <c r="K28" s="17">
        <v>1527</v>
      </c>
      <c r="L28" s="17">
        <v>56.5</v>
      </c>
      <c r="M28" s="17">
        <v>2801</v>
      </c>
      <c r="N28" s="17"/>
      <c r="O28" s="17"/>
      <c r="P28" s="17">
        <v>66</v>
      </c>
      <c r="Q28" s="17">
        <v>6766</v>
      </c>
      <c r="R28" s="17"/>
      <c r="S28" s="17"/>
      <c r="T28" s="17">
        <v>75</v>
      </c>
      <c r="U28" s="17">
        <v>1363</v>
      </c>
      <c r="V28" s="17"/>
      <c r="W28" s="17"/>
      <c r="X28" s="15">
        <v>320</v>
      </c>
      <c r="Y28" s="17">
        <v>118</v>
      </c>
      <c r="Z28" s="17">
        <v>517.5</v>
      </c>
      <c r="AA28" s="17">
        <v>2432</v>
      </c>
      <c r="AB28" s="12">
        <v>230</v>
      </c>
    </row>
    <row r="29" ht="14.25" spans="1:28">
      <c r="A29" s="13">
        <v>27</v>
      </c>
      <c r="B29" s="15">
        <v>1</v>
      </c>
      <c r="C29" s="16">
        <v>29</v>
      </c>
      <c r="D29" s="17" t="s">
        <v>68</v>
      </c>
      <c r="E29" s="17" t="s">
        <v>69</v>
      </c>
      <c r="F29" s="17">
        <v>108</v>
      </c>
      <c r="G29" s="17">
        <v>736</v>
      </c>
      <c r="H29" s="17">
        <v>108</v>
      </c>
      <c r="I29" s="17">
        <v>2274</v>
      </c>
      <c r="J29" s="17">
        <v>121.75</v>
      </c>
      <c r="K29" s="17">
        <v>398</v>
      </c>
      <c r="L29" s="17">
        <v>48</v>
      </c>
      <c r="M29" s="17">
        <v>4355</v>
      </c>
      <c r="N29" s="17"/>
      <c r="O29" s="17"/>
      <c r="P29" s="17">
        <v>82</v>
      </c>
      <c r="Q29" s="17">
        <v>1870</v>
      </c>
      <c r="R29" s="17"/>
      <c r="S29" s="17"/>
      <c r="T29" s="17">
        <v>81</v>
      </c>
      <c r="U29" s="17">
        <v>759</v>
      </c>
      <c r="V29" s="17"/>
      <c r="W29" s="17"/>
      <c r="X29" s="15">
        <v>337.75</v>
      </c>
      <c r="Y29" s="17">
        <v>33</v>
      </c>
      <c r="Z29" s="17">
        <v>548.75</v>
      </c>
      <c r="AA29" s="17">
        <v>1342</v>
      </c>
      <c r="AB29" s="12">
        <v>103</v>
      </c>
    </row>
    <row r="30" ht="14.25" spans="1:28">
      <c r="A30" s="13">
        <v>28</v>
      </c>
      <c r="B30" s="15">
        <v>1</v>
      </c>
      <c r="C30" s="16">
        <v>30</v>
      </c>
      <c r="D30" s="17" t="s">
        <v>70</v>
      </c>
      <c r="E30" s="17" t="s">
        <v>71</v>
      </c>
      <c r="F30" s="17">
        <v>109.5</v>
      </c>
      <c r="G30" s="17">
        <v>495</v>
      </c>
      <c r="H30" s="17">
        <v>113</v>
      </c>
      <c r="I30" s="17">
        <v>1467</v>
      </c>
      <c r="J30" s="17">
        <v>117.5</v>
      </c>
      <c r="K30" s="17">
        <v>682</v>
      </c>
      <c r="L30" s="17">
        <v>50.5</v>
      </c>
      <c r="M30" s="17">
        <v>3830</v>
      </c>
      <c r="N30" s="17"/>
      <c r="O30" s="17"/>
      <c r="P30" s="17">
        <v>81</v>
      </c>
      <c r="Q30" s="17">
        <v>2079</v>
      </c>
      <c r="R30" s="17"/>
      <c r="S30" s="17"/>
      <c r="T30" s="17">
        <v>89</v>
      </c>
      <c r="U30" s="17">
        <v>84</v>
      </c>
      <c r="V30" s="17"/>
      <c r="W30" s="17"/>
      <c r="X30" s="15">
        <v>340</v>
      </c>
      <c r="Y30" s="17">
        <v>29</v>
      </c>
      <c r="Z30" s="17">
        <v>560.5</v>
      </c>
      <c r="AA30" s="17">
        <v>988</v>
      </c>
      <c r="AB30" s="12">
        <v>71</v>
      </c>
    </row>
    <row r="31" ht="14.25" spans="1:28">
      <c r="A31" s="13">
        <v>29</v>
      </c>
      <c r="B31" s="15">
        <v>1</v>
      </c>
      <c r="C31" s="16">
        <v>31</v>
      </c>
      <c r="D31" s="17" t="s">
        <v>72</v>
      </c>
      <c r="E31" s="17" t="s">
        <v>73</v>
      </c>
      <c r="F31" s="17">
        <v>105.5</v>
      </c>
      <c r="G31" s="17">
        <v>1281</v>
      </c>
      <c r="H31" s="17">
        <v>120.5</v>
      </c>
      <c r="I31" s="17">
        <v>665</v>
      </c>
      <c r="J31" s="17">
        <v>92</v>
      </c>
      <c r="K31" s="17">
        <v>4787</v>
      </c>
      <c r="L31" s="17">
        <v>50.5</v>
      </c>
      <c r="M31" s="17">
        <v>3830</v>
      </c>
      <c r="N31" s="17"/>
      <c r="O31" s="17"/>
      <c r="P31" s="17">
        <v>68</v>
      </c>
      <c r="Q31" s="17">
        <v>6016</v>
      </c>
      <c r="R31" s="17"/>
      <c r="S31" s="17"/>
      <c r="T31" s="17">
        <v>72</v>
      </c>
      <c r="U31" s="17">
        <v>1741</v>
      </c>
      <c r="V31" s="17"/>
      <c r="W31" s="17"/>
      <c r="X31" s="15">
        <v>318</v>
      </c>
      <c r="Y31" s="17">
        <v>130</v>
      </c>
      <c r="Z31" s="17">
        <v>508.5</v>
      </c>
      <c r="AA31" s="17">
        <v>2836</v>
      </c>
      <c r="AB31" s="12">
        <v>279</v>
      </c>
    </row>
    <row r="32" ht="14.25" spans="1:28">
      <c r="A32" s="13">
        <v>30</v>
      </c>
      <c r="B32" s="15">
        <v>1</v>
      </c>
      <c r="C32" s="16">
        <v>32</v>
      </c>
      <c r="D32" s="17" t="s">
        <v>74</v>
      </c>
      <c r="E32" s="17" t="s">
        <v>75</v>
      </c>
      <c r="F32" s="17">
        <v>94</v>
      </c>
      <c r="G32" s="17">
        <v>6811</v>
      </c>
      <c r="H32" s="17">
        <v>95</v>
      </c>
      <c r="I32" s="17">
        <v>4735</v>
      </c>
      <c r="J32" s="17">
        <v>81</v>
      </c>
      <c r="K32" s="17">
        <v>7529</v>
      </c>
      <c r="L32" s="17">
        <v>64.5</v>
      </c>
      <c r="M32" s="17">
        <v>1506</v>
      </c>
      <c r="N32" s="17"/>
      <c r="O32" s="17"/>
      <c r="P32" s="17">
        <v>63</v>
      </c>
      <c r="Q32" s="17">
        <v>7666</v>
      </c>
      <c r="R32" s="17"/>
      <c r="S32" s="17"/>
      <c r="T32" s="17">
        <v>70</v>
      </c>
      <c r="U32" s="17">
        <v>1974</v>
      </c>
      <c r="V32" s="17"/>
      <c r="W32" s="17"/>
      <c r="X32" s="15">
        <v>270</v>
      </c>
      <c r="Y32" s="17">
        <v>531</v>
      </c>
      <c r="Z32" s="17">
        <v>467.5</v>
      </c>
      <c r="AA32" s="17">
        <v>5000</v>
      </c>
      <c r="AB32" s="12">
        <v>470</v>
      </c>
    </row>
    <row r="33" ht="14.25" spans="1:28">
      <c r="A33" s="13">
        <v>31</v>
      </c>
      <c r="B33" s="15">
        <v>1</v>
      </c>
      <c r="C33" s="16">
        <v>33</v>
      </c>
      <c r="D33" s="17" t="s">
        <v>76</v>
      </c>
      <c r="E33" s="17" t="s">
        <v>77</v>
      </c>
      <c r="F33" s="17">
        <v>101.75</v>
      </c>
      <c r="G33" s="17">
        <v>2660</v>
      </c>
      <c r="H33" s="17">
        <v>114.5</v>
      </c>
      <c r="I33" s="17">
        <v>1277</v>
      </c>
      <c r="J33" s="17">
        <v>94</v>
      </c>
      <c r="K33" s="17">
        <v>4318</v>
      </c>
      <c r="L33" s="17">
        <v>41.5</v>
      </c>
      <c r="M33" s="17">
        <v>5867</v>
      </c>
      <c r="N33" s="17"/>
      <c r="O33" s="17"/>
      <c r="P33" s="17">
        <v>68</v>
      </c>
      <c r="Q33" s="17">
        <v>6016</v>
      </c>
      <c r="R33" s="17"/>
      <c r="S33" s="17"/>
      <c r="T33" s="17">
        <v>79</v>
      </c>
      <c r="U33" s="17">
        <v>951</v>
      </c>
      <c r="V33" s="17"/>
      <c r="W33" s="17"/>
      <c r="X33" s="15">
        <v>310.25</v>
      </c>
      <c r="Y33" s="17">
        <v>189</v>
      </c>
      <c r="Z33" s="17">
        <v>498.75</v>
      </c>
      <c r="AA33" s="17">
        <v>3301</v>
      </c>
      <c r="AB33" s="12">
        <v>335</v>
      </c>
    </row>
    <row r="34" ht="14.25" spans="1:28">
      <c r="A34" s="13">
        <v>32</v>
      </c>
      <c r="B34" s="15">
        <v>1</v>
      </c>
      <c r="C34" s="16">
        <v>34</v>
      </c>
      <c r="D34" s="17" t="s">
        <v>78</v>
      </c>
      <c r="E34" s="17" t="s">
        <v>79</v>
      </c>
      <c r="F34" s="17">
        <v>100.5</v>
      </c>
      <c r="G34" s="17">
        <v>3131</v>
      </c>
      <c r="H34" s="17">
        <v>113</v>
      </c>
      <c r="I34" s="17">
        <v>1467</v>
      </c>
      <c r="J34" s="17">
        <v>95.5</v>
      </c>
      <c r="K34" s="17">
        <v>3977</v>
      </c>
      <c r="L34" s="17">
        <v>47.5</v>
      </c>
      <c r="M34" s="17">
        <v>4470</v>
      </c>
      <c r="N34" s="17"/>
      <c r="O34" s="17"/>
      <c r="P34" s="17">
        <v>66</v>
      </c>
      <c r="Q34" s="17">
        <v>6766</v>
      </c>
      <c r="R34" s="17"/>
      <c r="S34" s="17"/>
      <c r="T34" s="17">
        <v>80</v>
      </c>
      <c r="U34" s="17">
        <v>813</v>
      </c>
      <c r="V34" s="17"/>
      <c r="W34" s="17"/>
      <c r="X34" s="15">
        <v>309</v>
      </c>
      <c r="Y34" s="17">
        <v>203</v>
      </c>
      <c r="Z34" s="17">
        <v>502.5</v>
      </c>
      <c r="AA34" s="17">
        <v>3122</v>
      </c>
      <c r="AB34" s="12">
        <v>312</v>
      </c>
    </row>
    <row r="35" ht="14.25" spans="1:28">
      <c r="A35" s="13">
        <v>33</v>
      </c>
      <c r="B35" s="15">
        <v>1</v>
      </c>
      <c r="C35" s="16">
        <v>35</v>
      </c>
      <c r="D35" s="17" t="s">
        <v>80</v>
      </c>
      <c r="E35" s="17" t="s">
        <v>81</v>
      </c>
      <c r="F35" s="17">
        <v>85</v>
      </c>
      <c r="G35" s="17">
        <v>12359</v>
      </c>
      <c r="H35" s="17">
        <v>77.5</v>
      </c>
      <c r="I35" s="17">
        <v>8540</v>
      </c>
      <c r="J35" s="17">
        <v>83</v>
      </c>
      <c r="K35" s="17">
        <v>6990</v>
      </c>
      <c r="L35" s="17">
        <v>65.5</v>
      </c>
      <c r="M35" s="17">
        <v>1373</v>
      </c>
      <c r="N35" s="17"/>
      <c r="O35" s="17"/>
      <c r="P35" s="17">
        <v>73</v>
      </c>
      <c r="Q35" s="17">
        <v>4501</v>
      </c>
      <c r="R35" s="17"/>
      <c r="S35" s="17"/>
      <c r="T35" s="17">
        <v>59</v>
      </c>
      <c r="U35" s="17">
        <v>3217</v>
      </c>
      <c r="V35" s="17"/>
      <c r="W35" s="17"/>
      <c r="X35" s="15">
        <v>245.5</v>
      </c>
      <c r="Y35" s="17">
        <v>617</v>
      </c>
      <c r="Z35" s="17">
        <v>443</v>
      </c>
      <c r="AA35" s="17">
        <v>6599</v>
      </c>
      <c r="AB35" s="12">
        <v>558</v>
      </c>
    </row>
    <row r="36" ht="14.25" spans="1:28">
      <c r="A36" s="13">
        <v>34</v>
      </c>
      <c r="B36" s="15">
        <v>1</v>
      </c>
      <c r="C36" s="16">
        <v>36</v>
      </c>
      <c r="D36" s="17" t="s">
        <v>82</v>
      </c>
      <c r="E36" s="17" t="s">
        <v>83</v>
      </c>
      <c r="F36" s="17">
        <v>105.5</v>
      </c>
      <c r="G36" s="17">
        <v>1281</v>
      </c>
      <c r="H36" s="17">
        <v>102.5</v>
      </c>
      <c r="I36" s="17">
        <v>3278</v>
      </c>
      <c r="J36" s="17">
        <v>102</v>
      </c>
      <c r="K36" s="17">
        <v>2685</v>
      </c>
      <c r="L36" s="17">
        <v>49</v>
      </c>
      <c r="M36" s="17">
        <v>4146</v>
      </c>
      <c r="N36" s="17"/>
      <c r="O36" s="17"/>
      <c r="P36" s="17">
        <v>80</v>
      </c>
      <c r="Q36" s="17">
        <v>2333</v>
      </c>
      <c r="R36" s="17"/>
      <c r="S36" s="17"/>
      <c r="T36" s="17">
        <v>83</v>
      </c>
      <c r="U36" s="17">
        <v>561</v>
      </c>
      <c r="V36" s="17"/>
      <c r="W36" s="17"/>
      <c r="X36" s="15">
        <v>310</v>
      </c>
      <c r="Y36" s="17">
        <v>193</v>
      </c>
      <c r="Z36" s="17">
        <v>522</v>
      </c>
      <c r="AA36" s="17">
        <v>2281</v>
      </c>
      <c r="AB36" s="12">
        <v>206</v>
      </c>
    </row>
    <row r="37" ht="14.25" spans="1:28">
      <c r="A37" s="13">
        <v>35</v>
      </c>
      <c r="B37" s="15">
        <v>1</v>
      </c>
      <c r="C37" s="16">
        <v>37</v>
      </c>
      <c r="D37" s="17" t="s">
        <v>84</v>
      </c>
      <c r="E37" s="17" t="s">
        <v>85</v>
      </c>
      <c r="F37" s="17">
        <v>105.5</v>
      </c>
      <c r="G37" s="17">
        <v>1281</v>
      </c>
      <c r="H37" s="17">
        <v>97.5</v>
      </c>
      <c r="I37" s="17">
        <v>4244</v>
      </c>
      <c r="J37" s="17">
        <v>108.5</v>
      </c>
      <c r="K37" s="17">
        <v>1655</v>
      </c>
      <c r="L37" s="17">
        <v>57</v>
      </c>
      <c r="M37" s="17">
        <v>2714</v>
      </c>
      <c r="N37" s="17"/>
      <c r="O37" s="17"/>
      <c r="P37" s="17">
        <v>74</v>
      </c>
      <c r="Q37" s="17">
        <v>4168</v>
      </c>
      <c r="R37" s="17"/>
      <c r="S37" s="17"/>
      <c r="T37" s="17">
        <v>77</v>
      </c>
      <c r="U37" s="17">
        <v>1152</v>
      </c>
      <c r="V37" s="17"/>
      <c r="W37" s="17"/>
      <c r="X37" s="15">
        <v>311.5</v>
      </c>
      <c r="Y37" s="17">
        <v>173</v>
      </c>
      <c r="Z37" s="17">
        <v>519.5</v>
      </c>
      <c r="AA37" s="17">
        <v>2367</v>
      </c>
      <c r="AB37" s="12">
        <v>220</v>
      </c>
    </row>
    <row r="38" ht="14.25" spans="1:28">
      <c r="A38" s="13">
        <v>36</v>
      </c>
      <c r="B38" s="15">
        <v>1</v>
      </c>
      <c r="C38" s="16">
        <v>38</v>
      </c>
      <c r="D38" s="17" t="s">
        <v>86</v>
      </c>
      <c r="E38" s="17" t="s">
        <v>87</v>
      </c>
      <c r="F38" s="17">
        <v>94.5</v>
      </c>
      <c r="G38" s="17">
        <v>6496</v>
      </c>
      <c r="H38" s="17">
        <v>121.5</v>
      </c>
      <c r="I38" s="17">
        <v>581</v>
      </c>
      <c r="J38" s="17">
        <v>87</v>
      </c>
      <c r="K38" s="17">
        <v>5999</v>
      </c>
      <c r="L38" s="17">
        <v>37.5</v>
      </c>
      <c r="M38" s="17">
        <v>6979</v>
      </c>
      <c r="N38" s="17"/>
      <c r="O38" s="17"/>
      <c r="P38" s="17">
        <v>86</v>
      </c>
      <c r="Q38" s="17">
        <v>1052</v>
      </c>
      <c r="R38" s="17"/>
      <c r="S38" s="17"/>
      <c r="T38" s="17">
        <v>73</v>
      </c>
      <c r="U38" s="17">
        <v>1585</v>
      </c>
      <c r="V38" s="17"/>
      <c r="W38" s="17"/>
      <c r="X38" s="15">
        <v>303</v>
      </c>
      <c r="Y38" s="17">
        <v>251</v>
      </c>
      <c r="Z38" s="17">
        <v>499.5</v>
      </c>
      <c r="AA38" s="17">
        <v>3259</v>
      </c>
      <c r="AB38" s="12">
        <v>328</v>
      </c>
    </row>
    <row r="39" ht="14.25" spans="1:28">
      <c r="A39" s="13">
        <v>37</v>
      </c>
      <c r="B39" s="15">
        <v>1</v>
      </c>
      <c r="C39" s="16">
        <v>39</v>
      </c>
      <c r="D39" s="17" t="s">
        <v>88</v>
      </c>
      <c r="E39" s="17" t="s">
        <v>89</v>
      </c>
      <c r="F39" s="17">
        <v>103.5</v>
      </c>
      <c r="G39" s="17">
        <v>1897</v>
      </c>
      <c r="H39" s="17">
        <v>99</v>
      </c>
      <c r="I39" s="17">
        <v>3947</v>
      </c>
      <c r="J39" s="17">
        <v>53</v>
      </c>
      <c r="K39" s="17">
        <v>13628</v>
      </c>
      <c r="L39" s="17">
        <v>60.5</v>
      </c>
      <c r="M39" s="17">
        <v>2106</v>
      </c>
      <c r="N39" s="17"/>
      <c r="O39" s="17"/>
      <c r="P39" s="17">
        <v>77</v>
      </c>
      <c r="Q39" s="17">
        <v>3207</v>
      </c>
      <c r="R39" s="17"/>
      <c r="S39" s="17"/>
      <c r="T39" s="17">
        <v>81</v>
      </c>
      <c r="U39" s="17">
        <v>759</v>
      </c>
      <c r="V39" s="17"/>
      <c r="W39" s="17"/>
      <c r="X39" s="15">
        <v>255.5</v>
      </c>
      <c r="Y39" s="17">
        <v>595</v>
      </c>
      <c r="Z39" s="17">
        <v>474</v>
      </c>
      <c r="AA39" s="17">
        <v>4595</v>
      </c>
      <c r="AB39" s="12">
        <v>443</v>
      </c>
    </row>
    <row r="40" ht="14.25" spans="1:28">
      <c r="A40" s="13">
        <v>38</v>
      </c>
      <c r="B40" s="15">
        <v>1</v>
      </c>
      <c r="C40" s="16">
        <v>40</v>
      </c>
      <c r="D40" s="17" t="s">
        <v>90</v>
      </c>
      <c r="E40" s="17" t="s">
        <v>91</v>
      </c>
      <c r="F40" s="17">
        <v>102.5</v>
      </c>
      <c r="G40" s="17">
        <v>2274</v>
      </c>
      <c r="H40" s="17">
        <v>92</v>
      </c>
      <c r="I40" s="17">
        <v>5417</v>
      </c>
      <c r="J40" s="17">
        <v>80</v>
      </c>
      <c r="K40" s="17">
        <v>7802</v>
      </c>
      <c r="L40" s="17">
        <v>46</v>
      </c>
      <c r="M40" s="17">
        <v>4785</v>
      </c>
      <c r="N40" s="17"/>
      <c r="O40" s="17"/>
      <c r="P40" s="17">
        <v>74</v>
      </c>
      <c r="Q40" s="17">
        <v>4168</v>
      </c>
      <c r="R40" s="17"/>
      <c r="S40" s="17"/>
      <c r="T40" s="17">
        <v>69</v>
      </c>
      <c r="U40" s="17">
        <v>2042</v>
      </c>
      <c r="V40" s="17"/>
      <c r="W40" s="17"/>
      <c r="X40" s="15">
        <v>274.5</v>
      </c>
      <c r="Y40" s="17">
        <v>502</v>
      </c>
      <c r="Z40" s="17">
        <v>463.5</v>
      </c>
      <c r="AA40" s="17">
        <v>5265</v>
      </c>
      <c r="AB40" s="12">
        <v>494</v>
      </c>
    </row>
    <row r="41" ht="14.25" spans="1:28">
      <c r="A41" s="13">
        <v>39</v>
      </c>
      <c r="B41" s="15">
        <v>1</v>
      </c>
      <c r="C41" s="16">
        <v>41</v>
      </c>
      <c r="D41" s="17" t="s">
        <v>92</v>
      </c>
      <c r="E41" s="17" t="s">
        <v>93</v>
      </c>
      <c r="F41" s="17">
        <v>112</v>
      </c>
      <c r="G41" s="17">
        <v>223</v>
      </c>
      <c r="H41" s="17">
        <v>110.5</v>
      </c>
      <c r="I41" s="17">
        <v>1866</v>
      </c>
      <c r="J41" s="17">
        <v>106.25</v>
      </c>
      <c r="K41" s="17">
        <v>1993</v>
      </c>
      <c r="L41" s="17">
        <v>65.5</v>
      </c>
      <c r="M41" s="17">
        <v>1373</v>
      </c>
      <c r="N41" s="17"/>
      <c r="O41" s="17"/>
      <c r="P41" s="17">
        <v>80</v>
      </c>
      <c r="Q41" s="17">
        <v>2333</v>
      </c>
      <c r="R41" s="17"/>
      <c r="S41" s="17"/>
      <c r="T41" s="17">
        <v>89</v>
      </c>
      <c r="U41" s="17">
        <v>84</v>
      </c>
      <c r="V41" s="17"/>
      <c r="W41" s="17"/>
      <c r="X41" s="15">
        <v>328.75</v>
      </c>
      <c r="Y41" s="17">
        <v>74</v>
      </c>
      <c r="Z41" s="17">
        <v>563.25</v>
      </c>
      <c r="AA41" s="17">
        <v>921</v>
      </c>
      <c r="AB41" s="12">
        <v>64</v>
      </c>
    </row>
    <row r="42" ht="14.25" spans="1:28">
      <c r="A42" s="13">
        <v>40</v>
      </c>
      <c r="B42" s="15">
        <v>1</v>
      </c>
      <c r="C42" s="16">
        <v>42</v>
      </c>
      <c r="D42" s="17" t="s">
        <v>94</v>
      </c>
      <c r="E42" s="17" t="s">
        <v>95</v>
      </c>
      <c r="F42" s="17">
        <v>93</v>
      </c>
      <c r="G42" s="17">
        <v>7407</v>
      </c>
      <c r="H42" s="17">
        <v>106</v>
      </c>
      <c r="I42" s="17">
        <v>2619</v>
      </c>
      <c r="J42" s="17">
        <v>91.5</v>
      </c>
      <c r="K42" s="17">
        <v>4916</v>
      </c>
      <c r="L42" s="17">
        <v>67.5</v>
      </c>
      <c r="M42" s="17">
        <v>1130</v>
      </c>
      <c r="N42" s="17"/>
      <c r="O42" s="17"/>
      <c r="P42" s="17">
        <v>74</v>
      </c>
      <c r="Q42" s="17">
        <v>4168</v>
      </c>
      <c r="R42" s="17"/>
      <c r="S42" s="17"/>
      <c r="T42" s="17">
        <v>86</v>
      </c>
      <c r="U42" s="17">
        <v>377</v>
      </c>
      <c r="V42" s="17"/>
      <c r="W42" s="17"/>
      <c r="X42" s="15">
        <v>290.5</v>
      </c>
      <c r="Y42" s="17">
        <v>364</v>
      </c>
      <c r="Z42" s="17">
        <v>518</v>
      </c>
      <c r="AA42" s="17">
        <v>2415</v>
      </c>
      <c r="AB42" s="12">
        <v>226</v>
      </c>
    </row>
    <row r="43" ht="14.25" spans="1:28">
      <c r="A43" s="13">
        <v>41</v>
      </c>
      <c r="B43" s="15">
        <v>1</v>
      </c>
      <c r="C43" s="16">
        <v>43</v>
      </c>
      <c r="D43" s="17" t="s">
        <v>96</v>
      </c>
      <c r="E43" s="17" t="s">
        <v>97</v>
      </c>
      <c r="F43" s="17">
        <v>109.5</v>
      </c>
      <c r="G43" s="17">
        <v>495</v>
      </c>
      <c r="H43" s="17">
        <v>111</v>
      </c>
      <c r="I43" s="17">
        <v>1774</v>
      </c>
      <c r="J43" s="17">
        <v>100.25</v>
      </c>
      <c r="K43" s="17">
        <v>3011</v>
      </c>
      <c r="L43" s="17">
        <v>54.5</v>
      </c>
      <c r="M43" s="17">
        <v>3126</v>
      </c>
      <c r="N43" s="17"/>
      <c r="O43" s="17"/>
      <c r="P43" s="17">
        <v>65</v>
      </c>
      <c r="Q43" s="17">
        <v>7113</v>
      </c>
      <c r="R43" s="17"/>
      <c r="S43" s="17"/>
      <c r="T43" s="17">
        <v>86</v>
      </c>
      <c r="U43" s="17">
        <v>377</v>
      </c>
      <c r="V43" s="17"/>
      <c r="W43" s="17"/>
      <c r="X43" s="15">
        <v>320.75</v>
      </c>
      <c r="Y43" s="17">
        <v>110</v>
      </c>
      <c r="Z43" s="17">
        <v>526.25</v>
      </c>
      <c r="AA43" s="17">
        <v>2097</v>
      </c>
      <c r="AB43" s="12">
        <v>180</v>
      </c>
    </row>
    <row r="44" ht="14.25" spans="1:28">
      <c r="A44" s="13">
        <v>42</v>
      </c>
      <c r="B44" s="15">
        <v>1</v>
      </c>
      <c r="C44" s="16">
        <v>44</v>
      </c>
      <c r="D44" s="17" t="s">
        <v>98</v>
      </c>
      <c r="E44" s="17" t="s">
        <v>99</v>
      </c>
      <c r="F44" s="17">
        <v>95.5</v>
      </c>
      <c r="G44" s="17">
        <v>5877</v>
      </c>
      <c r="H44" s="17">
        <v>84.5</v>
      </c>
      <c r="I44" s="17">
        <v>7091</v>
      </c>
      <c r="J44" s="17">
        <v>83.5</v>
      </c>
      <c r="K44" s="17">
        <v>6874</v>
      </c>
      <c r="L44" s="17">
        <v>50.5</v>
      </c>
      <c r="M44" s="17">
        <v>3830</v>
      </c>
      <c r="N44" s="17"/>
      <c r="O44" s="17"/>
      <c r="P44" s="17">
        <v>86</v>
      </c>
      <c r="Q44" s="17">
        <v>1052</v>
      </c>
      <c r="R44" s="17"/>
      <c r="S44" s="17"/>
      <c r="T44" s="17">
        <v>65</v>
      </c>
      <c r="U44" s="17">
        <v>2551</v>
      </c>
      <c r="V44" s="17"/>
      <c r="W44" s="17"/>
      <c r="X44" s="15">
        <v>263.5</v>
      </c>
      <c r="Y44" s="17">
        <v>563</v>
      </c>
      <c r="Z44" s="17">
        <v>465</v>
      </c>
      <c r="AA44" s="17">
        <v>5161</v>
      </c>
      <c r="AB44" s="12">
        <v>489</v>
      </c>
    </row>
    <row r="45" ht="14.25" spans="1:28">
      <c r="A45" s="13">
        <v>43</v>
      </c>
      <c r="B45" s="15">
        <v>1</v>
      </c>
      <c r="C45" s="16">
        <v>45</v>
      </c>
      <c r="D45" s="17" t="s">
        <v>100</v>
      </c>
      <c r="E45" s="17" t="s">
        <v>101</v>
      </c>
      <c r="F45" s="17">
        <v>89.5</v>
      </c>
      <c r="G45" s="17">
        <v>9648</v>
      </c>
      <c r="H45" s="17">
        <v>104</v>
      </c>
      <c r="I45" s="17">
        <v>2999</v>
      </c>
      <c r="J45" s="17">
        <v>85.5</v>
      </c>
      <c r="K45" s="17">
        <v>6376</v>
      </c>
      <c r="L45" s="17">
        <v>65</v>
      </c>
      <c r="M45" s="17">
        <v>1440</v>
      </c>
      <c r="N45" s="17"/>
      <c r="O45" s="17"/>
      <c r="P45" s="17">
        <v>80</v>
      </c>
      <c r="Q45" s="17">
        <v>2333</v>
      </c>
      <c r="R45" s="17"/>
      <c r="S45" s="17"/>
      <c r="T45" s="17">
        <v>66</v>
      </c>
      <c r="U45" s="17">
        <v>2417</v>
      </c>
      <c r="V45" s="17"/>
      <c r="W45" s="17"/>
      <c r="X45" s="15">
        <v>279</v>
      </c>
      <c r="Y45" s="17">
        <v>456</v>
      </c>
      <c r="Z45" s="17">
        <v>490</v>
      </c>
      <c r="AA45" s="17">
        <v>3746</v>
      </c>
      <c r="AB45" s="12">
        <v>373</v>
      </c>
    </row>
    <row r="46" ht="14.25" spans="1:28">
      <c r="A46" s="13">
        <v>44</v>
      </c>
      <c r="B46" s="15">
        <v>1</v>
      </c>
      <c r="C46" s="16">
        <v>46</v>
      </c>
      <c r="D46" s="17" t="s">
        <v>102</v>
      </c>
      <c r="E46" s="17" t="s">
        <v>103</v>
      </c>
      <c r="F46" s="17">
        <v>105.5</v>
      </c>
      <c r="G46" s="17">
        <v>1281</v>
      </c>
      <c r="H46" s="17">
        <v>112</v>
      </c>
      <c r="I46" s="17">
        <v>1617</v>
      </c>
      <c r="J46" s="17">
        <v>85.5</v>
      </c>
      <c r="K46" s="17">
        <v>6376</v>
      </c>
      <c r="L46" s="17">
        <v>46.5</v>
      </c>
      <c r="M46" s="17">
        <v>4690</v>
      </c>
      <c r="N46" s="17"/>
      <c r="O46" s="17"/>
      <c r="P46" s="17">
        <v>65</v>
      </c>
      <c r="Q46" s="17">
        <v>7113</v>
      </c>
      <c r="R46" s="17"/>
      <c r="S46" s="17"/>
      <c r="T46" s="17">
        <v>87</v>
      </c>
      <c r="U46" s="17">
        <v>259</v>
      </c>
      <c r="V46" s="17"/>
      <c r="W46" s="17"/>
      <c r="X46" s="15">
        <v>303</v>
      </c>
      <c r="Y46" s="17">
        <v>251</v>
      </c>
      <c r="Z46" s="17">
        <v>501.5</v>
      </c>
      <c r="AA46" s="17">
        <v>3169</v>
      </c>
      <c r="AB46" s="12">
        <v>319</v>
      </c>
    </row>
    <row r="47" ht="14.25" spans="1:28">
      <c r="A47" s="13">
        <v>45</v>
      </c>
      <c r="B47" s="15">
        <v>1</v>
      </c>
      <c r="C47" s="16">
        <v>47</v>
      </c>
      <c r="D47" s="17" t="s">
        <v>104</v>
      </c>
      <c r="E47" s="17" t="s">
        <v>105</v>
      </c>
      <c r="F47" s="17">
        <v>112.25</v>
      </c>
      <c r="G47" s="17">
        <v>219</v>
      </c>
      <c r="H47" s="17">
        <v>97.5</v>
      </c>
      <c r="I47" s="17">
        <v>4244</v>
      </c>
      <c r="J47" s="17">
        <v>101.5</v>
      </c>
      <c r="K47" s="17">
        <v>2779</v>
      </c>
      <c r="L47" s="17">
        <v>38</v>
      </c>
      <c r="M47" s="17">
        <v>6823</v>
      </c>
      <c r="N47" s="17"/>
      <c r="O47" s="17"/>
      <c r="P47" s="17">
        <v>72</v>
      </c>
      <c r="Q47" s="17">
        <v>4881</v>
      </c>
      <c r="R47" s="17"/>
      <c r="S47" s="17"/>
      <c r="T47" s="17">
        <v>87</v>
      </c>
      <c r="U47" s="17">
        <v>259</v>
      </c>
      <c r="V47" s="17"/>
      <c r="W47" s="17"/>
      <c r="X47" s="15">
        <v>311.25</v>
      </c>
      <c r="Y47" s="17">
        <v>176</v>
      </c>
      <c r="Z47" s="17">
        <v>508.25</v>
      </c>
      <c r="AA47" s="17">
        <v>2856</v>
      </c>
      <c r="AB47" s="12">
        <v>282</v>
      </c>
    </row>
    <row r="48" ht="14.25" spans="1:28">
      <c r="A48" s="13">
        <v>46</v>
      </c>
      <c r="B48" s="15">
        <v>1</v>
      </c>
      <c r="C48" s="16">
        <v>48</v>
      </c>
      <c r="D48" s="17" t="s">
        <v>106</v>
      </c>
      <c r="E48" s="17" t="s">
        <v>107</v>
      </c>
      <c r="F48" s="17">
        <v>103.5</v>
      </c>
      <c r="G48" s="17">
        <v>1897</v>
      </c>
      <c r="H48" s="17">
        <v>99</v>
      </c>
      <c r="I48" s="17">
        <v>3947</v>
      </c>
      <c r="J48" s="17">
        <v>92</v>
      </c>
      <c r="K48" s="17">
        <v>4787</v>
      </c>
      <c r="L48" s="17">
        <v>59</v>
      </c>
      <c r="M48" s="17">
        <v>2358</v>
      </c>
      <c r="N48" s="17"/>
      <c r="O48" s="17"/>
      <c r="P48" s="17">
        <v>82</v>
      </c>
      <c r="Q48" s="17">
        <v>1870</v>
      </c>
      <c r="R48" s="17"/>
      <c r="S48" s="17"/>
      <c r="T48" s="17">
        <v>86</v>
      </c>
      <c r="U48" s="17">
        <v>377</v>
      </c>
      <c r="V48" s="17"/>
      <c r="W48" s="17"/>
      <c r="X48" s="15">
        <v>294.5</v>
      </c>
      <c r="Y48" s="17">
        <v>321</v>
      </c>
      <c r="Z48" s="17">
        <v>521.5</v>
      </c>
      <c r="AA48" s="17">
        <v>2298</v>
      </c>
      <c r="AB48" s="12">
        <v>209</v>
      </c>
    </row>
    <row r="49" ht="14.25" spans="1:28">
      <c r="A49" s="13">
        <v>47</v>
      </c>
      <c r="B49" s="15">
        <v>1</v>
      </c>
      <c r="C49" s="16">
        <v>49</v>
      </c>
      <c r="D49" s="17" t="s">
        <v>108</v>
      </c>
      <c r="E49" s="17" t="s">
        <v>109</v>
      </c>
      <c r="F49" s="17">
        <v>99.5</v>
      </c>
      <c r="G49" s="17">
        <v>3607</v>
      </c>
      <c r="H49" s="17">
        <v>108.5</v>
      </c>
      <c r="I49" s="17">
        <v>2198</v>
      </c>
      <c r="J49" s="17">
        <v>77.5</v>
      </c>
      <c r="K49" s="17">
        <v>8422</v>
      </c>
      <c r="L49" s="17">
        <v>44</v>
      </c>
      <c r="M49" s="17">
        <v>5222</v>
      </c>
      <c r="N49" s="17"/>
      <c r="O49" s="17"/>
      <c r="P49" s="17">
        <v>75</v>
      </c>
      <c r="Q49" s="17">
        <v>3841</v>
      </c>
      <c r="R49" s="17"/>
      <c r="S49" s="17"/>
      <c r="T49" s="17">
        <v>73</v>
      </c>
      <c r="U49" s="17">
        <v>1585</v>
      </c>
      <c r="V49" s="17"/>
      <c r="W49" s="17"/>
      <c r="X49" s="15">
        <v>285.5</v>
      </c>
      <c r="Y49" s="17">
        <v>397</v>
      </c>
      <c r="Z49" s="17">
        <v>477.5</v>
      </c>
      <c r="AA49" s="17">
        <v>4411</v>
      </c>
      <c r="AB49" s="12">
        <v>428</v>
      </c>
    </row>
    <row r="50" ht="14.25" spans="1:28">
      <c r="A50" s="13">
        <v>48</v>
      </c>
      <c r="B50" s="15">
        <v>1</v>
      </c>
      <c r="C50" s="16">
        <v>50</v>
      </c>
      <c r="D50" s="17" t="s">
        <v>110</v>
      </c>
      <c r="E50" s="17" t="s">
        <v>111</v>
      </c>
      <c r="F50" s="17">
        <v>90</v>
      </c>
      <c r="G50" s="17">
        <v>9312</v>
      </c>
      <c r="H50" s="17">
        <v>85</v>
      </c>
      <c r="I50" s="17">
        <v>6959</v>
      </c>
      <c r="J50" s="17">
        <v>97</v>
      </c>
      <c r="K50" s="17">
        <v>3649</v>
      </c>
      <c r="L50" s="17">
        <v>38.5</v>
      </c>
      <c r="M50" s="17">
        <v>6692</v>
      </c>
      <c r="N50" s="17"/>
      <c r="O50" s="17"/>
      <c r="P50" s="17">
        <v>77</v>
      </c>
      <c r="Q50" s="17">
        <v>3207</v>
      </c>
      <c r="R50" s="17"/>
      <c r="S50" s="17"/>
      <c r="T50" s="17">
        <v>83</v>
      </c>
      <c r="U50" s="17">
        <v>561</v>
      </c>
      <c r="V50" s="17"/>
      <c r="W50" s="17"/>
      <c r="X50" s="15">
        <v>272</v>
      </c>
      <c r="Y50" s="17">
        <v>514</v>
      </c>
      <c r="Z50" s="17">
        <v>470.5</v>
      </c>
      <c r="AA50" s="17">
        <v>4810</v>
      </c>
      <c r="AB50" s="12">
        <v>456</v>
      </c>
    </row>
    <row r="51" ht="14.25" spans="1:28">
      <c r="A51" s="13">
        <v>49</v>
      </c>
      <c r="B51" s="15">
        <v>1</v>
      </c>
      <c r="C51" s="16">
        <v>51</v>
      </c>
      <c r="D51" s="17" t="s">
        <v>112</v>
      </c>
      <c r="E51" s="17" t="s">
        <v>113</v>
      </c>
      <c r="F51" s="17">
        <v>101.5</v>
      </c>
      <c r="G51" s="17">
        <v>2674</v>
      </c>
      <c r="H51" s="17">
        <v>85</v>
      </c>
      <c r="I51" s="17">
        <v>6959</v>
      </c>
      <c r="J51" s="17">
        <v>93</v>
      </c>
      <c r="K51" s="17">
        <v>4548</v>
      </c>
      <c r="L51" s="17">
        <v>30</v>
      </c>
      <c r="M51" s="17">
        <v>9441</v>
      </c>
      <c r="N51" s="17"/>
      <c r="O51" s="17"/>
      <c r="P51" s="17">
        <v>71</v>
      </c>
      <c r="Q51" s="17">
        <v>5258</v>
      </c>
      <c r="R51" s="17"/>
      <c r="S51" s="17"/>
      <c r="T51" s="17">
        <v>66</v>
      </c>
      <c r="U51" s="17">
        <v>2417</v>
      </c>
      <c r="V51" s="17"/>
      <c r="W51" s="17"/>
      <c r="X51" s="15">
        <v>279.5</v>
      </c>
      <c r="Y51" s="17">
        <v>451</v>
      </c>
      <c r="Z51" s="17">
        <v>446.5</v>
      </c>
      <c r="AA51" s="17">
        <v>6354</v>
      </c>
      <c r="AB51" s="12">
        <v>551</v>
      </c>
    </row>
    <row r="52" ht="14.25" spans="1:28">
      <c r="A52" s="13">
        <v>50</v>
      </c>
      <c r="B52" s="15">
        <v>1</v>
      </c>
      <c r="C52" s="16">
        <v>52</v>
      </c>
      <c r="D52" s="17" t="s">
        <v>114</v>
      </c>
      <c r="E52" s="17" t="s">
        <v>115</v>
      </c>
      <c r="F52" s="17">
        <v>95</v>
      </c>
      <c r="G52" s="17">
        <v>6168</v>
      </c>
      <c r="H52" s="17">
        <v>77</v>
      </c>
      <c r="I52" s="17">
        <v>8656</v>
      </c>
      <c r="J52" s="17">
        <v>105.5</v>
      </c>
      <c r="K52" s="17">
        <v>2098</v>
      </c>
      <c r="L52" s="17">
        <v>47</v>
      </c>
      <c r="M52" s="17">
        <v>4568</v>
      </c>
      <c r="N52" s="17"/>
      <c r="O52" s="17"/>
      <c r="P52" s="17">
        <v>80</v>
      </c>
      <c r="Q52" s="17">
        <v>2333</v>
      </c>
      <c r="R52" s="17"/>
      <c r="S52" s="17"/>
      <c r="T52" s="17">
        <v>73</v>
      </c>
      <c r="U52" s="17">
        <v>1585</v>
      </c>
      <c r="V52" s="17"/>
      <c r="W52" s="17"/>
      <c r="X52" s="15">
        <v>277.5</v>
      </c>
      <c r="Y52" s="17">
        <v>480</v>
      </c>
      <c r="Z52" s="17">
        <v>477.5</v>
      </c>
      <c r="AA52" s="17">
        <v>4411</v>
      </c>
      <c r="AB52" s="12">
        <v>428</v>
      </c>
    </row>
    <row r="53" ht="14.25" spans="1:28">
      <c r="A53" s="13">
        <v>51</v>
      </c>
      <c r="B53" s="15">
        <v>1</v>
      </c>
      <c r="C53" s="16">
        <v>53</v>
      </c>
      <c r="D53" s="17" t="s">
        <v>116</v>
      </c>
      <c r="E53" s="17" t="s">
        <v>117</v>
      </c>
      <c r="F53" s="17">
        <v>91</v>
      </c>
      <c r="G53" s="17">
        <v>8620</v>
      </c>
      <c r="H53" s="17">
        <v>50</v>
      </c>
      <c r="I53" s="17">
        <v>13465</v>
      </c>
      <c r="J53" s="17">
        <v>74</v>
      </c>
      <c r="K53" s="17">
        <v>9352</v>
      </c>
      <c r="L53" s="17">
        <v>27</v>
      </c>
      <c r="M53" s="17">
        <v>10690</v>
      </c>
      <c r="N53" s="17"/>
      <c r="O53" s="17"/>
      <c r="P53" s="17">
        <v>51</v>
      </c>
      <c r="Q53" s="17">
        <v>10643</v>
      </c>
      <c r="R53" s="17"/>
      <c r="S53" s="17"/>
      <c r="T53" s="17">
        <v>66</v>
      </c>
      <c r="U53" s="17">
        <v>2417</v>
      </c>
      <c r="V53" s="17"/>
      <c r="W53" s="17"/>
      <c r="X53" s="15">
        <v>215</v>
      </c>
      <c r="Y53" s="17">
        <v>657</v>
      </c>
      <c r="Z53" s="17">
        <v>359</v>
      </c>
      <c r="AA53" s="17">
        <v>12337</v>
      </c>
      <c r="AB53" s="12">
        <v>657</v>
      </c>
    </row>
    <row r="54" ht="14.25" spans="1:28">
      <c r="A54" s="13">
        <v>52</v>
      </c>
      <c r="B54" s="15">
        <v>1</v>
      </c>
      <c r="C54" s="16">
        <v>54</v>
      </c>
      <c r="D54" s="17" t="s">
        <v>118</v>
      </c>
      <c r="E54" s="17" t="s">
        <v>119</v>
      </c>
      <c r="F54" s="17">
        <v>99.5</v>
      </c>
      <c r="G54" s="17">
        <v>3607</v>
      </c>
      <c r="H54" s="17">
        <v>100.5</v>
      </c>
      <c r="I54" s="17">
        <v>3650</v>
      </c>
      <c r="J54" s="17">
        <v>109</v>
      </c>
      <c r="K54" s="17">
        <v>1584</v>
      </c>
      <c r="L54" s="17">
        <v>54.5</v>
      </c>
      <c r="M54" s="17">
        <v>3126</v>
      </c>
      <c r="N54" s="17"/>
      <c r="O54" s="17"/>
      <c r="P54" s="17">
        <v>71</v>
      </c>
      <c r="Q54" s="17">
        <v>5258</v>
      </c>
      <c r="R54" s="17"/>
      <c r="S54" s="17"/>
      <c r="T54" s="17">
        <v>80</v>
      </c>
      <c r="U54" s="17">
        <v>813</v>
      </c>
      <c r="V54" s="17"/>
      <c r="W54" s="17"/>
      <c r="X54" s="15">
        <v>309</v>
      </c>
      <c r="Y54" s="17">
        <v>203</v>
      </c>
      <c r="Z54" s="17">
        <v>514.5</v>
      </c>
      <c r="AA54" s="17">
        <v>2568</v>
      </c>
      <c r="AB54" s="12">
        <v>248</v>
      </c>
    </row>
    <row r="55" ht="14.25" spans="1:28">
      <c r="A55" s="13">
        <v>53</v>
      </c>
      <c r="B55" s="15">
        <v>1</v>
      </c>
      <c r="C55" s="16">
        <v>55</v>
      </c>
      <c r="D55" s="17" t="s">
        <v>120</v>
      </c>
      <c r="E55" s="17" t="s">
        <v>121</v>
      </c>
      <c r="F55" s="17">
        <v>98.25</v>
      </c>
      <c r="G55" s="17">
        <v>4392</v>
      </c>
      <c r="H55" s="17">
        <v>50</v>
      </c>
      <c r="I55" s="17">
        <v>13465</v>
      </c>
      <c r="J55" s="17">
        <v>94.5</v>
      </c>
      <c r="K55" s="17">
        <v>4208</v>
      </c>
      <c r="L55" s="17">
        <v>27.5</v>
      </c>
      <c r="M55" s="17">
        <v>10504</v>
      </c>
      <c r="N55" s="17"/>
      <c r="O55" s="17"/>
      <c r="P55" s="17">
        <v>68</v>
      </c>
      <c r="Q55" s="17">
        <v>6016</v>
      </c>
      <c r="R55" s="17"/>
      <c r="S55" s="17"/>
      <c r="T55" s="17">
        <v>83</v>
      </c>
      <c r="U55" s="17">
        <v>561</v>
      </c>
      <c r="V55" s="17"/>
      <c r="W55" s="17"/>
      <c r="X55" s="15">
        <v>242.75</v>
      </c>
      <c r="Y55" s="17">
        <v>623</v>
      </c>
      <c r="Z55" s="17">
        <v>421.25</v>
      </c>
      <c r="AA55" s="17">
        <v>8126</v>
      </c>
      <c r="AB55" s="12">
        <v>624</v>
      </c>
    </row>
    <row r="56" ht="14.25" spans="1:28">
      <c r="A56" s="13">
        <v>54</v>
      </c>
      <c r="B56" s="15">
        <v>1</v>
      </c>
      <c r="C56" s="16">
        <v>56</v>
      </c>
      <c r="D56" s="17" t="s">
        <v>122</v>
      </c>
      <c r="E56" s="17" t="s">
        <v>123</v>
      </c>
      <c r="F56" s="17">
        <v>85</v>
      </c>
      <c r="G56" s="17">
        <v>12359</v>
      </c>
      <c r="H56" s="17">
        <v>98.5</v>
      </c>
      <c r="I56" s="17">
        <v>4047</v>
      </c>
      <c r="J56" s="17">
        <v>88</v>
      </c>
      <c r="K56" s="17">
        <v>5738</v>
      </c>
      <c r="L56" s="17">
        <v>35</v>
      </c>
      <c r="M56" s="17">
        <v>7732</v>
      </c>
      <c r="N56" s="17"/>
      <c r="O56" s="17"/>
      <c r="P56" s="17">
        <v>75</v>
      </c>
      <c r="Q56" s="17">
        <v>3841</v>
      </c>
      <c r="R56" s="17"/>
      <c r="S56" s="17"/>
      <c r="T56" s="17">
        <v>78</v>
      </c>
      <c r="U56" s="17">
        <v>1013</v>
      </c>
      <c r="V56" s="17"/>
      <c r="W56" s="17"/>
      <c r="X56" s="15">
        <v>271.5</v>
      </c>
      <c r="Y56" s="17">
        <v>518</v>
      </c>
      <c r="Z56" s="17">
        <v>459.5</v>
      </c>
      <c r="AA56" s="17">
        <v>5507</v>
      </c>
      <c r="AB56" s="12">
        <v>509</v>
      </c>
    </row>
    <row r="57" ht="14.25" spans="1:28">
      <c r="A57" s="13">
        <v>55</v>
      </c>
      <c r="B57" s="15">
        <v>1</v>
      </c>
      <c r="C57" s="16">
        <v>57</v>
      </c>
      <c r="D57" s="17" t="s">
        <v>124</v>
      </c>
      <c r="E57" s="17" t="s">
        <v>125</v>
      </c>
      <c r="F57" s="17">
        <v>101</v>
      </c>
      <c r="G57" s="17">
        <v>2896</v>
      </c>
      <c r="H57" s="17">
        <v>72.5</v>
      </c>
      <c r="I57" s="17">
        <v>9501</v>
      </c>
      <c r="J57" s="17">
        <v>87.5</v>
      </c>
      <c r="K57" s="17">
        <v>5877</v>
      </c>
      <c r="L57" s="17">
        <v>40</v>
      </c>
      <c r="M57" s="17">
        <v>6265</v>
      </c>
      <c r="N57" s="17"/>
      <c r="O57" s="17"/>
      <c r="P57" s="17">
        <v>68</v>
      </c>
      <c r="Q57" s="17">
        <v>6016</v>
      </c>
      <c r="R57" s="17"/>
      <c r="S57" s="17"/>
      <c r="T57" s="17">
        <v>67</v>
      </c>
      <c r="U57" s="17">
        <v>2274</v>
      </c>
      <c r="V57" s="17"/>
      <c r="W57" s="17"/>
      <c r="X57" s="15">
        <v>261</v>
      </c>
      <c r="Y57" s="17">
        <v>580</v>
      </c>
      <c r="Z57" s="17">
        <v>436</v>
      </c>
      <c r="AA57" s="17">
        <v>7096</v>
      </c>
      <c r="AB57" s="12">
        <v>582</v>
      </c>
    </row>
    <row r="58" ht="14.25" spans="1:28">
      <c r="A58" s="13">
        <v>56</v>
      </c>
      <c r="B58" s="15">
        <v>1</v>
      </c>
      <c r="C58" s="16">
        <v>58</v>
      </c>
      <c r="D58" s="17" t="s">
        <v>126</v>
      </c>
      <c r="E58" s="17" t="s">
        <v>127</v>
      </c>
      <c r="F58" s="17">
        <v>91</v>
      </c>
      <c r="G58" s="17">
        <v>8620</v>
      </c>
      <c r="H58" s="17">
        <v>86</v>
      </c>
      <c r="I58" s="17">
        <v>6759</v>
      </c>
      <c r="J58" s="17">
        <v>84.25</v>
      </c>
      <c r="K58" s="17">
        <v>6713</v>
      </c>
      <c r="L58" s="17">
        <v>36.5</v>
      </c>
      <c r="M58" s="17">
        <v>7270</v>
      </c>
      <c r="N58" s="17"/>
      <c r="O58" s="17"/>
      <c r="P58" s="17">
        <v>64</v>
      </c>
      <c r="Q58" s="17">
        <v>7304</v>
      </c>
      <c r="R58" s="17"/>
      <c r="S58" s="17"/>
      <c r="T58" s="17">
        <v>68</v>
      </c>
      <c r="U58" s="17">
        <v>2192</v>
      </c>
      <c r="V58" s="17"/>
      <c r="W58" s="17"/>
      <c r="X58" s="15">
        <v>261.25</v>
      </c>
      <c r="Y58" s="17">
        <v>576</v>
      </c>
      <c r="Z58" s="17">
        <v>429.75</v>
      </c>
      <c r="AA58" s="17">
        <v>7516</v>
      </c>
      <c r="AB58" s="12">
        <v>602</v>
      </c>
    </row>
    <row r="59" ht="14.25" spans="1:28">
      <c r="A59" s="13">
        <v>57</v>
      </c>
      <c r="B59" s="15">
        <v>1</v>
      </c>
      <c r="C59" s="16">
        <v>59</v>
      </c>
      <c r="D59" s="17" t="s">
        <v>128</v>
      </c>
      <c r="E59" s="17" t="s">
        <v>129</v>
      </c>
      <c r="F59" s="17">
        <v>104</v>
      </c>
      <c r="G59" s="17">
        <v>1709</v>
      </c>
      <c r="H59" s="17">
        <v>103.5</v>
      </c>
      <c r="I59" s="17">
        <v>3096</v>
      </c>
      <c r="J59" s="17">
        <v>115.25</v>
      </c>
      <c r="K59" s="17">
        <v>892</v>
      </c>
      <c r="L59" s="17">
        <v>46.5</v>
      </c>
      <c r="M59" s="17">
        <v>4690</v>
      </c>
      <c r="N59" s="17"/>
      <c r="O59" s="17"/>
      <c r="P59" s="17">
        <v>62</v>
      </c>
      <c r="Q59" s="17">
        <v>8021</v>
      </c>
      <c r="R59" s="17"/>
      <c r="S59" s="17"/>
      <c r="T59" s="17">
        <v>68</v>
      </c>
      <c r="U59" s="17">
        <v>2192</v>
      </c>
      <c r="V59" s="17"/>
      <c r="W59" s="17"/>
      <c r="X59" s="15">
        <v>322.75</v>
      </c>
      <c r="Y59" s="17">
        <v>101</v>
      </c>
      <c r="Z59" s="17">
        <v>499.25</v>
      </c>
      <c r="AA59" s="17">
        <v>3279</v>
      </c>
      <c r="AB59" s="12">
        <v>331</v>
      </c>
    </row>
    <row r="60" ht="14.25" spans="1:28">
      <c r="A60" s="13">
        <v>58</v>
      </c>
      <c r="B60" s="15">
        <v>1</v>
      </c>
      <c r="C60" s="16">
        <v>60</v>
      </c>
      <c r="D60" s="17" t="s">
        <v>130</v>
      </c>
      <c r="E60" s="17" t="s">
        <v>131</v>
      </c>
      <c r="F60" s="17">
        <v>101</v>
      </c>
      <c r="G60" s="17">
        <v>2896</v>
      </c>
      <c r="H60" s="17">
        <v>106</v>
      </c>
      <c r="I60" s="17">
        <v>2619</v>
      </c>
      <c r="J60" s="17">
        <v>77.5</v>
      </c>
      <c r="K60" s="17">
        <v>8422</v>
      </c>
      <c r="L60" s="17">
        <v>35</v>
      </c>
      <c r="M60" s="17">
        <v>7732</v>
      </c>
      <c r="N60" s="17"/>
      <c r="O60" s="17"/>
      <c r="P60" s="17">
        <v>80</v>
      </c>
      <c r="Q60" s="17">
        <v>2333</v>
      </c>
      <c r="R60" s="17"/>
      <c r="S60" s="17"/>
      <c r="T60" s="17">
        <v>69</v>
      </c>
      <c r="U60" s="17">
        <v>2042</v>
      </c>
      <c r="V60" s="17"/>
      <c r="W60" s="17"/>
      <c r="X60" s="15">
        <v>284.5</v>
      </c>
      <c r="Y60" s="17">
        <v>405</v>
      </c>
      <c r="Z60" s="17">
        <v>468.5</v>
      </c>
      <c r="AA60" s="17">
        <v>4933</v>
      </c>
      <c r="AB60" s="12">
        <v>466</v>
      </c>
    </row>
    <row r="61" ht="14.25" spans="1:28">
      <c r="A61" s="13">
        <v>59</v>
      </c>
      <c r="B61" s="15">
        <v>1</v>
      </c>
      <c r="C61" s="16">
        <v>61</v>
      </c>
      <c r="D61" s="17" t="s">
        <v>132</v>
      </c>
      <c r="E61" s="17" t="s">
        <v>133</v>
      </c>
      <c r="F61" s="17">
        <v>98</v>
      </c>
      <c r="G61" s="17">
        <v>4423</v>
      </c>
      <c r="H61" s="17">
        <v>79.5</v>
      </c>
      <c r="I61" s="17">
        <v>8139</v>
      </c>
      <c r="J61" s="17">
        <v>64.25</v>
      </c>
      <c r="K61" s="17">
        <v>11649</v>
      </c>
      <c r="L61" s="17">
        <v>20.5</v>
      </c>
      <c r="M61" s="17">
        <v>13774</v>
      </c>
      <c r="N61" s="17"/>
      <c r="O61" s="17"/>
      <c r="P61" s="17">
        <v>64</v>
      </c>
      <c r="Q61" s="17">
        <v>7304</v>
      </c>
      <c r="R61" s="17"/>
      <c r="S61" s="17"/>
      <c r="T61" s="17">
        <v>61</v>
      </c>
      <c r="U61" s="17">
        <v>3026</v>
      </c>
      <c r="V61" s="17"/>
      <c r="W61" s="17"/>
      <c r="X61" s="15">
        <v>241.75</v>
      </c>
      <c r="Y61" s="17">
        <v>627</v>
      </c>
      <c r="Z61" s="17">
        <v>387.25</v>
      </c>
      <c r="AA61" s="17">
        <v>10564</v>
      </c>
      <c r="AB61" s="12">
        <v>649</v>
      </c>
    </row>
    <row r="62" ht="14.25" spans="1:28">
      <c r="A62" s="13">
        <v>60</v>
      </c>
      <c r="B62" s="15">
        <v>1</v>
      </c>
      <c r="C62" s="16">
        <v>62</v>
      </c>
      <c r="D62" s="17" t="s">
        <v>134</v>
      </c>
      <c r="E62" s="17" t="s">
        <v>135</v>
      </c>
      <c r="F62" s="17">
        <v>99</v>
      </c>
      <c r="G62" s="17">
        <v>3868</v>
      </c>
      <c r="H62" s="17">
        <v>86</v>
      </c>
      <c r="I62" s="17">
        <v>6759</v>
      </c>
      <c r="J62" s="17">
        <v>90</v>
      </c>
      <c r="K62" s="17">
        <v>5256</v>
      </c>
      <c r="L62" s="17">
        <v>34.5</v>
      </c>
      <c r="M62" s="17">
        <v>7899</v>
      </c>
      <c r="N62" s="17"/>
      <c r="O62" s="17"/>
      <c r="P62" s="17">
        <v>74</v>
      </c>
      <c r="Q62" s="17">
        <v>4168</v>
      </c>
      <c r="R62" s="17"/>
      <c r="S62" s="17"/>
      <c r="T62" s="17">
        <v>80</v>
      </c>
      <c r="U62" s="17">
        <v>813</v>
      </c>
      <c r="V62" s="17"/>
      <c r="W62" s="17"/>
      <c r="X62" s="15">
        <v>275</v>
      </c>
      <c r="Y62" s="17">
        <v>497</v>
      </c>
      <c r="Z62" s="17">
        <v>463.5</v>
      </c>
      <c r="AA62" s="17">
        <v>5265</v>
      </c>
      <c r="AB62" s="12">
        <v>494</v>
      </c>
    </row>
    <row r="63" ht="14.25" spans="1:28">
      <c r="A63" s="13">
        <v>61</v>
      </c>
      <c r="B63" s="15">
        <v>1</v>
      </c>
      <c r="C63" s="16">
        <v>63</v>
      </c>
      <c r="D63" s="17" t="s">
        <v>136</v>
      </c>
      <c r="E63" s="17" t="s">
        <v>137</v>
      </c>
      <c r="F63" s="17">
        <v>95</v>
      </c>
      <c r="G63" s="17">
        <v>6168</v>
      </c>
      <c r="H63" s="17">
        <v>97.5</v>
      </c>
      <c r="I63" s="17">
        <v>4244</v>
      </c>
      <c r="J63" s="17">
        <v>93.5</v>
      </c>
      <c r="K63" s="17">
        <v>4431</v>
      </c>
      <c r="L63" s="17">
        <v>62</v>
      </c>
      <c r="M63" s="17">
        <v>1839</v>
      </c>
      <c r="N63" s="17"/>
      <c r="O63" s="17"/>
      <c r="P63" s="17">
        <v>75</v>
      </c>
      <c r="Q63" s="17">
        <v>3841</v>
      </c>
      <c r="R63" s="17"/>
      <c r="S63" s="17"/>
      <c r="T63" s="17">
        <v>72</v>
      </c>
      <c r="U63" s="17">
        <v>1741</v>
      </c>
      <c r="V63" s="17"/>
      <c r="W63" s="17"/>
      <c r="X63" s="15">
        <v>286</v>
      </c>
      <c r="Y63" s="17">
        <v>392</v>
      </c>
      <c r="Z63" s="17">
        <v>495</v>
      </c>
      <c r="AA63" s="17">
        <v>3492</v>
      </c>
      <c r="AB63" s="12">
        <v>353</v>
      </c>
    </row>
    <row r="64" ht="14.25" spans="1:28">
      <c r="A64" s="13">
        <v>62</v>
      </c>
      <c r="B64" s="15">
        <v>1</v>
      </c>
      <c r="C64" s="16">
        <v>64</v>
      </c>
      <c r="D64" s="17" t="s">
        <v>138</v>
      </c>
      <c r="E64" s="17" t="s">
        <v>139</v>
      </c>
      <c r="F64" s="17">
        <v>98.5</v>
      </c>
      <c r="G64" s="17">
        <v>4145</v>
      </c>
      <c r="H64" s="17">
        <v>111.5</v>
      </c>
      <c r="I64" s="17">
        <v>1692</v>
      </c>
      <c r="J64" s="17">
        <v>86.5</v>
      </c>
      <c r="K64" s="17">
        <v>6120</v>
      </c>
      <c r="L64" s="17">
        <v>58</v>
      </c>
      <c r="M64" s="17">
        <v>2538</v>
      </c>
      <c r="N64" s="17"/>
      <c r="O64" s="17"/>
      <c r="P64" s="17">
        <v>79</v>
      </c>
      <c r="Q64" s="17">
        <v>2632</v>
      </c>
      <c r="R64" s="17"/>
      <c r="S64" s="17"/>
      <c r="T64" s="17">
        <v>58</v>
      </c>
      <c r="U64" s="17">
        <v>3314</v>
      </c>
      <c r="V64" s="17"/>
      <c r="W64" s="17"/>
      <c r="X64" s="15">
        <v>296.5</v>
      </c>
      <c r="Y64" s="17">
        <v>304</v>
      </c>
      <c r="Z64" s="17">
        <v>491.5</v>
      </c>
      <c r="AA64" s="17">
        <v>3664</v>
      </c>
      <c r="AB64" s="12">
        <v>367</v>
      </c>
    </row>
    <row r="65" ht="14.25" spans="1:28">
      <c r="A65" s="13">
        <v>63</v>
      </c>
      <c r="B65" s="15">
        <v>1</v>
      </c>
      <c r="C65" s="16">
        <v>65</v>
      </c>
      <c r="D65" s="17" t="s">
        <v>140</v>
      </c>
      <c r="E65" s="17" t="s">
        <v>141</v>
      </c>
      <c r="F65" s="17">
        <v>101</v>
      </c>
      <c r="G65" s="17">
        <v>2896</v>
      </c>
      <c r="H65" s="17">
        <v>91</v>
      </c>
      <c r="I65" s="17">
        <v>5638</v>
      </c>
      <c r="J65" s="17">
        <v>90.75</v>
      </c>
      <c r="K65" s="17">
        <v>5098</v>
      </c>
      <c r="L65" s="17">
        <v>34.5</v>
      </c>
      <c r="M65" s="17">
        <v>7899</v>
      </c>
      <c r="N65" s="17"/>
      <c r="O65" s="17"/>
      <c r="P65" s="17">
        <v>75</v>
      </c>
      <c r="Q65" s="17">
        <v>3841</v>
      </c>
      <c r="R65" s="17"/>
      <c r="S65" s="17"/>
      <c r="T65" s="17">
        <v>80</v>
      </c>
      <c r="U65" s="17">
        <v>813</v>
      </c>
      <c r="V65" s="17"/>
      <c r="W65" s="17"/>
      <c r="X65" s="15">
        <v>282.75</v>
      </c>
      <c r="Y65" s="17">
        <v>424</v>
      </c>
      <c r="Z65" s="17">
        <v>472.25</v>
      </c>
      <c r="AA65" s="17">
        <v>4710</v>
      </c>
      <c r="AB65" s="12">
        <v>449</v>
      </c>
    </row>
    <row r="66" ht="14.25" spans="1:28">
      <c r="A66" s="13">
        <v>64</v>
      </c>
      <c r="B66" s="15">
        <v>2</v>
      </c>
      <c r="C66" s="16">
        <v>1</v>
      </c>
      <c r="D66" s="17" t="s">
        <v>142</v>
      </c>
      <c r="E66" s="17" t="s">
        <v>143</v>
      </c>
      <c r="F66" s="17">
        <v>112.5</v>
      </c>
      <c r="G66" s="17">
        <v>186</v>
      </c>
      <c r="H66" s="17">
        <v>84</v>
      </c>
      <c r="I66" s="17">
        <v>7206</v>
      </c>
      <c r="J66" s="17">
        <v>103.75</v>
      </c>
      <c r="K66" s="17">
        <v>2416</v>
      </c>
      <c r="L66" s="17">
        <v>42</v>
      </c>
      <c r="M66" s="17">
        <v>5731</v>
      </c>
      <c r="N66" s="17"/>
      <c r="O66" s="17"/>
      <c r="P66" s="17"/>
      <c r="Q66" s="17"/>
      <c r="R66" s="17">
        <v>82</v>
      </c>
      <c r="S66" s="17">
        <v>1915</v>
      </c>
      <c r="T66" s="17">
        <v>71</v>
      </c>
      <c r="U66" s="17">
        <v>1907</v>
      </c>
      <c r="V66" s="17"/>
      <c r="W66" s="17"/>
      <c r="X66" s="15">
        <v>300.25</v>
      </c>
      <c r="Y66" s="17">
        <v>274</v>
      </c>
      <c r="Z66" s="17">
        <v>495.25</v>
      </c>
      <c r="AA66" s="17">
        <v>3484</v>
      </c>
      <c r="AB66" s="12">
        <v>352</v>
      </c>
    </row>
    <row r="67" ht="14.25" spans="1:28">
      <c r="A67" s="13">
        <v>65</v>
      </c>
      <c r="B67" s="15">
        <v>2</v>
      </c>
      <c r="C67" s="16">
        <v>2</v>
      </c>
      <c r="D67" s="17" t="s">
        <v>144</v>
      </c>
      <c r="E67" s="17" t="s">
        <v>145</v>
      </c>
      <c r="F67" s="17">
        <v>99.5</v>
      </c>
      <c r="G67" s="17">
        <v>3607</v>
      </c>
      <c r="H67" s="17">
        <v>91</v>
      </c>
      <c r="I67" s="17">
        <v>5638</v>
      </c>
      <c r="J67" s="17">
        <v>92.5</v>
      </c>
      <c r="K67" s="17">
        <v>4660</v>
      </c>
      <c r="L67" s="17">
        <v>53.5</v>
      </c>
      <c r="M67" s="17">
        <v>3296</v>
      </c>
      <c r="N67" s="17"/>
      <c r="O67" s="17"/>
      <c r="P67" s="17"/>
      <c r="Q67" s="17"/>
      <c r="R67" s="17">
        <v>75</v>
      </c>
      <c r="S67" s="17">
        <v>3790</v>
      </c>
      <c r="T67" s="17">
        <v>80</v>
      </c>
      <c r="U67" s="17">
        <v>813</v>
      </c>
      <c r="V67" s="17"/>
      <c r="W67" s="17"/>
      <c r="X67" s="15">
        <v>283</v>
      </c>
      <c r="Y67" s="17">
        <v>420</v>
      </c>
      <c r="Z67" s="17">
        <v>491.5</v>
      </c>
      <c r="AA67" s="17">
        <v>3664</v>
      </c>
      <c r="AB67" s="12">
        <v>367</v>
      </c>
    </row>
    <row r="68" ht="14.25" spans="1:28">
      <c r="A68" s="13">
        <v>66</v>
      </c>
      <c r="B68" s="15">
        <v>2</v>
      </c>
      <c r="C68" s="16">
        <v>3</v>
      </c>
      <c r="D68" s="17" t="s">
        <v>146</v>
      </c>
      <c r="E68" s="17" t="s">
        <v>147</v>
      </c>
      <c r="F68" s="17">
        <v>103.5</v>
      </c>
      <c r="G68" s="17">
        <v>1897</v>
      </c>
      <c r="H68" s="17">
        <v>84</v>
      </c>
      <c r="I68" s="17">
        <v>7206</v>
      </c>
      <c r="J68" s="17">
        <v>100.25</v>
      </c>
      <c r="K68" s="17">
        <v>3011</v>
      </c>
      <c r="L68" s="17">
        <v>35</v>
      </c>
      <c r="M68" s="17">
        <v>7732</v>
      </c>
      <c r="N68" s="17"/>
      <c r="O68" s="17"/>
      <c r="P68" s="17"/>
      <c r="Q68" s="17"/>
      <c r="R68" s="17">
        <v>81</v>
      </c>
      <c r="S68" s="17">
        <v>2139</v>
      </c>
      <c r="T68" s="17">
        <v>86</v>
      </c>
      <c r="U68" s="17">
        <v>377</v>
      </c>
      <c r="V68" s="17"/>
      <c r="W68" s="17"/>
      <c r="X68" s="15">
        <v>287.75</v>
      </c>
      <c r="Y68" s="17">
        <v>380</v>
      </c>
      <c r="Z68" s="17">
        <v>489.75</v>
      </c>
      <c r="AA68" s="17">
        <v>3763</v>
      </c>
      <c r="AB68" s="12">
        <v>375</v>
      </c>
    </row>
    <row r="69" ht="14.25" spans="1:28">
      <c r="A69" s="13">
        <v>67</v>
      </c>
      <c r="B69" s="15">
        <v>2</v>
      </c>
      <c r="C69" s="16">
        <v>4</v>
      </c>
      <c r="D69" s="17" t="s">
        <v>148</v>
      </c>
      <c r="E69" s="17" t="s">
        <v>149</v>
      </c>
      <c r="F69" s="17">
        <v>103.5</v>
      </c>
      <c r="G69" s="17">
        <v>1897</v>
      </c>
      <c r="H69" s="17">
        <v>100</v>
      </c>
      <c r="I69" s="17">
        <v>3741</v>
      </c>
      <c r="J69" s="17">
        <v>89.5</v>
      </c>
      <c r="K69" s="17">
        <v>5383</v>
      </c>
      <c r="L69" s="17">
        <v>28.5</v>
      </c>
      <c r="M69" s="17">
        <v>10084</v>
      </c>
      <c r="N69" s="17"/>
      <c r="O69" s="17"/>
      <c r="P69" s="17"/>
      <c r="Q69" s="17"/>
      <c r="R69" s="17">
        <v>71</v>
      </c>
      <c r="S69" s="17">
        <v>5151</v>
      </c>
      <c r="T69" s="17">
        <v>72</v>
      </c>
      <c r="U69" s="17">
        <v>1741</v>
      </c>
      <c r="V69" s="17"/>
      <c r="W69" s="17"/>
      <c r="X69" s="15">
        <v>293</v>
      </c>
      <c r="Y69" s="17">
        <v>335</v>
      </c>
      <c r="Z69" s="17">
        <v>464.5</v>
      </c>
      <c r="AA69" s="17">
        <v>5196</v>
      </c>
      <c r="AB69" s="12">
        <v>490</v>
      </c>
    </row>
    <row r="70" ht="14.25" spans="1:28">
      <c r="A70" s="13">
        <v>68</v>
      </c>
      <c r="B70" s="15">
        <v>2</v>
      </c>
      <c r="C70" s="16">
        <v>5</v>
      </c>
      <c r="D70" s="17" t="s">
        <v>150</v>
      </c>
      <c r="E70" s="17" t="s">
        <v>151</v>
      </c>
      <c r="F70" s="17">
        <v>98</v>
      </c>
      <c r="G70" s="17">
        <v>4423</v>
      </c>
      <c r="H70" s="17">
        <v>91.5</v>
      </c>
      <c r="I70" s="17">
        <v>5528</v>
      </c>
      <c r="J70" s="17">
        <v>112</v>
      </c>
      <c r="K70" s="17">
        <v>1229</v>
      </c>
      <c r="L70" s="17">
        <v>49</v>
      </c>
      <c r="M70" s="17">
        <v>4146</v>
      </c>
      <c r="N70" s="17"/>
      <c r="O70" s="17"/>
      <c r="P70" s="17"/>
      <c r="Q70" s="17"/>
      <c r="R70" s="17">
        <v>86</v>
      </c>
      <c r="S70" s="17">
        <v>1176</v>
      </c>
      <c r="T70" s="17">
        <v>90</v>
      </c>
      <c r="U70" s="17">
        <v>46</v>
      </c>
      <c r="V70" s="17"/>
      <c r="W70" s="17"/>
      <c r="X70" s="15">
        <v>301.5</v>
      </c>
      <c r="Y70" s="17">
        <v>265</v>
      </c>
      <c r="Z70" s="17">
        <v>526.5</v>
      </c>
      <c r="AA70" s="17">
        <v>2076</v>
      </c>
      <c r="AB70" s="12">
        <v>178</v>
      </c>
    </row>
    <row r="71" ht="14.25" spans="1:28">
      <c r="A71" s="13">
        <v>69</v>
      </c>
      <c r="B71" s="15">
        <v>2</v>
      </c>
      <c r="C71" s="16">
        <v>6</v>
      </c>
      <c r="D71" s="17" t="s">
        <v>152</v>
      </c>
      <c r="E71" s="17" t="s">
        <v>153</v>
      </c>
      <c r="F71" s="17">
        <v>95.5</v>
      </c>
      <c r="G71" s="17">
        <v>5877</v>
      </c>
      <c r="H71" s="17">
        <v>80</v>
      </c>
      <c r="I71" s="17">
        <v>8038</v>
      </c>
      <c r="J71" s="17">
        <v>94.25</v>
      </c>
      <c r="K71" s="17">
        <v>4296</v>
      </c>
      <c r="L71" s="17">
        <v>38</v>
      </c>
      <c r="M71" s="17">
        <v>6823</v>
      </c>
      <c r="N71" s="17"/>
      <c r="O71" s="17"/>
      <c r="P71" s="17"/>
      <c r="Q71" s="17"/>
      <c r="R71" s="17">
        <v>65</v>
      </c>
      <c r="S71" s="17">
        <v>7060</v>
      </c>
      <c r="T71" s="17">
        <v>83</v>
      </c>
      <c r="U71" s="17">
        <v>561</v>
      </c>
      <c r="V71" s="17"/>
      <c r="W71" s="17"/>
      <c r="X71" s="15">
        <v>269.75</v>
      </c>
      <c r="Y71" s="17">
        <v>535</v>
      </c>
      <c r="Z71" s="17">
        <v>455.75</v>
      </c>
      <c r="AA71" s="17">
        <v>5761</v>
      </c>
      <c r="AB71" s="12">
        <v>529</v>
      </c>
    </row>
    <row r="72" ht="14.25" spans="1:28">
      <c r="A72" s="13">
        <v>70</v>
      </c>
      <c r="B72" s="15">
        <v>2</v>
      </c>
      <c r="C72" s="16">
        <v>7</v>
      </c>
      <c r="D72" s="17" t="s">
        <v>154</v>
      </c>
      <c r="E72" s="17" t="s">
        <v>155</v>
      </c>
      <c r="F72" s="17">
        <v>94.5</v>
      </c>
      <c r="G72" s="17">
        <v>6496</v>
      </c>
      <c r="H72" s="17">
        <v>111</v>
      </c>
      <c r="I72" s="17">
        <v>1774</v>
      </c>
      <c r="J72" s="17">
        <v>106.5</v>
      </c>
      <c r="K72" s="17">
        <v>1929</v>
      </c>
      <c r="L72" s="17">
        <v>50.5</v>
      </c>
      <c r="M72" s="17">
        <v>3830</v>
      </c>
      <c r="N72" s="17"/>
      <c r="O72" s="17"/>
      <c r="P72" s="17"/>
      <c r="Q72" s="17"/>
      <c r="R72" s="17">
        <v>79</v>
      </c>
      <c r="S72" s="17">
        <v>2629</v>
      </c>
      <c r="T72" s="17">
        <v>87</v>
      </c>
      <c r="U72" s="17">
        <v>259</v>
      </c>
      <c r="V72" s="17"/>
      <c r="W72" s="17"/>
      <c r="X72" s="15">
        <v>312</v>
      </c>
      <c r="Y72" s="17">
        <v>171</v>
      </c>
      <c r="Z72" s="17">
        <v>528.5</v>
      </c>
      <c r="AA72" s="17">
        <v>2006</v>
      </c>
      <c r="AB72" s="12">
        <v>170</v>
      </c>
    </row>
    <row r="73" ht="14.25" spans="1:28">
      <c r="A73" s="13">
        <v>71</v>
      </c>
      <c r="B73" s="15">
        <v>2</v>
      </c>
      <c r="C73" s="16">
        <v>8</v>
      </c>
      <c r="D73" s="17" t="s">
        <v>156</v>
      </c>
      <c r="E73" s="17" t="s">
        <v>157</v>
      </c>
      <c r="F73" s="17">
        <v>102</v>
      </c>
      <c r="G73" s="17">
        <v>2480</v>
      </c>
      <c r="H73" s="17">
        <v>97</v>
      </c>
      <c r="I73" s="17">
        <v>4348</v>
      </c>
      <c r="J73" s="17">
        <v>86.5</v>
      </c>
      <c r="K73" s="17">
        <v>6120</v>
      </c>
      <c r="L73" s="17">
        <v>67.5</v>
      </c>
      <c r="M73" s="17">
        <v>1130</v>
      </c>
      <c r="N73" s="17"/>
      <c r="O73" s="17"/>
      <c r="P73" s="17"/>
      <c r="Q73" s="17"/>
      <c r="R73" s="17">
        <v>87</v>
      </c>
      <c r="S73" s="17">
        <v>883</v>
      </c>
      <c r="T73" s="17">
        <v>74</v>
      </c>
      <c r="U73" s="17">
        <v>1516</v>
      </c>
      <c r="V73" s="17"/>
      <c r="W73" s="17"/>
      <c r="X73" s="15">
        <v>285.5</v>
      </c>
      <c r="Y73" s="17">
        <v>397</v>
      </c>
      <c r="Z73" s="17">
        <v>514</v>
      </c>
      <c r="AA73" s="17">
        <v>2591</v>
      </c>
      <c r="AB73" s="12">
        <v>249</v>
      </c>
    </row>
    <row r="74" ht="14.25" spans="1:28">
      <c r="A74" s="13">
        <v>72</v>
      </c>
      <c r="B74" s="15">
        <v>2</v>
      </c>
      <c r="C74" s="16">
        <v>9</v>
      </c>
      <c r="D74" s="17" t="s">
        <v>158</v>
      </c>
      <c r="E74" s="17" t="s">
        <v>159</v>
      </c>
      <c r="F74" s="17">
        <v>104</v>
      </c>
      <c r="G74" s="17">
        <v>1709</v>
      </c>
      <c r="H74" s="17">
        <v>117</v>
      </c>
      <c r="I74" s="17">
        <v>975</v>
      </c>
      <c r="J74" s="17">
        <v>104.75</v>
      </c>
      <c r="K74" s="17">
        <v>2246</v>
      </c>
      <c r="L74" s="17">
        <v>61</v>
      </c>
      <c r="M74" s="17">
        <v>2008</v>
      </c>
      <c r="N74" s="17"/>
      <c r="O74" s="17"/>
      <c r="P74" s="17"/>
      <c r="Q74" s="17"/>
      <c r="R74" s="17">
        <v>86</v>
      </c>
      <c r="S74" s="17">
        <v>1176</v>
      </c>
      <c r="T74" s="17">
        <v>90</v>
      </c>
      <c r="U74" s="17">
        <v>46</v>
      </c>
      <c r="V74" s="17"/>
      <c r="W74" s="17"/>
      <c r="X74" s="15">
        <v>325.75</v>
      </c>
      <c r="Y74" s="17">
        <v>82</v>
      </c>
      <c r="Z74" s="17">
        <v>562.75</v>
      </c>
      <c r="AA74" s="17">
        <v>936</v>
      </c>
      <c r="AB74" s="12">
        <v>65</v>
      </c>
    </row>
    <row r="75" ht="14.25" spans="1:28">
      <c r="A75" s="13">
        <v>73</v>
      </c>
      <c r="B75" s="15">
        <v>2</v>
      </c>
      <c r="C75" s="16">
        <v>10</v>
      </c>
      <c r="D75" s="17" t="s">
        <v>160</v>
      </c>
      <c r="E75" s="17" t="s">
        <v>161</v>
      </c>
      <c r="F75" s="17">
        <v>99</v>
      </c>
      <c r="G75" s="17">
        <v>3868</v>
      </c>
      <c r="H75" s="17">
        <v>95</v>
      </c>
      <c r="I75" s="17">
        <v>4735</v>
      </c>
      <c r="J75" s="17">
        <v>92.5</v>
      </c>
      <c r="K75" s="17">
        <v>4660</v>
      </c>
      <c r="L75" s="17">
        <v>41.5</v>
      </c>
      <c r="M75" s="17">
        <v>5867</v>
      </c>
      <c r="N75" s="17"/>
      <c r="O75" s="17"/>
      <c r="P75" s="17"/>
      <c r="Q75" s="17"/>
      <c r="R75" s="17">
        <v>68</v>
      </c>
      <c r="S75" s="17">
        <v>6079</v>
      </c>
      <c r="T75" s="17">
        <v>82</v>
      </c>
      <c r="U75" s="17">
        <v>654</v>
      </c>
      <c r="V75" s="17"/>
      <c r="W75" s="17"/>
      <c r="X75" s="15">
        <v>286.5</v>
      </c>
      <c r="Y75" s="17">
        <v>388</v>
      </c>
      <c r="Z75" s="17">
        <v>478</v>
      </c>
      <c r="AA75" s="17">
        <v>4386</v>
      </c>
      <c r="AB75" s="12">
        <v>427</v>
      </c>
    </row>
    <row r="76" ht="14.25" spans="1:28">
      <c r="A76" s="13">
        <v>74</v>
      </c>
      <c r="B76" s="15">
        <v>2</v>
      </c>
      <c r="C76" s="16">
        <v>11</v>
      </c>
      <c r="D76" s="17" t="s">
        <v>162</v>
      </c>
      <c r="E76" s="17" t="s">
        <v>121</v>
      </c>
      <c r="F76" s="17">
        <v>92.5</v>
      </c>
      <c r="G76" s="17">
        <v>7705</v>
      </c>
      <c r="H76" s="17">
        <v>96</v>
      </c>
      <c r="I76" s="17">
        <v>4544</v>
      </c>
      <c r="J76" s="17">
        <v>92</v>
      </c>
      <c r="K76" s="17">
        <v>4787</v>
      </c>
      <c r="L76" s="17">
        <v>47.5</v>
      </c>
      <c r="M76" s="17">
        <v>4470</v>
      </c>
      <c r="N76" s="17"/>
      <c r="O76" s="17"/>
      <c r="P76" s="17"/>
      <c r="Q76" s="17"/>
      <c r="R76" s="17">
        <v>76</v>
      </c>
      <c r="S76" s="17">
        <v>3491</v>
      </c>
      <c r="T76" s="17">
        <v>75</v>
      </c>
      <c r="U76" s="17">
        <v>1363</v>
      </c>
      <c r="V76" s="17"/>
      <c r="W76" s="17"/>
      <c r="X76" s="15">
        <v>280.5</v>
      </c>
      <c r="Y76" s="17">
        <v>443</v>
      </c>
      <c r="Z76" s="17">
        <v>479</v>
      </c>
      <c r="AA76" s="17">
        <v>4330</v>
      </c>
      <c r="AB76" s="12">
        <v>424</v>
      </c>
    </row>
    <row r="77" ht="14.25" spans="1:28">
      <c r="A77" s="13">
        <v>75</v>
      </c>
      <c r="B77" s="15">
        <v>2</v>
      </c>
      <c r="C77" s="16">
        <v>12</v>
      </c>
      <c r="D77" s="17" t="s">
        <v>163</v>
      </c>
      <c r="E77" s="17" t="s">
        <v>164</v>
      </c>
      <c r="F77" s="17">
        <v>95.5</v>
      </c>
      <c r="G77" s="17">
        <v>5877</v>
      </c>
      <c r="H77" s="17">
        <v>107.5</v>
      </c>
      <c r="I77" s="17">
        <v>2373</v>
      </c>
      <c r="J77" s="17">
        <v>113</v>
      </c>
      <c r="K77" s="17">
        <v>1110</v>
      </c>
      <c r="L77" s="17">
        <v>50</v>
      </c>
      <c r="M77" s="17">
        <v>3933</v>
      </c>
      <c r="N77" s="17"/>
      <c r="O77" s="17"/>
      <c r="P77" s="17"/>
      <c r="Q77" s="17"/>
      <c r="R77" s="17">
        <v>90</v>
      </c>
      <c r="S77" s="17">
        <v>255</v>
      </c>
      <c r="T77" s="17">
        <v>88</v>
      </c>
      <c r="U77" s="17">
        <v>161</v>
      </c>
      <c r="V77" s="17"/>
      <c r="W77" s="17"/>
      <c r="X77" s="15">
        <v>316</v>
      </c>
      <c r="Y77" s="17">
        <v>144</v>
      </c>
      <c r="Z77" s="17">
        <v>544</v>
      </c>
      <c r="AA77" s="17">
        <v>1487</v>
      </c>
      <c r="AB77" s="12">
        <v>117</v>
      </c>
    </row>
    <row r="78" ht="14.25" spans="1:28">
      <c r="A78" s="13">
        <v>76</v>
      </c>
      <c r="B78" s="15">
        <v>2</v>
      </c>
      <c r="C78" s="16">
        <v>13</v>
      </c>
      <c r="D78" s="17" t="s">
        <v>165</v>
      </c>
      <c r="E78" s="17" t="s">
        <v>166</v>
      </c>
      <c r="F78" s="17">
        <v>100.5</v>
      </c>
      <c r="G78" s="17">
        <v>3131</v>
      </c>
      <c r="H78" s="17">
        <v>105</v>
      </c>
      <c r="I78" s="17">
        <v>2810</v>
      </c>
      <c r="J78" s="17">
        <v>108.5</v>
      </c>
      <c r="K78" s="17">
        <v>1655</v>
      </c>
      <c r="L78" s="17">
        <v>58.5</v>
      </c>
      <c r="M78" s="17">
        <v>2451</v>
      </c>
      <c r="N78" s="17"/>
      <c r="O78" s="17"/>
      <c r="P78" s="17"/>
      <c r="Q78" s="17"/>
      <c r="R78" s="17">
        <v>89</v>
      </c>
      <c r="S78" s="17">
        <v>415</v>
      </c>
      <c r="T78" s="17">
        <v>67</v>
      </c>
      <c r="U78" s="17">
        <v>2274</v>
      </c>
      <c r="V78" s="17"/>
      <c r="W78" s="17"/>
      <c r="X78" s="15">
        <v>314</v>
      </c>
      <c r="Y78" s="17">
        <v>157</v>
      </c>
      <c r="Z78" s="17">
        <v>528.5</v>
      </c>
      <c r="AA78" s="17">
        <v>2006</v>
      </c>
      <c r="AB78" s="12">
        <v>170</v>
      </c>
    </row>
    <row r="79" ht="14.25" spans="1:28">
      <c r="A79" s="13">
        <v>77</v>
      </c>
      <c r="B79" s="15">
        <v>2</v>
      </c>
      <c r="C79" s="16">
        <v>14</v>
      </c>
      <c r="D79" s="17" t="s">
        <v>167</v>
      </c>
      <c r="E79" s="17" t="s">
        <v>168</v>
      </c>
      <c r="F79" s="17">
        <v>108</v>
      </c>
      <c r="G79" s="17">
        <v>736</v>
      </c>
      <c r="H79" s="17">
        <v>92</v>
      </c>
      <c r="I79" s="17">
        <v>5417</v>
      </c>
      <c r="J79" s="17">
        <v>105.75</v>
      </c>
      <c r="K79" s="17">
        <v>2077</v>
      </c>
      <c r="L79" s="17">
        <v>64.5</v>
      </c>
      <c r="M79" s="17">
        <v>1506</v>
      </c>
      <c r="N79" s="17"/>
      <c r="O79" s="17"/>
      <c r="P79" s="17"/>
      <c r="Q79" s="17"/>
      <c r="R79" s="17">
        <v>76</v>
      </c>
      <c r="S79" s="17">
        <v>3491</v>
      </c>
      <c r="T79" s="17">
        <v>90</v>
      </c>
      <c r="U79" s="17">
        <v>46</v>
      </c>
      <c r="V79" s="17"/>
      <c r="W79" s="17"/>
      <c r="X79" s="15">
        <v>305.75</v>
      </c>
      <c r="Y79" s="17">
        <v>229</v>
      </c>
      <c r="Z79" s="17">
        <v>536.25</v>
      </c>
      <c r="AA79" s="17">
        <v>1737</v>
      </c>
      <c r="AB79" s="12">
        <v>144</v>
      </c>
    </row>
    <row r="80" ht="14.25" spans="1:28">
      <c r="A80" s="13">
        <v>78</v>
      </c>
      <c r="B80" s="15">
        <v>2</v>
      </c>
      <c r="C80" s="16">
        <v>15</v>
      </c>
      <c r="D80" s="17" t="s">
        <v>169</v>
      </c>
      <c r="E80" s="17" t="s">
        <v>170</v>
      </c>
      <c r="F80" s="17">
        <v>91.5</v>
      </c>
      <c r="G80" s="17">
        <v>8306</v>
      </c>
      <c r="H80" s="17">
        <v>105.5</v>
      </c>
      <c r="I80" s="17">
        <v>2718</v>
      </c>
      <c r="J80" s="17">
        <v>107</v>
      </c>
      <c r="K80" s="17">
        <v>1871</v>
      </c>
      <c r="L80" s="17">
        <v>44.5</v>
      </c>
      <c r="M80" s="17">
        <v>5122</v>
      </c>
      <c r="N80" s="17"/>
      <c r="O80" s="17"/>
      <c r="P80" s="17"/>
      <c r="Q80" s="17"/>
      <c r="R80" s="17">
        <v>84</v>
      </c>
      <c r="S80" s="17">
        <v>1490</v>
      </c>
      <c r="T80" s="17">
        <v>78</v>
      </c>
      <c r="U80" s="17">
        <v>1013</v>
      </c>
      <c r="V80" s="17"/>
      <c r="W80" s="17"/>
      <c r="X80" s="15">
        <v>304</v>
      </c>
      <c r="Y80" s="17">
        <v>245</v>
      </c>
      <c r="Z80" s="17">
        <v>510.5</v>
      </c>
      <c r="AA80" s="17">
        <v>2753</v>
      </c>
      <c r="AB80" s="12">
        <v>270</v>
      </c>
    </row>
    <row r="81" ht="14.25" spans="1:28">
      <c r="A81" s="13">
        <v>79</v>
      </c>
      <c r="B81" s="15">
        <v>2</v>
      </c>
      <c r="C81" s="16">
        <v>16</v>
      </c>
      <c r="D81" s="17" t="s">
        <v>171</v>
      </c>
      <c r="E81" s="17" t="s">
        <v>172</v>
      </c>
      <c r="F81" s="17">
        <v>95</v>
      </c>
      <c r="G81" s="17">
        <v>6168</v>
      </c>
      <c r="H81" s="17">
        <v>54.5</v>
      </c>
      <c r="I81" s="17">
        <v>12776</v>
      </c>
      <c r="J81" s="17">
        <v>93</v>
      </c>
      <c r="K81" s="17">
        <v>4548</v>
      </c>
      <c r="L81" s="17">
        <v>23</v>
      </c>
      <c r="M81" s="17">
        <v>12526</v>
      </c>
      <c r="N81" s="17"/>
      <c r="O81" s="17"/>
      <c r="P81" s="17"/>
      <c r="Q81" s="17"/>
      <c r="R81" s="17">
        <v>58</v>
      </c>
      <c r="S81" s="17">
        <v>9300</v>
      </c>
      <c r="T81" s="17">
        <v>66</v>
      </c>
      <c r="U81" s="17">
        <v>2417</v>
      </c>
      <c r="V81" s="17"/>
      <c r="W81" s="17"/>
      <c r="X81" s="15">
        <v>242.5</v>
      </c>
      <c r="Y81" s="17">
        <v>624</v>
      </c>
      <c r="Z81" s="17">
        <v>389.5</v>
      </c>
      <c r="AA81" s="17">
        <v>10396</v>
      </c>
      <c r="AB81" s="12">
        <v>645</v>
      </c>
    </row>
    <row r="82" ht="14.25" spans="1:28">
      <c r="A82" s="13">
        <v>80</v>
      </c>
      <c r="B82" s="15">
        <v>2</v>
      </c>
      <c r="C82" s="16">
        <v>17</v>
      </c>
      <c r="D82" s="17" t="s">
        <v>173</v>
      </c>
      <c r="E82" s="17" t="s">
        <v>174</v>
      </c>
      <c r="F82" s="17">
        <v>102.5</v>
      </c>
      <c r="G82" s="17">
        <v>2274</v>
      </c>
      <c r="H82" s="17">
        <v>96</v>
      </c>
      <c r="I82" s="17">
        <v>4544</v>
      </c>
      <c r="J82" s="17">
        <v>92.5</v>
      </c>
      <c r="K82" s="17">
        <v>4660</v>
      </c>
      <c r="L82" s="17">
        <v>31.5</v>
      </c>
      <c r="M82" s="17">
        <v>8922</v>
      </c>
      <c r="N82" s="17"/>
      <c r="O82" s="17"/>
      <c r="P82" s="17"/>
      <c r="Q82" s="17"/>
      <c r="R82" s="17">
        <v>72</v>
      </c>
      <c r="S82" s="17">
        <v>4793</v>
      </c>
      <c r="T82" s="17">
        <v>82</v>
      </c>
      <c r="U82" s="17">
        <v>654</v>
      </c>
      <c r="V82" s="17"/>
      <c r="W82" s="17"/>
      <c r="X82" s="15">
        <v>291</v>
      </c>
      <c r="Y82" s="17">
        <v>359</v>
      </c>
      <c r="Z82" s="17">
        <v>476.5</v>
      </c>
      <c r="AA82" s="17">
        <v>4460</v>
      </c>
      <c r="AB82" s="12">
        <v>431</v>
      </c>
    </row>
    <row r="83" ht="14.25" spans="1:28">
      <c r="A83" s="13">
        <v>81</v>
      </c>
      <c r="B83" s="15">
        <v>2</v>
      </c>
      <c r="C83" s="16">
        <v>18</v>
      </c>
      <c r="D83" s="17" t="s">
        <v>175</v>
      </c>
      <c r="E83" s="17" t="s">
        <v>176</v>
      </c>
      <c r="F83" s="17">
        <v>93.75</v>
      </c>
      <c r="G83" s="17">
        <v>7095</v>
      </c>
      <c r="H83" s="17">
        <v>89.5</v>
      </c>
      <c r="I83" s="17">
        <v>5946</v>
      </c>
      <c r="J83" s="17">
        <v>98.75</v>
      </c>
      <c r="K83" s="17">
        <v>3309</v>
      </c>
      <c r="L83" s="17">
        <v>53.5</v>
      </c>
      <c r="M83" s="17">
        <v>3296</v>
      </c>
      <c r="N83" s="17"/>
      <c r="O83" s="17"/>
      <c r="P83" s="17"/>
      <c r="Q83" s="17"/>
      <c r="R83" s="17">
        <v>75</v>
      </c>
      <c r="S83" s="17">
        <v>3790</v>
      </c>
      <c r="T83" s="17">
        <v>71</v>
      </c>
      <c r="U83" s="17">
        <v>1907</v>
      </c>
      <c r="V83" s="17"/>
      <c r="W83" s="17"/>
      <c r="X83" s="15">
        <v>282</v>
      </c>
      <c r="Y83" s="17">
        <v>432</v>
      </c>
      <c r="Z83" s="17">
        <v>481.5</v>
      </c>
      <c r="AA83" s="17">
        <v>4198</v>
      </c>
      <c r="AB83" s="12">
        <v>415</v>
      </c>
    </row>
    <row r="84" ht="14.25" spans="1:28">
      <c r="A84" s="13">
        <v>82</v>
      </c>
      <c r="B84" s="15">
        <v>2</v>
      </c>
      <c r="C84" s="16">
        <v>19</v>
      </c>
      <c r="D84" s="17" t="s">
        <v>177</v>
      </c>
      <c r="E84" s="17" t="s">
        <v>178</v>
      </c>
      <c r="F84" s="17">
        <v>98</v>
      </c>
      <c r="G84" s="17">
        <v>4423</v>
      </c>
      <c r="H84" s="17">
        <v>107</v>
      </c>
      <c r="I84" s="17">
        <v>2461</v>
      </c>
      <c r="J84" s="17">
        <v>111</v>
      </c>
      <c r="K84" s="17">
        <v>1337</v>
      </c>
      <c r="L84" s="17">
        <v>66.5</v>
      </c>
      <c r="M84" s="17">
        <v>1237</v>
      </c>
      <c r="N84" s="17"/>
      <c r="O84" s="17"/>
      <c r="P84" s="17"/>
      <c r="Q84" s="17"/>
      <c r="R84" s="17">
        <v>86</v>
      </c>
      <c r="S84" s="17">
        <v>1176</v>
      </c>
      <c r="T84" s="17">
        <v>77</v>
      </c>
      <c r="U84" s="17">
        <v>1152</v>
      </c>
      <c r="V84" s="17"/>
      <c r="W84" s="17"/>
      <c r="X84" s="15">
        <v>316</v>
      </c>
      <c r="Y84" s="17">
        <v>144</v>
      </c>
      <c r="Z84" s="17">
        <v>545.5</v>
      </c>
      <c r="AA84" s="17">
        <v>1433</v>
      </c>
      <c r="AB84" s="12">
        <v>109</v>
      </c>
    </row>
    <row r="85" ht="14.25" spans="1:28">
      <c r="A85" s="13">
        <v>83</v>
      </c>
      <c r="B85" s="15">
        <v>2</v>
      </c>
      <c r="C85" s="16">
        <v>20</v>
      </c>
      <c r="D85" s="17" t="s">
        <v>179</v>
      </c>
      <c r="E85" s="17" t="s">
        <v>180</v>
      </c>
      <c r="F85" s="17">
        <v>103.5</v>
      </c>
      <c r="G85" s="17">
        <v>1897</v>
      </c>
      <c r="H85" s="17">
        <v>87.5</v>
      </c>
      <c r="I85" s="17">
        <v>6415</v>
      </c>
      <c r="J85" s="17">
        <v>87.25</v>
      </c>
      <c r="K85" s="17">
        <v>5964</v>
      </c>
      <c r="L85" s="17">
        <v>41</v>
      </c>
      <c r="M85" s="17">
        <v>5993</v>
      </c>
      <c r="N85" s="17"/>
      <c r="O85" s="17"/>
      <c r="P85" s="17"/>
      <c r="Q85" s="17"/>
      <c r="R85" s="17">
        <v>81</v>
      </c>
      <c r="S85" s="17">
        <v>2139</v>
      </c>
      <c r="T85" s="17">
        <v>65</v>
      </c>
      <c r="U85" s="17">
        <v>2551</v>
      </c>
      <c r="V85" s="17"/>
      <c r="W85" s="17"/>
      <c r="X85" s="15">
        <v>278.25</v>
      </c>
      <c r="Y85" s="17">
        <v>465</v>
      </c>
      <c r="Z85" s="17">
        <v>465.25</v>
      </c>
      <c r="AA85" s="17">
        <v>5144</v>
      </c>
      <c r="AB85" s="12">
        <v>488</v>
      </c>
    </row>
    <row r="86" ht="14.25" spans="1:28">
      <c r="A86" s="13">
        <v>84</v>
      </c>
      <c r="B86" s="15">
        <v>2</v>
      </c>
      <c r="C86" s="16">
        <v>21</v>
      </c>
      <c r="D86" s="17" t="s">
        <v>181</v>
      </c>
      <c r="E86" s="17" t="s">
        <v>182</v>
      </c>
      <c r="F86" s="17">
        <v>104.5</v>
      </c>
      <c r="G86" s="17">
        <v>1551</v>
      </c>
      <c r="H86" s="17">
        <v>102.5</v>
      </c>
      <c r="I86" s="17">
        <v>3278</v>
      </c>
      <c r="J86" s="17">
        <v>96</v>
      </c>
      <c r="K86" s="17">
        <v>3851</v>
      </c>
      <c r="L86" s="17">
        <v>53</v>
      </c>
      <c r="M86" s="17">
        <v>3368</v>
      </c>
      <c r="N86" s="17"/>
      <c r="O86" s="17"/>
      <c r="P86" s="17"/>
      <c r="Q86" s="17"/>
      <c r="R86" s="17">
        <v>84</v>
      </c>
      <c r="S86" s="17">
        <v>1490</v>
      </c>
      <c r="T86" s="17">
        <v>88</v>
      </c>
      <c r="U86" s="17">
        <v>161</v>
      </c>
      <c r="V86" s="17"/>
      <c r="W86" s="17"/>
      <c r="X86" s="15">
        <v>303</v>
      </c>
      <c r="Y86" s="17">
        <v>251</v>
      </c>
      <c r="Z86" s="17">
        <v>528</v>
      </c>
      <c r="AA86" s="17">
        <v>2028</v>
      </c>
      <c r="AB86" s="12">
        <v>175</v>
      </c>
    </row>
    <row r="87" ht="14.25" spans="1:28">
      <c r="A87" s="13">
        <v>85</v>
      </c>
      <c r="B87" s="15">
        <v>2</v>
      </c>
      <c r="C87" s="16">
        <v>22</v>
      </c>
      <c r="D87" s="17" t="s">
        <v>183</v>
      </c>
      <c r="E87" s="17" t="s">
        <v>184</v>
      </c>
      <c r="F87" s="17">
        <v>94.5</v>
      </c>
      <c r="G87" s="17">
        <v>6496</v>
      </c>
      <c r="H87" s="17">
        <v>88.5</v>
      </c>
      <c r="I87" s="17">
        <v>6176</v>
      </c>
      <c r="J87" s="17">
        <v>74.25</v>
      </c>
      <c r="K87" s="17">
        <v>9307</v>
      </c>
      <c r="L87" s="17">
        <v>38.5</v>
      </c>
      <c r="M87" s="17">
        <v>6692</v>
      </c>
      <c r="N87" s="17"/>
      <c r="O87" s="17"/>
      <c r="P87" s="17"/>
      <c r="Q87" s="17"/>
      <c r="R87" s="17">
        <v>86</v>
      </c>
      <c r="S87" s="17">
        <v>1176</v>
      </c>
      <c r="T87" s="17">
        <v>68</v>
      </c>
      <c r="U87" s="17">
        <v>2192</v>
      </c>
      <c r="V87" s="17"/>
      <c r="W87" s="17"/>
      <c r="X87" s="15">
        <v>257.25</v>
      </c>
      <c r="Y87" s="17">
        <v>591</v>
      </c>
      <c r="Z87" s="17">
        <v>449.75</v>
      </c>
      <c r="AA87" s="17">
        <v>6148</v>
      </c>
      <c r="AB87" s="12">
        <v>540</v>
      </c>
    </row>
    <row r="88" ht="14.25" spans="1:28">
      <c r="A88" s="13">
        <v>86</v>
      </c>
      <c r="B88" s="15">
        <v>2</v>
      </c>
      <c r="C88" s="16">
        <v>23</v>
      </c>
      <c r="D88" s="17" t="s">
        <v>185</v>
      </c>
      <c r="E88" s="17" t="s">
        <v>186</v>
      </c>
      <c r="F88" s="17">
        <v>100.5</v>
      </c>
      <c r="G88" s="17">
        <v>3131</v>
      </c>
      <c r="H88" s="17">
        <v>95.5</v>
      </c>
      <c r="I88" s="17">
        <v>4650</v>
      </c>
      <c r="J88" s="17">
        <v>121</v>
      </c>
      <c r="K88" s="17">
        <v>441</v>
      </c>
      <c r="L88" s="17">
        <v>47.5</v>
      </c>
      <c r="M88" s="17">
        <v>4470</v>
      </c>
      <c r="N88" s="17"/>
      <c r="O88" s="17"/>
      <c r="P88" s="17"/>
      <c r="Q88" s="17"/>
      <c r="R88" s="17">
        <v>74</v>
      </c>
      <c r="S88" s="17">
        <v>4119</v>
      </c>
      <c r="T88" s="17">
        <v>88</v>
      </c>
      <c r="U88" s="17">
        <v>161</v>
      </c>
      <c r="V88" s="17"/>
      <c r="W88" s="17"/>
      <c r="X88" s="15">
        <v>317</v>
      </c>
      <c r="Y88" s="17">
        <v>138</v>
      </c>
      <c r="Z88" s="17">
        <v>526.5</v>
      </c>
      <c r="AA88" s="17">
        <v>2076</v>
      </c>
      <c r="AB88" s="12">
        <v>178</v>
      </c>
    </row>
    <row r="89" ht="14.25" spans="1:28">
      <c r="A89" s="13">
        <v>87</v>
      </c>
      <c r="B89" s="15">
        <v>2</v>
      </c>
      <c r="C89" s="16">
        <v>24</v>
      </c>
      <c r="D89" s="17" t="s">
        <v>187</v>
      </c>
      <c r="E89" s="17" t="s">
        <v>188</v>
      </c>
      <c r="F89" s="17">
        <v>107</v>
      </c>
      <c r="G89" s="17">
        <v>945</v>
      </c>
      <c r="H89" s="17">
        <v>92</v>
      </c>
      <c r="I89" s="17">
        <v>5417</v>
      </c>
      <c r="J89" s="17">
        <v>97</v>
      </c>
      <c r="K89" s="17">
        <v>3649</v>
      </c>
      <c r="L89" s="17">
        <v>60.5</v>
      </c>
      <c r="M89" s="17">
        <v>2106</v>
      </c>
      <c r="N89" s="17"/>
      <c r="O89" s="17"/>
      <c r="P89" s="17"/>
      <c r="Q89" s="17"/>
      <c r="R89" s="17">
        <v>78</v>
      </c>
      <c r="S89" s="17">
        <v>2906</v>
      </c>
      <c r="T89" s="17">
        <v>90</v>
      </c>
      <c r="U89" s="17">
        <v>46</v>
      </c>
      <c r="V89" s="17"/>
      <c r="W89" s="17"/>
      <c r="X89" s="15">
        <v>296</v>
      </c>
      <c r="Y89" s="17">
        <v>307</v>
      </c>
      <c r="Z89" s="17">
        <v>524.5</v>
      </c>
      <c r="AA89" s="17">
        <v>2164</v>
      </c>
      <c r="AB89" s="12">
        <v>192</v>
      </c>
    </row>
    <row r="90" ht="14.25" spans="1:28">
      <c r="A90" s="13">
        <v>88</v>
      </c>
      <c r="B90" s="15">
        <v>2</v>
      </c>
      <c r="C90" s="16">
        <v>25</v>
      </c>
      <c r="D90" s="17" t="s">
        <v>189</v>
      </c>
      <c r="E90" s="17" t="s">
        <v>190</v>
      </c>
      <c r="F90" s="17">
        <v>103.5</v>
      </c>
      <c r="G90" s="17">
        <v>1897</v>
      </c>
      <c r="H90" s="17">
        <v>88</v>
      </c>
      <c r="I90" s="17">
        <v>6299</v>
      </c>
      <c r="J90" s="17">
        <v>75.5</v>
      </c>
      <c r="K90" s="17">
        <v>8958</v>
      </c>
      <c r="L90" s="17">
        <v>61</v>
      </c>
      <c r="M90" s="17">
        <v>2008</v>
      </c>
      <c r="N90" s="17"/>
      <c r="O90" s="17"/>
      <c r="P90" s="17"/>
      <c r="Q90" s="17"/>
      <c r="R90" s="17">
        <v>87</v>
      </c>
      <c r="S90" s="17">
        <v>883</v>
      </c>
      <c r="T90" s="17">
        <v>68</v>
      </c>
      <c r="U90" s="17">
        <v>2192</v>
      </c>
      <c r="V90" s="17"/>
      <c r="W90" s="17"/>
      <c r="X90" s="15">
        <v>267</v>
      </c>
      <c r="Y90" s="17">
        <v>545</v>
      </c>
      <c r="Z90" s="17">
        <v>483</v>
      </c>
      <c r="AA90" s="17">
        <v>4100</v>
      </c>
      <c r="AB90" s="12">
        <v>407</v>
      </c>
    </row>
    <row r="91" ht="14.25" spans="1:28">
      <c r="A91" s="13">
        <v>89</v>
      </c>
      <c r="B91" s="15">
        <v>2</v>
      </c>
      <c r="C91" s="16">
        <v>26</v>
      </c>
      <c r="D91" s="17" t="s">
        <v>191</v>
      </c>
      <c r="E91" s="17" t="s">
        <v>192</v>
      </c>
      <c r="F91" s="17">
        <v>106.5</v>
      </c>
      <c r="G91" s="17">
        <v>1059</v>
      </c>
      <c r="H91" s="17">
        <v>89</v>
      </c>
      <c r="I91" s="17">
        <v>6077</v>
      </c>
      <c r="J91" s="17">
        <v>110.25</v>
      </c>
      <c r="K91" s="17">
        <v>1435</v>
      </c>
      <c r="L91" s="17">
        <v>58.5</v>
      </c>
      <c r="M91" s="17">
        <v>2451</v>
      </c>
      <c r="N91" s="17"/>
      <c r="O91" s="17"/>
      <c r="P91" s="17"/>
      <c r="Q91" s="17"/>
      <c r="R91" s="17">
        <v>78</v>
      </c>
      <c r="S91" s="17">
        <v>2906</v>
      </c>
      <c r="T91" s="17">
        <v>75</v>
      </c>
      <c r="U91" s="17">
        <v>1363</v>
      </c>
      <c r="V91" s="17"/>
      <c r="W91" s="17"/>
      <c r="X91" s="15">
        <v>305.75</v>
      </c>
      <c r="Y91" s="17">
        <v>229</v>
      </c>
      <c r="Z91" s="17">
        <v>517.25</v>
      </c>
      <c r="AA91" s="17">
        <v>2449</v>
      </c>
      <c r="AB91" s="12">
        <v>232</v>
      </c>
    </row>
    <row r="92" ht="14.25" spans="1:28">
      <c r="A92" s="13">
        <v>90</v>
      </c>
      <c r="B92" s="15">
        <v>2</v>
      </c>
      <c r="C92" s="16">
        <v>27</v>
      </c>
      <c r="D92" s="17" t="s">
        <v>193</v>
      </c>
      <c r="E92" s="17" t="s">
        <v>194</v>
      </c>
      <c r="F92" s="17">
        <v>106</v>
      </c>
      <c r="G92" s="17">
        <v>1174</v>
      </c>
      <c r="H92" s="17">
        <v>109</v>
      </c>
      <c r="I92" s="17">
        <v>2105</v>
      </c>
      <c r="J92" s="17">
        <v>122</v>
      </c>
      <c r="K92" s="17">
        <v>371</v>
      </c>
      <c r="L92" s="17">
        <v>43</v>
      </c>
      <c r="M92" s="17">
        <v>5463</v>
      </c>
      <c r="N92" s="17"/>
      <c r="O92" s="17"/>
      <c r="P92" s="17"/>
      <c r="Q92" s="17"/>
      <c r="R92" s="17">
        <v>66</v>
      </c>
      <c r="S92" s="17">
        <v>6674</v>
      </c>
      <c r="T92" s="17">
        <v>81</v>
      </c>
      <c r="U92" s="17">
        <v>759</v>
      </c>
      <c r="V92" s="17"/>
      <c r="W92" s="17"/>
      <c r="X92" s="15">
        <v>337</v>
      </c>
      <c r="Y92" s="17">
        <v>37</v>
      </c>
      <c r="Z92" s="17">
        <v>527</v>
      </c>
      <c r="AA92" s="17">
        <v>2061</v>
      </c>
      <c r="AB92" s="12">
        <v>176</v>
      </c>
    </row>
    <row r="93" ht="14.25" spans="1:28">
      <c r="A93" s="13">
        <v>91</v>
      </c>
      <c r="B93" s="15">
        <v>2</v>
      </c>
      <c r="C93" s="16">
        <v>28</v>
      </c>
      <c r="D93" s="17" t="s">
        <v>195</v>
      </c>
      <c r="E93" s="17" t="s">
        <v>196</v>
      </c>
      <c r="F93" s="17">
        <v>81.5</v>
      </c>
      <c r="G93" s="17">
        <v>14072</v>
      </c>
      <c r="H93" s="17">
        <v>90.5</v>
      </c>
      <c r="I93" s="17">
        <v>5743</v>
      </c>
      <c r="J93" s="17">
        <v>98</v>
      </c>
      <c r="K93" s="17">
        <v>3454</v>
      </c>
      <c r="L93" s="17">
        <v>39</v>
      </c>
      <c r="M93" s="17">
        <v>6535</v>
      </c>
      <c r="N93" s="17"/>
      <c r="O93" s="17"/>
      <c r="P93" s="17"/>
      <c r="Q93" s="17"/>
      <c r="R93" s="17">
        <v>73</v>
      </c>
      <c r="S93" s="17">
        <v>4436</v>
      </c>
      <c r="T93" s="17">
        <v>65</v>
      </c>
      <c r="U93" s="17">
        <v>2551</v>
      </c>
      <c r="V93" s="17"/>
      <c r="W93" s="17"/>
      <c r="X93" s="15">
        <v>270</v>
      </c>
      <c r="Y93" s="17">
        <v>531</v>
      </c>
      <c r="Z93" s="17">
        <v>447</v>
      </c>
      <c r="AA93" s="17">
        <v>6327</v>
      </c>
      <c r="AB93" s="12">
        <v>549</v>
      </c>
    </row>
    <row r="94" ht="14.25" spans="1:28">
      <c r="A94" s="13">
        <v>92</v>
      </c>
      <c r="B94" s="15">
        <v>2</v>
      </c>
      <c r="C94" s="16">
        <v>29</v>
      </c>
      <c r="D94" s="17" t="s">
        <v>197</v>
      </c>
      <c r="E94" s="17" t="s">
        <v>198</v>
      </c>
      <c r="F94" s="17">
        <v>94.5</v>
      </c>
      <c r="G94" s="17">
        <v>6496</v>
      </c>
      <c r="H94" s="17">
        <v>105</v>
      </c>
      <c r="I94" s="17">
        <v>2810</v>
      </c>
      <c r="J94" s="17">
        <v>115.5</v>
      </c>
      <c r="K94" s="17">
        <v>849</v>
      </c>
      <c r="L94" s="17">
        <v>70.5</v>
      </c>
      <c r="M94" s="17">
        <v>821</v>
      </c>
      <c r="N94" s="17"/>
      <c r="O94" s="17"/>
      <c r="P94" s="17"/>
      <c r="Q94" s="17"/>
      <c r="R94" s="17">
        <v>90</v>
      </c>
      <c r="S94" s="17">
        <v>255</v>
      </c>
      <c r="T94" s="17">
        <v>88</v>
      </c>
      <c r="U94" s="17">
        <v>161</v>
      </c>
      <c r="V94" s="17"/>
      <c r="W94" s="17"/>
      <c r="X94" s="15">
        <v>315</v>
      </c>
      <c r="Y94" s="17">
        <v>149</v>
      </c>
      <c r="Z94" s="17">
        <v>563.5</v>
      </c>
      <c r="AA94" s="17">
        <v>913</v>
      </c>
      <c r="AB94" s="12">
        <v>63</v>
      </c>
    </row>
    <row r="95" ht="14.25" spans="1:28">
      <c r="A95" s="13">
        <v>93</v>
      </c>
      <c r="B95" s="15">
        <v>2</v>
      </c>
      <c r="C95" s="16">
        <v>30</v>
      </c>
      <c r="D95" s="17" t="s">
        <v>199</v>
      </c>
      <c r="E95" s="17" t="s">
        <v>200</v>
      </c>
      <c r="F95" s="17">
        <v>102</v>
      </c>
      <c r="G95" s="17">
        <v>2480</v>
      </c>
      <c r="H95" s="17">
        <v>107</v>
      </c>
      <c r="I95" s="17">
        <v>2461</v>
      </c>
      <c r="J95" s="17">
        <v>99.5</v>
      </c>
      <c r="K95" s="17">
        <v>3134</v>
      </c>
      <c r="L95" s="17">
        <v>56.5</v>
      </c>
      <c r="M95" s="17">
        <v>2801</v>
      </c>
      <c r="N95" s="17"/>
      <c r="O95" s="17"/>
      <c r="P95" s="17"/>
      <c r="Q95" s="17"/>
      <c r="R95" s="17">
        <v>84</v>
      </c>
      <c r="S95" s="17">
        <v>1490</v>
      </c>
      <c r="T95" s="17">
        <v>66</v>
      </c>
      <c r="U95" s="17">
        <v>2417</v>
      </c>
      <c r="V95" s="17"/>
      <c r="W95" s="17"/>
      <c r="X95" s="15">
        <v>308.5</v>
      </c>
      <c r="Y95" s="17">
        <v>210</v>
      </c>
      <c r="Z95" s="17">
        <v>515</v>
      </c>
      <c r="AA95" s="17">
        <v>2542</v>
      </c>
      <c r="AB95" s="12">
        <v>247</v>
      </c>
    </row>
    <row r="96" ht="14.25" spans="1:28">
      <c r="A96" s="13">
        <v>94</v>
      </c>
      <c r="B96" s="15">
        <v>2</v>
      </c>
      <c r="C96" s="16">
        <v>31</v>
      </c>
      <c r="D96" s="17" t="s">
        <v>201</v>
      </c>
      <c r="E96" s="17" t="s">
        <v>202</v>
      </c>
      <c r="F96" s="17">
        <v>96.5</v>
      </c>
      <c r="G96" s="17">
        <v>5262</v>
      </c>
      <c r="H96" s="17">
        <v>100.5</v>
      </c>
      <c r="I96" s="17">
        <v>3650</v>
      </c>
      <c r="J96" s="17">
        <v>101.5</v>
      </c>
      <c r="K96" s="17">
        <v>2779</v>
      </c>
      <c r="L96" s="17">
        <v>47</v>
      </c>
      <c r="M96" s="17">
        <v>4568</v>
      </c>
      <c r="N96" s="17"/>
      <c r="O96" s="17"/>
      <c r="P96" s="17"/>
      <c r="Q96" s="17"/>
      <c r="R96" s="17">
        <v>87</v>
      </c>
      <c r="S96" s="17">
        <v>883</v>
      </c>
      <c r="T96" s="17">
        <v>67</v>
      </c>
      <c r="U96" s="17">
        <v>2274</v>
      </c>
      <c r="V96" s="17"/>
      <c r="W96" s="17"/>
      <c r="X96" s="15">
        <v>298.5</v>
      </c>
      <c r="Y96" s="17">
        <v>289</v>
      </c>
      <c r="Z96" s="17">
        <v>499.5</v>
      </c>
      <c r="AA96" s="17">
        <v>3259</v>
      </c>
      <c r="AB96" s="12">
        <v>328</v>
      </c>
    </row>
    <row r="97" ht="14.25" spans="1:28">
      <c r="A97" s="13">
        <v>95</v>
      </c>
      <c r="B97" s="15">
        <v>2</v>
      </c>
      <c r="C97" s="16">
        <v>32</v>
      </c>
      <c r="D97" s="17" t="s">
        <v>203</v>
      </c>
      <c r="E97" s="17" t="s">
        <v>204</v>
      </c>
      <c r="F97" s="17">
        <v>96</v>
      </c>
      <c r="G97" s="17">
        <v>5544</v>
      </c>
      <c r="H97" s="17">
        <v>102.5</v>
      </c>
      <c r="I97" s="17">
        <v>3278</v>
      </c>
      <c r="J97" s="17">
        <v>94.75</v>
      </c>
      <c r="K97" s="17">
        <v>4171</v>
      </c>
      <c r="L97" s="17">
        <v>64.5</v>
      </c>
      <c r="M97" s="17">
        <v>1506</v>
      </c>
      <c r="N97" s="17"/>
      <c r="O97" s="17"/>
      <c r="P97" s="17"/>
      <c r="Q97" s="17"/>
      <c r="R97" s="17">
        <v>89</v>
      </c>
      <c r="S97" s="17">
        <v>415</v>
      </c>
      <c r="T97" s="17">
        <v>78</v>
      </c>
      <c r="U97" s="17">
        <v>1013</v>
      </c>
      <c r="V97" s="17"/>
      <c r="W97" s="17"/>
      <c r="X97" s="15">
        <v>293.25</v>
      </c>
      <c r="Y97" s="17">
        <v>334</v>
      </c>
      <c r="Z97" s="17">
        <v>524.75</v>
      </c>
      <c r="AA97" s="17">
        <v>2160</v>
      </c>
      <c r="AB97" s="12">
        <v>190</v>
      </c>
    </row>
    <row r="98" ht="14.25" spans="1:28">
      <c r="A98" s="13">
        <v>96</v>
      </c>
      <c r="B98" s="15">
        <v>2</v>
      </c>
      <c r="C98" s="16">
        <v>33</v>
      </c>
      <c r="D98" s="17" t="s">
        <v>205</v>
      </c>
      <c r="E98" s="17" t="s">
        <v>206</v>
      </c>
      <c r="F98" s="17">
        <v>91.5</v>
      </c>
      <c r="G98" s="17">
        <v>8306</v>
      </c>
      <c r="H98" s="17">
        <v>95</v>
      </c>
      <c r="I98" s="17">
        <v>4735</v>
      </c>
      <c r="J98" s="17">
        <v>105.5</v>
      </c>
      <c r="K98" s="17">
        <v>2098</v>
      </c>
      <c r="L98" s="17">
        <v>39</v>
      </c>
      <c r="M98" s="17">
        <v>6535</v>
      </c>
      <c r="N98" s="17"/>
      <c r="O98" s="17"/>
      <c r="P98" s="17"/>
      <c r="Q98" s="17"/>
      <c r="R98" s="17">
        <v>84</v>
      </c>
      <c r="S98" s="17">
        <v>1490</v>
      </c>
      <c r="T98" s="17">
        <v>78</v>
      </c>
      <c r="U98" s="17">
        <v>1013</v>
      </c>
      <c r="V98" s="17"/>
      <c r="W98" s="17"/>
      <c r="X98" s="15">
        <v>292</v>
      </c>
      <c r="Y98" s="17">
        <v>350</v>
      </c>
      <c r="Z98" s="17">
        <v>493</v>
      </c>
      <c r="AA98" s="17">
        <v>3601</v>
      </c>
      <c r="AB98" s="12">
        <v>360</v>
      </c>
    </row>
    <row r="99" ht="14.25" spans="1:28">
      <c r="A99" s="13">
        <v>97</v>
      </c>
      <c r="B99" s="15">
        <v>2</v>
      </c>
      <c r="C99" s="16">
        <v>34</v>
      </c>
      <c r="D99" s="17" t="s">
        <v>207</v>
      </c>
      <c r="E99" s="17" t="s">
        <v>208</v>
      </c>
      <c r="F99" s="17">
        <v>104</v>
      </c>
      <c r="G99" s="17">
        <v>1709</v>
      </c>
      <c r="H99" s="17">
        <v>88.5</v>
      </c>
      <c r="I99" s="17">
        <v>6176</v>
      </c>
      <c r="J99" s="17">
        <v>100.25</v>
      </c>
      <c r="K99" s="17">
        <v>3011</v>
      </c>
      <c r="L99" s="17">
        <v>47</v>
      </c>
      <c r="M99" s="17">
        <v>4568</v>
      </c>
      <c r="N99" s="17"/>
      <c r="O99" s="17"/>
      <c r="P99" s="17"/>
      <c r="Q99" s="17"/>
      <c r="R99" s="17">
        <v>70</v>
      </c>
      <c r="S99" s="17">
        <v>5497</v>
      </c>
      <c r="T99" s="17">
        <v>69</v>
      </c>
      <c r="U99" s="17">
        <v>2042</v>
      </c>
      <c r="V99" s="17"/>
      <c r="W99" s="17"/>
      <c r="X99" s="15">
        <v>292.75</v>
      </c>
      <c r="Y99" s="17">
        <v>343</v>
      </c>
      <c r="Z99" s="17">
        <v>478.75</v>
      </c>
      <c r="AA99" s="17">
        <v>4351</v>
      </c>
      <c r="AB99" s="12">
        <v>425</v>
      </c>
    </row>
    <row r="100" ht="14.25" spans="1:28">
      <c r="A100" s="13">
        <v>98</v>
      </c>
      <c r="B100" s="15">
        <v>2</v>
      </c>
      <c r="C100" s="16">
        <v>35</v>
      </c>
      <c r="D100" s="17" t="s">
        <v>209</v>
      </c>
      <c r="E100" s="17" t="s">
        <v>210</v>
      </c>
      <c r="F100" s="17">
        <v>95.75</v>
      </c>
      <c r="G100" s="17">
        <v>5826</v>
      </c>
      <c r="H100" s="17">
        <v>59.5</v>
      </c>
      <c r="I100" s="17">
        <v>11928</v>
      </c>
      <c r="J100" s="17">
        <v>64.5</v>
      </c>
      <c r="K100" s="17">
        <v>11584</v>
      </c>
      <c r="L100" s="17">
        <v>18.5</v>
      </c>
      <c r="M100" s="17">
        <v>14721</v>
      </c>
      <c r="N100" s="17"/>
      <c r="O100" s="17"/>
      <c r="P100" s="17"/>
      <c r="Q100" s="17"/>
      <c r="R100" s="17">
        <v>68</v>
      </c>
      <c r="S100" s="17">
        <v>6079</v>
      </c>
      <c r="T100" s="17">
        <v>80</v>
      </c>
      <c r="U100" s="17">
        <v>813</v>
      </c>
      <c r="V100" s="17"/>
      <c r="W100" s="17"/>
      <c r="X100" s="15">
        <v>219.75</v>
      </c>
      <c r="Y100" s="17">
        <v>653</v>
      </c>
      <c r="Z100" s="17">
        <v>386.25</v>
      </c>
      <c r="AA100" s="17">
        <v>10644</v>
      </c>
      <c r="AB100" s="12">
        <v>650</v>
      </c>
    </row>
    <row r="101" ht="14.25" spans="1:28">
      <c r="A101" s="13">
        <v>99</v>
      </c>
      <c r="B101" s="15">
        <v>2</v>
      </c>
      <c r="C101" s="16">
        <v>36</v>
      </c>
      <c r="D101" s="17" t="s">
        <v>211</v>
      </c>
      <c r="E101" s="17" t="s">
        <v>212</v>
      </c>
      <c r="F101" s="17">
        <v>98</v>
      </c>
      <c r="G101" s="17">
        <v>4423</v>
      </c>
      <c r="H101" s="17">
        <v>114</v>
      </c>
      <c r="I101" s="17">
        <v>1340</v>
      </c>
      <c r="J101" s="17">
        <v>77.5</v>
      </c>
      <c r="K101" s="17">
        <v>8422</v>
      </c>
      <c r="L101" s="17">
        <v>42</v>
      </c>
      <c r="M101" s="17">
        <v>5731</v>
      </c>
      <c r="N101" s="17"/>
      <c r="O101" s="17"/>
      <c r="P101" s="17"/>
      <c r="Q101" s="17"/>
      <c r="R101" s="17">
        <v>85</v>
      </c>
      <c r="S101" s="17">
        <v>1393</v>
      </c>
      <c r="T101" s="17">
        <v>71</v>
      </c>
      <c r="U101" s="17">
        <v>1907</v>
      </c>
      <c r="V101" s="17"/>
      <c r="W101" s="17"/>
      <c r="X101" s="15">
        <v>289.5</v>
      </c>
      <c r="Y101" s="17">
        <v>371</v>
      </c>
      <c r="Z101" s="17">
        <v>487.5</v>
      </c>
      <c r="AA101" s="17">
        <v>3869</v>
      </c>
      <c r="AB101" s="12">
        <v>389</v>
      </c>
    </row>
    <row r="102" ht="14.25" spans="1:28">
      <c r="A102" s="13">
        <v>100</v>
      </c>
      <c r="B102" s="15">
        <v>2</v>
      </c>
      <c r="C102" s="16">
        <v>37</v>
      </c>
      <c r="D102" s="17" t="s">
        <v>213</v>
      </c>
      <c r="E102" s="17" t="s">
        <v>214</v>
      </c>
      <c r="F102" s="17">
        <v>90</v>
      </c>
      <c r="G102" s="17">
        <v>9312</v>
      </c>
      <c r="H102" s="17">
        <v>66</v>
      </c>
      <c r="I102" s="17">
        <v>10699</v>
      </c>
      <c r="J102" s="17">
        <v>63.75</v>
      </c>
      <c r="K102" s="17">
        <v>11743</v>
      </c>
      <c r="L102" s="17">
        <v>49</v>
      </c>
      <c r="M102" s="17">
        <v>4146</v>
      </c>
      <c r="N102" s="17"/>
      <c r="O102" s="17"/>
      <c r="P102" s="17"/>
      <c r="Q102" s="17"/>
      <c r="R102" s="17">
        <v>87</v>
      </c>
      <c r="S102" s="17">
        <v>883</v>
      </c>
      <c r="T102" s="17">
        <v>72</v>
      </c>
      <c r="U102" s="17">
        <v>1741</v>
      </c>
      <c r="V102" s="17"/>
      <c r="W102" s="17"/>
      <c r="X102" s="15">
        <v>219.75</v>
      </c>
      <c r="Y102" s="17">
        <v>653</v>
      </c>
      <c r="Z102" s="17">
        <v>427.75</v>
      </c>
      <c r="AA102" s="17">
        <v>7663</v>
      </c>
      <c r="AB102" s="12">
        <v>607</v>
      </c>
    </row>
    <row r="103" ht="14.25" spans="1:28">
      <c r="A103" s="13">
        <v>101</v>
      </c>
      <c r="B103" s="15">
        <v>2</v>
      </c>
      <c r="C103" s="16">
        <v>38</v>
      </c>
      <c r="D103" s="17" t="s">
        <v>215</v>
      </c>
      <c r="E103" s="17" t="s">
        <v>216</v>
      </c>
      <c r="F103" s="17">
        <v>94.5</v>
      </c>
      <c r="G103" s="17">
        <v>6496</v>
      </c>
      <c r="H103" s="17">
        <v>93</v>
      </c>
      <c r="I103" s="17">
        <v>5192</v>
      </c>
      <c r="J103" s="17">
        <v>105.5</v>
      </c>
      <c r="K103" s="17">
        <v>2098</v>
      </c>
      <c r="L103" s="17">
        <v>46</v>
      </c>
      <c r="M103" s="17">
        <v>4785</v>
      </c>
      <c r="N103" s="17"/>
      <c r="O103" s="17"/>
      <c r="P103" s="17"/>
      <c r="Q103" s="17"/>
      <c r="R103" s="17">
        <v>84</v>
      </c>
      <c r="S103" s="17">
        <v>1490</v>
      </c>
      <c r="T103" s="17">
        <v>77</v>
      </c>
      <c r="U103" s="17">
        <v>1152</v>
      </c>
      <c r="V103" s="17"/>
      <c r="W103" s="17"/>
      <c r="X103" s="15">
        <v>293</v>
      </c>
      <c r="Y103" s="17">
        <v>335</v>
      </c>
      <c r="Z103" s="17">
        <v>500</v>
      </c>
      <c r="AA103" s="17">
        <v>3248</v>
      </c>
      <c r="AB103" s="12">
        <v>327</v>
      </c>
    </row>
    <row r="104" ht="14.25" spans="1:28">
      <c r="A104" s="13">
        <v>102</v>
      </c>
      <c r="B104" s="15">
        <v>2</v>
      </c>
      <c r="C104" s="16">
        <v>39</v>
      </c>
      <c r="D104" s="17" t="s">
        <v>217</v>
      </c>
      <c r="E104" s="17" t="s">
        <v>218</v>
      </c>
      <c r="F104" s="17">
        <v>91.5</v>
      </c>
      <c r="G104" s="17">
        <v>8306</v>
      </c>
      <c r="H104" s="17">
        <v>84.5</v>
      </c>
      <c r="I104" s="17">
        <v>7091</v>
      </c>
      <c r="J104" s="17">
        <v>91.5</v>
      </c>
      <c r="K104" s="17">
        <v>4916</v>
      </c>
      <c r="L104" s="17">
        <v>37</v>
      </c>
      <c r="M104" s="17">
        <v>7118</v>
      </c>
      <c r="N104" s="17"/>
      <c r="O104" s="17"/>
      <c r="P104" s="17"/>
      <c r="Q104" s="17"/>
      <c r="R104" s="17">
        <v>59</v>
      </c>
      <c r="S104" s="17">
        <v>8934</v>
      </c>
      <c r="T104" s="17">
        <v>71</v>
      </c>
      <c r="U104" s="17">
        <v>1907</v>
      </c>
      <c r="V104" s="17"/>
      <c r="W104" s="17"/>
      <c r="X104" s="15">
        <v>267.5</v>
      </c>
      <c r="Y104" s="17">
        <v>543</v>
      </c>
      <c r="Z104" s="17">
        <v>434.5</v>
      </c>
      <c r="AA104" s="17">
        <v>7170</v>
      </c>
      <c r="AB104" s="12">
        <v>588</v>
      </c>
    </row>
    <row r="105" ht="14.25" spans="1:28">
      <c r="A105" s="13">
        <v>103</v>
      </c>
      <c r="B105" s="15">
        <v>2</v>
      </c>
      <c r="C105" s="16">
        <v>40</v>
      </c>
      <c r="D105" s="17" t="s">
        <v>219</v>
      </c>
      <c r="E105" s="17" t="s">
        <v>220</v>
      </c>
      <c r="F105" s="17">
        <v>104</v>
      </c>
      <c r="G105" s="17">
        <v>1709</v>
      </c>
      <c r="H105" s="17">
        <v>75</v>
      </c>
      <c r="I105" s="17">
        <v>9019</v>
      </c>
      <c r="J105" s="17">
        <v>93</v>
      </c>
      <c r="K105" s="17">
        <v>4548</v>
      </c>
      <c r="L105" s="17">
        <v>41</v>
      </c>
      <c r="M105" s="17">
        <v>5993</v>
      </c>
      <c r="N105" s="17"/>
      <c r="O105" s="17"/>
      <c r="P105" s="17"/>
      <c r="Q105" s="17"/>
      <c r="R105" s="17">
        <v>72</v>
      </c>
      <c r="S105" s="17">
        <v>4793</v>
      </c>
      <c r="T105" s="17">
        <v>71</v>
      </c>
      <c r="U105" s="17">
        <v>1907</v>
      </c>
      <c r="V105" s="17"/>
      <c r="W105" s="17"/>
      <c r="X105" s="15">
        <v>272</v>
      </c>
      <c r="Y105" s="17">
        <v>514</v>
      </c>
      <c r="Z105" s="17">
        <v>456</v>
      </c>
      <c r="AA105" s="17">
        <v>5731</v>
      </c>
      <c r="AB105" s="12">
        <v>524</v>
      </c>
    </row>
    <row r="106" ht="14.25" spans="1:28">
      <c r="A106" s="13">
        <v>104</v>
      </c>
      <c r="B106" s="15">
        <v>2</v>
      </c>
      <c r="C106" s="16">
        <v>41</v>
      </c>
      <c r="D106" s="17" t="s">
        <v>221</v>
      </c>
      <c r="E106" s="17" t="s">
        <v>222</v>
      </c>
      <c r="F106" s="17">
        <v>96</v>
      </c>
      <c r="G106" s="17">
        <v>5544</v>
      </c>
      <c r="H106" s="17">
        <v>45.5</v>
      </c>
      <c r="I106" s="17">
        <v>14140</v>
      </c>
      <c r="J106" s="17">
        <v>99.25</v>
      </c>
      <c r="K106" s="17">
        <v>3211</v>
      </c>
      <c r="L106" s="17">
        <v>28</v>
      </c>
      <c r="M106" s="17">
        <v>10280</v>
      </c>
      <c r="N106" s="17"/>
      <c r="O106" s="17"/>
      <c r="P106" s="17"/>
      <c r="Q106" s="17"/>
      <c r="R106" s="17">
        <v>86</v>
      </c>
      <c r="S106" s="17">
        <v>1176</v>
      </c>
      <c r="T106" s="17">
        <v>69</v>
      </c>
      <c r="U106" s="17">
        <v>2042</v>
      </c>
      <c r="V106" s="17"/>
      <c r="W106" s="17"/>
      <c r="X106" s="15">
        <v>240.75</v>
      </c>
      <c r="Y106" s="17">
        <v>631</v>
      </c>
      <c r="Z106" s="17">
        <v>423.75</v>
      </c>
      <c r="AA106" s="17">
        <v>7946</v>
      </c>
      <c r="AB106" s="12">
        <v>617</v>
      </c>
    </row>
    <row r="107" ht="14.25" spans="1:28">
      <c r="A107" s="13">
        <v>105</v>
      </c>
      <c r="B107" s="15">
        <v>2</v>
      </c>
      <c r="C107" s="16">
        <v>43</v>
      </c>
      <c r="D107" s="17" t="s">
        <v>223</v>
      </c>
      <c r="E107" s="17" t="s">
        <v>224</v>
      </c>
      <c r="F107" s="17">
        <v>101.5</v>
      </c>
      <c r="G107" s="17">
        <v>2674</v>
      </c>
      <c r="H107" s="17">
        <v>99.5</v>
      </c>
      <c r="I107" s="17">
        <v>3847</v>
      </c>
      <c r="J107" s="17">
        <v>98</v>
      </c>
      <c r="K107" s="17">
        <v>3454</v>
      </c>
      <c r="L107" s="17">
        <v>58.5</v>
      </c>
      <c r="M107" s="17">
        <v>2451</v>
      </c>
      <c r="N107" s="17"/>
      <c r="O107" s="17"/>
      <c r="P107" s="17"/>
      <c r="Q107" s="17"/>
      <c r="R107" s="17">
        <v>75</v>
      </c>
      <c r="S107" s="17">
        <v>3790</v>
      </c>
      <c r="T107" s="17">
        <v>88</v>
      </c>
      <c r="U107" s="17">
        <v>161</v>
      </c>
      <c r="V107" s="17"/>
      <c r="W107" s="17"/>
      <c r="X107" s="15">
        <v>299</v>
      </c>
      <c r="Y107" s="17">
        <v>284</v>
      </c>
      <c r="Z107" s="17">
        <v>520.5</v>
      </c>
      <c r="AA107" s="17">
        <v>2332</v>
      </c>
      <c r="AB107" s="12">
        <v>214</v>
      </c>
    </row>
    <row r="108" ht="14.25" spans="1:28">
      <c r="A108" s="13">
        <v>106</v>
      </c>
      <c r="B108" s="15">
        <v>2</v>
      </c>
      <c r="C108" s="16">
        <v>44</v>
      </c>
      <c r="D108" s="17" t="s">
        <v>225</v>
      </c>
      <c r="E108" s="17" t="s">
        <v>226</v>
      </c>
      <c r="F108" s="17">
        <v>113.5</v>
      </c>
      <c r="G108" s="17">
        <v>139</v>
      </c>
      <c r="H108" s="17">
        <v>94.5</v>
      </c>
      <c r="I108" s="17">
        <v>4840</v>
      </c>
      <c r="J108" s="17">
        <v>95.75</v>
      </c>
      <c r="K108" s="17">
        <v>3946</v>
      </c>
      <c r="L108" s="17">
        <v>36.5</v>
      </c>
      <c r="M108" s="17">
        <v>7270</v>
      </c>
      <c r="N108" s="17"/>
      <c r="O108" s="17"/>
      <c r="P108" s="17"/>
      <c r="Q108" s="17"/>
      <c r="R108" s="17">
        <v>86</v>
      </c>
      <c r="S108" s="17">
        <v>1176</v>
      </c>
      <c r="T108" s="17">
        <v>87</v>
      </c>
      <c r="U108" s="17">
        <v>259</v>
      </c>
      <c r="V108" s="17"/>
      <c r="W108" s="17"/>
      <c r="X108" s="15">
        <v>303.75</v>
      </c>
      <c r="Y108" s="17">
        <v>248</v>
      </c>
      <c r="Z108" s="17">
        <v>513.25</v>
      </c>
      <c r="AA108" s="17">
        <v>2629</v>
      </c>
      <c r="AB108" s="12">
        <v>256</v>
      </c>
    </row>
    <row r="109" ht="14.25" spans="1:28">
      <c r="A109" s="13">
        <v>107</v>
      </c>
      <c r="B109" s="15">
        <v>2</v>
      </c>
      <c r="C109" s="16">
        <v>46</v>
      </c>
      <c r="D109" s="17" t="s">
        <v>227</v>
      </c>
      <c r="E109" s="17" t="s">
        <v>228</v>
      </c>
      <c r="F109" s="17">
        <v>98.25</v>
      </c>
      <c r="G109" s="17">
        <v>4392</v>
      </c>
      <c r="H109" s="17">
        <v>71.5</v>
      </c>
      <c r="I109" s="17">
        <v>9696</v>
      </c>
      <c r="J109" s="17">
        <v>122</v>
      </c>
      <c r="K109" s="17">
        <v>371</v>
      </c>
      <c r="L109" s="17">
        <v>33.5</v>
      </c>
      <c r="M109" s="17">
        <v>8240</v>
      </c>
      <c r="N109" s="17"/>
      <c r="O109" s="17"/>
      <c r="P109" s="17"/>
      <c r="Q109" s="17"/>
      <c r="R109" s="17">
        <v>67</v>
      </c>
      <c r="S109" s="17">
        <v>6298</v>
      </c>
      <c r="T109" s="17">
        <v>75</v>
      </c>
      <c r="U109" s="17">
        <v>1363</v>
      </c>
      <c r="V109" s="17"/>
      <c r="W109" s="17"/>
      <c r="X109" s="15">
        <v>291.75</v>
      </c>
      <c r="Y109" s="17">
        <v>355</v>
      </c>
      <c r="Z109" s="17">
        <v>467.25</v>
      </c>
      <c r="AA109" s="17">
        <v>5021</v>
      </c>
      <c r="AB109" s="12">
        <v>474</v>
      </c>
    </row>
    <row r="110" ht="14.25" spans="1:28">
      <c r="A110" s="13">
        <v>108</v>
      </c>
      <c r="B110" s="15">
        <v>2</v>
      </c>
      <c r="C110" s="16">
        <v>47</v>
      </c>
      <c r="D110" s="17" t="s">
        <v>229</v>
      </c>
      <c r="E110" s="17" t="s">
        <v>230</v>
      </c>
      <c r="F110" s="17">
        <v>98.5</v>
      </c>
      <c r="G110" s="17">
        <v>4145</v>
      </c>
      <c r="H110" s="17">
        <v>63</v>
      </c>
      <c r="I110" s="17">
        <v>11279</v>
      </c>
      <c r="J110" s="17">
        <v>116.25</v>
      </c>
      <c r="K110" s="17">
        <v>797</v>
      </c>
      <c r="L110" s="17">
        <v>35</v>
      </c>
      <c r="M110" s="17">
        <v>7732</v>
      </c>
      <c r="N110" s="17"/>
      <c r="O110" s="17"/>
      <c r="P110" s="17"/>
      <c r="Q110" s="17"/>
      <c r="R110" s="17">
        <v>76</v>
      </c>
      <c r="S110" s="17">
        <v>3491</v>
      </c>
      <c r="T110" s="17">
        <v>78</v>
      </c>
      <c r="U110" s="17">
        <v>1013</v>
      </c>
      <c r="V110" s="17"/>
      <c r="W110" s="17"/>
      <c r="X110" s="15">
        <v>277.75</v>
      </c>
      <c r="Y110" s="17">
        <v>477</v>
      </c>
      <c r="Z110" s="17">
        <v>466.75</v>
      </c>
      <c r="AA110" s="17">
        <v>5050</v>
      </c>
      <c r="AB110" s="12">
        <v>477</v>
      </c>
    </row>
    <row r="111" ht="14.25" spans="1:28">
      <c r="A111" s="13">
        <v>109</v>
      </c>
      <c r="B111" s="15">
        <v>2</v>
      </c>
      <c r="C111" s="16">
        <v>48</v>
      </c>
      <c r="D111" s="17" t="s">
        <v>231</v>
      </c>
      <c r="E111" s="17" t="s">
        <v>232</v>
      </c>
      <c r="F111" s="17">
        <v>103.5</v>
      </c>
      <c r="G111" s="17">
        <v>1897</v>
      </c>
      <c r="H111" s="17">
        <v>92.5</v>
      </c>
      <c r="I111" s="17">
        <v>5299</v>
      </c>
      <c r="J111" s="17">
        <v>77.5</v>
      </c>
      <c r="K111" s="17">
        <v>8422</v>
      </c>
      <c r="L111" s="17">
        <v>38</v>
      </c>
      <c r="M111" s="17">
        <v>6823</v>
      </c>
      <c r="N111" s="17"/>
      <c r="O111" s="17"/>
      <c r="P111" s="17"/>
      <c r="Q111" s="17"/>
      <c r="R111" s="17">
        <v>71</v>
      </c>
      <c r="S111" s="17">
        <v>5151</v>
      </c>
      <c r="T111" s="17">
        <v>76</v>
      </c>
      <c r="U111" s="17">
        <v>1295</v>
      </c>
      <c r="V111" s="17"/>
      <c r="W111" s="17"/>
      <c r="X111" s="15">
        <v>273.5</v>
      </c>
      <c r="Y111" s="17">
        <v>505</v>
      </c>
      <c r="Z111" s="17">
        <v>458.5</v>
      </c>
      <c r="AA111" s="17">
        <v>5560</v>
      </c>
      <c r="AB111" s="12">
        <v>514</v>
      </c>
    </row>
    <row r="112" ht="14.25" spans="1:28">
      <c r="A112" s="13">
        <v>110</v>
      </c>
      <c r="B112" s="15">
        <v>2</v>
      </c>
      <c r="C112" s="16">
        <v>49</v>
      </c>
      <c r="D112" s="17" t="s">
        <v>233</v>
      </c>
      <c r="E112" s="17" t="s">
        <v>234</v>
      </c>
      <c r="F112" s="17">
        <v>95.75</v>
      </c>
      <c r="G112" s="17">
        <v>5826</v>
      </c>
      <c r="H112" s="17">
        <v>116.5</v>
      </c>
      <c r="I112" s="17">
        <v>1035</v>
      </c>
      <c r="J112" s="17">
        <v>89.75</v>
      </c>
      <c r="K112" s="17">
        <v>5344</v>
      </c>
      <c r="L112" s="17">
        <v>45</v>
      </c>
      <c r="M112" s="17">
        <v>5014</v>
      </c>
      <c r="N112" s="17"/>
      <c r="O112" s="17"/>
      <c r="P112" s="17"/>
      <c r="Q112" s="17"/>
      <c r="R112" s="17">
        <v>81</v>
      </c>
      <c r="S112" s="17">
        <v>2139</v>
      </c>
      <c r="T112" s="17">
        <v>84</v>
      </c>
      <c r="U112" s="17">
        <v>506</v>
      </c>
      <c r="V112" s="17"/>
      <c r="W112" s="17"/>
      <c r="X112" s="15">
        <v>302</v>
      </c>
      <c r="Y112" s="17">
        <v>261</v>
      </c>
      <c r="Z112" s="17">
        <v>512</v>
      </c>
      <c r="AA112" s="17">
        <v>2673</v>
      </c>
      <c r="AB112" s="12">
        <v>261</v>
      </c>
    </row>
    <row r="113" ht="14.25" spans="1:28">
      <c r="A113" s="13">
        <v>111</v>
      </c>
      <c r="B113" s="15">
        <v>2</v>
      </c>
      <c r="C113" s="16">
        <v>50</v>
      </c>
      <c r="D113" s="17" t="s">
        <v>235</v>
      </c>
      <c r="E113" s="17" t="s">
        <v>236</v>
      </c>
      <c r="F113" s="17">
        <v>99</v>
      </c>
      <c r="G113" s="17">
        <v>3868</v>
      </c>
      <c r="H113" s="17">
        <v>98</v>
      </c>
      <c r="I113" s="17">
        <v>4147</v>
      </c>
      <c r="J113" s="17">
        <v>86.25</v>
      </c>
      <c r="K113" s="17">
        <v>6223</v>
      </c>
      <c r="L113" s="17">
        <v>43</v>
      </c>
      <c r="M113" s="17">
        <v>5463</v>
      </c>
      <c r="N113" s="17"/>
      <c r="O113" s="17"/>
      <c r="P113" s="17"/>
      <c r="Q113" s="17"/>
      <c r="R113" s="17">
        <v>66</v>
      </c>
      <c r="S113" s="17">
        <v>6674</v>
      </c>
      <c r="T113" s="17">
        <v>87</v>
      </c>
      <c r="U113" s="17">
        <v>259</v>
      </c>
      <c r="V113" s="17"/>
      <c r="W113" s="17"/>
      <c r="X113" s="15">
        <v>283.25</v>
      </c>
      <c r="Y113" s="17">
        <v>416</v>
      </c>
      <c r="Z113" s="17">
        <v>479.25</v>
      </c>
      <c r="AA113" s="17">
        <v>4322</v>
      </c>
      <c r="AB113" s="12">
        <v>423</v>
      </c>
    </row>
    <row r="114" ht="14.25" spans="1:28">
      <c r="A114" s="13">
        <v>112</v>
      </c>
      <c r="B114" s="15">
        <v>3</v>
      </c>
      <c r="C114" s="16">
        <v>1</v>
      </c>
      <c r="D114" s="17" t="s">
        <v>237</v>
      </c>
      <c r="E114" s="17" t="s">
        <v>238</v>
      </c>
      <c r="F114" s="17">
        <v>93</v>
      </c>
      <c r="G114" s="17">
        <v>7407</v>
      </c>
      <c r="H114" s="17">
        <v>103</v>
      </c>
      <c r="I114" s="17">
        <v>3209</v>
      </c>
      <c r="J114" s="17">
        <v>118.25</v>
      </c>
      <c r="K114" s="17">
        <v>630</v>
      </c>
      <c r="L114" s="17">
        <v>50</v>
      </c>
      <c r="M114" s="17">
        <v>3933</v>
      </c>
      <c r="N114" s="17"/>
      <c r="O114" s="17"/>
      <c r="P114" s="17">
        <v>51</v>
      </c>
      <c r="Q114" s="17">
        <v>10643</v>
      </c>
      <c r="R114" s="17"/>
      <c r="S114" s="17"/>
      <c r="T114" s="17"/>
      <c r="U114" s="17"/>
      <c r="V114" s="17">
        <v>63</v>
      </c>
      <c r="W114" s="17">
        <v>3260</v>
      </c>
      <c r="X114" s="15">
        <v>314.25</v>
      </c>
      <c r="Y114" s="17">
        <v>154</v>
      </c>
      <c r="Z114" s="17">
        <v>478.25</v>
      </c>
      <c r="AA114" s="17">
        <v>4381</v>
      </c>
      <c r="AB114" s="12">
        <v>426</v>
      </c>
    </row>
    <row r="115" ht="14.25" spans="1:28">
      <c r="A115" s="13">
        <v>113</v>
      </c>
      <c r="B115" s="15">
        <v>3</v>
      </c>
      <c r="C115" s="16">
        <v>2</v>
      </c>
      <c r="D115" s="17" t="s">
        <v>239</v>
      </c>
      <c r="E115" s="17" t="s">
        <v>240</v>
      </c>
      <c r="F115" s="17">
        <v>75</v>
      </c>
      <c r="G115" s="17">
        <v>16100</v>
      </c>
      <c r="H115" s="17">
        <v>82</v>
      </c>
      <c r="I115" s="17">
        <v>7634</v>
      </c>
      <c r="J115" s="17">
        <v>73.25</v>
      </c>
      <c r="K115" s="17">
        <v>9584</v>
      </c>
      <c r="L115" s="17">
        <v>34.5</v>
      </c>
      <c r="M115" s="17">
        <v>7899</v>
      </c>
      <c r="N115" s="17"/>
      <c r="O115" s="17"/>
      <c r="P115" s="17">
        <v>67</v>
      </c>
      <c r="Q115" s="17">
        <v>6384</v>
      </c>
      <c r="R115" s="17"/>
      <c r="S115" s="17"/>
      <c r="T115" s="17"/>
      <c r="U115" s="17"/>
      <c r="V115" s="17">
        <v>60</v>
      </c>
      <c r="W115" s="17">
        <v>3646</v>
      </c>
      <c r="X115" s="15">
        <v>230.25</v>
      </c>
      <c r="Y115" s="17">
        <v>647</v>
      </c>
      <c r="Z115" s="17">
        <v>391.75</v>
      </c>
      <c r="AA115" s="17">
        <v>10230</v>
      </c>
      <c r="AB115" s="12">
        <v>643</v>
      </c>
    </row>
    <row r="116" ht="14.25" spans="1:28">
      <c r="A116" s="13">
        <v>114</v>
      </c>
      <c r="B116" s="15">
        <v>3</v>
      </c>
      <c r="C116" s="16">
        <v>3</v>
      </c>
      <c r="D116" s="17" t="s">
        <v>241</v>
      </c>
      <c r="E116" s="17" t="s">
        <v>242</v>
      </c>
      <c r="F116" s="17">
        <v>89.5</v>
      </c>
      <c r="G116" s="17">
        <v>9648</v>
      </c>
      <c r="H116" s="17">
        <v>89.5</v>
      </c>
      <c r="I116" s="17">
        <v>5946</v>
      </c>
      <c r="J116" s="17">
        <v>85.75</v>
      </c>
      <c r="K116" s="17">
        <v>6343</v>
      </c>
      <c r="L116" s="17">
        <v>48.5</v>
      </c>
      <c r="M116" s="17">
        <v>4255</v>
      </c>
      <c r="N116" s="17"/>
      <c r="O116" s="17"/>
      <c r="P116" s="17">
        <v>63</v>
      </c>
      <c r="Q116" s="17">
        <v>7666</v>
      </c>
      <c r="R116" s="17"/>
      <c r="S116" s="17"/>
      <c r="T116" s="17"/>
      <c r="U116" s="17"/>
      <c r="V116" s="17">
        <v>73</v>
      </c>
      <c r="W116" s="17">
        <v>1853</v>
      </c>
      <c r="X116" s="15">
        <v>264.75</v>
      </c>
      <c r="Y116" s="17">
        <v>557</v>
      </c>
      <c r="Z116" s="17">
        <v>449.25</v>
      </c>
      <c r="AA116" s="17">
        <v>6185</v>
      </c>
      <c r="AB116" s="12">
        <v>542</v>
      </c>
    </row>
    <row r="117" ht="14.25" spans="1:28">
      <c r="A117" s="13">
        <v>115</v>
      </c>
      <c r="B117" s="15">
        <v>3</v>
      </c>
      <c r="C117" s="16">
        <v>4</v>
      </c>
      <c r="D117" s="17" t="s">
        <v>243</v>
      </c>
      <c r="E117" s="17" t="s">
        <v>244</v>
      </c>
      <c r="F117" s="17">
        <v>90.5</v>
      </c>
      <c r="G117" s="17">
        <v>8999</v>
      </c>
      <c r="H117" s="17">
        <v>69.5</v>
      </c>
      <c r="I117" s="17">
        <v>10065</v>
      </c>
      <c r="J117" s="17">
        <v>92.5</v>
      </c>
      <c r="K117" s="17">
        <v>4660</v>
      </c>
      <c r="L117" s="17">
        <v>40</v>
      </c>
      <c r="M117" s="17">
        <v>6265</v>
      </c>
      <c r="N117" s="17"/>
      <c r="O117" s="17"/>
      <c r="P117" s="17">
        <v>51</v>
      </c>
      <c r="Q117" s="17">
        <v>10643</v>
      </c>
      <c r="R117" s="17"/>
      <c r="S117" s="17"/>
      <c r="T117" s="17"/>
      <c r="U117" s="17"/>
      <c r="V117" s="17">
        <v>67</v>
      </c>
      <c r="W117" s="17">
        <v>2619</v>
      </c>
      <c r="X117" s="15">
        <v>252.5</v>
      </c>
      <c r="Y117" s="17">
        <v>605</v>
      </c>
      <c r="Z117" s="17">
        <v>410.5</v>
      </c>
      <c r="AA117" s="17">
        <v>8910</v>
      </c>
      <c r="AB117" s="12">
        <v>631</v>
      </c>
    </row>
    <row r="118" ht="14.25" spans="1:28">
      <c r="A118" s="13">
        <v>116</v>
      </c>
      <c r="B118" s="15">
        <v>3</v>
      </c>
      <c r="C118" s="16">
        <v>5</v>
      </c>
      <c r="D118" s="17" t="s">
        <v>245</v>
      </c>
      <c r="E118" s="17" t="s">
        <v>246</v>
      </c>
      <c r="F118" s="17">
        <v>98.5</v>
      </c>
      <c r="G118" s="17">
        <v>4145</v>
      </c>
      <c r="H118" s="17">
        <v>79</v>
      </c>
      <c r="I118" s="17">
        <v>8244</v>
      </c>
      <c r="J118" s="17">
        <v>100.5</v>
      </c>
      <c r="K118" s="17">
        <v>2946</v>
      </c>
      <c r="L118" s="17">
        <v>50.5</v>
      </c>
      <c r="M118" s="17">
        <v>3830</v>
      </c>
      <c r="N118" s="17"/>
      <c r="O118" s="17"/>
      <c r="P118" s="17">
        <v>87</v>
      </c>
      <c r="Q118" s="17">
        <v>681</v>
      </c>
      <c r="R118" s="17"/>
      <c r="S118" s="17"/>
      <c r="T118" s="17"/>
      <c r="U118" s="17"/>
      <c r="V118" s="17">
        <v>87</v>
      </c>
      <c r="W118" s="17">
        <v>273</v>
      </c>
      <c r="X118" s="15">
        <v>278</v>
      </c>
      <c r="Y118" s="17">
        <v>469</v>
      </c>
      <c r="Z118" s="17">
        <v>502.5</v>
      </c>
      <c r="AA118" s="17">
        <v>3122</v>
      </c>
      <c r="AB118" s="12">
        <v>312</v>
      </c>
    </row>
    <row r="119" ht="14.25" spans="1:28">
      <c r="A119" s="13">
        <v>117</v>
      </c>
      <c r="B119" s="15">
        <v>3</v>
      </c>
      <c r="C119" s="16">
        <v>6</v>
      </c>
      <c r="D119" s="17" t="s">
        <v>247</v>
      </c>
      <c r="E119" s="17" t="s">
        <v>248</v>
      </c>
      <c r="F119" s="17">
        <v>99</v>
      </c>
      <c r="G119" s="17">
        <v>3868</v>
      </c>
      <c r="H119" s="17">
        <v>82.5</v>
      </c>
      <c r="I119" s="17">
        <v>7529</v>
      </c>
      <c r="J119" s="17">
        <v>100.75</v>
      </c>
      <c r="K119" s="17">
        <v>2915</v>
      </c>
      <c r="L119" s="17">
        <v>53</v>
      </c>
      <c r="M119" s="17">
        <v>3368</v>
      </c>
      <c r="N119" s="17"/>
      <c r="O119" s="17"/>
      <c r="P119" s="17">
        <v>80</v>
      </c>
      <c r="Q119" s="17">
        <v>2333</v>
      </c>
      <c r="R119" s="17"/>
      <c r="S119" s="17"/>
      <c r="T119" s="17"/>
      <c r="U119" s="17"/>
      <c r="V119" s="17">
        <v>85</v>
      </c>
      <c r="W119" s="17">
        <v>530</v>
      </c>
      <c r="X119" s="15">
        <v>282.25</v>
      </c>
      <c r="Y119" s="17">
        <v>430</v>
      </c>
      <c r="Z119" s="17">
        <v>500.25</v>
      </c>
      <c r="AA119" s="17">
        <v>3240</v>
      </c>
      <c r="AB119" s="12">
        <v>324</v>
      </c>
    </row>
    <row r="120" ht="14.25" spans="1:28">
      <c r="A120" s="13">
        <v>118</v>
      </c>
      <c r="B120" s="15">
        <v>3</v>
      </c>
      <c r="C120" s="16">
        <v>7</v>
      </c>
      <c r="D120" s="17" t="s">
        <v>249</v>
      </c>
      <c r="E120" s="17" t="s">
        <v>250</v>
      </c>
      <c r="F120" s="17">
        <v>101</v>
      </c>
      <c r="G120" s="17">
        <v>2896</v>
      </c>
      <c r="H120" s="17">
        <v>102</v>
      </c>
      <c r="I120" s="17">
        <v>3381</v>
      </c>
      <c r="J120" s="17">
        <v>128.25</v>
      </c>
      <c r="K120" s="17">
        <v>115</v>
      </c>
      <c r="L120" s="17">
        <v>44.5</v>
      </c>
      <c r="M120" s="17">
        <v>5122</v>
      </c>
      <c r="N120" s="17"/>
      <c r="O120" s="17"/>
      <c r="P120" s="17">
        <v>76</v>
      </c>
      <c r="Q120" s="17">
        <v>3515</v>
      </c>
      <c r="R120" s="17"/>
      <c r="S120" s="17"/>
      <c r="T120" s="17"/>
      <c r="U120" s="17"/>
      <c r="V120" s="17">
        <v>88</v>
      </c>
      <c r="W120" s="17">
        <v>165</v>
      </c>
      <c r="X120" s="15">
        <v>331.25</v>
      </c>
      <c r="Y120" s="17">
        <v>60</v>
      </c>
      <c r="Z120" s="17">
        <v>539.75</v>
      </c>
      <c r="AA120" s="17">
        <v>1628</v>
      </c>
      <c r="AB120" s="12">
        <v>132</v>
      </c>
    </row>
    <row r="121" ht="14.25" spans="1:28">
      <c r="A121" s="13">
        <v>119</v>
      </c>
      <c r="B121" s="15">
        <v>3</v>
      </c>
      <c r="C121" s="16">
        <v>8</v>
      </c>
      <c r="D121" s="17" t="s">
        <v>251</v>
      </c>
      <c r="E121" s="17" t="s">
        <v>252</v>
      </c>
      <c r="F121" s="17">
        <v>92.25</v>
      </c>
      <c r="G121" s="17">
        <v>7961</v>
      </c>
      <c r="H121" s="17">
        <v>104.5</v>
      </c>
      <c r="I121" s="17">
        <v>2895</v>
      </c>
      <c r="J121" s="17">
        <v>69.25</v>
      </c>
      <c r="K121" s="17">
        <v>10515</v>
      </c>
      <c r="L121" s="17">
        <v>48.5</v>
      </c>
      <c r="M121" s="17">
        <v>4255</v>
      </c>
      <c r="N121" s="17"/>
      <c r="O121" s="17"/>
      <c r="P121" s="17">
        <v>61</v>
      </c>
      <c r="Q121" s="17">
        <v>8358</v>
      </c>
      <c r="R121" s="17"/>
      <c r="S121" s="17"/>
      <c r="T121" s="17"/>
      <c r="U121" s="17"/>
      <c r="V121" s="17">
        <v>82</v>
      </c>
      <c r="W121" s="17">
        <v>723</v>
      </c>
      <c r="X121" s="15">
        <v>266</v>
      </c>
      <c r="Y121" s="17">
        <v>549</v>
      </c>
      <c r="Z121" s="17">
        <v>457.5</v>
      </c>
      <c r="AA121" s="17">
        <v>5634</v>
      </c>
      <c r="AB121" s="12">
        <v>518</v>
      </c>
    </row>
    <row r="122" ht="14.25" spans="1:28">
      <c r="A122" s="13">
        <v>120</v>
      </c>
      <c r="B122" s="15">
        <v>3</v>
      </c>
      <c r="C122" s="16">
        <v>9</v>
      </c>
      <c r="D122" s="17" t="s">
        <v>253</v>
      </c>
      <c r="E122" s="17" t="s">
        <v>254</v>
      </c>
      <c r="F122" s="17">
        <v>98</v>
      </c>
      <c r="G122" s="17">
        <v>4423</v>
      </c>
      <c r="H122" s="17">
        <v>95</v>
      </c>
      <c r="I122" s="17">
        <v>4735</v>
      </c>
      <c r="J122" s="17">
        <v>82</v>
      </c>
      <c r="K122" s="17">
        <v>7249</v>
      </c>
      <c r="L122" s="17">
        <v>51.5</v>
      </c>
      <c r="M122" s="17">
        <v>3642</v>
      </c>
      <c r="N122" s="17"/>
      <c r="O122" s="17"/>
      <c r="P122" s="17">
        <v>54</v>
      </c>
      <c r="Q122" s="17">
        <v>10153</v>
      </c>
      <c r="R122" s="17"/>
      <c r="S122" s="17"/>
      <c r="T122" s="17"/>
      <c r="U122" s="17"/>
      <c r="V122" s="17">
        <v>53</v>
      </c>
      <c r="W122" s="17">
        <v>4421</v>
      </c>
      <c r="X122" s="15">
        <v>275</v>
      </c>
      <c r="Y122" s="17">
        <v>497</v>
      </c>
      <c r="Z122" s="17">
        <v>433.5</v>
      </c>
      <c r="AA122" s="17">
        <v>7257</v>
      </c>
      <c r="AB122" s="12">
        <v>592</v>
      </c>
    </row>
    <row r="123" ht="14.25" spans="1:28">
      <c r="A123" s="13">
        <v>121</v>
      </c>
      <c r="B123" s="15">
        <v>3</v>
      </c>
      <c r="C123" s="16">
        <v>10</v>
      </c>
      <c r="D123" s="17" t="s">
        <v>255</v>
      </c>
      <c r="E123" s="17" t="s">
        <v>256</v>
      </c>
      <c r="F123" s="17">
        <v>107</v>
      </c>
      <c r="G123" s="17">
        <v>945</v>
      </c>
      <c r="H123" s="17">
        <v>109.5</v>
      </c>
      <c r="I123" s="17">
        <v>2023</v>
      </c>
      <c r="J123" s="17">
        <v>98.5</v>
      </c>
      <c r="K123" s="17">
        <v>3338</v>
      </c>
      <c r="L123" s="17">
        <v>47</v>
      </c>
      <c r="M123" s="17">
        <v>4568</v>
      </c>
      <c r="N123" s="17"/>
      <c r="O123" s="17"/>
      <c r="P123" s="17">
        <v>73</v>
      </c>
      <c r="Q123" s="17">
        <v>4501</v>
      </c>
      <c r="R123" s="17"/>
      <c r="S123" s="17"/>
      <c r="T123" s="17"/>
      <c r="U123" s="17"/>
      <c r="V123" s="17">
        <v>77</v>
      </c>
      <c r="W123" s="17">
        <v>1318</v>
      </c>
      <c r="X123" s="15">
        <v>315</v>
      </c>
      <c r="Y123" s="17">
        <v>149</v>
      </c>
      <c r="Z123" s="17">
        <v>512</v>
      </c>
      <c r="AA123" s="17">
        <v>2673</v>
      </c>
      <c r="AB123" s="12">
        <v>261</v>
      </c>
    </row>
    <row r="124" ht="14.25" spans="1:28">
      <c r="A124" s="13">
        <v>122</v>
      </c>
      <c r="B124" s="15">
        <v>3</v>
      </c>
      <c r="C124" s="16">
        <v>11</v>
      </c>
      <c r="D124" s="17" t="s">
        <v>257</v>
      </c>
      <c r="E124" s="17" t="s">
        <v>258</v>
      </c>
      <c r="F124" s="17">
        <v>91.25</v>
      </c>
      <c r="G124" s="17">
        <v>8581</v>
      </c>
      <c r="H124" s="17">
        <v>83.5</v>
      </c>
      <c r="I124" s="17">
        <v>7321</v>
      </c>
      <c r="J124" s="17">
        <v>77.75</v>
      </c>
      <c r="K124" s="17">
        <v>8398</v>
      </c>
      <c r="L124" s="17">
        <v>41.5</v>
      </c>
      <c r="M124" s="17">
        <v>5867</v>
      </c>
      <c r="N124" s="17"/>
      <c r="O124" s="17"/>
      <c r="P124" s="17">
        <v>83</v>
      </c>
      <c r="Q124" s="17">
        <v>1643</v>
      </c>
      <c r="R124" s="17"/>
      <c r="S124" s="17"/>
      <c r="T124" s="17"/>
      <c r="U124" s="17"/>
      <c r="V124" s="17">
        <v>59</v>
      </c>
      <c r="W124" s="17">
        <v>3835</v>
      </c>
      <c r="X124" s="15">
        <v>252.5</v>
      </c>
      <c r="Y124" s="17">
        <v>605</v>
      </c>
      <c r="Z124" s="17">
        <v>436</v>
      </c>
      <c r="AA124" s="17">
        <v>7096</v>
      </c>
      <c r="AB124" s="12">
        <v>582</v>
      </c>
    </row>
    <row r="125" ht="14.25" spans="1:28">
      <c r="A125" s="13">
        <v>123</v>
      </c>
      <c r="B125" s="15">
        <v>3</v>
      </c>
      <c r="C125" s="16">
        <v>12</v>
      </c>
      <c r="D125" s="17" t="s">
        <v>259</v>
      </c>
      <c r="E125" s="17" t="s">
        <v>260</v>
      </c>
      <c r="F125" s="17">
        <v>93.5</v>
      </c>
      <c r="G125" s="17">
        <v>7127</v>
      </c>
      <c r="H125" s="17">
        <v>90</v>
      </c>
      <c r="I125" s="17">
        <v>5850</v>
      </c>
      <c r="J125" s="17">
        <v>102</v>
      </c>
      <c r="K125" s="17">
        <v>2685</v>
      </c>
      <c r="L125" s="17">
        <v>38</v>
      </c>
      <c r="M125" s="17">
        <v>6823</v>
      </c>
      <c r="N125" s="17"/>
      <c r="O125" s="17"/>
      <c r="P125" s="17">
        <v>65</v>
      </c>
      <c r="Q125" s="17">
        <v>7113</v>
      </c>
      <c r="R125" s="17"/>
      <c r="S125" s="17"/>
      <c r="T125" s="17"/>
      <c r="U125" s="17"/>
      <c r="V125" s="17">
        <v>64</v>
      </c>
      <c r="W125" s="17">
        <v>3146</v>
      </c>
      <c r="X125" s="15">
        <v>285.5</v>
      </c>
      <c r="Y125" s="17">
        <v>397</v>
      </c>
      <c r="Z125" s="17">
        <v>452.5</v>
      </c>
      <c r="AA125" s="17">
        <v>5957</v>
      </c>
      <c r="AB125" s="12">
        <v>536</v>
      </c>
    </row>
    <row r="126" ht="14.25" spans="1:28">
      <c r="A126" s="13">
        <v>124</v>
      </c>
      <c r="B126" s="15">
        <v>3</v>
      </c>
      <c r="C126" s="16">
        <v>13</v>
      </c>
      <c r="D126" s="17" t="s">
        <v>261</v>
      </c>
      <c r="E126" s="17" t="s">
        <v>262</v>
      </c>
      <c r="F126" s="17">
        <v>92.75</v>
      </c>
      <c r="G126" s="17">
        <v>7661</v>
      </c>
      <c r="H126" s="17">
        <v>76</v>
      </c>
      <c r="I126" s="17">
        <v>8835</v>
      </c>
      <c r="J126" s="17">
        <v>113.25</v>
      </c>
      <c r="K126" s="17">
        <v>1094</v>
      </c>
      <c r="L126" s="17">
        <v>48</v>
      </c>
      <c r="M126" s="17">
        <v>4355</v>
      </c>
      <c r="N126" s="17"/>
      <c r="O126" s="17"/>
      <c r="P126" s="17">
        <v>74</v>
      </c>
      <c r="Q126" s="17">
        <v>4168</v>
      </c>
      <c r="R126" s="17"/>
      <c r="S126" s="17"/>
      <c r="T126" s="17"/>
      <c r="U126" s="17"/>
      <c r="V126" s="17">
        <v>56</v>
      </c>
      <c r="W126" s="17">
        <v>4212</v>
      </c>
      <c r="X126" s="15">
        <v>282</v>
      </c>
      <c r="Y126" s="17">
        <v>432</v>
      </c>
      <c r="Z126" s="17">
        <v>460</v>
      </c>
      <c r="AA126" s="17">
        <v>5473</v>
      </c>
      <c r="AB126" s="12">
        <v>508</v>
      </c>
    </row>
    <row r="127" ht="14.25" spans="1:28">
      <c r="A127" s="13">
        <v>125</v>
      </c>
      <c r="B127" s="15">
        <v>3</v>
      </c>
      <c r="C127" s="16">
        <v>14</v>
      </c>
      <c r="D127" s="17" t="s">
        <v>263</v>
      </c>
      <c r="E127" s="17" t="s">
        <v>264</v>
      </c>
      <c r="F127" s="17">
        <v>100</v>
      </c>
      <c r="G127" s="17">
        <v>3368</v>
      </c>
      <c r="H127" s="17">
        <v>97.5</v>
      </c>
      <c r="I127" s="17">
        <v>4244</v>
      </c>
      <c r="J127" s="17">
        <v>85.75</v>
      </c>
      <c r="K127" s="17">
        <v>6343</v>
      </c>
      <c r="L127" s="17">
        <v>47.5</v>
      </c>
      <c r="M127" s="17">
        <v>4470</v>
      </c>
      <c r="N127" s="17"/>
      <c r="O127" s="17"/>
      <c r="P127" s="17">
        <v>78</v>
      </c>
      <c r="Q127" s="17">
        <v>2908</v>
      </c>
      <c r="R127" s="17"/>
      <c r="S127" s="17"/>
      <c r="T127" s="17"/>
      <c r="U127" s="17"/>
      <c r="V127" s="17">
        <v>75</v>
      </c>
      <c r="W127" s="17">
        <v>1615</v>
      </c>
      <c r="X127" s="15">
        <v>283.25</v>
      </c>
      <c r="Y127" s="17">
        <v>416</v>
      </c>
      <c r="Z127" s="17">
        <v>483.75</v>
      </c>
      <c r="AA127" s="17">
        <v>4070</v>
      </c>
      <c r="AB127" s="12">
        <v>405</v>
      </c>
    </row>
    <row r="128" ht="14.25" spans="1:28">
      <c r="A128" s="13">
        <v>126</v>
      </c>
      <c r="B128" s="15">
        <v>3</v>
      </c>
      <c r="C128" s="16">
        <v>15</v>
      </c>
      <c r="D128" s="17" t="s">
        <v>265</v>
      </c>
      <c r="E128" s="17" t="s">
        <v>266</v>
      </c>
      <c r="F128" s="17">
        <v>91.5</v>
      </c>
      <c r="G128" s="17">
        <v>8306</v>
      </c>
      <c r="H128" s="17">
        <v>124</v>
      </c>
      <c r="I128" s="17">
        <v>418</v>
      </c>
      <c r="J128" s="17">
        <v>114.5</v>
      </c>
      <c r="K128" s="17">
        <v>951</v>
      </c>
      <c r="L128" s="17">
        <v>70.5</v>
      </c>
      <c r="M128" s="17">
        <v>821</v>
      </c>
      <c r="N128" s="17"/>
      <c r="O128" s="17"/>
      <c r="P128" s="17">
        <v>49</v>
      </c>
      <c r="Q128" s="17">
        <v>10942</v>
      </c>
      <c r="R128" s="17"/>
      <c r="S128" s="17"/>
      <c r="T128" s="17"/>
      <c r="U128" s="17"/>
      <c r="V128" s="17">
        <v>84</v>
      </c>
      <c r="W128" s="17">
        <v>588</v>
      </c>
      <c r="X128" s="15">
        <v>330</v>
      </c>
      <c r="Y128" s="17">
        <v>66</v>
      </c>
      <c r="Z128" s="17">
        <v>533.5</v>
      </c>
      <c r="AA128" s="17">
        <v>1821</v>
      </c>
      <c r="AB128" s="12">
        <v>154</v>
      </c>
    </row>
    <row r="129" ht="14.25" spans="1:28">
      <c r="A129" s="13">
        <v>127</v>
      </c>
      <c r="B129" s="15">
        <v>3</v>
      </c>
      <c r="C129" s="16">
        <v>16</v>
      </c>
      <c r="D129" s="17" t="s">
        <v>267</v>
      </c>
      <c r="E129" s="17" t="s">
        <v>268</v>
      </c>
      <c r="F129" s="17">
        <v>100.5</v>
      </c>
      <c r="G129" s="17">
        <v>3131</v>
      </c>
      <c r="H129" s="17">
        <v>96.5</v>
      </c>
      <c r="I129" s="17">
        <v>4438</v>
      </c>
      <c r="J129" s="17">
        <v>84.5</v>
      </c>
      <c r="K129" s="17">
        <v>6614</v>
      </c>
      <c r="L129" s="17">
        <v>43</v>
      </c>
      <c r="M129" s="17">
        <v>5463</v>
      </c>
      <c r="N129" s="17"/>
      <c r="O129" s="17"/>
      <c r="P129" s="17">
        <v>90</v>
      </c>
      <c r="Q129" s="17">
        <v>119</v>
      </c>
      <c r="R129" s="17"/>
      <c r="S129" s="17"/>
      <c r="T129" s="17"/>
      <c r="U129" s="17"/>
      <c r="V129" s="17">
        <v>90</v>
      </c>
      <c r="W129" s="17">
        <v>44</v>
      </c>
      <c r="X129" s="15">
        <v>281.5</v>
      </c>
      <c r="Y129" s="17">
        <v>438</v>
      </c>
      <c r="Z129" s="17">
        <v>504.5</v>
      </c>
      <c r="AA129" s="17">
        <v>3031</v>
      </c>
      <c r="AB129" s="12">
        <v>301</v>
      </c>
    </row>
    <row r="130" ht="14.25" spans="1:28">
      <c r="A130" s="13">
        <v>128</v>
      </c>
      <c r="B130" s="15">
        <v>3</v>
      </c>
      <c r="C130" s="16">
        <v>17</v>
      </c>
      <c r="D130" s="17" t="s">
        <v>269</v>
      </c>
      <c r="E130" s="17" t="s">
        <v>270</v>
      </c>
      <c r="F130" s="17">
        <v>103.5</v>
      </c>
      <c r="G130" s="17">
        <v>1897</v>
      </c>
      <c r="H130" s="17">
        <v>105</v>
      </c>
      <c r="I130" s="17">
        <v>2810</v>
      </c>
      <c r="J130" s="17">
        <v>112</v>
      </c>
      <c r="K130" s="17">
        <v>1229</v>
      </c>
      <c r="L130" s="17">
        <v>67</v>
      </c>
      <c r="M130" s="17">
        <v>1188</v>
      </c>
      <c r="N130" s="17"/>
      <c r="O130" s="17"/>
      <c r="P130" s="17">
        <v>78</v>
      </c>
      <c r="Q130" s="17">
        <v>2908</v>
      </c>
      <c r="R130" s="17"/>
      <c r="S130" s="17"/>
      <c r="T130" s="17"/>
      <c r="U130" s="17"/>
      <c r="V130" s="17">
        <v>90</v>
      </c>
      <c r="W130" s="17">
        <v>44</v>
      </c>
      <c r="X130" s="15">
        <v>320.5</v>
      </c>
      <c r="Y130" s="17">
        <v>112</v>
      </c>
      <c r="Z130" s="17">
        <v>555.5</v>
      </c>
      <c r="AA130" s="17">
        <v>1128</v>
      </c>
      <c r="AB130" s="12">
        <v>84</v>
      </c>
    </row>
    <row r="131" ht="14.25" spans="1:28">
      <c r="A131" s="13">
        <v>129</v>
      </c>
      <c r="B131" s="15">
        <v>3</v>
      </c>
      <c r="C131" s="16">
        <v>18</v>
      </c>
      <c r="D131" s="17" t="s">
        <v>271</v>
      </c>
      <c r="E131" s="17" t="s">
        <v>272</v>
      </c>
      <c r="F131" s="17">
        <v>98</v>
      </c>
      <c r="G131" s="17">
        <v>4423</v>
      </c>
      <c r="H131" s="17">
        <v>99</v>
      </c>
      <c r="I131" s="17">
        <v>3947</v>
      </c>
      <c r="J131" s="17">
        <v>84</v>
      </c>
      <c r="K131" s="17">
        <v>6761</v>
      </c>
      <c r="L131" s="17">
        <v>60.5</v>
      </c>
      <c r="M131" s="17">
        <v>2106</v>
      </c>
      <c r="N131" s="17"/>
      <c r="O131" s="17"/>
      <c r="P131" s="17">
        <v>76</v>
      </c>
      <c r="Q131" s="17">
        <v>3515</v>
      </c>
      <c r="R131" s="17"/>
      <c r="S131" s="17"/>
      <c r="T131" s="17"/>
      <c r="U131" s="17"/>
      <c r="V131" s="17">
        <v>87</v>
      </c>
      <c r="W131" s="17">
        <v>273</v>
      </c>
      <c r="X131" s="15">
        <v>281</v>
      </c>
      <c r="Y131" s="17">
        <v>439</v>
      </c>
      <c r="Z131" s="17">
        <v>504.5</v>
      </c>
      <c r="AA131" s="17">
        <v>3031</v>
      </c>
      <c r="AB131" s="12">
        <v>301</v>
      </c>
    </row>
    <row r="132" ht="14.25" spans="1:28">
      <c r="A132" s="13">
        <v>130</v>
      </c>
      <c r="B132" s="15">
        <v>3</v>
      </c>
      <c r="C132" s="16">
        <v>19</v>
      </c>
      <c r="D132" s="17" t="s">
        <v>273</v>
      </c>
      <c r="E132" s="17" t="s">
        <v>274</v>
      </c>
      <c r="F132" s="17">
        <v>87.5</v>
      </c>
      <c r="G132" s="17">
        <v>10920</v>
      </c>
      <c r="H132" s="17">
        <v>123.5</v>
      </c>
      <c r="I132" s="17">
        <v>452</v>
      </c>
      <c r="J132" s="17">
        <v>84.25</v>
      </c>
      <c r="K132" s="17">
        <v>6713</v>
      </c>
      <c r="L132" s="17">
        <v>48.5</v>
      </c>
      <c r="M132" s="17">
        <v>4255</v>
      </c>
      <c r="N132" s="17"/>
      <c r="O132" s="17"/>
      <c r="P132" s="17">
        <v>65</v>
      </c>
      <c r="Q132" s="17">
        <v>7113</v>
      </c>
      <c r="R132" s="17"/>
      <c r="S132" s="17"/>
      <c r="T132" s="17"/>
      <c r="U132" s="17"/>
      <c r="V132" s="17">
        <v>76</v>
      </c>
      <c r="W132" s="17">
        <v>1407</v>
      </c>
      <c r="X132" s="15">
        <v>295.25</v>
      </c>
      <c r="Y132" s="17">
        <v>313</v>
      </c>
      <c r="Z132" s="17">
        <v>484.75</v>
      </c>
      <c r="AA132" s="17">
        <v>4013</v>
      </c>
      <c r="AB132" s="12">
        <v>400</v>
      </c>
    </row>
    <row r="133" ht="14.25" spans="1:28">
      <c r="A133" s="13">
        <v>131</v>
      </c>
      <c r="B133" s="15">
        <v>3</v>
      </c>
      <c r="C133" s="16">
        <v>20</v>
      </c>
      <c r="D133" s="17" t="s">
        <v>275</v>
      </c>
      <c r="E133" s="17" t="s">
        <v>276</v>
      </c>
      <c r="F133" s="17">
        <v>78.75</v>
      </c>
      <c r="G133" s="17">
        <v>15139</v>
      </c>
      <c r="H133" s="17">
        <v>95.5</v>
      </c>
      <c r="I133" s="17">
        <v>4650</v>
      </c>
      <c r="J133" s="17">
        <v>73.5</v>
      </c>
      <c r="K133" s="17">
        <v>9484</v>
      </c>
      <c r="L133" s="17">
        <v>41</v>
      </c>
      <c r="M133" s="17">
        <v>5993</v>
      </c>
      <c r="N133" s="17"/>
      <c r="O133" s="17"/>
      <c r="P133" s="17">
        <v>63</v>
      </c>
      <c r="Q133" s="17">
        <v>7666</v>
      </c>
      <c r="R133" s="17"/>
      <c r="S133" s="17"/>
      <c r="T133" s="17"/>
      <c r="U133" s="17"/>
      <c r="V133" s="17">
        <v>87</v>
      </c>
      <c r="W133" s="17">
        <v>273</v>
      </c>
      <c r="X133" s="15">
        <v>247.75</v>
      </c>
      <c r="Y133" s="17">
        <v>615</v>
      </c>
      <c r="Z133" s="17">
        <v>438.75</v>
      </c>
      <c r="AA133" s="17">
        <v>6904</v>
      </c>
      <c r="AB133" s="12">
        <v>575</v>
      </c>
    </row>
    <row r="134" ht="14.25" spans="1:28">
      <c r="A134" s="13">
        <v>132</v>
      </c>
      <c r="B134" s="15">
        <v>3</v>
      </c>
      <c r="C134" s="16">
        <v>21</v>
      </c>
      <c r="D134" s="17" t="s">
        <v>277</v>
      </c>
      <c r="E134" s="17" t="s">
        <v>278</v>
      </c>
      <c r="F134" s="17">
        <v>94.5</v>
      </c>
      <c r="G134" s="17">
        <v>6496</v>
      </c>
      <c r="H134" s="17">
        <v>103.5</v>
      </c>
      <c r="I134" s="17">
        <v>3096</v>
      </c>
      <c r="J134" s="17">
        <v>104</v>
      </c>
      <c r="K134" s="17">
        <v>2352</v>
      </c>
      <c r="L134" s="17">
        <v>47.5</v>
      </c>
      <c r="M134" s="17">
        <v>4470</v>
      </c>
      <c r="N134" s="17"/>
      <c r="O134" s="17"/>
      <c r="P134" s="17">
        <v>77</v>
      </c>
      <c r="Q134" s="17">
        <v>3207</v>
      </c>
      <c r="R134" s="17"/>
      <c r="S134" s="17"/>
      <c r="T134" s="17"/>
      <c r="U134" s="17"/>
      <c r="V134" s="17">
        <v>72</v>
      </c>
      <c r="W134" s="17">
        <v>2049</v>
      </c>
      <c r="X134" s="15">
        <v>302</v>
      </c>
      <c r="Y134" s="17">
        <v>261</v>
      </c>
      <c r="Z134" s="17">
        <v>498.5</v>
      </c>
      <c r="AA134" s="17">
        <v>3314</v>
      </c>
      <c r="AB134" s="12">
        <v>337</v>
      </c>
    </row>
    <row r="135" ht="14.25" spans="1:28">
      <c r="A135" s="13">
        <v>133</v>
      </c>
      <c r="B135" s="15">
        <v>3</v>
      </c>
      <c r="C135" s="16">
        <v>22</v>
      </c>
      <c r="D135" s="17" t="s">
        <v>279</v>
      </c>
      <c r="E135" s="17" t="s">
        <v>280</v>
      </c>
      <c r="F135" s="17">
        <v>94</v>
      </c>
      <c r="G135" s="17">
        <v>6811</v>
      </c>
      <c r="H135" s="17">
        <v>80</v>
      </c>
      <c r="I135" s="17">
        <v>8038</v>
      </c>
      <c r="J135" s="17">
        <v>96.5</v>
      </c>
      <c r="K135" s="17">
        <v>3746</v>
      </c>
      <c r="L135" s="17">
        <v>35</v>
      </c>
      <c r="M135" s="17">
        <v>7732</v>
      </c>
      <c r="N135" s="17"/>
      <c r="O135" s="17"/>
      <c r="P135" s="17">
        <v>65</v>
      </c>
      <c r="Q135" s="17">
        <v>7113</v>
      </c>
      <c r="R135" s="17"/>
      <c r="S135" s="17"/>
      <c r="T135" s="17"/>
      <c r="U135" s="17"/>
      <c r="V135" s="17">
        <v>82</v>
      </c>
      <c r="W135" s="17">
        <v>723</v>
      </c>
      <c r="X135" s="15">
        <v>270.5</v>
      </c>
      <c r="Y135" s="17">
        <v>526</v>
      </c>
      <c r="Z135" s="17">
        <v>452.5</v>
      </c>
      <c r="AA135" s="17">
        <v>5957</v>
      </c>
      <c r="AB135" s="12">
        <v>536</v>
      </c>
    </row>
    <row r="136" ht="14.25" spans="1:28">
      <c r="A136" s="13">
        <v>134</v>
      </c>
      <c r="B136" s="15">
        <v>3</v>
      </c>
      <c r="C136" s="16">
        <v>23</v>
      </c>
      <c r="D136" s="17" t="s">
        <v>281</v>
      </c>
      <c r="E136" s="17" t="s">
        <v>282</v>
      </c>
      <c r="F136" s="17">
        <v>93.25</v>
      </c>
      <c r="G136" s="17">
        <v>7382</v>
      </c>
      <c r="H136" s="17">
        <v>112.5</v>
      </c>
      <c r="I136" s="17">
        <v>1543</v>
      </c>
      <c r="J136" s="17">
        <v>105</v>
      </c>
      <c r="K136" s="17">
        <v>2184</v>
      </c>
      <c r="L136" s="17">
        <v>67</v>
      </c>
      <c r="M136" s="17">
        <v>1188</v>
      </c>
      <c r="N136" s="17"/>
      <c r="O136" s="17"/>
      <c r="P136" s="17">
        <v>61</v>
      </c>
      <c r="Q136" s="17">
        <v>8358</v>
      </c>
      <c r="R136" s="17"/>
      <c r="S136" s="17"/>
      <c r="T136" s="17"/>
      <c r="U136" s="17"/>
      <c r="V136" s="17">
        <v>79</v>
      </c>
      <c r="W136" s="17">
        <v>1023</v>
      </c>
      <c r="X136" s="15">
        <v>310.75</v>
      </c>
      <c r="Y136" s="17">
        <v>183</v>
      </c>
      <c r="Z136" s="17">
        <v>517.75</v>
      </c>
      <c r="AA136" s="17">
        <v>2428</v>
      </c>
      <c r="AB136" s="12">
        <v>229</v>
      </c>
    </row>
    <row r="137" ht="14.25" spans="1:28">
      <c r="A137" s="13">
        <v>135</v>
      </c>
      <c r="B137" s="15">
        <v>3</v>
      </c>
      <c r="C137" s="16">
        <v>24</v>
      </c>
      <c r="D137" s="17" t="s">
        <v>283</v>
      </c>
      <c r="E137" s="17" t="s">
        <v>284</v>
      </c>
      <c r="F137" s="17">
        <v>95</v>
      </c>
      <c r="G137" s="17">
        <v>6168</v>
      </c>
      <c r="H137" s="17">
        <v>119.5</v>
      </c>
      <c r="I137" s="17">
        <v>753</v>
      </c>
      <c r="J137" s="17">
        <v>105.5</v>
      </c>
      <c r="K137" s="17">
        <v>2098</v>
      </c>
      <c r="L137" s="17">
        <v>58.5</v>
      </c>
      <c r="M137" s="17">
        <v>2451</v>
      </c>
      <c r="N137" s="17"/>
      <c r="O137" s="17"/>
      <c r="P137" s="17">
        <v>77</v>
      </c>
      <c r="Q137" s="17">
        <v>3207</v>
      </c>
      <c r="R137" s="17"/>
      <c r="S137" s="17"/>
      <c r="T137" s="17"/>
      <c r="U137" s="17"/>
      <c r="V137" s="17">
        <v>83</v>
      </c>
      <c r="W137" s="17">
        <v>648</v>
      </c>
      <c r="X137" s="15">
        <v>320</v>
      </c>
      <c r="Y137" s="17">
        <v>118</v>
      </c>
      <c r="Z137" s="17">
        <v>538.5</v>
      </c>
      <c r="AA137" s="17">
        <v>1673</v>
      </c>
      <c r="AB137" s="12">
        <v>136</v>
      </c>
    </row>
    <row r="138" ht="14.25" spans="1:28">
      <c r="A138" s="13">
        <v>136</v>
      </c>
      <c r="B138" s="15">
        <v>3</v>
      </c>
      <c r="C138" s="16">
        <v>25</v>
      </c>
      <c r="D138" s="17" t="s">
        <v>285</v>
      </c>
      <c r="E138" s="17" t="s">
        <v>286</v>
      </c>
      <c r="F138" s="17">
        <v>97.5</v>
      </c>
      <c r="G138" s="17">
        <v>4695</v>
      </c>
      <c r="H138" s="17">
        <v>92.5</v>
      </c>
      <c r="I138" s="17">
        <v>5299</v>
      </c>
      <c r="J138" s="17">
        <v>95</v>
      </c>
      <c r="K138" s="17">
        <v>4092</v>
      </c>
      <c r="L138" s="17">
        <v>35.5</v>
      </c>
      <c r="M138" s="17">
        <v>7589</v>
      </c>
      <c r="N138" s="17"/>
      <c r="O138" s="17"/>
      <c r="P138" s="17">
        <v>64</v>
      </c>
      <c r="Q138" s="17">
        <v>7304</v>
      </c>
      <c r="R138" s="17"/>
      <c r="S138" s="17"/>
      <c r="T138" s="17"/>
      <c r="U138" s="17"/>
      <c r="V138" s="17">
        <v>85</v>
      </c>
      <c r="W138" s="17">
        <v>530</v>
      </c>
      <c r="X138" s="15">
        <v>285</v>
      </c>
      <c r="Y138" s="17">
        <v>401</v>
      </c>
      <c r="Z138" s="17">
        <v>469.5</v>
      </c>
      <c r="AA138" s="17">
        <v>4866</v>
      </c>
      <c r="AB138" s="12">
        <v>461</v>
      </c>
    </row>
    <row r="139" ht="14.25" spans="1:28">
      <c r="A139" s="13">
        <v>137</v>
      </c>
      <c r="B139" s="15">
        <v>3</v>
      </c>
      <c r="C139" s="16">
        <v>26</v>
      </c>
      <c r="D139" s="17" t="s">
        <v>287</v>
      </c>
      <c r="E139" s="17" t="s">
        <v>288</v>
      </c>
      <c r="F139" s="17">
        <v>94</v>
      </c>
      <c r="G139" s="17">
        <v>6811</v>
      </c>
      <c r="H139" s="17">
        <v>140</v>
      </c>
      <c r="I139" s="17">
        <v>9</v>
      </c>
      <c r="J139" s="17">
        <v>109</v>
      </c>
      <c r="K139" s="17">
        <v>1584</v>
      </c>
      <c r="L139" s="17">
        <v>74</v>
      </c>
      <c r="M139" s="17">
        <v>514</v>
      </c>
      <c r="N139" s="17"/>
      <c r="O139" s="17"/>
      <c r="P139" s="17">
        <v>86</v>
      </c>
      <c r="Q139" s="17">
        <v>1052</v>
      </c>
      <c r="R139" s="17"/>
      <c r="S139" s="17"/>
      <c r="T139" s="17"/>
      <c r="U139" s="17"/>
      <c r="V139" s="17">
        <v>76</v>
      </c>
      <c r="W139" s="17">
        <v>1407</v>
      </c>
      <c r="X139" s="15">
        <v>343</v>
      </c>
      <c r="Y139" s="17">
        <v>22</v>
      </c>
      <c r="Z139" s="17">
        <v>579</v>
      </c>
      <c r="AA139" s="17">
        <v>536</v>
      </c>
      <c r="AB139" s="12">
        <v>29</v>
      </c>
    </row>
    <row r="140" ht="14.25" spans="1:28">
      <c r="A140" s="13">
        <v>138</v>
      </c>
      <c r="B140" s="15">
        <v>3</v>
      </c>
      <c r="C140" s="16">
        <v>27</v>
      </c>
      <c r="D140" s="17" t="s">
        <v>289</v>
      </c>
      <c r="E140" s="17" t="s">
        <v>290</v>
      </c>
      <c r="F140" s="17">
        <v>96.75</v>
      </c>
      <c r="G140" s="17">
        <v>5236</v>
      </c>
      <c r="H140" s="17">
        <v>114.5</v>
      </c>
      <c r="I140" s="17">
        <v>1277</v>
      </c>
      <c r="J140" s="17">
        <v>97</v>
      </c>
      <c r="K140" s="17">
        <v>3649</v>
      </c>
      <c r="L140" s="17">
        <v>59</v>
      </c>
      <c r="M140" s="17">
        <v>2358</v>
      </c>
      <c r="N140" s="17"/>
      <c r="O140" s="17"/>
      <c r="P140" s="17">
        <v>63</v>
      </c>
      <c r="Q140" s="17">
        <v>7666</v>
      </c>
      <c r="R140" s="17"/>
      <c r="S140" s="17"/>
      <c r="T140" s="17"/>
      <c r="U140" s="17"/>
      <c r="V140" s="17">
        <v>76</v>
      </c>
      <c r="W140" s="17">
        <v>1407</v>
      </c>
      <c r="X140" s="15">
        <v>308.25</v>
      </c>
      <c r="Y140" s="17">
        <v>212</v>
      </c>
      <c r="Z140" s="17">
        <v>506.25</v>
      </c>
      <c r="AA140" s="17">
        <v>2951</v>
      </c>
      <c r="AB140" s="12">
        <v>290</v>
      </c>
    </row>
    <row r="141" ht="14.25" spans="1:28">
      <c r="A141" s="13">
        <v>139</v>
      </c>
      <c r="B141" s="15">
        <v>3</v>
      </c>
      <c r="C141" s="16">
        <v>28</v>
      </c>
      <c r="D141" s="17" t="s">
        <v>291</v>
      </c>
      <c r="E141" s="17" t="s">
        <v>292</v>
      </c>
      <c r="F141" s="17">
        <v>95.5</v>
      </c>
      <c r="G141" s="17">
        <v>5877</v>
      </c>
      <c r="H141" s="17">
        <v>107.5</v>
      </c>
      <c r="I141" s="17">
        <v>2373</v>
      </c>
      <c r="J141" s="17">
        <v>101.5</v>
      </c>
      <c r="K141" s="17">
        <v>2779</v>
      </c>
      <c r="L141" s="17">
        <v>66</v>
      </c>
      <c r="M141" s="17">
        <v>1304</v>
      </c>
      <c r="N141" s="17"/>
      <c r="O141" s="17"/>
      <c r="P141" s="17">
        <v>81</v>
      </c>
      <c r="Q141" s="17">
        <v>2079</v>
      </c>
      <c r="R141" s="17"/>
      <c r="S141" s="17"/>
      <c r="T141" s="17"/>
      <c r="U141" s="17"/>
      <c r="V141" s="17">
        <v>77</v>
      </c>
      <c r="W141" s="17">
        <v>1318</v>
      </c>
      <c r="X141" s="15">
        <v>304.5</v>
      </c>
      <c r="Y141" s="17">
        <v>239</v>
      </c>
      <c r="Z141" s="17">
        <v>528.5</v>
      </c>
      <c r="AA141" s="17">
        <v>2006</v>
      </c>
      <c r="AB141" s="12">
        <v>170</v>
      </c>
    </row>
    <row r="142" ht="14.25" spans="1:28">
      <c r="A142" s="13">
        <v>140</v>
      </c>
      <c r="B142" s="15">
        <v>3</v>
      </c>
      <c r="C142" s="16">
        <v>29</v>
      </c>
      <c r="D142" s="17" t="s">
        <v>293</v>
      </c>
      <c r="E142" s="17" t="s">
        <v>294</v>
      </c>
      <c r="F142" s="17">
        <v>100</v>
      </c>
      <c r="G142" s="17">
        <v>3368</v>
      </c>
      <c r="H142" s="17">
        <v>117</v>
      </c>
      <c r="I142" s="17">
        <v>975</v>
      </c>
      <c r="J142" s="17">
        <v>70.75</v>
      </c>
      <c r="K142" s="17">
        <v>10151</v>
      </c>
      <c r="L142" s="17">
        <v>64</v>
      </c>
      <c r="M142" s="17">
        <v>1577</v>
      </c>
      <c r="N142" s="17"/>
      <c r="O142" s="17"/>
      <c r="P142" s="17">
        <v>85</v>
      </c>
      <c r="Q142" s="17">
        <v>1345</v>
      </c>
      <c r="R142" s="17"/>
      <c r="S142" s="17"/>
      <c r="T142" s="17"/>
      <c r="U142" s="17"/>
      <c r="V142" s="17">
        <v>88</v>
      </c>
      <c r="W142" s="17">
        <v>165</v>
      </c>
      <c r="X142" s="15">
        <v>287.75</v>
      </c>
      <c r="Y142" s="17">
        <v>380</v>
      </c>
      <c r="Z142" s="17">
        <v>524.75</v>
      </c>
      <c r="AA142" s="17">
        <v>2160</v>
      </c>
      <c r="AB142" s="12">
        <v>190</v>
      </c>
    </row>
    <row r="143" ht="14.25" spans="1:28">
      <c r="A143" s="13">
        <v>141</v>
      </c>
      <c r="B143" s="15">
        <v>3</v>
      </c>
      <c r="C143" s="16">
        <v>30</v>
      </c>
      <c r="D143" s="17" t="s">
        <v>295</v>
      </c>
      <c r="E143" s="17" t="s">
        <v>296</v>
      </c>
      <c r="F143" s="17">
        <v>98.5</v>
      </c>
      <c r="G143" s="17">
        <v>4145</v>
      </c>
      <c r="H143" s="17">
        <v>82.5</v>
      </c>
      <c r="I143" s="17">
        <v>7529</v>
      </c>
      <c r="J143" s="17">
        <v>114</v>
      </c>
      <c r="K143" s="17">
        <v>991</v>
      </c>
      <c r="L143" s="17">
        <v>37.5</v>
      </c>
      <c r="M143" s="17">
        <v>6979</v>
      </c>
      <c r="N143" s="17"/>
      <c r="O143" s="17"/>
      <c r="P143" s="17">
        <v>73</v>
      </c>
      <c r="Q143" s="17">
        <v>4501</v>
      </c>
      <c r="R143" s="17"/>
      <c r="S143" s="17"/>
      <c r="T143" s="17"/>
      <c r="U143" s="17"/>
      <c r="V143" s="17">
        <v>87</v>
      </c>
      <c r="W143" s="17">
        <v>273</v>
      </c>
      <c r="X143" s="15">
        <v>295</v>
      </c>
      <c r="Y143" s="17">
        <v>314</v>
      </c>
      <c r="Z143" s="17">
        <v>492.5</v>
      </c>
      <c r="AA143" s="17">
        <v>3626</v>
      </c>
      <c r="AB143" s="12">
        <v>362</v>
      </c>
    </row>
    <row r="144" ht="14.25" spans="1:28">
      <c r="A144" s="13">
        <v>142</v>
      </c>
      <c r="B144" s="15">
        <v>3</v>
      </c>
      <c r="C144" s="16">
        <v>31</v>
      </c>
      <c r="D144" s="17" t="s">
        <v>297</v>
      </c>
      <c r="E144" s="17" t="s">
        <v>298</v>
      </c>
      <c r="F144" s="17">
        <v>102.5</v>
      </c>
      <c r="G144" s="17">
        <v>2274</v>
      </c>
      <c r="H144" s="17">
        <v>118.5</v>
      </c>
      <c r="I144" s="17">
        <v>833</v>
      </c>
      <c r="J144" s="17">
        <v>113</v>
      </c>
      <c r="K144" s="17">
        <v>1110</v>
      </c>
      <c r="L144" s="17">
        <v>82.5</v>
      </c>
      <c r="M144" s="17">
        <v>75</v>
      </c>
      <c r="N144" s="17"/>
      <c r="O144" s="17"/>
      <c r="P144" s="17">
        <v>84</v>
      </c>
      <c r="Q144" s="17">
        <v>1443</v>
      </c>
      <c r="R144" s="17"/>
      <c r="S144" s="17"/>
      <c r="T144" s="17"/>
      <c r="U144" s="17"/>
      <c r="V144" s="17">
        <v>69</v>
      </c>
      <c r="W144" s="17">
        <v>2394</v>
      </c>
      <c r="X144" s="15">
        <v>334</v>
      </c>
      <c r="Y144" s="17">
        <v>53</v>
      </c>
      <c r="Z144" s="17">
        <v>569.5</v>
      </c>
      <c r="AA144" s="17">
        <v>760</v>
      </c>
      <c r="AB144" s="12">
        <v>48</v>
      </c>
    </row>
    <row r="145" ht="14.25" spans="1:28">
      <c r="A145" s="13">
        <v>143</v>
      </c>
      <c r="B145" s="15">
        <v>3</v>
      </c>
      <c r="C145" s="16">
        <v>32</v>
      </c>
      <c r="D145" s="17" t="s">
        <v>299</v>
      </c>
      <c r="E145" s="17" t="s">
        <v>300</v>
      </c>
      <c r="F145" s="17">
        <v>100.5</v>
      </c>
      <c r="G145" s="17">
        <v>3131</v>
      </c>
      <c r="H145" s="17">
        <v>86.5</v>
      </c>
      <c r="I145" s="17">
        <v>6657</v>
      </c>
      <c r="J145" s="17">
        <v>84</v>
      </c>
      <c r="K145" s="17">
        <v>6761</v>
      </c>
      <c r="L145" s="17">
        <v>65.5</v>
      </c>
      <c r="M145" s="17">
        <v>1373</v>
      </c>
      <c r="N145" s="17"/>
      <c r="O145" s="17"/>
      <c r="P145" s="17">
        <v>73</v>
      </c>
      <c r="Q145" s="17">
        <v>4501</v>
      </c>
      <c r="R145" s="17"/>
      <c r="S145" s="17"/>
      <c r="T145" s="17"/>
      <c r="U145" s="17"/>
      <c r="V145" s="17">
        <v>76</v>
      </c>
      <c r="W145" s="17">
        <v>1407</v>
      </c>
      <c r="X145" s="15">
        <v>271</v>
      </c>
      <c r="Y145" s="17">
        <v>522</v>
      </c>
      <c r="Z145" s="17">
        <v>485.5</v>
      </c>
      <c r="AA145" s="17">
        <v>3956</v>
      </c>
      <c r="AB145" s="12">
        <v>395</v>
      </c>
    </row>
    <row r="146" ht="14.25" spans="1:28">
      <c r="A146" s="13">
        <v>144</v>
      </c>
      <c r="B146" s="15">
        <v>3</v>
      </c>
      <c r="C146" s="16">
        <v>33</v>
      </c>
      <c r="D146" s="17" t="s">
        <v>301</v>
      </c>
      <c r="E146" s="17" t="s">
        <v>302</v>
      </c>
      <c r="F146" s="17">
        <v>110</v>
      </c>
      <c r="G146" s="17">
        <v>430</v>
      </c>
      <c r="H146" s="17">
        <v>104.5</v>
      </c>
      <c r="I146" s="17">
        <v>2895</v>
      </c>
      <c r="J146" s="17">
        <v>103</v>
      </c>
      <c r="K146" s="17">
        <v>2527</v>
      </c>
      <c r="L146" s="17">
        <v>63.5</v>
      </c>
      <c r="M146" s="17">
        <v>1636</v>
      </c>
      <c r="N146" s="17"/>
      <c r="O146" s="17"/>
      <c r="P146" s="17">
        <v>77</v>
      </c>
      <c r="Q146" s="17">
        <v>3207</v>
      </c>
      <c r="R146" s="17"/>
      <c r="S146" s="17"/>
      <c r="T146" s="17"/>
      <c r="U146" s="17"/>
      <c r="V146" s="17">
        <v>88</v>
      </c>
      <c r="W146" s="17">
        <v>165</v>
      </c>
      <c r="X146" s="15">
        <v>317.5</v>
      </c>
      <c r="Y146" s="17">
        <v>135</v>
      </c>
      <c r="Z146" s="17">
        <v>546</v>
      </c>
      <c r="AA146" s="17">
        <v>1419</v>
      </c>
      <c r="AB146" s="12">
        <v>108</v>
      </c>
    </row>
    <row r="147" ht="14.25" spans="1:28">
      <c r="A147" s="13">
        <v>145</v>
      </c>
      <c r="B147" s="15">
        <v>3</v>
      </c>
      <c r="C147" s="16">
        <v>34</v>
      </c>
      <c r="D147" s="17" t="s">
        <v>303</v>
      </c>
      <c r="E147" s="17" t="s">
        <v>304</v>
      </c>
      <c r="F147" s="17">
        <v>96</v>
      </c>
      <c r="G147" s="17">
        <v>5544</v>
      </c>
      <c r="H147" s="17">
        <v>82</v>
      </c>
      <c r="I147" s="17">
        <v>7634</v>
      </c>
      <c r="J147" s="17">
        <v>97.25</v>
      </c>
      <c r="K147" s="17">
        <v>3624</v>
      </c>
      <c r="L147" s="17">
        <v>39</v>
      </c>
      <c r="M147" s="17">
        <v>6535</v>
      </c>
      <c r="N147" s="17"/>
      <c r="O147" s="17"/>
      <c r="P147" s="17">
        <v>66</v>
      </c>
      <c r="Q147" s="17">
        <v>6766</v>
      </c>
      <c r="R147" s="17"/>
      <c r="S147" s="17"/>
      <c r="T147" s="17"/>
      <c r="U147" s="17"/>
      <c r="V147" s="17">
        <v>77</v>
      </c>
      <c r="W147" s="17">
        <v>1318</v>
      </c>
      <c r="X147" s="15">
        <v>275.25</v>
      </c>
      <c r="Y147" s="17">
        <v>495</v>
      </c>
      <c r="Z147" s="17">
        <v>457.25</v>
      </c>
      <c r="AA147" s="17">
        <v>5659</v>
      </c>
      <c r="AB147" s="12">
        <v>520</v>
      </c>
    </row>
    <row r="148" ht="14.25" spans="1:28">
      <c r="A148" s="13">
        <v>146</v>
      </c>
      <c r="B148" s="15">
        <v>3</v>
      </c>
      <c r="C148" s="16">
        <v>35</v>
      </c>
      <c r="D148" s="17" t="s">
        <v>305</v>
      </c>
      <c r="E148" s="17" t="s">
        <v>306</v>
      </c>
      <c r="F148" s="17">
        <v>84.25</v>
      </c>
      <c r="G148" s="17">
        <v>12885</v>
      </c>
      <c r="H148" s="17">
        <v>101</v>
      </c>
      <c r="I148" s="17">
        <v>3563</v>
      </c>
      <c r="J148" s="17">
        <v>93</v>
      </c>
      <c r="K148" s="17">
        <v>4548</v>
      </c>
      <c r="L148" s="17">
        <v>43.5</v>
      </c>
      <c r="M148" s="17">
        <v>5353</v>
      </c>
      <c r="N148" s="17"/>
      <c r="O148" s="17"/>
      <c r="P148" s="17">
        <v>69</v>
      </c>
      <c r="Q148" s="17">
        <v>5655</v>
      </c>
      <c r="R148" s="17"/>
      <c r="S148" s="17"/>
      <c r="T148" s="17"/>
      <c r="U148" s="17"/>
      <c r="V148" s="17">
        <v>68</v>
      </c>
      <c r="W148" s="17">
        <v>2512</v>
      </c>
      <c r="X148" s="15">
        <v>278.25</v>
      </c>
      <c r="Y148" s="17">
        <v>465</v>
      </c>
      <c r="Z148" s="17">
        <v>458.75</v>
      </c>
      <c r="AA148" s="17">
        <v>5554</v>
      </c>
      <c r="AB148" s="12">
        <v>513</v>
      </c>
    </row>
    <row r="149" ht="14.25" spans="1:28">
      <c r="A149" s="13">
        <v>147</v>
      </c>
      <c r="B149" s="15">
        <v>3</v>
      </c>
      <c r="C149" s="16">
        <v>36</v>
      </c>
      <c r="D149" s="17" t="s">
        <v>307</v>
      </c>
      <c r="E149" s="17" t="s">
        <v>308</v>
      </c>
      <c r="F149" s="17">
        <v>100</v>
      </c>
      <c r="G149" s="17">
        <v>3368</v>
      </c>
      <c r="H149" s="17">
        <v>107</v>
      </c>
      <c r="I149" s="17">
        <v>2461</v>
      </c>
      <c r="J149" s="17">
        <v>75.5</v>
      </c>
      <c r="K149" s="17">
        <v>8958</v>
      </c>
      <c r="L149" s="17">
        <v>42.5</v>
      </c>
      <c r="M149" s="17">
        <v>5605</v>
      </c>
      <c r="N149" s="17"/>
      <c r="O149" s="17"/>
      <c r="P149" s="17">
        <v>75</v>
      </c>
      <c r="Q149" s="17">
        <v>3841</v>
      </c>
      <c r="R149" s="17"/>
      <c r="S149" s="17"/>
      <c r="T149" s="17"/>
      <c r="U149" s="17"/>
      <c r="V149" s="17">
        <v>87</v>
      </c>
      <c r="W149" s="17">
        <v>273</v>
      </c>
      <c r="X149" s="15">
        <v>282.5</v>
      </c>
      <c r="Y149" s="17">
        <v>425</v>
      </c>
      <c r="Z149" s="17">
        <v>487</v>
      </c>
      <c r="AA149" s="17">
        <v>3895</v>
      </c>
      <c r="AB149" s="12">
        <v>390</v>
      </c>
    </row>
    <row r="150" ht="14.25" spans="1:28">
      <c r="A150" s="13">
        <v>148</v>
      </c>
      <c r="B150" s="15">
        <v>3</v>
      </c>
      <c r="C150" s="16">
        <v>37</v>
      </c>
      <c r="D150" s="17" t="s">
        <v>309</v>
      </c>
      <c r="E150" s="17" t="s">
        <v>310</v>
      </c>
      <c r="F150" s="17">
        <v>85.75</v>
      </c>
      <c r="G150" s="17">
        <v>12052</v>
      </c>
      <c r="H150" s="17">
        <v>75.5</v>
      </c>
      <c r="I150" s="17">
        <v>8934</v>
      </c>
      <c r="J150" s="17">
        <v>83</v>
      </c>
      <c r="K150" s="17">
        <v>6990</v>
      </c>
      <c r="L150" s="17">
        <v>49.5</v>
      </c>
      <c r="M150" s="17">
        <v>4044</v>
      </c>
      <c r="N150" s="17"/>
      <c r="O150" s="17"/>
      <c r="P150" s="17">
        <v>65</v>
      </c>
      <c r="Q150" s="17">
        <v>7113</v>
      </c>
      <c r="R150" s="17"/>
      <c r="S150" s="17"/>
      <c r="T150" s="17"/>
      <c r="U150" s="17"/>
      <c r="V150" s="17">
        <v>91</v>
      </c>
      <c r="W150" s="17">
        <v>15</v>
      </c>
      <c r="X150" s="15">
        <v>244.25</v>
      </c>
      <c r="Y150" s="17">
        <v>619</v>
      </c>
      <c r="Z150" s="17">
        <v>449.75</v>
      </c>
      <c r="AA150" s="17">
        <v>6148</v>
      </c>
      <c r="AB150" s="12">
        <v>540</v>
      </c>
    </row>
    <row r="151" ht="14.25" spans="1:28">
      <c r="A151" s="13">
        <v>149</v>
      </c>
      <c r="B151" s="15">
        <v>3</v>
      </c>
      <c r="C151" s="16">
        <v>38</v>
      </c>
      <c r="D151" s="17" t="s">
        <v>311</v>
      </c>
      <c r="E151" s="17" t="s">
        <v>312</v>
      </c>
      <c r="F151" s="17">
        <v>96.5</v>
      </c>
      <c r="G151" s="17">
        <v>5262</v>
      </c>
      <c r="H151" s="17">
        <v>113.5</v>
      </c>
      <c r="I151" s="17">
        <v>1397</v>
      </c>
      <c r="J151" s="17">
        <v>110.5</v>
      </c>
      <c r="K151" s="17">
        <v>1398</v>
      </c>
      <c r="L151" s="17">
        <v>46</v>
      </c>
      <c r="M151" s="17">
        <v>4785</v>
      </c>
      <c r="N151" s="17"/>
      <c r="O151" s="17"/>
      <c r="P151" s="17">
        <v>80</v>
      </c>
      <c r="Q151" s="17">
        <v>2333</v>
      </c>
      <c r="R151" s="17"/>
      <c r="S151" s="17"/>
      <c r="T151" s="17"/>
      <c r="U151" s="17"/>
      <c r="V151" s="17">
        <v>78</v>
      </c>
      <c r="W151" s="17">
        <v>1218</v>
      </c>
      <c r="X151" s="15">
        <v>320.5</v>
      </c>
      <c r="Y151" s="17">
        <v>112</v>
      </c>
      <c r="Z151" s="17">
        <v>524.5</v>
      </c>
      <c r="AA151" s="17">
        <v>2164</v>
      </c>
      <c r="AB151" s="12">
        <v>192</v>
      </c>
    </row>
    <row r="152" ht="14.25" spans="1:28">
      <c r="A152" s="13">
        <v>150</v>
      </c>
      <c r="B152" s="15">
        <v>3</v>
      </c>
      <c r="C152" s="16">
        <v>39</v>
      </c>
      <c r="D152" s="17" t="s">
        <v>313</v>
      </c>
      <c r="E152" s="17" t="s">
        <v>314</v>
      </c>
      <c r="F152" s="17">
        <v>93.5</v>
      </c>
      <c r="G152" s="17">
        <v>7127</v>
      </c>
      <c r="H152" s="17">
        <v>71</v>
      </c>
      <c r="I152" s="17">
        <v>9797</v>
      </c>
      <c r="J152" s="17">
        <v>89.5</v>
      </c>
      <c r="K152" s="17">
        <v>5383</v>
      </c>
      <c r="L152" s="17">
        <v>29</v>
      </c>
      <c r="M152" s="17">
        <v>9872</v>
      </c>
      <c r="N152" s="17"/>
      <c r="O152" s="17"/>
      <c r="P152" s="17">
        <v>68</v>
      </c>
      <c r="Q152" s="17">
        <v>6016</v>
      </c>
      <c r="R152" s="17"/>
      <c r="S152" s="17"/>
      <c r="T152" s="17"/>
      <c r="U152" s="17"/>
      <c r="V152" s="17">
        <v>89</v>
      </c>
      <c r="W152" s="17">
        <v>100</v>
      </c>
      <c r="X152" s="15">
        <v>254</v>
      </c>
      <c r="Y152" s="17">
        <v>599</v>
      </c>
      <c r="Z152" s="17">
        <v>440</v>
      </c>
      <c r="AA152" s="17">
        <v>6820</v>
      </c>
      <c r="AB152" s="12">
        <v>570</v>
      </c>
    </row>
    <row r="153" ht="14.25" spans="1:28">
      <c r="A153" s="13">
        <v>151</v>
      </c>
      <c r="B153" s="15">
        <v>3</v>
      </c>
      <c r="C153" s="16">
        <v>40</v>
      </c>
      <c r="D153" s="17" t="s">
        <v>315</v>
      </c>
      <c r="E153" s="17" t="s">
        <v>316</v>
      </c>
      <c r="F153" s="17">
        <v>92.75</v>
      </c>
      <c r="G153" s="17">
        <v>7661</v>
      </c>
      <c r="H153" s="17">
        <v>96.5</v>
      </c>
      <c r="I153" s="17">
        <v>4438</v>
      </c>
      <c r="J153" s="17">
        <v>98.5</v>
      </c>
      <c r="K153" s="17">
        <v>3338</v>
      </c>
      <c r="L153" s="17">
        <v>46.5</v>
      </c>
      <c r="M153" s="17">
        <v>4690</v>
      </c>
      <c r="N153" s="17"/>
      <c r="O153" s="17"/>
      <c r="P153" s="17">
        <v>63</v>
      </c>
      <c r="Q153" s="17">
        <v>7666</v>
      </c>
      <c r="R153" s="17"/>
      <c r="S153" s="17"/>
      <c r="T153" s="17"/>
      <c r="U153" s="17"/>
      <c r="V153" s="17">
        <v>59</v>
      </c>
      <c r="W153" s="17">
        <v>3835</v>
      </c>
      <c r="X153" s="15">
        <v>287.75</v>
      </c>
      <c r="Y153" s="17">
        <v>380</v>
      </c>
      <c r="Z153" s="17">
        <v>456.25</v>
      </c>
      <c r="AA153" s="17">
        <v>5724</v>
      </c>
      <c r="AB153" s="12">
        <v>523</v>
      </c>
    </row>
    <row r="154" ht="14.25" spans="1:28">
      <c r="A154" s="13">
        <v>152</v>
      </c>
      <c r="B154" s="15">
        <v>3</v>
      </c>
      <c r="C154" s="16">
        <v>41</v>
      </c>
      <c r="D154" s="17" t="s">
        <v>317</v>
      </c>
      <c r="E154" s="17" t="s">
        <v>318</v>
      </c>
      <c r="F154" s="17">
        <v>94.5</v>
      </c>
      <c r="G154" s="17">
        <v>6496</v>
      </c>
      <c r="H154" s="17">
        <v>94</v>
      </c>
      <c r="I154" s="17">
        <v>4942</v>
      </c>
      <c r="J154" s="17">
        <v>105</v>
      </c>
      <c r="K154" s="17">
        <v>2184</v>
      </c>
      <c r="L154" s="17">
        <v>49</v>
      </c>
      <c r="M154" s="17">
        <v>4146</v>
      </c>
      <c r="N154" s="17"/>
      <c r="O154" s="17"/>
      <c r="P154" s="17">
        <v>76</v>
      </c>
      <c r="Q154" s="17">
        <v>3515</v>
      </c>
      <c r="R154" s="17"/>
      <c r="S154" s="17"/>
      <c r="T154" s="17"/>
      <c r="U154" s="17"/>
      <c r="V154" s="17">
        <v>82</v>
      </c>
      <c r="W154" s="17">
        <v>723</v>
      </c>
      <c r="X154" s="15">
        <v>293.5</v>
      </c>
      <c r="Y154" s="17">
        <v>330</v>
      </c>
      <c r="Z154" s="17">
        <v>500.5</v>
      </c>
      <c r="AA154" s="17">
        <v>3222</v>
      </c>
      <c r="AB154" s="12">
        <v>323</v>
      </c>
    </row>
    <row r="155" ht="14.25" spans="1:28">
      <c r="A155" s="13">
        <v>153</v>
      </c>
      <c r="B155" s="15">
        <v>3</v>
      </c>
      <c r="C155" s="16">
        <v>42</v>
      </c>
      <c r="D155" s="17" t="s">
        <v>319</v>
      </c>
      <c r="E155" s="17" t="s">
        <v>320</v>
      </c>
      <c r="F155" s="17">
        <v>91.25</v>
      </c>
      <c r="G155" s="17">
        <v>8581</v>
      </c>
      <c r="H155" s="17">
        <v>67.5</v>
      </c>
      <c r="I155" s="17">
        <v>10411</v>
      </c>
      <c r="J155" s="17">
        <v>95</v>
      </c>
      <c r="K155" s="17">
        <v>4092</v>
      </c>
      <c r="L155" s="17">
        <v>26</v>
      </c>
      <c r="M155" s="17">
        <v>11124</v>
      </c>
      <c r="N155" s="17"/>
      <c r="O155" s="17"/>
      <c r="P155" s="17">
        <v>61</v>
      </c>
      <c r="Q155" s="17">
        <v>8358</v>
      </c>
      <c r="R155" s="17"/>
      <c r="S155" s="17"/>
      <c r="T155" s="17"/>
      <c r="U155" s="17"/>
      <c r="V155" s="17">
        <v>88</v>
      </c>
      <c r="W155" s="17">
        <v>165</v>
      </c>
      <c r="X155" s="15">
        <v>253.75</v>
      </c>
      <c r="Y155" s="17">
        <v>601</v>
      </c>
      <c r="Z155" s="17">
        <v>428.75</v>
      </c>
      <c r="AA155" s="17">
        <v>7595</v>
      </c>
      <c r="AB155" s="12">
        <v>604</v>
      </c>
    </row>
    <row r="156" ht="14.25" spans="1:28">
      <c r="A156" s="13">
        <v>154</v>
      </c>
      <c r="B156" s="15">
        <v>3</v>
      </c>
      <c r="C156" s="16">
        <v>43</v>
      </c>
      <c r="D156" s="17" t="s">
        <v>321</v>
      </c>
      <c r="E156" s="17" t="s">
        <v>322</v>
      </c>
      <c r="F156" s="17">
        <v>99</v>
      </c>
      <c r="G156" s="17">
        <v>3868</v>
      </c>
      <c r="H156" s="17">
        <v>105.5</v>
      </c>
      <c r="I156" s="17">
        <v>2718</v>
      </c>
      <c r="J156" s="17">
        <v>77.5</v>
      </c>
      <c r="K156" s="17">
        <v>8422</v>
      </c>
      <c r="L156" s="17">
        <v>25</v>
      </c>
      <c r="M156" s="17">
        <v>11593</v>
      </c>
      <c r="N156" s="17"/>
      <c r="O156" s="17"/>
      <c r="P156" s="17">
        <v>50</v>
      </c>
      <c r="Q156" s="17">
        <v>10845</v>
      </c>
      <c r="R156" s="17"/>
      <c r="S156" s="17"/>
      <c r="T156" s="17"/>
      <c r="U156" s="17"/>
      <c r="V156" s="17">
        <v>51</v>
      </c>
      <c r="W156" s="17">
        <v>4622</v>
      </c>
      <c r="X156" s="15">
        <v>282</v>
      </c>
      <c r="Y156" s="17">
        <v>432</v>
      </c>
      <c r="Z156" s="17">
        <v>408</v>
      </c>
      <c r="AA156" s="17">
        <v>9086</v>
      </c>
      <c r="AB156" s="12">
        <v>634</v>
      </c>
    </row>
    <row r="157" ht="14.25" spans="1:28">
      <c r="A157" s="13">
        <v>155</v>
      </c>
      <c r="B157" s="15">
        <v>3</v>
      </c>
      <c r="C157" s="16">
        <v>44</v>
      </c>
      <c r="D157" s="17" t="s">
        <v>323</v>
      </c>
      <c r="E157" s="17" t="s">
        <v>324</v>
      </c>
      <c r="F157" s="17">
        <v>97</v>
      </c>
      <c r="G157" s="17">
        <v>4967</v>
      </c>
      <c r="H157" s="17">
        <v>95</v>
      </c>
      <c r="I157" s="17">
        <v>4735</v>
      </c>
      <c r="J157" s="17">
        <v>98.5</v>
      </c>
      <c r="K157" s="17">
        <v>3338</v>
      </c>
      <c r="L157" s="17">
        <v>36</v>
      </c>
      <c r="M157" s="17">
        <v>7408</v>
      </c>
      <c r="N157" s="17"/>
      <c r="O157" s="17"/>
      <c r="P157" s="17">
        <v>59</v>
      </c>
      <c r="Q157" s="17">
        <v>8996</v>
      </c>
      <c r="R157" s="17"/>
      <c r="S157" s="17"/>
      <c r="T157" s="17"/>
      <c r="U157" s="17"/>
      <c r="V157" s="17">
        <v>89</v>
      </c>
      <c r="W157" s="17">
        <v>100</v>
      </c>
      <c r="X157" s="15">
        <v>290.5</v>
      </c>
      <c r="Y157" s="17">
        <v>364</v>
      </c>
      <c r="Z157" s="17">
        <v>474.5</v>
      </c>
      <c r="AA157" s="17">
        <v>4571</v>
      </c>
      <c r="AB157" s="12">
        <v>439</v>
      </c>
    </row>
    <row r="158" ht="14.25" spans="1:28">
      <c r="A158" s="13">
        <v>156</v>
      </c>
      <c r="B158" s="15">
        <v>3</v>
      </c>
      <c r="C158" s="16">
        <v>45</v>
      </c>
      <c r="D158" s="17" t="s">
        <v>325</v>
      </c>
      <c r="E158" s="17" t="s">
        <v>326</v>
      </c>
      <c r="F158" s="17">
        <v>89</v>
      </c>
      <c r="G158" s="17">
        <v>9959</v>
      </c>
      <c r="H158" s="17">
        <v>94.5</v>
      </c>
      <c r="I158" s="17">
        <v>4840</v>
      </c>
      <c r="J158" s="17">
        <v>84.5</v>
      </c>
      <c r="K158" s="17">
        <v>6614</v>
      </c>
      <c r="L158" s="17">
        <v>75.5</v>
      </c>
      <c r="M158" s="17">
        <v>413</v>
      </c>
      <c r="N158" s="17"/>
      <c r="O158" s="17"/>
      <c r="P158" s="17">
        <v>88</v>
      </c>
      <c r="Q158" s="17">
        <v>397</v>
      </c>
      <c r="R158" s="17"/>
      <c r="S158" s="17"/>
      <c r="T158" s="17"/>
      <c r="U158" s="17"/>
      <c r="V158" s="17">
        <v>76</v>
      </c>
      <c r="W158" s="17">
        <v>1407</v>
      </c>
      <c r="X158" s="15">
        <v>268</v>
      </c>
      <c r="Y158" s="17">
        <v>541</v>
      </c>
      <c r="Z158" s="17">
        <v>507.5</v>
      </c>
      <c r="AA158" s="17">
        <v>2883</v>
      </c>
      <c r="AB158" s="12">
        <v>285</v>
      </c>
    </row>
    <row r="159" ht="14.25" spans="1:28">
      <c r="A159" s="13">
        <v>157</v>
      </c>
      <c r="B159" s="15">
        <v>3</v>
      </c>
      <c r="C159" s="16">
        <v>46</v>
      </c>
      <c r="D159" s="17" t="s">
        <v>327</v>
      </c>
      <c r="E159" s="17" t="s">
        <v>328</v>
      </c>
      <c r="F159" s="17">
        <v>99.25</v>
      </c>
      <c r="G159" s="17">
        <v>3846</v>
      </c>
      <c r="H159" s="17">
        <v>69.5</v>
      </c>
      <c r="I159" s="17">
        <v>10065</v>
      </c>
      <c r="J159" s="17">
        <v>87.5</v>
      </c>
      <c r="K159" s="17">
        <v>5877</v>
      </c>
      <c r="L159" s="17">
        <v>45</v>
      </c>
      <c r="M159" s="17">
        <v>5014</v>
      </c>
      <c r="N159" s="17"/>
      <c r="O159" s="17"/>
      <c r="P159" s="17">
        <v>50</v>
      </c>
      <c r="Q159" s="17">
        <v>10845</v>
      </c>
      <c r="R159" s="17"/>
      <c r="S159" s="17"/>
      <c r="T159" s="17"/>
      <c r="U159" s="17"/>
      <c r="V159" s="17">
        <v>86</v>
      </c>
      <c r="W159" s="17">
        <v>439</v>
      </c>
      <c r="X159" s="15">
        <v>256.25</v>
      </c>
      <c r="Y159" s="17">
        <v>592</v>
      </c>
      <c r="Z159" s="17">
        <v>437.25</v>
      </c>
      <c r="AA159" s="17">
        <v>7022</v>
      </c>
      <c r="AB159" s="12">
        <v>578</v>
      </c>
    </row>
    <row r="160" ht="14.25" spans="1:28">
      <c r="A160" s="13">
        <v>158</v>
      </c>
      <c r="B160" s="15">
        <v>3</v>
      </c>
      <c r="C160" s="16">
        <v>47</v>
      </c>
      <c r="D160" s="17" t="s">
        <v>329</v>
      </c>
      <c r="E160" s="17" t="s">
        <v>330</v>
      </c>
      <c r="F160" s="17">
        <v>94</v>
      </c>
      <c r="G160" s="17">
        <v>6811</v>
      </c>
      <c r="H160" s="17">
        <v>112.5</v>
      </c>
      <c r="I160" s="17">
        <v>1543</v>
      </c>
      <c r="J160" s="17">
        <v>100.5</v>
      </c>
      <c r="K160" s="17">
        <v>2946</v>
      </c>
      <c r="L160" s="17">
        <v>53.5</v>
      </c>
      <c r="M160" s="17">
        <v>3296</v>
      </c>
      <c r="N160" s="17"/>
      <c r="O160" s="17"/>
      <c r="P160" s="17">
        <v>86</v>
      </c>
      <c r="Q160" s="17">
        <v>1052</v>
      </c>
      <c r="R160" s="17"/>
      <c r="S160" s="17"/>
      <c r="T160" s="17"/>
      <c r="U160" s="17"/>
      <c r="V160" s="17">
        <v>85</v>
      </c>
      <c r="W160" s="17">
        <v>530</v>
      </c>
      <c r="X160" s="15">
        <v>307</v>
      </c>
      <c r="Y160" s="17">
        <v>221</v>
      </c>
      <c r="Z160" s="17">
        <v>531.5</v>
      </c>
      <c r="AA160" s="17">
        <v>1892</v>
      </c>
      <c r="AB160" s="12">
        <v>165</v>
      </c>
    </row>
    <row r="161" ht="14.25" spans="1:28">
      <c r="A161" s="13">
        <v>159</v>
      </c>
      <c r="B161" s="15">
        <v>3</v>
      </c>
      <c r="C161" s="16">
        <v>48</v>
      </c>
      <c r="D161" s="17" t="s">
        <v>331</v>
      </c>
      <c r="E161" s="17" t="s">
        <v>332</v>
      </c>
      <c r="F161" s="17">
        <v>96.5</v>
      </c>
      <c r="G161" s="17">
        <v>5262</v>
      </c>
      <c r="H161" s="17">
        <v>106</v>
      </c>
      <c r="I161" s="17">
        <v>2619</v>
      </c>
      <c r="J161" s="17">
        <v>96.75</v>
      </c>
      <c r="K161" s="17">
        <v>3707</v>
      </c>
      <c r="L161" s="17">
        <v>63.5</v>
      </c>
      <c r="M161" s="17">
        <v>1636</v>
      </c>
      <c r="N161" s="17"/>
      <c r="O161" s="17"/>
      <c r="P161" s="17">
        <v>80</v>
      </c>
      <c r="Q161" s="17">
        <v>2333</v>
      </c>
      <c r="R161" s="17"/>
      <c r="S161" s="17"/>
      <c r="T161" s="17"/>
      <c r="U161" s="17"/>
      <c r="V161" s="17">
        <v>67</v>
      </c>
      <c r="W161" s="17">
        <v>2619</v>
      </c>
      <c r="X161" s="15">
        <v>299.25</v>
      </c>
      <c r="Y161" s="17">
        <v>281</v>
      </c>
      <c r="Z161" s="17">
        <v>509.75</v>
      </c>
      <c r="AA161" s="17">
        <v>2790</v>
      </c>
      <c r="AB161" s="12">
        <v>274</v>
      </c>
    </row>
    <row r="162" ht="14.25" spans="1:28">
      <c r="A162" s="13">
        <v>160</v>
      </c>
      <c r="B162" s="15">
        <v>3</v>
      </c>
      <c r="C162" s="16">
        <v>49</v>
      </c>
      <c r="D162" s="17" t="s">
        <v>333</v>
      </c>
      <c r="E162" s="17" t="s">
        <v>334</v>
      </c>
      <c r="F162" s="17">
        <v>89</v>
      </c>
      <c r="G162" s="17">
        <v>9959</v>
      </c>
      <c r="H162" s="17">
        <v>65.5</v>
      </c>
      <c r="I162" s="17">
        <v>10794</v>
      </c>
      <c r="J162" s="17">
        <v>87</v>
      </c>
      <c r="K162" s="17">
        <v>5999</v>
      </c>
      <c r="L162" s="17">
        <v>23.5</v>
      </c>
      <c r="M162" s="17">
        <v>12312</v>
      </c>
      <c r="N162" s="17"/>
      <c r="O162" s="17"/>
      <c r="P162" s="17">
        <v>68</v>
      </c>
      <c r="Q162" s="17">
        <v>6016</v>
      </c>
      <c r="R162" s="17"/>
      <c r="S162" s="17"/>
      <c r="T162" s="17"/>
      <c r="U162" s="17"/>
      <c r="V162" s="17">
        <v>50</v>
      </c>
      <c r="W162" s="17">
        <v>4674</v>
      </c>
      <c r="X162" s="15">
        <v>241.5</v>
      </c>
      <c r="Y162" s="17">
        <v>628</v>
      </c>
      <c r="Z162" s="17">
        <v>383</v>
      </c>
      <c r="AA162" s="17">
        <v>10868</v>
      </c>
      <c r="AB162" s="12">
        <v>651</v>
      </c>
    </row>
    <row r="163" ht="14.25" spans="1:28">
      <c r="A163" s="13">
        <v>161</v>
      </c>
      <c r="B163" s="15">
        <v>4</v>
      </c>
      <c r="C163" s="16">
        <v>2</v>
      </c>
      <c r="D163" s="17" t="s">
        <v>335</v>
      </c>
      <c r="E163" s="17" t="s">
        <v>336</v>
      </c>
      <c r="F163" s="17">
        <v>77.5</v>
      </c>
      <c r="G163" s="17">
        <v>15477</v>
      </c>
      <c r="H163" s="17">
        <v>88</v>
      </c>
      <c r="I163" s="17">
        <v>6299</v>
      </c>
      <c r="J163" s="17">
        <v>71</v>
      </c>
      <c r="K163" s="17">
        <v>10072</v>
      </c>
      <c r="L163" s="17">
        <v>36</v>
      </c>
      <c r="M163" s="17">
        <v>7408</v>
      </c>
      <c r="N163" s="17"/>
      <c r="O163" s="17"/>
      <c r="P163" s="17">
        <v>63</v>
      </c>
      <c r="Q163" s="17">
        <v>7666</v>
      </c>
      <c r="R163" s="17"/>
      <c r="S163" s="17"/>
      <c r="T163" s="17"/>
      <c r="U163" s="17"/>
      <c r="V163" s="17">
        <v>82</v>
      </c>
      <c r="W163" s="17">
        <v>723</v>
      </c>
      <c r="X163" s="15">
        <v>236.5</v>
      </c>
      <c r="Y163" s="17">
        <v>637</v>
      </c>
      <c r="Z163" s="17">
        <v>417.5</v>
      </c>
      <c r="AA163" s="17">
        <v>8404</v>
      </c>
      <c r="AB163" s="12">
        <v>625</v>
      </c>
    </row>
    <row r="164" ht="14.25" spans="1:28">
      <c r="A164" s="13">
        <v>162</v>
      </c>
      <c r="B164" s="15">
        <v>4</v>
      </c>
      <c r="C164" s="16">
        <v>3</v>
      </c>
      <c r="D164" s="17" t="s">
        <v>337</v>
      </c>
      <c r="E164" s="17" t="s">
        <v>338</v>
      </c>
      <c r="F164" s="17">
        <v>106.5</v>
      </c>
      <c r="G164" s="17">
        <v>1059</v>
      </c>
      <c r="H164" s="17">
        <v>94</v>
      </c>
      <c r="I164" s="17">
        <v>4942</v>
      </c>
      <c r="J164" s="17">
        <v>91.75</v>
      </c>
      <c r="K164" s="17">
        <v>4882</v>
      </c>
      <c r="L164" s="17">
        <v>52</v>
      </c>
      <c r="M164" s="17">
        <v>3556</v>
      </c>
      <c r="N164" s="17"/>
      <c r="O164" s="17"/>
      <c r="P164" s="17">
        <v>72</v>
      </c>
      <c r="Q164" s="17">
        <v>4881</v>
      </c>
      <c r="R164" s="17"/>
      <c r="S164" s="17"/>
      <c r="T164" s="17"/>
      <c r="U164" s="17"/>
      <c r="V164" s="17">
        <v>78</v>
      </c>
      <c r="W164" s="17">
        <v>1218</v>
      </c>
      <c r="X164" s="15">
        <v>292.25</v>
      </c>
      <c r="Y164" s="17">
        <v>347</v>
      </c>
      <c r="Z164" s="17">
        <v>494.25</v>
      </c>
      <c r="AA164" s="17">
        <v>3552</v>
      </c>
      <c r="AB164" s="12">
        <v>356</v>
      </c>
    </row>
    <row r="165" ht="14.25" spans="1:28">
      <c r="A165" s="13">
        <v>163</v>
      </c>
      <c r="B165" s="15">
        <v>4</v>
      </c>
      <c r="C165" s="16">
        <v>4</v>
      </c>
      <c r="D165" s="17" t="s">
        <v>339</v>
      </c>
      <c r="E165" s="17" t="s">
        <v>340</v>
      </c>
      <c r="F165" s="17">
        <v>91.5</v>
      </c>
      <c r="G165" s="17">
        <v>8306</v>
      </c>
      <c r="H165" s="17">
        <v>88.5</v>
      </c>
      <c r="I165" s="17">
        <v>6176</v>
      </c>
      <c r="J165" s="17">
        <v>74</v>
      </c>
      <c r="K165" s="17">
        <v>9352</v>
      </c>
      <c r="L165" s="17">
        <v>35</v>
      </c>
      <c r="M165" s="17">
        <v>7732</v>
      </c>
      <c r="N165" s="17"/>
      <c r="O165" s="17"/>
      <c r="P165" s="17">
        <v>64</v>
      </c>
      <c r="Q165" s="17">
        <v>7304</v>
      </c>
      <c r="R165" s="17"/>
      <c r="S165" s="17"/>
      <c r="T165" s="17"/>
      <c r="U165" s="17"/>
      <c r="V165" s="17">
        <v>88</v>
      </c>
      <c r="W165" s="17">
        <v>165</v>
      </c>
      <c r="X165" s="15">
        <v>254</v>
      </c>
      <c r="Y165" s="17">
        <v>599</v>
      </c>
      <c r="Z165" s="17">
        <v>441</v>
      </c>
      <c r="AA165" s="17">
        <v>6744</v>
      </c>
      <c r="AB165" s="12">
        <v>568</v>
      </c>
    </row>
    <row r="166" ht="14.25" spans="1:28">
      <c r="A166" s="13">
        <v>164</v>
      </c>
      <c r="B166" s="15">
        <v>4</v>
      </c>
      <c r="C166" s="16">
        <v>5</v>
      </c>
      <c r="D166" s="17" t="s">
        <v>341</v>
      </c>
      <c r="E166" s="17" t="s">
        <v>342</v>
      </c>
      <c r="F166" s="17">
        <v>83</v>
      </c>
      <c r="G166" s="17">
        <v>13396</v>
      </c>
      <c r="H166" s="17">
        <v>62.5</v>
      </c>
      <c r="I166" s="17">
        <v>11385</v>
      </c>
      <c r="J166" s="17">
        <v>87.5</v>
      </c>
      <c r="K166" s="17">
        <v>5877</v>
      </c>
      <c r="L166" s="17">
        <v>23.5</v>
      </c>
      <c r="M166" s="17">
        <v>12312</v>
      </c>
      <c r="N166" s="17"/>
      <c r="O166" s="17"/>
      <c r="P166" s="17">
        <v>73</v>
      </c>
      <c r="Q166" s="17">
        <v>4501</v>
      </c>
      <c r="R166" s="17"/>
      <c r="S166" s="17"/>
      <c r="T166" s="17"/>
      <c r="U166" s="17"/>
      <c r="V166" s="17">
        <v>81</v>
      </c>
      <c r="W166" s="17">
        <v>860</v>
      </c>
      <c r="X166" s="15">
        <v>233</v>
      </c>
      <c r="Y166" s="17">
        <v>640</v>
      </c>
      <c r="Z166" s="17">
        <v>410.5</v>
      </c>
      <c r="AA166" s="17">
        <v>8910</v>
      </c>
      <c r="AB166" s="12">
        <v>631</v>
      </c>
    </row>
    <row r="167" ht="14.25" spans="1:28">
      <c r="A167" s="13">
        <v>165</v>
      </c>
      <c r="B167" s="15">
        <v>4</v>
      </c>
      <c r="C167" s="16">
        <v>6</v>
      </c>
      <c r="D167" s="17" t="s">
        <v>343</v>
      </c>
      <c r="E167" s="17" t="s">
        <v>344</v>
      </c>
      <c r="F167" s="17">
        <v>84</v>
      </c>
      <c r="G167" s="17">
        <v>12898</v>
      </c>
      <c r="H167" s="17">
        <v>83</v>
      </c>
      <c r="I167" s="17">
        <v>7420</v>
      </c>
      <c r="J167" s="17">
        <v>54.5</v>
      </c>
      <c r="K167" s="17">
        <v>13373</v>
      </c>
      <c r="L167" s="17">
        <v>28</v>
      </c>
      <c r="M167" s="17">
        <v>10280</v>
      </c>
      <c r="N167" s="17"/>
      <c r="O167" s="17"/>
      <c r="P167" s="17">
        <v>59</v>
      </c>
      <c r="Q167" s="17">
        <v>8996</v>
      </c>
      <c r="R167" s="17"/>
      <c r="S167" s="17"/>
      <c r="T167" s="17"/>
      <c r="U167" s="17"/>
      <c r="V167" s="17">
        <v>79</v>
      </c>
      <c r="W167" s="17">
        <v>1023</v>
      </c>
      <c r="X167" s="15">
        <v>221.5</v>
      </c>
      <c r="Y167" s="17">
        <v>652</v>
      </c>
      <c r="Z167" s="17">
        <v>387.5</v>
      </c>
      <c r="AA167" s="17">
        <v>10542</v>
      </c>
      <c r="AB167" s="12">
        <v>648</v>
      </c>
    </row>
    <row r="168" ht="14.25" spans="1:28">
      <c r="A168" s="13">
        <v>166</v>
      </c>
      <c r="B168" s="15">
        <v>4</v>
      </c>
      <c r="C168" s="16">
        <v>7</v>
      </c>
      <c r="D168" s="17" t="s">
        <v>345</v>
      </c>
      <c r="E168" s="17" t="s">
        <v>346</v>
      </c>
      <c r="F168" s="17">
        <v>78</v>
      </c>
      <c r="G168" s="17">
        <v>15316</v>
      </c>
      <c r="H168" s="17">
        <v>98</v>
      </c>
      <c r="I168" s="17">
        <v>4147</v>
      </c>
      <c r="J168" s="17">
        <v>88.75</v>
      </c>
      <c r="K168" s="17">
        <v>5589</v>
      </c>
      <c r="L168" s="17">
        <v>40</v>
      </c>
      <c r="M168" s="17">
        <v>6265</v>
      </c>
      <c r="N168" s="17"/>
      <c r="O168" s="17"/>
      <c r="P168" s="17">
        <v>63</v>
      </c>
      <c r="Q168" s="17">
        <v>7666</v>
      </c>
      <c r="R168" s="17"/>
      <c r="S168" s="17"/>
      <c r="T168" s="17"/>
      <c r="U168" s="17"/>
      <c r="V168" s="17">
        <v>68</v>
      </c>
      <c r="W168" s="17">
        <v>2512</v>
      </c>
      <c r="X168" s="15">
        <v>264.75</v>
      </c>
      <c r="Y168" s="17">
        <v>557</v>
      </c>
      <c r="Z168" s="17">
        <v>435.75</v>
      </c>
      <c r="AA168" s="17">
        <v>7116</v>
      </c>
      <c r="AB168" s="12">
        <v>584</v>
      </c>
    </row>
    <row r="169" ht="14.25" spans="1:28">
      <c r="A169" s="13">
        <v>167</v>
      </c>
      <c r="B169" s="15">
        <v>4</v>
      </c>
      <c r="C169" s="16">
        <v>8</v>
      </c>
      <c r="D169" s="17" t="s">
        <v>347</v>
      </c>
      <c r="E169" s="17" t="s">
        <v>348</v>
      </c>
      <c r="F169" s="17">
        <v>87.5</v>
      </c>
      <c r="G169" s="17">
        <v>10920</v>
      </c>
      <c r="H169" s="17">
        <v>101.5</v>
      </c>
      <c r="I169" s="17">
        <v>3477</v>
      </c>
      <c r="J169" s="17">
        <v>101.5</v>
      </c>
      <c r="K169" s="17">
        <v>2779</v>
      </c>
      <c r="L169" s="17">
        <v>44</v>
      </c>
      <c r="M169" s="17">
        <v>5222</v>
      </c>
      <c r="N169" s="17"/>
      <c r="O169" s="17"/>
      <c r="P169" s="17">
        <v>73</v>
      </c>
      <c r="Q169" s="17">
        <v>4501</v>
      </c>
      <c r="R169" s="17"/>
      <c r="S169" s="17"/>
      <c r="T169" s="17"/>
      <c r="U169" s="17"/>
      <c r="V169" s="17">
        <v>90</v>
      </c>
      <c r="W169" s="17">
        <v>44</v>
      </c>
      <c r="X169" s="15">
        <v>290.5</v>
      </c>
      <c r="Y169" s="17">
        <v>364</v>
      </c>
      <c r="Z169" s="17">
        <v>497.5</v>
      </c>
      <c r="AA169" s="17">
        <v>3359</v>
      </c>
      <c r="AB169" s="12">
        <v>342</v>
      </c>
    </row>
    <row r="170" ht="14.25" spans="1:28">
      <c r="A170" s="13">
        <v>168</v>
      </c>
      <c r="B170" s="15">
        <v>4</v>
      </c>
      <c r="C170" s="16">
        <v>9</v>
      </c>
      <c r="D170" s="17" t="s">
        <v>349</v>
      </c>
      <c r="E170" s="17" t="s">
        <v>350</v>
      </c>
      <c r="F170" s="17">
        <v>95.25</v>
      </c>
      <c r="G170" s="17">
        <v>6136</v>
      </c>
      <c r="H170" s="17">
        <v>89.5</v>
      </c>
      <c r="I170" s="17">
        <v>5946</v>
      </c>
      <c r="J170" s="17">
        <v>80.75</v>
      </c>
      <c r="K170" s="17">
        <v>7625</v>
      </c>
      <c r="L170" s="17">
        <v>54.5</v>
      </c>
      <c r="M170" s="17">
        <v>3126</v>
      </c>
      <c r="N170" s="17"/>
      <c r="O170" s="17"/>
      <c r="P170" s="17">
        <v>81</v>
      </c>
      <c r="Q170" s="17">
        <v>2079</v>
      </c>
      <c r="R170" s="17"/>
      <c r="S170" s="17"/>
      <c r="T170" s="17"/>
      <c r="U170" s="17"/>
      <c r="V170" s="17">
        <v>91</v>
      </c>
      <c r="W170" s="17">
        <v>15</v>
      </c>
      <c r="X170" s="15">
        <v>265.5</v>
      </c>
      <c r="Y170" s="17">
        <v>552</v>
      </c>
      <c r="Z170" s="17">
        <v>492</v>
      </c>
      <c r="AA170" s="17">
        <v>3646</v>
      </c>
      <c r="AB170" s="12">
        <v>363</v>
      </c>
    </row>
    <row r="171" ht="14.25" spans="1:28">
      <c r="A171" s="13">
        <v>169</v>
      </c>
      <c r="B171" s="15">
        <v>4</v>
      </c>
      <c r="C171" s="16">
        <v>10</v>
      </c>
      <c r="D171" s="17" t="s">
        <v>351</v>
      </c>
      <c r="E171" s="17" t="s">
        <v>352</v>
      </c>
      <c r="F171" s="17">
        <v>96</v>
      </c>
      <c r="G171" s="17">
        <v>5544</v>
      </c>
      <c r="H171" s="17">
        <v>106.5</v>
      </c>
      <c r="I171" s="17">
        <v>2542</v>
      </c>
      <c r="J171" s="17">
        <v>96.5</v>
      </c>
      <c r="K171" s="17">
        <v>3746</v>
      </c>
      <c r="L171" s="17">
        <v>60</v>
      </c>
      <c r="M171" s="17">
        <v>2185</v>
      </c>
      <c r="N171" s="17"/>
      <c r="O171" s="17"/>
      <c r="P171" s="17">
        <v>83</v>
      </c>
      <c r="Q171" s="17">
        <v>1643</v>
      </c>
      <c r="R171" s="17"/>
      <c r="S171" s="17"/>
      <c r="T171" s="17"/>
      <c r="U171" s="17"/>
      <c r="V171" s="17">
        <v>90</v>
      </c>
      <c r="W171" s="17">
        <v>44</v>
      </c>
      <c r="X171" s="15">
        <v>299</v>
      </c>
      <c r="Y171" s="17">
        <v>284</v>
      </c>
      <c r="Z171" s="17">
        <v>532</v>
      </c>
      <c r="AA171" s="17">
        <v>1873</v>
      </c>
      <c r="AB171" s="12">
        <v>158</v>
      </c>
    </row>
    <row r="172" ht="14.25" spans="1:28">
      <c r="A172" s="13">
        <v>170</v>
      </c>
      <c r="B172" s="15">
        <v>4</v>
      </c>
      <c r="C172" s="16">
        <v>11</v>
      </c>
      <c r="D172" s="17" t="s">
        <v>353</v>
      </c>
      <c r="E172" s="17" t="s">
        <v>354</v>
      </c>
      <c r="F172" s="17">
        <v>92.5</v>
      </c>
      <c r="G172" s="17">
        <v>7705</v>
      </c>
      <c r="H172" s="17">
        <v>106.5</v>
      </c>
      <c r="I172" s="17">
        <v>2542</v>
      </c>
      <c r="J172" s="17">
        <v>109.75</v>
      </c>
      <c r="K172" s="17">
        <v>1503</v>
      </c>
      <c r="L172" s="17">
        <v>38.5</v>
      </c>
      <c r="M172" s="17">
        <v>6692</v>
      </c>
      <c r="N172" s="17"/>
      <c r="O172" s="17"/>
      <c r="P172" s="17">
        <v>78</v>
      </c>
      <c r="Q172" s="17">
        <v>2908</v>
      </c>
      <c r="R172" s="17"/>
      <c r="S172" s="17"/>
      <c r="T172" s="17"/>
      <c r="U172" s="17"/>
      <c r="V172" s="17">
        <v>84</v>
      </c>
      <c r="W172" s="17">
        <v>588</v>
      </c>
      <c r="X172" s="15">
        <v>308.75</v>
      </c>
      <c r="Y172" s="17">
        <v>206</v>
      </c>
      <c r="Z172" s="17">
        <v>509.25</v>
      </c>
      <c r="AA172" s="17">
        <v>2810</v>
      </c>
      <c r="AB172" s="12">
        <v>277</v>
      </c>
    </row>
    <row r="173" ht="14.25" spans="1:28">
      <c r="A173" s="13">
        <v>171</v>
      </c>
      <c r="B173" s="15">
        <v>4</v>
      </c>
      <c r="C173" s="16">
        <v>12</v>
      </c>
      <c r="D173" s="17" t="s">
        <v>355</v>
      </c>
      <c r="E173" s="17" t="s">
        <v>356</v>
      </c>
      <c r="F173" s="17">
        <v>101</v>
      </c>
      <c r="G173" s="17">
        <v>2896</v>
      </c>
      <c r="H173" s="17">
        <v>109</v>
      </c>
      <c r="I173" s="17">
        <v>2105</v>
      </c>
      <c r="J173" s="17">
        <v>97.5</v>
      </c>
      <c r="K173" s="17">
        <v>3545</v>
      </c>
      <c r="L173" s="17">
        <v>44.5</v>
      </c>
      <c r="M173" s="17">
        <v>5122</v>
      </c>
      <c r="N173" s="17"/>
      <c r="O173" s="17"/>
      <c r="P173" s="17">
        <v>78</v>
      </c>
      <c r="Q173" s="17">
        <v>2908</v>
      </c>
      <c r="R173" s="17"/>
      <c r="S173" s="17"/>
      <c r="T173" s="17"/>
      <c r="U173" s="17"/>
      <c r="V173" s="17">
        <v>91</v>
      </c>
      <c r="W173" s="17">
        <v>15</v>
      </c>
      <c r="X173" s="15">
        <v>307.5</v>
      </c>
      <c r="Y173" s="17">
        <v>214</v>
      </c>
      <c r="Z173" s="17">
        <v>521</v>
      </c>
      <c r="AA173" s="17">
        <v>2318</v>
      </c>
      <c r="AB173" s="12">
        <v>212</v>
      </c>
    </row>
    <row r="174" ht="14.25" spans="1:28">
      <c r="A174" s="13">
        <v>172</v>
      </c>
      <c r="B174" s="15">
        <v>4</v>
      </c>
      <c r="C174" s="16">
        <v>13</v>
      </c>
      <c r="D174" s="17" t="s">
        <v>357</v>
      </c>
      <c r="E174" s="17" t="s">
        <v>358</v>
      </c>
      <c r="F174" s="17">
        <v>105.5</v>
      </c>
      <c r="G174" s="17">
        <v>1281</v>
      </c>
      <c r="H174" s="17">
        <v>121</v>
      </c>
      <c r="I174" s="17">
        <v>621</v>
      </c>
      <c r="J174" s="17">
        <v>110.75</v>
      </c>
      <c r="K174" s="17">
        <v>1380</v>
      </c>
      <c r="L174" s="17">
        <v>49.5</v>
      </c>
      <c r="M174" s="17">
        <v>4044</v>
      </c>
      <c r="N174" s="17"/>
      <c r="O174" s="17"/>
      <c r="P174" s="17">
        <v>69</v>
      </c>
      <c r="Q174" s="17">
        <v>5655</v>
      </c>
      <c r="R174" s="17"/>
      <c r="S174" s="17"/>
      <c r="T174" s="17"/>
      <c r="U174" s="17"/>
      <c r="V174" s="17">
        <v>89</v>
      </c>
      <c r="W174" s="17">
        <v>100</v>
      </c>
      <c r="X174" s="15">
        <v>337.25</v>
      </c>
      <c r="Y174" s="17">
        <v>35</v>
      </c>
      <c r="Z174" s="17">
        <v>544.75</v>
      </c>
      <c r="AA174" s="17">
        <v>1462</v>
      </c>
      <c r="AB174" s="12">
        <v>113</v>
      </c>
    </row>
    <row r="175" ht="14.25" spans="1:28">
      <c r="A175" s="13">
        <v>173</v>
      </c>
      <c r="B175" s="15">
        <v>4</v>
      </c>
      <c r="C175" s="16">
        <v>14</v>
      </c>
      <c r="D175" s="17" t="s">
        <v>359</v>
      </c>
      <c r="E175" s="17" t="s">
        <v>360</v>
      </c>
      <c r="F175" s="17">
        <v>106.5</v>
      </c>
      <c r="G175" s="17">
        <v>1059</v>
      </c>
      <c r="H175" s="17">
        <v>106</v>
      </c>
      <c r="I175" s="17">
        <v>2619</v>
      </c>
      <c r="J175" s="17">
        <v>109.5</v>
      </c>
      <c r="K175" s="17">
        <v>1527</v>
      </c>
      <c r="L175" s="17">
        <v>43.5</v>
      </c>
      <c r="M175" s="17">
        <v>5353</v>
      </c>
      <c r="N175" s="17"/>
      <c r="O175" s="17"/>
      <c r="P175" s="17">
        <v>69</v>
      </c>
      <c r="Q175" s="17">
        <v>5655</v>
      </c>
      <c r="R175" s="17"/>
      <c r="S175" s="17"/>
      <c r="T175" s="17"/>
      <c r="U175" s="17"/>
      <c r="V175" s="17">
        <v>89</v>
      </c>
      <c r="W175" s="17">
        <v>100</v>
      </c>
      <c r="X175" s="15">
        <v>322</v>
      </c>
      <c r="Y175" s="17">
        <v>104</v>
      </c>
      <c r="Z175" s="17">
        <v>523.5</v>
      </c>
      <c r="AA175" s="17">
        <v>2215</v>
      </c>
      <c r="AB175" s="12">
        <v>200</v>
      </c>
    </row>
    <row r="176" ht="14.25" spans="1:28">
      <c r="A176" s="13">
        <v>174</v>
      </c>
      <c r="B176" s="15">
        <v>4</v>
      </c>
      <c r="C176" s="16">
        <v>15</v>
      </c>
      <c r="D176" s="17" t="s">
        <v>361</v>
      </c>
      <c r="E176" s="17" t="s">
        <v>362</v>
      </c>
      <c r="F176" s="17">
        <v>98</v>
      </c>
      <c r="G176" s="17">
        <v>4423</v>
      </c>
      <c r="H176" s="17">
        <v>94</v>
      </c>
      <c r="I176" s="17">
        <v>4942</v>
      </c>
      <c r="J176" s="17">
        <v>94.5</v>
      </c>
      <c r="K176" s="17">
        <v>4208</v>
      </c>
      <c r="L176" s="17">
        <v>52</v>
      </c>
      <c r="M176" s="17">
        <v>3556</v>
      </c>
      <c r="N176" s="17"/>
      <c r="O176" s="17"/>
      <c r="P176" s="17">
        <v>65</v>
      </c>
      <c r="Q176" s="17">
        <v>7113</v>
      </c>
      <c r="R176" s="17"/>
      <c r="S176" s="17"/>
      <c r="T176" s="17"/>
      <c r="U176" s="17"/>
      <c r="V176" s="17">
        <v>82</v>
      </c>
      <c r="W176" s="17">
        <v>723</v>
      </c>
      <c r="X176" s="15">
        <v>286.5</v>
      </c>
      <c r="Y176" s="17">
        <v>388</v>
      </c>
      <c r="Z176" s="17">
        <v>485.5</v>
      </c>
      <c r="AA176" s="17">
        <v>3956</v>
      </c>
      <c r="AB176" s="12">
        <v>395</v>
      </c>
    </row>
    <row r="177" ht="14.25" spans="1:28">
      <c r="A177" s="13">
        <v>175</v>
      </c>
      <c r="B177" s="15">
        <v>4</v>
      </c>
      <c r="C177" s="16">
        <v>16</v>
      </c>
      <c r="D177" s="17" t="s">
        <v>363</v>
      </c>
      <c r="E177" s="17" t="s">
        <v>364</v>
      </c>
      <c r="F177" s="17">
        <v>97.75</v>
      </c>
      <c r="G177" s="17">
        <v>4669</v>
      </c>
      <c r="H177" s="17">
        <v>103.5</v>
      </c>
      <c r="I177" s="17">
        <v>3096</v>
      </c>
      <c r="J177" s="17">
        <v>94.5</v>
      </c>
      <c r="K177" s="17">
        <v>4208</v>
      </c>
      <c r="L177" s="17">
        <v>57.5</v>
      </c>
      <c r="M177" s="17">
        <v>2619</v>
      </c>
      <c r="N177" s="17"/>
      <c r="O177" s="17"/>
      <c r="P177" s="17">
        <v>80</v>
      </c>
      <c r="Q177" s="17">
        <v>2333</v>
      </c>
      <c r="R177" s="17"/>
      <c r="S177" s="17"/>
      <c r="T177" s="17"/>
      <c r="U177" s="17"/>
      <c r="V177" s="17">
        <v>77</v>
      </c>
      <c r="W177" s="17">
        <v>1318</v>
      </c>
      <c r="X177" s="15">
        <v>295.75</v>
      </c>
      <c r="Y177" s="17">
        <v>310</v>
      </c>
      <c r="Z177" s="17">
        <v>510.25</v>
      </c>
      <c r="AA177" s="17">
        <v>2771</v>
      </c>
      <c r="AB177" s="12">
        <v>272</v>
      </c>
    </row>
    <row r="178" ht="14.25" spans="1:28">
      <c r="A178" s="13">
        <v>176</v>
      </c>
      <c r="B178" s="15">
        <v>4</v>
      </c>
      <c r="C178" s="16">
        <v>17</v>
      </c>
      <c r="D178" s="17" t="s">
        <v>365</v>
      </c>
      <c r="E178" s="17" t="s">
        <v>366</v>
      </c>
      <c r="F178" s="17">
        <v>89.5</v>
      </c>
      <c r="G178" s="17">
        <v>9648</v>
      </c>
      <c r="H178" s="17">
        <v>118</v>
      </c>
      <c r="I178" s="17">
        <v>885</v>
      </c>
      <c r="J178" s="17">
        <v>98</v>
      </c>
      <c r="K178" s="17">
        <v>3454</v>
      </c>
      <c r="L178" s="17">
        <v>52.5</v>
      </c>
      <c r="M178" s="17">
        <v>3470</v>
      </c>
      <c r="N178" s="17"/>
      <c r="O178" s="17"/>
      <c r="P178" s="17">
        <v>78</v>
      </c>
      <c r="Q178" s="17">
        <v>2908</v>
      </c>
      <c r="R178" s="17"/>
      <c r="S178" s="17"/>
      <c r="T178" s="17"/>
      <c r="U178" s="17"/>
      <c r="V178" s="17">
        <v>87</v>
      </c>
      <c r="W178" s="17">
        <v>273</v>
      </c>
      <c r="X178" s="15">
        <v>305.5</v>
      </c>
      <c r="Y178" s="17">
        <v>233</v>
      </c>
      <c r="Z178" s="17">
        <v>523</v>
      </c>
      <c r="AA178" s="17">
        <v>2242</v>
      </c>
      <c r="AB178" s="12">
        <v>202</v>
      </c>
    </row>
    <row r="179" ht="14.25" spans="1:28">
      <c r="A179" s="13">
        <v>177</v>
      </c>
      <c r="B179" s="15">
        <v>4</v>
      </c>
      <c r="C179" s="16">
        <v>18</v>
      </c>
      <c r="D179" s="17" t="s">
        <v>367</v>
      </c>
      <c r="E179" s="17" t="s">
        <v>368</v>
      </c>
      <c r="F179" s="17">
        <v>98</v>
      </c>
      <c r="G179" s="17">
        <v>4423</v>
      </c>
      <c r="H179" s="17">
        <v>86</v>
      </c>
      <c r="I179" s="17">
        <v>6759</v>
      </c>
      <c r="J179" s="17">
        <v>99.5</v>
      </c>
      <c r="K179" s="17">
        <v>3134</v>
      </c>
      <c r="L179" s="17">
        <v>56</v>
      </c>
      <c r="M179" s="17">
        <v>2878</v>
      </c>
      <c r="N179" s="17"/>
      <c r="O179" s="17"/>
      <c r="P179" s="17">
        <v>83</v>
      </c>
      <c r="Q179" s="17">
        <v>1643</v>
      </c>
      <c r="R179" s="17"/>
      <c r="S179" s="17"/>
      <c r="T179" s="17"/>
      <c r="U179" s="17"/>
      <c r="V179" s="17">
        <v>88</v>
      </c>
      <c r="W179" s="17">
        <v>165</v>
      </c>
      <c r="X179" s="15">
        <v>283.5</v>
      </c>
      <c r="Y179" s="17">
        <v>412</v>
      </c>
      <c r="Z179" s="17">
        <v>510.5</v>
      </c>
      <c r="AA179" s="17">
        <v>2753</v>
      </c>
      <c r="AB179" s="12">
        <v>270</v>
      </c>
    </row>
    <row r="180" ht="14.25" spans="1:28">
      <c r="A180" s="13">
        <v>178</v>
      </c>
      <c r="B180" s="15">
        <v>4</v>
      </c>
      <c r="C180" s="16">
        <v>19</v>
      </c>
      <c r="D180" s="17" t="s">
        <v>369</v>
      </c>
      <c r="E180" s="17" t="s">
        <v>370</v>
      </c>
      <c r="F180" s="17">
        <v>95.75</v>
      </c>
      <c r="G180" s="17">
        <v>5826</v>
      </c>
      <c r="H180" s="17">
        <v>110.5</v>
      </c>
      <c r="I180" s="17">
        <v>1866</v>
      </c>
      <c r="J180" s="17">
        <v>107</v>
      </c>
      <c r="K180" s="17">
        <v>1871</v>
      </c>
      <c r="L180" s="17">
        <v>60</v>
      </c>
      <c r="M180" s="17">
        <v>2185</v>
      </c>
      <c r="N180" s="17"/>
      <c r="O180" s="17"/>
      <c r="P180" s="17">
        <v>87</v>
      </c>
      <c r="Q180" s="17">
        <v>681</v>
      </c>
      <c r="R180" s="17"/>
      <c r="S180" s="17"/>
      <c r="T180" s="17"/>
      <c r="U180" s="17"/>
      <c r="V180" s="17">
        <v>85</v>
      </c>
      <c r="W180" s="17">
        <v>530</v>
      </c>
      <c r="X180" s="15">
        <v>313.25</v>
      </c>
      <c r="Y180" s="17">
        <v>166</v>
      </c>
      <c r="Z180" s="17">
        <v>545.25</v>
      </c>
      <c r="AA180" s="17">
        <v>1448</v>
      </c>
      <c r="AB180" s="12">
        <v>110</v>
      </c>
    </row>
    <row r="181" ht="14.25" spans="1:28">
      <c r="A181" s="13">
        <v>179</v>
      </c>
      <c r="B181" s="15">
        <v>4</v>
      </c>
      <c r="C181" s="16">
        <v>20</v>
      </c>
      <c r="D181" s="17" t="s">
        <v>371</v>
      </c>
      <c r="E181" s="17" t="s">
        <v>372</v>
      </c>
      <c r="F181" s="17">
        <v>104</v>
      </c>
      <c r="G181" s="17">
        <v>1709</v>
      </c>
      <c r="H181" s="17">
        <v>101.5</v>
      </c>
      <c r="I181" s="17">
        <v>3477</v>
      </c>
      <c r="J181" s="17">
        <v>96.75</v>
      </c>
      <c r="K181" s="17">
        <v>3707</v>
      </c>
      <c r="L181" s="17">
        <v>44</v>
      </c>
      <c r="M181" s="17">
        <v>5222</v>
      </c>
      <c r="N181" s="17"/>
      <c r="O181" s="17"/>
      <c r="P181" s="17">
        <v>73</v>
      </c>
      <c r="Q181" s="17">
        <v>4501</v>
      </c>
      <c r="R181" s="17"/>
      <c r="S181" s="17"/>
      <c r="T181" s="17"/>
      <c r="U181" s="17"/>
      <c r="V181" s="17">
        <v>69</v>
      </c>
      <c r="W181" s="17">
        <v>2394</v>
      </c>
      <c r="X181" s="15">
        <v>302.25</v>
      </c>
      <c r="Y181" s="17">
        <v>260</v>
      </c>
      <c r="Z181" s="17">
        <v>488.25</v>
      </c>
      <c r="AA181" s="17">
        <v>3834</v>
      </c>
      <c r="AB181" s="12">
        <v>385</v>
      </c>
    </row>
    <row r="182" ht="14.25" spans="1:28">
      <c r="A182" s="13">
        <v>180</v>
      </c>
      <c r="B182" s="15">
        <v>4</v>
      </c>
      <c r="C182" s="16">
        <v>21</v>
      </c>
      <c r="D182" s="17" t="s">
        <v>373</v>
      </c>
      <c r="E182" s="17" t="s">
        <v>374</v>
      </c>
      <c r="F182" s="17">
        <v>100.5</v>
      </c>
      <c r="G182" s="17">
        <v>3131</v>
      </c>
      <c r="H182" s="17">
        <v>111.5</v>
      </c>
      <c r="I182" s="17">
        <v>1692</v>
      </c>
      <c r="J182" s="17">
        <v>91</v>
      </c>
      <c r="K182" s="17">
        <v>5010</v>
      </c>
      <c r="L182" s="17">
        <v>47</v>
      </c>
      <c r="M182" s="17">
        <v>4568</v>
      </c>
      <c r="N182" s="17"/>
      <c r="O182" s="17"/>
      <c r="P182" s="17">
        <v>72</v>
      </c>
      <c r="Q182" s="17">
        <v>4881</v>
      </c>
      <c r="R182" s="17"/>
      <c r="S182" s="17"/>
      <c r="T182" s="17"/>
      <c r="U182" s="17"/>
      <c r="V182" s="17">
        <v>65</v>
      </c>
      <c r="W182" s="17">
        <v>2935</v>
      </c>
      <c r="X182" s="15">
        <v>303</v>
      </c>
      <c r="Y182" s="17">
        <v>251</v>
      </c>
      <c r="Z182" s="17">
        <v>487</v>
      </c>
      <c r="AA182" s="17">
        <v>3895</v>
      </c>
      <c r="AB182" s="12">
        <v>390</v>
      </c>
    </row>
    <row r="183" ht="14.25" spans="1:28">
      <c r="A183" s="13">
        <v>181</v>
      </c>
      <c r="B183" s="15">
        <v>4</v>
      </c>
      <c r="C183" s="16">
        <v>22</v>
      </c>
      <c r="D183" s="17" t="s">
        <v>375</v>
      </c>
      <c r="E183" s="17" t="s">
        <v>376</v>
      </c>
      <c r="F183" s="17">
        <v>107</v>
      </c>
      <c r="G183" s="17">
        <v>945</v>
      </c>
      <c r="H183" s="17">
        <v>114.5</v>
      </c>
      <c r="I183" s="17">
        <v>1277</v>
      </c>
      <c r="J183" s="17">
        <v>108</v>
      </c>
      <c r="K183" s="17">
        <v>1721</v>
      </c>
      <c r="L183" s="17">
        <v>56.5</v>
      </c>
      <c r="M183" s="17">
        <v>2801</v>
      </c>
      <c r="N183" s="17"/>
      <c r="O183" s="17"/>
      <c r="P183" s="17">
        <v>72</v>
      </c>
      <c r="Q183" s="17">
        <v>4881</v>
      </c>
      <c r="R183" s="17"/>
      <c r="S183" s="17"/>
      <c r="T183" s="17"/>
      <c r="U183" s="17"/>
      <c r="V183" s="17">
        <v>83</v>
      </c>
      <c r="W183" s="17">
        <v>648</v>
      </c>
      <c r="X183" s="15">
        <v>329.5</v>
      </c>
      <c r="Y183" s="17">
        <v>69</v>
      </c>
      <c r="Z183" s="17">
        <v>541</v>
      </c>
      <c r="AA183" s="17">
        <v>1585</v>
      </c>
      <c r="AB183" s="12">
        <v>125</v>
      </c>
    </row>
    <row r="184" ht="14.25" spans="1:28">
      <c r="A184" s="13">
        <v>182</v>
      </c>
      <c r="B184" s="15">
        <v>4</v>
      </c>
      <c r="C184" s="16">
        <v>23</v>
      </c>
      <c r="D184" s="17" t="s">
        <v>377</v>
      </c>
      <c r="E184" s="17" t="s">
        <v>378</v>
      </c>
      <c r="F184" s="17">
        <v>104.5</v>
      </c>
      <c r="G184" s="17">
        <v>1551</v>
      </c>
      <c r="H184" s="17">
        <v>122.5</v>
      </c>
      <c r="I184" s="17">
        <v>509</v>
      </c>
      <c r="J184" s="17">
        <v>98.5</v>
      </c>
      <c r="K184" s="17">
        <v>3338</v>
      </c>
      <c r="L184" s="17">
        <v>49.5</v>
      </c>
      <c r="M184" s="17">
        <v>4044</v>
      </c>
      <c r="N184" s="17"/>
      <c r="O184" s="17"/>
      <c r="P184" s="17">
        <v>67</v>
      </c>
      <c r="Q184" s="17">
        <v>6384</v>
      </c>
      <c r="R184" s="17"/>
      <c r="S184" s="17"/>
      <c r="T184" s="17"/>
      <c r="U184" s="17"/>
      <c r="V184" s="17">
        <v>76</v>
      </c>
      <c r="W184" s="17">
        <v>1407</v>
      </c>
      <c r="X184" s="15">
        <v>325.5</v>
      </c>
      <c r="Y184" s="17">
        <v>85</v>
      </c>
      <c r="Z184" s="17">
        <v>518</v>
      </c>
      <c r="AA184" s="17">
        <v>2415</v>
      </c>
      <c r="AB184" s="12">
        <v>226</v>
      </c>
    </row>
    <row r="185" ht="14.25" spans="1:28">
      <c r="A185" s="13">
        <v>183</v>
      </c>
      <c r="B185" s="15">
        <v>4</v>
      </c>
      <c r="C185" s="16">
        <v>24</v>
      </c>
      <c r="D185" s="17" t="s">
        <v>379</v>
      </c>
      <c r="E185" s="17" t="s">
        <v>380</v>
      </c>
      <c r="F185" s="17">
        <v>89.25</v>
      </c>
      <c r="G185" s="17">
        <v>9926</v>
      </c>
      <c r="H185" s="17">
        <v>106.5</v>
      </c>
      <c r="I185" s="17">
        <v>2542</v>
      </c>
      <c r="J185" s="17">
        <v>99.25</v>
      </c>
      <c r="K185" s="17">
        <v>3211</v>
      </c>
      <c r="L185" s="17">
        <v>71</v>
      </c>
      <c r="M185" s="17">
        <v>762</v>
      </c>
      <c r="N185" s="17"/>
      <c r="O185" s="17"/>
      <c r="P185" s="17">
        <v>50</v>
      </c>
      <c r="Q185" s="17">
        <v>10845</v>
      </c>
      <c r="R185" s="17"/>
      <c r="S185" s="17"/>
      <c r="T185" s="17"/>
      <c r="U185" s="17"/>
      <c r="V185" s="17">
        <v>82</v>
      </c>
      <c r="W185" s="17">
        <v>723</v>
      </c>
      <c r="X185" s="15">
        <v>295</v>
      </c>
      <c r="Y185" s="17">
        <v>314</v>
      </c>
      <c r="Z185" s="17">
        <v>498</v>
      </c>
      <c r="AA185" s="17">
        <v>3340</v>
      </c>
      <c r="AB185" s="12">
        <v>339</v>
      </c>
    </row>
    <row r="186" ht="14.25" spans="1:28">
      <c r="A186" s="13">
        <v>184</v>
      </c>
      <c r="B186" s="15">
        <v>4</v>
      </c>
      <c r="C186" s="16">
        <v>25</v>
      </c>
      <c r="D186" s="17" t="s">
        <v>381</v>
      </c>
      <c r="E186" s="17" t="s">
        <v>382</v>
      </c>
      <c r="F186" s="17">
        <v>96.5</v>
      </c>
      <c r="G186" s="17">
        <v>5262</v>
      </c>
      <c r="H186" s="17">
        <v>111.5</v>
      </c>
      <c r="I186" s="17">
        <v>1692</v>
      </c>
      <c r="J186" s="17">
        <v>102.75</v>
      </c>
      <c r="K186" s="17">
        <v>2584</v>
      </c>
      <c r="L186" s="17">
        <v>58</v>
      </c>
      <c r="M186" s="17">
        <v>2538</v>
      </c>
      <c r="N186" s="17"/>
      <c r="O186" s="17"/>
      <c r="P186" s="17">
        <v>90</v>
      </c>
      <c r="Q186" s="17">
        <v>119</v>
      </c>
      <c r="R186" s="17"/>
      <c r="S186" s="17"/>
      <c r="T186" s="17"/>
      <c r="U186" s="17"/>
      <c r="V186" s="17">
        <v>88</v>
      </c>
      <c r="W186" s="17">
        <v>165</v>
      </c>
      <c r="X186" s="15">
        <v>310.75</v>
      </c>
      <c r="Y186" s="17">
        <v>183</v>
      </c>
      <c r="Z186" s="17">
        <v>546.75</v>
      </c>
      <c r="AA186" s="17">
        <v>1400</v>
      </c>
      <c r="AB186" s="12">
        <v>106</v>
      </c>
    </row>
    <row r="187" ht="14.25" spans="1:28">
      <c r="A187" s="13">
        <v>185</v>
      </c>
      <c r="B187" s="15">
        <v>4</v>
      </c>
      <c r="C187" s="16">
        <v>26</v>
      </c>
      <c r="D187" s="17" t="s">
        <v>383</v>
      </c>
      <c r="E187" s="17" t="s">
        <v>384</v>
      </c>
      <c r="F187" s="17">
        <v>116</v>
      </c>
      <c r="G187" s="17">
        <v>48</v>
      </c>
      <c r="H187" s="17">
        <v>114.5</v>
      </c>
      <c r="I187" s="17">
        <v>1277</v>
      </c>
      <c r="J187" s="17">
        <v>106</v>
      </c>
      <c r="K187" s="17">
        <v>2012</v>
      </c>
      <c r="L187" s="17">
        <v>65.5</v>
      </c>
      <c r="M187" s="17">
        <v>1373</v>
      </c>
      <c r="N187" s="17"/>
      <c r="O187" s="17"/>
      <c r="P187" s="17">
        <v>72</v>
      </c>
      <c r="Q187" s="17">
        <v>4881</v>
      </c>
      <c r="R187" s="17"/>
      <c r="S187" s="17"/>
      <c r="T187" s="17"/>
      <c r="U187" s="17"/>
      <c r="V187" s="17">
        <v>88</v>
      </c>
      <c r="W187" s="17">
        <v>165</v>
      </c>
      <c r="X187" s="15">
        <v>336.5</v>
      </c>
      <c r="Y187" s="17">
        <v>43</v>
      </c>
      <c r="Z187" s="17">
        <v>562</v>
      </c>
      <c r="AA187" s="17">
        <v>947</v>
      </c>
      <c r="AB187" s="12">
        <v>67</v>
      </c>
    </row>
    <row r="188" ht="14.25" spans="1:28">
      <c r="A188" s="13">
        <v>186</v>
      </c>
      <c r="B188" s="15">
        <v>4</v>
      </c>
      <c r="C188" s="16">
        <v>27</v>
      </c>
      <c r="D188" s="17" t="s">
        <v>385</v>
      </c>
      <c r="E188" s="17" t="s">
        <v>386</v>
      </c>
      <c r="F188" s="17">
        <v>106.5</v>
      </c>
      <c r="G188" s="17">
        <v>1059</v>
      </c>
      <c r="H188" s="17">
        <v>108</v>
      </c>
      <c r="I188" s="17">
        <v>2274</v>
      </c>
      <c r="J188" s="17">
        <v>108.75</v>
      </c>
      <c r="K188" s="17">
        <v>1628</v>
      </c>
      <c r="L188" s="17">
        <v>59.5</v>
      </c>
      <c r="M188" s="17">
        <v>2274</v>
      </c>
      <c r="N188" s="17"/>
      <c r="O188" s="17"/>
      <c r="P188" s="17">
        <v>78</v>
      </c>
      <c r="Q188" s="17">
        <v>2908</v>
      </c>
      <c r="R188" s="17"/>
      <c r="S188" s="17"/>
      <c r="T188" s="17"/>
      <c r="U188" s="17"/>
      <c r="V188" s="17">
        <v>84</v>
      </c>
      <c r="W188" s="17">
        <v>588</v>
      </c>
      <c r="X188" s="15">
        <v>323.25</v>
      </c>
      <c r="Y188" s="17">
        <v>97</v>
      </c>
      <c r="Z188" s="17">
        <v>544.75</v>
      </c>
      <c r="AA188" s="17">
        <v>1462</v>
      </c>
      <c r="AB188" s="12">
        <v>113</v>
      </c>
    </row>
    <row r="189" ht="14.25" spans="1:28">
      <c r="A189" s="13">
        <v>187</v>
      </c>
      <c r="B189" s="15">
        <v>4</v>
      </c>
      <c r="C189" s="16">
        <v>29</v>
      </c>
      <c r="D189" s="17" t="s">
        <v>387</v>
      </c>
      <c r="E189" s="17" t="s">
        <v>388</v>
      </c>
      <c r="F189" s="17">
        <v>99</v>
      </c>
      <c r="G189" s="17">
        <v>3868</v>
      </c>
      <c r="H189" s="17">
        <v>106</v>
      </c>
      <c r="I189" s="17">
        <v>2619</v>
      </c>
      <c r="J189" s="17">
        <v>69.5</v>
      </c>
      <c r="K189" s="17">
        <v>10427</v>
      </c>
      <c r="L189" s="17">
        <v>51</v>
      </c>
      <c r="M189" s="17">
        <v>3730</v>
      </c>
      <c r="N189" s="17"/>
      <c r="O189" s="17"/>
      <c r="P189" s="17">
        <v>67</v>
      </c>
      <c r="Q189" s="17">
        <v>6384</v>
      </c>
      <c r="R189" s="17"/>
      <c r="S189" s="17"/>
      <c r="T189" s="17"/>
      <c r="U189" s="17"/>
      <c r="V189" s="17">
        <v>87</v>
      </c>
      <c r="W189" s="17">
        <v>273</v>
      </c>
      <c r="X189" s="15">
        <v>274.5</v>
      </c>
      <c r="Y189" s="17">
        <v>502</v>
      </c>
      <c r="Z189" s="17">
        <v>479.5</v>
      </c>
      <c r="AA189" s="17">
        <v>4305</v>
      </c>
      <c r="AB189" s="12">
        <v>420</v>
      </c>
    </row>
    <row r="190" ht="14.25" spans="1:28">
      <c r="A190" s="13">
        <v>188</v>
      </c>
      <c r="B190" s="15">
        <v>4</v>
      </c>
      <c r="C190" s="16">
        <v>30</v>
      </c>
      <c r="D190" s="17" t="s">
        <v>389</v>
      </c>
      <c r="E190" s="17" t="s">
        <v>390</v>
      </c>
      <c r="F190" s="17">
        <v>100.5</v>
      </c>
      <c r="G190" s="17">
        <v>3131</v>
      </c>
      <c r="H190" s="17">
        <v>108</v>
      </c>
      <c r="I190" s="17">
        <v>2274</v>
      </c>
      <c r="J190" s="17">
        <v>100.25</v>
      </c>
      <c r="K190" s="17">
        <v>3011</v>
      </c>
      <c r="L190" s="17">
        <v>44.5</v>
      </c>
      <c r="M190" s="17">
        <v>5122</v>
      </c>
      <c r="N190" s="17"/>
      <c r="O190" s="17"/>
      <c r="P190" s="17">
        <v>78</v>
      </c>
      <c r="Q190" s="17">
        <v>2908</v>
      </c>
      <c r="R190" s="17"/>
      <c r="S190" s="17"/>
      <c r="T190" s="17"/>
      <c r="U190" s="17"/>
      <c r="V190" s="17">
        <v>82</v>
      </c>
      <c r="W190" s="17">
        <v>723</v>
      </c>
      <c r="X190" s="15">
        <v>308.75</v>
      </c>
      <c r="Y190" s="17">
        <v>206</v>
      </c>
      <c r="Z190" s="17">
        <v>513.25</v>
      </c>
      <c r="AA190" s="17">
        <v>2629</v>
      </c>
      <c r="AB190" s="12">
        <v>256</v>
      </c>
    </row>
    <row r="191" ht="14.25" spans="1:28">
      <c r="A191" s="13">
        <v>189</v>
      </c>
      <c r="B191" s="15">
        <v>4</v>
      </c>
      <c r="C191" s="16">
        <v>31</v>
      </c>
      <c r="D191" s="17" t="s">
        <v>391</v>
      </c>
      <c r="E191" s="17" t="s">
        <v>392</v>
      </c>
      <c r="F191" s="17">
        <v>91</v>
      </c>
      <c r="G191" s="17">
        <v>8620</v>
      </c>
      <c r="H191" s="17">
        <v>106</v>
      </c>
      <c r="I191" s="17">
        <v>2619</v>
      </c>
      <c r="J191" s="17">
        <v>100.75</v>
      </c>
      <c r="K191" s="17">
        <v>2915</v>
      </c>
      <c r="L191" s="17">
        <v>32</v>
      </c>
      <c r="M191" s="17">
        <v>8723</v>
      </c>
      <c r="N191" s="17"/>
      <c r="O191" s="17"/>
      <c r="P191" s="17">
        <v>72</v>
      </c>
      <c r="Q191" s="17">
        <v>4881</v>
      </c>
      <c r="R191" s="17"/>
      <c r="S191" s="17"/>
      <c r="T191" s="17"/>
      <c r="U191" s="17"/>
      <c r="V191" s="17">
        <v>52</v>
      </c>
      <c r="W191" s="17">
        <v>4491</v>
      </c>
      <c r="X191" s="15">
        <v>297.75</v>
      </c>
      <c r="Y191" s="17">
        <v>297</v>
      </c>
      <c r="Z191" s="17">
        <v>453.75</v>
      </c>
      <c r="AA191" s="17">
        <v>5880</v>
      </c>
      <c r="AB191" s="12">
        <v>530</v>
      </c>
    </row>
    <row r="192" ht="14.25" spans="1:28">
      <c r="A192" s="13">
        <v>190</v>
      </c>
      <c r="B192" s="15">
        <v>4</v>
      </c>
      <c r="C192" s="16">
        <v>32</v>
      </c>
      <c r="D192" s="17" t="s">
        <v>393</v>
      </c>
      <c r="E192" s="17" t="s">
        <v>394</v>
      </c>
      <c r="F192" s="17">
        <v>85</v>
      </c>
      <c r="G192" s="17">
        <v>12359</v>
      </c>
      <c r="H192" s="17">
        <v>91</v>
      </c>
      <c r="I192" s="17">
        <v>5638</v>
      </c>
      <c r="J192" s="17">
        <v>99</v>
      </c>
      <c r="K192" s="17">
        <v>3244</v>
      </c>
      <c r="L192" s="17">
        <v>30</v>
      </c>
      <c r="M192" s="17">
        <v>9441</v>
      </c>
      <c r="N192" s="17"/>
      <c r="O192" s="17"/>
      <c r="P192" s="17">
        <v>60</v>
      </c>
      <c r="Q192" s="17">
        <v>8673</v>
      </c>
      <c r="R192" s="17"/>
      <c r="S192" s="17"/>
      <c r="T192" s="17"/>
      <c r="U192" s="17"/>
      <c r="V192" s="17">
        <v>78</v>
      </c>
      <c r="W192" s="17">
        <v>1218</v>
      </c>
      <c r="X192" s="15">
        <v>275</v>
      </c>
      <c r="Y192" s="17">
        <v>497</v>
      </c>
      <c r="Z192" s="17">
        <v>443</v>
      </c>
      <c r="AA192" s="17">
        <v>6599</v>
      </c>
      <c r="AB192" s="12">
        <v>558</v>
      </c>
    </row>
    <row r="193" ht="14.25" spans="1:28">
      <c r="A193" s="13">
        <v>191</v>
      </c>
      <c r="B193" s="15">
        <v>4</v>
      </c>
      <c r="C193" s="16">
        <v>33</v>
      </c>
      <c r="D193" s="17" t="s">
        <v>395</v>
      </c>
      <c r="E193" s="17" t="s">
        <v>396</v>
      </c>
      <c r="F193" s="17">
        <v>95.5</v>
      </c>
      <c r="G193" s="17">
        <v>5877</v>
      </c>
      <c r="H193" s="17">
        <v>103.5</v>
      </c>
      <c r="I193" s="17">
        <v>3096</v>
      </c>
      <c r="J193" s="17">
        <v>98.75</v>
      </c>
      <c r="K193" s="17">
        <v>3309</v>
      </c>
      <c r="L193" s="17">
        <v>46.5</v>
      </c>
      <c r="M193" s="17">
        <v>4690</v>
      </c>
      <c r="N193" s="17"/>
      <c r="O193" s="17"/>
      <c r="P193" s="17">
        <v>66</v>
      </c>
      <c r="Q193" s="17">
        <v>6766</v>
      </c>
      <c r="R193" s="17"/>
      <c r="S193" s="17"/>
      <c r="T193" s="17"/>
      <c r="U193" s="17"/>
      <c r="V193" s="17">
        <v>88</v>
      </c>
      <c r="W193" s="17">
        <v>165</v>
      </c>
      <c r="X193" s="15">
        <v>297.75</v>
      </c>
      <c r="Y193" s="17">
        <v>297</v>
      </c>
      <c r="Z193" s="17">
        <v>498.25</v>
      </c>
      <c r="AA193" s="17">
        <v>3329</v>
      </c>
      <c r="AB193" s="12">
        <v>338</v>
      </c>
    </row>
    <row r="194" ht="14.25" spans="1:28">
      <c r="A194" s="13">
        <v>192</v>
      </c>
      <c r="B194" s="15">
        <v>4</v>
      </c>
      <c r="C194" s="16">
        <v>34</v>
      </c>
      <c r="D194" s="17" t="s">
        <v>397</v>
      </c>
      <c r="E194" s="17" t="s">
        <v>398</v>
      </c>
      <c r="F194" s="17">
        <v>84.5</v>
      </c>
      <c r="G194" s="17">
        <v>12633</v>
      </c>
      <c r="H194" s="17">
        <v>86</v>
      </c>
      <c r="I194" s="17">
        <v>6759</v>
      </c>
      <c r="J194" s="17">
        <v>70</v>
      </c>
      <c r="K194" s="17">
        <v>10322</v>
      </c>
      <c r="L194" s="17">
        <v>54.5</v>
      </c>
      <c r="M194" s="17">
        <v>3126</v>
      </c>
      <c r="N194" s="17"/>
      <c r="O194" s="17"/>
      <c r="P194" s="17">
        <v>54</v>
      </c>
      <c r="Q194" s="17">
        <v>10153</v>
      </c>
      <c r="R194" s="17"/>
      <c r="S194" s="17"/>
      <c r="T194" s="17"/>
      <c r="U194" s="17"/>
      <c r="V194" s="17">
        <v>73</v>
      </c>
      <c r="W194" s="17">
        <v>1853</v>
      </c>
      <c r="X194" s="15">
        <v>240.5</v>
      </c>
      <c r="Y194" s="17">
        <v>632</v>
      </c>
      <c r="Z194" s="17">
        <v>422</v>
      </c>
      <c r="AA194" s="17">
        <v>8072</v>
      </c>
      <c r="AB194" s="12">
        <v>621</v>
      </c>
    </row>
    <row r="195" ht="14.25" spans="1:28">
      <c r="A195" s="13">
        <v>193</v>
      </c>
      <c r="B195" s="15">
        <v>4</v>
      </c>
      <c r="C195" s="16">
        <v>35</v>
      </c>
      <c r="D195" s="17" t="s">
        <v>399</v>
      </c>
      <c r="E195" s="17" t="s">
        <v>400</v>
      </c>
      <c r="F195" s="17">
        <v>102.75</v>
      </c>
      <c r="G195" s="17">
        <v>2250</v>
      </c>
      <c r="H195" s="17">
        <v>96</v>
      </c>
      <c r="I195" s="17">
        <v>4544</v>
      </c>
      <c r="J195" s="17">
        <v>92</v>
      </c>
      <c r="K195" s="17">
        <v>4787</v>
      </c>
      <c r="L195" s="17">
        <v>44</v>
      </c>
      <c r="M195" s="17">
        <v>5222</v>
      </c>
      <c r="N195" s="17"/>
      <c r="O195" s="17"/>
      <c r="P195" s="17">
        <v>66</v>
      </c>
      <c r="Q195" s="17">
        <v>6766</v>
      </c>
      <c r="R195" s="17"/>
      <c r="S195" s="17"/>
      <c r="T195" s="17"/>
      <c r="U195" s="17"/>
      <c r="V195" s="17">
        <v>86</v>
      </c>
      <c r="W195" s="17">
        <v>439</v>
      </c>
      <c r="X195" s="15">
        <v>290.75</v>
      </c>
      <c r="Y195" s="17">
        <v>361</v>
      </c>
      <c r="Z195" s="17">
        <v>486.75</v>
      </c>
      <c r="AA195" s="17">
        <v>3913</v>
      </c>
      <c r="AB195" s="12">
        <v>393</v>
      </c>
    </row>
    <row r="196" ht="14.25" spans="1:28">
      <c r="A196" s="13">
        <v>194</v>
      </c>
      <c r="B196" s="15">
        <v>4</v>
      </c>
      <c r="C196" s="16">
        <v>37</v>
      </c>
      <c r="D196" s="17" t="s">
        <v>401</v>
      </c>
      <c r="E196" s="17" t="s">
        <v>402</v>
      </c>
      <c r="F196" s="17">
        <v>104.75</v>
      </c>
      <c r="G196" s="17">
        <v>1539</v>
      </c>
      <c r="H196" s="17">
        <v>74.5</v>
      </c>
      <c r="I196" s="17">
        <v>9115</v>
      </c>
      <c r="J196" s="17">
        <v>104</v>
      </c>
      <c r="K196" s="17">
        <v>2352</v>
      </c>
      <c r="L196" s="17">
        <v>41.5</v>
      </c>
      <c r="M196" s="17">
        <v>5867</v>
      </c>
      <c r="N196" s="17"/>
      <c r="O196" s="17"/>
      <c r="P196" s="17">
        <v>58</v>
      </c>
      <c r="Q196" s="17">
        <v>9299</v>
      </c>
      <c r="R196" s="17"/>
      <c r="S196" s="17"/>
      <c r="T196" s="17"/>
      <c r="U196" s="17"/>
      <c r="V196" s="17">
        <v>85</v>
      </c>
      <c r="W196" s="17">
        <v>530</v>
      </c>
      <c r="X196" s="15">
        <v>283.25</v>
      </c>
      <c r="Y196" s="17">
        <v>416</v>
      </c>
      <c r="Z196" s="17">
        <v>467.75</v>
      </c>
      <c r="AA196" s="17">
        <v>4988</v>
      </c>
      <c r="AB196" s="12">
        <v>469</v>
      </c>
    </row>
    <row r="197" ht="14.25" spans="1:28">
      <c r="A197" s="13">
        <v>195</v>
      </c>
      <c r="B197" s="15">
        <v>4</v>
      </c>
      <c r="C197" s="16">
        <v>38</v>
      </c>
      <c r="D197" s="17" t="s">
        <v>403</v>
      </c>
      <c r="E197" s="17" t="s">
        <v>404</v>
      </c>
      <c r="F197" s="17">
        <v>89</v>
      </c>
      <c r="G197" s="17">
        <v>9959</v>
      </c>
      <c r="H197" s="17">
        <v>95</v>
      </c>
      <c r="I197" s="17">
        <v>4735</v>
      </c>
      <c r="J197" s="17">
        <v>92.5</v>
      </c>
      <c r="K197" s="17">
        <v>4660</v>
      </c>
      <c r="L197" s="17">
        <v>57.5</v>
      </c>
      <c r="M197" s="17">
        <v>2619</v>
      </c>
      <c r="N197" s="17"/>
      <c r="O197" s="17"/>
      <c r="P197" s="17">
        <v>86</v>
      </c>
      <c r="Q197" s="17">
        <v>1052</v>
      </c>
      <c r="R197" s="17"/>
      <c r="S197" s="17"/>
      <c r="T197" s="17"/>
      <c r="U197" s="17"/>
      <c r="V197" s="17">
        <v>79</v>
      </c>
      <c r="W197" s="17">
        <v>1023</v>
      </c>
      <c r="X197" s="15">
        <v>276.5</v>
      </c>
      <c r="Y197" s="17">
        <v>488</v>
      </c>
      <c r="Z197" s="17">
        <v>499</v>
      </c>
      <c r="AA197" s="17">
        <v>3285</v>
      </c>
      <c r="AB197" s="12">
        <v>332</v>
      </c>
    </row>
    <row r="198" ht="14.25" spans="1:28">
      <c r="A198" s="13">
        <v>196</v>
      </c>
      <c r="B198" s="15">
        <v>4</v>
      </c>
      <c r="C198" s="16">
        <v>39</v>
      </c>
      <c r="D198" s="17" t="s">
        <v>405</v>
      </c>
      <c r="E198" s="17" t="s">
        <v>406</v>
      </c>
      <c r="F198" s="17">
        <v>102.5</v>
      </c>
      <c r="G198" s="17">
        <v>2274</v>
      </c>
      <c r="H198" s="17">
        <v>106.5</v>
      </c>
      <c r="I198" s="17">
        <v>2542</v>
      </c>
      <c r="J198" s="17">
        <v>104.5</v>
      </c>
      <c r="K198" s="17">
        <v>2265</v>
      </c>
      <c r="L198" s="17">
        <v>47.5</v>
      </c>
      <c r="M198" s="17">
        <v>4470</v>
      </c>
      <c r="N198" s="17"/>
      <c r="O198" s="17"/>
      <c r="P198" s="17">
        <v>64</v>
      </c>
      <c r="Q198" s="17">
        <v>7304</v>
      </c>
      <c r="R198" s="17"/>
      <c r="S198" s="17"/>
      <c r="T198" s="17"/>
      <c r="U198" s="17"/>
      <c r="V198" s="17">
        <v>76</v>
      </c>
      <c r="W198" s="17">
        <v>1407</v>
      </c>
      <c r="X198" s="15">
        <v>313.5</v>
      </c>
      <c r="Y198" s="17">
        <v>164</v>
      </c>
      <c r="Z198" s="17">
        <v>501</v>
      </c>
      <c r="AA198" s="17">
        <v>3195</v>
      </c>
      <c r="AB198" s="12">
        <v>321</v>
      </c>
    </row>
    <row r="199" ht="14.25" spans="1:28">
      <c r="A199" s="13">
        <v>197</v>
      </c>
      <c r="B199" s="15">
        <v>4</v>
      </c>
      <c r="C199" s="16">
        <v>40</v>
      </c>
      <c r="D199" s="17" t="s">
        <v>407</v>
      </c>
      <c r="E199" s="17" t="s">
        <v>408</v>
      </c>
      <c r="F199" s="17">
        <v>95.5</v>
      </c>
      <c r="G199" s="17">
        <v>5877</v>
      </c>
      <c r="H199" s="17">
        <v>83</v>
      </c>
      <c r="I199" s="17">
        <v>7420</v>
      </c>
      <c r="J199" s="17">
        <v>70.25</v>
      </c>
      <c r="K199" s="17">
        <v>10279</v>
      </c>
      <c r="L199" s="17">
        <v>44</v>
      </c>
      <c r="M199" s="17">
        <v>5222</v>
      </c>
      <c r="N199" s="17"/>
      <c r="O199" s="17"/>
      <c r="P199" s="17">
        <v>64</v>
      </c>
      <c r="Q199" s="17">
        <v>7304</v>
      </c>
      <c r="R199" s="17"/>
      <c r="S199" s="17"/>
      <c r="T199" s="17"/>
      <c r="U199" s="17"/>
      <c r="V199" s="17">
        <v>80</v>
      </c>
      <c r="W199" s="17">
        <v>938</v>
      </c>
      <c r="X199" s="15">
        <v>248.75</v>
      </c>
      <c r="Y199" s="17">
        <v>612</v>
      </c>
      <c r="Z199" s="17">
        <v>436.75</v>
      </c>
      <c r="AA199" s="17">
        <v>7056</v>
      </c>
      <c r="AB199" s="12">
        <v>579</v>
      </c>
    </row>
    <row r="200" ht="14.25" spans="1:28">
      <c r="A200" s="13">
        <v>198</v>
      </c>
      <c r="B200" s="15">
        <v>4</v>
      </c>
      <c r="C200" s="16">
        <v>41</v>
      </c>
      <c r="D200" s="17" t="s">
        <v>409</v>
      </c>
      <c r="E200" s="17" t="s">
        <v>410</v>
      </c>
      <c r="F200" s="17">
        <v>89</v>
      </c>
      <c r="G200" s="17">
        <v>9959</v>
      </c>
      <c r="H200" s="17">
        <v>106.5</v>
      </c>
      <c r="I200" s="17">
        <v>2542</v>
      </c>
      <c r="J200" s="17">
        <v>88.5</v>
      </c>
      <c r="K200" s="17">
        <v>5628</v>
      </c>
      <c r="L200" s="17">
        <v>58.5</v>
      </c>
      <c r="M200" s="17">
        <v>2451</v>
      </c>
      <c r="N200" s="17"/>
      <c r="O200" s="17"/>
      <c r="P200" s="17">
        <v>80</v>
      </c>
      <c r="Q200" s="17">
        <v>2333</v>
      </c>
      <c r="R200" s="17"/>
      <c r="S200" s="17"/>
      <c r="T200" s="17"/>
      <c r="U200" s="17"/>
      <c r="V200" s="17">
        <v>66</v>
      </c>
      <c r="W200" s="17">
        <v>2820</v>
      </c>
      <c r="X200" s="15">
        <v>284</v>
      </c>
      <c r="Y200" s="17">
        <v>408</v>
      </c>
      <c r="Z200" s="17">
        <v>488.5</v>
      </c>
      <c r="AA200" s="17">
        <v>3823</v>
      </c>
      <c r="AB200" s="12">
        <v>383</v>
      </c>
    </row>
    <row r="201" ht="14.25" spans="1:28">
      <c r="A201" s="13">
        <v>199</v>
      </c>
      <c r="B201" s="15">
        <v>4</v>
      </c>
      <c r="C201" s="16">
        <v>42</v>
      </c>
      <c r="D201" s="17" t="s">
        <v>411</v>
      </c>
      <c r="E201" s="17" t="s">
        <v>412</v>
      </c>
      <c r="F201" s="17">
        <v>91.5</v>
      </c>
      <c r="G201" s="17">
        <v>8306</v>
      </c>
      <c r="H201" s="17">
        <v>109.5</v>
      </c>
      <c r="I201" s="17">
        <v>2023</v>
      </c>
      <c r="J201" s="17">
        <v>119.25</v>
      </c>
      <c r="K201" s="17">
        <v>551</v>
      </c>
      <c r="L201" s="17">
        <v>59</v>
      </c>
      <c r="M201" s="17">
        <v>2358</v>
      </c>
      <c r="N201" s="17"/>
      <c r="O201" s="17"/>
      <c r="P201" s="17">
        <v>80</v>
      </c>
      <c r="Q201" s="17">
        <v>2333</v>
      </c>
      <c r="R201" s="17"/>
      <c r="S201" s="17"/>
      <c r="T201" s="17"/>
      <c r="U201" s="17"/>
      <c r="V201" s="17">
        <v>86</v>
      </c>
      <c r="W201" s="17">
        <v>439</v>
      </c>
      <c r="X201" s="15">
        <v>320.25</v>
      </c>
      <c r="Y201" s="17">
        <v>114</v>
      </c>
      <c r="Z201" s="17">
        <v>545.25</v>
      </c>
      <c r="AA201" s="17">
        <v>1448</v>
      </c>
      <c r="AB201" s="12">
        <v>110</v>
      </c>
    </row>
    <row r="202" ht="14.25" spans="1:28">
      <c r="A202" s="13">
        <v>200</v>
      </c>
      <c r="B202" s="15">
        <v>4</v>
      </c>
      <c r="C202" s="16">
        <v>43</v>
      </c>
      <c r="D202" s="17" t="s">
        <v>413</v>
      </c>
      <c r="E202" s="17" t="s">
        <v>414</v>
      </c>
      <c r="F202" s="17">
        <v>100.75</v>
      </c>
      <c r="G202" s="17">
        <v>3103</v>
      </c>
      <c r="H202" s="17">
        <v>74.5</v>
      </c>
      <c r="I202" s="17">
        <v>9115</v>
      </c>
      <c r="J202" s="17">
        <v>86</v>
      </c>
      <c r="K202" s="17">
        <v>6253</v>
      </c>
      <c r="L202" s="17">
        <v>17</v>
      </c>
      <c r="M202" s="17">
        <v>15308</v>
      </c>
      <c r="N202" s="17"/>
      <c r="O202" s="17"/>
      <c r="P202" s="17">
        <v>57</v>
      </c>
      <c r="Q202" s="17">
        <v>9600</v>
      </c>
      <c r="R202" s="17"/>
      <c r="S202" s="17"/>
      <c r="T202" s="17"/>
      <c r="U202" s="17"/>
      <c r="V202" s="17">
        <v>72</v>
      </c>
      <c r="W202" s="17">
        <v>2049</v>
      </c>
      <c r="X202" s="15">
        <v>261.25</v>
      </c>
      <c r="Y202" s="17">
        <v>576</v>
      </c>
      <c r="Z202" s="17">
        <v>407.25</v>
      </c>
      <c r="AA202" s="17">
        <v>9147</v>
      </c>
      <c r="AB202" s="12">
        <v>635</v>
      </c>
    </row>
    <row r="203" ht="14.25" spans="1:28">
      <c r="A203" s="13">
        <v>201</v>
      </c>
      <c r="B203" s="15">
        <v>4</v>
      </c>
      <c r="C203" s="16">
        <v>44</v>
      </c>
      <c r="D203" s="17" t="s">
        <v>415</v>
      </c>
      <c r="E203" s="17" t="s">
        <v>416</v>
      </c>
      <c r="F203" s="17">
        <v>106.5</v>
      </c>
      <c r="G203" s="17">
        <v>1059</v>
      </c>
      <c r="H203" s="17">
        <v>106.5</v>
      </c>
      <c r="I203" s="17">
        <v>2542</v>
      </c>
      <c r="J203" s="17">
        <v>103</v>
      </c>
      <c r="K203" s="17">
        <v>2527</v>
      </c>
      <c r="L203" s="17">
        <v>36</v>
      </c>
      <c r="M203" s="17">
        <v>7408</v>
      </c>
      <c r="N203" s="17"/>
      <c r="O203" s="17"/>
      <c r="P203" s="17">
        <v>67</v>
      </c>
      <c r="Q203" s="17">
        <v>6384</v>
      </c>
      <c r="R203" s="17"/>
      <c r="S203" s="17"/>
      <c r="T203" s="17"/>
      <c r="U203" s="17"/>
      <c r="V203" s="17">
        <v>70</v>
      </c>
      <c r="W203" s="17">
        <v>2293</v>
      </c>
      <c r="X203" s="15">
        <v>316</v>
      </c>
      <c r="Y203" s="17">
        <v>144</v>
      </c>
      <c r="Z203" s="17">
        <v>489</v>
      </c>
      <c r="AA203" s="17">
        <v>3796</v>
      </c>
      <c r="AB203" s="12">
        <v>380</v>
      </c>
    </row>
    <row r="204" ht="14.25" spans="1:28">
      <c r="A204" s="13">
        <v>202</v>
      </c>
      <c r="B204" s="15">
        <v>4</v>
      </c>
      <c r="C204" s="16">
        <v>45</v>
      </c>
      <c r="D204" s="17" t="s">
        <v>417</v>
      </c>
      <c r="E204" s="17" t="s">
        <v>418</v>
      </c>
      <c r="F204" s="17">
        <v>101</v>
      </c>
      <c r="G204" s="17">
        <v>2896</v>
      </c>
      <c r="H204" s="17">
        <v>111</v>
      </c>
      <c r="I204" s="17">
        <v>1774</v>
      </c>
      <c r="J204" s="17">
        <v>107.5</v>
      </c>
      <c r="K204" s="17">
        <v>1810</v>
      </c>
      <c r="L204" s="17">
        <v>50.5</v>
      </c>
      <c r="M204" s="17">
        <v>3830</v>
      </c>
      <c r="N204" s="17"/>
      <c r="O204" s="17"/>
      <c r="P204" s="17">
        <v>76</v>
      </c>
      <c r="Q204" s="17">
        <v>3515</v>
      </c>
      <c r="R204" s="17"/>
      <c r="S204" s="17"/>
      <c r="T204" s="17"/>
      <c r="U204" s="17"/>
      <c r="V204" s="17">
        <v>73</v>
      </c>
      <c r="W204" s="17">
        <v>1853</v>
      </c>
      <c r="X204" s="15">
        <v>319.5</v>
      </c>
      <c r="Y204" s="17">
        <v>121</v>
      </c>
      <c r="Z204" s="17">
        <v>519</v>
      </c>
      <c r="AA204" s="17">
        <v>2383</v>
      </c>
      <c r="AB204" s="12">
        <v>223</v>
      </c>
    </row>
    <row r="205" ht="14.25" spans="1:28">
      <c r="A205" s="13">
        <v>203</v>
      </c>
      <c r="B205" s="15">
        <v>4</v>
      </c>
      <c r="C205" s="16">
        <v>46</v>
      </c>
      <c r="D205" s="17" t="s">
        <v>419</v>
      </c>
      <c r="E205" s="17" t="s">
        <v>420</v>
      </c>
      <c r="F205" s="17">
        <v>89.5</v>
      </c>
      <c r="G205" s="17">
        <v>9648</v>
      </c>
      <c r="H205" s="17">
        <v>111</v>
      </c>
      <c r="I205" s="17">
        <v>1774</v>
      </c>
      <c r="J205" s="17">
        <v>77.5</v>
      </c>
      <c r="K205" s="17">
        <v>8422</v>
      </c>
      <c r="L205" s="17">
        <v>44.5</v>
      </c>
      <c r="M205" s="17">
        <v>5122</v>
      </c>
      <c r="N205" s="17"/>
      <c r="O205" s="17"/>
      <c r="P205" s="17">
        <v>74</v>
      </c>
      <c r="Q205" s="17">
        <v>4168</v>
      </c>
      <c r="R205" s="17"/>
      <c r="S205" s="17"/>
      <c r="T205" s="17"/>
      <c r="U205" s="17"/>
      <c r="V205" s="17">
        <v>79</v>
      </c>
      <c r="W205" s="17">
        <v>1023</v>
      </c>
      <c r="X205" s="15">
        <v>278</v>
      </c>
      <c r="Y205" s="17">
        <v>469</v>
      </c>
      <c r="Z205" s="17">
        <v>475.5</v>
      </c>
      <c r="AA205" s="17">
        <v>4513</v>
      </c>
      <c r="AB205" s="12">
        <v>434</v>
      </c>
    </row>
    <row r="206" ht="14.25" spans="1:28">
      <c r="A206" s="13">
        <v>204</v>
      </c>
      <c r="B206" s="15">
        <v>4</v>
      </c>
      <c r="C206" s="16">
        <v>47</v>
      </c>
      <c r="D206" s="17" t="s">
        <v>421</v>
      </c>
      <c r="E206" s="17" t="s">
        <v>422</v>
      </c>
      <c r="F206" s="17">
        <v>106</v>
      </c>
      <c r="G206" s="17">
        <v>1174</v>
      </c>
      <c r="H206" s="17">
        <v>90</v>
      </c>
      <c r="I206" s="17">
        <v>5850</v>
      </c>
      <c r="J206" s="17">
        <v>94.5</v>
      </c>
      <c r="K206" s="17">
        <v>4208</v>
      </c>
      <c r="L206" s="17">
        <v>40</v>
      </c>
      <c r="M206" s="17">
        <v>6265</v>
      </c>
      <c r="N206" s="17"/>
      <c r="O206" s="17"/>
      <c r="P206" s="17">
        <v>58</v>
      </c>
      <c r="Q206" s="17">
        <v>9299</v>
      </c>
      <c r="R206" s="17"/>
      <c r="S206" s="17"/>
      <c r="T206" s="17"/>
      <c r="U206" s="17"/>
      <c r="V206" s="17">
        <v>73</v>
      </c>
      <c r="W206" s="17">
        <v>1853</v>
      </c>
      <c r="X206" s="15">
        <v>290.5</v>
      </c>
      <c r="Y206" s="17">
        <v>364</v>
      </c>
      <c r="Z206" s="17">
        <v>461.5</v>
      </c>
      <c r="AA206" s="17">
        <v>5381</v>
      </c>
      <c r="AB206" s="12">
        <v>503</v>
      </c>
    </row>
    <row r="207" ht="14.25" spans="1:28">
      <c r="A207" s="13">
        <v>205</v>
      </c>
      <c r="B207" s="15">
        <v>5</v>
      </c>
      <c r="C207" s="16">
        <v>1</v>
      </c>
      <c r="D207" s="17" t="s">
        <v>423</v>
      </c>
      <c r="E207" s="17" t="s">
        <v>424</v>
      </c>
      <c r="F207" s="17">
        <v>98</v>
      </c>
      <c r="G207" s="17">
        <v>4423</v>
      </c>
      <c r="H207" s="17">
        <v>130.5</v>
      </c>
      <c r="I207" s="17">
        <v>122</v>
      </c>
      <c r="J207" s="17">
        <v>114.5</v>
      </c>
      <c r="K207" s="17">
        <v>951</v>
      </c>
      <c r="L207" s="17">
        <v>55.5</v>
      </c>
      <c r="M207" s="17">
        <v>2964</v>
      </c>
      <c r="N207" s="17"/>
      <c r="O207" s="17"/>
      <c r="P207" s="17">
        <v>85</v>
      </c>
      <c r="Q207" s="17">
        <v>1345</v>
      </c>
      <c r="R207" s="17"/>
      <c r="S207" s="17"/>
      <c r="T207" s="17"/>
      <c r="U207" s="17"/>
      <c r="V207" s="17">
        <v>86</v>
      </c>
      <c r="W207" s="17">
        <v>439</v>
      </c>
      <c r="X207" s="15">
        <v>343</v>
      </c>
      <c r="Y207" s="17">
        <v>22</v>
      </c>
      <c r="Z207" s="17">
        <v>569.5</v>
      </c>
      <c r="AA207" s="17">
        <v>760</v>
      </c>
      <c r="AB207" s="12">
        <v>48</v>
      </c>
    </row>
    <row r="208" ht="14.25" spans="1:28">
      <c r="A208" s="13">
        <v>206</v>
      </c>
      <c r="B208" s="15">
        <v>5</v>
      </c>
      <c r="C208" s="16">
        <v>2</v>
      </c>
      <c r="D208" s="17" t="s">
        <v>425</v>
      </c>
      <c r="E208" s="17" t="s">
        <v>426</v>
      </c>
      <c r="F208" s="17">
        <v>93</v>
      </c>
      <c r="G208" s="17">
        <v>7407</v>
      </c>
      <c r="H208" s="17">
        <v>99</v>
      </c>
      <c r="I208" s="17">
        <v>3947</v>
      </c>
      <c r="J208" s="17">
        <v>81.5</v>
      </c>
      <c r="K208" s="17">
        <v>7394</v>
      </c>
      <c r="L208" s="17">
        <v>19</v>
      </c>
      <c r="M208" s="17">
        <v>14435</v>
      </c>
      <c r="N208" s="17"/>
      <c r="O208" s="17"/>
      <c r="P208" s="17">
        <v>50</v>
      </c>
      <c r="Q208" s="17">
        <v>10845</v>
      </c>
      <c r="R208" s="17"/>
      <c r="S208" s="17"/>
      <c r="T208" s="17"/>
      <c r="U208" s="17"/>
      <c r="V208" s="17">
        <v>88</v>
      </c>
      <c r="W208" s="17">
        <v>165</v>
      </c>
      <c r="X208" s="15">
        <v>273.5</v>
      </c>
      <c r="Y208" s="17">
        <v>505</v>
      </c>
      <c r="Z208" s="17">
        <v>430.5</v>
      </c>
      <c r="AA208" s="17">
        <v>7460</v>
      </c>
      <c r="AB208" s="12">
        <v>598</v>
      </c>
    </row>
    <row r="209" ht="14.25" spans="1:28">
      <c r="A209" s="13">
        <v>207</v>
      </c>
      <c r="B209" s="15">
        <v>5</v>
      </c>
      <c r="C209" s="16">
        <v>4</v>
      </c>
      <c r="D209" s="17" t="s">
        <v>427</v>
      </c>
      <c r="E209" s="17" t="s">
        <v>428</v>
      </c>
      <c r="F209" s="17">
        <v>84.5</v>
      </c>
      <c r="G209" s="17">
        <v>12633</v>
      </c>
      <c r="H209" s="17">
        <v>96</v>
      </c>
      <c r="I209" s="17">
        <v>4544</v>
      </c>
      <c r="J209" s="17">
        <v>101.75</v>
      </c>
      <c r="K209" s="17">
        <v>2754</v>
      </c>
      <c r="L209" s="17">
        <v>34.5</v>
      </c>
      <c r="M209" s="17">
        <v>7899</v>
      </c>
      <c r="N209" s="17"/>
      <c r="O209" s="17"/>
      <c r="P209" s="17">
        <v>55</v>
      </c>
      <c r="Q209" s="17">
        <v>10022</v>
      </c>
      <c r="R209" s="17"/>
      <c r="S209" s="17"/>
      <c r="T209" s="17"/>
      <c r="U209" s="17"/>
      <c r="V209" s="17">
        <v>74</v>
      </c>
      <c r="W209" s="17">
        <v>1732</v>
      </c>
      <c r="X209" s="15">
        <v>282.25</v>
      </c>
      <c r="Y209" s="17">
        <v>430</v>
      </c>
      <c r="Z209" s="17">
        <v>445.75</v>
      </c>
      <c r="AA209" s="17">
        <v>6412</v>
      </c>
      <c r="AB209" s="12">
        <v>552</v>
      </c>
    </row>
    <row r="210" ht="14.25" spans="1:28">
      <c r="A210" s="13">
        <v>208</v>
      </c>
      <c r="B210" s="15">
        <v>5</v>
      </c>
      <c r="C210" s="16">
        <v>5</v>
      </c>
      <c r="D210" s="17" t="s">
        <v>429</v>
      </c>
      <c r="E210" s="17" t="s">
        <v>430</v>
      </c>
      <c r="F210" s="17">
        <v>98.5</v>
      </c>
      <c r="G210" s="17">
        <v>4145</v>
      </c>
      <c r="H210" s="17">
        <v>120</v>
      </c>
      <c r="I210" s="17">
        <v>708</v>
      </c>
      <c r="J210" s="17">
        <v>95.5</v>
      </c>
      <c r="K210" s="17">
        <v>3977</v>
      </c>
      <c r="L210" s="17">
        <v>51</v>
      </c>
      <c r="M210" s="17">
        <v>3730</v>
      </c>
      <c r="N210" s="17"/>
      <c r="O210" s="17"/>
      <c r="P210" s="17">
        <v>72</v>
      </c>
      <c r="Q210" s="17">
        <v>4881</v>
      </c>
      <c r="R210" s="17"/>
      <c r="S210" s="17"/>
      <c r="T210" s="17"/>
      <c r="U210" s="17"/>
      <c r="V210" s="17">
        <v>84</v>
      </c>
      <c r="W210" s="17">
        <v>588</v>
      </c>
      <c r="X210" s="15">
        <v>314</v>
      </c>
      <c r="Y210" s="17">
        <v>157</v>
      </c>
      <c r="Z210" s="17">
        <v>521</v>
      </c>
      <c r="AA210" s="17">
        <v>2318</v>
      </c>
      <c r="AB210" s="12">
        <v>212</v>
      </c>
    </row>
    <row r="211" ht="14.25" spans="1:28">
      <c r="A211" s="13">
        <v>209</v>
      </c>
      <c r="B211" s="15">
        <v>5</v>
      </c>
      <c r="C211" s="16">
        <v>6</v>
      </c>
      <c r="D211" s="17" t="s">
        <v>431</v>
      </c>
      <c r="E211" s="17" t="s">
        <v>432</v>
      </c>
      <c r="F211" s="17">
        <v>88</v>
      </c>
      <c r="G211" s="17">
        <v>10604</v>
      </c>
      <c r="H211" s="17">
        <v>116</v>
      </c>
      <c r="I211" s="17">
        <v>1095</v>
      </c>
      <c r="J211" s="17">
        <v>116.25</v>
      </c>
      <c r="K211" s="17">
        <v>797</v>
      </c>
      <c r="L211" s="17">
        <v>53</v>
      </c>
      <c r="M211" s="17">
        <v>3368</v>
      </c>
      <c r="N211" s="17"/>
      <c r="O211" s="17"/>
      <c r="P211" s="17">
        <v>78</v>
      </c>
      <c r="Q211" s="17">
        <v>2908</v>
      </c>
      <c r="R211" s="17"/>
      <c r="S211" s="17"/>
      <c r="T211" s="17"/>
      <c r="U211" s="17"/>
      <c r="V211" s="17">
        <v>73</v>
      </c>
      <c r="W211" s="17">
        <v>1853</v>
      </c>
      <c r="X211" s="15">
        <v>320.25</v>
      </c>
      <c r="Y211" s="17">
        <v>114</v>
      </c>
      <c r="Z211" s="17">
        <v>524.25</v>
      </c>
      <c r="AA211" s="17">
        <v>2179</v>
      </c>
      <c r="AB211" s="12">
        <v>196</v>
      </c>
    </row>
    <row r="212" ht="14.25" spans="1:28">
      <c r="A212" s="13">
        <v>210</v>
      </c>
      <c r="B212" s="15">
        <v>5</v>
      </c>
      <c r="C212" s="16">
        <v>7</v>
      </c>
      <c r="D212" s="17" t="s">
        <v>433</v>
      </c>
      <c r="E212" s="17" t="s">
        <v>434</v>
      </c>
      <c r="F212" s="17">
        <v>107.5</v>
      </c>
      <c r="G212" s="17">
        <v>829</v>
      </c>
      <c r="H212" s="17">
        <v>115.5</v>
      </c>
      <c r="I212" s="17">
        <v>1149</v>
      </c>
      <c r="J212" s="17">
        <v>96.75</v>
      </c>
      <c r="K212" s="17">
        <v>3707</v>
      </c>
      <c r="L212" s="17">
        <v>64</v>
      </c>
      <c r="M212" s="17">
        <v>1577</v>
      </c>
      <c r="N212" s="17"/>
      <c r="O212" s="17"/>
      <c r="P212" s="17">
        <v>82</v>
      </c>
      <c r="Q212" s="17">
        <v>1870</v>
      </c>
      <c r="R212" s="17"/>
      <c r="S212" s="17"/>
      <c r="T212" s="17"/>
      <c r="U212" s="17"/>
      <c r="V212" s="17">
        <v>79</v>
      </c>
      <c r="W212" s="17">
        <v>1023</v>
      </c>
      <c r="X212" s="15">
        <v>319.75</v>
      </c>
      <c r="Y212" s="17">
        <v>120</v>
      </c>
      <c r="Z212" s="17">
        <v>544.75</v>
      </c>
      <c r="AA212" s="17">
        <v>1462</v>
      </c>
      <c r="AB212" s="12">
        <v>113</v>
      </c>
    </row>
    <row r="213" ht="14.25" spans="1:28">
      <c r="A213" s="13">
        <v>211</v>
      </c>
      <c r="B213" s="15">
        <v>5</v>
      </c>
      <c r="C213" s="16">
        <v>8</v>
      </c>
      <c r="D213" s="17" t="s">
        <v>435</v>
      </c>
      <c r="E213" s="17" t="s">
        <v>436</v>
      </c>
      <c r="F213" s="17">
        <v>97</v>
      </c>
      <c r="G213" s="17">
        <v>4967</v>
      </c>
      <c r="H213" s="17">
        <v>120.5</v>
      </c>
      <c r="I213" s="17">
        <v>665</v>
      </c>
      <c r="J213" s="17">
        <v>89</v>
      </c>
      <c r="K213" s="17">
        <v>5512</v>
      </c>
      <c r="L213" s="17">
        <v>66.5</v>
      </c>
      <c r="M213" s="17">
        <v>1237</v>
      </c>
      <c r="N213" s="17"/>
      <c r="O213" s="17"/>
      <c r="P213" s="17">
        <v>79</v>
      </c>
      <c r="Q213" s="17">
        <v>2632</v>
      </c>
      <c r="R213" s="17"/>
      <c r="S213" s="17"/>
      <c r="T213" s="17"/>
      <c r="U213" s="17"/>
      <c r="V213" s="17">
        <v>79</v>
      </c>
      <c r="W213" s="17">
        <v>1023</v>
      </c>
      <c r="X213" s="15">
        <v>306.5</v>
      </c>
      <c r="Y213" s="17">
        <v>224</v>
      </c>
      <c r="Z213" s="17">
        <v>531</v>
      </c>
      <c r="AA213" s="17">
        <v>1909</v>
      </c>
      <c r="AB213" s="12">
        <v>167</v>
      </c>
    </row>
    <row r="214" ht="14.25" spans="1:28">
      <c r="A214" s="13">
        <v>212</v>
      </c>
      <c r="B214" s="15">
        <v>5</v>
      </c>
      <c r="C214" s="16">
        <v>9</v>
      </c>
      <c r="D214" s="17" t="s">
        <v>437</v>
      </c>
      <c r="E214" s="17" t="s">
        <v>438</v>
      </c>
      <c r="F214" s="17">
        <v>91.5</v>
      </c>
      <c r="G214" s="17">
        <v>8306</v>
      </c>
      <c r="H214" s="17">
        <v>98</v>
      </c>
      <c r="I214" s="17">
        <v>4147</v>
      </c>
      <c r="J214" s="17">
        <v>100.5</v>
      </c>
      <c r="K214" s="17">
        <v>2946</v>
      </c>
      <c r="L214" s="17">
        <v>35.5</v>
      </c>
      <c r="M214" s="17">
        <v>7589</v>
      </c>
      <c r="N214" s="17"/>
      <c r="O214" s="17"/>
      <c r="P214" s="17">
        <v>83</v>
      </c>
      <c r="Q214" s="17">
        <v>1643</v>
      </c>
      <c r="R214" s="17"/>
      <c r="S214" s="17"/>
      <c r="T214" s="17"/>
      <c r="U214" s="17"/>
      <c r="V214" s="17">
        <v>66</v>
      </c>
      <c r="W214" s="17">
        <v>2820</v>
      </c>
      <c r="X214" s="15">
        <v>290</v>
      </c>
      <c r="Y214" s="17">
        <v>369</v>
      </c>
      <c r="Z214" s="17">
        <v>474.5</v>
      </c>
      <c r="AA214" s="17">
        <v>4571</v>
      </c>
      <c r="AB214" s="12">
        <v>439</v>
      </c>
    </row>
    <row r="215" ht="14.25" spans="1:28">
      <c r="A215" s="13">
        <v>213</v>
      </c>
      <c r="B215" s="15">
        <v>5</v>
      </c>
      <c r="C215" s="16">
        <v>10</v>
      </c>
      <c r="D215" s="17" t="s">
        <v>439</v>
      </c>
      <c r="E215" s="17" t="s">
        <v>440</v>
      </c>
      <c r="F215" s="17">
        <v>107</v>
      </c>
      <c r="G215" s="17">
        <v>945</v>
      </c>
      <c r="H215" s="17">
        <v>112.5</v>
      </c>
      <c r="I215" s="17">
        <v>1543</v>
      </c>
      <c r="J215" s="17">
        <v>90.5</v>
      </c>
      <c r="K215" s="17">
        <v>5135</v>
      </c>
      <c r="L215" s="17">
        <v>47</v>
      </c>
      <c r="M215" s="17">
        <v>4568</v>
      </c>
      <c r="N215" s="17"/>
      <c r="O215" s="17"/>
      <c r="P215" s="17">
        <v>72</v>
      </c>
      <c r="Q215" s="17">
        <v>4881</v>
      </c>
      <c r="R215" s="17"/>
      <c r="S215" s="17"/>
      <c r="T215" s="17"/>
      <c r="U215" s="17"/>
      <c r="V215" s="17">
        <v>91</v>
      </c>
      <c r="W215" s="17">
        <v>15</v>
      </c>
      <c r="X215" s="15">
        <v>310</v>
      </c>
      <c r="Y215" s="17">
        <v>193</v>
      </c>
      <c r="Z215" s="17">
        <v>520</v>
      </c>
      <c r="AA215" s="17">
        <v>2348</v>
      </c>
      <c r="AB215" s="12">
        <v>218</v>
      </c>
    </row>
    <row r="216" ht="14.25" spans="1:28">
      <c r="A216" s="13">
        <v>214</v>
      </c>
      <c r="B216" s="15">
        <v>5</v>
      </c>
      <c r="C216" s="16">
        <v>11</v>
      </c>
      <c r="D216" s="17" t="s">
        <v>441</v>
      </c>
      <c r="E216" s="17" t="s">
        <v>442</v>
      </c>
      <c r="F216" s="17">
        <v>94.5</v>
      </c>
      <c r="G216" s="17">
        <v>6496</v>
      </c>
      <c r="H216" s="17">
        <v>104</v>
      </c>
      <c r="I216" s="17">
        <v>2999</v>
      </c>
      <c r="J216" s="17">
        <v>110</v>
      </c>
      <c r="K216" s="17">
        <v>1448</v>
      </c>
      <c r="L216" s="17">
        <v>40.5</v>
      </c>
      <c r="M216" s="17">
        <v>6131</v>
      </c>
      <c r="N216" s="17"/>
      <c r="O216" s="17"/>
      <c r="P216" s="17">
        <v>60</v>
      </c>
      <c r="Q216" s="17">
        <v>8673</v>
      </c>
      <c r="R216" s="17"/>
      <c r="S216" s="17"/>
      <c r="T216" s="17"/>
      <c r="U216" s="17"/>
      <c r="V216" s="17">
        <v>87</v>
      </c>
      <c r="W216" s="17">
        <v>273</v>
      </c>
      <c r="X216" s="15">
        <v>308.5</v>
      </c>
      <c r="Y216" s="17">
        <v>210</v>
      </c>
      <c r="Z216" s="17">
        <v>496</v>
      </c>
      <c r="AA216" s="17">
        <v>3441</v>
      </c>
      <c r="AB216" s="12">
        <v>351</v>
      </c>
    </row>
    <row r="217" ht="14.25" spans="1:28">
      <c r="A217" s="13">
        <v>215</v>
      </c>
      <c r="B217" s="15">
        <v>5</v>
      </c>
      <c r="C217" s="16">
        <v>12</v>
      </c>
      <c r="D217" s="17" t="s">
        <v>443</v>
      </c>
      <c r="E217" s="17" t="s">
        <v>444</v>
      </c>
      <c r="F217" s="17">
        <v>97.5</v>
      </c>
      <c r="G217" s="17">
        <v>4695</v>
      </c>
      <c r="H217" s="17">
        <v>116</v>
      </c>
      <c r="I217" s="17">
        <v>1095</v>
      </c>
      <c r="J217" s="17">
        <v>74.5</v>
      </c>
      <c r="K217" s="17">
        <v>9227</v>
      </c>
      <c r="L217" s="17">
        <v>47.5</v>
      </c>
      <c r="M217" s="17">
        <v>4470</v>
      </c>
      <c r="N217" s="17"/>
      <c r="O217" s="17"/>
      <c r="P217" s="17">
        <v>73</v>
      </c>
      <c r="Q217" s="17">
        <v>4501</v>
      </c>
      <c r="R217" s="17"/>
      <c r="S217" s="17"/>
      <c r="T217" s="17"/>
      <c r="U217" s="17"/>
      <c r="V217" s="17">
        <v>71</v>
      </c>
      <c r="W217" s="17">
        <v>2172</v>
      </c>
      <c r="X217" s="15">
        <v>288</v>
      </c>
      <c r="Y217" s="17">
        <v>378</v>
      </c>
      <c r="Z217" s="17">
        <v>479.5</v>
      </c>
      <c r="AA217" s="17">
        <v>4305</v>
      </c>
      <c r="AB217" s="12">
        <v>420</v>
      </c>
    </row>
    <row r="218" ht="14.25" spans="1:28">
      <c r="A218" s="13">
        <v>216</v>
      </c>
      <c r="B218" s="15">
        <v>5</v>
      </c>
      <c r="C218" s="16">
        <v>13</v>
      </c>
      <c r="D218" s="17" t="s">
        <v>445</v>
      </c>
      <c r="E218" s="17" t="s">
        <v>446</v>
      </c>
      <c r="F218" s="17">
        <v>104</v>
      </c>
      <c r="G218" s="17">
        <v>1709</v>
      </c>
      <c r="H218" s="17">
        <v>79</v>
      </c>
      <c r="I218" s="17">
        <v>8244</v>
      </c>
      <c r="J218" s="17">
        <v>71.75</v>
      </c>
      <c r="K218" s="17">
        <v>9931</v>
      </c>
      <c r="L218" s="17">
        <v>22</v>
      </c>
      <c r="M218" s="17">
        <v>12994</v>
      </c>
      <c r="N218" s="17"/>
      <c r="O218" s="17"/>
      <c r="P218" s="17">
        <v>58</v>
      </c>
      <c r="Q218" s="17">
        <v>9299</v>
      </c>
      <c r="R218" s="17"/>
      <c r="S218" s="17"/>
      <c r="T218" s="17"/>
      <c r="U218" s="17"/>
      <c r="V218" s="17">
        <v>71</v>
      </c>
      <c r="W218" s="17">
        <v>2172</v>
      </c>
      <c r="X218" s="15">
        <v>254.75</v>
      </c>
      <c r="Y218" s="17">
        <v>597</v>
      </c>
      <c r="Z218" s="17">
        <v>405.75</v>
      </c>
      <c r="AA218" s="17">
        <v>9259</v>
      </c>
      <c r="AB218" s="12">
        <v>638</v>
      </c>
    </row>
    <row r="219" ht="14.25" spans="1:28">
      <c r="A219" s="13">
        <v>217</v>
      </c>
      <c r="B219" s="15">
        <v>5</v>
      </c>
      <c r="C219" s="16">
        <v>14</v>
      </c>
      <c r="D219" s="17" t="s">
        <v>447</v>
      </c>
      <c r="E219" s="17" t="s">
        <v>448</v>
      </c>
      <c r="F219" s="17">
        <v>102</v>
      </c>
      <c r="G219" s="17">
        <v>2480</v>
      </c>
      <c r="H219" s="17">
        <v>99.5</v>
      </c>
      <c r="I219" s="17">
        <v>3847</v>
      </c>
      <c r="J219" s="17">
        <v>101.5</v>
      </c>
      <c r="K219" s="17">
        <v>2779</v>
      </c>
      <c r="L219" s="17">
        <v>41</v>
      </c>
      <c r="M219" s="17">
        <v>5993</v>
      </c>
      <c r="N219" s="17"/>
      <c r="O219" s="17"/>
      <c r="P219" s="17">
        <v>87</v>
      </c>
      <c r="Q219" s="17">
        <v>681</v>
      </c>
      <c r="R219" s="17"/>
      <c r="S219" s="17"/>
      <c r="T219" s="17"/>
      <c r="U219" s="17"/>
      <c r="V219" s="17">
        <v>74</v>
      </c>
      <c r="W219" s="17">
        <v>1732</v>
      </c>
      <c r="X219" s="15">
        <v>303</v>
      </c>
      <c r="Y219" s="17">
        <v>251</v>
      </c>
      <c r="Z219" s="17">
        <v>505</v>
      </c>
      <c r="AA219" s="17">
        <v>3011</v>
      </c>
      <c r="AB219" s="12">
        <v>299</v>
      </c>
    </row>
    <row r="220" ht="14.25" spans="1:28">
      <c r="A220" s="13">
        <v>218</v>
      </c>
      <c r="B220" s="15">
        <v>5</v>
      </c>
      <c r="C220" s="16">
        <v>15</v>
      </c>
      <c r="D220" s="17" t="s">
        <v>449</v>
      </c>
      <c r="E220" s="17" t="s">
        <v>450</v>
      </c>
      <c r="F220" s="17">
        <v>90.5</v>
      </c>
      <c r="G220" s="17">
        <v>8999</v>
      </c>
      <c r="H220" s="17">
        <v>105</v>
      </c>
      <c r="I220" s="17">
        <v>2810</v>
      </c>
      <c r="J220" s="17">
        <v>94</v>
      </c>
      <c r="K220" s="17">
        <v>4318</v>
      </c>
      <c r="L220" s="17">
        <v>60.5</v>
      </c>
      <c r="M220" s="17">
        <v>2106</v>
      </c>
      <c r="N220" s="17"/>
      <c r="O220" s="17"/>
      <c r="P220" s="17">
        <v>87</v>
      </c>
      <c r="Q220" s="17">
        <v>681</v>
      </c>
      <c r="R220" s="17"/>
      <c r="S220" s="17"/>
      <c r="T220" s="17"/>
      <c r="U220" s="17"/>
      <c r="V220" s="17">
        <v>79</v>
      </c>
      <c r="W220" s="17">
        <v>1023</v>
      </c>
      <c r="X220" s="15">
        <v>289.5</v>
      </c>
      <c r="Y220" s="17">
        <v>371</v>
      </c>
      <c r="Z220" s="17">
        <v>516</v>
      </c>
      <c r="AA220" s="17">
        <v>2500</v>
      </c>
      <c r="AB220" s="12">
        <v>240</v>
      </c>
    </row>
    <row r="221" ht="14.25" spans="1:28">
      <c r="A221" s="13">
        <v>219</v>
      </c>
      <c r="B221" s="15">
        <v>5</v>
      </c>
      <c r="C221" s="16">
        <v>16</v>
      </c>
      <c r="D221" s="17" t="s">
        <v>451</v>
      </c>
      <c r="E221" s="17" t="s">
        <v>452</v>
      </c>
      <c r="F221" s="17">
        <v>82</v>
      </c>
      <c r="G221" s="17">
        <v>13863</v>
      </c>
      <c r="H221" s="17">
        <v>114.5</v>
      </c>
      <c r="I221" s="17">
        <v>1277</v>
      </c>
      <c r="J221" s="17">
        <v>92.5</v>
      </c>
      <c r="K221" s="17">
        <v>4660</v>
      </c>
      <c r="L221" s="17">
        <v>63</v>
      </c>
      <c r="M221" s="17">
        <v>1702</v>
      </c>
      <c r="N221" s="17"/>
      <c r="O221" s="17"/>
      <c r="P221" s="17">
        <v>67</v>
      </c>
      <c r="Q221" s="17">
        <v>6384</v>
      </c>
      <c r="R221" s="17"/>
      <c r="S221" s="17"/>
      <c r="T221" s="17"/>
      <c r="U221" s="17"/>
      <c r="V221" s="17">
        <v>74</v>
      </c>
      <c r="W221" s="17">
        <v>1732</v>
      </c>
      <c r="X221" s="15">
        <v>289</v>
      </c>
      <c r="Y221" s="17">
        <v>373</v>
      </c>
      <c r="Z221" s="17">
        <v>493</v>
      </c>
      <c r="AA221" s="17">
        <v>3601</v>
      </c>
      <c r="AB221" s="12">
        <v>360</v>
      </c>
    </row>
    <row r="222" ht="14.25" spans="1:28">
      <c r="A222" s="13">
        <v>220</v>
      </c>
      <c r="B222" s="15">
        <v>5</v>
      </c>
      <c r="C222" s="16">
        <v>17</v>
      </c>
      <c r="D222" s="17" t="s">
        <v>453</v>
      </c>
      <c r="E222" s="17" t="s">
        <v>454</v>
      </c>
      <c r="F222" s="17">
        <v>103.5</v>
      </c>
      <c r="G222" s="17">
        <v>1897</v>
      </c>
      <c r="H222" s="17">
        <v>69</v>
      </c>
      <c r="I222" s="17">
        <v>10159</v>
      </c>
      <c r="J222" s="17">
        <v>78</v>
      </c>
      <c r="K222" s="17">
        <v>8318</v>
      </c>
      <c r="L222" s="17">
        <v>36.5</v>
      </c>
      <c r="M222" s="17">
        <v>7270</v>
      </c>
      <c r="N222" s="17"/>
      <c r="O222" s="17"/>
      <c r="P222" s="17">
        <v>73</v>
      </c>
      <c r="Q222" s="17">
        <v>4501</v>
      </c>
      <c r="R222" s="17"/>
      <c r="S222" s="17"/>
      <c r="T222" s="17"/>
      <c r="U222" s="17"/>
      <c r="V222" s="17">
        <v>65</v>
      </c>
      <c r="W222" s="17">
        <v>2935</v>
      </c>
      <c r="X222" s="15">
        <v>250.5</v>
      </c>
      <c r="Y222" s="17">
        <v>608</v>
      </c>
      <c r="Z222" s="17">
        <v>425</v>
      </c>
      <c r="AA222" s="17">
        <v>7858</v>
      </c>
      <c r="AB222" s="12">
        <v>614</v>
      </c>
    </row>
    <row r="223" ht="14.25" spans="1:28">
      <c r="A223" s="13">
        <v>221</v>
      </c>
      <c r="B223" s="15">
        <v>5</v>
      </c>
      <c r="C223" s="16">
        <v>18</v>
      </c>
      <c r="D223" s="17" t="s">
        <v>455</v>
      </c>
      <c r="E223" s="17" t="s">
        <v>456</v>
      </c>
      <c r="F223" s="17">
        <v>105</v>
      </c>
      <c r="G223" s="17">
        <v>1427</v>
      </c>
      <c r="H223" s="17">
        <v>122.5</v>
      </c>
      <c r="I223" s="17">
        <v>509</v>
      </c>
      <c r="J223" s="17">
        <v>64.5</v>
      </c>
      <c r="K223" s="17">
        <v>11584</v>
      </c>
      <c r="L223" s="17">
        <v>65</v>
      </c>
      <c r="M223" s="17">
        <v>1440</v>
      </c>
      <c r="N223" s="17"/>
      <c r="O223" s="17"/>
      <c r="P223" s="17">
        <v>78</v>
      </c>
      <c r="Q223" s="17">
        <v>2908</v>
      </c>
      <c r="R223" s="17"/>
      <c r="S223" s="17"/>
      <c r="T223" s="17"/>
      <c r="U223" s="17"/>
      <c r="V223" s="17">
        <v>82</v>
      </c>
      <c r="W223" s="17">
        <v>723</v>
      </c>
      <c r="X223" s="15">
        <v>292</v>
      </c>
      <c r="Y223" s="17">
        <v>350</v>
      </c>
      <c r="Z223" s="17">
        <v>517</v>
      </c>
      <c r="AA223" s="17">
        <v>2459</v>
      </c>
      <c r="AB223" s="12">
        <v>236</v>
      </c>
    </row>
    <row r="224" ht="14.25" spans="1:28">
      <c r="A224" s="13">
        <v>222</v>
      </c>
      <c r="B224" s="15">
        <v>5</v>
      </c>
      <c r="C224" s="16">
        <v>19</v>
      </c>
      <c r="D224" s="17" t="s">
        <v>457</v>
      </c>
      <c r="E224" s="17" t="s">
        <v>458</v>
      </c>
      <c r="F224" s="17">
        <v>97.5</v>
      </c>
      <c r="G224" s="17">
        <v>4695</v>
      </c>
      <c r="H224" s="17">
        <v>110.5</v>
      </c>
      <c r="I224" s="17">
        <v>1866</v>
      </c>
      <c r="J224" s="17">
        <v>88.75</v>
      </c>
      <c r="K224" s="17">
        <v>5589</v>
      </c>
      <c r="L224" s="17">
        <v>51.5</v>
      </c>
      <c r="M224" s="17">
        <v>3642</v>
      </c>
      <c r="N224" s="17"/>
      <c r="O224" s="17"/>
      <c r="P224" s="17">
        <v>81</v>
      </c>
      <c r="Q224" s="17">
        <v>2079</v>
      </c>
      <c r="R224" s="17"/>
      <c r="S224" s="17"/>
      <c r="T224" s="17"/>
      <c r="U224" s="17"/>
      <c r="V224" s="17">
        <v>88</v>
      </c>
      <c r="W224" s="17">
        <v>165</v>
      </c>
      <c r="X224" s="15">
        <v>296.75</v>
      </c>
      <c r="Y224" s="17">
        <v>303</v>
      </c>
      <c r="Z224" s="17">
        <v>517.25</v>
      </c>
      <c r="AA224" s="17">
        <v>2449</v>
      </c>
      <c r="AB224" s="12">
        <v>232</v>
      </c>
    </row>
    <row r="225" ht="14.25" spans="1:28">
      <c r="A225" s="13">
        <v>223</v>
      </c>
      <c r="B225" s="15">
        <v>5</v>
      </c>
      <c r="C225" s="16">
        <v>20</v>
      </c>
      <c r="D225" s="17" t="s">
        <v>459</v>
      </c>
      <c r="E225" s="17" t="s">
        <v>460</v>
      </c>
      <c r="F225" s="17">
        <v>109</v>
      </c>
      <c r="G225" s="17">
        <v>567</v>
      </c>
      <c r="H225" s="17">
        <v>109</v>
      </c>
      <c r="I225" s="17">
        <v>2105</v>
      </c>
      <c r="J225" s="17">
        <v>97.5</v>
      </c>
      <c r="K225" s="17">
        <v>3545</v>
      </c>
      <c r="L225" s="17">
        <v>59.5</v>
      </c>
      <c r="M225" s="17">
        <v>2274</v>
      </c>
      <c r="N225" s="17"/>
      <c r="O225" s="17"/>
      <c r="P225" s="17">
        <v>77</v>
      </c>
      <c r="Q225" s="17">
        <v>3207</v>
      </c>
      <c r="R225" s="17"/>
      <c r="S225" s="17"/>
      <c r="T225" s="17"/>
      <c r="U225" s="17"/>
      <c r="V225" s="17">
        <v>78</v>
      </c>
      <c r="W225" s="17">
        <v>1218</v>
      </c>
      <c r="X225" s="15">
        <v>315.5</v>
      </c>
      <c r="Y225" s="17">
        <v>147</v>
      </c>
      <c r="Z225" s="17">
        <v>530</v>
      </c>
      <c r="AA225" s="17">
        <v>1946</v>
      </c>
      <c r="AB225" s="12">
        <v>169</v>
      </c>
    </row>
    <row r="226" ht="14.25" spans="1:28">
      <c r="A226" s="13">
        <v>224</v>
      </c>
      <c r="B226" s="15">
        <v>5</v>
      </c>
      <c r="C226" s="16">
        <v>21</v>
      </c>
      <c r="D226" s="17" t="s">
        <v>461</v>
      </c>
      <c r="E226" s="17" t="s">
        <v>462</v>
      </c>
      <c r="F226" s="17">
        <v>93</v>
      </c>
      <c r="G226" s="17">
        <v>7407</v>
      </c>
      <c r="H226" s="17">
        <v>103.5</v>
      </c>
      <c r="I226" s="17">
        <v>3096</v>
      </c>
      <c r="J226" s="17">
        <v>114.75</v>
      </c>
      <c r="K226" s="17">
        <v>938</v>
      </c>
      <c r="L226" s="17">
        <v>46</v>
      </c>
      <c r="M226" s="17">
        <v>4785</v>
      </c>
      <c r="N226" s="17"/>
      <c r="O226" s="17"/>
      <c r="P226" s="17">
        <v>73</v>
      </c>
      <c r="Q226" s="17">
        <v>4501</v>
      </c>
      <c r="R226" s="17"/>
      <c r="S226" s="17"/>
      <c r="T226" s="17"/>
      <c r="U226" s="17"/>
      <c r="V226" s="17">
        <v>72</v>
      </c>
      <c r="W226" s="17">
        <v>2049</v>
      </c>
      <c r="X226" s="15">
        <v>311.25</v>
      </c>
      <c r="Y226" s="17">
        <v>176</v>
      </c>
      <c r="Z226" s="17">
        <v>502.25</v>
      </c>
      <c r="AA226" s="17">
        <v>3139</v>
      </c>
      <c r="AB226" s="12">
        <v>315</v>
      </c>
    </row>
    <row r="227" ht="14.25" spans="1:28">
      <c r="A227" s="13">
        <v>225</v>
      </c>
      <c r="B227" s="15">
        <v>5</v>
      </c>
      <c r="C227" s="16">
        <v>22</v>
      </c>
      <c r="D227" s="17" t="s">
        <v>463</v>
      </c>
      <c r="E227" s="17" t="s">
        <v>464</v>
      </c>
      <c r="F227" s="17">
        <v>94.5</v>
      </c>
      <c r="G227" s="17">
        <v>6496</v>
      </c>
      <c r="H227" s="17">
        <v>126.5</v>
      </c>
      <c r="I227" s="17">
        <v>273</v>
      </c>
      <c r="J227" s="17">
        <v>98.5</v>
      </c>
      <c r="K227" s="17">
        <v>3338</v>
      </c>
      <c r="L227" s="17">
        <v>58</v>
      </c>
      <c r="M227" s="17">
        <v>2538</v>
      </c>
      <c r="N227" s="17"/>
      <c r="O227" s="17"/>
      <c r="P227" s="17">
        <v>72</v>
      </c>
      <c r="Q227" s="17">
        <v>4881</v>
      </c>
      <c r="R227" s="17"/>
      <c r="S227" s="17"/>
      <c r="T227" s="17"/>
      <c r="U227" s="17"/>
      <c r="V227" s="17">
        <v>88</v>
      </c>
      <c r="W227" s="17">
        <v>165</v>
      </c>
      <c r="X227" s="15">
        <v>319.5</v>
      </c>
      <c r="Y227" s="17">
        <v>121</v>
      </c>
      <c r="Z227" s="17">
        <v>537.5</v>
      </c>
      <c r="AA227" s="17">
        <v>1699</v>
      </c>
      <c r="AB227" s="12">
        <v>140</v>
      </c>
    </row>
    <row r="228" ht="14.25" spans="1:28">
      <c r="A228" s="13">
        <v>226</v>
      </c>
      <c r="B228" s="15">
        <v>5</v>
      </c>
      <c r="C228" s="16">
        <v>23</v>
      </c>
      <c r="D228" s="17" t="s">
        <v>465</v>
      </c>
      <c r="E228" s="17" t="s">
        <v>466</v>
      </c>
      <c r="F228" s="17">
        <v>84</v>
      </c>
      <c r="G228" s="17">
        <v>12898</v>
      </c>
      <c r="H228" s="17">
        <v>104.5</v>
      </c>
      <c r="I228" s="17">
        <v>2895</v>
      </c>
      <c r="J228" s="17">
        <v>84.5</v>
      </c>
      <c r="K228" s="17">
        <v>6614</v>
      </c>
      <c r="L228" s="17">
        <v>43.5</v>
      </c>
      <c r="M228" s="17">
        <v>5353</v>
      </c>
      <c r="N228" s="17"/>
      <c r="O228" s="17"/>
      <c r="P228" s="17">
        <v>68</v>
      </c>
      <c r="Q228" s="17">
        <v>6016</v>
      </c>
      <c r="R228" s="17"/>
      <c r="S228" s="17"/>
      <c r="T228" s="17"/>
      <c r="U228" s="17"/>
      <c r="V228" s="17">
        <v>73</v>
      </c>
      <c r="W228" s="17">
        <v>1853</v>
      </c>
      <c r="X228" s="15">
        <v>273</v>
      </c>
      <c r="Y228" s="17">
        <v>508</v>
      </c>
      <c r="Z228" s="17">
        <v>457.5</v>
      </c>
      <c r="AA228" s="17">
        <v>5634</v>
      </c>
      <c r="AB228" s="12">
        <v>518</v>
      </c>
    </row>
    <row r="229" ht="14.25" spans="1:28">
      <c r="A229" s="13">
        <v>227</v>
      </c>
      <c r="B229" s="15">
        <v>5</v>
      </c>
      <c r="C229" s="16">
        <v>24</v>
      </c>
      <c r="D229" s="17" t="s">
        <v>467</v>
      </c>
      <c r="E229" s="17" t="s">
        <v>468</v>
      </c>
      <c r="F229" s="17">
        <v>105.25</v>
      </c>
      <c r="G229" s="17">
        <v>1418</v>
      </c>
      <c r="H229" s="17">
        <v>122.5</v>
      </c>
      <c r="I229" s="17">
        <v>509</v>
      </c>
      <c r="J229" s="17">
        <v>113</v>
      </c>
      <c r="K229" s="17">
        <v>1110</v>
      </c>
      <c r="L229" s="17">
        <v>76</v>
      </c>
      <c r="M229" s="17">
        <v>367</v>
      </c>
      <c r="N229" s="17"/>
      <c r="O229" s="17"/>
      <c r="P229" s="17">
        <v>80</v>
      </c>
      <c r="Q229" s="17">
        <v>2333</v>
      </c>
      <c r="R229" s="17"/>
      <c r="S229" s="17"/>
      <c r="T229" s="17"/>
      <c r="U229" s="17"/>
      <c r="V229" s="17">
        <v>77</v>
      </c>
      <c r="W229" s="17">
        <v>1318</v>
      </c>
      <c r="X229" s="15">
        <v>340.75</v>
      </c>
      <c r="Y229" s="17">
        <v>27</v>
      </c>
      <c r="Z229" s="17">
        <v>573.75</v>
      </c>
      <c r="AA229" s="17">
        <v>658</v>
      </c>
      <c r="AB229" s="12">
        <v>38</v>
      </c>
    </row>
    <row r="230" ht="14.25" spans="1:28">
      <c r="A230" s="13">
        <v>228</v>
      </c>
      <c r="B230" s="15">
        <v>5</v>
      </c>
      <c r="C230" s="16">
        <v>25</v>
      </c>
      <c r="D230" s="17" t="s">
        <v>469</v>
      </c>
      <c r="E230" s="17" t="s">
        <v>470</v>
      </c>
      <c r="F230" s="17">
        <v>101</v>
      </c>
      <c r="G230" s="17">
        <v>2896</v>
      </c>
      <c r="H230" s="17">
        <v>101.5</v>
      </c>
      <c r="I230" s="17">
        <v>3477</v>
      </c>
      <c r="J230" s="17">
        <v>97</v>
      </c>
      <c r="K230" s="17">
        <v>3649</v>
      </c>
      <c r="L230" s="17">
        <v>50.5</v>
      </c>
      <c r="M230" s="17">
        <v>3830</v>
      </c>
      <c r="N230" s="17"/>
      <c r="O230" s="17"/>
      <c r="P230" s="17">
        <v>76</v>
      </c>
      <c r="Q230" s="17">
        <v>3515</v>
      </c>
      <c r="R230" s="17"/>
      <c r="S230" s="17"/>
      <c r="T230" s="17"/>
      <c r="U230" s="17"/>
      <c r="V230" s="17">
        <v>93</v>
      </c>
      <c r="W230" s="17">
        <v>2</v>
      </c>
      <c r="X230" s="15">
        <v>299.5</v>
      </c>
      <c r="Y230" s="17">
        <v>280</v>
      </c>
      <c r="Z230" s="17">
        <v>519</v>
      </c>
      <c r="AA230" s="17">
        <v>2383</v>
      </c>
      <c r="AB230" s="12">
        <v>223</v>
      </c>
    </row>
    <row r="231" ht="14.25" spans="1:28">
      <c r="A231" s="13">
        <v>229</v>
      </c>
      <c r="B231" s="15">
        <v>5</v>
      </c>
      <c r="C231" s="16">
        <v>26</v>
      </c>
      <c r="D231" s="17" t="s">
        <v>471</v>
      </c>
      <c r="E231" s="17" t="s">
        <v>472</v>
      </c>
      <c r="F231" s="17">
        <v>101</v>
      </c>
      <c r="G231" s="17">
        <v>2896</v>
      </c>
      <c r="H231" s="17">
        <v>109.5</v>
      </c>
      <c r="I231" s="17">
        <v>2023</v>
      </c>
      <c r="J231" s="17">
        <v>113</v>
      </c>
      <c r="K231" s="17">
        <v>1110</v>
      </c>
      <c r="L231" s="17">
        <v>75.5</v>
      </c>
      <c r="M231" s="17">
        <v>413</v>
      </c>
      <c r="N231" s="17"/>
      <c r="O231" s="17"/>
      <c r="P231" s="17">
        <v>81</v>
      </c>
      <c r="Q231" s="17">
        <v>2079</v>
      </c>
      <c r="R231" s="17"/>
      <c r="S231" s="17"/>
      <c r="T231" s="17"/>
      <c r="U231" s="17"/>
      <c r="V231" s="17">
        <v>78</v>
      </c>
      <c r="W231" s="17">
        <v>1218</v>
      </c>
      <c r="X231" s="15">
        <v>323.5</v>
      </c>
      <c r="Y231" s="17">
        <v>95</v>
      </c>
      <c r="Z231" s="17">
        <v>558</v>
      </c>
      <c r="AA231" s="17">
        <v>1043</v>
      </c>
      <c r="AB231" s="12">
        <v>76</v>
      </c>
    </row>
    <row r="232" ht="14.25" spans="1:28">
      <c r="A232" s="13">
        <v>230</v>
      </c>
      <c r="B232" s="15">
        <v>5</v>
      </c>
      <c r="C232" s="16">
        <v>27</v>
      </c>
      <c r="D232" s="17" t="s">
        <v>473</v>
      </c>
      <c r="E232" s="17" t="s">
        <v>474</v>
      </c>
      <c r="F232" s="17">
        <v>98</v>
      </c>
      <c r="G232" s="17">
        <v>4423</v>
      </c>
      <c r="H232" s="17">
        <v>119</v>
      </c>
      <c r="I232" s="17">
        <v>786</v>
      </c>
      <c r="J232" s="17">
        <v>84.25</v>
      </c>
      <c r="K232" s="17">
        <v>6713</v>
      </c>
      <c r="L232" s="17">
        <v>61.5</v>
      </c>
      <c r="M232" s="17">
        <v>1929</v>
      </c>
      <c r="N232" s="17"/>
      <c r="O232" s="17"/>
      <c r="P232" s="17">
        <v>66</v>
      </c>
      <c r="Q232" s="17">
        <v>6766</v>
      </c>
      <c r="R232" s="17"/>
      <c r="S232" s="17"/>
      <c r="T232" s="17"/>
      <c r="U232" s="17"/>
      <c r="V232" s="17">
        <v>80</v>
      </c>
      <c r="W232" s="17">
        <v>938</v>
      </c>
      <c r="X232" s="15">
        <v>301.25</v>
      </c>
      <c r="Y232" s="17">
        <v>268</v>
      </c>
      <c r="Z232" s="17">
        <v>508.75</v>
      </c>
      <c r="AA232" s="17">
        <v>2832</v>
      </c>
      <c r="AB232" s="12">
        <v>278</v>
      </c>
    </row>
    <row r="233" ht="14.25" spans="1:28">
      <c r="A233" s="13">
        <v>231</v>
      </c>
      <c r="B233" s="15">
        <v>5</v>
      </c>
      <c r="C233" s="16">
        <v>28</v>
      </c>
      <c r="D233" s="17" t="s">
        <v>475</v>
      </c>
      <c r="E233" s="17" t="s">
        <v>476</v>
      </c>
      <c r="F233" s="17">
        <v>106.5</v>
      </c>
      <c r="G233" s="17">
        <v>1059</v>
      </c>
      <c r="H233" s="17">
        <v>119.5</v>
      </c>
      <c r="I233" s="17">
        <v>753</v>
      </c>
      <c r="J233" s="17">
        <v>111.5</v>
      </c>
      <c r="K233" s="17">
        <v>1281</v>
      </c>
      <c r="L233" s="17">
        <v>56</v>
      </c>
      <c r="M233" s="17">
        <v>2878</v>
      </c>
      <c r="N233" s="17"/>
      <c r="O233" s="17"/>
      <c r="P233" s="17">
        <v>69</v>
      </c>
      <c r="Q233" s="17">
        <v>5655</v>
      </c>
      <c r="R233" s="17"/>
      <c r="S233" s="17"/>
      <c r="T233" s="17"/>
      <c r="U233" s="17"/>
      <c r="V233" s="17">
        <v>73</v>
      </c>
      <c r="W233" s="17">
        <v>1853</v>
      </c>
      <c r="X233" s="15">
        <v>337.5</v>
      </c>
      <c r="Y233" s="17">
        <v>34</v>
      </c>
      <c r="Z233" s="17">
        <v>535.5</v>
      </c>
      <c r="AA233" s="17">
        <v>1761</v>
      </c>
      <c r="AB233" s="12">
        <v>149</v>
      </c>
    </row>
    <row r="234" ht="14.25" spans="1:28">
      <c r="A234" s="13">
        <v>232</v>
      </c>
      <c r="B234" s="15">
        <v>5</v>
      </c>
      <c r="C234" s="16">
        <v>29</v>
      </c>
      <c r="D234" s="17" t="s">
        <v>477</v>
      </c>
      <c r="E234" s="17" t="s">
        <v>478</v>
      </c>
      <c r="F234" s="17">
        <v>76</v>
      </c>
      <c r="G234" s="17">
        <v>15887</v>
      </c>
      <c r="H234" s="17">
        <v>111</v>
      </c>
      <c r="I234" s="17">
        <v>1774</v>
      </c>
      <c r="J234" s="17">
        <v>82.25</v>
      </c>
      <c r="K234" s="17">
        <v>7208</v>
      </c>
      <c r="L234" s="17">
        <v>29.5</v>
      </c>
      <c r="M234" s="17">
        <v>9688</v>
      </c>
      <c r="N234" s="17"/>
      <c r="O234" s="17"/>
      <c r="P234" s="17">
        <v>56</v>
      </c>
      <c r="Q234" s="17">
        <v>9899</v>
      </c>
      <c r="R234" s="17"/>
      <c r="S234" s="17"/>
      <c r="T234" s="17"/>
      <c r="U234" s="17"/>
      <c r="V234" s="17">
        <v>58</v>
      </c>
      <c r="W234" s="17">
        <v>3948</v>
      </c>
      <c r="X234" s="15">
        <v>269.25</v>
      </c>
      <c r="Y234" s="17">
        <v>537</v>
      </c>
      <c r="Z234" s="17">
        <v>412.75</v>
      </c>
      <c r="AA234" s="17">
        <v>8754</v>
      </c>
      <c r="AB234" s="12">
        <v>628</v>
      </c>
    </row>
    <row r="235" ht="14.25" spans="1:28">
      <c r="A235" s="13">
        <v>233</v>
      </c>
      <c r="B235" s="15">
        <v>5</v>
      </c>
      <c r="C235" s="16">
        <v>30</v>
      </c>
      <c r="D235" s="17" t="s">
        <v>479</v>
      </c>
      <c r="E235" s="17" t="s">
        <v>480</v>
      </c>
      <c r="F235" s="17">
        <v>100.75</v>
      </c>
      <c r="G235" s="17">
        <v>3103</v>
      </c>
      <c r="H235" s="17">
        <v>77.5</v>
      </c>
      <c r="I235" s="17">
        <v>8540</v>
      </c>
      <c r="J235" s="17">
        <v>88</v>
      </c>
      <c r="K235" s="17">
        <v>5738</v>
      </c>
      <c r="L235" s="17">
        <v>43.5</v>
      </c>
      <c r="M235" s="17">
        <v>5353</v>
      </c>
      <c r="N235" s="17"/>
      <c r="O235" s="17"/>
      <c r="P235" s="17">
        <v>86</v>
      </c>
      <c r="Q235" s="17">
        <v>1052</v>
      </c>
      <c r="R235" s="17"/>
      <c r="S235" s="17"/>
      <c r="T235" s="17"/>
      <c r="U235" s="17"/>
      <c r="V235" s="17">
        <v>87</v>
      </c>
      <c r="W235" s="17">
        <v>273</v>
      </c>
      <c r="X235" s="15">
        <v>266.25</v>
      </c>
      <c r="Y235" s="17">
        <v>548</v>
      </c>
      <c r="Z235" s="17">
        <v>482.75</v>
      </c>
      <c r="AA235" s="17">
        <v>4122</v>
      </c>
      <c r="AB235" s="12">
        <v>409</v>
      </c>
    </row>
    <row r="236" ht="14.25" spans="1:28">
      <c r="A236" s="13">
        <v>234</v>
      </c>
      <c r="B236" s="15">
        <v>5</v>
      </c>
      <c r="C236" s="16">
        <v>31</v>
      </c>
      <c r="D236" s="17" t="s">
        <v>481</v>
      </c>
      <c r="E236" s="17" t="s">
        <v>482</v>
      </c>
      <c r="F236" s="17">
        <v>90.75</v>
      </c>
      <c r="G236" s="17">
        <v>8959</v>
      </c>
      <c r="H236" s="17">
        <v>113.5</v>
      </c>
      <c r="I236" s="17">
        <v>1397</v>
      </c>
      <c r="J236" s="17">
        <v>107.5</v>
      </c>
      <c r="K236" s="17">
        <v>1810</v>
      </c>
      <c r="L236" s="17">
        <v>44.5</v>
      </c>
      <c r="M236" s="17">
        <v>5122</v>
      </c>
      <c r="N236" s="17"/>
      <c r="O236" s="17"/>
      <c r="P236" s="17">
        <v>92</v>
      </c>
      <c r="Q236" s="17">
        <v>36</v>
      </c>
      <c r="R236" s="17"/>
      <c r="S236" s="17"/>
      <c r="T236" s="17"/>
      <c r="U236" s="17"/>
      <c r="V236" s="17">
        <v>71</v>
      </c>
      <c r="W236" s="17">
        <v>2172</v>
      </c>
      <c r="X236" s="15">
        <v>311.75</v>
      </c>
      <c r="Y236" s="17">
        <v>172</v>
      </c>
      <c r="Z236" s="17">
        <v>519.25</v>
      </c>
      <c r="AA236" s="17">
        <v>2376</v>
      </c>
      <c r="AB236" s="12">
        <v>221</v>
      </c>
    </row>
    <row r="237" ht="14.25" spans="1:28">
      <c r="A237" s="13">
        <v>235</v>
      </c>
      <c r="B237" s="15">
        <v>5</v>
      </c>
      <c r="C237" s="16">
        <v>32</v>
      </c>
      <c r="D237" s="17" t="s">
        <v>483</v>
      </c>
      <c r="E237" s="17" t="s">
        <v>484</v>
      </c>
      <c r="F237" s="17">
        <v>88</v>
      </c>
      <c r="G237" s="17">
        <v>10604</v>
      </c>
      <c r="H237" s="17">
        <v>117.5</v>
      </c>
      <c r="I237" s="17">
        <v>923</v>
      </c>
      <c r="J237" s="17">
        <v>95.5</v>
      </c>
      <c r="K237" s="17">
        <v>3977</v>
      </c>
      <c r="L237" s="17">
        <v>45</v>
      </c>
      <c r="M237" s="17">
        <v>5014</v>
      </c>
      <c r="N237" s="17"/>
      <c r="O237" s="17"/>
      <c r="P237" s="17">
        <v>73</v>
      </c>
      <c r="Q237" s="17">
        <v>4501</v>
      </c>
      <c r="R237" s="17"/>
      <c r="S237" s="17"/>
      <c r="T237" s="17"/>
      <c r="U237" s="17"/>
      <c r="V237" s="17">
        <v>79</v>
      </c>
      <c r="W237" s="17">
        <v>1023</v>
      </c>
      <c r="X237" s="15">
        <v>301</v>
      </c>
      <c r="Y237" s="17">
        <v>271</v>
      </c>
      <c r="Z237" s="17">
        <v>498</v>
      </c>
      <c r="AA237" s="17">
        <v>3340</v>
      </c>
      <c r="AB237" s="12">
        <v>339</v>
      </c>
    </row>
    <row r="238" ht="14.25" spans="1:28">
      <c r="A238" s="13">
        <v>236</v>
      </c>
      <c r="B238" s="15">
        <v>5</v>
      </c>
      <c r="C238" s="16">
        <v>33</v>
      </c>
      <c r="D238" s="17" t="s">
        <v>485</v>
      </c>
      <c r="E238" s="17" t="s">
        <v>486</v>
      </c>
      <c r="F238" s="17">
        <v>93</v>
      </c>
      <c r="G238" s="17">
        <v>7407</v>
      </c>
      <c r="H238" s="17">
        <v>110</v>
      </c>
      <c r="I238" s="17">
        <v>1931</v>
      </c>
      <c r="J238" s="17">
        <v>79.5</v>
      </c>
      <c r="K238" s="17">
        <v>7930</v>
      </c>
      <c r="L238" s="17">
        <v>34</v>
      </c>
      <c r="M238" s="17">
        <v>8051</v>
      </c>
      <c r="N238" s="17"/>
      <c r="O238" s="17"/>
      <c r="P238" s="17">
        <v>74</v>
      </c>
      <c r="Q238" s="17">
        <v>4168</v>
      </c>
      <c r="R238" s="17"/>
      <c r="S238" s="17"/>
      <c r="T238" s="17"/>
      <c r="U238" s="17"/>
      <c r="V238" s="17">
        <v>76</v>
      </c>
      <c r="W238" s="17">
        <v>1407</v>
      </c>
      <c r="X238" s="15">
        <v>282.5</v>
      </c>
      <c r="Y238" s="17">
        <v>425</v>
      </c>
      <c r="Z238" s="17">
        <v>466.5</v>
      </c>
      <c r="AA238" s="17">
        <v>5061</v>
      </c>
      <c r="AB238" s="12">
        <v>478</v>
      </c>
    </row>
    <row r="239" ht="14.25" spans="1:28">
      <c r="A239" s="13">
        <v>237</v>
      </c>
      <c r="B239" s="15">
        <v>5</v>
      </c>
      <c r="C239" s="16">
        <v>34</v>
      </c>
      <c r="D239" s="17" t="s">
        <v>487</v>
      </c>
      <c r="E239" s="17" t="s">
        <v>488</v>
      </c>
      <c r="F239" s="17">
        <v>100</v>
      </c>
      <c r="G239" s="17">
        <v>3368</v>
      </c>
      <c r="H239" s="17">
        <v>118</v>
      </c>
      <c r="I239" s="17">
        <v>885</v>
      </c>
      <c r="J239" s="17">
        <v>95.75</v>
      </c>
      <c r="K239" s="17">
        <v>3946</v>
      </c>
      <c r="L239" s="17">
        <v>61</v>
      </c>
      <c r="M239" s="17">
        <v>2008</v>
      </c>
      <c r="N239" s="17"/>
      <c r="O239" s="17"/>
      <c r="P239" s="17">
        <v>87</v>
      </c>
      <c r="Q239" s="17">
        <v>681</v>
      </c>
      <c r="R239" s="17"/>
      <c r="S239" s="17"/>
      <c r="T239" s="17"/>
      <c r="U239" s="17"/>
      <c r="V239" s="17">
        <v>82</v>
      </c>
      <c r="W239" s="17">
        <v>723</v>
      </c>
      <c r="X239" s="15">
        <v>313.75</v>
      </c>
      <c r="Y239" s="17">
        <v>161</v>
      </c>
      <c r="Z239" s="17">
        <v>543.75</v>
      </c>
      <c r="AA239" s="17">
        <v>1499</v>
      </c>
      <c r="AB239" s="12">
        <v>120</v>
      </c>
    </row>
    <row r="240" ht="14.25" spans="1:28">
      <c r="A240" s="13">
        <v>238</v>
      </c>
      <c r="B240" s="15">
        <v>5</v>
      </c>
      <c r="C240" s="16">
        <v>35</v>
      </c>
      <c r="D240" s="17" t="s">
        <v>489</v>
      </c>
      <c r="E240" s="17" t="s">
        <v>490</v>
      </c>
      <c r="F240" s="17">
        <v>101</v>
      </c>
      <c r="G240" s="17">
        <v>2896</v>
      </c>
      <c r="H240" s="17">
        <v>104.5</v>
      </c>
      <c r="I240" s="17">
        <v>2895</v>
      </c>
      <c r="J240" s="17">
        <v>96.5</v>
      </c>
      <c r="K240" s="17">
        <v>3746</v>
      </c>
      <c r="L240" s="17">
        <v>54.5</v>
      </c>
      <c r="M240" s="17">
        <v>3126</v>
      </c>
      <c r="N240" s="17"/>
      <c r="O240" s="17"/>
      <c r="P240" s="17">
        <v>64</v>
      </c>
      <c r="Q240" s="17">
        <v>7304</v>
      </c>
      <c r="R240" s="17"/>
      <c r="S240" s="17"/>
      <c r="T240" s="17"/>
      <c r="U240" s="17"/>
      <c r="V240" s="17">
        <v>77</v>
      </c>
      <c r="W240" s="17">
        <v>1318</v>
      </c>
      <c r="X240" s="15">
        <v>302</v>
      </c>
      <c r="Y240" s="17">
        <v>261</v>
      </c>
      <c r="Z240" s="17">
        <v>497.5</v>
      </c>
      <c r="AA240" s="17">
        <v>3359</v>
      </c>
      <c r="AB240" s="12">
        <v>342</v>
      </c>
    </row>
    <row r="241" ht="14.25" spans="1:28">
      <c r="A241" s="13">
        <v>239</v>
      </c>
      <c r="B241" s="15">
        <v>5</v>
      </c>
      <c r="C241" s="16">
        <v>36</v>
      </c>
      <c r="D241" s="17" t="s">
        <v>491</v>
      </c>
      <c r="E241" s="17" t="s">
        <v>492</v>
      </c>
      <c r="F241" s="17">
        <v>94</v>
      </c>
      <c r="G241" s="17">
        <v>6811</v>
      </c>
      <c r="H241" s="17">
        <v>93</v>
      </c>
      <c r="I241" s="17">
        <v>5192</v>
      </c>
      <c r="J241" s="17">
        <v>111.5</v>
      </c>
      <c r="K241" s="17">
        <v>1281</v>
      </c>
      <c r="L241" s="17">
        <v>30</v>
      </c>
      <c r="M241" s="17">
        <v>9441</v>
      </c>
      <c r="N241" s="17"/>
      <c r="O241" s="17"/>
      <c r="P241" s="17">
        <v>66</v>
      </c>
      <c r="Q241" s="17">
        <v>6766</v>
      </c>
      <c r="R241" s="17"/>
      <c r="S241" s="17"/>
      <c r="T241" s="17"/>
      <c r="U241" s="17"/>
      <c r="V241" s="17">
        <v>72</v>
      </c>
      <c r="W241" s="17">
        <v>2049</v>
      </c>
      <c r="X241" s="15">
        <v>298.5</v>
      </c>
      <c r="Y241" s="17">
        <v>289</v>
      </c>
      <c r="Z241" s="17">
        <v>466.5</v>
      </c>
      <c r="AA241" s="17">
        <v>5061</v>
      </c>
      <c r="AB241" s="12">
        <v>478</v>
      </c>
    </row>
    <row r="242" ht="14.25" spans="1:28">
      <c r="A242" s="13">
        <v>240</v>
      </c>
      <c r="B242" s="15">
        <v>5</v>
      </c>
      <c r="C242" s="16">
        <v>37</v>
      </c>
      <c r="D242" s="17" t="s">
        <v>493</v>
      </c>
      <c r="E242" s="17" t="s">
        <v>494</v>
      </c>
      <c r="F242" s="17">
        <v>90.5</v>
      </c>
      <c r="G242" s="17">
        <v>8999</v>
      </c>
      <c r="H242" s="17">
        <v>93.5</v>
      </c>
      <c r="I242" s="17">
        <v>5060</v>
      </c>
      <c r="J242" s="17">
        <v>79</v>
      </c>
      <c r="K242" s="17">
        <v>8048</v>
      </c>
      <c r="L242" s="17">
        <v>38</v>
      </c>
      <c r="M242" s="17">
        <v>6823</v>
      </c>
      <c r="N242" s="17"/>
      <c r="O242" s="17"/>
      <c r="P242" s="17">
        <v>66</v>
      </c>
      <c r="Q242" s="17">
        <v>6766</v>
      </c>
      <c r="R242" s="17"/>
      <c r="S242" s="17"/>
      <c r="T242" s="17"/>
      <c r="U242" s="17"/>
      <c r="V242" s="17">
        <v>72</v>
      </c>
      <c r="W242" s="17">
        <v>2049</v>
      </c>
      <c r="X242" s="15">
        <v>263</v>
      </c>
      <c r="Y242" s="17">
        <v>569</v>
      </c>
      <c r="Z242" s="17">
        <v>439</v>
      </c>
      <c r="AA242" s="17">
        <v>6886</v>
      </c>
      <c r="AB242" s="12">
        <v>572</v>
      </c>
    </row>
    <row r="243" ht="14.25" spans="1:28">
      <c r="A243" s="13">
        <v>241</v>
      </c>
      <c r="B243" s="15">
        <v>5</v>
      </c>
      <c r="C243" s="16">
        <v>38</v>
      </c>
      <c r="D243" s="17" t="s">
        <v>495</v>
      </c>
      <c r="E243" s="17" t="s">
        <v>496</v>
      </c>
      <c r="F243" s="17">
        <v>90.5</v>
      </c>
      <c r="G243" s="17">
        <v>8999</v>
      </c>
      <c r="H243" s="17">
        <v>88</v>
      </c>
      <c r="I243" s="17">
        <v>6299</v>
      </c>
      <c r="J243" s="17">
        <v>93.5</v>
      </c>
      <c r="K243" s="17">
        <v>4431</v>
      </c>
      <c r="L243" s="17">
        <v>49</v>
      </c>
      <c r="M243" s="17">
        <v>4146</v>
      </c>
      <c r="N243" s="17"/>
      <c r="O243" s="17"/>
      <c r="P243" s="17">
        <v>80</v>
      </c>
      <c r="Q243" s="17">
        <v>2333</v>
      </c>
      <c r="R243" s="17"/>
      <c r="S243" s="17"/>
      <c r="T243" s="17"/>
      <c r="U243" s="17"/>
      <c r="V243" s="17">
        <v>86</v>
      </c>
      <c r="W243" s="17">
        <v>439</v>
      </c>
      <c r="X243" s="15">
        <v>272</v>
      </c>
      <c r="Y243" s="17">
        <v>514</v>
      </c>
      <c r="Z243" s="17">
        <v>487</v>
      </c>
      <c r="AA243" s="17">
        <v>3895</v>
      </c>
      <c r="AB243" s="12">
        <v>390</v>
      </c>
    </row>
    <row r="244" ht="14.25" spans="1:28">
      <c r="A244" s="13">
        <v>242</v>
      </c>
      <c r="B244" s="15">
        <v>5</v>
      </c>
      <c r="C244" s="16">
        <v>39</v>
      </c>
      <c r="D244" s="17" t="s">
        <v>497</v>
      </c>
      <c r="E244" s="17" t="s">
        <v>498</v>
      </c>
      <c r="F244" s="17">
        <v>90.5</v>
      </c>
      <c r="G244" s="17">
        <v>8999</v>
      </c>
      <c r="H244" s="17">
        <v>103</v>
      </c>
      <c r="I244" s="17">
        <v>3209</v>
      </c>
      <c r="J244" s="17">
        <v>98</v>
      </c>
      <c r="K244" s="17">
        <v>3454</v>
      </c>
      <c r="L244" s="17">
        <v>81.5</v>
      </c>
      <c r="M244" s="17">
        <v>98</v>
      </c>
      <c r="N244" s="17"/>
      <c r="O244" s="17"/>
      <c r="P244" s="17">
        <v>58</v>
      </c>
      <c r="Q244" s="17">
        <v>9299</v>
      </c>
      <c r="R244" s="17"/>
      <c r="S244" s="17"/>
      <c r="T244" s="17"/>
      <c r="U244" s="17"/>
      <c r="V244" s="17">
        <v>87</v>
      </c>
      <c r="W244" s="17">
        <v>273</v>
      </c>
      <c r="X244" s="15">
        <v>291.5</v>
      </c>
      <c r="Y244" s="17">
        <v>357</v>
      </c>
      <c r="Z244" s="17">
        <v>518</v>
      </c>
      <c r="AA244" s="17">
        <v>2415</v>
      </c>
      <c r="AB244" s="12">
        <v>226</v>
      </c>
    </row>
    <row r="245" ht="14.25" spans="1:28">
      <c r="A245" s="13">
        <v>243</v>
      </c>
      <c r="B245" s="15">
        <v>5</v>
      </c>
      <c r="C245" s="16">
        <v>40</v>
      </c>
      <c r="D245" s="17" t="s">
        <v>499</v>
      </c>
      <c r="E245" s="17" t="s">
        <v>500</v>
      </c>
      <c r="F245" s="17">
        <v>103</v>
      </c>
      <c r="G245" s="17">
        <v>2094</v>
      </c>
      <c r="H245" s="17">
        <v>97.5</v>
      </c>
      <c r="I245" s="17">
        <v>4244</v>
      </c>
      <c r="J245" s="17">
        <v>112</v>
      </c>
      <c r="K245" s="17">
        <v>1229</v>
      </c>
      <c r="L245" s="17">
        <v>44</v>
      </c>
      <c r="M245" s="17">
        <v>5222</v>
      </c>
      <c r="N245" s="17"/>
      <c r="O245" s="17"/>
      <c r="P245" s="17">
        <v>77</v>
      </c>
      <c r="Q245" s="17">
        <v>3207</v>
      </c>
      <c r="R245" s="17"/>
      <c r="S245" s="17"/>
      <c r="T245" s="17"/>
      <c r="U245" s="17"/>
      <c r="V245" s="17">
        <v>82</v>
      </c>
      <c r="W245" s="17">
        <v>723</v>
      </c>
      <c r="X245" s="15">
        <v>312.5</v>
      </c>
      <c r="Y245" s="17">
        <v>168</v>
      </c>
      <c r="Z245" s="17">
        <v>515.5</v>
      </c>
      <c r="AA245" s="17">
        <v>2526</v>
      </c>
      <c r="AB245" s="12">
        <v>243</v>
      </c>
    </row>
    <row r="246" ht="14.25" spans="1:28">
      <c r="A246" s="13">
        <v>244</v>
      </c>
      <c r="B246" s="15">
        <v>5</v>
      </c>
      <c r="C246" s="16">
        <v>41</v>
      </c>
      <c r="D246" s="17" t="s">
        <v>501</v>
      </c>
      <c r="E246" s="17" t="s">
        <v>502</v>
      </c>
      <c r="F246" s="17">
        <v>101</v>
      </c>
      <c r="G246" s="17">
        <v>2896</v>
      </c>
      <c r="H246" s="17">
        <v>91</v>
      </c>
      <c r="I246" s="17">
        <v>5638</v>
      </c>
      <c r="J246" s="17">
        <v>91</v>
      </c>
      <c r="K246" s="17">
        <v>5010</v>
      </c>
      <c r="L246" s="17">
        <v>40.5</v>
      </c>
      <c r="M246" s="17">
        <v>6131</v>
      </c>
      <c r="N246" s="17"/>
      <c r="O246" s="17"/>
      <c r="P246" s="17">
        <v>79</v>
      </c>
      <c r="Q246" s="17">
        <v>2632</v>
      </c>
      <c r="R246" s="17"/>
      <c r="S246" s="17"/>
      <c r="T246" s="17"/>
      <c r="U246" s="17"/>
      <c r="V246" s="17">
        <v>65</v>
      </c>
      <c r="W246" s="17">
        <v>2935</v>
      </c>
      <c r="X246" s="15">
        <v>283</v>
      </c>
      <c r="Y246" s="17">
        <v>420</v>
      </c>
      <c r="Z246" s="17">
        <v>467.5</v>
      </c>
      <c r="AA246" s="17">
        <v>5000</v>
      </c>
      <c r="AB246" s="12">
        <v>470</v>
      </c>
    </row>
    <row r="247" ht="14.25" spans="1:28">
      <c r="A247" s="13">
        <v>245</v>
      </c>
      <c r="B247" s="15">
        <v>5</v>
      </c>
      <c r="C247" s="16">
        <v>42</v>
      </c>
      <c r="D247" s="17" t="s">
        <v>503</v>
      </c>
      <c r="E247" s="17" t="s">
        <v>288</v>
      </c>
      <c r="F247" s="17">
        <v>93.5</v>
      </c>
      <c r="G247" s="17">
        <v>7127</v>
      </c>
      <c r="H247" s="17">
        <v>108.25</v>
      </c>
      <c r="I247" s="17">
        <v>2273</v>
      </c>
      <c r="J247" s="17">
        <v>81.75</v>
      </c>
      <c r="K247" s="17">
        <v>7350</v>
      </c>
      <c r="L247" s="17">
        <v>45.5</v>
      </c>
      <c r="M247" s="17">
        <v>4898</v>
      </c>
      <c r="N247" s="17"/>
      <c r="O247" s="17"/>
      <c r="P247" s="17">
        <v>82</v>
      </c>
      <c r="Q247" s="17">
        <v>1870</v>
      </c>
      <c r="R247" s="17"/>
      <c r="S247" s="17"/>
      <c r="T247" s="17"/>
      <c r="U247" s="17"/>
      <c r="V247" s="17">
        <v>74</v>
      </c>
      <c r="W247" s="17">
        <v>1732</v>
      </c>
      <c r="X247" s="15">
        <v>283.5</v>
      </c>
      <c r="Y247" s="17">
        <v>412</v>
      </c>
      <c r="Z247" s="17">
        <v>485</v>
      </c>
      <c r="AA247" s="17">
        <v>3985</v>
      </c>
      <c r="AB247" s="12">
        <v>398</v>
      </c>
    </row>
    <row r="248" ht="14.25" spans="1:28">
      <c r="A248" s="13">
        <v>246</v>
      </c>
      <c r="B248" s="15">
        <v>5</v>
      </c>
      <c r="C248" s="16">
        <v>43</v>
      </c>
      <c r="D248" s="17" t="s">
        <v>504</v>
      </c>
      <c r="E248" s="17" t="s">
        <v>505</v>
      </c>
      <c r="F248" s="17">
        <v>97</v>
      </c>
      <c r="G248" s="17">
        <v>4967</v>
      </c>
      <c r="H248" s="17">
        <v>112.5</v>
      </c>
      <c r="I248" s="17">
        <v>1543</v>
      </c>
      <c r="J248" s="17">
        <v>96</v>
      </c>
      <c r="K248" s="17">
        <v>3851</v>
      </c>
      <c r="L248" s="17">
        <v>53</v>
      </c>
      <c r="M248" s="17">
        <v>3368</v>
      </c>
      <c r="N248" s="17"/>
      <c r="O248" s="17"/>
      <c r="P248" s="17">
        <v>80</v>
      </c>
      <c r="Q248" s="17">
        <v>2333</v>
      </c>
      <c r="R248" s="17"/>
      <c r="S248" s="17"/>
      <c r="T248" s="17"/>
      <c r="U248" s="17"/>
      <c r="V248" s="17">
        <v>87</v>
      </c>
      <c r="W248" s="17">
        <v>273</v>
      </c>
      <c r="X248" s="15">
        <v>305.5</v>
      </c>
      <c r="Y248" s="17">
        <v>233</v>
      </c>
      <c r="Z248" s="17">
        <v>525.5</v>
      </c>
      <c r="AA248" s="17">
        <v>2118</v>
      </c>
      <c r="AB248" s="12">
        <v>181</v>
      </c>
    </row>
    <row r="249" ht="14.25" spans="1:28">
      <c r="A249" s="13">
        <v>247</v>
      </c>
      <c r="B249" s="15">
        <v>5</v>
      </c>
      <c r="C249" s="16">
        <v>44</v>
      </c>
      <c r="D249" s="17" t="s">
        <v>506</v>
      </c>
      <c r="E249" s="17" t="s">
        <v>507</v>
      </c>
      <c r="F249" s="17">
        <v>101</v>
      </c>
      <c r="G249" s="17">
        <v>2896</v>
      </c>
      <c r="H249" s="17">
        <v>115</v>
      </c>
      <c r="I249" s="17">
        <v>1213</v>
      </c>
      <c r="J249" s="17">
        <v>94.75</v>
      </c>
      <c r="K249" s="17">
        <v>4171</v>
      </c>
      <c r="L249" s="17">
        <v>38.5</v>
      </c>
      <c r="M249" s="17">
        <v>6692</v>
      </c>
      <c r="N249" s="17"/>
      <c r="O249" s="17"/>
      <c r="P249" s="17">
        <v>75</v>
      </c>
      <c r="Q249" s="17">
        <v>3841</v>
      </c>
      <c r="R249" s="17"/>
      <c r="S249" s="17"/>
      <c r="T249" s="17"/>
      <c r="U249" s="17"/>
      <c r="V249" s="17">
        <v>73</v>
      </c>
      <c r="W249" s="17">
        <v>1853</v>
      </c>
      <c r="X249" s="15">
        <v>310.75</v>
      </c>
      <c r="Y249" s="17">
        <v>183</v>
      </c>
      <c r="Z249" s="17">
        <v>497.25</v>
      </c>
      <c r="AA249" s="17">
        <v>3373</v>
      </c>
      <c r="AB249" s="12">
        <v>344</v>
      </c>
    </row>
    <row r="250" ht="14.25" spans="1:28">
      <c r="A250" s="13">
        <v>248</v>
      </c>
      <c r="B250" s="15">
        <v>5</v>
      </c>
      <c r="C250" s="16">
        <v>45</v>
      </c>
      <c r="D250" s="17" t="s">
        <v>508</v>
      </c>
      <c r="E250" s="17" t="s">
        <v>362</v>
      </c>
      <c r="F250" s="17">
        <v>91</v>
      </c>
      <c r="G250" s="17">
        <v>8620</v>
      </c>
      <c r="H250" s="17">
        <v>89.5</v>
      </c>
      <c r="I250" s="17">
        <v>5946</v>
      </c>
      <c r="J250" s="17">
        <v>82.75</v>
      </c>
      <c r="K250" s="17">
        <v>7077</v>
      </c>
      <c r="L250" s="17">
        <v>48</v>
      </c>
      <c r="M250" s="17">
        <v>4355</v>
      </c>
      <c r="N250" s="17"/>
      <c r="O250" s="17"/>
      <c r="P250" s="17">
        <v>62</v>
      </c>
      <c r="Q250" s="17">
        <v>8021</v>
      </c>
      <c r="R250" s="17"/>
      <c r="S250" s="17"/>
      <c r="T250" s="17"/>
      <c r="U250" s="17"/>
      <c r="V250" s="17">
        <v>85</v>
      </c>
      <c r="W250" s="17">
        <v>530</v>
      </c>
      <c r="X250" s="15">
        <v>263.25</v>
      </c>
      <c r="Y250" s="17">
        <v>568</v>
      </c>
      <c r="Z250" s="17">
        <v>458.25</v>
      </c>
      <c r="AA250" s="17">
        <v>5578</v>
      </c>
      <c r="AB250" s="12">
        <v>516</v>
      </c>
    </row>
    <row r="251" ht="14.25" spans="1:28">
      <c r="A251" s="13">
        <v>249</v>
      </c>
      <c r="B251" s="15">
        <v>5</v>
      </c>
      <c r="C251" s="16">
        <v>47</v>
      </c>
      <c r="D251" s="17" t="s">
        <v>509</v>
      </c>
      <c r="E251" s="17" t="s">
        <v>510</v>
      </c>
      <c r="F251" s="17">
        <v>99</v>
      </c>
      <c r="G251" s="17">
        <v>3868</v>
      </c>
      <c r="H251" s="17">
        <v>95.5</v>
      </c>
      <c r="I251" s="17">
        <v>4650</v>
      </c>
      <c r="J251" s="17">
        <v>81.5</v>
      </c>
      <c r="K251" s="17">
        <v>7394</v>
      </c>
      <c r="L251" s="17">
        <v>48</v>
      </c>
      <c r="M251" s="17">
        <v>4355</v>
      </c>
      <c r="N251" s="17"/>
      <c r="O251" s="17"/>
      <c r="P251" s="17">
        <v>80</v>
      </c>
      <c r="Q251" s="17">
        <v>2333</v>
      </c>
      <c r="R251" s="17"/>
      <c r="S251" s="17"/>
      <c r="T251" s="17"/>
      <c r="U251" s="17"/>
      <c r="V251" s="17">
        <v>90</v>
      </c>
      <c r="W251" s="17">
        <v>44</v>
      </c>
      <c r="X251" s="15">
        <v>276</v>
      </c>
      <c r="Y251" s="17">
        <v>490</v>
      </c>
      <c r="Z251" s="17">
        <v>494</v>
      </c>
      <c r="AA251" s="17">
        <v>3564</v>
      </c>
      <c r="AB251" s="12">
        <v>357</v>
      </c>
    </row>
    <row r="252" ht="14.25" spans="1:28">
      <c r="A252" s="13">
        <v>250</v>
      </c>
      <c r="B252" s="15">
        <v>5</v>
      </c>
      <c r="C252" s="16">
        <v>48</v>
      </c>
      <c r="D252" s="17" t="s">
        <v>511</v>
      </c>
      <c r="E252" s="17" t="s">
        <v>512</v>
      </c>
      <c r="F252" s="17">
        <v>86.25</v>
      </c>
      <c r="G252" s="17">
        <v>11768</v>
      </c>
      <c r="H252" s="17">
        <v>104</v>
      </c>
      <c r="I252" s="17">
        <v>2999</v>
      </c>
      <c r="J252" s="17">
        <v>104.25</v>
      </c>
      <c r="K252" s="17">
        <v>2330</v>
      </c>
      <c r="L252" s="17">
        <v>37</v>
      </c>
      <c r="M252" s="17">
        <v>7118</v>
      </c>
      <c r="N252" s="17"/>
      <c r="O252" s="17"/>
      <c r="P252" s="17">
        <v>73</v>
      </c>
      <c r="Q252" s="17">
        <v>4501</v>
      </c>
      <c r="R252" s="17"/>
      <c r="S252" s="17"/>
      <c r="T252" s="17"/>
      <c r="U252" s="17"/>
      <c r="V252" s="17">
        <v>89</v>
      </c>
      <c r="W252" s="17">
        <v>100</v>
      </c>
      <c r="X252" s="15">
        <v>294.5</v>
      </c>
      <c r="Y252" s="17">
        <v>321</v>
      </c>
      <c r="Z252" s="17">
        <v>493.5</v>
      </c>
      <c r="AA252" s="17">
        <v>3583</v>
      </c>
      <c r="AB252" s="12">
        <v>358</v>
      </c>
    </row>
    <row r="253" ht="14.25" spans="1:28">
      <c r="A253" s="13">
        <v>251</v>
      </c>
      <c r="B253" s="15">
        <v>5</v>
      </c>
      <c r="C253" s="16">
        <v>49</v>
      </c>
      <c r="D253" s="17" t="s">
        <v>513</v>
      </c>
      <c r="E253" s="17" t="s">
        <v>514</v>
      </c>
      <c r="F253" s="17">
        <v>102</v>
      </c>
      <c r="G253" s="17">
        <v>2480</v>
      </c>
      <c r="H253" s="17">
        <v>97</v>
      </c>
      <c r="I253" s="17">
        <v>4348</v>
      </c>
      <c r="J253" s="17">
        <v>115.5</v>
      </c>
      <c r="K253" s="17">
        <v>849</v>
      </c>
      <c r="L253" s="17">
        <v>77.5</v>
      </c>
      <c r="M253" s="17">
        <v>279</v>
      </c>
      <c r="N253" s="17"/>
      <c r="O253" s="17"/>
      <c r="P253" s="17">
        <v>80</v>
      </c>
      <c r="Q253" s="17">
        <v>2333</v>
      </c>
      <c r="R253" s="17"/>
      <c r="S253" s="17"/>
      <c r="T253" s="17"/>
      <c r="U253" s="17"/>
      <c r="V253" s="17">
        <v>77</v>
      </c>
      <c r="W253" s="17">
        <v>1318</v>
      </c>
      <c r="X253" s="15">
        <v>314.5</v>
      </c>
      <c r="Y253" s="17">
        <v>152</v>
      </c>
      <c r="Z253" s="17">
        <v>549</v>
      </c>
      <c r="AA253" s="17">
        <v>1327</v>
      </c>
      <c r="AB253" s="12">
        <v>101</v>
      </c>
    </row>
    <row r="254" ht="14.25" spans="1:28">
      <c r="A254" s="13">
        <v>252</v>
      </c>
      <c r="B254" s="15">
        <v>6</v>
      </c>
      <c r="C254" s="16">
        <v>3</v>
      </c>
      <c r="D254" s="17" t="s">
        <v>515</v>
      </c>
      <c r="E254" s="17" t="s">
        <v>516</v>
      </c>
      <c r="F254" s="17">
        <v>100.5</v>
      </c>
      <c r="G254" s="17">
        <v>3131</v>
      </c>
      <c r="H254" s="17">
        <v>82.5</v>
      </c>
      <c r="I254" s="17">
        <v>7529</v>
      </c>
      <c r="J254" s="17">
        <v>73</v>
      </c>
      <c r="K254" s="17">
        <v>9622</v>
      </c>
      <c r="L254" s="17">
        <v>37.5</v>
      </c>
      <c r="M254" s="17">
        <v>6979</v>
      </c>
      <c r="N254" s="17"/>
      <c r="O254" s="17"/>
      <c r="P254" s="17"/>
      <c r="Q254" s="17"/>
      <c r="R254" s="17">
        <v>75</v>
      </c>
      <c r="S254" s="17">
        <v>3790</v>
      </c>
      <c r="T254" s="17"/>
      <c r="U254" s="17"/>
      <c r="V254" s="17">
        <v>84</v>
      </c>
      <c r="W254" s="17">
        <v>588</v>
      </c>
      <c r="X254" s="15">
        <v>256</v>
      </c>
      <c r="Y254" s="17">
        <v>593</v>
      </c>
      <c r="Z254" s="17">
        <v>452.5</v>
      </c>
      <c r="AA254" s="17">
        <v>5957</v>
      </c>
      <c r="AB254" s="12">
        <v>536</v>
      </c>
    </row>
    <row r="255" ht="14.25" spans="1:28">
      <c r="A255" s="13">
        <v>253</v>
      </c>
      <c r="B255" s="15">
        <v>6</v>
      </c>
      <c r="C255" s="16">
        <v>4</v>
      </c>
      <c r="D255" s="17" t="s">
        <v>517</v>
      </c>
      <c r="E255" s="17" t="s">
        <v>518</v>
      </c>
      <c r="F255" s="17">
        <v>86.5</v>
      </c>
      <c r="G255" s="17">
        <v>11527</v>
      </c>
      <c r="H255" s="17">
        <v>87.5</v>
      </c>
      <c r="I255" s="17">
        <v>6415</v>
      </c>
      <c r="J255" s="17">
        <v>104.5</v>
      </c>
      <c r="K255" s="17">
        <v>2265</v>
      </c>
      <c r="L255" s="17">
        <v>40.5</v>
      </c>
      <c r="M255" s="17">
        <v>6131</v>
      </c>
      <c r="N255" s="17"/>
      <c r="O255" s="17"/>
      <c r="P255" s="17"/>
      <c r="Q255" s="17"/>
      <c r="R255" s="17">
        <v>82</v>
      </c>
      <c r="S255" s="17">
        <v>1915</v>
      </c>
      <c r="T255" s="17"/>
      <c r="U255" s="17"/>
      <c r="V255" s="17">
        <v>76</v>
      </c>
      <c r="W255" s="17">
        <v>1407</v>
      </c>
      <c r="X255" s="15">
        <v>278.5</v>
      </c>
      <c r="Y255" s="17">
        <v>462</v>
      </c>
      <c r="Z255" s="17">
        <v>477</v>
      </c>
      <c r="AA255" s="17">
        <v>4436</v>
      </c>
      <c r="AB255" s="12">
        <v>430</v>
      </c>
    </row>
    <row r="256" ht="14.25" spans="1:28">
      <c r="A256" s="13">
        <v>254</v>
      </c>
      <c r="B256" s="15">
        <v>6</v>
      </c>
      <c r="C256" s="16">
        <v>5</v>
      </c>
      <c r="D256" s="17" t="s">
        <v>519</v>
      </c>
      <c r="E256" s="17" t="s">
        <v>520</v>
      </c>
      <c r="F256" s="17">
        <v>100</v>
      </c>
      <c r="G256" s="17">
        <v>3368</v>
      </c>
      <c r="H256" s="17">
        <v>90</v>
      </c>
      <c r="I256" s="17">
        <v>5850</v>
      </c>
      <c r="J256" s="17">
        <v>90.5</v>
      </c>
      <c r="K256" s="17">
        <v>5135</v>
      </c>
      <c r="L256" s="17">
        <v>61</v>
      </c>
      <c r="M256" s="17">
        <v>2008</v>
      </c>
      <c r="N256" s="17"/>
      <c r="O256" s="17"/>
      <c r="P256" s="17"/>
      <c r="Q256" s="17"/>
      <c r="R256" s="17">
        <v>84</v>
      </c>
      <c r="S256" s="17">
        <v>1490</v>
      </c>
      <c r="T256" s="17"/>
      <c r="U256" s="17"/>
      <c r="V256" s="17">
        <v>87</v>
      </c>
      <c r="W256" s="17">
        <v>273</v>
      </c>
      <c r="X256" s="15">
        <v>280.5</v>
      </c>
      <c r="Y256" s="17">
        <v>443</v>
      </c>
      <c r="Z256" s="17">
        <v>512.5</v>
      </c>
      <c r="AA256" s="17">
        <v>2652</v>
      </c>
      <c r="AB256" s="12">
        <v>260</v>
      </c>
    </row>
    <row r="257" ht="14.25" spans="1:28">
      <c r="A257" s="13">
        <v>255</v>
      </c>
      <c r="B257" s="15">
        <v>6</v>
      </c>
      <c r="C257" s="16">
        <v>6</v>
      </c>
      <c r="D257" s="17" t="s">
        <v>521</v>
      </c>
      <c r="E257" s="17" t="s">
        <v>522</v>
      </c>
      <c r="F257" s="17">
        <v>102.5</v>
      </c>
      <c r="G257" s="17">
        <v>2274</v>
      </c>
      <c r="H257" s="17">
        <v>55</v>
      </c>
      <c r="I257" s="17">
        <v>12703</v>
      </c>
      <c r="J257" s="17">
        <v>101.75</v>
      </c>
      <c r="K257" s="17">
        <v>2754</v>
      </c>
      <c r="L257" s="17">
        <v>34</v>
      </c>
      <c r="M257" s="17">
        <v>8051</v>
      </c>
      <c r="N257" s="17"/>
      <c r="O257" s="17"/>
      <c r="P257" s="17"/>
      <c r="Q257" s="17"/>
      <c r="R257" s="17">
        <v>79</v>
      </c>
      <c r="S257" s="17">
        <v>2629</v>
      </c>
      <c r="T257" s="17"/>
      <c r="U257" s="17"/>
      <c r="V257" s="17">
        <v>77</v>
      </c>
      <c r="W257" s="17">
        <v>1318</v>
      </c>
      <c r="X257" s="15">
        <v>259.25</v>
      </c>
      <c r="Y257" s="17">
        <v>584</v>
      </c>
      <c r="Z257" s="17">
        <v>449.25</v>
      </c>
      <c r="AA257" s="17">
        <v>6185</v>
      </c>
      <c r="AB257" s="12">
        <v>542</v>
      </c>
    </row>
    <row r="258" ht="14.25" spans="1:28">
      <c r="A258" s="13">
        <v>256</v>
      </c>
      <c r="B258" s="15">
        <v>6</v>
      </c>
      <c r="C258" s="16">
        <v>7</v>
      </c>
      <c r="D258" s="17" t="s">
        <v>523</v>
      </c>
      <c r="E258" s="17" t="s">
        <v>524</v>
      </c>
      <c r="F258" s="17">
        <v>102.5</v>
      </c>
      <c r="G258" s="17">
        <v>2274</v>
      </c>
      <c r="H258" s="17">
        <v>95</v>
      </c>
      <c r="I258" s="17">
        <v>4735</v>
      </c>
      <c r="J258" s="17">
        <v>105.75</v>
      </c>
      <c r="K258" s="17">
        <v>2077</v>
      </c>
      <c r="L258" s="17">
        <v>33</v>
      </c>
      <c r="M258" s="17">
        <v>8387</v>
      </c>
      <c r="N258" s="17"/>
      <c r="O258" s="17"/>
      <c r="P258" s="17"/>
      <c r="Q258" s="17"/>
      <c r="R258" s="17">
        <v>76</v>
      </c>
      <c r="S258" s="17">
        <v>3491</v>
      </c>
      <c r="T258" s="17"/>
      <c r="U258" s="17"/>
      <c r="V258" s="17">
        <v>76</v>
      </c>
      <c r="W258" s="17">
        <v>1407</v>
      </c>
      <c r="X258" s="15">
        <v>303.25</v>
      </c>
      <c r="Y258" s="17">
        <v>249</v>
      </c>
      <c r="Z258" s="17">
        <v>488.25</v>
      </c>
      <c r="AA258" s="17">
        <v>3834</v>
      </c>
      <c r="AB258" s="12">
        <v>385</v>
      </c>
    </row>
    <row r="259" ht="14.25" spans="1:28">
      <c r="A259" s="13">
        <v>257</v>
      </c>
      <c r="B259" s="15">
        <v>6</v>
      </c>
      <c r="C259" s="16">
        <v>8</v>
      </c>
      <c r="D259" s="17" t="s">
        <v>525</v>
      </c>
      <c r="E259" s="17" t="s">
        <v>526</v>
      </c>
      <c r="F259" s="17">
        <v>83.5</v>
      </c>
      <c r="G259" s="17">
        <v>13160</v>
      </c>
      <c r="H259" s="17">
        <v>80.5</v>
      </c>
      <c r="I259" s="17">
        <v>7938</v>
      </c>
      <c r="J259" s="17">
        <v>101.25</v>
      </c>
      <c r="K259" s="17">
        <v>2839</v>
      </c>
      <c r="L259" s="17">
        <v>28.5</v>
      </c>
      <c r="M259" s="17">
        <v>10084</v>
      </c>
      <c r="N259" s="17"/>
      <c r="O259" s="17"/>
      <c r="P259" s="17"/>
      <c r="Q259" s="17"/>
      <c r="R259" s="17">
        <v>77</v>
      </c>
      <c r="S259" s="17">
        <v>3183</v>
      </c>
      <c r="T259" s="17"/>
      <c r="U259" s="17"/>
      <c r="V259" s="17">
        <v>74</v>
      </c>
      <c r="W259" s="17">
        <v>1732</v>
      </c>
      <c r="X259" s="15">
        <v>265.25</v>
      </c>
      <c r="Y259" s="17">
        <v>553</v>
      </c>
      <c r="Z259" s="17">
        <v>444.75</v>
      </c>
      <c r="AA259" s="17">
        <v>6478</v>
      </c>
      <c r="AB259" s="12">
        <v>554</v>
      </c>
    </row>
    <row r="260" ht="14.25" spans="1:28">
      <c r="A260" s="13">
        <v>258</v>
      </c>
      <c r="B260" s="15">
        <v>6</v>
      </c>
      <c r="C260" s="16">
        <v>9</v>
      </c>
      <c r="D260" s="17" t="s">
        <v>527</v>
      </c>
      <c r="E260" s="17" t="s">
        <v>528</v>
      </c>
      <c r="F260" s="17">
        <v>91.5</v>
      </c>
      <c r="G260" s="17">
        <v>8306</v>
      </c>
      <c r="H260" s="17">
        <v>89.5</v>
      </c>
      <c r="I260" s="17">
        <v>5946</v>
      </c>
      <c r="J260" s="17">
        <v>84.75</v>
      </c>
      <c r="K260" s="17">
        <v>6579</v>
      </c>
      <c r="L260" s="17">
        <v>40.5</v>
      </c>
      <c r="M260" s="17">
        <v>6131</v>
      </c>
      <c r="N260" s="17"/>
      <c r="O260" s="17"/>
      <c r="P260" s="17"/>
      <c r="Q260" s="17"/>
      <c r="R260" s="17">
        <v>67</v>
      </c>
      <c r="S260" s="17">
        <v>6298</v>
      </c>
      <c r="T260" s="17"/>
      <c r="U260" s="17"/>
      <c r="V260" s="17">
        <v>63</v>
      </c>
      <c r="W260" s="17">
        <v>3260</v>
      </c>
      <c r="X260" s="15">
        <v>265.75</v>
      </c>
      <c r="Y260" s="17">
        <v>551</v>
      </c>
      <c r="Z260" s="17">
        <v>436.25</v>
      </c>
      <c r="AA260" s="17">
        <v>7085</v>
      </c>
      <c r="AB260" s="12">
        <v>581</v>
      </c>
    </row>
    <row r="261" ht="14.25" spans="1:28">
      <c r="A261" s="13">
        <v>259</v>
      </c>
      <c r="B261" s="15">
        <v>6</v>
      </c>
      <c r="C261" s="16">
        <v>10</v>
      </c>
      <c r="D261" s="17" t="s">
        <v>529</v>
      </c>
      <c r="E261" s="17" t="s">
        <v>530</v>
      </c>
      <c r="F261" s="17">
        <v>91</v>
      </c>
      <c r="G261" s="17">
        <v>8620</v>
      </c>
      <c r="H261" s="17">
        <v>80</v>
      </c>
      <c r="I261" s="17">
        <v>8038</v>
      </c>
      <c r="J261" s="17">
        <v>56</v>
      </c>
      <c r="K261" s="17">
        <v>13140</v>
      </c>
      <c r="L261" s="17">
        <v>47</v>
      </c>
      <c r="M261" s="17">
        <v>4568</v>
      </c>
      <c r="N261" s="17"/>
      <c r="O261" s="17"/>
      <c r="P261" s="17"/>
      <c r="Q261" s="17"/>
      <c r="R261" s="17">
        <v>72</v>
      </c>
      <c r="S261" s="17">
        <v>4793</v>
      </c>
      <c r="T261" s="17"/>
      <c r="U261" s="17"/>
      <c r="V261" s="17">
        <v>46</v>
      </c>
      <c r="W261" s="17">
        <v>4943</v>
      </c>
      <c r="X261" s="15">
        <v>227</v>
      </c>
      <c r="Y261" s="17">
        <v>649</v>
      </c>
      <c r="Z261" s="17">
        <v>392</v>
      </c>
      <c r="AA261" s="17">
        <v>10200</v>
      </c>
      <c r="AB261" s="12">
        <v>641</v>
      </c>
    </row>
    <row r="262" ht="14.25" spans="1:28">
      <c r="A262" s="13">
        <v>260</v>
      </c>
      <c r="B262" s="15">
        <v>6</v>
      </c>
      <c r="C262" s="16">
        <v>12</v>
      </c>
      <c r="D262" s="17" t="s">
        <v>531</v>
      </c>
      <c r="E262" s="17" t="s">
        <v>532</v>
      </c>
      <c r="F262" s="17">
        <v>101</v>
      </c>
      <c r="G262" s="17">
        <v>2896</v>
      </c>
      <c r="H262" s="17">
        <v>87</v>
      </c>
      <c r="I262" s="17">
        <v>6532</v>
      </c>
      <c r="J262" s="17">
        <v>108.25</v>
      </c>
      <c r="K262" s="17">
        <v>1690</v>
      </c>
      <c r="L262" s="17">
        <v>46.5</v>
      </c>
      <c r="M262" s="17">
        <v>4690</v>
      </c>
      <c r="N262" s="17"/>
      <c r="O262" s="17"/>
      <c r="P262" s="17"/>
      <c r="Q262" s="17"/>
      <c r="R262" s="17">
        <v>76</v>
      </c>
      <c r="S262" s="17">
        <v>3491</v>
      </c>
      <c r="T262" s="17"/>
      <c r="U262" s="17"/>
      <c r="V262" s="17">
        <v>73</v>
      </c>
      <c r="W262" s="17">
        <v>1853</v>
      </c>
      <c r="X262" s="15">
        <v>296.25</v>
      </c>
      <c r="Y262" s="17">
        <v>305</v>
      </c>
      <c r="Z262" s="17">
        <v>491.75</v>
      </c>
      <c r="AA262" s="17">
        <v>3657</v>
      </c>
      <c r="AB262" s="12">
        <v>366</v>
      </c>
    </row>
    <row r="263" ht="14.25" spans="1:28">
      <c r="A263" s="13">
        <v>261</v>
      </c>
      <c r="B263" s="15">
        <v>6</v>
      </c>
      <c r="C263" s="16">
        <v>13</v>
      </c>
      <c r="D263" s="17" t="s">
        <v>533</v>
      </c>
      <c r="E263" s="17" t="s">
        <v>534</v>
      </c>
      <c r="F263" s="17">
        <v>103</v>
      </c>
      <c r="G263" s="17">
        <v>2094</v>
      </c>
      <c r="H263" s="17">
        <v>91</v>
      </c>
      <c r="I263" s="17">
        <v>5638</v>
      </c>
      <c r="J263" s="17">
        <v>115.5</v>
      </c>
      <c r="K263" s="17">
        <v>849</v>
      </c>
      <c r="L263" s="17">
        <v>53.5</v>
      </c>
      <c r="M263" s="17">
        <v>3296</v>
      </c>
      <c r="N263" s="17"/>
      <c r="O263" s="17"/>
      <c r="P263" s="17"/>
      <c r="Q263" s="17"/>
      <c r="R263" s="17">
        <v>76</v>
      </c>
      <c r="S263" s="17">
        <v>3491</v>
      </c>
      <c r="T263" s="17"/>
      <c r="U263" s="17"/>
      <c r="V263" s="17">
        <v>86</v>
      </c>
      <c r="W263" s="17">
        <v>439</v>
      </c>
      <c r="X263" s="15">
        <v>309.5</v>
      </c>
      <c r="Y263" s="17">
        <v>197</v>
      </c>
      <c r="Z263" s="17">
        <v>525</v>
      </c>
      <c r="AA263" s="17">
        <v>2137</v>
      </c>
      <c r="AB263" s="12">
        <v>186</v>
      </c>
    </row>
    <row r="264" ht="14.25" spans="1:28">
      <c r="A264" s="13">
        <v>262</v>
      </c>
      <c r="B264" s="15">
        <v>6</v>
      </c>
      <c r="C264" s="16">
        <v>14</v>
      </c>
      <c r="D264" s="17" t="s">
        <v>535</v>
      </c>
      <c r="E264" s="17" t="s">
        <v>536</v>
      </c>
      <c r="F264" s="17">
        <v>94.5</v>
      </c>
      <c r="G264" s="17">
        <v>6496</v>
      </c>
      <c r="H264" s="17">
        <v>126</v>
      </c>
      <c r="I264" s="17">
        <v>306</v>
      </c>
      <c r="J264" s="17">
        <v>95</v>
      </c>
      <c r="K264" s="17">
        <v>4092</v>
      </c>
      <c r="L264" s="17">
        <v>66.5</v>
      </c>
      <c r="M264" s="17">
        <v>1237</v>
      </c>
      <c r="N264" s="17"/>
      <c r="O264" s="17"/>
      <c r="P264" s="17"/>
      <c r="Q264" s="17"/>
      <c r="R264" s="17">
        <v>84</v>
      </c>
      <c r="S264" s="17">
        <v>1490</v>
      </c>
      <c r="T264" s="17"/>
      <c r="U264" s="17"/>
      <c r="V264" s="17">
        <v>90</v>
      </c>
      <c r="W264" s="17">
        <v>44</v>
      </c>
      <c r="X264" s="15">
        <v>315.5</v>
      </c>
      <c r="Y264" s="17">
        <v>147</v>
      </c>
      <c r="Z264" s="17">
        <v>556</v>
      </c>
      <c r="AA264" s="17">
        <v>1115</v>
      </c>
      <c r="AB264" s="12">
        <v>81</v>
      </c>
    </row>
    <row r="265" ht="14.25" spans="1:28">
      <c r="A265" s="13">
        <v>263</v>
      </c>
      <c r="B265" s="15">
        <v>6</v>
      </c>
      <c r="C265" s="16">
        <v>15</v>
      </c>
      <c r="D265" s="17" t="s">
        <v>537</v>
      </c>
      <c r="E265" s="17" t="s">
        <v>538</v>
      </c>
      <c r="F265" s="17">
        <v>99.5</v>
      </c>
      <c r="G265" s="17">
        <v>3607</v>
      </c>
      <c r="H265" s="17">
        <v>105.5</v>
      </c>
      <c r="I265" s="17">
        <v>2718</v>
      </c>
      <c r="J265" s="17">
        <v>105.25</v>
      </c>
      <c r="K265" s="17">
        <v>2156</v>
      </c>
      <c r="L265" s="17">
        <v>74.5</v>
      </c>
      <c r="M265" s="17">
        <v>487</v>
      </c>
      <c r="N265" s="17"/>
      <c r="O265" s="17"/>
      <c r="P265" s="17"/>
      <c r="Q265" s="17"/>
      <c r="R265" s="17">
        <v>76</v>
      </c>
      <c r="S265" s="17">
        <v>3491</v>
      </c>
      <c r="T265" s="17"/>
      <c r="U265" s="17"/>
      <c r="V265" s="17">
        <v>88</v>
      </c>
      <c r="W265" s="17">
        <v>165</v>
      </c>
      <c r="X265" s="15">
        <v>310.25</v>
      </c>
      <c r="Y265" s="17">
        <v>189</v>
      </c>
      <c r="Z265" s="17">
        <v>548.75</v>
      </c>
      <c r="AA265" s="17">
        <v>1342</v>
      </c>
      <c r="AB265" s="12">
        <v>103</v>
      </c>
    </row>
    <row r="266" ht="14.25" spans="1:28">
      <c r="A266" s="13">
        <v>264</v>
      </c>
      <c r="B266" s="15">
        <v>6</v>
      </c>
      <c r="C266" s="16">
        <v>16</v>
      </c>
      <c r="D266" s="17" t="s">
        <v>539</v>
      </c>
      <c r="E266" s="17" t="s">
        <v>540</v>
      </c>
      <c r="F266" s="17">
        <v>109.25</v>
      </c>
      <c r="G266" s="17">
        <v>555</v>
      </c>
      <c r="H266" s="17">
        <v>104.5</v>
      </c>
      <c r="I266" s="17">
        <v>2895</v>
      </c>
      <c r="J266" s="17">
        <v>110.25</v>
      </c>
      <c r="K266" s="17">
        <v>1435</v>
      </c>
      <c r="L266" s="17">
        <v>62</v>
      </c>
      <c r="M266" s="17">
        <v>1839</v>
      </c>
      <c r="N266" s="17"/>
      <c r="O266" s="17"/>
      <c r="P266" s="17"/>
      <c r="Q266" s="17"/>
      <c r="R266" s="17">
        <v>86</v>
      </c>
      <c r="S266" s="17">
        <v>1176</v>
      </c>
      <c r="T266" s="17"/>
      <c r="U266" s="17"/>
      <c r="V266" s="17">
        <v>72</v>
      </c>
      <c r="W266" s="17">
        <v>2049</v>
      </c>
      <c r="X266" s="15">
        <v>324</v>
      </c>
      <c r="Y266" s="17">
        <v>92</v>
      </c>
      <c r="Z266" s="17">
        <v>544</v>
      </c>
      <c r="AA266" s="17">
        <v>1487</v>
      </c>
      <c r="AB266" s="12">
        <v>117</v>
      </c>
    </row>
    <row r="267" ht="14.25" spans="1:28">
      <c r="A267" s="13">
        <v>265</v>
      </c>
      <c r="B267" s="15">
        <v>6</v>
      </c>
      <c r="C267" s="16">
        <v>17</v>
      </c>
      <c r="D267" s="17" t="s">
        <v>541</v>
      </c>
      <c r="E267" s="17" t="s">
        <v>542</v>
      </c>
      <c r="F267" s="17">
        <v>91</v>
      </c>
      <c r="G267" s="17">
        <v>8620</v>
      </c>
      <c r="H267" s="17">
        <v>97.5</v>
      </c>
      <c r="I267" s="17">
        <v>4244</v>
      </c>
      <c r="J267" s="17">
        <v>89.5</v>
      </c>
      <c r="K267" s="17">
        <v>5383</v>
      </c>
      <c r="L267" s="17">
        <v>80</v>
      </c>
      <c r="M267" s="17">
        <v>151</v>
      </c>
      <c r="N267" s="17"/>
      <c r="O267" s="17"/>
      <c r="P267" s="17"/>
      <c r="Q267" s="17"/>
      <c r="R267" s="17">
        <v>84</v>
      </c>
      <c r="S267" s="17">
        <v>1490</v>
      </c>
      <c r="T267" s="17"/>
      <c r="U267" s="17"/>
      <c r="V267" s="17">
        <v>80</v>
      </c>
      <c r="W267" s="17">
        <v>938</v>
      </c>
      <c r="X267" s="15">
        <v>278</v>
      </c>
      <c r="Y267" s="17">
        <v>469</v>
      </c>
      <c r="Z267" s="17">
        <v>522</v>
      </c>
      <c r="AA267" s="17">
        <v>2281</v>
      </c>
      <c r="AB267" s="12">
        <v>206</v>
      </c>
    </row>
    <row r="268" ht="14.25" spans="1:28">
      <c r="A268" s="13">
        <v>266</v>
      </c>
      <c r="B268" s="15">
        <v>6</v>
      </c>
      <c r="C268" s="16">
        <v>18</v>
      </c>
      <c r="D268" s="17" t="s">
        <v>543</v>
      </c>
      <c r="E268" s="17" t="s">
        <v>544</v>
      </c>
      <c r="F268" s="17">
        <v>104</v>
      </c>
      <c r="G268" s="17">
        <v>1709</v>
      </c>
      <c r="H268" s="17">
        <v>79.5</v>
      </c>
      <c r="I268" s="17">
        <v>8139</v>
      </c>
      <c r="J268" s="17">
        <v>110</v>
      </c>
      <c r="K268" s="17">
        <v>1448</v>
      </c>
      <c r="L268" s="17">
        <v>53</v>
      </c>
      <c r="M268" s="17">
        <v>3368</v>
      </c>
      <c r="N268" s="17"/>
      <c r="O268" s="17"/>
      <c r="P268" s="17"/>
      <c r="Q268" s="17"/>
      <c r="R268" s="17">
        <v>81</v>
      </c>
      <c r="S268" s="17">
        <v>2139</v>
      </c>
      <c r="T268" s="17"/>
      <c r="U268" s="17"/>
      <c r="V268" s="17">
        <v>63</v>
      </c>
      <c r="W268" s="17">
        <v>3260</v>
      </c>
      <c r="X268" s="15">
        <v>293.5</v>
      </c>
      <c r="Y268" s="17">
        <v>330</v>
      </c>
      <c r="Z268" s="17">
        <v>490.5</v>
      </c>
      <c r="AA268" s="17">
        <v>3712</v>
      </c>
      <c r="AB268" s="12">
        <v>370</v>
      </c>
    </row>
    <row r="269" ht="14.25" spans="1:28">
      <c r="A269" s="13">
        <v>267</v>
      </c>
      <c r="B269" s="15">
        <v>6</v>
      </c>
      <c r="C269" s="16">
        <v>19</v>
      </c>
      <c r="D269" s="17" t="s">
        <v>545</v>
      </c>
      <c r="E269" s="17" t="s">
        <v>546</v>
      </c>
      <c r="F269" s="17">
        <v>98</v>
      </c>
      <c r="G269" s="17">
        <v>4423</v>
      </c>
      <c r="H269" s="17">
        <v>106.5</v>
      </c>
      <c r="I269" s="17">
        <v>2542</v>
      </c>
      <c r="J269" s="17">
        <v>105</v>
      </c>
      <c r="K269" s="17">
        <v>2184</v>
      </c>
      <c r="L269" s="17">
        <v>74.5</v>
      </c>
      <c r="M269" s="17">
        <v>487</v>
      </c>
      <c r="N269" s="17"/>
      <c r="O269" s="17"/>
      <c r="P269" s="17"/>
      <c r="Q269" s="17"/>
      <c r="R269" s="17">
        <v>79</v>
      </c>
      <c r="S269" s="17">
        <v>2629</v>
      </c>
      <c r="T269" s="17"/>
      <c r="U269" s="17"/>
      <c r="V269" s="17">
        <v>77</v>
      </c>
      <c r="W269" s="17">
        <v>1318</v>
      </c>
      <c r="X269" s="15">
        <v>309.5</v>
      </c>
      <c r="Y269" s="17">
        <v>197</v>
      </c>
      <c r="Z269" s="17">
        <v>540</v>
      </c>
      <c r="AA269" s="17">
        <v>1622</v>
      </c>
      <c r="AB269" s="12">
        <v>131</v>
      </c>
    </row>
    <row r="270" ht="14.25" spans="1:28">
      <c r="A270" s="13">
        <v>268</v>
      </c>
      <c r="B270" s="15">
        <v>6</v>
      </c>
      <c r="C270" s="16">
        <v>20</v>
      </c>
      <c r="D270" s="17" t="s">
        <v>547</v>
      </c>
      <c r="E270" s="17" t="s">
        <v>548</v>
      </c>
      <c r="F270" s="17">
        <v>90</v>
      </c>
      <c r="G270" s="17">
        <v>9312</v>
      </c>
      <c r="H270" s="17">
        <v>88</v>
      </c>
      <c r="I270" s="17">
        <v>6299</v>
      </c>
      <c r="J270" s="17">
        <v>106.5</v>
      </c>
      <c r="K270" s="17">
        <v>1929</v>
      </c>
      <c r="L270" s="17">
        <v>33.5</v>
      </c>
      <c r="M270" s="17">
        <v>8240</v>
      </c>
      <c r="N270" s="17"/>
      <c r="O270" s="17"/>
      <c r="P270" s="17"/>
      <c r="Q270" s="17"/>
      <c r="R270" s="17">
        <v>74</v>
      </c>
      <c r="S270" s="17">
        <v>4119</v>
      </c>
      <c r="T270" s="17"/>
      <c r="U270" s="17"/>
      <c r="V270" s="17">
        <v>71</v>
      </c>
      <c r="W270" s="17">
        <v>2172</v>
      </c>
      <c r="X270" s="15">
        <v>284.5</v>
      </c>
      <c r="Y270" s="17">
        <v>405</v>
      </c>
      <c r="Z270" s="17">
        <v>463</v>
      </c>
      <c r="AA270" s="17">
        <v>5298</v>
      </c>
      <c r="AB270" s="12">
        <v>498</v>
      </c>
    </row>
    <row r="271" ht="14.25" spans="1:28">
      <c r="A271" s="13">
        <v>269</v>
      </c>
      <c r="B271" s="15">
        <v>6</v>
      </c>
      <c r="C271" s="16">
        <v>21</v>
      </c>
      <c r="D271" s="17" t="s">
        <v>549</v>
      </c>
      <c r="E271" s="17" t="s">
        <v>550</v>
      </c>
      <c r="F271" s="17">
        <v>93</v>
      </c>
      <c r="G271" s="17">
        <v>7407</v>
      </c>
      <c r="H271" s="17">
        <v>86.5</v>
      </c>
      <c r="I271" s="17">
        <v>6657</v>
      </c>
      <c r="J271" s="17">
        <v>81.75</v>
      </c>
      <c r="K271" s="17">
        <v>7350</v>
      </c>
      <c r="L271" s="17">
        <v>55</v>
      </c>
      <c r="M271" s="17">
        <v>3031</v>
      </c>
      <c r="N271" s="17"/>
      <c r="O271" s="17"/>
      <c r="P271" s="17"/>
      <c r="Q271" s="17"/>
      <c r="R271" s="17">
        <v>86</v>
      </c>
      <c r="S271" s="17">
        <v>1176</v>
      </c>
      <c r="T271" s="17"/>
      <c r="U271" s="17"/>
      <c r="V271" s="17">
        <v>88</v>
      </c>
      <c r="W271" s="17">
        <v>165</v>
      </c>
      <c r="X271" s="15">
        <v>261.25</v>
      </c>
      <c r="Y271" s="17">
        <v>576</v>
      </c>
      <c r="Z271" s="17">
        <v>490.25</v>
      </c>
      <c r="AA271" s="17">
        <v>3738</v>
      </c>
      <c r="AB271" s="12">
        <v>372</v>
      </c>
    </row>
    <row r="272" ht="14.25" spans="1:28">
      <c r="A272" s="13">
        <v>270</v>
      </c>
      <c r="B272" s="15">
        <v>6</v>
      </c>
      <c r="C272" s="16">
        <v>22</v>
      </c>
      <c r="D272" s="17" t="s">
        <v>551</v>
      </c>
      <c r="E272" s="17" t="s">
        <v>552</v>
      </c>
      <c r="F272" s="17">
        <v>95</v>
      </c>
      <c r="G272" s="17">
        <v>6168</v>
      </c>
      <c r="H272" s="17">
        <v>74</v>
      </c>
      <c r="I272" s="17">
        <v>9218</v>
      </c>
      <c r="J272" s="17">
        <v>109</v>
      </c>
      <c r="K272" s="17">
        <v>1584</v>
      </c>
      <c r="L272" s="17">
        <v>27.5</v>
      </c>
      <c r="M272" s="17">
        <v>10504</v>
      </c>
      <c r="N272" s="17"/>
      <c r="O272" s="17"/>
      <c r="P272" s="17"/>
      <c r="Q272" s="17"/>
      <c r="R272" s="17">
        <v>73</v>
      </c>
      <c r="S272" s="17">
        <v>4436</v>
      </c>
      <c r="T272" s="17"/>
      <c r="U272" s="17"/>
      <c r="V272" s="17">
        <v>80</v>
      </c>
      <c r="W272" s="17">
        <v>938</v>
      </c>
      <c r="X272" s="15">
        <v>278</v>
      </c>
      <c r="Y272" s="17">
        <v>469</v>
      </c>
      <c r="Z272" s="17">
        <v>458.5</v>
      </c>
      <c r="AA272" s="17">
        <v>5560</v>
      </c>
      <c r="AB272" s="12">
        <v>514</v>
      </c>
    </row>
    <row r="273" ht="14.25" spans="1:28">
      <c r="A273" s="13">
        <v>271</v>
      </c>
      <c r="B273" s="15">
        <v>6</v>
      </c>
      <c r="C273" s="16">
        <v>23</v>
      </c>
      <c r="D273" s="17" t="s">
        <v>553</v>
      </c>
      <c r="E273" s="17" t="s">
        <v>554</v>
      </c>
      <c r="F273" s="17">
        <v>108</v>
      </c>
      <c r="G273" s="17">
        <v>736</v>
      </c>
      <c r="H273" s="17">
        <v>87.5</v>
      </c>
      <c r="I273" s="17">
        <v>6415</v>
      </c>
      <c r="J273" s="17">
        <v>52.5</v>
      </c>
      <c r="K273" s="17">
        <v>13699</v>
      </c>
      <c r="L273" s="17">
        <v>53.5</v>
      </c>
      <c r="M273" s="17">
        <v>3296</v>
      </c>
      <c r="N273" s="17"/>
      <c r="O273" s="17"/>
      <c r="P273" s="17"/>
      <c r="Q273" s="17"/>
      <c r="R273" s="17">
        <v>64</v>
      </c>
      <c r="S273" s="17">
        <v>7440</v>
      </c>
      <c r="T273" s="17"/>
      <c r="U273" s="17"/>
      <c r="V273" s="17">
        <v>63</v>
      </c>
      <c r="W273" s="17">
        <v>3260</v>
      </c>
      <c r="X273" s="15">
        <v>248</v>
      </c>
      <c r="Y273" s="17">
        <v>613</v>
      </c>
      <c r="Z273" s="17">
        <v>428.5</v>
      </c>
      <c r="AA273" s="17">
        <v>7613</v>
      </c>
      <c r="AB273" s="12">
        <v>605</v>
      </c>
    </row>
    <row r="274" ht="14.25" spans="1:28">
      <c r="A274" s="13">
        <v>272</v>
      </c>
      <c r="B274" s="15">
        <v>6</v>
      </c>
      <c r="C274" s="16">
        <v>24</v>
      </c>
      <c r="D274" s="17" t="s">
        <v>555</v>
      </c>
      <c r="E274" s="17" t="s">
        <v>556</v>
      </c>
      <c r="F274" s="17">
        <v>95.75</v>
      </c>
      <c r="G274" s="17">
        <v>5826</v>
      </c>
      <c r="H274" s="17">
        <v>83</v>
      </c>
      <c r="I274" s="17">
        <v>7420</v>
      </c>
      <c r="J274" s="17">
        <v>71</v>
      </c>
      <c r="K274" s="17">
        <v>10072</v>
      </c>
      <c r="L274" s="17">
        <v>43.5</v>
      </c>
      <c r="M274" s="17">
        <v>5353</v>
      </c>
      <c r="N274" s="17"/>
      <c r="O274" s="17"/>
      <c r="P274" s="17"/>
      <c r="Q274" s="17"/>
      <c r="R274" s="17">
        <v>77</v>
      </c>
      <c r="S274" s="17">
        <v>3183</v>
      </c>
      <c r="T274" s="17"/>
      <c r="U274" s="17"/>
      <c r="V274" s="17">
        <v>78</v>
      </c>
      <c r="W274" s="17">
        <v>1218</v>
      </c>
      <c r="X274" s="15">
        <v>249.75</v>
      </c>
      <c r="Y274" s="17">
        <v>610</v>
      </c>
      <c r="Z274" s="17">
        <v>448.25</v>
      </c>
      <c r="AA274" s="17">
        <v>6257</v>
      </c>
      <c r="AB274" s="12">
        <v>547</v>
      </c>
    </row>
    <row r="275" ht="14.25" spans="1:28">
      <c r="A275" s="13">
        <v>273</v>
      </c>
      <c r="B275" s="15">
        <v>6</v>
      </c>
      <c r="C275" s="16">
        <v>25</v>
      </c>
      <c r="D275" s="17" t="s">
        <v>557</v>
      </c>
      <c r="E275" s="17" t="s">
        <v>558</v>
      </c>
      <c r="F275" s="17">
        <v>95</v>
      </c>
      <c r="G275" s="17">
        <v>6168</v>
      </c>
      <c r="H275" s="17">
        <v>78</v>
      </c>
      <c r="I275" s="17">
        <v>8424</v>
      </c>
      <c r="J275" s="17">
        <v>110</v>
      </c>
      <c r="K275" s="17">
        <v>1448</v>
      </c>
      <c r="L275" s="17">
        <v>42.5</v>
      </c>
      <c r="M275" s="17">
        <v>5605</v>
      </c>
      <c r="N275" s="17"/>
      <c r="O275" s="17"/>
      <c r="P275" s="17"/>
      <c r="Q275" s="17"/>
      <c r="R275" s="17">
        <v>74</v>
      </c>
      <c r="S275" s="17">
        <v>4119</v>
      </c>
      <c r="T275" s="17"/>
      <c r="U275" s="17"/>
      <c r="V275" s="17">
        <v>76</v>
      </c>
      <c r="W275" s="17">
        <v>1407</v>
      </c>
      <c r="X275" s="15">
        <v>283</v>
      </c>
      <c r="Y275" s="17">
        <v>420</v>
      </c>
      <c r="Z275" s="17">
        <v>475.5</v>
      </c>
      <c r="AA275" s="17">
        <v>4513</v>
      </c>
      <c r="AB275" s="12">
        <v>434</v>
      </c>
    </row>
    <row r="276" ht="14.25" spans="1:28">
      <c r="A276" s="13">
        <v>274</v>
      </c>
      <c r="B276" s="15">
        <v>6</v>
      </c>
      <c r="C276" s="16">
        <v>26</v>
      </c>
      <c r="D276" s="17" t="s">
        <v>559</v>
      </c>
      <c r="E276" s="17" t="s">
        <v>560</v>
      </c>
      <c r="F276" s="17">
        <v>96</v>
      </c>
      <c r="G276" s="17">
        <v>5544</v>
      </c>
      <c r="H276" s="17">
        <v>95</v>
      </c>
      <c r="I276" s="17">
        <v>4735</v>
      </c>
      <c r="J276" s="17">
        <v>88</v>
      </c>
      <c r="K276" s="17">
        <v>5738</v>
      </c>
      <c r="L276" s="17">
        <v>73.5</v>
      </c>
      <c r="M276" s="17">
        <v>548</v>
      </c>
      <c r="N276" s="17"/>
      <c r="O276" s="17"/>
      <c r="P276" s="17"/>
      <c r="Q276" s="17"/>
      <c r="R276" s="17">
        <v>77</v>
      </c>
      <c r="S276" s="17">
        <v>3183</v>
      </c>
      <c r="T276" s="17"/>
      <c r="U276" s="17"/>
      <c r="V276" s="17">
        <v>79</v>
      </c>
      <c r="W276" s="17">
        <v>1023</v>
      </c>
      <c r="X276" s="15">
        <v>279</v>
      </c>
      <c r="Y276" s="17">
        <v>456</v>
      </c>
      <c r="Z276" s="17">
        <v>508.5</v>
      </c>
      <c r="AA276" s="17">
        <v>2836</v>
      </c>
      <c r="AB276" s="12">
        <v>279</v>
      </c>
    </row>
    <row r="277" ht="14.25" spans="1:28">
      <c r="A277" s="13">
        <v>275</v>
      </c>
      <c r="B277" s="15">
        <v>6</v>
      </c>
      <c r="C277" s="16">
        <v>27</v>
      </c>
      <c r="D277" s="17" t="s">
        <v>561</v>
      </c>
      <c r="E277" s="17" t="s">
        <v>562</v>
      </c>
      <c r="F277" s="17">
        <v>96.25</v>
      </c>
      <c r="G277" s="17">
        <v>5515</v>
      </c>
      <c r="H277" s="17">
        <v>98.5</v>
      </c>
      <c r="I277" s="17">
        <v>4047</v>
      </c>
      <c r="J277" s="17">
        <v>100</v>
      </c>
      <c r="K277" s="17">
        <v>3038</v>
      </c>
      <c r="L277" s="17">
        <v>54</v>
      </c>
      <c r="M277" s="17">
        <v>3208</v>
      </c>
      <c r="N277" s="17"/>
      <c r="O277" s="17"/>
      <c r="P277" s="17"/>
      <c r="Q277" s="17"/>
      <c r="R277" s="17">
        <v>79</v>
      </c>
      <c r="S277" s="17">
        <v>2629</v>
      </c>
      <c r="T277" s="17"/>
      <c r="U277" s="17"/>
      <c r="V277" s="17">
        <v>74</v>
      </c>
      <c r="W277" s="17">
        <v>1732</v>
      </c>
      <c r="X277" s="15">
        <v>294.75</v>
      </c>
      <c r="Y277" s="17">
        <v>319</v>
      </c>
      <c r="Z277" s="17">
        <v>501.75</v>
      </c>
      <c r="AA277" s="17">
        <v>3163</v>
      </c>
      <c r="AB277" s="12">
        <v>318</v>
      </c>
    </row>
    <row r="278" ht="14.25" spans="1:28">
      <c r="A278" s="13">
        <v>276</v>
      </c>
      <c r="B278" s="15">
        <v>6</v>
      </c>
      <c r="C278" s="16">
        <v>28</v>
      </c>
      <c r="D278" s="17" t="s">
        <v>563</v>
      </c>
      <c r="E278" s="17" t="s">
        <v>564</v>
      </c>
      <c r="F278" s="17">
        <v>88.75</v>
      </c>
      <c r="G278" s="17">
        <v>10255</v>
      </c>
      <c r="H278" s="17">
        <v>91</v>
      </c>
      <c r="I278" s="17">
        <v>5638</v>
      </c>
      <c r="J278" s="17">
        <v>80.5</v>
      </c>
      <c r="K278" s="17">
        <v>7667</v>
      </c>
      <c r="L278" s="17">
        <v>55</v>
      </c>
      <c r="M278" s="17">
        <v>3031</v>
      </c>
      <c r="N278" s="17"/>
      <c r="O278" s="17"/>
      <c r="P278" s="17"/>
      <c r="Q278" s="17"/>
      <c r="R278" s="17">
        <v>69</v>
      </c>
      <c r="S278" s="17">
        <v>5677</v>
      </c>
      <c r="T278" s="17"/>
      <c r="U278" s="17"/>
      <c r="V278" s="17">
        <v>74</v>
      </c>
      <c r="W278" s="17">
        <v>1732</v>
      </c>
      <c r="X278" s="15">
        <v>260.25</v>
      </c>
      <c r="Y278" s="17">
        <v>582</v>
      </c>
      <c r="Z278" s="17">
        <v>458.25</v>
      </c>
      <c r="AA278" s="17">
        <v>5578</v>
      </c>
      <c r="AB278" s="12">
        <v>516</v>
      </c>
    </row>
    <row r="279" ht="14.25" spans="1:28">
      <c r="A279" s="13">
        <v>277</v>
      </c>
      <c r="B279" s="15">
        <v>6</v>
      </c>
      <c r="C279" s="16">
        <v>29</v>
      </c>
      <c r="D279" s="17" t="s">
        <v>565</v>
      </c>
      <c r="E279" s="17" t="s">
        <v>566</v>
      </c>
      <c r="F279" s="17">
        <v>100</v>
      </c>
      <c r="G279" s="17">
        <v>3368</v>
      </c>
      <c r="H279" s="17">
        <v>58</v>
      </c>
      <c r="I279" s="17">
        <v>12196</v>
      </c>
      <c r="J279" s="17">
        <v>94</v>
      </c>
      <c r="K279" s="17">
        <v>4318</v>
      </c>
      <c r="L279" s="17">
        <v>45.5</v>
      </c>
      <c r="M279" s="17">
        <v>4898</v>
      </c>
      <c r="N279" s="17"/>
      <c r="O279" s="17"/>
      <c r="P279" s="17"/>
      <c r="Q279" s="17"/>
      <c r="R279" s="17">
        <v>85</v>
      </c>
      <c r="S279" s="17">
        <v>1393</v>
      </c>
      <c r="T279" s="17"/>
      <c r="U279" s="17"/>
      <c r="V279" s="17">
        <v>81</v>
      </c>
      <c r="W279" s="17">
        <v>860</v>
      </c>
      <c r="X279" s="15">
        <v>252</v>
      </c>
      <c r="Y279" s="17">
        <v>607</v>
      </c>
      <c r="Z279" s="17">
        <v>463.5</v>
      </c>
      <c r="AA279" s="17">
        <v>5265</v>
      </c>
      <c r="AB279" s="12">
        <v>494</v>
      </c>
    </row>
    <row r="280" ht="14.25" spans="1:28">
      <c r="A280" s="13">
        <v>278</v>
      </c>
      <c r="B280" s="15">
        <v>6</v>
      </c>
      <c r="C280" s="16">
        <v>30</v>
      </c>
      <c r="D280" s="17" t="s">
        <v>567</v>
      </c>
      <c r="E280" s="17" t="s">
        <v>568</v>
      </c>
      <c r="F280" s="17">
        <v>89.5</v>
      </c>
      <c r="G280" s="17">
        <v>9648</v>
      </c>
      <c r="H280" s="17">
        <v>60</v>
      </c>
      <c r="I280" s="17">
        <v>11839</v>
      </c>
      <c r="J280" s="17">
        <v>82.5</v>
      </c>
      <c r="K280" s="17">
        <v>7120</v>
      </c>
      <c r="L280" s="17">
        <v>26</v>
      </c>
      <c r="M280" s="17">
        <v>11124</v>
      </c>
      <c r="N280" s="17"/>
      <c r="O280" s="17"/>
      <c r="P280" s="17"/>
      <c r="Q280" s="17"/>
      <c r="R280" s="17">
        <v>72</v>
      </c>
      <c r="S280" s="17">
        <v>4793</v>
      </c>
      <c r="T280" s="17"/>
      <c r="U280" s="17"/>
      <c r="V280" s="17">
        <v>62</v>
      </c>
      <c r="W280" s="17">
        <v>3367</v>
      </c>
      <c r="X280" s="15">
        <v>232</v>
      </c>
      <c r="Y280" s="17">
        <v>642</v>
      </c>
      <c r="Z280" s="17">
        <v>392</v>
      </c>
      <c r="AA280" s="17">
        <v>10200</v>
      </c>
      <c r="AB280" s="12">
        <v>641</v>
      </c>
    </row>
    <row r="281" ht="14.25" spans="1:28">
      <c r="A281" s="13">
        <v>279</v>
      </c>
      <c r="B281" s="15">
        <v>6</v>
      </c>
      <c r="C281" s="16">
        <v>31</v>
      </c>
      <c r="D281" s="17" t="s">
        <v>569</v>
      </c>
      <c r="E281" s="17" t="s">
        <v>570</v>
      </c>
      <c r="F281" s="17">
        <v>97</v>
      </c>
      <c r="G281" s="17">
        <v>4967</v>
      </c>
      <c r="H281" s="17">
        <v>99</v>
      </c>
      <c r="I281" s="17">
        <v>3947</v>
      </c>
      <c r="J281" s="17">
        <v>81</v>
      </c>
      <c r="K281" s="17">
        <v>7529</v>
      </c>
      <c r="L281" s="17">
        <v>28.5</v>
      </c>
      <c r="M281" s="17">
        <v>10084</v>
      </c>
      <c r="N281" s="17"/>
      <c r="O281" s="17"/>
      <c r="P281" s="17"/>
      <c r="Q281" s="17"/>
      <c r="R281" s="17">
        <v>53</v>
      </c>
      <c r="S281" s="17">
        <v>10501</v>
      </c>
      <c r="T281" s="17"/>
      <c r="U281" s="17"/>
      <c r="V281" s="17">
        <v>57</v>
      </c>
      <c r="W281" s="17">
        <v>4040</v>
      </c>
      <c r="X281" s="15">
        <v>277</v>
      </c>
      <c r="Y281" s="17">
        <v>485</v>
      </c>
      <c r="Z281" s="17">
        <v>415.5</v>
      </c>
      <c r="AA281" s="17">
        <v>8538</v>
      </c>
      <c r="AB281" s="12">
        <v>626</v>
      </c>
    </row>
    <row r="282" ht="14.25" spans="1:28">
      <c r="A282" s="13">
        <v>280</v>
      </c>
      <c r="B282" s="15">
        <v>6</v>
      </c>
      <c r="C282" s="16">
        <v>32</v>
      </c>
      <c r="D282" s="17" t="s">
        <v>571</v>
      </c>
      <c r="E282" s="17" t="s">
        <v>572</v>
      </c>
      <c r="F282" s="17">
        <v>99</v>
      </c>
      <c r="G282" s="17">
        <v>3868</v>
      </c>
      <c r="H282" s="17">
        <v>101.5</v>
      </c>
      <c r="I282" s="17">
        <v>3477</v>
      </c>
      <c r="J282" s="17">
        <v>78.75</v>
      </c>
      <c r="K282" s="17">
        <v>8143</v>
      </c>
      <c r="L282" s="17">
        <v>61.5</v>
      </c>
      <c r="M282" s="17">
        <v>1929</v>
      </c>
      <c r="N282" s="17"/>
      <c r="O282" s="17"/>
      <c r="P282" s="17"/>
      <c r="Q282" s="17"/>
      <c r="R282" s="17">
        <v>89</v>
      </c>
      <c r="S282" s="17">
        <v>415</v>
      </c>
      <c r="T282" s="17"/>
      <c r="U282" s="17"/>
      <c r="V282" s="17">
        <v>87</v>
      </c>
      <c r="W282" s="17">
        <v>273</v>
      </c>
      <c r="X282" s="15">
        <v>279.25</v>
      </c>
      <c r="Y282" s="17">
        <v>453</v>
      </c>
      <c r="Z282" s="17">
        <v>516.75</v>
      </c>
      <c r="AA282" s="17">
        <v>2470</v>
      </c>
      <c r="AB282" s="12">
        <v>238</v>
      </c>
    </row>
    <row r="283" ht="14.25" spans="1:28">
      <c r="A283" s="13">
        <v>281</v>
      </c>
      <c r="B283" s="15">
        <v>6</v>
      </c>
      <c r="C283" s="16">
        <v>33</v>
      </c>
      <c r="D283" s="17" t="s">
        <v>573</v>
      </c>
      <c r="E283" s="17" t="s">
        <v>574</v>
      </c>
      <c r="F283" s="17">
        <v>95.5</v>
      </c>
      <c r="G283" s="17">
        <v>5877</v>
      </c>
      <c r="H283" s="17">
        <v>88.5</v>
      </c>
      <c r="I283" s="17">
        <v>6176</v>
      </c>
      <c r="J283" s="17">
        <v>92.5</v>
      </c>
      <c r="K283" s="17">
        <v>4660</v>
      </c>
      <c r="L283" s="17">
        <v>35</v>
      </c>
      <c r="M283" s="17">
        <v>7732</v>
      </c>
      <c r="N283" s="17"/>
      <c r="O283" s="17"/>
      <c r="P283" s="17"/>
      <c r="Q283" s="17"/>
      <c r="R283" s="17">
        <v>45</v>
      </c>
      <c r="S283" s="17">
        <v>11991</v>
      </c>
      <c r="T283" s="17"/>
      <c r="U283" s="17"/>
      <c r="V283" s="17">
        <v>67</v>
      </c>
      <c r="W283" s="17">
        <v>2619</v>
      </c>
      <c r="X283" s="15">
        <v>276.5</v>
      </c>
      <c r="Y283" s="17">
        <v>488</v>
      </c>
      <c r="Z283" s="17">
        <v>423.5</v>
      </c>
      <c r="AA283" s="17">
        <v>7960</v>
      </c>
      <c r="AB283" s="12">
        <v>618</v>
      </c>
    </row>
    <row r="284" ht="14.25" spans="1:28">
      <c r="A284" s="13">
        <v>282</v>
      </c>
      <c r="B284" s="15">
        <v>6</v>
      </c>
      <c r="C284" s="16">
        <v>34</v>
      </c>
      <c r="D284" s="17" t="s">
        <v>575</v>
      </c>
      <c r="E284" s="17" t="s">
        <v>576</v>
      </c>
      <c r="F284" s="17">
        <v>97.5</v>
      </c>
      <c r="G284" s="17">
        <v>4695</v>
      </c>
      <c r="H284" s="17">
        <v>103</v>
      </c>
      <c r="I284" s="17">
        <v>3209</v>
      </c>
      <c r="J284" s="17">
        <v>112</v>
      </c>
      <c r="K284" s="17">
        <v>1229</v>
      </c>
      <c r="L284" s="17">
        <v>58.5</v>
      </c>
      <c r="M284" s="17">
        <v>2451</v>
      </c>
      <c r="N284" s="17"/>
      <c r="O284" s="17"/>
      <c r="P284" s="17"/>
      <c r="Q284" s="17"/>
      <c r="R284" s="17">
        <v>83</v>
      </c>
      <c r="S284" s="17">
        <v>1715</v>
      </c>
      <c r="T284" s="17"/>
      <c r="U284" s="17"/>
      <c r="V284" s="17">
        <v>82</v>
      </c>
      <c r="W284" s="17">
        <v>723</v>
      </c>
      <c r="X284" s="15">
        <v>312.5</v>
      </c>
      <c r="Y284" s="17">
        <v>168</v>
      </c>
      <c r="Z284" s="17">
        <v>536</v>
      </c>
      <c r="AA284" s="17">
        <v>1744</v>
      </c>
      <c r="AB284" s="12">
        <v>146</v>
      </c>
    </row>
    <row r="285" ht="14.25" spans="1:28">
      <c r="A285" s="13">
        <v>283</v>
      </c>
      <c r="B285" s="15">
        <v>6</v>
      </c>
      <c r="C285" s="16">
        <v>35</v>
      </c>
      <c r="D285" s="17" t="s">
        <v>577</v>
      </c>
      <c r="E285" s="17" t="s">
        <v>578</v>
      </c>
      <c r="F285" s="17">
        <v>94.5</v>
      </c>
      <c r="G285" s="17">
        <v>6496</v>
      </c>
      <c r="H285" s="17">
        <v>94.5</v>
      </c>
      <c r="I285" s="17">
        <v>4840</v>
      </c>
      <c r="J285" s="17">
        <v>93</v>
      </c>
      <c r="K285" s="17">
        <v>4548</v>
      </c>
      <c r="L285" s="17">
        <v>51</v>
      </c>
      <c r="M285" s="17">
        <v>3730</v>
      </c>
      <c r="N285" s="17"/>
      <c r="O285" s="17"/>
      <c r="P285" s="17"/>
      <c r="Q285" s="17"/>
      <c r="R285" s="17">
        <v>83</v>
      </c>
      <c r="S285" s="17">
        <v>1715</v>
      </c>
      <c r="T285" s="17"/>
      <c r="U285" s="17"/>
      <c r="V285" s="17">
        <v>66</v>
      </c>
      <c r="W285" s="17">
        <v>2820</v>
      </c>
      <c r="X285" s="15">
        <v>282</v>
      </c>
      <c r="Y285" s="17">
        <v>432</v>
      </c>
      <c r="Z285" s="17">
        <v>482</v>
      </c>
      <c r="AA285" s="17">
        <v>4168</v>
      </c>
      <c r="AB285" s="12">
        <v>414</v>
      </c>
    </row>
    <row r="286" ht="14.25" spans="1:28">
      <c r="A286" s="13">
        <v>284</v>
      </c>
      <c r="B286" s="15">
        <v>6</v>
      </c>
      <c r="C286" s="16">
        <v>36</v>
      </c>
      <c r="D286" s="17" t="s">
        <v>579</v>
      </c>
      <c r="E286" s="17" t="s">
        <v>580</v>
      </c>
      <c r="F286" s="17">
        <v>106</v>
      </c>
      <c r="G286" s="17">
        <v>1174</v>
      </c>
      <c r="H286" s="17">
        <v>86</v>
      </c>
      <c r="I286" s="17">
        <v>6759</v>
      </c>
      <c r="J286" s="17">
        <v>80.5</v>
      </c>
      <c r="K286" s="17">
        <v>7667</v>
      </c>
      <c r="L286" s="17">
        <v>39.5</v>
      </c>
      <c r="M286" s="17">
        <v>6404</v>
      </c>
      <c r="N286" s="17"/>
      <c r="O286" s="17"/>
      <c r="P286" s="17"/>
      <c r="Q286" s="17"/>
      <c r="R286" s="17">
        <v>69</v>
      </c>
      <c r="S286" s="17">
        <v>5677</v>
      </c>
      <c r="T286" s="17"/>
      <c r="U286" s="17"/>
      <c r="V286" s="17">
        <v>62</v>
      </c>
      <c r="W286" s="17">
        <v>3367</v>
      </c>
      <c r="X286" s="15">
        <v>272.5</v>
      </c>
      <c r="Y286" s="17">
        <v>510</v>
      </c>
      <c r="Z286" s="17">
        <v>443</v>
      </c>
      <c r="AA286" s="17">
        <v>6599</v>
      </c>
      <c r="AB286" s="12">
        <v>558</v>
      </c>
    </row>
    <row r="287" ht="14.25" spans="1:28">
      <c r="A287" s="13">
        <v>285</v>
      </c>
      <c r="B287" s="15">
        <v>6</v>
      </c>
      <c r="C287" s="16">
        <v>37</v>
      </c>
      <c r="D287" s="17" t="s">
        <v>581</v>
      </c>
      <c r="E287" s="17" t="s">
        <v>582</v>
      </c>
      <c r="F287" s="17">
        <v>105.5</v>
      </c>
      <c r="G287" s="17">
        <v>1281</v>
      </c>
      <c r="H287" s="17">
        <v>93.5</v>
      </c>
      <c r="I287" s="17">
        <v>5060</v>
      </c>
      <c r="J287" s="17">
        <v>99.5</v>
      </c>
      <c r="K287" s="17">
        <v>3134</v>
      </c>
      <c r="L287" s="17">
        <v>55.5</v>
      </c>
      <c r="M287" s="17">
        <v>2964</v>
      </c>
      <c r="N287" s="17"/>
      <c r="O287" s="17"/>
      <c r="P287" s="17"/>
      <c r="Q287" s="17"/>
      <c r="R287" s="17">
        <v>93</v>
      </c>
      <c r="S287" s="17">
        <v>50</v>
      </c>
      <c r="T287" s="17"/>
      <c r="U287" s="17"/>
      <c r="V287" s="17">
        <v>91</v>
      </c>
      <c r="W287" s="17">
        <v>15</v>
      </c>
      <c r="X287" s="15">
        <v>298.5</v>
      </c>
      <c r="Y287" s="17">
        <v>289</v>
      </c>
      <c r="Z287" s="17">
        <v>538</v>
      </c>
      <c r="AA287" s="17">
        <v>1682</v>
      </c>
      <c r="AB287" s="12">
        <v>138</v>
      </c>
    </row>
    <row r="288" ht="14.25" spans="1:28">
      <c r="A288" s="13">
        <v>286</v>
      </c>
      <c r="B288" s="15">
        <v>6</v>
      </c>
      <c r="C288" s="16">
        <v>38</v>
      </c>
      <c r="D288" s="17" t="s">
        <v>583</v>
      </c>
      <c r="E288" s="17" t="s">
        <v>584</v>
      </c>
      <c r="F288" s="17">
        <v>102.5</v>
      </c>
      <c r="G288" s="17">
        <v>2274</v>
      </c>
      <c r="H288" s="17">
        <v>96.5</v>
      </c>
      <c r="I288" s="17">
        <v>4438</v>
      </c>
      <c r="J288" s="17">
        <v>87</v>
      </c>
      <c r="K288" s="17">
        <v>5999</v>
      </c>
      <c r="L288" s="17">
        <v>58</v>
      </c>
      <c r="M288" s="17">
        <v>2538</v>
      </c>
      <c r="N288" s="17"/>
      <c r="O288" s="17"/>
      <c r="P288" s="17"/>
      <c r="Q288" s="17"/>
      <c r="R288" s="17">
        <v>90</v>
      </c>
      <c r="S288" s="17">
        <v>255</v>
      </c>
      <c r="T288" s="17"/>
      <c r="U288" s="17"/>
      <c r="V288" s="17">
        <v>67</v>
      </c>
      <c r="W288" s="17">
        <v>2619</v>
      </c>
      <c r="X288" s="15">
        <v>286</v>
      </c>
      <c r="Y288" s="17">
        <v>392</v>
      </c>
      <c r="Z288" s="17">
        <v>501</v>
      </c>
      <c r="AA288" s="17">
        <v>3195</v>
      </c>
      <c r="AB288" s="12">
        <v>321</v>
      </c>
    </row>
    <row r="289" ht="14.25" spans="1:28">
      <c r="A289" s="13">
        <v>287</v>
      </c>
      <c r="B289" s="15">
        <v>6</v>
      </c>
      <c r="C289" s="16">
        <v>39</v>
      </c>
      <c r="D289" s="17" t="s">
        <v>585</v>
      </c>
      <c r="E289" s="17" t="s">
        <v>586</v>
      </c>
      <c r="F289" s="17">
        <v>88.25</v>
      </c>
      <c r="G289" s="17">
        <v>10576</v>
      </c>
      <c r="H289" s="17">
        <v>95</v>
      </c>
      <c r="I289" s="17">
        <v>4735</v>
      </c>
      <c r="J289" s="17">
        <v>95.5</v>
      </c>
      <c r="K289" s="17">
        <v>3977</v>
      </c>
      <c r="L289" s="17">
        <v>46.5</v>
      </c>
      <c r="M289" s="17">
        <v>4690</v>
      </c>
      <c r="N289" s="17"/>
      <c r="O289" s="17"/>
      <c r="P289" s="17"/>
      <c r="Q289" s="17"/>
      <c r="R289" s="17">
        <v>62</v>
      </c>
      <c r="S289" s="17">
        <v>8006</v>
      </c>
      <c r="T289" s="17"/>
      <c r="U289" s="17"/>
      <c r="V289" s="17">
        <v>62</v>
      </c>
      <c r="W289" s="17">
        <v>3367</v>
      </c>
      <c r="X289" s="15">
        <v>278.75</v>
      </c>
      <c r="Y289" s="17">
        <v>459</v>
      </c>
      <c r="Z289" s="17">
        <v>449.25</v>
      </c>
      <c r="AA289" s="17">
        <v>6185</v>
      </c>
      <c r="AB289" s="12">
        <v>542</v>
      </c>
    </row>
    <row r="290" ht="14.25" spans="1:28">
      <c r="A290" s="13">
        <v>288</v>
      </c>
      <c r="B290" s="15">
        <v>6</v>
      </c>
      <c r="C290" s="16">
        <v>40</v>
      </c>
      <c r="D290" s="17" t="s">
        <v>587</v>
      </c>
      <c r="E290" s="17" t="s">
        <v>588</v>
      </c>
      <c r="F290" s="17">
        <v>100.25</v>
      </c>
      <c r="G290" s="17">
        <v>3338</v>
      </c>
      <c r="H290" s="17">
        <v>87.5</v>
      </c>
      <c r="I290" s="17">
        <v>6415</v>
      </c>
      <c r="J290" s="17">
        <v>91.5</v>
      </c>
      <c r="K290" s="17">
        <v>4916</v>
      </c>
      <c r="L290" s="17">
        <v>25</v>
      </c>
      <c r="M290" s="17">
        <v>11593</v>
      </c>
      <c r="N290" s="17"/>
      <c r="O290" s="17"/>
      <c r="P290" s="17"/>
      <c r="Q290" s="17"/>
      <c r="R290" s="17">
        <v>76</v>
      </c>
      <c r="S290" s="17">
        <v>3491</v>
      </c>
      <c r="T290" s="17"/>
      <c r="U290" s="17"/>
      <c r="V290" s="17">
        <v>69</v>
      </c>
      <c r="W290" s="17">
        <v>2394</v>
      </c>
      <c r="X290" s="15">
        <v>279.25</v>
      </c>
      <c r="Y290" s="17">
        <v>453</v>
      </c>
      <c r="Z290" s="17">
        <v>449.25</v>
      </c>
      <c r="AA290" s="17">
        <v>6185</v>
      </c>
      <c r="AB290" s="12">
        <v>542</v>
      </c>
    </row>
    <row r="291" ht="14.25" spans="1:28">
      <c r="A291" s="13">
        <v>289</v>
      </c>
      <c r="B291" s="15">
        <v>6</v>
      </c>
      <c r="C291" s="16">
        <v>41</v>
      </c>
      <c r="D291" s="17" t="s">
        <v>589</v>
      </c>
      <c r="E291" s="17" t="s">
        <v>590</v>
      </c>
      <c r="F291" s="17">
        <v>86</v>
      </c>
      <c r="G291" s="17">
        <v>11803</v>
      </c>
      <c r="H291" s="17">
        <v>79.5</v>
      </c>
      <c r="I291" s="17">
        <v>8139</v>
      </c>
      <c r="J291" s="17">
        <v>72</v>
      </c>
      <c r="K291" s="17">
        <v>9847</v>
      </c>
      <c r="L291" s="17">
        <v>58</v>
      </c>
      <c r="M291" s="17">
        <v>2538</v>
      </c>
      <c r="N291" s="17"/>
      <c r="O291" s="17"/>
      <c r="P291" s="17"/>
      <c r="Q291" s="17"/>
      <c r="R291" s="17">
        <v>68</v>
      </c>
      <c r="S291" s="17">
        <v>6079</v>
      </c>
      <c r="T291" s="17"/>
      <c r="U291" s="17"/>
      <c r="V291" s="17">
        <v>62</v>
      </c>
      <c r="W291" s="17">
        <v>3367</v>
      </c>
      <c r="X291" s="15">
        <v>237.5</v>
      </c>
      <c r="Y291" s="17">
        <v>635</v>
      </c>
      <c r="Z291" s="17">
        <v>425.5</v>
      </c>
      <c r="AA291" s="17">
        <v>7824</v>
      </c>
      <c r="AB291" s="12">
        <v>613</v>
      </c>
    </row>
    <row r="292" ht="14.25" spans="1:28">
      <c r="A292" s="13">
        <v>290</v>
      </c>
      <c r="B292" s="15">
        <v>6</v>
      </c>
      <c r="C292" s="16">
        <v>42</v>
      </c>
      <c r="D292" s="17" t="s">
        <v>591</v>
      </c>
      <c r="E292" s="17" t="s">
        <v>592</v>
      </c>
      <c r="F292" s="17">
        <v>107.5</v>
      </c>
      <c r="G292" s="17">
        <v>829</v>
      </c>
      <c r="H292" s="17">
        <v>96</v>
      </c>
      <c r="I292" s="17">
        <v>4544</v>
      </c>
      <c r="J292" s="17">
        <v>105.5</v>
      </c>
      <c r="K292" s="17">
        <v>2098</v>
      </c>
      <c r="L292" s="17">
        <v>64</v>
      </c>
      <c r="M292" s="17">
        <v>1577</v>
      </c>
      <c r="N292" s="17"/>
      <c r="O292" s="17"/>
      <c r="P292" s="17"/>
      <c r="Q292" s="17"/>
      <c r="R292" s="17">
        <v>77</v>
      </c>
      <c r="S292" s="17">
        <v>3183</v>
      </c>
      <c r="T292" s="17"/>
      <c r="U292" s="17"/>
      <c r="V292" s="17">
        <v>87</v>
      </c>
      <c r="W292" s="17">
        <v>273</v>
      </c>
      <c r="X292" s="15">
        <v>309</v>
      </c>
      <c r="Y292" s="17">
        <v>203</v>
      </c>
      <c r="Z292" s="17">
        <v>537</v>
      </c>
      <c r="AA292" s="17">
        <v>1718</v>
      </c>
      <c r="AB292" s="12">
        <v>142</v>
      </c>
    </row>
    <row r="293" ht="14.25" spans="1:28">
      <c r="A293" s="13">
        <v>291</v>
      </c>
      <c r="B293" s="15">
        <v>7</v>
      </c>
      <c r="C293" s="16">
        <v>1</v>
      </c>
      <c r="D293" s="17" t="s">
        <v>593</v>
      </c>
      <c r="E293" s="17" t="s">
        <v>594</v>
      </c>
      <c r="F293" s="17">
        <v>96</v>
      </c>
      <c r="G293" s="17">
        <v>5544</v>
      </c>
      <c r="H293" s="17">
        <v>89</v>
      </c>
      <c r="I293" s="17">
        <v>6077</v>
      </c>
      <c r="J293" s="17">
        <v>92.5</v>
      </c>
      <c r="K293" s="17">
        <v>4660</v>
      </c>
      <c r="L293" s="17">
        <v>37.5</v>
      </c>
      <c r="M293" s="17">
        <v>6979</v>
      </c>
      <c r="N293" s="17"/>
      <c r="O293" s="17"/>
      <c r="P293" s="17"/>
      <c r="Q293" s="17"/>
      <c r="R293" s="17">
        <v>71</v>
      </c>
      <c r="S293" s="17">
        <v>5151</v>
      </c>
      <c r="T293" s="17"/>
      <c r="U293" s="17"/>
      <c r="V293" s="17">
        <v>70</v>
      </c>
      <c r="W293" s="17">
        <v>2293</v>
      </c>
      <c r="X293" s="15">
        <v>277.5</v>
      </c>
      <c r="Y293" s="17">
        <v>480</v>
      </c>
      <c r="Z293" s="17">
        <v>456</v>
      </c>
      <c r="AA293" s="17">
        <v>5731</v>
      </c>
      <c r="AB293" s="12">
        <v>524</v>
      </c>
    </row>
    <row r="294" ht="14.25" spans="1:28">
      <c r="A294" s="13">
        <v>292</v>
      </c>
      <c r="B294" s="15">
        <v>7</v>
      </c>
      <c r="C294" s="16">
        <v>2</v>
      </c>
      <c r="D294" s="17" t="s">
        <v>595</v>
      </c>
      <c r="E294" s="17" t="s">
        <v>596</v>
      </c>
      <c r="F294" s="17">
        <v>98.5</v>
      </c>
      <c r="G294" s="17">
        <v>4145</v>
      </c>
      <c r="H294" s="17">
        <v>90</v>
      </c>
      <c r="I294" s="17">
        <v>5850</v>
      </c>
      <c r="J294" s="17">
        <v>85</v>
      </c>
      <c r="K294" s="17">
        <v>6480</v>
      </c>
      <c r="L294" s="17">
        <v>36.5</v>
      </c>
      <c r="M294" s="17">
        <v>7270</v>
      </c>
      <c r="N294" s="17"/>
      <c r="O294" s="17"/>
      <c r="P294" s="17"/>
      <c r="Q294" s="17"/>
      <c r="R294" s="17">
        <v>69</v>
      </c>
      <c r="S294" s="17">
        <v>5677</v>
      </c>
      <c r="T294" s="17"/>
      <c r="U294" s="17"/>
      <c r="V294" s="17">
        <v>64</v>
      </c>
      <c r="W294" s="17">
        <v>3146</v>
      </c>
      <c r="X294" s="15">
        <v>273.5</v>
      </c>
      <c r="Y294" s="17">
        <v>505</v>
      </c>
      <c r="Z294" s="17">
        <v>443</v>
      </c>
      <c r="AA294" s="17">
        <v>6599</v>
      </c>
      <c r="AB294" s="12">
        <v>558</v>
      </c>
    </row>
    <row r="295" ht="14.25" spans="1:28">
      <c r="A295" s="13">
        <v>293</v>
      </c>
      <c r="B295" s="15">
        <v>7</v>
      </c>
      <c r="C295" s="16">
        <v>3</v>
      </c>
      <c r="D295" s="17" t="s">
        <v>597</v>
      </c>
      <c r="E295" s="17" t="s">
        <v>598</v>
      </c>
      <c r="F295" s="17">
        <v>101</v>
      </c>
      <c r="G295" s="17">
        <v>2896</v>
      </c>
      <c r="H295" s="17">
        <v>92</v>
      </c>
      <c r="I295" s="17">
        <v>5417</v>
      </c>
      <c r="J295" s="17">
        <v>78</v>
      </c>
      <c r="K295" s="17">
        <v>8318</v>
      </c>
      <c r="L295" s="17">
        <v>21</v>
      </c>
      <c r="M295" s="17">
        <v>13491</v>
      </c>
      <c r="N295" s="17"/>
      <c r="O295" s="17"/>
      <c r="P295" s="17"/>
      <c r="Q295" s="17"/>
      <c r="R295" s="17">
        <v>79</v>
      </c>
      <c r="S295" s="17">
        <v>2629</v>
      </c>
      <c r="T295" s="17"/>
      <c r="U295" s="17"/>
      <c r="V295" s="17">
        <v>67</v>
      </c>
      <c r="W295" s="17">
        <v>2619</v>
      </c>
      <c r="X295" s="15">
        <v>271</v>
      </c>
      <c r="Y295" s="17">
        <v>522</v>
      </c>
      <c r="Z295" s="17">
        <v>438</v>
      </c>
      <c r="AA295" s="17">
        <v>6959</v>
      </c>
      <c r="AB295" s="12">
        <v>576</v>
      </c>
    </row>
    <row r="296" ht="14.25" spans="1:28">
      <c r="A296" s="13">
        <v>294</v>
      </c>
      <c r="B296" s="15">
        <v>7</v>
      </c>
      <c r="C296" s="16">
        <v>4</v>
      </c>
      <c r="D296" s="17" t="s">
        <v>599</v>
      </c>
      <c r="E296" s="17" t="s">
        <v>600</v>
      </c>
      <c r="F296" s="17">
        <v>91.5</v>
      </c>
      <c r="G296" s="17">
        <v>8306</v>
      </c>
      <c r="H296" s="17">
        <v>106</v>
      </c>
      <c r="I296" s="17">
        <v>2619</v>
      </c>
      <c r="J296" s="17">
        <v>98</v>
      </c>
      <c r="K296" s="17">
        <v>3454</v>
      </c>
      <c r="L296" s="17">
        <v>43</v>
      </c>
      <c r="M296" s="17">
        <v>5463</v>
      </c>
      <c r="N296" s="17"/>
      <c r="O296" s="17"/>
      <c r="P296" s="17"/>
      <c r="Q296" s="17"/>
      <c r="R296" s="17">
        <v>68</v>
      </c>
      <c r="S296" s="17">
        <v>6079</v>
      </c>
      <c r="T296" s="17"/>
      <c r="U296" s="17"/>
      <c r="V296" s="17">
        <v>84</v>
      </c>
      <c r="W296" s="17">
        <v>588</v>
      </c>
      <c r="X296" s="15">
        <v>295.5</v>
      </c>
      <c r="Y296" s="17">
        <v>312</v>
      </c>
      <c r="Z296" s="17">
        <v>490.5</v>
      </c>
      <c r="AA296" s="17">
        <v>3712</v>
      </c>
      <c r="AB296" s="12">
        <v>370</v>
      </c>
    </row>
    <row r="297" ht="14.25" spans="1:28">
      <c r="A297" s="13">
        <v>295</v>
      </c>
      <c r="B297" s="15">
        <v>7</v>
      </c>
      <c r="C297" s="16">
        <v>5</v>
      </c>
      <c r="D297" s="17" t="s">
        <v>601</v>
      </c>
      <c r="E297" s="17" t="s">
        <v>602</v>
      </c>
      <c r="F297" s="17">
        <v>97</v>
      </c>
      <c r="G297" s="17">
        <v>4967</v>
      </c>
      <c r="H297" s="17">
        <v>84.5</v>
      </c>
      <c r="I297" s="17">
        <v>7091</v>
      </c>
      <c r="J297" s="17">
        <v>82.75</v>
      </c>
      <c r="K297" s="17">
        <v>7077</v>
      </c>
      <c r="L297" s="17">
        <v>40.5</v>
      </c>
      <c r="M297" s="17">
        <v>6131</v>
      </c>
      <c r="N297" s="17"/>
      <c r="O297" s="17"/>
      <c r="P297" s="17"/>
      <c r="Q297" s="17"/>
      <c r="R297" s="17">
        <v>73</v>
      </c>
      <c r="S297" s="17">
        <v>4436</v>
      </c>
      <c r="T297" s="17"/>
      <c r="U297" s="17"/>
      <c r="V297" s="17">
        <v>67</v>
      </c>
      <c r="W297" s="17">
        <v>2619</v>
      </c>
      <c r="X297" s="15">
        <v>264.25</v>
      </c>
      <c r="Y297" s="17">
        <v>561</v>
      </c>
      <c r="Z297" s="17">
        <v>444.75</v>
      </c>
      <c r="AA297" s="17">
        <v>6478</v>
      </c>
      <c r="AB297" s="12">
        <v>554</v>
      </c>
    </row>
    <row r="298" ht="14.25" spans="1:28">
      <c r="A298" s="13">
        <v>296</v>
      </c>
      <c r="B298" s="15">
        <v>7</v>
      </c>
      <c r="C298" s="16">
        <v>6</v>
      </c>
      <c r="D298" s="17" t="s">
        <v>603</v>
      </c>
      <c r="E298" s="17" t="s">
        <v>604</v>
      </c>
      <c r="F298" s="17">
        <v>104.25</v>
      </c>
      <c r="G298" s="17">
        <v>1691</v>
      </c>
      <c r="H298" s="17">
        <v>74</v>
      </c>
      <c r="I298" s="17">
        <v>9218</v>
      </c>
      <c r="J298" s="17">
        <v>136</v>
      </c>
      <c r="K298" s="17">
        <v>11</v>
      </c>
      <c r="L298" s="17">
        <v>32.5</v>
      </c>
      <c r="M298" s="17">
        <v>8567</v>
      </c>
      <c r="N298" s="17"/>
      <c r="O298" s="17"/>
      <c r="P298" s="17"/>
      <c r="Q298" s="17"/>
      <c r="R298" s="17">
        <v>79</v>
      </c>
      <c r="S298" s="17">
        <v>2629</v>
      </c>
      <c r="T298" s="17"/>
      <c r="U298" s="17"/>
      <c r="V298" s="17">
        <v>84</v>
      </c>
      <c r="W298" s="17">
        <v>588</v>
      </c>
      <c r="X298" s="15">
        <v>314.25</v>
      </c>
      <c r="Y298" s="17">
        <v>154</v>
      </c>
      <c r="Z298" s="17">
        <v>509.75</v>
      </c>
      <c r="AA298" s="17">
        <v>2790</v>
      </c>
      <c r="AB298" s="12">
        <v>274</v>
      </c>
    </row>
    <row r="299" ht="14.25" spans="1:28">
      <c r="A299" s="13">
        <v>297</v>
      </c>
      <c r="B299" s="15">
        <v>7</v>
      </c>
      <c r="C299" s="16">
        <v>7</v>
      </c>
      <c r="D299" s="17" t="s">
        <v>605</v>
      </c>
      <c r="E299" s="17" t="s">
        <v>606</v>
      </c>
      <c r="F299" s="17">
        <v>107</v>
      </c>
      <c r="G299" s="17">
        <v>945</v>
      </c>
      <c r="H299" s="17">
        <v>95</v>
      </c>
      <c r="I299" s="17">
        <v>4735</v>
      </c>
      <c r="J299" s="17">
        <v>69.5</v>
      </c>
      <c r="K299" s="17">
        <v>10427</v>
      </c>
      <c r="L299" s="17">
        <v>36.5</v>
      </c>
      <c r="M299" s="17">
        <v>7270</v>
      </c>
      <c r="N299" s="17"/>
      <c r="O299" s="17"/>
      <c r="P299" s="17"/>
      <c r="Q299" s="17"/>
      <c r="R299" s="17">
        <v>57</v>
      </c>
      <c r="S299" s="17">
        <v>9659</v>
      </c>
      <c r="T299" s="17"/>
      <c r="U299" s="17"/>
      <c r="V299" s="17">
        <v>77</v>
      </c>
      <c r="W299" s="17">
        <v>1318</v>
      </c>
      <c r="X299" s="15">
        <v>271.5</v>
      </c>
      <c r="Y299" s="17">
        <v>518</v>
      </c>
      <c r="Z299" s="17">
        <v>442</v>
      </c>
      <c r="AA299" s="17">
        <v>6674</v>
      </c>
      <c r="AB299" s="12">
        <v>564</v>
      </c>
    </row>
    <row r="300" ht="14.25" spans="1:28">
      <c r="A300" s="13">
        <v>298</v>
      </c>
      <c r="B300" s="15">
        <v>7</v>
      </c>
      <c r="C300" s="16">
        <v>9</v>
      </c>
      <c r="D300" s="17" t="s">
        <v>607</v>
      </c>
      <c r="E300" s="17" t="s">
        <v>608</v>
      </c>
      <c r="F300" s="17">
        <v>94</v>
      </c>
      <c r="G300" s="17">
        <v>6811</v>
      </c>
      <c r="H300" s="17">
        <v>88</v>
      </c>
      <c r="I300" s="17">
        <v>6299</v>
      </c>
      <c r="J300" s="17">
        <v>81</v>
      </c>
      <c r="K300" s="17">
        <v>7529</v>
      </c>
      <c r="L300" s="17">
        <v>17</v>
      </c>
      <c r="M300" s="17">
        <v>15308</v>
      </c>
      <c r="N300" s="17"/>
      <c r="O300" s="17"/>
      <c r="P300" s="17"/>
      <c r="Q300" s="17"/>
      <c r="R300" s="17">
        <v>64</v>
      </c>
      <c r="S300" s="17">
        <v>7440</v>
      </c>
      <c r="T300" s="17"/>
      <c r="U300" s="17"/>
      <c r="V300" s="17">
        <v>81</v>
      </c>
      <c r="W300" s="17">
        <v>860</v>
      </c>
      <c r="X300" s="15">
        <v>263</v>
      </c>
      <c r="Y300" s="17">
        <v>569</v>
      </c>
      <c r="Z300" s="17">
        <v>425</v>
      </c>
      <c r="AA300" s="17">
        <v>7858</v>
      </c>
      <c r="AB300" s="12">
        <v>614</v>
      </c>
    </row>
    <row r="301" ht="14.25" spans="1:28">
      <c r="A301" s="13">
        <v>299</v>
      </c>
      <c r="B301" s="15">
        <v>7</v>
      </c>
      <c r="C301" s="16">
        <v>10</v>
      </c>
      <c r="D301" s="17" t="s">
        <v>609</v>
      </c>
      <c r="E301" s="17" t="s">
        <v>610</v>
      </c>
      <c r="F301" s="17">
        <v>98.5</v>
      </c>
      <c r="G301" s="17">
        <v>4145</v>
      </c>
      <c r="H301" s="17">
        <v>87.5</v>
      </c>
      <c r="I301" s="17">
        <v>6415</v>
      </c>
      <c r="J301" s="17">
        <v>96.5</v>
      </c>
      <c r="K301" s="17">
        <v>3746</v>
      </c>
      <c r="L301" s="17">
        <v>27.5</v>
      </c>
      <c r="M301" s="17">
        <v>10504</v>
      </c>
      <c r="N301" s="17"/>
      <c r="O301" s="17"/>
      <c r="P301" s="17"/>
      <c r="Q301" s="17"/>
      <c r="R301" s="17">
        <v>72</v>
      </c>
      <c r="S301" s="17">
        <v>4793</v>
      </c>
      <c r="T301" s="17"/>
      <c r="U301" s="17"/>
      <c r="V301" s="17">
        <v>80</v>
      </c>
      <c r="W301" s="17">
        <v>938</v>
      </c>
      <c r="X301" s="15">
        <v>282.5</v>
      </c>
      <c r="Y301" s="17">
        <v>425</v>
      </c>
      <c r="Z301" s="17">
        <v>462</v>
      </c>
      <c r="AA301" s="17">
        <v>5355</v>
      </c>
      <c r="AB301" s="12">
        <v>500</v>
      </c>
    </row>
    <row r="302" ht="14.25" spans="1:28">
      <c r="A302" s="13">
        <v>300</v>
      </c>
      <c r="B302" s="15">
        <v>7</v>
      </c>
      <c r="C302" s="16">
        <v>11</v>
      </c>
      <c r="D302" s="17" t="s">
        <v>611</v>
      </c>
      <c r="E302" s="17" t="s">
        <v>612</v>
      </c>
      <c r="F302" s="17">
        <v>84.5</v>
      </c>
      <c r="G302" s="17">
        <v>12633</v>
      </c>
      <c r="H302" s="17">
        <v>93.5</v>
      </c>
      <c r="I302" s="17">
        <v>5060</v>
      </c>
      <c r="J302" s="17">
        <v>80</v>
      </c>
      <c r="K302" s="17">
        <v>7802</v>
      </c>
      <c r="L302" s="17">
        <v>42</v>
      </c>
      <c r="M302" s="17">
        <v>5731</v>
      </c>
      <c r="N302" s="17"/>
      <c r="O302" s="17"/>
      <c r="P302" s="17"/>
      <c r="Q302" s="17"/>
      <c r="R302" s="17">
        <v>80</v>
      </c>
      <c r="S302" s="17">
        <v>2376</v>
      </c>
      <c r="T302" s="17"/>
      <c r="U302" s="17"/>
      <c r="V302" s="17">
        <v>63</v>
      </c>
      <c r="W302" s="17">
        <v>3260</v>
      </c>
      <c r="X302" s="15">
        <v>258</v>
      </c>
      <c r="Y302" s="17">
        <v>589</v>
      </c>
      <c r="Z302" s="17">
        <v>443</v>
      </c>
      <c r="AA302" s="17">
        <v>6599</v>
      </c>
      <c r="AB302" s="12">
        <v>558</v>
      </c>
    </row>
    <row r="303" ht="14.25" spans="1:28">
      <c r="A303" s="13">
        <v>301</v>
      </c>
      <c r="B303" s="15">
        <v>7</v>
      </c>
      <c r="C303" s="16">
        <v>12</v>
      </c>
      <c r="D303" s="17" t="s">
        <v>613</v>
      </c>
      <c r="E303" s="17" t="s">
        <v>614</v>
      </c>
      <c r="F303" s="17">
        <v>100</v>
      </c>
      <c r="G303" s="17">
        <v>3368</v>
      </c>
      <c r="H303" s="17">
        <v>107.5</v>
      </c>
      <c r="I303" s="17">
        <v>2373</v>
      </c>
      <c r="J303" s="17">
        <v>84.75</v>
      </c>
      <c r="K303" s="17">
        <v>6579</v>
      </c>
      <c r="L303" s="17">
        <v>67</v>
      </c>
      <c r="M303" s="17">
        <v>1188</v>
      </c>
      <c r="N303" s="17"/>
      <c r="O303" s="17"/>
      <c r="P303" s="17"/>
      <c r="Q303" s="17"/>
      <c r="R303" s="17">
        <v>74</v>
      </c>
      <c r="S303" s="17">
        <v>4119</v>
      </c>
      <c r="T303" s="17"/>
      <c r="U303" s="17"/>
      <c r="V303" s="17">
        <v>91</v>
      </c>
      <c r="W303" s="17">
        <v>15</v>
      </c>
      <c r="X303" s="15">
        <v>292.25</v>
      </c>
      <c r="Y303" s="17">
        <v>347</v>
      </c>
      <c r="Z303" s="17">
        <v>524.25</v>
      </c>
      <c r="AA303" s="17">
        <v>2179</v>
      </c>
      <c r="AB303" s="12">
        <v>196</v>
      </c>
    </row>
    <row r="304" ht="14.25" spans="1:28">
      <c r="A304" s="13">
        <v>302</v>
      </c>
      <c r="B304" s="15">
        <v>7</v>
      </c>
      <c r="C304" s="16">
        <v>13</v>
      </c>
      <c r="D304" s="17" t="s">
        <v>615</v>
      </c>
      <c r="E304" s="17" t="s">
        <v>616</v>
      </c>
      <c r="F304" s="17">
        <v>98.5</v>
      </c>
      <c r="G304" s="17">
        <v>4145</v>
      </c>
      <c r="H304" s="17">
        <v>77.5</v>
      </c>
      <c r="I304" s="17">
        <v>8540</v>
      </c>
      <c r="J304" s="17">
        <v>72</v>
      </c>
      <c r="K304" s="17">
        <v>9847</v>
      </c>
      <c r="L304" s="17">
        <v>29</v>
      </c>
      <c r="M304" s="17">
        <v>9872</v>
      </c>
      <c r="N304" s="17"/>
      <c r="O304" s="17"/>
      <c r="P304" s="17"/>
      <c r="Q304" s="17"/>
      <c r="R304" s="17">
        <v>56</v>
      </c>
      <c r="S304" s="17">
        <v>10021</v>
      </c>
      <c r="T304" s="17"/>
      <c r="U304" s="17"/>
      <c r="V304" s="17">
        <v>73</v>
      </c>
      <c r="W304" s="17">
        <v>1853</v>
      </c>
      <c r="X304" s="15">
        <v>248</v>
      </c>
      <c r="Y304" s="17">
        <v>613</v>
      </c>
      <c r="Z304" s="17">
        <v>406</v>
      </c>
      <c r="AA304" s="17">
        <v>9230</v>
      </c>
      <c r="AB304" s="12">
        <v>637</v>
      </c>
    </row>
    <row r="305" ht="14.25" spans="1:28">
      <c r="A305" s="13">
        <v>303</v>
      </c>
      <c r="B305" s="15">
        <v>7</v>
      </c>
      <c r="C305" s="16">
        <v>14</v>
      </c>
      <c r="D305" s="17" t="s">
        <v>617</v>
      </c>
      <c r="E305" s="17" t="s">
        <v>618</v>
      </c>
      <c r="F305" s="17">
        <v>101.5</v>
      </c>
      <c r="G305" s="17">
        <v>2674</v>
      </c>
      <c r="H305" s="17">
        <v>94</v>
      </c>
      <c r="I305" s="17">
        <v>4942</v>
      </c>
      <c r="J305" s="17">
        <v>74.75</v>
      </c>
      <c r="K305" s="17">
        <v>9182</v>
      </c>
      <c r="L305" s="17">
        <v>35.5</v>
      </c>
      <c r="M305" s="17">
        <v>7589</v>
      </c>
      <c r="N305" s="17"/>
      <c r="O305" s="17"/>
      <c r="P305" s="17"/>
      <c r="Q305" s="17"/>
      <c r="R305" s="17">
        <v>62</v>
      </c>
      <c r="S305" s="17">
        <v>8006</v>
      </c>
      <c r="T305" s="17"/>
      <c r="U305" s="17"/>
      <c r="V305" s="17">
        <v>75</v>
      </c>
      <c r="W305" s="17">
        <v>1615</v>
      </c>
      <c r="X305" s="15">
        <v>270.25</v>
      </c>
      <c r="Y305" s="17">
        <v>529</v>
      </c>
      <c r="Z305" s="17">
        <v>442.75</v>
      </c>
      <c r="AA305" s="17">
        <v>6625</v>
      </c>
      <c r="AB305" s="12">
        <v>563</v>
      </c>
    </row>
    <row r="306" ht="14.25" spans="1:28">
      <c r="A306" s="13">
        <v>304</v>
      </c>
      <c r="B306" s="15">
        <v>7</v>
      </c>
      <c r="C306" s="16">
        <v>15</v>
      </c>
      <c r="D306" s="17" t="s">
        <v>619</v>
      </c>
      <c r="E306" s="17" t="s">
        <v>620</v>
      </c>
      <c r="F306" s="17">
        <v>102</v>
      </c>
      <c r="G306" s="17">
        <v>2480</v>
      </c>
      <c r="H306" s="17">
        <v>112.5</v>
      </c>
      <c r="I306" s="17">
        <v>1543</v>
      </c>
      <c r="J306" s="17">
        <v>99.25</v>
      </c>
      <c r="K306" s="17">
        <v>3211</v>
      </c>
      <c r="L306" s="17">
        <v>49.5</v>
      </c>
      <c r="M306" s="17">
        <v>4044</v>
      </c>
      <c r="N306" s="17"/>
      <c r="O306" s="17"/>
      <c r="P306" s="17"/>
      <c r="Q306" s="17"/>
      <c r="R306" s="17">
        <v>81</v>
      </c>
      <c r="S306" s="17">
        <v>2139</v>
      </c>
      <c r="T306" s="17"/>
      <c r="U306" s="17"/>
      <c r="V306" s="17">
        <v>71</v>
      </c>
      <c r="W306" s="17">
        <v>2172</v>
      </c>
      <c r="X306" s="15">
        <v>313.75</v>
      </c>
      <c r="Y306" s="17">
        <v>161</v>
      </c>
      <c r="Z306" s="17">
        <v>515.25</v>
      </c>
      <c r="AA306" s="17">
        <v>2533</v>
      </c>
      <c r="AB306" s="12">
        <v>245</v>
      </c>
    </row>
    <row r="307" ht="14.25" spans="1:28">
      <c r="A307" s="13">
        <v>305</v>
      </c>
      <c r="B307" s="15">
        <v>7</v>
      </c>
      <c r="C307" s="16">
        <v>16</v>
      </c>
      <c r="D307" s="17" t="s">
        <v>621</v>
      </c>
      <c r="E307" s="17" t="s">
        <v>622</v>
      </c>
      <c r="F307" s="17">
        <v>100.5</v>
      </c>
      <c r="G307" s="17">
        <v>3131</v>
      </c>
      <c r="H307" s="17">
        <v>96.5</v>
      </c>
      <c r="I307" s="17">
        <v>4438</v>
      </c>
      <c r="J307" s="17">
        <v>80.75</v>
      </c>
      <c r="K307" s="17">
        <v>7625</v>
      </c>
      <c r="L307" s="17">
        <v>40</v>
      </c>
      <c r="M307" s="17">
        <v>6265</v>
      </c>
      <c r="N307" s="17"/>
      <c r="O307" s="17"/>
      <c r="P307" s="17"/>
      <c r="Q307" s="17"/>
      <c r="R307" s="17">
        <v>79</v>
      </c>
      <c r="S307" s="17">
        <v>2629</v>
      </c>
      <c r="T307" s="17"/>
      <c r="U307" s="17"/>
      <c r="V307" s="17">
        <v>79</v>
      </c>
      <c r="W307" s="17">
        <v>1023</v>
      </c>
      <c r="X307" s="15">
        <v>277.75</v>
      </c>
      <c r="Y307" s="17">
        <v>477</v>
      </c>
      <c r="Z307" s="17">
        <v>475.75</v>
      </c>
      <c r="AA307" s="17">
        <v>4505</v>
      </c>
      <c r="AB307" s="12">
        <v>433</v>
      </c>
    </row>
    <row r="308" ht="14.25" spans="1:28">
      <c r="A308" s="13">
        <v>306</v>
      </c>
      <c r="B308" s="15">
        <v>7</v>
      </c>
      <c r="C308" s="16">
        <v>17</v>
      </c>
      <c r="D308" s="17" t="s">
        <v>623</v>
      </c>
      <c r="E308" s="17" t="s">
        <v>624</v>
      </c>
      <c r="F308" s="17">
        <v>99</v>
      </c>
      <c r="G308" s="17">
        <v>3868</v>
      </c>
      <c r="H308" s="17">
        <v>108</v>
      </c>
      <c r="I308" s="17">
        <v>2274</v>
      </c>
      <c r="J308" s="17">
        <v>90.5</v>
      </c>
      <c r="K308" s="17">
        <v>5135</v>
      </c>
      <c r="L308" s="17">
        <v>45.5</v>
      </c>
      <c r="M308" s="17">
        <v>4898</v>
      </c>
      <c r="N308" s="17"/>
      <c r="O308" s="17"/>
      <c r="P308" s="17"/>
      <c r="Q308" s="17"/>
      <c r="R308" s="17">
        <v>73</v>
      </c>
      <c r="S308" s="17">
        <v>4436</v>
      </c>
      <c r="T308" s="17"/>
      <c r="U308" s="17"/>
      <c r="V308" s="17">
        <v>65</v>
      </c>
      <c r="W308" s="17">
        <v>2935</v>
      </c>
      <c r="X308" s="15">
        <v>297.5</v>
      </c>
      <c r="Y308" s="17">
        <v>299</v>
      </c>
      <c r="Z308" s="17">
        <v>481</v>
      </c>
      <c r="AA308" s="17">
        <v>4224</v>
      </c>
      <c r="AB308" s="12">
        <v>417</v>
      </c>
    </row>
    <row r="309" ht="14.25" spans="1:28">
      <c r="A309" s="13">
        <v>307</v>
      </c>
      <c r="B309" s="15">
        <v>7</v>
      </c>
      <c r="C309" s="16">
        <v>18</v>
      </c>
      <c r="D309" s="17" t="s">
        <v>625</v>
      </c>
      <c r="E309" s="17" t="s">
        <v>626</v>
      </c>
      <c r="F309" s="17">
        <v>106</v>
      </c>
      <c r="G309" s="17">
        <v>1174</v>
      </c>
      <c r="H309" s="17">
        <v>74</v>
      </c>
      <c r="I309" s="17">
        <v>9218</v>
      </c>
      <c r="J309" s="17">
        <v>99</v>
      </c>
      <c r="K309" s="17">
        <v>3244</v>
      </c>
      <c r="L309" s="17">
        <v>39.5</v>
      </c>
      <c r="M309" s="17">
        <v>6404</v>
      </c>
      <c r="N309" s="17"/>
      <c r="O309" s="17"/>
      <c r="P309" s="17"/>
      <c r="Q309" s="17"/>
      <c r="R309" s="17">
        <v>63</v>
      </c>
      <c r="S309" s="17">
        <v>7638</v>
      </c>
      <c r="T309" s="17"/>
      <c r="U309" s="17"/>
      <c r="V309" s="17">
        <v>66</v>
      </c>
      <c r="W309" s="17">
        <v>2820</v>
      </c>
      <c r="X309" s="15">
        <v>279</v>
      </c>
      <c r="Y309" s="17">
        <v>456</v>
      </c>
      <c r="Z309" s="17">
        <v>447.5</v>
      </c>
      <c r="AA309" s="17">
        <v>6298</v>
      </c>
      <c r="AB309" s="12">
        <v>548</v>
      </c>
    </row>
    <row r="310" ht="14.25" spans="1:28">
      <c r="A310" s="13">
        <v>308</v>
      </c>
      <c r="B310" s="15">
        <v>7</v>
      </c>
      <c r="C310" s="16">
        <v>19</v>
      </c>
      <c r="D310" s="17" t="s">
        <v>627</v>
      </c>
      <c r="E310" s="17" t="s">
        <v>628</v>
      </c>
      <c r="F310" s="17">
        <v>107.5</v>
      </c>
      <c r="G310" s="17">
        <v>829</v>
      </c>
      <c r="H310" s="17">
        <v>98.5</v>
      </c>
      <c r="I310" s="17">
        <v>4047</v>
      </c>
      <c r="J310" s="17">
        <v>95.25</v>
      </c>
      <c r="K310" s="17">
        <v>4060</v>
      </c>
      <c r="L310" s="17">
        <v>55</v>
      </c>
      <c r="M310" s="17">
        <v>3031</v>
      </c>
      <c r="N310" s="17"/>
      <c r="O310" s="17"/>
      <c r="P310" s="17"/>
      <c r="Q310" s="17"/>
      <c r="R310" s="17">
        <v>81</v>
      </c>
      <c r="S310" s="17">
        <v>2139</v>
      </c>
      <c r="T310" s="17"/>
      <c r="U310" s="17"/>
      <c r="V310" s="17">
        <v>69</v>
      </c>
      <c r="W310" s="17">
        <v>2394</v>
      </c>
      <c r="X310" s="15">
        <v>301.25</v>
      </c>
      <c r="Y310" s="17">
        <v>268</v>
      </c>
      <c r="Z310" s="17">
        <v>506.25</v>
      </c>
      <c r="AA310" s="17">
        <v>2951</v>
      </c>
      <c r="AB310" s="12">
        <v>290</v>
      </c>
    </row>
    <row r="311" ht="14.25" spans="1:28">
      <c r="A311" s="13">
        <v>309</v>
      </c>
      <c r="B311" s="15">
        <v>7</v>
      </c>
      <c r="C311" s="16">
        <v>20</v>
      </c>
      <c r="D311" s="17" t="s">
        <v>629</v>
      </c>
      <c r="E311" s="17" t="s">
        <v>630</v>
      </c>
      <c r="F311" s="17">
        <v>95</v>
      </c>
      <c r="G311" s="17">
        <v>6168</v>
      </c>
      <c r="H311" s="17">
        <v>113.5</v>
      </c>
      <c r="I311" s="17">
        <v>1397</v>
      </c>
      <c r="J311" s="17">
        <v>84.5</v>
      </c>
      <c r="K311" s="17">
        <v>6614</v>
      </c>
      <c r="L311" s="17">
        <v>57</v>
      </c>
      <c r="M311" s="17">
        <v>2714</v>
      </c>
      <c r="N311" s="17"/>
      <c r="O311" s="17"/>
      <c r="P311" s="17"/>
      <c r="Q311" s="17"/>
      <c r="R311" s="17">
        <v>86</v>
      </c>
      <c r="S311" s="17">
        <v>1176</v>
      </c>
      <c r="T311" s="17"/>
      <c r="U311" s="17"/>
      <c r="V311" s="17">
        <v>71</v>
      </c>
      <c r="W311" s="17">
        <v>2172</v>
      </c>
      <c r="X311" s="15">
        <v>293</v>
      </c>
      <c r="Y311" s="17">
        <v>335</v>
      </c>
      <c r="Z311" s="17">
        <v>507</v>
      </c>
      <c r="AA311" s="17">
        <v>2904</v>
      </c>
      <c r="AB311" s="12">
        <v>286</v>
      </c>
    </row>
    <row r="312" ht="14.25" spans="1:28">
      <c r="A312" s="13">
        <v>310</v>
      </c>
      <c r="B312" s="15">
        <v>7</v>
      </c>
      <c r="C312" s="16">
        <v>21</v>
      </c>
      <c r="D312" s="17" t="s">
        <v>631</v>
      </c>
      <c r="E312" s="17" t="s">
        <v>632</v>
      </c>
      <c r="F312" s="17">
        <v>93.5</v>
      </c>
      <c r="G312" s="17">
        <v>7127</v>
      </c>
      <c r="H312" s="17">
        <v>83.5</v>
      </c>
      <c r="I312" s="17">
        <v>7321</v>
      </c>
      <c r="J312" s="17">
        <v>62.5</v>
      </c>
      <c r="K312" s="17">
        <v>11974</v>
      </c>
      <c r="L312" s="17">
        <v>37.5</v>
      </c>
      <c r="M312" s="17">
        <v>6979</v>
      </c>
      <c r="N312" s="17"/>
      <c r="O312" s="17"/>
      <c r="P312" s="17"/>
      <c r="Q312" s="17"/>
      <c r="R312" s="17">
        <v>73</v>
      </c>
      <c r="S312" s="17">
        <v>4436</v>
      </c>
      <c r="T312" s="17"/>
      <c r="U312" s="17"/>
      <c r="V312" s="17">
        <v>73</v>
      </c>
      <c r="W312" s="17">
        <v>1853</v>
      </c>
      <c r="X312" s="15">
        <v>239.5</v>
      </c>
      <c r="Y312" s="17">
        <v>633</v>
      </c>
      <c r="Z312" s="17">
        <v>423</v>
      </c>
      <c r="AA312" s="17">
        <v>7996</v>
      </c>
      <c r="AB312" s="12">
        <v>620</v>
      </c>
    </row>
    <row r="313" ht="14.25" spans="1:28">
      <c r="A313" s="13">
        <v>311</v>
      </c>
      <c r="B313" s="15">
        <v>7</v>
      </c>
      <c r="C313" s="16">
        <v>22</v>
      </c>
      <c r="D313" s="17" t="s">
        <v>633</v>
      </c>
      <c r="E313" s="17" t="s">
        <v>634</v>
      </c>
      <c r="F313" s="17">
        <v>89</v>
      </c>
      <c r="G313" s="17">
        <v>9959</v>
      </c>
      <c r="H313" s="17">
        <v>84</v>
      </c>
      <c r="I313" s="17">
        <v>7206</v>
      </c>
      <c r="J313" s="17">
        <v>90.5</v>
      </c>
      <c r="K313" s="17">
        <v>5135</v>
      </c>
      <c r="L313" s="17">
        <v>37.5</v>
      </c>
      <c r="M313" s="17">
        <v>6979</v>
      </c>
      <c r="N313" s="17"/>
      <c r="O313" s="17"/>
      <c r="P313" s="17"/>
      <c r="Q313" s="17"/>
      <c r="R313" s="17">
        <v>71</v>
      </c>
      <c r="S313" s="17">
        <v>5151</v>
      </c>
      <c r="T313" s="17"/>
      <c r="U313" s="17"/>
      <c r="V313" s="17">
        <v>87</v>
      </c>
      <c r="W313" s="17">
        <v>273</v>
      </c>
      <c r="X313" s="15">
        <v>263.5</v>
      </c>
      <c r="Y313" s="17">
        <v>563</v>
      </c>
      <c r="Z313" s="17">
        <v>459</v>
      </c>
      <c r="AA313" s="17">
        <v>5533</v>
      </c>
      <c r="AB313" s="12">
        <v>512</v>
      </c>
    </row>
    <row r="314" ht="14.25" spans="1:28">
      <c r="A314" s="13">
        <v>312</v>
      </c>
      <c r="B314" s="15">
        <v>7</v>
      </c>
      <c r="C314" s="16">
        <v>23</v>
      </c>
      <c r="D314" s="17" t="s">
        <v>635</v>
      </c>
      <c r="E314" s="17" t="s">
        <v>636</v>
      </c>
      <c r="F314" s="17">
        <v>94.25</v>
      </c>
      <c r="G314" s="17">
        <v>6778</v>
      </c>
      <c r="H314" s="17">
        <v>85</v>
      </c>
      <c r="I314" s="17">
        <v>6959</v>
      </c>
      <c r="J314" s="17">
        <v>54.25</v>
      </c>
      <c r="K314" s="17">
        <v>13444</v>
      </c>
      <c r="L314" s="17">
        <v>43.5</v>
      </c>
      <c r="M314" s="17">
        <v>5353</v>
      </c>
      <c r="N314" s="17"/>
      <c r="O314" s="17"/>
      <c r="P314" s="17"/>
      <c r="Q314" s="17"/>
      <c r="R314" s="17">
        <v>82</v>
      </c>
      <c r="S314" s="17">
        <v>1915</v>
      </c>
      <c r="T314" s="17"/>
      <c r="U314" s="17"/>
      <c r="V314" s="17">
        <v>71</v>
      </c>
      <c r="W314" s="17">
        <v>2172</v>
      </c>
      <c r="X314" s="15">
        <v>233.5</v>
      </c>
      <c r="Y314" s="17">
        <v>639</v>
      </c>
      <c r="Z314" s="17">
        <v>430</v>
      </c>
      <c r="AA314" s="17">
        <v>7499</v>
      </c>
      <c r="AB314" s="12">
        <v>601</v>
      </c>
    </row>
    <row r="315" ht="14.25" spans="1:28">
      <c r="A315" s="13">
        <v>313</v>
      </c>
      <c r="B315" s="15">
        <v>7</v>
      </c>
      <c r="C315" s="16">
        <v>24</v>
      </c>
      <c r="D315" s="17" t="s">
        <v>637</v>
      </c>
      <c r="E315" s="17" t="s">
        <v>638</v>
      </c>
      <c r="F315" s="17">
        <v>88</v>
      </c>
      <c r="G315" s="17">
        <v>10604</v>
      </c>
      <c r="H315" s="17">
        <v>74.5</v>
      </c>
      <c r="I315" s="17">
        <v>9115</v>
      </c>
      <c r="J315" s="17">
        <v>100</v>
      </c>
      <c r="K315" s="17">
        <v>102</v>
      </c>
      <c r="L315" s="17">
        <v>53</v>
      </c>
      <c r="M315" s="17">
        <v>3368</v>
      </c>
      <c r="N315" s="17"/>
      <c r="O315" s="17"/>
      <c r="P315" s="17"/>
      <c r="Q315" s="17"/>
      <c r="R315" s="17">
        <v>75</v>
      </c>
      <c r="S315" s="17">
        <v>3790</v>
      </c>
      <c r="T315" s="17"/>
      <c r="U315" s="17"/>
      <c r="V315" s="17">
        <v>62</v>
      </c>
      <c r="W315" s="17">
        <v>3367</v>
      </c>
      <c r="X315" s="15">
        <v>262.5</v>
      </c>
      <c r="Y315" s="17">
        <v>573</v>
      </c>
      <c r="Z315" s="17">
        <v>452.5</v>
      </c>
      <c r="AA315" s="17">
        <v>5957</v>
      </c>
      <c r="AB315" s="12">
        <v>536</v>
      </c>
    </row>
    <row r="316" ht="14.25" spans="1:28">
      <c r="A316" s="13">
        <v>314</v>
      </c>
      <c r="B316" s="15">
        <v>7</v>
      </c>
      <c r="C316" s="16">
        <v>25</v>
      </c>
      <c r="D316" s="17" t="s">
        <v>639</v>
      </c>
      <c r="E316" s="17" t="s">
        <v>640</v>
      </c>
      <c r="F316" s="17">
        <v>88.5</v>
      </c>
      <c r="G316" s="17">
        <v>10291</v>
      </c>
      <c r="H316" s="17">
        <v>103.5</v>
      </c>
      <c r="I316" s="17">
        <v>3096</v>
      </c>
      <c r="J316" s="17">
        <v>78.75</v>
      </c>
      <c r="K316" s="17">
        <v>8143</v>
      </c>
      <c r="L316" s="17">
        <v>51</v>
      </c>
      <c r="M316" s="17">
        <v>3730</v>
      </c>
      <c r="N316" s="17"/>
      <c r="O316" s="17"/>
      <c r="P316" s="17"/>
      <c r="Q316" s="17"/>
      <c r="R316" s="17">
        <v>82</v>
      </c>
      <c r="S316" s="17">
        <v>1915</v>
      </c>
      <c r="T316" s="17"/>
      <c r="U316" s="17"/>
      <c r="V316" s="17">
        <v>69</v>
      </c>
      <c r="W316" s="17">
        <v>2394</v>
      </c>
      <c r="X316" s="15">
        <v>270.75</v>
      </c>
      <c r="Y316" s="17">
        <v>525</v>
      </c>
      <c r="Z316" s="17">
        <v>472.75</v>
      </c>
      <c r="AA316" s="17">
        <v>4676</v>
      </c>
      <c r="AB316" s="12">
        <v>447</v>
      </c>
    </row>
    <row r="317" ht="14.25" spans="1:28">
      <c r="A317" s="13">
        <v>315</v>
      </c>
      <c r="B317" s="15">
        <v>7</v>
      </c>
      <c r="C317" s="16">
        <v>28</v>
      </c>
      <c r="D317" s="17" t="s">
        <v>641</v>
      </c>
      <c r="E317" s="17" t="s">
        <v>642</v>
      </c>
      <c r="F317" s="17">
        <v>101</v>
      </c>
      <c r="G317" s="17">
        <v>2896</v>
      </c>
      <c r="H317" s="17">
        <v>73.5</v>
      </c>
      <c r="I317" s="17">
        <v>9309</v>
      </c>
      <c r="J317" s="17">
        <v>80</v>
      </c>
      <c r="K317" s="17">
        <v>7802</v>
      </c>
      <c r="L317" s="17">
        <v>47</v>
      </c>
      <c r="M317" s="17">
        <v>4568</v>
      </c>
      <c r="N317" s="17"/>
      <c r="O317" s="17"/>
      <c r="P317" s="17"/>
      <c r="Q317" s="17"/>
      <c r="R317" s="17">
        <v>68</v>
      </c>
      <c r="S317" s="17">
        <v>6079</v>
      </c>
      <c r="T317" s="17"/>
      <c r="U317" s="17"/>
      <c r="V317" s="17">
        <v>66</v>
      </c>
      <c r="W317" s="17">
        <v>2820</v>
      </c>
      <c r="X317" s="15">
        <v>254.5</v>
      </c>
      <c r="Y317" s="17">
        <v>598</v>
      </c>
      <c r="Z317" s="17">
        <v>435.5</v>
      </c>
      <c r="AA317" s="17">
        <v>7125</v>
      </c>
      <c r="AB317" s="12">
        <v>585</v>
      </c>
    </row>
    <row r="318" ht="14.25" spans="1:28">
      <c r="A318" s="13">
        <v>316</v>
      </c>
      <c r="B318" s="15">
        <v>7</v>
      </c>
      <c r="C318" s="16">
        <v>29</v>
      </c>
      <c r="D318" s="17" t="s">
        <v>643</v>
      </c>
      <c r="E318" s="17" t="s">
        <v>644</v>
      </c>
      <c r="F318" s="17">
        <v>93</v>
      </c>
      <c r="G318" s="17">
        <v>7407</v>
      </c>
      <c r="H318" s="17">
        <v>78.5</v>
      </c>
      <c r="I318" s="17">
        <v>8336</v>
      </c>
      <c r="J318" s="17">
        <v>87.5</v>
      </c>
      <c r="K318" s="17">
        <v>5877</v>
      </c>
      <c r="L318" s="17">
        <v>30.5</v>
      </c>
      <c r="M318" s="17">
        <v>9285</v>
      </c>
      <c r="N318" s="17"/>
      <c r="O318" s="17"/>
      <c r="P318" s="17"/>
      <c r="Q318" s="17"/>
      <c r="R318" s="17">
        <v>56</v>
      </c>
      <c r="S318" s="17">
        <v>10021</v>
      </c>
      <c r="T318" s="17"/>
      <c r="U318" s="17"/>
      <c r="V318" s="17">
        <v>85</v>
      </c>
      <c r="W318" s="17">
        <v>530</v>
      </c>
      <c r="X318" s="15">
        <v>259</v>
      </c>
      <c r="Y318" s="17">
        <v>585</v>
      </c>
      <c r="Z318" s="17">
        <v>430.5</v>
      </c>
      <c r="AA318" s="17">
        <v>7460</v>
      </c>
      <c r="AB318" s="12">
        <v>598</v>
      </c>
    </row>
    <row r="319" ht="14.25" spans="1:28">
      <c r="A319" s="13">
        <v>317</v>
      </c>
      <c r="B319" s="15">
        <v>7</v>
      </c>
      <c r="C319" s="16">
        <v>30</v>
      </c>
      <c r="D319" s="17" t="s">
        <v>645</v>
      </c>
      <c r="E319" s="17" t="s">
        <v>646</v>
      </c>
      <c r="F319" s="17">
        <v>97.5</v>
      </c>
      <c r="G319" s="17">
        <v>4695</v>
      </c>
      <c r="H319" s="17">
        <v>79</v>
      </c>
      <c r="I319" s="17">
        <v>8244</v>
      </c>
      <c r="J319" s="17">
        <v>67</v>
      </c>
      <c r="K319" s="17">
        <v>11015</v>
      </c>
      <c r="L319" s="17">
        <v>29.5</v>
      </c>
      <c r="M319" s="17">
        <v>9688</v>
      </c>
      <c r="N319" s="17"/>
      <c r="O319" s="17"/>
      <c r="P319" s="17"/>
      <c r="Q319" s="17"/>
      <c r="R319" s="17">
        <v>73</v>
      </c>
      <c r="S319" s="17">
        <v>4436</v>
      </c>
      <c r="T319" s="17"/>
      <c r="U319" s="17"/>
      <c r="V319" s="17">
        <v>81</v>
      </c>
      <c r="W319" s="17">
        <v>860</v>
      </c>
      <c r="X319" s="15">
        <v>243.5</v>
      </c>
      <c r="Y319" s="17">
        <v>621</v>
      </c>
      <c r="Z319" s="17">
        <v>427</v>
      </c>
      <c r="AA319" s="17">
        <v>7709</v>
      </c>
      <c r="AB319" s="12">
        <v>609</v>
      </c>
    </row>
    <row r="320" ht="14.25" spans="1:28">
      <c r="A320" s="13">
        <v>318</v>
      </c>
      <c r="B320" s="15">
        <v>7</v>
      </c>
      <c r="C320" s="16">
        <v>31</v>
      </c>
      <c r="D320" s="17" t="s">
        <v>647</v>
      </c>
      <c r="E320" s="17" t="s">
        <v>648</v>
      </c>
      <c r="F320" s="17">
        <v>98</v>
      </c>
      <c r="G320" s="17">
        <v>4423</v>
      </c>
      <c r="H320" s="17">
        <v>104</v>
      </c>
      <c r="I320" s="17">
        <v>2999</v>
      </c>
      <c r="J320" s="17">
        <v>83</v>
      </c>
      <c r="K320" s="17">
        <v>6990</v>
      </c>
      <c r="L320" s="17">
        <v>56.5</v>
      </c>
      <c r="M320" s="17">
        <v>2801</v>
      </c>
      <c r="N320" s="17"/>
      <c r="O320" s="17"/>
      <c r="P320" s="17"/>
      <c r="Q320" s="17"/>
      <c r="R320" s="17">
        <v>90</v>
      </c>
      <c r="S320" s="17">
        <v>255</v>
      </c>
      <c r="T320" s="17"/>
      <c r="U320" s="17"/>
      <c r="V320" s="17">
        <v>75</v>
      </c>
      <c r="W320" s="17">
        <v>1615</v>
      </c>
      <c r="X320" s="15">
        <v>285</v>
      </c>
      <c r="Y320" s="17">
        <v>401</v>
      </c>
      <c r="Z320" s="17">
        <v>506.5</v>
      </c>
      <c r="AA320" s="17">
        <v>2930</v>
      </c>
      <c r="AB320" s="12">
        <v>288</v>
      </c>
    </row>
    <row r="321" ht="14.25" spans="1:28">
      <c r="A321" s="13">
        <v>319</v>
      </c>
      <c r="B321" s="15">
        <v>7</v>
      </c>
      <c r="C321" s="16">
        <v>32</v>
      </c>
      <c r="D321" s="17" t="s">
        <v>649</v>
      </c>
      <c r="E321" s="17" t="s">
        <v>650</v>
      </c>
      <c r="F321" s="17">
        <v>108.5</v>
      </c>
      <c r="G321" s="17">
        <v>650</v>
      </c>
      <c r="H321" s="17">
        <v>108.5</v>
      </c>
      <c r="I321" s="17">
        <v>2198</v>
      </c>
      <c r="J321" s="17">
        <v>102</v>
      </c>
      <c r="K321" s="17">
        <v>2685</v>
      </c>
      <c r="L321" s="17">
        <v>61</v>
      </c>
      <c r="M321" s="17">
        <v>2008</v>
      </c>
      <c r="N321" s="17"/>
      <c r="O321" s="17"/>
      <c r="P321" s="17"/>
      <c r="Q321" s="17"/>
      <c r="R321" s="17">
        <v>80</v>
      </c>
      <c r="S321" s="17">
        <v>2376</v>
      </c>
      <c r="T321" s="17"/>
      <c r="U321" s="17"/>
      <c r="V321" s="17">
        <v>84</v>
      </c>
      <c r="W321" s="17">
        <v>588</v>
      </c>
      <c r="X321" s="15">
        <v>319</v>
      </c>
      <c r="Y321" s="17">
        <v>124</v>
      </c>
      <c r="Z321" s="17">
        <v>544</v>
      </c>
      <c r="AA321" s="17">
        <v>1487</v>
      </c>
      <c r="AB321" s="12">
        <v>117</v>
      </c>
    </row>
    <row r="322" ht="14.25" spans="1:28">
      <c r="A322" s="13">
        <v>320</v>
      </c>
      <c r="B322" s="15">
        <v>7</v>
      </c>
      <c r="C322" s="16">
        <v>33</v>
      </c>
      <c r="D322" s="17" t="s">
        <v>651</v>
      </c>
      <c r="E322" s="17" t="s">
        <v>652</v>
      </c>
      <c r="F322" s="17">
        <v>92.5</v>
      </c>
      <c r="G322" s="17">
        <v>7705</v>
      </c>
      <c r="H322" s="17">
        <v>104</v>
      </c>
      <c r="I322" s="17">
        <v>2999</v>
      </c>
      <c r="J322" s="17">
        <v>101.5</v>
      </c>
      <c r="K322" s="17">
        <v>2779</v>
      </c>
      <c r="L322" s="17">
        <v>38.5</v>
      </c>
      <c r="M322" s="17">
        <v>6692</v>
      </c>
      <c r="N322" s="17"/>
      <c r="O322" s="17"/>
      <c r="P322" s="17"/>
      <c r="Q322" s="17"/>
      <c r="R322" s="17">
        <v>70</v>
      </c>
      <c r="S322" s="17">
        <v>5497</v>
      </c>
      <c r="T322" s="17"/>
      <c r="U322" s="17"/>
      <c r="V322" s="17">
        <v>58</v>
      </c>
      <c r="W322" s="17">
        <v>3948</v>
      </c>
      <c r="X322" s="15">
        <v>298</v>
      </c>
      <c r="Y322" s="17">
        <v>293</v>
      </c>
      <c r="Z322" s="17">
        <v>464.5</v>
      </c>
      <c r="AA322" s="17">
        <v>5196</v>
      </c>
      <c r="AB322" s="12">
        <v>490</v>
      </c>
    </row>
    <row r="323" ht="14.25" spans="1:28">
      <c r="A323" s="13">
        <v>321</v>
      </c>
      <c r="B323" s="15">
        <v>7</v>
      </c>
      <c r="C323" s="16">
        <v>34</v>
      </c>
      <c r="D323" s="17" t="s">
        <v>653</v>
      </c>
      <c r="E323" s="17" t="s">
        <v>654</v>
      </c>
      <c r="F323" s="17">
        <v>89.75</v>
      </c>
      <c r="G323" s="17">
        <v>9608</v>
      </c>
      <c r="H323" s="17">
        <v>109</v>
      </c>
      <c r="I323" s="17">
        <v>2105</v>
      </c>
      <c r="J323" s="17">
        <v>79.5</v>
      </c>
      <c r="K323" s="17">
        <v>7930</v>
      </c>
      <c r="L323" s="17">
        <v>27</v>
      </c>
      <c r="M323" s="17">
        <v>10690</v>
      </c>
      <c r="N323" s="17"/>
      <c r="O323" s="17"/>
      <c r="P323" s="17"/>
      <c r="Q323" s="17"/>
      <c r="R323" s="17">
        <v>58</v>
      </c>
      <c r="S323" s="17">
        <v>9300</v>
      </c>
      <c r="T323" s="17"/>
      <c r="U323" s="17"/>
      <c r="V323" s="17">
        <v>86</v>
      </c>
      <c r="W323" s="17">
        <v>439</v>
      </c>
      <c r="X323" s="15">
        <v>278.25</v>
      </c>
      <c r="Y323" s="17">
        <v>465</v>
      </c>
      <c r="Z323" s="17">
        <v>449.25</v>
      </c>
      <c r="AA323" s="17">
        <v>6185</v>
      </c>
      <c r="AB323" s="12">
        <v>542</v>
      </c>
    </row>
    <row r="324" ht="14.25" spans="1:28">
      <c r="A324" s="13">
        <v>322</v>
      </c>
      <c r="B324" s="15">
        <v>7</v>
      </c>
      <c r="C324" s="16">
        <v>35</v>
      </c>
      <c r="D324" s="17" t="s">
        <v>655</v>
      </c>
      <c r="E324" s="17" t="s">
        <v>656</v>
      </c>
      <c r="F324" s="17">
        <v>101.25</v>
      </c>
      <c r="G324" s="17">
        <v>2875</v>
      </c>
      <c r="H324" s="17">
        <v>83.5</v>
      </c>
      <c r="I324" s="17">
        <v>7321</v>
      </c>
      <c r="J324" s="17">
        <v>103.75</v>
      </c>
      <c r="K324" s="17">
        <v>2416</v>
      </c>
      <c r="L324" s="17">
        <v>48.5</v>
      </c>
      <c r="M324" s="17">
        <v>4255</v>
      </c>
      <c r="N324" s="17"/>
      <c r="O324" s="17"/>
      <c r="P324" s="17"/>
      <c r="Q324" s="17"/>
      <c r="R324" s="17">
        <v>74</v>
      </c>
      <c r="S324" s="17">
        <v>4119</v>
      </c>
      <c r="T324" s="17"/>
      <c r="U324" s="17"/>
      <c r="V324" s="17">
        <v>87</v>
      </c>
      <c r="W324" s="17">
        <v>273</v>
      </c>
      <c r="X324" s="15">
        <v>288.5</v>
      </c>
      <c r="Y324" s="17">
        <v>376</v>
      </c>
      <c r="Z324" s="17">
        <v>498</v>
      </c>
      <c r="AA324" s="17">
        <v>3340</v>
      </c>
      <c r="AB324" s="12">
        <v>339</v>
      </c>
    </row>
    <row r="325" ht="14.25" spans="1:28">
      <c r="A325" s="13">
        <v>323</v>
      </c>
      <c r="B325" s="15">
        <v>7</v>
      </c>
      <c r="C325" s="16">
        <v>36</v>
      </c>
      <c r="D325" s="17" t="s">
        <v>657</v>
      </c>
      <c r="E325" s="17" t="s">
        <v>658</v>
      </c>
      <c r="F325" s="17">
        <v>98.5</v>
      </c>
      <c r="G325" s="17">
        <v>4145</v>
      </c>
      <c r="H325" s="17">
        <v>110</v>
      </c>
      <c r="I325" s="17">
        <v>1931</v>
      </c>
      <c r="J325" s="17">
        <v>99.25</v>
      </c>
      <c r="K325" s="17">
        <v>3211</v>
      </c>
      <c r="L325" s="17">
        <v>50.5</v>
      </c>
      <c r="M325" s="17">
        <v>3830</v>
      </c>
      <c r="N325" s="17"/>
      <c r="O325" s="17"/>
      <c r="P325" s="17"/>
      <c r="Q325" s="17"/>
      <c r="R325" s="17">
        <v>80</v>
      </c>
      <c r="S325" s="17">
        <v>2376</v>
      </c>
      <c r="T325" s="17"/>
      <c r="U325" s="17"/>
      <c r="V325" s="17">
        <v>87</v>
      </c>
      <c r="W325" s="17">
        <v>273</v>
      </c>
      <c r="X325" s="15">
        <v>307.75</v>
      </c>
      <c r="Y325" s="17">
        <v>213</v>
      </c>
      <c r="Z325" s="17">
        <v>525.25</v>
      </c>
      <c r="AA325" s="17">
        <v>2129</v>
      </c>
      <c r="AB325" s="12">
        <v>183</v>
      </c>
    </row>
    <row r="326" ht="14.25" spans="1:28">
      <c r="A326" s="13">
        <v>324</v>
      </c>
      <c r="B326" s="15">
        <v>7</v>
      </c>
      <c r="C326" s="16">
        <v>37</v>
      </c>
      <c r="D326" s="17" t="s">
        <v>659</v>
      </c>
      <c r="E326" s="17" t="s">
        <v>660</v>
      </c>
      <c r="F326" s="17">
        <v>90</v>
      </c>
      <c r="G326" s="17">
        <v>9312</v>
      </c>
      <c r="H326" s="17">
        <v>104.5</v>
      </c>
      <c r="I326" s="17">
        <v>2895</v>
      </c>
      <c r="J326" s="17">
        <v>67.5</v>
      </c>
      <c r="K326" s="17">
        <v>10902</v>
      </c>
      <c r="L326" s="17">
        <v>28.5</v>
      </c>
      <c r="M326" s="17">
        <v>10084</v>
      </c>
      <c r="N326" s="17"/>
      <c r="O326" s="17"/>
      <c r="P326" s="17"/>
      <c r="Q326" s="17"/>
      <c r="R326" s="17">
        <v>82</v>
      </c>
      <c r="S326" s="17">
        <v>1915</v>
      </c>
      <c r="T326" s="17"/>
      <c r="U326" s="17"/>
      <c r="V326" s="17">
        <v>71</v>
      </c>
      <c r="W326" s="17">
        <v>2172</v>
      </c>
      <c r="X326" s="15">
        <v>262</v>
      </c>
      <c r="Y326" s="17">
        <v>574</v>
      </c>
      <c r="Z326" s="17">
        <v>443.5</v>
      </c>
      <c r="AA326" s="17">
        <v>6560</v>
      </c>
      <c r="AB326" s="12">
        <v>557</v>
      </c>
    </row>
    <row r="327" ht="14.25" spans="1:28">
      <c r="A327" s="13">
        <v>325</v>
      </c>
      <c r="B327" s="15">
        <v>7</v>
      </c>
      <c r="C327" s="16">
        <v>38</v>
      </c>
      <c r="D327" s="17" t="s">
        <v>661</v>
      </c>
      <c r="E327" s="17" t="s">
        <v>662</v>
      </c>
      <c r="F327" s="17">
        <v>101.25</v>
      </c>
      <c r="G327" s="17">
        <v>2875</v>
      </c>
      <c r="H327" s="17">
        <v>93</v>
      </c>
      <c r="I327" s="17">
        <v>5192</v>
      </c>
      <c r="J327" s="17">
        <v>76</v>
      </c>
      <c r="K327" s="17">
        <v>8837</v>
      </c>
      <c r="L327" s="17">
        <v>41.5</v>
      </c>
      <c r="M327" s="17">
        <v>5867</v>
      </c>
      <c r="N327" s="17"/>
      <c r="O327" s="17"/>
      <c r="P327" s="17"/>
      <c r="Q327" s="17"/>
      <c r="R327" s="17">
        <v>65</v>
      </c>
      <c r="S327" s="17">
        <v>7060</v>
      </c>
      <c r="T327" s="17"/>
      <c r="U327" s="17"/>
      <c r="V327" s="17">
        <v>76</v>
      </c>
      <c r="W327" s="17">
        <v>1407</v>
      </c>
      <c r="X327" s="15">
        <v>270.25</v>
      </c>
      <c r="Y327" s="17">
        <v>529</v>
      </c>
      <c r="Z327" s="17">
        <v>452.75</v>
      </c>
      <c r="AA327" s="17">
        <v>5946</v>
      </c>
      <c r="AB327" s="12">
        <v>535</v>
      </c>
    </row>
    <row r="328" ht="14.25" spans="1:28">
      <c r="A328" s="13">
        <v>326</v>
      </c>
      <c r="B328" s="15">
        <v>7</v>
      </c>
      <c r="C328" s="16">
        <v>39</v>
      </c>
      <c r="D328" s="17" t="s">
        <v>663</v>
      </c>
      <c r="E328" s="17" t="s">
        <v>664</v>
      </c>
      <c r="F328" s="17">
        <v>98</v>
      </c>
      <c r="G328" s="17">
        <v>4423</v>
      </c>
      <c r="H328" s="17">
        <v>59</v>
      </c>
      <c r="I328" s="17">
        <v>12003</v>
      </c>
      <c r="J328" s="17">
        <v>79</v>
      </c>
      <c r="K328" s="17">
        <v>8048</v>
      </c>
      <c r="L328" s="17">
        <v>27</v>
      </c>
      <c r="M328" s="17">
        <v>10690</v>
      </c>
      <c r="N328" s="17"/>
      <c r="O328" s="17"/>
      <c r="P328" s="17"/>
      <c r="Q328" s="17"/>
      <c r="R328" s="17">
        <v>76</v>
      </c>
      <c r="S328" s="17">
        <v>3491</v>
      </c>
      <c r="T328" s="17"/>
      <c r="U328" s="17"/>
      <c r="V328" s="17">
        <v>88</v>
      </c>
      <c r="W328" s="17">
        <v>165</v>
      </c>
      <c r="X328" s="15">
        <v>236</v>
      </c>
      <c r="Y328" s="17">
        <v>638</v>
      </c>
      <c r="Z328" s="17">
        <v>427</v>
      </c>
      <c r="AA328" s="17">
        <v>7709</v>
      </c>
      <c r="AB328" s="12">
        <v>609</v>
      </c>
    </row>
    <row r="329" ht="14.25" spans="1:28">
      <c r="A329" s="13">
        <v>327</v>
      </c>
      <c r="B329" s="15">
        <v>7</v>
      </c>
      <c r="C329" s="16">
        <v>40</v>
      </c>
      <c r="D329" s="17" t="s">
        <v>665</v>
      </c>
      <c r="E329" s="17" t="s">
        <v>666</v>
      </c>
      <c r="F329" s="17">
        <v>107</v>
      </c>
      <c r="G329" s="17">
        <v>945</v>
      </c>
      <c r="H329" s="17">
        <v>89.5</v>
      </c>
      <c r="I329" s="17">
        <v>5946</v>
      </c>
      <c r="J329" s="17">
        <v>76</v>
      </c>
      <c r="K329" s="17">
        <v>8837</v>
      </c>
      <c r="L329" s="17">
        <v>17.5</v>
      </c>
      <c r="M329" s="17">
        <v>15175</v>
      </c>
      <c r="N329" s="17"/>
      <c r="O329" s="17"/>
      <c r="P329" s="17"/>
      <c r="Q329" s="17"/>
      <c r="R329" s="17">
        <v>57</v>
      </c>
      <c r="S329" s="17">
        <v>9659</v>
      </c>
      <c r="T329" s="17"/>
      <c r="U329" s="17"/>
      <c r="V329" s="17">
        <v>79</v>
      </c>
      <c r="W329" s="17">
        <v>1023</v>
      </c>
      <c r="X329" s="15">
        <v>272.5</v>
      </c>
      <c r="Y329" s="17">
        <v>510</v>
      </c>
      <c r="Z329" s="17">
        <v>426</v>
      </c>
      <c r="AA329" s="17">
        <v>7793</v>
      </c>
      <c r="AB329" s="12">
        <v>612</v>
      </c>
    </row>
    <row r="330" ht="14.25" spans="1:28">
      <c r="A330" s="13">
        <v>328</v>
      </c>
      <c r="B330" s="15">
        <v>7</v>
      </c>
      <c r="C330" s="16">
        <v>41</v>
      </c>
      <c r="D330" s="17" t="s">
        <v>667</v>
      </c>
      <c r="E330" s="17" t="s">
        <v>668</v>
      </c>
      <c r="F330" s="17">
        <v>99.5</v>
      </c>
      <c r="G330" s="17">
        <v>3607</v>
      </c>
      <c r="H330" s="17">
        <v>117</v>
      </c>
      <c r="I330" s="17">
        <v>975</v>
      </c>
      <c r="J330" s="17">
        <v>66.5</v>
      </c>
      <c r="K330" s="17">
        <v>11129</v>
      </c>
      <c r="L330" s="17">
        <v>32</v>
      </c>
      <c r="M330" s="17">
        <v>8723</v>
      </c>
      <c r="N330" s="17"/>
      <c r="O330" s="17"/>
      <c r="P330" s="17"/>
      <c r="Q330" s="17"/>
      <c r="R330" s="17">
        <v>73</v>
      </c>
      <c r="S330" s="17">
        <v>4436</v>
      </c>
      <c r="T330" s="17"/>
      <c r="U330" s="17"/>
      <c r="V330" s="17">
        <v>68</v>
      </c>
      <c r="W330" s="17">
        <v>2512</v>
      </c>
      <c r="X330" s="15">
        <v>283</v>
      </c>
      <c r="Y330" s="17">
        <v>420</v>
      </c>
      <c r="Z330" s="17">
        <v>456</v>
      </c>
      <c r="AA330" s="17">
        <v>5731</v>
      </c>
      <c r="AB330" s="12">
        <v>524</v>
      </c>
    </row>
    <row r="331" ht="14.25" spans="1:28">
      <c r="A331" s="13">
        <v>329</v>
      </c>
      <c r="B331" s="15">
        <v>8</v>
      </c>
      <c r="C331" s="16">
        <v>1</v>
      </c>
      <c r="D331" s="17" t="s">
        <v>669</v>
      </c>
      <c r="E331" s="17" t="s">
        <v>670</v>
      </c>
      <c r="F331" s="17">
        <v>92</v>
      </c>
      <c r="G331" s="17">
        <v>7994</v>
      </c>
      <c r="H331" s="17">
        <v>112</v>
      </c>
      <c r="I331" s="17">
        <v>1617</v>
      </c>
      <c r="J331" s="17">
        <v>74.25</v>
      </c>
      <c r="K331" s="17">
        <v>9307</v>
      </c>
      <c r="L331" s="17">
        <v>49.5</v>
      </c>
      <c r="M331" s="17">
        <v>4044</v>
      </c>
      <c r="N331" s="17"/>
      <c r="O331" s="17"/>
      <c r="P331" s="17">
        <v>75</v>
      </c>
      <c r="Q331" s="17">
        <v>3841</v>
      </c>
      <c r="R331" s="17">
        <v>80</v>
      </c>
      <c r="S331" s="17">
        <v>2376</v>
      </c>
      <c r="T331" s="17"/>
      <c r="U331" s="17"/>
      <c r="V331" s="17"/>
      <c r="W331" s="17"/>
      <c r="X331" s="15">
        <v>278.25</v>
      </c>
      <c r="Y331" s="17">
        <v>465</v>
      </c>
      <c r="Z331" s="17">
        <v>482.75</v>
      </c>
      <c r="AA331" s="17">
        <v>4122</v>
      </c>
      <c r="AB331" s="12">
        <v>409</v>
      </c>
    </row>
    <row r="332" ht="14.25" spans="1:28">
      <c r="A332" s="13">
        <v>330</v>
      </c>
      <c r="B332" s="15">
        <v>8</v>
      </c>
      <c r="C332" s="16">
        <v>2</v>
      </c>
      <c r="D332" s="17" t="s">
        <v>671</v>
      </c>
      <c r="E332" s="17" t="s">
        <v>672</v>
      </c>
      <c r="F332" s="17">
        <v>101.5</v>
      </c>
      <c r="G332" s="17">
        <v>2674</v>
      </c>
      <c r="H332" s="17">
        <v>89</v>
      </c>
      <c r="I332" s="17">
        <v>6077</v>
      </c>
      <c r="J332" s="17">
        <v>99.5</v>
      </c>
      <c r="K332" s="17">
        <v>3134</v>
      </c>
      <c r="L332" s="17">
        <v>25</v>
      </c>
      <c r="M332" s="17">
        <v>11593</v>
      </c>
      <c r="N332" s="17"/>
      <c r="O332" s="17"/>
      <c r="P332" s="17">
        <v>67</v>
      </c>
      <c r="Q332" s="17">
        <v>6384</v>
      </c>
      <c r="R332" s="17">
        <v>57</v>
      </c>
      <c r="S332" s="17">
        <v>9659</v>
      </c>
      <c r="T332" s="17"/>
      <c r="U332" s="17"/>
      <c r="V332" s="17"/>
      <c r="W332" s="17"/>
      <c r="X332" s="15">
        <v>290</v>
      </c>
      <c r="Y332" s="17">
        <v>369</v>
      </c>
      <c r="Z332" s="17">
        <v>439</v>
      </c>
      <c r="AA332" s="17">
        <v>6886</v>
      </c>
      <c r="AB332" s="12">
        <v>572</v>
      </c>
    </row>
    <row r="333" ht="14.25" spans="1:28">
      <c r="A333" s="13">
        <v>331</v>
      </c>
      <c r="B333" s="15">
        <v>8</v>
      </c>
      <c r="C333" s="16">
        <v>3</v>
      </c>
      <c r="D333" s="17" t="s">
        <v>673</v>
      </c>
      <c r="E333" s="17" t="s">
        <v>674</v>
      </c>
      <c r="F333" s="17">
        <v>98</v>
      </c>
      <c r="G333" s="17">
        <v>4423</v>
      </c>
      <c r="H333" s="17">
        <v>92.5</v>
      </c>
      <c r="I333" s="17">
        <v>5299</v>
      </c>
      <c r="J333" s="17">
        <v>103.25</v>
      </c>
      <c r="K333" s="17">
        <v>2503</v>
      </c>
      <c r="L333" s="17">
        <v>38</v>
      </c>
      <c r="M333" s="17">
        <v>6823</v>
      </c>
      <c r="N333" s="17"/>
      <c r="O333" s="17"/>
      <c r="P333" s="17">
        <v>77</v>
      </c>
      <c r="Q333" s="17">
        <v>3207</v>
      </c>
      <c r="R333" s="17">
        <v>80</v>
      </c>
      <c r="S333" s="17">
        <v>2376</v>
      </c>
      <c r="T333" s="17"/>
      <c r="U333" s="17"/>
      <c r="V333" s="17"/>
      <c r="W333" s="17"/>
      <c r="X333" s="15">
        <v>293.75</v>
      </c>
      <c r="Y333" s="17">
        <v>328</v>
      </c>
      <c r="Z333" s="17">
        <v>488.75</v>
      </c>
      <c r="AA333" s="17">
        <v>3814</v>
      </c>
      <c r="AB333" s="12">
        <v>382</v>
      </c>
    </row>
    <row r="334" ht="14.25" spans="1:28">
      <c r="A334" s="13">
        <v>332</v>
      </c>
      <c r="B334" s="15">
        <v>8</v>
      </c>
      <c r="C334" s="16">
        <v>4</v>
      </c>
      <c r="D334" s="17" t="s">
        <v>675</v>
      </c>
      <c r="E334" s="17" t="s">
        <v>676</v>
      </c>
      <c r="F334" s="17">
        <v>103.5</v>
      </c>
      <c r="G334" s="17">
        <v>1897</v>
      </c>
      <c r="H334" s="17">
        <v>98.5</v>
      </c>
      <c r="I334" s="17">
        <v>4047</v>
      </c>
      <c r="J334" s="17">
        <v>98</v>
      </c>
      <c r="K334" s="17">
        <v>3454</v>
      </c>
      <c r="L334" s="17">
        <v>59</v>
      </c>
      <c r="M334" s="17">
        <v>2358</v>
      </c>
      <c r="N334" s="17"/>
      <c r="O334" s="17"/>
      <c r="P334" s="17">
        <v>72</v>
      </c>
      <c r="Q334" s="17">
        <v>4881</v>
      </c>
      <c r="R334" s="17">
        <v>72</v>
      </c>
      <c r="S334" s="17">
        <v>4793</v>
      </c>
      <c r="T334" s="17"/>
      <c r="U334" s="17"/>
      <c r="V334" s="17"/>
      <c r="W334" s="17"/>
      <c r="X334" s="15">
        <v>300</v>
      </c>
      <c r="Y334" s="17">
        <v>276</v>
      </c>
      <c r="Z334" s="17">
        <v>503</v>
      </c>
      <c r="AA334" s="17">
        <v>3099</v>
      </c>
      <c r="AB334" s="12">
        <v>310</v>
      </c>
    </row>
    <row r="335" ht="14.25" spans="1:28">
      <c r="A335" s="13">
        <v>333</v>
      </c>
      <c r="B335" s="15">
        <v>8</v>
      </c>
      <c r="C335" s="16">
        <v>5</v>
      </c>
      <c r="D335" s="17" t="s">
        <v>677</v>
      </c>
      <c r="E335" s="17" t="s">
        <v>678</v>
      </c>
      <c r="F335" s="17">
        <v>84</v>
      </c>
      <c r="G335" s="17">
        <v>12898</v>
      </c>
      <c r="H335" s="17">
        <v>79.5</v>
      </c>
      <c r="I335" s="17">
        <v>8139</v>
      </c>
      <c r="J335" s="17">
        <v>86.5</v>
      </c>
      <c r="K335" s="17">
        <v>6120</v>
      </c>
      <c r="L335" s="17">
        <v>54</v>
      </c>
      <c r="M335" s="17">
        <v>3208</v>
      </c>
      <c r="N335" s="17"/>
      <c r="O335" s="17"/>
      <c r="P335" s="17">
        <v>70</v>
      </c>
      <c r="Q335" s="17">
        <v>5445</v>
      </c>
      <c r="R335" s="17">
        <v>79</v>
      </c>
      <c r="S335" s="17">
        <v>2629</v>
      </c>
      <c r="T335" s="17"/>
      <c r="U335" s="17"/>
      <c r="V335" s="17"/>
      <c r="W335" s="17"/>
      <c r="X335" s="15">
        <v>250</v>
      </c>
      <c r="Y335" s="17">
        <v>609</v>
      </c>
      <c r="Z335" s="17">
        <v>453</v>
      </c>
      <c r="AA335" s="17">
        <v>5915</v>
      </c>
      <c r="AB335" s="12">
        <v>532</v>
      </c>
    </row>
    <row r="336" ht="14.25" spans="1:28">
      <c r="A336" s="13">
        <v>334</v>
      </c>
      <c r="B336" s="15">
        <v>8</v>
      </c>
      <c r="C336" s="16">
        <v>6</v>
      </c>
      <c r="D336" s="17" t="s">
        <v>679</v>
      </c>
      <c r="E336" s="17" t="s">
        <v>680</v>
      </c>
      <c r="F336" s="17">
        <v>96</v>
      </c>
      <c r="G336" s="17">
        <v>5544</v>
      </c>
      <c r="H336" s="17">
        <v>91</v>
      </c>
      <c r="I336" s="17">
        <v>5638</v>
      </c>
      <c r="J336" s="17">
        <v>84.75</v>
      </c>
      <c r="K336" s="17">
        <v>6579</v>
      </c>
      <c r="L336" s="17">
        <v>38.5</v>
      </c>
      <c r="M336" s="17">
        <v>6692</v>
      </c>
      <c r="N336" s="17"/>
      <c r="O336" s="17"/>
      <c r="P336" s="17">
        <v>48</v>
      </c>
      <c r="Q336" s="17">
        <v>11124</v>
      </c>
      <c r="R336" s="17">
        <v>76</v>
      </c>
      <c r="S336" s="17">
        <v>3491</v>
      </c>
      <c r="T336" s="17"/>
      <c r="U336" s="17"/>
      <c r="V336" s="17"/>
      <c r="W336" s="17"/>
      <c r="X336" s="15">
        <v>271.75</v>
      </c>
      <c r="Y336" s="17">
        <v>517</v>
      </c>
      <c r="Z336" s="17">
        <v>434.25</v>
      </c>
      <c r="AA336" s="17">
        <v>7194</v>
      </c>
      <c r="AB336" s="12">
        <v>590</v>
      </c>
    </row>
    <row r="337" ht="14.25" spans="1:28">
      <c r="A337" s="13">
        <v>335</v>
      </c>
      <c r="B337" s="15">
        <v>8</v>
      </c>
      <c r="C337" s="16">
        <v>7</v>
      </c>
      <c r="D337" s="17" t="s">
        <v>681</v>
      </c>
      <c r="E337" s="17" t="s">
        <v>682</v>
      </c>
      <c r="F337" s="17">
        <v>98</v>
      </c>
      <c r="G337" s="17">
        <v>4423</v>
      </c>
      <c r="H337" s="17">
        <v>112</v>
      </c>
      <c r="I337" s="17">
        <v>1617</v>
      </c>
      <c r="J337" s="17">
        <v>71.75</v>
      </c>
      <c r="K337" s="17">
        <v>9931</v>
      </c>
      <c r="L337" s="17">
        <v>76.5</v>
      </c>
      <c r="M337" s="17">
        <v>333</v>
      </c>
      <c r="N337" s="17"/>
      <c r="O337" s="17"/>
      <c r="P337" s="17">
        <v>73</v>
      </c>
      <c r="Q337" s="17">
        <v>4501</v>
      </c>
      <c r="R337" s="17">
        <v>62</v>
      </c>
      <c r="S337" s="17">
        <v>8006</v>
      </c>
      <c r="T337" s="17"/>
      <c r="U337" s="17"/>
      <c r="V337" s="17"/>
      <c r="W337" s="17"/>
      <c r="X337" s="15">
        <v>281.75</v>
      </c>
      <c r="Y337" s="17">
        <v>437</v>
      </c>
      <c r="Z337" s="17">
        <v>493.25</v>
      </c>
      <c r="AA337" s="17">
        <v>3596</v>
      </c>
      <c r="AB337" s="12">
        <v>359</v>
      </c>
    </row>
    <row r="338" ht="14.25" spans="1:28">
      <c r="A338" s="13">
        <v>336</v>
      </c>
      <c r="B338" s="15">
        <v>8</v>
      </c>
      <c r="C338" s="16">
        <v>8</v>
      </c>
      <c r="D338" s="17" t="s">
        <v>683</v>
      </c>
      <c r="E338" s="17" t="s">
        <v>684</v>
      </c>
      <c r="F338" s="17">
        <v>107.5</v>
      </c>
      <c r="G338" s="17">
        <v>829</v>
      </c>
      <c r="H338" s="17">
        <v>110.5</v>
      </c>
      <c r="I338" s="17">
        <v>1866</v>
      </c>
      <c r="J338" s="17">
        <v>75</v>
      </c>
      <c r="K338" s="17">
        <v>9087</v>
      </c>
      <c r="L338" s="17">
        <v>69</v>
      </c>
      <c r="M338" s="17">
        <v>949</v>
      </c>
      <c r="N338" s="17"/>
      <c r="O338" s="17"/>
      <c r="P338" s="17">
        <v>72</v>
      </c>
      <c r="Q338" s="17">
        <v>4881</v>
      </c>
      <c r="R338" s="17">
        <v>79</v>
      </c>
      <c r="S338" s="17">
        <v>2629</v>
      </c>
      <c r="T338" s="17"/>
      <c r="U338" s="17"/>
      <c r="V338" s="17"/>
      <c r="W338" s="17"/>
      <c r="X338" s="15">
        <v>293</v>
      </c>
      <c r="Y338" s="17">
        <v>335</v>
      </c>
      <c r="Z338" s="17">
        <v>513</v>
      </c>
      <c r="AA338" s="17">
        <v>2634</v>
      </c>
      <c r="AB338" s="12">
        <v>259</v>
      </c>
    </row>
    <row r="339" ht="14.25" spans="1:28">
      <c r="A339" s="13">
        <v>337</v>
      </c>
      <c r="B339" s="15">
        <v>8</v>
      </c>
      <c r="C339" s="16">
        <v>9</v>
      </c>
      <c r="D339" s="17" t="s">
        <v>685</v>
      </c>
      <c r="E339" s="17" t="s">
        <v>686</v>
      </c>
      <c r="F339" s="17">
        <v>100.5</v>
      </c>
      <c r="G339" s="17">
        <v>3131</v>
      </c>
      <c r="H339" s="17">
        <v>108.5</v>
      </c>
      <c r="I339" s="17">
        <v>2198</v>
      </c>
      <c r="J339" s="17">
        <v>87.25</v>
      </c>
      <c r="K339" s="17">
        <v>5964</v>
      </c>
      <c r="L339" s="17">
        <v>43.5</v>
      </c>
      <c r="M339" s="17">
        <v>5353</v>
      </c>
      <c r="N339" s="17"/>
      <c r="O339" s="17"/>
      <c r="P339" s="17">
        <v>77</v>
      </c>
      <c r="Q339" s="17">
        <v>3207</v>
      </c>
      <c r="R339" s="17">
        <v>80</v>
      </c>
      <c r="S339" s="17">
        <v>2376</v>
      </c>
      <c r="T339" s="17"/>
      <c r="U339" s="17"/>
      <c r="V339" s="17"/>
      <c r="W339" s="17"/>
      <c r="X339" s="15">
        <v>296.25</v>
      </c>
      <c r="Y339" s="17">
        <v>305</v>
      </c>
      <c r="Z339" s="17">
        <v>496.75</v>
      </c>
      <c r="AA339" s="17">
        <v>3408</v>
      </c>
      <c r="AB339" s="12">
        <v>349</v>
      </c>
    </row>
    <row r="340" ht="14.25" spans="1:28">
      <c r="A340" s="13">
        <v>338</v>
      </c>
      <c r="B340" s="15">
        <v>8</v>
      </c>
      <c r="C340" s="16">
        <v>10</v>
      </c>
      <c r="D340" s="17" t="s">
        <v>687</v>
      </c>
      <c r="E340" s="17" t="s">
        <v>688</v>
      </c>
      <c r="F340" s="17">
        <v>110.5</v>
      </c>
      <c r="G340" s="17">
        <v>372</v>
      </c>
      <c r="H340" s="17">
        <v>106.5</v>
      </c>
      <c r="I340" s="17">
        <v>2542</v>
      </c>
      <c r="J340" s="17">
        <v>76</v>
      </c>
      <c r="K340" s="17">
        <v>8837</v>
      </c>
      <c r="L340" s="17">
        <v>56.5</v>
      </c>
      <c r="M340" s="17">
        <v>2801</v>
      </c>
      <c r="N340" s="17"/>
      <c r="O340" s="17"/>
      <c r="P340" s="17">
        <v>89</v>
      </c>
      <c r="Q340" s="17">
        <v>222</v>
      </c>
      <c r="R340" s="17">
        <v>75</v>
      </c>
      <c r="S340" s="17">
        <v>3790</v>
      </c>
      <c r="T340" s="17"/>
      <c r="U340" s="17"/>
      <c r="V340" s="17"/>
      <c r="W340" s="17"/>
      <c r="X340" s="15">
        <v>293</v>
      </c>
      <c r="Y340" s="17">
        <v>335</v>
      </c>
      <c r="Z340" s="17">
        <v>513.5</v>
      </c>
      <c r="AA340" s="17">
        <v>2612</v>
      </c>
      <c r="AB340" s="12">
        <v>253</v>
      </c>
    </row>
    <row r="341" ht="14.25" spans="1:28">
      <c r="A341" s="13">
        <v>339</v>
      </c>
      <c r="B341" s="15">
        <v>8</v>
      </c>
      <c r="C341" s="16">
        <v>11</v>
      </c>
      <c r="D341" s="17" t="s">
        <v>689</v>
      </c>
      <c r="E341" s="17" t="s">
        <v>690</v>
      </c>
      <c r="F341" s="17">
        <v>90</v>
      </c>
      <c r="G341" s="17">
        <v>9312</v>
      </c>
      <c r="H341" s="17">
        <v>104.5</v>
      </c>
      <c r="I341" s="17">
        <v>2895</v>
      </c>
      <c r="J341" s="17">
        <v>98.5</v>
      </c>
      <c r="K341" s="17">
        <v>3338</v>
      </c>
      <c r="L341" s="17">
        <v>63.5</v>
      </c>
      <c r="M341" s="17">
        <v>1636</v>
      </c>
      <c r="N341" s="17"/>
      <c r="O341" s="17"/>
      <c r="P341" s="17">
        <v>83</v>
      </c>
      <c r="Q341" s="17">
        <v>1643</v>
      </c>
      <c r="R341" s="17">
        <v>78</v>
      </c>
      <c r="S341" s="17">
        <v>2906</v>
      </c>
      <c r="T341" s="17"/>
      <c r="U341" s="17"/>
      <c r="V341" s="17"/>
      <c r="W341" s="17"/>
      <c r="X341" s="15">
        <v>293</v>
      </c>
      <c r="Y341" s="17">
        <v>335</v>
      </c>
      <c r="Z341" s="17">
        <v>517.5</v>
      </c>
      <c r="AA341" s="17">
        <v>2432</v>
      </c>
      <c r="AB341" s="12">
        <v>230</v>
      </c>
    </row>
    <row r="342" ht="14.25" spans="1:28">
      <c r="A342" s="13">
        <v>340</v>
      </c>
      <c r="B342" s="15">
        <v>8</v>
      </c>
      <c r="C342" s="16">
        <v>12</v>
      </c>
      <c r="D342" s="17" t="s">
        <v>691</v>
      </c>
      <c r="E342" s="17" t="s">
        <v>692</v>
      </c>
      <c r="F342" s="17">
        <v>87.5</v>
      </c>
      <c r="G342" s="17">
        <v>10920</v>
      </c>
      <c r="H342" s="17">
        <v>88.5</v>
      </c>
      <c r="I342" s="17">
        <v>6176</v>
      </c>
      <c r="J342" s="17">
        <v>83</v>
      </c>
      <c r="K342" s="17">
        <v>6990</v>
      </c>
      <c r="L342" s="17">
        <v>67</v>
      </c>
      <c r="M342" s="17">
        <v>1188</v>
      </c>
      <c r="N342" s="17"/>
      <c r="O342" s="17"/>
      <c r="P342" s="17">
        <v>73</v>
      </c>
      <c r="Q342" s="17">
        <v>4501</v>
      </c>
      <c r="R342" s="17">
        <v>86</v>
      </c>
      <c r="S342" s="17">
        <v>1176</v>
      </c>
      <c r="T342" s="17"/>
      <c r="U342" s="17"/>
      <c r="V342" s="17"/>
      <c r="W342" s="17"/>
      <c r="X342" s="15">
        <v>259</v>
      </c>
      <c r="Y342" s="17">
        <v>585</v>
      </c>
      <c r="Z342" s="17">
        <v>485</v>
      </c>
      <c r="AA342" s="17">
        <v>3985</v>
      </c>
      <c r="AB342" s="12">
        <v>398</v>
      </c>
    </row>
    <row r="343" ht="14.25" spans="1:28">
      <c r="A343" s="13">
        <v>341</v>
      </c>
      <c r="B343" s="15">
        <v>8</v>
      </c>
      <c r="C343" s="16">
        <v>13</v>
      </c>
      <c r="D343" s="17" t="s">
        <v>693</v>
      </c>
      <c r="E343" s="17" t="s">
        <v>694</v>
      </c>
      <c r="F343" s="17">
        <v>101.5</v>
      </c>
      <c r="G343" s="17">
        <v>2674</v>
      </c>
      <c r="H343" s="17">
        <v>94</v>
      </c>
      <c r="I343" s="17">
        <v>4942</v>
      </c>
      <c r="J343" s="17">
        <v>85.5</v>
      </c>
      <c r="K343" s="17">
        <v>6376</v>
      </c>
      <c r="L343" s="17">
        <v>55</v>
      </c>
      <c r="M343" s="17">
        <v>3031</v>
      </c>
      <c r="N343" s="17"/>
      <c r="O343" s="17"/>
      <c r="P343" s="17">
        <v>76</v>
      </c>
      <c r="Q343" s="17">
        <v>3515</v>
      </c>
      <c r="R343" s="17">
        <v>72</v>
      </c>
      <c r="S343" s="17">
        <v>4793</v>
      </c>
      <c r="T343" s="17"/>
      <c r="U343" s="17"/>
      <c r="V343" s="17"/>
      <c r="W343" s="17"/>
      <c r="X343" s="15">
        <v>281</v>
      </c>
      <c r="Y343" s="17">
        <v>439</v>
      </c>
      <c r="Z343" s="17">
        <v>484</v>
      </c>
      <c r="AA343" s="17">
        <v>4049</v>
      </c>
      <c r="AB343" s="12">
        <v>402</v>
      </c>
    </row>
    <row r="344" ht="14.25" spans="1:28">
      <c r="A344" s="13">
        <v>342</v>
      </c>
      <c r="B344" s="15">
        <v>8</v>
      </c>
      <c r="C344" s="16">
        <v>14</v>
      </c>
      <c r="D344" s="17" t="s">
        <v>695</v>
      </c>
      <c r="E344" s="17" t="s">
        <v>696</v>
      </c>
      <c r="F344" s="17">
        <v>103.5</v>
      </c>
      <c r="G344" s="17">
        <v>1897</v>
      </c>
      <c r="H344" s="17">
        <v>97</v>
      </c>
      <c r="I344" s="17">
        <v>4348</v>
      </c>
      <c r="J344" s="17">
        <v>102.5</v>
      </c>
      <c r="K344" s="17">
        <v>2600</v>
      </c>
      <c r="L344" s="17">
        <v>55</v>
      </c>
      <c r="M344" s="17">
        <v>3031</v>
      </c>
      <c r="N344" s="17"/>
      <c r="O344" s="17"/>
      <c r="P344" s="17">
        <v>66</v>
      </c>
      <c r="Q344" s="17">
        <v>6766</v>
      </c>
      <c r="R344" s="17">
        <v>82</v>
      </c>
      <c r="S344" s="17">
        <v>1915</v>
      </c>
      <c r="T344" s="17"/>
      <c r="U344" s="17"/>
      <c r="V344" s="17"/>
      <c r="W344" s="17"/>
      <c r="X344" s="15">
        <v>303</v>
      </c>
      <c r="Y344" s="17">
        <v>251</v>
      </c>
      <c r="Z344" s="17">
        <v>506</v>
      </c>
      <c r="AA344" s="17">
        <v>2960</v>
      </c>
      <c r="AB344" s="12">
        <v>293</v>
      </c>
    </row>
    <row r="345" ht="14.25" spans="1:28">
      <c r="A345" s="13">
        <v>343</v>
      </c>
      <c r="B345" s="15">
        <v>8</v>
      </c>
      <c r="C345" s="16">
        <v>15</v>
      </c>
      <c r="D345" s="17" t="s">
        <v>697</v>
      </c>
      <c r="E345" s="17" t="s">
        <v>698</v>
      </c>
      <c r="F345" s="17">
        <v>98.5</v>
      </c>
      <c r="G345" s="17">
        <v>4145</v>
      </c>
      <c r="H345" s="17">
        <v>104.5</v>
      </c>
      <c r="I345" s="17">
        <v>2895</v>
      </c>
      <c r="J345" s="17">
        <v>91</v>
      </c>
      <c r="K345" s="17">
        <v>5010</v>
      </c>
      <c r="L345" s="17">
        <v>56</v>
      </c>
      <c r="M345" s="17">
        <v>2878</v>
      </c>
      <c r="N345" s="17"/>
      <c r="O345" s="17"/>
      <c r="P345" s="17">
        <v>63</v>
      </c>
      <c r="Q345" s="17">
        <v>7666</v>
      </c>
      <c r="R345" s="17">
        <v>79</v>
      </c>
      <c r="S345" s="17">
        <v>2629</v>
      </c>
      <c r="T345" s="17"/>
      <c r="U345" s="17"/>
      <c r="V345" s="17"/>
      <c r="W345" s="17"/>
      <c r="X345" s="15">
        <v>294</v>
      </c>
      <c r="Y345" s="17">
        <v>327</v>
      </c>
      <c r="Z345" s="17">
        <v>492</v>
      </c>
      <c r="AA345" s="17">
        <v>3646</v>
      </c>
      <c r="AB345" s="12">
        <v>363</v>
      </c>
    </row>
    <row r="346" ht="14.25" spans="1:28">
      <c r="A346" s="13">
        <v>344</v>
      </c>
      <c r="B346" s="15">
        <v>8</v>
      </c>
      <c r="C346" s="16">
        <v>16</v>
      </c>
      <c r="D346" s="17" t="s">
        <v>699</v>
      </c>
      <c r="E346" s="17" t="s">
        <v>700</v>
      </c>
      <c r="F346" s="17">
        <v>105</v>
      </c>
      <c r="G346" s="17">
        <v>1427</v>
      </c>
      <c r="H346" s="17">
        <v>112.5</v>
      </c>
      <c r="I346" s="17">
        <v>1543</v>
      </c>
      <c r="J346" s="17">
        <v>93.5</v>
      </c>
      <c r="K346" s="17">
        <v>4431</v>
      </c>
      <c r="L346" s="17">
        <v>59.5</v>
      </c>
      <c r="M346" s="17">
        <v>2274</v>
      </c>
      <c r="N346" s="17"/>
      <c r="O346" s="17"/>
      <c r="P346" s="17">
        <v>82</v>
      </c>
      <c r="Q346" s="17">
        <v>1870</v>
      </c>
      <c r="R346" s="17">
        <v>89</v>
      </c>
      <c r="S346" s="17">
        <v>415</v>
      </c>
      <c r="T346" s="17"/>
      <c r="U346" s="17"/>
      <c r="V346" s="17"/>
      <c r="W346" s="17"/>
      <c r="X346" s="15">
        <v>311</v>
      </c>
      <c r="Y346" s="17">
        <v>181</v>
      </c>
      <c r="Z346" s="17">
        <v>541.5</v>
      </c>
      <c r="AA346" s="17">
        <v>1568</v>
      </c>
      <c r="AB346" s="12">
        <v>123</v>
      </c>
    </row>
    <row r="347" ht="14.25" spans="1:28">
      <c r="A347" s="13">
        <v>345</v>
      </c>
      <c r="B347" s="15">
        <v>8</v>
      </c>
      <c r="C347" s="16">
        <v>17</v>
      </c>
      <c r="D347" s="17" t="s">
        <v>701</v>
      </c>
      <c r="E347" s="17" t="s">
        <v>702</v>
      </c>
      <c r="F347" s="17">
        <v>100.25</v>
      </c>
      <c r="G347" s="17">
        <v>3338</v>
      </c>
      <c r="H347" s="17">
        <v>109.5</v>
      </c>
      <c r="I347" s="17">
        <v>2023</v>
      </c>
      <c r="J347" s="17">
        <v>116</v>
      </c>
      <c r="K347" s="17">
        <v>807</v>
      </c>
      <c r="L347" s="17">
        <v>49.5</v>
      </c>
      <c r="M347" s="17">
        <v>4044</v>
      </c>
      <c r="N347" s="17"/>
      <c r="O347" s="17"/>
      <c r="P347" s="17">
        <v>67</v>
      </c>
      <c r="Q347" s="17">
        <v>6384</v>
      </c>
      <c r="R347" s="17">
        <v>78</v>
      </c>
      <c r="S347" s="17">
        <v>2906</v>
      </c>
      <c r="T347" s="17"/>
      <c r="U347" s="17"/>
      <c r="V347" s="17"/>
      <c r="W347" s="17"/>
      <c r="X347" s="15">
        <v>325.75</v>
      </c>
      <c r="Y347" s="17">
        <v>82</v>
      </c>
      <c r="Z347" s="17">
        <v>520.25</v>
      </c>
      <c r="AA347" s="17">
        <v>2344</v>
      </c>
      <c r="AB347" s="12">
        <v>217</v>
      </c>
    </row>
    <row r="348" ht="14.25" spans="1:28">
      <c r="A348" s="13">
        <v>346</v>
      </c>
      <c r="B348" s="15">
        <v>8</v>
      </c>
      <c r="C348" s="16">
        <v>18</v>
      </c>
      <c r="D348" s="17" t="s">
        <v>703</v>
      </c>
      <c r="E348" s="17" t="s">
        <v>704</v>
      </c>
      <c r="F348" s="17">
        <v>97</v>
      </c>
      <c r="G348" s="17">
        <v>4967</v>
      </c>
      <c r="H348" s="17">
        <v>96</v>
      </c>
      <c r="I348" s="17">
        <v>4544</v>
      </c>
      <c r="J348" s="17">
        <v>75</v>
      </c>
      <c r="K348" s="17">
        <v>9087</v>
      </c>
      <c r="L348" s="17">
        <v>40.5</v>
      </c>
      <c r="M348" s="17">
        <v>6131</v>
      </c>
      <c r="N348" s="17"/>
      <c r="O348" s="17"/>
      <c r="P348" s="17">
        <v>59</v>
      </c>
      <c r="Q348" s="17">
        <v>8996</v>
      </c>
      <c r="R348" s="17">
        <v>72</v>
      </c>
      <c r="S348" s="17">
        <v>4793</v>
      </c>
      <c r="T348" s="17"/>
      <c r="U348" s="17"/>
      <c r="V348" s="17"/>
      <c r="W348" s="17"/>
      <c r="X348" s="15">
        <v>268</v>
      </c>
      <c r="Y348" s="17">
        <v>541</v>
      </c>
      <c r="Z348" s="17">
        <v>439.5</v>
      </c>
      <c r="AA348" s="17">
        <v>6846</v>
      </c>
      <c r="AB348" s="12">
        <v>571</v>
      </c>
    </row>
    <row r="349" ht="14.25" spans="1:28">
      <c r="A349" s="13">
        <v>347</v>
      </c>
      <c r="B349" s="15">
        <v>8</v>
      </c>
      <c r="C349" s="16">
        <v>19</v>
      </c>
      <c r="D349" s="17" t="s">
        <v>705</v>
      </c>
      <c r="E349" s="17" t="s">
        <v>706</v>
      </c>
      <c r="F349" s="17">
        <v>104</v>
      </c>
      <c r="G349" s="17">
        <v>1709</v>
      </c>
      <c r="H349" s="17">
        <v>113</v>
      </c>
      <c r="I349" s="17">
        <v>1467</v>
      </c>
      <c r="J349" s="17">
        <v>100</v>
      </c>
      <c r="K349" s="17">
        <v>3038</v>
      </c>
      <c r="L349" s="17">
        <v>63</v>
      </c>
      <c r="M349" s="17">
        <v>1702</v>
      </c>
      <c r="N349" s="17"/>
      <c r="O349" s="17"/>
      <c r="P349" s="17">
        <v>79</v>
      </c>
      <c r="Q349" s="17">
        <v>2632</v>
      </c>
      <c r="R349" s="17">
        <v>73</v>
      </c>
      <c r="S349" s="17">
        <v>4436</v>
      </c>
      <c r="T349" s="17"/>
      <c r="U349" s="17"/>
      <c r="V349" s="17"/>
      <c r="W349" s="17"/>
      <c r="X349" s="15">
        <v>317</v>
      </c>
      <c r="Y349" s="17">
        <v>138</v>
      </c>
      <c r="Z349" s="17">
        <v>532</v>
      </c>
      <c r="AA349" s="17">
        <v>1873</v>
      </c>
      <c r="AB349" s="12">
        <v>158</v>
      </c>
    </row>
    <row r="350" ht="14.25" spans="1:28">
      <c r="A350" s="13">
        <v>348</v>
      </c>
      <c r="B350" s="15">
        <v>8</v>
      </c>
      <c r="C350" s="16">
        <v>20</v>
      </c>
      <c r="D350" s="17" t="s">
        <v>707</v>
      </c>
      <c r="E350" s="17" t="s">
        <v>708</v>
      </c>
      <c r="F350" s="17">
        <v>98.5</v>
      </c>
      <c r="G350" s="17">
        <v>4145</v>
      </c>
      <c r="H350" s="17">
        <v>104</v>
      </c>
      <c r="I350" s="17">
        <v>2999</v>
      </c>
      <c r="J350" s="17">
        <v>77.5</v>
      </c>
      <c r="K350" s="17">
        <v>8422</v>
      </c>
      <c r="L350" s="17">
        <v>36</v>
      </c>
      <c r="M350" s="17">
        <v>7408</v>
      </c>
      <c r="N350" s="17"/>
      <c r="O350" s="17"/>
      <c r="P350" s="17">
        <v>74</v>
      </c>
      <c r="Q350" s="17">
        <v>4168</v>
      </c>
      <c r="R350" s="17">
        <v>72</v>
      </c>
      <c r="S350" s="17">
        <v>4793</v>
      </c>
      <c r="T350" s="17"/>
      <c r="U350" s="17"/>
      <c r="V350" s="17"/>
      <c r="W350" s="17"/>
      <c r="X350" s="15">
        <v>280</v>
      </c>
      <c r="Y350" s="17">
        <v>448</v>
      </c>
      <c r="Z350" s="17">
        <v>462</v>
      </c>
      <c r="AA350" s="17">
        <v>5355</v>
      </c>
      <c r="AB350" s="12">
        <v>500</v>
      </c>
    </row>
    <row r="351" ht="14.25" spans="1:28">
      <c r="A351" s="13">
        <v>349</v>
      </c>
      <c r="B351" s="15">
        <v>8</v>
      </c>
      <c r="C351" s="16">
        <v>21</v>
      </c>
      <c r="D351" s="17" t="s">
        <v>709</v>
      </c>
      <c r="E351" s="17" t="s">
        <v>710</v>
      </c>
      <c r="F351" s="17">
        <v>64</v>
      </c>
      <c r="G351" s="17">
        <v>17227</v>
      </c>
      <c r="H351" s="17">
        <v>12</v>
      </c>
      <c r="I351" s="17">
        <v>17289</v>
      </c>
      <c r="J351" s="17">
        <v>36.25</v>
      </c>
      <c r="K351" s="17">
        <v>15398</v>
      </c>
      <c r="L351" s="17">
        <v>17</v>
      </c>
      <c r="M351" s="17">
        <v>15308</v>
      </c>
      <c r="N351" s="17"/>
      <c r="O351" s="17"/>
      <c r="P351" s="17">
        <v>38</v>
      </c>
      <c r="Q351" s="17">
        <v>12013</v>
      </c>
      <c r="R351" s="17">
        <v>38</v>
      </c>
      <c r="S351" s="17">
        <v>12664</v>
      </c>
      <c r="T351" s="17"/>
      <c r="U351" s="17"/>
      <c r="V351" s="17"/>
      <c r="W351" s="17"/>
      <c r="X351" s="15">
        <v>112.25</v>
      </c>
      <c r="Y351" s="17">
        <v>663</v>
      </c>
      <c r="Z351" s="17">
        <v>205.25</v>
      </c>
      <c r="AA351" s="17">
        <v>17345</v>
      </c>
      <c r="AB351" s="12">
        <v>663</v>
      </c>
    </row>
    <row r="352" ht="14.25" spans="1:28">
      <c r="A352" s="13">
        <v>350</v>
      </c>
      <c r="B352" s="15">
        <v>8</v>
      </c>
      <c r="C352" s="16">
        <v>22</v>
      </c>
      <c r="D352" s="17" t="s">
        <v>711</v>
      </c>
      <c r="E352" s="17" t="s">
        <v>712</v>
      </c>
      <c r="F352" s="17">
        <v>105</v>
      </c>
      <c r="G352" s="17">
        <v>1427</v>
      </c>
      <c r="H352" s="17">
        <v>88.5</v>
      </c>
      <c r="I352" s="17">
        <v>6176</v>
      </c>
      <c r="J352" s="17">
        <v>101.5</v>
      </c>
      <c r="K352" s="17">
        <v>2779</v>
      </c>
      <c r="L352" s="17">
        <v>33.5</v>
      </c>
      <c r="M352" s="17">
        <v>8240</v>
      </c>
      <c r="N352" s="17"/>
      <c r="O352" s="17"/>
      <c r="P352" s="17">
        <v>64</v>
      </c>
      <c r="Q352" s="17">
        <v>7304</v>
      </c>
      <c r="R352" s="17">
        <v>79</v>
      </c>
      <c r="S352" s="17">
        <v>2629</v>
      </c>
      <c r="T352" s="17"/>
      <c r="U352" s="17"/>
      <c r="V352" s="17"/>
      <c r="W352" s="17"/>
      <c r="X352" s="15">
        <v>295</v>
      </c>
      <c r="Y352" s="17">
        <v>314</v>
      </c>
      <c r="Z352" s="17">
        <v>471.5</v>
      </c>
      <c r="AA352" s="17">
        <v>4755</v>
      </c>
      <c r="AB352" s="12">
        <v>453</v>
      </c>
    </row>
    <row r="353" ht="14.25" spans="1:28">
      <c r="A353" s="13">
        <v>351</v>
      </c>
      <c r="B353" s="15">
        <v>8</v>
      </c>
      <c r="C353" s="16">
        <v>23</v>
      </c>
      <c r="D353" s="17" t="s">
        <v>713</v>
      </c>
      <c r="E353" s="17" t="s">
        <v>714</v>
      </c>
      <c r="F353" s="17">
        <v>107.5</v>
      </c>
      <c r="G353" s="17">
        <v>829</v>
      </c>
      <c r="H353" s="17">
        <v>94</v>
      </c>
      <c r="I353" s="17">
        <v>4942</v>
      </c>
      <c r="J353" s="17">
        <v>106</v>
      </c>
      <c r="K353" s="17">
        <v>2012</v>
      </c>
      <c r="L353" s="17">
        <v>41</v>
      </c>
      <c r="M353" s="17">
        <v>5993</v>
      </c>
      <c r="N353" s="17"/>
      <c r="O353" s="17"/>
      <c r="P353" s="17">
        <v>65</v>
      </c>
      <c r="Q353" s="17">
        <v>7113</v>
      </c>
      <c r="R353" s="17">
        <v>81</v>
      </c>
      <c r="S353" s="17">
        <v>2139</v>
      </c>
      <c r="T353" s="17"/>
      <c r="U353" s="17"/>
      <c r="V353" s="17"/>
      <c r="W353" s="17"/>
      <c r="X353" s="15">
        <v>307.5</v>
      </c>
      <c r="Y353" s="17">
        <v>214</v>
      </c>
      <c r="Z353" s="17">
        <v>494.5</v>
      </c>
      <c r="AA353" s="17">
        <v>3529</v>
      </c>
      <c r="AB353" s="12">
        <v>355</v>
      </c>
    </row>
    <row r="354" ht="14.25" spans="1:28">
      <c r="A354" s="13">
        <v>352</v>
      </c>
      <c r="B354" s="15">
        <v>8</v>
      </c>
      <c r="C354" s="16">
        <v>25</v>
      </c>
      <c r="D354" s="17" t="s">
        <v>715</v>
      </c>
      <c r="E354" s="17" t="s">
        <v>716</v>
      </c>
      <c r="F354" s="17">
        <v>100</v>
      </c>
      <c r="G354" s="17">
        <v>3368</v>
      </c>
      <c r="H354" s="17">
        <v>107</v>
      </c>
      <c r="I354" s="17">
        <v>2461</v>
      </c>
      <c r="J354" s="17">
        <v>102.5</v>
      </c>
      <c r="K354" s="17">
        <v>2600</v>
      </c>
      <c r="L354" s="17">
        <v>47.5</v>
      </c>
      <c r="M354" s="17">
        <v>4470</v>
      </c>
      <c r="N354" s="17"/>
      <c r="O354" s="17"/>
      <c r="P354" s="17">
        <v>61</v>
      </c>
      <c r="Q354" s="17">
        <v>8358</v>
      </c>
      <c r="R354" s="17">
        <v>85</v>
      </c>
      <c r="S354" s="17">
        <v>1393</v>
      </c>
      <c r="T354" s="17"/>
      <c r="U354" s="17"/>
      <c r="V354" s="17"/>
      <c r="W354" s="17"/>
      <c r="X354" s="15">
        <v>309.5</v>
      </c>
      <c r="Y354" s="17">
        <v>197</v>
      </c>
      <c r="Z354" s="17">
        <v>503</v>
      </c>
      <c r="AA354" s="17">
        <v>3099</v>
      </c>
      <c r="AB354" s="12">
        <v>310</v>
      </c>
    </row>
    <row r="355" ht="14.25" spans="1:28">
      <c r="A355" s="13">
        <v>353</v>
      </c>
      <c r="B355" s="15">
        <v>8</v>
      </c>
      <c r="C355" s="16">
        <v>26</v>
      </c>
      <c r="D355" s="17" t="s">
        <v>717</v>
      </c>
      <c r="E355" s="17" t="s">
        <v>718</v>
      </c>
      <c r="F355" s="17">
        <v>91</v>
      </c>
      <c r="G355" s="17">
        <v>8620</v>
      </c>
      <c r="H355" s="17">
        <v>107</v>
      </c>
      <c r="I355" s="17">
        <v>2461</v>
      </c>
      <c r="J355" s="17">
        <v>82.75</v>
      </c>
      <c r="K355" s="17">
        <v>7077</v>
      </c>
      <c r="L355" s="17">
        <v>59</v>
      </c>
      <c r="M355" s="17">
        <v>2358</v>
      </c>
      <c r="N355" s="17"/>
      <c r="O355" s="17"/>
      <c r="P355" s="17">
        <v>82</v>
      </c>
      <c r="Q355" s="17">
        <v>1870</v>
      </c>
      <c r="R355" s="17">
        <v>83</v>
      </c>
      <c r="S355" s="17">
        <v>1715</v>
      </c>
      <c r="T355" s="17"/>
      <c r="U355" s="17"/>
      <c r="V355" s="17"/>
      <c r="W355" s="17"/>
      <c r="X355" s="15">
        <v>280.75</v>
      </c>
      <c r="Y355" s="17">
        <v>441</v>
      </c>
      <c r="Z355" s="17">
        <v>504.75</v>
      </c>
      <c r="AA355" s="17">
        <v>3026</v>
      </c>
      <c r="AB355" s="12">
        <v>300</v>
      </c>
    </row>
    <row r="356" ht="14.25" spans="1:28">
      <c r="A356" s="13">
        <v>354</v>
      </c>
      <c r="B356" s="15">
        <v>8</v>
      </c>
      <c r="C356" s="16">
        <v>27</v>
      </c>
      <c r="D356" s="17" t="s">
        <v>719</v>
      </c>
      <c r="E356" s="17" t="s">
        <v>720</v>
      </c>
      <c r="F356" s="17">
        <v>98.75</v>
      </c>
      <c r="G356" s="17">
        <v>4121</v>
      </c>
      <c r="H356" s="17">
        <v>104.5</v>
      </c>
      <c r="I356" s="17">
        <v>2895</v>
      </c>
      <c r="J356" s="17">
        <v>100</v>
      </c>
      <c r="K356" s="17">
        <v>3038</v>
      </c>
      <c r="L356" s="17">
        <v>64</v>
      </c>
      <c r="M356" s="17">
        <v>1577</v>
      </c>
      <c r="N356" s="17"/>
      <c r="O356" s="17"/>
      <c r="P356" s="17">
        <v>73</v>
      </c>
      <c r="Q356" s="17">
        <v>4501</v>
      </c>
      <c r="R356" s="17">
        <v>88</v>
      </c>
      <c r="S356" s="17">
        <v>601</v>
      </c>
      <c r="T356" s="17"/>
      <c r="U356" s="17"/>
      <c r="V356" s="17"/>
      <c r="W356" s="17"/>
      <c r="X356" s="15">
        <v>303.25</v>
      </c>
      <c r="Y356" s="17">
        <v>249</v>
      </c>
      <c r="Z356" s="17">
        <v>528.25</v>
      </c>
      <c r="AA356" s="17">
        <v>2016</v>
      </c>
      <c r="AB356" s="12">
        <v>173</v>
      </c>
    </row>
    <row r="357" ht="14.25" spans="1:28">
      <c r="A357" s="13">
        <v>355</v>
      </c>
      <c r="B357" s="15">
        <v>8</v>
      </c>
      <c r="C357" s="16">
        <v>28</v>
      </c>
      <c r="D357" s="17" t="s">
        <v>721</v>
      </c>
      <c r="E357" s="17" t="s">
        <v>722</v>
      </c>
      <c r="F357" s="17">
        <v>106</v>
      </c>
      <c r="G357" s="17">
        <v>1174</v>
      </c>
      <c r="H357" s="17">
        <v>87.5</v>
      </c>
      <c r="I357" s="17">
        <v>6415</v>
      </c>
      <c r="J357" s="17">
        <v>107</v>
      </c>
      <c r="K357" s="17">
        <v>1871</v>
      </c>
      <c r="L357" s="17">
        <v>69</v>
      </c>
      <c r="M357" s="17">
        <v>949</v>
      </c>
      <c r="N357" s="17"/>
      <c r="O357" s="17"/>
      <c r="P357" s="17">
        <v>77</v>
      </c>
      <c r="Q357" s="17">
        <v>3207</v>
      </c>
      <c r="R357" s="17">
        <v>72</v>
      </c>
      <c r="S357" s="17">
        <v>4793</v>
      </c>
      <c r="T357" s="17"/>
      <c r="U357" s="17"/>
      <c r="V357" s="17"/>
      <c r="W357" s="17"/>
      <c r="X357" s="15">
        <v>300.5</v>
      </c>
      <c r="Y357" s="17">
        <v>273</v>
      </c>
      <c r="Z357" s="17">
        <v>518.5</v>
      </c>
      <c r="AA357" s="17">
        <v>2397</v>
      </c>
      <c r="AB357" s="12">
        <v>225</v>
      </c>
    </row>
    <row r="358" ht="14.25" spans="1:28">
      <c r="A358" s="13">
        <v>356</v>
      </c>
      <c r="B358" s="15">
        <v>8</v>
      </c>
      <c r="C358" s="16">
        <v>29</v>
      </c>
      <c r="D358" s="17" t="s">
        <v>723</v>
      </c>
      <c r="E358" s="17" t="s">
        <v>724</v>
      </c>
      <c r="F358" s="17">
        <v>101</v>
      </c>
      <c r="G358" s="17">
        <v>2896</v>
      </c>
      <c r="H358" s="17">
        <v>107</v>
      </c>
      <c r="I358" s="17">
        <v>2461</v>
      </c>
      <c r="J358" s="17">
        <v>85.5</v>
      </c>
      <c r="K358" s="17">
        <v>6376</v>
      </c>
      <c r="L358" s="17">
        <v>52.5</v>
      </c>
      <c r="M358" s="17">
        <v>3470</v>
      </c>
      <c r="N358" s="17"/>
      <c r="O358" s="17"/>
      <c r="P358" s="17">
        <v>63</v>
      </c>
      <c r="Q358" s="17">
        <v>7666</v>
      </c>
      <c r="R358" s="17">
        <v>82</v>
      </c>
      <c r="S358" s="17">
        <v>1915</v>
      </c>
      <c r="T358" s="17"/>
      <c r="U358" s="17"/>
      <c r="V358" s="17"/>
      <c r="W358" s="17"/>
      <c r="X358" s="15">
        <v>293.5</v>
      </c>
      <c r="Y358" s="17">
        <v>330</v>
      </c>
      <c r="Z358" s="17">
        <v>491</v>
      </c>
      <c r="AA358" s="17">
        <v>3691</v>
      </c>
      <c r="AB358" s="12">
        <v>369</v>
      </c>
    </row>
    <row r="359" ht="14.25" spans="1:28">
      <c r="A359" s="13">
        <v>357</v>
      </c>
      <c r="B359" s="15">
        <v>8</v>
      </c>
      <c r="C359" s="16">
        <v>31</v>
      </c>
      <c r="D359" s="17" t="s">
        <v>725</v>
      </c>
      <c r="E359" s="17" t="s">
        <v>726</v>
      </c>
      <c r="F359" s="17">
        <v>99</v>
      </c>
      <c r="G359" s="17">
        <v>3868</v>
      </c>
      <c r="H359" s="17">
        <v>114.5</v>
      </c>
      <c r="I359" s="17">
        <v>1277</v>
      </c>
      <c r="J359" s="17">
        <v>97.25</v>
      </c>
      <c r="K359" s="17">
        <v>3624</v>
      </c>
      <c r="L359" s="17">
        <v>49</v>
      </c>
      <c r="M359" s="17">
        <v>4146</v>
      </c>
      <c r="N359" s="17"/>
      <c r="O359" s="17"/>
      <c r="P359" s="17">
        <v>76</v>
      </c>
      <c r="Q359" s="17">
        <v>3515</v>
      </c>
      <c r="R359" s="17">
        <v>78</v>
      </c>
      <c r="S359" s="17">
        <v>2906</v>
      </c>
      <c r="T359" s="17"/>
      <c r="U359" s="17"/>
      <c r="V359" s="17"/>
      <c r="W359" s="17"/>
      <c r="X359" s="15">
        <v>310.75</v>
      </c>
      <c r="Y359" s="17">
        <v>183</v>
      </c>
      <c r="Z359" s="17">
        <v>513.75</v>
      </c>
      <c r="AA359" s="17">
        <v>2604</v>
      </c>
      <c r="AB359" s="12">
        <v>251</v>
      </c>
    </row>
    <row r="360" ht="14.25" spans="1:28">
      <c r="A360" s="13">
        <v>358</v>
      </c>
      <c r="B360" s="15">
        <v>8</v>
      </c>
      <c r="C360" s="16">
        <v>32</v>
      </c>
      <c r="D360" s="17" t="s">
        <v>727</v>
      </c>
      <c r="E360" s="17" t="s">
        <v>526</v>
      </c>
      <c r="F360" s="17">
        <v>92.5</v>
      </c>
      <c r="G360" s="17">
        <v>7705</v>
      </c>
      <c r="H360" s="17">
        <v>93.5</v>
      </c>
      <c r="I360" s="17">
        <v>5060</v>
      </c>
      <c r="J360" s="17">
        <v>77.5</v>
      </c>
      <c r="K360" s="17">
        <v>8422</v>
      </c>
      <c r="L360" s="17">
        <v>58.5</v>
      </c>
      <c r="M360" s="17">
        <v>2451</v>
      </c>
      <c r="N360" s="17"/>
      <c r="O360" s="17"/>
      <c r="P360" s="17">
        <v>73</v>
      </c>
      <c r="Q360" s="17">
        <v>4501</v>
      </c>
      <c r="R360" s="17">
        <v>81</v>
      </c>
      <c r="S360" s="17">
        <v>2139</v>
      </c>
      <c r="T360" s="17"/>
      <c r="U360" s="17"/>
      <c r="V360" s="17"/>
      <c r="W360" s="17"/>
      <c r="X360" s="15">
        <v>263.5</v>
      </c>
      <c r="Y360" s="17">
        <v>563</v>
      </c>
      <c r="Z360" s="17">
        <v>476</v>
      </c>
      <c r="AA360" s="17">
        <v>4490</v>
      </c>
      <c r="AB360" s="12">
        <v>432</v>
      </c>
    </row>
    <row r="361" ht="14.25" spans="1:28">
      <c r="A361" s="13">
        <v>359</v>
      </c>
      <c r="B361" s="15">
        <v>8</v>
      </c>
      <c r="C361" s="16">
        <v>33</v>
      </c>
      <c r="D361" s="17" t="s">
        <v>728</v>
      </c>
      <c r="E361" s="17" t="s">
        <v>729</v>
      </c>
      <c r="F361" s="17">
        <v>107.5</v>
      </c>
      <c r="G361" s="17">
        <v>829</v>
      </c>
      <c r="H361" s="17">
        <v>125</v>
      </c>
      <c r="I361" s="17">
        <v>360</v>
      </c>
      <c r="J361" s="17">
        <v>90.5</v>
      </c>
      <c r="K361" s="17">
        <v>5135</v>
      </c>
      <c r="L361" s="17">
        <v>64</v>
      </c>
      <c r="M361" s="17">
        <v>1577</v>
      </c>
      <c r="N361" s="17"/>
      <c r="O361" s="17"/>
      <c r="P361" s="17">
        <v>69</v>
      </c>
      <c r="Q361" s="17">
        <v>5655</v>
      </c>
      <c r="R361" s="17">
        <v>76</v>
      </c>
      <c r="S361" s="17">
        <v>3491</v>
      </c>
      <c r="T361" s="17"/>
      <c r="U361" s="17"/>
      <c r="V361" s="17"/>
      <c r="W361" s="17"/>
      <c r="X361" s="15">
        <v>323</v>
      </c>
      <c r="Y361" s="17">
        <v>99</v>
      </c>
      <c r="Z361" s="17">
        <v>532</v>
      </c>
      <c r="AA361" s="17">
        <v>1873</v>
      </c>
      <c r="AB361" s="12">
        <v>158</v>
      </c>
    </row>
    <row r="362" ht="14.25" spans="1:28">
      <c r="A362" s="13">
        <v>360</v>
      </c>
      <c r="B362" s="15">
        <v>8</v>
      </c>
      <c r="C362" s="16">
        <v>34</v>
      </c>
      <c r="D362" s="17" t="s">
        <v>730</v>
      </c>
      <c r="E362" s="17" t="s">
        <v>731</v>
      </c>
      <c r="F362" s="17">
        <v>73.25</v>
      </c>
      <c r="G362" s="17">
        <v>16463</v>
      </c>
      <c r="H362" s="17">
        <v>88.5</v>
      </c>
      <c r="I362" s="17">
        <v>6176</v>
      </c>
      <c r="J362" s="17">
        <v>81.5</v>
      </c>
      <c r="K362" s="17">
        <v>7394</v>
      </c>
      <c r="L362" s="17">
        <v>48</v>
      </c>
      <c r="M362" s="17">
        <v>4355</v>
      </c>
      <c r="N362" s="17"/>
      <c r="O362" s="17"/>
      <c r="P362" s="17">
        <v>64</v>
      </c>
      <c r="Q362" s="17">
        <v>7304</v>
      </c>
      <c r="R362" s="17">
        <v>78</v>
      </c>
      <c r="S362" s="17">
        <v>2906</v>
      </c>
      <c r="T362" s="17"/>
      <c r="U362" s="17"/>
      <c r="V362" s="17"/>
      <c r="W362" s="17"/>
      <c r="X362" s="15">
        <v>243.25</v>
      </c>
      <c r="Y362" s="17">
        <v>622</v>
      </c>
      <c r="Z362" s="17">
        <v>433.25</v>
      </c>
      <c r="AA362" s="17">
        <v>7277</v>
      </c>
      <c r="AB362" s="12">
        <v>593</v>
      </c>
    </row>
    <row r="363" ht="14.25" spans="1:28">
      <c r="A363" s="13">
        <v>361</v>
      </c>
      <c r="B363" s="15">
        <v>8</v>
      </c>
      <c r="C363" s="16">
        <v>35</v>
      </c>
      <c r="D363" s="17" t="s">
        <v>732</v>
      </c>
      <c r="E363" s="17" t="s">
        <v>733</v>
      </c>
      <c r="F363" s="17">
        <v>108</v>
      </c>
      <c r="G363" s="17">
        <v>736</v>
      </c>
      <c r="H363" s="17">
        <v>95</v>
      </c>
      <c r="I363" s="17">
        <v>4735</v>
      </c>
      <c r="J363" s="17">
        <v>92</v>
      </c>
      <c r="K363" s="17">
        <v>4787</v>
      </c>
      <c r="L363" s="17">
        <v>42</v>
      </c>
      <c r="M363" s="17">
        <v>5731</v>
      </c>
      <c r="N363" s="17"/>
      <c r="O363" s="17"/>
      <c r="P363" s="17">
        <v>81</v>
      </c>
      <c r="Q363" s="17">
        <v>2079</v>
      </c>
      <c r="R363" s="17">
        <v>79</v>
      </c>
      <c r="S363" s="17">
        <v>2629</v>
      </c>
      <c r="T363" s="17"/>
      <c r="U363" s="17"/>
      <c r="V363" s="17"/>
      <c r="W363" s="17"/>
      <c r="X363" s="15">
        <v>295</v>
      </c>
      <c r="Y363" s="17">
        <v>314</v>
      </c>
      <c r="Z363" s="17">
        <v>497</v>
      </c>
      <c r="AA363" s="17">
        <v>3380</v>
      </c>
      <c r="AB363" s="12">
        <v>345</v>
      </c>
    </row>
    <row r="364" ht="14.25" spans="1:28">
      <c r="A364" s="13">
        <v>362</v>
      </c>
      <c r="B364" s="15">
        <v>8</v>
      </c>
      <c r="C364" s="16">
        <v>36</v>
      </c>
      <c r="D364" s="17" t="s">
        <v>734</v>
      </c>
      <c r="E364" s="17" t="s">
        <v>735</v>
      </c>
      <c r="F364" s="17">
        <v>93.5</v>
      </c>
      <c r="G364" s="17">
        <v>7127</v>
      </c>
      <c r="H364" s="17">
        <v>98</v>
      </c>
      <c r="I364" s="17">
        <v>4147</v>
      </c>
      <c r="J364" s="17">
        <v>97.25</v>
      </c>
      <c r="K364" s="17">
        <v>3624</v>
      </c>
      <c r="L364" s="17">
        <v>56</v>
      </c>
      <c r="M364" s="17">
        <v>2878</v>
      </c>
      <c r="N364" s="17"/>
      <c r="O364" s="17"/>
      <c r="P364" s="17">
        <v>68</v>
      </c>
      <c r="Q364" s="17">
        <v>6016</v>
      </c>
      <c r="R364" s="17">
        <v>70</v>
      </c>
      <c r="S364" s="17">
        <v>5497</v>
      </c>
      <c r="T364" s="17"/>
      <c r="U364" s="17"/>
      <c r="V364" s="17"/>
      <c r="W364" s="17"/>
      <c r="X364" s="15">
        <v>288.75</v>
      </c>
      <c r="Y364" s="17">
        <v>375</v>
      </c>
      <c r="Z364" s="17">
        <v>482.75</v>
      </c>
      <c r="AA364" s="17">
        <v>4122</v>
      </c>
      <c r="AB364" s="12">
        <v>409</v>
      </c>
    </row>
    <row r="365" ht="14.25" spans="1:28">
      <c r="A365" s="13">
        <v>363</v>
      </c>
      <c r="B365" s="15">
        <v>8</v>
      </c>
      <c r="C365" s="16">
        <v>37</v>
      </c>
      <c r="D365" s="17" t="s">
        <v>736</v>
      </c>
      <c r="E365" s="17" t="s">
        <v>737</v>
      </c>
      <c r="F365" s="17">
        <v>104</v>
      </c>
      <c r="G365" s="17">
        <v>1709</v>
      </c>
      <c r="H365" s="17">
        <v>70</v>
      </c>
      <c r="I365" s="17">
        <v>9977</v>
      </c>
      <c r="J365" s="17">
        <v>81.5</v>
      </c>
      <c r="K365" s="17">
        <v>7394</v>
      </c>
      <c r="L365" s="17">
        <v>36.5</v>
      </c>
      <c r="M365" s="17">
        <v>7270</v>
      </c>
      <c r="N365" s="17"/>
      <c r="O365" s="17"/>
      <c r="P365" s="17">
        <v>81</v>
      </c>
      <c r="Q365" s="17">
        <v>2079</v>
      </c>
      <c r="R365" s="17">
        <v>62</v>
      </c>
      <c r="S365" s="17">
        <v>8006</v>
      </c>
      <c r="T365" s="17"/>
      <c r="U365" s="17"/>
      <c r="V365" s="17"/>
      <c r="W365" s="17"/>
      <c r="X365" s="15">
        <v>255.5</v>
      </c>
      <c r="Y365" s="17">
        <v>595</v>
      </c>
      <c r="Z365" s="17">
        <v>435</v>
      </c>
      <c r="AA365" s="17">
        <v>7153</v>
      </c>
      <c r="AB365" s="12">
        <v>586</v>
      </c>
    </row>
    <row r="366" ht="14.25" spans="1:28">
      <c r="A366" s="13">
        <v>364</v>
      </c>
      <c r="B366" s="15">
        <v>8</v>
      </c>
      <c r="C366" s="16">
        <v>38</v>
      </c>
      <c r="D366" s="17" t="s">
        <v>738</v>
      </c>
      <c r="E366" s="17" t="s">
        <v>739</v>
      </c>
      <c r="F366" s="17">
        <v>88</v>
      </c>
      <c r="G366" s="17">
        <v>10604</v>
      </c>
      <c r="H366" s="17">
        <v>93</v>
      </c>
      <c r="I366" s="17">
        <v>5192</v>
      </c>
      <c r="J366" s="17">
        <v>79</v>
      </c>
      <c r="K366" s="17">
        <v>8048</v>
      </c>
      <c r="L366" s="17">
        <v>44</v>
      </c>
      <c r="M366" s="17">
        <v>5222</v>
      </c>
      <c r="N366" s="17"/>
      <c r="O366" s="17"/>
      <c r="P366" s="17">
        <v>80</v>
      </c>
      <c r="Q366" s="17">
        <v>2333</v>
      </c>
      <c r="R366" s="17">
        <v>82</v>
      </c>
      <c r="S366" s="17">
        <v>1915</v>
      </c>
      <c r="T366" s="17"/>
      <c r="U366" s="17"/>
      <c r="V366" s="17"/>
      <c r="W366" s="17"/>
      <c r="X366" s="15">
        <v>260</v>
      </c>
      <c r="Y366" s="17">
        <v>583</v>
      </c>
      <c r="Z366" s="17">
        <v>466</v>
      </c>
      <c r="AA366" s="17">
        <v>5096</v>
      </c>
      <c r="AB366" s="12">
        <v>482</v>
      </c>
    </row>
    <row r="367" ht="14.25" spans="1:28">
      <c r="A367" s="13">
        <v>365</v>
      </c>
      <c r="B367" s="15">
        <v>8</v>
      </c>
      <c r="C367" s="16">
        <v>39</v>
      </c>
      <c r="D367" s="17" t="s">
        <v>740</v>
      </c>
      <c r="E367" s="17" t="s">
        <v>741</v>
      </c>
      <c r="F367" s="17">
        <v>103</v>
      </c>
      <c r="G367" s="17">
        <v>2094</v>
      </c>
      <c r="H367" s="17">
        <v>100</v>
      </c>
      <c r="I367" s="17">
        <v>3741</v>
      </c>
      <c r="J367" s="17">
        <v>111</v>
      </c>
      <c r="K367" s="17">
        <v>1337</v>
      </c>
      <c r="L367" s="17">
        <v>61.5</v>
      </c>
      <c r="M367" s="17">
        <v>1929</v>
      </c>
      <c r="N367" s="17"/>
      <c r="O367" s="17"/>
      <c r="P367" s="17">
        <v>76</v>
      </c>
      <c r="Q367" s="17">
        <v>3515</v>
      </c>
      <c r="R367" s="17">
        <v>88</v>
      </c>
      <c r="S367" s="17">
        <v>601</v>
      </c>
      <c r="T367" s="17"/>
      <c r="U367" s="17"/>
      <c r="V367" s="17"/>
      <c r="W367" s="17"/>
      <c r="X367" s="15">
        <v>314</v>
      </c>
      <c r="Y367" s="17">
        <v>157</v>
      </c>
      <c r="Z367" s="17">
        <v>539.5</v>
      </c>
      <c r="AA367" s="17">
        <v>1641</v>
      </c>
      <c r="AB367" s="12">
        <v>134</v>
      </c>
    </row>
    <row r="368" ht="14.25" spans="1:28">
      <c r="A368" s="13">
        <v>366</v>
      </c>
      <c r="B368" s="15">
        <v>8</v>
      </c>
      <c r="C368" s="16">
        <v>40</v>
      </c>
      <c r="D368" s="17" t="s">
        <v>742</v>
      </c>
      <c r="E368" s="17" t="s">
        <v>743</v>
      </c>
      <c r="F368" s="17">
        <v>104.25</v>
      </c>
      <c r="G368" s="17">
        <v>1691</v>
      </c>
      <c r="H368" s="17">
        <v>121</v>
      </c>
      <c r="I368" s="17">
        <v>621</v>
      </c>
      <c r="J368" s="17">
        <v>95.75</v>
      </c>
      <c r="K368" s="17">
        <v>3946</v>
      </c>
      <c r="L368" s="17">
        <v>61.5</v>
      </c>
      <c r="M368" s="17">
        <v>1929</v>
      </c>
      <c r="N368" s="17"/>
      <c r="O368" s="17"/>
      <c r="P368" s="17">
        <v>84</v>
      </c>
      <c r="Q368" s="17">
        <v>1443</v>
      </c>
      <c r="R368" s="17">
        <v>67</v>
      </c>
      <c r="S368" s="17">
        <v>6298</v>
      </c>
      <c r="T368" s="17"/>
      <c r="U368" s="17"/>
      <c r="V368" s="17"/>
      <c r="W368" s="17"/>
      <c r="X368" s="15">
        <v>321</v>
      </c>
      <c r="Y368" s="17">
        <v>108</v>
      </c>
      <c r="Z368" s="17">
        <v>533.5</v>
      </c>
      <c r="AA368" s="17">
        <v>1821</v>
      </c>
      <c r="AB368" s="12">
        <v>154</v>
      </c>
    </row>
    <row r="369" ht="14.25" spans="1:28">
      <c r="A369" s="13">
        <v>367</v>
      </c>
      <c r="B369" s="15">
        <v>8</v>
      </c>
      <c r="C369" s="16">
        <v>41</v>
      </c>
      <c r="D369" s="17" t="s">
        <v>744</v>
      </c>
      <c r="E369" s="17" t="s">
        <v>745</v>
      </c>
      <c r="F369" s="17">
        <v>93</v>
      </c>
      <c r="G369" s="17">
        <v>7407</v>
      </c>
      <c r="H369" s="17">
        <v>77.5</v>
      </c>
      <c r="I369" s="17">
        <v>8540</v>
      </c>
      <c r="J369" s="17">
        <v>88.5</v>
      </c>
      <c r="K369" s="17">
        <v>5628</v>
      </c>
      <c r="L369" s="17">
        <v>44</v>
      </c>
      <c r="M369" s="17">
        <v>5222</v>
      </c>
      <c r="N369" s="17"/>
      <c r="O369" s="17"/>
      <c r="P369" s="17">
        <v>58</v>
      </c>
      <c r="Q369" s="17">
        <v>9299</v>
      </c>
      <c r="R369" s="17">
        <v>63</v>
      </c>
      <c r="S369" s="17">
        <v>7638</v>
      </c>
      <c r="T369" s="17"/>
      <c r="U369" s="17"/>
      <c r="V369" s="17"/>
      <c r="W369" s="17"/>
      <c r="X369" s="15">
        <v>259</v>
      </c>
      <c r="Y369" s="17">
        <v>585</v>
      </c>
      <c r="Z369" s="17">
        <v>424</v>
      </c>
      <c r="AA369" s="17">
        <v>7921</v>
      </c>
      <c r="AB369" s="12">
        <v>616</v>
      </c>
    </row>
    <row r="370" ht="14.25" spans="1:28">
      <c r="A370" s="13">
        <v>368</v>
      </c>
      <c r="B370" s="15">
        <v>8</v>
      </c>
      <c r="C370" s="16">
        <v>42</v>
      </c>
      <c r="D370" s="17" t="s">
        <v>746</v>
      </c>
      <c r="E370" s="17" t="s">
        <v>747</v>
      </c>
      <c r="F370" s="17">
        <v>100.5</v>
      </c>
      <c r="G370" s="17">
        <v>3131</v>
      </c>
      <c r="H370" s="17">
        <v>111.5</v>
      </c>
      <c r="I370" s="17">
        <v>1692</v>
      </c>
      <c r="J370" s="17">
        <v>72</v>
      </c>
      <c r="K370" s="17">
        <v>9847</v>
      </c>
      <c r="L370" s="17">
        <v>67</v>
      </c>
      <c r="M370" s="17">
        <v>1188</v>
      </c>
      <c r="N370" s="17"/>
      <c r="O370" s="17"/>
      <c r="P370" s="17">
        <v>86</v>
      </c>
      <c r="Q370" s="17">
        <v>1052</v>
      </c>
      <c r="R370" s="17">
        <v>88</v>
      </c>
      <c r="S370" s="17">
        <v>601</v>
      </c>
      <c r="T370" s="17"/>
      <c r="U370" s="17"/>
      <c r="V370" s="17"/>
      <c r="W370" s="17"/>
      <c r="X370" s="15">
        <v>284</v>
      </c>
      <c r="Y370" s="17">
        <v>408</v>
      </c>
      <c r="Z370" s="17">
        <v>525</v>
      </c>
      <c r="AA370" s="17">
        <v>2137</v>
      </c>
      <c r="AB370" s="12">
        <v>186</v>
      </c>
    </row>
    <row r="371" ht="14.25" spans="1:28">
      <c r="A371" s="13">
        <v>369</v>
      </c>
      <c r="B371" s="15">
        <v>8</v>
      </c>
      <c r="C371" s="16">
        <v>43</v>
      </c>
      <c r="D371" s="17" t="s">
        <v>748</v>
      </c>
      <c r="E371" s="17" t="s">
        <v>749</v>
      </c>
      <c r="F371" s="17">
        <v>90.5</v>
      </c>
      <c r="G371" s="17">
        <v>8999</v>
      </c>
      <c r="H371" s="17">
        <v>82.5</v>
      </c>
      <c r="I371" s="17">
        <v>7529</v>
      </c>
      <c r="J371" s="17">
        <v>94.5</v>
      </c>
      <c r="K371" s="17">
        <v>4208</v>
      </c>
      <c r="L371" s="17">
        <v>51</v>
      </c>
      <c r="M371" s="17">
        <v>3730</v>
      </c>
      <c r="N371" s="17"/>
      <c r="O371" s="17"/>
      <c r="P371" s="17">
        <v>61</v>
      </c>
      <c r="Q371" s="17">
        <v>8358</v>
      </c>
      <c r="R371" s="17">
        <v>55</v>
      </c>
      <c r="S371" s="17">
        <v>10186</v>
      </c>
      <c r="T371" s="17"/>
      <c r="U371" s="17"/>
      <c r="V371" s="17"/>
      <c r="W371" s="17"/>
      <c r="X371" s="15">
        <v>267.5</v>
      </c>
      <c r="Y371" s="17">
        <v>543</v>
      </c>
      <c r="Z371" s="17">
        <v>434.5</v>
      </c>
      <c r="AA371" s="17">
        <v>7170</v>
      </c>
      <c r="AB371" s="12">
        <v>588</v>
      </c>
    </row>
    <row r="372" ht="14.25" spans="1:28">
      <c r="A372" s="13">
        <v>370</v>
      </c>
      <c r="B372" s="15">
        <v>8</v>
      </c>
      <c r="C372" s="16">
        <v>44</v>
      </c>
      <c r="D372" s="17" t="s">
        <v>750</v>
      </c>
      <c r="E372" s="17" t="s">
        <v>751</v>
      </c>
      <c r="F372" s="17">
        <v>106.25</v>
      </c>
      <c r="G372" s="17">
        <v>1151</v>
      </c>
      <c r="H372" s="17">
        <v>58</v>
      </c>
      <c r="I372" s="17">
        <v>12196</v>
      </c>
      <c r="J372" s="17">
        <v>49.25</v>
      </c>
      <c r="K372" s="17">
        <v>14103</v>
      </c>
      <c r="L372" s="17">
        <v>39</v>
      </c>
      <c r="M372" s="17">
        <v>6535</v>
      </c>
      <c r="N372" s="17"/>
      <c r="O372" s="17"/>
      <c r="P372" s="17">
        <v>60</v>
      </c>
      <c r="Q372" s="17">
        <v>8673</v>
      </c>
      <c r="R372" s="17">
        <v>64</v>
      </c>
      <c r="S372" s="17">
        <v>7440</v>
      </c>
      <c r="T372" s="17"/>
      <c r="U372" s="17"/>
      <c r="V372" s="17"/>
      <c r="W372" s="17"/>
      <c r="X372" s="15">
        <v>213.5</v>
      </c>
      <c r="Y372" s="17">
        <v>658</v>
      </c>
      <c r="Z372" s="17">
        <v>376.5</v>
      </c>
      <c r="AA372" s="17">
        <v>11265</v>
      </c>
      <c r="AB372" s="12">
        <v>654</v>
      </c>
    </row>
    <row r="373" ht="14.25" spans="1:28">
      <c r="A373" s="13">
        <v>371</v>
      </c>
      <c r="B373" s="15">
        <v>8</v>
      </c>
      <c r="C373" s="16">
        <v>45</v>
      </c>
      <c r="D373" s="17" t="s">
        <v>752</v>
      </c>
      <c r="E373" s="17" t="s">
        <v>753</v>
      </c>
      <c r="F373" s="17">
        <v>87</v>
      </c>
      <c r="G373" s="17">
        <v>11216</v>
      </c>
      <c r="H373" s="17">
        <v>83.5</v>
      </c>
      <c r="I373" s="17">
        <v>7321</v>
      </c>
      <c r="J373" s="17">
        <v>61</v>
      </c>
      <c r="K373" s="17">
        <v>12262</v>
      </c>
      <c r="L373" s="17">
        <v>33.5</v>
      </c>
      <c r="M373" s="17">
        <v>8240</v>
      </c>
      <c r="N373" s="17"/>
      <c r="O373" s="17"/>
      <c r="P373" s="17">
        <v>52</v>
      </c>
      <c r="Q373" s="17">
        <v>10512</v>
      </c>
      <c r="R373" s="17">
        <v>71</v>
      </c>
      <c r="S373" s="17">
        <v>5151</v>
      </c>
      <c r="T373" s="17"/>
      <c r="U373" s="17"/>
      <c r="V373" s="17"/>
      <c r="W373" s="17"/>
      <c r="X373" s="15">
        <v>231.5</v>
      </c>
      <c r="Y373" s="17">
        <v>645</v>
      </c>
      <c r="Z373" s="17">
        <v>388</v>
      </c>
      <c r="AA373" s="17">
        <v>10517</v>
      </c>
      <c r="AB373" s="12">
        <v>646</v>
      </c>
    </row>
    <row r="374" ht="14.25" spans="1:28">
      <c r="A374" s="13">
        <v>372</v>
      </c>
      <c r="B374" s="15">
        <v>8</v>
      </c>
      <c r="C374" s="16">
        <v>46</v>
      </c>
      <c r="D374" s="17" t="s">
        <v>754</v>
      </c>
      <c r="E374" s="17" t="s">
        <v>755</v>
      </c>
      <c r="F374" s="17">
        <v>86.5</v>
      </c>
      <c r="G374" s="17">
        <v>11527</v>
      </c>
      <c r="H374" s="17">
        <v>124</v>
      </c>
      <c r="I374" s="17">
        <v>418</v>
      </c>
      <c r="J374" s="17">
        <v>79.75</v>
      </c>
      <c r="K374" s="17">
        <v>7889</v>
      </c>
      <c r="L374" s="17">
        <v>65.5</v>
      </c>
      <c r="M374" s="17">
        <v>1373</v>
      </c>
      <c r="N374" s="17"/>
      <c r="O374" s="17"/>
      <c r="P374" s="17">
        <v>87</v>
      </c>
      <c r="Q374" s="17">
        <v>681</v>
      </c>
      <c r="R374" s="17">
        <v>91</v>
      </c>
      <c r="S374" s="17">
        <v>151</v>
      </c>
      <c r="T374" s="17"/>
      <c r="U374" s="17"/>
      <c r="V374" s="17"/>
      <c r="W374" s="17"/>
      <c r="X374" s="15">
        <v>290.25</v>
      </c>
      <c r="Y374" s="17">
        <v>368</v>
      </c>
      <c r="Z374" s="17">
        <v>533.75</v>
      </c>
      <c r="AA374" s="17">
        <v>1814</v>
      </c>
      <c r="AB374" s="12">
        <v>153</v>
      </c>
    </row>
    <row r="375" ht="14.25" spans="1:28">
      <c r="A375" s="13">
        <v>373</v>
      </c>
      <c r="B375" s="15">
        <v>8</v>
      </c>
      <c r="C375" s="16">
        <v>47</v>
      </c>
      <c r="D375" s="17" t="s">
        <v>756</v>
      </c>
      <c r="E375" s="17" t="s">
        <v>757</v>
      </c>
      <c r="F375" s="17">
        <v>94.5</v>
      </c>
      <c r="G375" s="17">
        <v>6496</v>
      </c>
      <c r="H375" s="17">
        <v>89</v>
      </c>
      <c r="I375" s="17">
        <v>6077</v>
      </c>
      <c r="J375" s="17">
        <v>91.25</v>
      </c>
      <c r="K375" s="17">
        <v>4978</v>
      </c>
      <c r="L375" s="17">
        <v>55.5</v>
      </c>
      <c r="M375" s="17">
        <v>2964</v>
      </c>
      <c r="N375" s="17"/>
      <c r="O375" s="17"/>
      <c r="P375" s="17">
        <v>70</v>
      </c>
      <c r="Q375" s="17">
        <v>5445</v>
      </c>
      <c r="R375" s="17">
        <v>66</v>
      </c>
      <c r="S375" s="17">
        <v>6674</v>
      </c>
      <c r="T375" s="17"/>
      <c r="U375" s="17"/>
      <c r="V375" s="17"/>
      <c r="W375" s="17"/>
      <c r="X375" s="15">
        <v>274.75</v>
      </c>
      <c r="Y375" s="17">
        <v>501</v>
      </c>
      <c r="Z375" s="17">
        <v>466.25</v>
      </c>
      <c r="AA375" s="17">
        <v>5079</v>
      </c>
      <c r="AB375" s="12">
        <v>480</v>
      </c>
    </row>
    <row r="376" ht="14.25" spans="1:28">
      <c r="A376" s="13">
        <v>374</v>
      </c>
      <c r="B376" s="15">
        <v>8</v>
      </c>
      <c r="C376" s="16">
        <v>48</v>
      </c>
      <c r="D376" s="17" t="s">
        <v>758</v>
      </c>
      <c r="E376" s="17" t="s">
        <v>759</v>
      </c>
      <c r="F376" s="17">
        <v>100.5</v>
      </c>
      <c r="G376" s="17">
        <v>3131</v>
      </c>
      <c r="H376" s="17">
        <v>85.5</v>
      </c>
      <c r="I376" s="17">
        <v>6851</v>
      </c>
      <c r="J376" s="17">
        <v>115</v>
      </c>
      <c r="K376" s="17">
        <v>911</v>
      </c>
      <c r="L376" s="17">
        <v>43</v>
      </c>
      <c r="M376" s="17">
        <v>5463</v>
      </c>
      <c r="N376" s="17"/>
      <c r="O376" s="17"/>
      <c r="P376" s="17">
        <v>79</v>
      </c>
      <c r="Q376" s="17">
        <v>2632</v>
      </c>
      <c r="R376" s="17">
        <v>65</v>
      </c>
      <c r="S376" s="17">
        <v>7060</v>
      </c>
      <c r="T376" s="17"/>
      <c r="U376" s="17"/>
      <c r="V376" s="17"/>
      <c r="W376" s="17"/>
      <c r="X376" s="15">
        <v>301</v>
      </c>
      <c r="Y376" s="17">
        <v>271</v>
      </c>
      <c r="Z376" s="17">
        <v>488</v>
      </c>
      <c r="AA376" s="17">
        <v>3842</v>
      </c>
      <c r="AB376" s="12">
        <v>388</v>
      </c>
    </row>
    <row r="377" ht="14.25" spans="1:28">
      <c r="A377" s="13">
        <v>375</v>
      </c>
      <c r="B377" s="15">
        <v>8</v>
      </c>
      <c r="C377" s="16">
        <v>49</v>
      </c>
      <c r="D377" s="17" t="s">
        <v>760</v>
      </c>
      <c r="E377" s="17" t="s">
        <v>761</v>
      </c>
      <c r="F377" s="17">
        <v>108.5</v>
      </c>
      <c r="G377" s="17">
        <v>650</v>
      </c>
      <c r="H377" s="17">
        <v>120</v>
      </c>
      <c r="I377" s="17">
        <v>708</v>
      </c>
      <c r="J377" s="17">
        <v>115.5</v>
      </c>
      <c r="K377" s="17">
        <v>849</v>
      </c>
      <c r="L377" s="17">
        <v>66.5</v>
      </c>
      <c r="M377" s="17">
        <v>1237</v>
      </c>
      <c r="N377" s="17"/>
      <c r="O377" s="17"/>
      <c r="P377" s="17">
        <v>89</v>
      </c>
      <c r="Q377" s="17">
        <v>222</v>
      </c>
      <c r="R377" s="17">
        <v>88</v>
      </c>
      <c r="S377" s="17">
        <v>601</v>
      </c>
      <c r="T377" s="17"/>
      <c r="U377" s="17"/>
      <c r="V377" s="17"/>
      <c r="W377" s="17"/>
      <c r="X377" s="15">
        <v>344</v>
      </c>
      <c r="Y377" s="17">
        <v>20</v>
      </c>
      <c r="Z377" s="17">
        <v>587.5</v>
      </c>
      <c r="AA377" s="17">
        <v>384</v>
      </c>
      <c r="AB377" s="12">
        <v>21</v>
      </c>
    </row>
    <row r="378" ht="14.25" spans="1:28">
      <c r="A378" s="13">
        <v>376</v>
      </c>
      <c r="B378" s="15">
        <v>8</v>
      </c>
      <c r="C378" s="16">
        <v>50</v>
      </c>
      <c r="D378" s="17" t="s">
        <v>762</v>
      </c>
      <c r="E378" s="17" t="s">
        <v>763</v>
      </c>
      <c r="F378" s="17">
        <v>102.5</v>
      </c>
      <c r="G378" s="17">
        <v>2274</v>
      </c>
      <c r="H378" s="17">
        <v>110.5</v>
      </c>
      <c r="I378" s="17">
        <v>1866</v>
      </c>
      <c r="J378" s="17">
        <v>107.25</v>
      </c>
      <c r="K378" s="17">
        <v>1847</v>
      </c>
      <c r="L378" s="17">
        <v>62.5</v>
      </c>
      <c r="M378" s="17">
        <v>1781</v>
      </c>
      <c r="N378" s="17"/>
      <c r="O378" s="17"/>
      <c r="P378" s="17">
        <v>84</v>
      </c>
      <c r="Q378" s="17">
        <v>1443</v>
      </c>
      <c r="R378" s="17">
        <v>73</v>
      </c>
      <c r="S378" s="17">
        <v>4436</v>
      </c>
      <c r="T378" s="17"/>
      <c r="U378" s="17"/>
      <c r="V378" s="17"/>
      <c r="W378" s="17"/>
      <c r="X378" s="15">
        <v>320.25</v>
      </c>
      <c r="Y378" s="17">
        <v>114</v>
      </c>
      <c r="Z378" s="17">
        <v>539.75</v>
      </c>
      <c r="AA378" s="17">
        <v>1628</v>
      </c>
      <c r="AB378" s="12">
        <v>132</v>
      </c>
    </row>
    <row r="379" ht="14.25" spans="1:28">
      <c r="A379" s="13">
        <v>377</v>
      </c>
      <c r="B379" s="15">
        <v>8</v>
      </c>
      <c r="C379" s="16">
        <v>51</v>
      </c>
      <c r="D379" s="17" t="s">
        <v>764</v>
      </c>
      <c r="E379" s="17" t="s">
        <v>765</v>
      </c>
      <c r="F379" s="17">
        <v>110.5</v>
      </c>
      <c r="G379" s="17">
        <v>372</v>
      </c>
      <c r="H379" s="17">
        <v>102.5</v>
      </c>
      <c r="I379" s="17">
        <v>3278</v>
      </c>
      <c r="J379" s="17">
        <v>96.5</v>
      </c>
      <c r="K379" s="17">
        <v>3746</v>
      </c>
      <c r="L379" s="17">
        <v>39.5</v>
      </c>
      <c r="M379" s="17">
        <v>6404</v>
      </c>
      <c r="N379" s="17"/>
      <c r="O379" s="17"/>
      <c r="P379" s="17">
        <v>74</v>
      </c>
      <c r="Q379" s="17">
        <v>4168</v>
      </c>
      <c r="R379" s="17">
        <v>60</v>
      </c>
      <c r="S379" s="17">
        <v>8759</v>
      </c>
      <c r="T379" s="17"/>
      <c r="U379" s="17"/>
      <c r="V379" s="17"/>
      <c r="W379" s="17"/>
      <c r="X379" s="15">
        <v>309.5</v>
      </c>
      <c r="Y379" s="17">
        <v>197</v>
      </c>
      <c r="Z379" s="17">
        <v>483</v>
      </c>
      <c r="AA379" s="17">
        <v>4100</v>
      </c>
      <c r="AB379" s="12">
        <v>407</v>
      </c>
    </row>
    <row r="380" ht="14.25" spans="1:28">
      <c r="A380" s="13">
        <v>378</v>
      </c>
      <c r="B380" s="15">
        <v>8</v>
      </c>
      <c r="C380" s="16">
        <v>52</v>
      </c>
      <c r="D380" s="19" t="s">
        <v>766</v>
      </c>
      <c r="E380" s="17" t="s">
        <v>767</v>
      </c>
      <c r="F380" s="17">
        <v>96</v>
      </c>
      <c r="G380" s="17">
        <v>5544</v>
      </c>
      <c r="H380" s="17">
        <v>98</v>
      </c>
      <c r="I380" s="17">
        <v>4147</v>
      </c>
      <c r="J380" s="17">
        <v>82.75</v>
      </c>
      <c r="K380" s="17">
        <v>7077</v>
      </c>
      <c r="L380" s="17">
        <v>57.5</v>
      </c>
      <c r="M380" s="17">
        <v>2619</v>
      </c>
      <c r="N380" s="17"/>
      <c r="O380" s="17"/>
      <c r="P380" s="17">
        <v>69</v>
      </c>
      <c r="Q380" s="17">
        <v>5655</v>
      </c>
      <c r="R380" s="17">
        <v>72</v>
      </c>
      <c r="S380" s="17">
        <v>4793</v>
      </c>
      <c r="T380" s="17"/>
      <c r="U380" s="17"/>
      <c r="V380" s="17"/>
      <c r="W380" s="17"/>
      <c r="X380" s="15">
        <v>276.75</v>
      </c>
      <c r="Y380" s="17">
        <v>487</v>
      </c>
      <c r="Z380" s="17">
        <v>475.25</v>
      </c>
      <c r="AA380" s="17">
        <v>4533</v>
      </c>
      <c r="AB380" s="12">
        <v>437</v>
      </c>
    </row>
    <row r="381" ht="14.25" spans="1:28">
      <c r="A381" s="13">
        <v>379</v>
      </c>
      <c r="B381" s="15">
        <v>8</v>
      </c>
      <c r="C381" s="16">
        <v>53</v>
      </c>
      <c r="D381" s="17" t="s">
        <v>768</v>
      </c>
      <c r="E381" s="17" t="s">
        <v>769</v>
      </c>
      <c r="F381" s="17">
        <v>101.5</v>
      </c>
      <c r="G381" s="17">
        <v>2674</v>
      </c>
      <c r="H381" s="17">
        <v>101.5</v>
      </c>
      <c r="I381" s="17">
        <v>3477</v>
      </c>
      <c r="J381" s="17">
        <v>96</v>
      </c>
      <c r="K381" s="17">
        <v>3851</v>
      </c>
      <c r="L381" s="17">
        <v>39</v>
      </c>
      <c r="M381" s="17">
        <v>6535</v>
      </c>
      <c r="N381" s="17"/>
      <c r="O381" s="17"/>
      <c r="P381" s="17">
        <v>68</v>
      </c>
      <c r="Q381" s="17">
        <v>6016</v>
      </c>
      <c r="R381" s="17">
        <v>80</v>
      </c>
      <c r="S381" s="17">
        <v>2376</v>
      </c>
      <c r="T381" s="17"/>
      <c r="U381" s="17"/>
      <c r="V381" s="17"/>
      <c r="W381" s="17"/>
      <c r="X381" s="15">
        <v>299</v>
      </c>
      <c r="Y381" s="17">
        <v>284</v>
      </c>
      <c r="Z381" s="17">
        <v>486</v>
      </c>
      <c r="AA381" s="17">
        <v>3940</v>
      </c>
      <c r="AB381" s="12">
        <v>394</v>
      </c>
    </row>
    <row r="382" ht="14.25" spans="1:28">
      <c r="A382" s="13">
        <v>380</v>
      </c>
      <c r="B382" s="15">
        <v>8</v>
      </c>
      <c r="C382" s="16">
        <v>54</v>
      </c>
      <c r="D382" s="17" t="s">
        <v>770</v>
      </c>
      <c r="E382" s="17" t="s">
        <v>771</v>
      </c>
      <c r="F382" s="17">
        <v>107</v>
      </c>
      <c r="G382" s="17">
        <v>945</v>
      </c>
      <c r="H382" s="17">
        <v>101.5</v>
      </c>
      <c r="I382" s="17">
        <v>3477</v>
      </c>
      <c r="J382" s="17">
        <v>110</v>
      </c>
      <c r="K382" s="17">
        <v>1448</v>
      </c>
      <c r="L382" s="17">
        <v>64.5</v>
      </c>
      <c r="M382" s="17">
        <v>1506</v>
      </c>
      <c r="N382" s="17"/>
      <c r="O382" s="17"/>
      <c r="P382" s="17">
        <v>71</v>
      </c>
      <c r="Q382" s="17">
        <v>5258</v>
      </c>
      <c r="R382" s="17">
        <v>78</v>
      </c>
      <c r="S382" s="17">
        <v>2906</v>
      </c>
      <c r="T382" s="17"/>
      <c r="U382" s="17"/>
      <c r="V382" s="17"/>
      <c r="W382" s="17"/>
      <c r="X382" s="15">
        <v>318.5</v>
      </c>
      <c r="Y382" s="17">
        <v>127</v>
      </c>
      <c r="Z382" s="17">
        <v>532</v>
      </c>
      <c r="AA382" s="17">
        <v>1873</v>
      </c>
      <c r="AB382" s="12">
        <v>158</v>
      </c>
    </row>
    <row r="383" ht="14.25" spans="1:28">
      <c r="A383" s="13">
        <v>381</v>
      </c>
      <c r="B383" s="15">
        <v>8</v>
      </c>
      <c r="C383" s="16">
        <v>55</v>
      </c>
      <c r="D383" s="19" t="s">
        <v>772</v>
      </c>
      <c r="E383" s="17" t="s">
        <v>773</v>
      </c>
      <c r="F383" s="17">
        <v>95.5</v>
      </c>
      <c r="G383" s="17">
        <v>5877</v>
      </c>
      <c r="H383" s="17">
        <v>115.5</v>
      </c>
      <c r="I383" s="17">
        <v>1149</v>
      </c>
      <c r="J383" s="17">
        <v>106.5</v>
      </c>
      <c r="K383" s="17">
        <v>1929</v>
      </c>
      <c r="L383" s="17">
        <v>45.5</v>
      </c>
      <c r="M383" s="17">
        <v>4898</v>
      </c>
      <c r="N383" s="17"/>
      <c r="O383" s="17"/>
      <c r="P383" s="17">
        <v>74</v>
      </c>
      <c r="Q383" s="17">
        <v>4168</v>
      </c>
      <c r="R383" s="17">
        <v>77</v>
      </c>
      <c r="S383" s="17">
        <v>3183</v>
      </c>
      <c r="T383" s="17"/>
      <c r="U383" s="17"/>
      <c r="V383" s="17"/>
      <c r="W383" s="17"/>
      <c r="X383" s="15">
        <v>317.5</v>
      </c>
      <c r="Y383" s="17">
        <v>135</v>
      </c>
      <c r="Z383" s="17">
        <v>514</v>
      </c>
      <c r="AA383" s="17">
        <v>2591</v>
      </c>
      <c r="AB383" s="12">
        <v>249</v>
      </c>
    </row>
    <row r="384" ht="14.25" spans="1:28">
      <c r="A384" s="13">
        <v>382</v>
      </c>
      <c r="B384" s="15">
        <v>8</v>
      </c>
      <c r="C384" s="16">
        <v>58</v>
      </c>
      <c r="D384" s="17" t="s">
        <v>774</v>
      </c>
      <c r="E384" s="17" t="s">
        <v>775</v>
      </c>
      <c r="F384" s="17">
        <v>102.5</v>
      </c>
      <c r="G384" s="17">
        <v>2274</v>
      </c>
      <c r="H384" s="17">
        <v>99.5</v>
      </c>
      <c r="I384" s="17">
        <v>3847</v>
      </c>
      <c r="J384" s="17">
        <v>87</v>
      </c>
      <c r="K384" s="17">
        <v>5999</v>
      </c>
      <c r="L384" s="17">
        <v>56</v>
      </c>
      <c r="M384" s="17">
        <v>2878</v>
      </c>
      <c r="N384" s="17"/>
      <c r="O384" s="17"/>
      <c r="P384" s="17">
        <v>64</v>
      </c>
      <c r="Q384" s="17">
        <v>7304</v>
      </c>
      <c r="R384" s="17">
        <v>60</v>
      </c>
      <c r="S384" s="17">
        <v>8759</v>
      </c>
      <c r="T384" s="17"/>
      <c r="U384" s="17"/>
      <c r="V384" s="17"/>
      <c r="W384" s="17"/>
      <c r="X384" s="15">
        <v>289</v>
      </c>
      <c r="Y384" s="17">
        <v>373</v>
      </c>
      <c r="Z384" s="17">
        <v>469</v>
      </c>
      <c r="AA384" s="17">
        <v>4901</v>
      </c>
      <c r="AB384" s="12">
        <v>462</v>
      </c>
    </row>
    <row r="385" ht="14.25" spans="1:28">
      <c r="A385" s="13">
        <v>383</v>
      </c>
      <c r="B385" s="15">
        <v>8</v>
      </c>
      <c r="C385" s="16">
        <v>59</v>
      </c>
      <c r="D385" s="17" t="s">
        <v>776</v>
      </c>
      <c r="E385" s="17" t="s">
        <v>777</v>
      </c>
      <c r="F385" s="17">
        <v>100.5</v>
      </c>
      <c r="G385" s="17">
        <v>3131</v>
      </c>
      <c r="H385" s="17">
        <v>97.5</v>
      </c>
      <c r="I385" s="17">
        <v>4244</v>
      </c>
      <c r="J385" s="17">
        <v>89.75</v>
      </c>
      <c r="K385" s="17">
        <v>5344</v>
      </c>
      <c r="L385" s="17">
        <v>53.5</v>
      </c>
      <c r="M385" s="17">
        <v>3296</v>
      </c>
      <c r="N385" s="17"/>
      <c r="O385" s="17"/>
      <c r="P385" s="17">
        <v>68</v>
      </c>
      <c r="Q385" s="17">
        <v>6016</v>
      </c>
      <c r="R385" s="17">
        <v>73</v>
      </c>
      <c r="S385" s="17">
        <v>4436</v>
      </c>
      <c r="T385" s="17"/>
      <c r="U385" s="17"/>
      <c r="V385" s="17"/>
      <c r="W385" s="17"/>
      <c r="X385" s="15">
        <v>287.75</v>
      </c>
      <c r="Y385" s="17">
        <v>380</v>
      </c>
      <c r="Z385" s="17">
        <v>482.25</v>
      </c>
      <c r="AA385" s="17">
        <v>4150</v>
      </c>
      <c r="AB385" s="12">
        <v>413</v>
      </c>
    </row>
    <row r="386" ht="14.25" spans="1:28">
      <c r="A386" s="13">
        <v>384</v>
      </c>
      <c r="B386" s="15">
        <v>8</v>
      </c>
      <c r="C386" s="16">
        <v>60</v>
      </c>
      <c r="D386" s="17" t="s">
        <v>778</v>
      </c>
      <c r="E386" s="17" t="s">
        <v>779</v>
      </c>
      <c r="F386" s="17">
        <v>106.25</v>
      </c>
      <c r="G386" s="17">
        <v>1151</v>
      </c>
      <c r="H386" s="17">
        <v>123.5</v>
      </c>
      <c r="I386" s="17">
        <v>452</v>
      </c>
      <c r="J386" s="17">
        <v>84.25</v>
      </c>
      <c r="K386" s="17">
        <v>6713</v>
      </c>
      <c r="L386" s="17">
        <v>66</v>
      </c>
      <c r="M386" s="17">
        <v>1304</v>
      </c>
      <c r="N386" s="17"/>
      <c r="O386" s="17"/>
      <c r="P386" s="17">
        <v>88</v>
      </c>
      <c r="Q386" s="17">
        <v>397</v>
      </c>
      <c r="R386" s="17">
        <v>82</v>
      </c>
      <c r="S386" s="17">
        <v>1915</v>
      </c>
      <c r="T386" s="17"/>
      <c r="U386" s="17"/>
      <c r="V386" s="17"/>
      <c r="W386" s="17"/>
      <c r="X386" s="15">
        <v>314</v>
      </c>
      <c r="Y386" s="17">
        <v>157</v>
      </c>
      <c r="Z386" s="17">
        <v>550</v>
      </c>
      <c r="AA386" s="17">
        <v>1284</v>
      </c>
      <c r="AB386" s="12">
        <v>97</v>
      </c>
    </row>
    <row r="387" ht="14.25" spans="1:28">
      <c r="A387" s="13">
        <v>385</v>
      </c>
      <c r="B387" s="15">
        <v>8</v>
      </c>
      <c r="C387" s="16">
        <v>61</v>
      </c>
      <c r="D387" s="17" t="s">
        <v>780</v>
      </c>
      <c r="E387" s="17" t="s">
        <v>781</v>
      </c>
      <c r="F387" s="17">
        <v>109.5</v>
      </c>
      <c r="G387" s="17">
        <v>495</v>
      </c>
      <c r="H387" s="17">
        <v>92.5</v>
      </c>
      <c r="I387" s="17">
        <v>5299</v>
      </c>
      <c r="J387" s="17">
        <v>116</v>
      </c>
      <c r="K387" s="17">
        <v>807</v>
      </c>
      <c r="L387" s="17">
        <v>63.5</v>
      </c>
      <c r="M387" s="17">
        <v>1636</v>
      </c>
      <c r="N387" s="17"/>
      <c r="O387" s="17"/>
      <c r="P387" s="17">
        <v>79</v>
      </c>
      <c r="Q387" s="17">
        <v>2632</v>
      </c>
      <c r="R387" s="17">
        <v>92</v>
      </c>
      <c r="S387" s="17">
        <v>98</v>
      </c>
      <c r="T387" s="17"/>
      <c r="U387" s="17"/>
      <c r="V387" s="17"/>
      <c r="W387" s="17"/>
      <c r="X387" s="15">
        <v>318</v>
      </c>
      <c r="Y387" s="17">
        <v>130</v>
      </c>
      <c r="Z387" s="17">
        <v>552.5</v>
      </c>
      <c r="AA387" s="17">
        <v>1216</v>
      </c>
      <c r="AB387" s="12">
        <v>94</v>
      </c>
    </row>
    <row r="388" ht="14.25" spans="1:28">
      <c r="A388" s="13">
        <v>386</v>
      </c>
      <c r="B388" s="15">
        <v>9</v>
      </c>
      <c r="C388" s="16">
        <v>1</v>
      </c>
      <c r="D388" s="17" t="s">
        <v>782</v>
      </c>
      <c r="E388" s="17" t="s">
        <v>783</v>
      </c>
      <c r="F388" s="17">
        <v>100.5</v>
      </c>
      <c r="G388" s="17">
        <v>3131</v>
      </c>
      <c r="H388" s="17">
        <v>119.5</v>
      </c>
      <c r="I388" s="17">
        <v>753</v>
      </c>
      <c r="J388" s="17">
        <v>104.75</v>
      </c>
      <c r="K388" s="17">
        <v>2246</v>
      </c>
      <c r="L388" s="17">
        <v>79</v>
      </c>
      <c r="M388" s="17">
        <v>206</v>
      </c>
      <c r="N388" s="17"/>
      <c r="O388" s="17"/>
      <c r="P388" s="17">
        <v>90</v>
      </c>
      <c r="Q388" s="17">
        <v>119</v>
      </c>
      <c r="R388" s="17">
        <v>87</v>
      </c>
      <c r="S388" s="17">
        <v>883</v>
      </c>
      <c r="T388" s="17"/>
      <c r="U388" s="17"/>
      <c r="V388" s="17"/>
      <c r="W388" s="17"/>
      <c r="X388" s="15">
        <v>324.75</v>
      </c>
      <c r="Y388" s="17">
        <v>89</v>
      </c>
      <c r="Z388" s="17">
        <v>580.75</v>
      </c>
      <c r="AA388" s="17">
        <v>510</v>
      </c>
      <c r="AB388" s="12">
        <v>27</v>
      </c>
    </row>
    <row r="389" ht="14.25" spans="1:28">
      <c r="A389" s="13">
        <v>387</v>
      </c>
      <c r="B389" s="15">
        <v>9</v>
      </c>
      <c r="C389" s="16">
        <v>2</v>
      </c>
      <c r="D389" s="17" t="s">
        <v>784</v>
      </c>
      <c r="E389" s="17" t="s">
        <v>785</v>
      </c>
      <c r="F389" s="17">
        <v>100.5</v>
      </c>
      <c r="G389" s="17">
        <v>3131</v>
      </c>
      <c r="H389" s="17">
        <v>119.5</v>
      </c>
      <c r="I389" s="17">
        <v>753</v>
      </c>
      <c r="J389" s="17">
        <v>109.25</v>
      </c>
      <c r="K389" s="17">
        <v>1566</v>
      </c>
      <c r="L389" s="17">
        <v>73</v>
      </c>
      <c r="M389" s="17">
        <v>575</v>
      </c>
      <c r="N389" s="17"/>
      <c r="O389" s="17"/>
      <c r="P389" s="17">
        <v>81</v>
      </c>
      <c r="Q389" s="17">
        <v>2079</v>
      </c>
      <c r="R389" s="17">
        <v>89</v>
      </c>
      <c r="S389" s="17">
        <v>415</v>
      </c>
      <c r="T389" s="17"/>
      <c r="U389" s="17"/>
      <c r="V389" s="17"/>
      <c r="W389" s="17"/>
      <c r="X389" s="15">
        <v>329.25</v>
      </c>
      <c r="Y389" s="17">
        <v>72</v>
      </c>
      <c r="Z389" s="17">
        <v>572.25</v>
      </c>
      <c r="AA389" s="17">
        <v>700</v>
      </c>
      <c r="AB389" s="12">
        <v>40</v>
      </c>
    </row>
    <row r="390" ht="14.25" spans="1:28">
      <c r="A390" s="13">
        <v>388</v>
      </c>
      <c r="B390" s="15">
        <v>9</v>
      </c>
      <c r="C390" s="16">
        <v>3</v>
      </c>
      <c r="D390" s="17" t="s">
        <v>786</v>
      </c>
      <c r="E390" s="17" t="s">
        <v>787</v>
      </c>
      <c r="F390" s="17">
        <v>110.5</v>
      </c>
      <c r="G390" s="17">
        <v>372</v>
      </c>
      <c r="H390" s="17">
        <v>112</v>
      </c>
      <c r="I390" s="17">
        <v>1617</v>
      </c>
      <c r="J390" s="17">
        <v>127.5</v>
      </c>
      <c r="K390" s="17">
        <v>142</v>
      </c>
      <c r="L390" s="17">
        <v>70.5</v>
      </c>
      <c r="M390" s="17">
        <v>821</v>
      </c>
      <c r="N390" s="17"/>
      <c r="O390" s="17"/>
      <c r="P390" s="17">
        <v>86</v>
      </c>
      <c r="Q390" s="17">
        <v>1052</v>
      </c>
      <c r="R390" s="17">
        <v>88</v>
      </c>
      <c r="S390" s="17">
        <v>601</v>
      </c>
      <c r="T390" s="17"/>
      <c r="U390" s="17"/>
      <c r="V390" s="17"/>
      <c r="W390" s="17"/>
      <c r="X390" s="15">
        <v>350</v>
      </c>
      <c r="Y390" s="17">
        <v>11</v>
      </c>
      <c r="Z390" s="17">
        <v>594.5</v>
      </c>
      <c r="AA390" s="17">
        <v>287</v>
      </c>
      <c r="AB390" s="12">
        <v>16</v>
      </c>
    </row>
    <row r="391" ht="14.25" spans="1:28">
      <c r="A391" s="13">
        <v>389</v>
      </c>
      <c r="B391" s="15">
        <v>9</v>
      </c>
      <c r="C391" s="16">
        <v>4</v>
      </c>
      <c r="D391" s="17" t="s">
        <v>788</v>
      </c>
      <c r="E391" s="17" t="s">
        <v>789</v>
      </c>
      <c r="F391" s="17">
        <v>105.5</v>
      </c>
      <c r="G391" s="17">
        <v>1281</v>
      </c>
      <c r="H391" s="17">
        <v>112.5</v>
      </c>
      <c r="I391" s="17">
        <v>1543</v>
      </c>
      <c r="J391" s="17">
        <v>119</v>
      </c>
      <c r="K391" s="17">
        <v>560</v>
      </c>
      <c r="L391" s="17">
        <v>71</v>
      </c>
      <c r="M391" s="17">
        <v>762</v>
      </c>
      <c r="N391" s="17"/>
      <c r="O391" s="17"/>
      <c r="P391" s="17">
        <v>74</v>
      </c>
      <c r="Q391" s="17">
        <v>4168</v>
      </c>
      <c r="R391" s="17">
        <v>82</v>
      </c>
      <c r="S391" s="17">
        <v>1915</v>
      </c>
      <c r="T391" s="17"/>
      <c r="U391" s="17"/>
      <c r="V391" s="17"/>
      <c r="W391" s="17"/>
      <c r="X391" s="15">
        <v>337</v>
      </c>
      <c r="Y391" s="17">
        <v>37</v>
      </c>
      <c r="Z391" s="17">
        <v>564</v>
      </c>
      <c r="AA391" s="17">
        <v>894</v>
      </c>
      <c r="AB391" s="12">
        <v>61</v>
      </c>
    </row>
    <row r="392" ht="14.25" spans="1:28">
      <c r="A392" s="13">
        <v>390</v>
      </c>
      <c r="B392" s="15">
        <v>9</v>
      </c>
      <c r="C392" s="16">
        <v>5</v>
      </c>
      <c r="D392" s="17" t="s">
        <v>790</v>
      </c>
      <c r="E392" s="17" t="s">
        <v>791</v>
      </c>
      <c r="F392" s="17">
        <v>109.5</v>
      </c>
      <c r="G392" s="17">
        <v>495</v>
      </c>
      <c r="H392" s="17">
        <v>118.5</v>
      </c>
      <c r="I392" s="17">
        <v>833</v>
      </c>
      <c r="J392" s="17">
        <v>118</v>
      </c>
      <c r="K392" s="17">
        <v>642</v>
      </c>
      <c r="L392" s="17">
        <v>55</v>
      </c>
      <c r="M392" s="17">
        <v>3031</v>
      </c>
      <c r="N392" s="17"/>
      <c r="O392" s="17"/>
      <c r="P392" s="17">
        <v>73</v>
      </c>
      <c r="Q392" s="17">
        <v>4501</v>
      </c>
      <c r="R392" s="17">
        <v>86</v>
      </c>
      <c r="S392" s="17">
        <v>1176</v>
      </c>
      <c r="T392" s="17"/>
      <c r="U392" s="17"/>
      <c r="V392" s="17"/>
      <c r="W392" s="17"/>
      <c r="X392" s="15">
        <v>346</v>
      </c>
      <c r="Y392" s="17">
        <v>17</v>
      </c>
      <c r="Z392" s="17">
        <v>560</v>
      </c>
      <c r="AA392" s="17">
        <v>997</v>
      </c>
      <c r="AB392" s="12">
        <v>73</v>
      </c>
    </row>
    <row r="393" ht="14.25" spans="1:28">
      <c r="A393" s="13">
        <v>391</v>
      </c>
      <c r="B393" s="15">
        <v>9</v>
      </c>
      <c r="C393" s="16">
        <v>6</v>
      </c>
      <c r="D393" s="17" t="s">
        <v>792</v>
      </c>
      <c r="E393" s="17" t="s">
        <v>793</v>
      </c>
      <c r="F393" s="17">
        <v>95</v>
      </c>
      <c r="G393" s="17">
        <v>6168</v>
      </c>
      <c r="H393" s="17">
        <v>130.5</v>
      </c>
      <c r="I393" s="17">
        <v>122</v>
      </c>
      <c r="J393" s="17">
        <v>101</v>
      </c>
      <c r="K393" s="17">
        <v>2859</v>
      </c>
      <c r="L393" s="17">
        <v>74</v>
      </c>
      <c r="M393" s="17">
        <v>514</v>
      </c>
      <c r="N393" s="17"/>
      <c r="O393" s="17"/>
      <c r="P393" s="17">
        <v>82</v>
      </c>
      <c r="Q393" s="17">
        <v>1870</v>
      </c>
      <c r="R393" s="17">
        <v>89</v>
      </c>
      <c r="S393" s="17">
        <v>415</v>
      </c>
      <c r="T393" s="17"/>
      <c r="U393" s="17"/>
      <c r="V393" s="17"/>
      <c r="W393" s="17"/>
      <c r="X393" s="15">
        <v>326.5</v>
      </c>
      <c r="Y393" s="17">
        <v>80</v>
      </c>
      <c r="Z393" s="17">
        <v>571.5</v>
      </c>
      <c r="AA393" s="17">
        <v>713</v>
      </c>
      <c r="AB393" s="12">
        <v>43</v>
      </c>
    </row>
    <row r="394" ht="14.25" spans="1:28">
      <c r="A394" s="13">
        <v>392</v>
      </c>
      <c r="B394" s="15">
        <v>9</v>
      </c>
      <c r="C394" s="16">
        <v>7</v>
      </c>
      <c r="D394" s="17" t="s">
        <v>794</v>
      </c>
      <c r="E394" s="17" t="s">
        <v>795</v>
      </c>
      <c r="F394" s="17">
        <v>105</v>
      </c>
      <c r="G394" s="17">
        <v>1427</v>
      </c>
      <c r="H394" s="17">
        <v>115</v>
      </c>
      <c r="I394" s="17">
        <v>1213</v>
      </c>
      <c r="J394" s="17">
        <v>115.5</v>
      </c>
      <c r="K394" s="17">
        <v>849</v>
      </c>
      <c r="L394" s="17">
        <v>55</v>
      </c>
      <c r="M394" s="17">
        <v>3031</v>
      </c>
      <c r="N394" s="17"/>
      <c r="O394" s="17"/>
      <c r="P394" s="17">
        <v>81</v>
      </c>
      <c r="Q394" s="17">
        <v>2079</v>
      </c>
      <c r="R394" s="17">
        <v>82</v>
      </c>
      <c r="S394" s="17">
        <v>1915</v>
      </c>
      <c r="T394" s="17"/>
      <c r="U394" s="17"/>
      <c r="V394" s="17"/>
      <c r="W394" s="17"/>
      <c r="X394" s="15">
        <v>335.5</v>
      </c>
      <c r="Y394" s="17">
        <v>48</v>
      </c>
      <c r="Z394" s="17">
        <v>553.5</v>
      </c>
      <c r="AA394" s="17">
        <v>1181</v>
      </c>
      <c r="AB394" s="12">
        <v>91</v>
      </c>
    </row>
    <row r="395" ht="14.25" spans="1:28">
      <c r="A395" s="13">
        <v>393</v>
      </c>
      <c r="B395" s="15">
        <v>9</v>
      </c>
      <c r="C395" s="16">
        <v>8</v>
      </c>
      <c r="D395" s="17" t="s">
        <v>796</v>
      </c>
      <c r="E395" s="17" t="s">
        <v>797</v>
      </c>
      <c r="F395" s="17">
        <v>101.5</v>
      </c>
      <c r="G395" s="17">
        <v>2674</v>
      </c>
      <c r="H395" s="17">
        <v>130.5</v>
      </c>
      <c r="I395" s="17">
        <v>122</v>
      </c>
      <c r="J395" s="17">
        <v>124</v>
      </c>
      <c r="K395" s="17">
        <v>269</v>
      </c>
      <c r="L395" s="17">
        <v>76</v>
      </c>
      <c r="M395" s="17">
        <v>367</v>
      </c>
      <c r="N395" s="17"/>
      <c r="O395" s="17"/>
      <c r="P395" s="17">
        <v>89</v>
      </c>
      <c r="Q395" s="17">
        <v>222</v>
      </c>
      <c r="R395" s="17">
        <v>91</v>
      </c>
      <c r="S395" s="17">
        <v>151</v>
      </c>
      <c r="T395" s="17"/>
      <c r="U395" s="17"/>
      <c r="V395" s="17"/>
      <c r="W395" s="17"/>
      <c r="X395" s="15">
        <v>356</v>
      </c>
      <c r="Y395" s="17">
        <v>7</v>
      </c>
      <c r="Z395" s="17">
        <v>612</v>
      </c>
      <c r="AA395" s="17">
        <v>120</v>
      </c>
      <c r="AB395" s="12">
        <v>5</v>
      </c>
    </row>
    <row r="396" ht="14.25" spans="1:28">
      <c r="A396" s="13">
        <v>394</v>
      </c>
      <c r="B396" s="15">
        <v>9</v>
      </c>
      <c r="C396" s="16">
        <v>9</v>
      </c>
      <c r="D396" s="17" t="s">
        <v>798</v>
      </c>
      <c r="E396" s="17" t="s">
        <v>799</v>
      </c>
      <c r="F396" s="17">
        <v>104.5</v>
      </c>
      <c r="G396" s="17">
        <v>1551</v>
      </c>
      <c r="H396" s="17">
        <v>126.5</v>
      </c>
      <c r="I396" s="17">
        <v>273</v>
      </c>
      <c r="J396" s="17">
        <v>106</v>
      </c>
      <c r="K396" s="17">
        <v>2012</v>
      </c>
      <c r="L396" s="17">
        <v>62</v>
      </c>
      <c r="M396" s="17">
        <v>1839</v>
      </c>
      <c r="N396" s="17"/>
      <c r="O396" s="17"/>
      <c r="P396" s="17">
        <v>89</v>
      </c>
      <c r="Q396" s="17">
        <v>222</v>
      </c>
      <c r="R396" s="17">
        <v>89</v>
      </c>
      <c r="S396" s="17">
        <v>415</v>
      </c>
      <c r="T396" s="17"/>
      <c r="U396" s="17"/>
      <c r="V396" s="17"/>
      <c r="W396" s="17"/>
      <c r="X396" s="15">
        <v>337</v>
      </c>
      <c r="Y396" s="17">
        <v>37</v>
      </c>
      <c r="Z396" s="17">
        <v>577</v>
      </c>
      <c r="AA396" s="17">
        <v>583</v>
      </c>
      <c r="AB396" s="12">
        <v>33</v>
      </c>
    </row>
    <row r="397" ht="14.25" spans="1:28">
      <c r="A397" s="13">
        <v>395</v>
      </c>
      <c r="B397" s="15">
        <v>9</v>
      </c>
      <c r="C397" s="16">
        <v>10</v>
      </c>
      <c r="D397" s="17" t="s">
        <v>800</v>
      </c>
      <c r="E397" s="17" t="s">
        <v>801</v>
      </c>
      <c r="F397" s="17">
        <v>101</v>
      </c>
      <c r="G397" s="17">
        <v>2896</v>
      </c>
      <c r="H397" s="17">
        <v>119</v>
      </c>
      <c r="I397" s="17">
        <v>786</v>
      </c>
      <c r="J397" s="17">
        <v>107.25</v>
      </c>
      <c r="K397" s="17">
        <v>1847</v>
      </c>
      <c r="L397" s="17">
        <v>69.5</v>
      </c>
      <c r="M397" s="17">
        <v>899</v>
      </c>
      <c r="N397" s="17"/>
      <c r="O397" s="17"/>
      <c r="P397" s="17">
        <v>82</v>
      </c>
      <c r="Q397" s="17">
        <v>1870</v>
      </c>
      <c r="R397" s="17">
        <v>90</v>
      </c>
      <c r="S397" s="17">
        <v>255</v>
      </c>
      <c r="T397" s="17"/>
      <c r="U397" s="17"/>
      <c r="V397" s="17"/>
      <c r="W397" s="17"/>
      <c r="X397" s="15">
        <v>327.25</v>
      </c>
      <c r="Y397" s="17">
        <v>76</v>
      </c>
      <c r="Z397" s="17">
        <v>568.75</v>
      </c>
      <c r="AA397" s="17">
        <v>786</v>
      </c>
      <c r="AB397" s="12">
        <v>51</v>
      </c>
    </row>
    <row r="398" ht="14.25" spans="1:28">
      <c r="A398" s="13">
        <v>396</v>
      </c>
      <c r="B398" s="15">
        <v>9</v>
      </c>
      <c r="C398" s="16">
        <v>11</v>
      </c>
      <c r="D398" s="17" t="s">
        <v>802</v>
      </c>
      <c r="E398" s="17" t="s">
        <v>803</v>
      </c>
      <c r="F398" s="17">
        <v>104</v>
      </c>
      <c r="G398" s="17">
        <v>1709</v>
      </c>
      <c r="H398" s="17">
        <v>125.5</v>
      </c>
      <c r="I398" s="17">
        <v>333</v>
      </c>
      <c r="J398" s="17">
        <v>107.5</v>
      </c>
      <c r="K398" s="17">
        <v>1810</v>
      </c>
      <c r="L398" s="17">
        <v>76.5</v>
      </c>
      <c r="M398" s="17">
        <v>333</v>
      </c>
      <c r="N398" s="17"/>
      <c r="O398" s="17"/>
      <c r="P398" s="17">
        <v>84</v>
      </c>
      <c r="Q398" s="17">
        <v>1443</v>
      </c>
      <c r="R398" s="17">
        <v>87</v>
      </c>
      <c r="S398" s="17">
        <v>883</v>
      </c>
      <c r="T398" s="17"/>
      <c r="U398" s="17"/>
      <c r="V398" s="17"/>
      <c r="W398" s="17"/>
      <c r="X398" s="15">
        <v>337</v>
      </c>
      <c r="Y398" s="17">
        <v>37</v>
      </c>
      <c r="Z398" s="17">
        <v>584.5</v>
      </c>
      <c r="AA398" s="17">
        <v>437</v>
      </c>
      <c r="AB398" s="12">
        <v>23</v>
      </c>
    </row>
    <row r="399" ht="14.25" spans="1:28">
      <c r="A399" s="13">
        <v>397</v>
      </c>
      <c r="B399" s="15">
        <v>9</v>
      </c>
      <c r="C399" s="16">
        <v>12</v>
      </c>
      <c r="D399" s="17" t="s">
        <v>804</v>
      </c>
      <c r="E399" s="17" t="s">
        <v>805</v>
      </c>
      <c r="F399" s="17">
        <v>94</v>
      </c>
      <c r="G399" s="17">
        <v>6811</v>
      </c>
      <c r="H399" s="17">
        <v>121</v>
      </c>
      <c r="I399" s="17">
        <v>621</v>
      </c>
      <c r="J399" s="17">
        <v>102.75</v>
      </c>
      <c r="K399" s="17">
        <v>2584</v>
      </c>
      <c r="L399" s="17">
        <v>55.5</v>
      </c>
      <c r="M399" s="17">
        <v>2964</v>
      </c>
      <c r="N399" s="17"/>
      <c r="O399" s="17"/>
      <c r="P399" s="17">
        <v>60</v>
      </c>
      <c r="Q399" s="17">
        <v>8673</v>
      </c>
      <c r="R399" s="17">
        <v>91</v>
      </c>
      <c r="S399" s="17">
        <v>151</v>
      </c>
      <c r="T399" s="17"/>
      <c r="U399" s="17"/>
      <c r="V399" s="17"/>
      <c r="W399" s="17"/>
      <c r="X399" s="15">
        <v>317.75</v>
      </c>
      <c r="Y399" s="17">
        <v>133</v>
      </c>
      <c r="Z399" s="17">
        <v>524.25</v>
      </c>
      <c r="AA399" s="17">
        <v>2179</v>
      </c>
      <c r="AB399" s="12">
        <v>196</v>
      </c>
    </row>
    <row r="400" ht="14.25" spans="1:28">
      <c r="A400" s="13">
        <v>398</v>
      </c>
      <c r="B400" s="15">
        <v>9</v>
      </c>
      <c r="C400" s="16">
        <v>13</v>
      </c>
      <c r="D400" s="17" t="s">
        <v>806</v>
      </c>
      <c r="E400" s="17" t="s">
        <v>807</v>
      </c>
      <c r="F400" s="17">
        <v>108</v>
      </c>
      <c r="G400" s="17">
        <v>736</v>
      </c>
      <c r="H400" s="17">
        <v>118.5</v>
      </c>
      <c r="I400" s="17">
        <v>833</v>
      </c>
      <c r="J400" s="17">
        <v>122.5</v>
      </c>
      <c r="K400" s="17">
        <v>340</v>
      </c>
      <c r="L400" s="17">
        <v>76.5</v>
      </c>
      <c r="M400" s="17">
        <v>333</v>
      </c>
      <c r="N400" s="17"/>
      <c r="O400" s="17"/>
      <c r="P400" s="17">
        <v>84</v>
      </c>
      <c r="Q400" s="17">
        <v>1443</v>
      </c>
      <c r="R400" s="17">
        <v>84</v>
      </c>
      <c r="S400" s="17">
        <v>1490</v>
      </c>
      <c r="T400" s="17"/>
      <c r="U400" s="17"/>
      <c r="V400" s="17"/>
      <c r="W400" s="17"/>
      <c r="X400" s="15">
        <v>349</v>
      </c>
      <c r="Y400" s="17">
        <v>13</v>
      </c>
      <c r="Z400" s="17">
        <v>593.5</v>
      </c>
      <c r="AA400" s="17">
        <v>300</v>
      </c>
      <c r="AB400" s="12">
        <v>17</v>
      </c>
    </row>
    <row r="401" ht="14.25" spans="1:28">
      <c r="A401" s="13">
        <v>399</v>
      </c>
      <c r="B401" s="15">
        <v>9</v>
      </c>
      <c r="C401" s="16">
        <v>14</v>
      </c>
      <c r="D401" s="17" t="s">
        <v>808</v>
      </c>
      <c r="E401" s="17" t="s">
        <v>809</v>
      </c>
      <c r="F401" s="17">
        <v>116</v>
      </c>
      <c r="G401" s="17">
        <v>48</v>
      </c>
      <c r="H401" s="17">
        <v>123.5</v>
      </c>
      <c r="I401" s="17">
        <v>452</v>
      </c>
      <c r="J401" s="17">
        <v>117.75</v>
      </c>
      <c r="K401" s="17">
        <v>667</v>
      </c>
      <c r="L401" s="17">
        <v>84</v>
      </c>
      <c r="M401" s="17">
        <v>45</v>
      </c>
      <c r="N401" s="17"/>
      <c r="O401" s="17"/>
      <c r="P401" s="17">
        <v>90</v>
      </c>
      <c r="Q401" s="17">
        <v>119</v>
      </c>
      <c r="R401" s="17">
        <v>92</v>
      </c>
      <c r="S401" s="17">
        <v>98</v>
      </c>
      <c r="T401" s="17"/>
      <c r="U401" s="17"/>
      <c r="V401" s="17"/>
      <c r="W401" s="17"/>
      <c r="X401" s="15">
        <v>357.25</v>
      </c>
      <c r="Y401" s="17">
        <v>4</v>
      </c>
      <c r="Z401" s="17">
        <v>623.25</v>
      </c>
      <c r="AA401" s="17">
        <v>67</v>
      </c>
      <c r="AB401" s="12">
        <v>3</v>
      </c>
    </row>
    <row r="402" ht="14.25" spans="1:28">
      <c r="A402" s="13">
        <v>400</v>
      </c>
      <c r="B402" s="15">
        <v>9</v>
      </c>
      <c r="C402" s="16">
        <v>15</v>
      </c>
      <c r="D402" s="17" t="s">
        <v>810</v>
      </c>
      <c r="E402" s="17" t="s">
        <v>811</v>
      </c>
      <c r="F402" s="17">
        <v>99</v>
      </c>
      <c r="G402" s="17">
        <v>3868</v>
      </c>
      <c r="H402" s="17">
        <v>124.5</v>
      </c>
      <c r="I402" s="17">
        <v>386</v>
      </c>
      <c r="J402" s="17">
        <v>118.75</v>
      </c>
      <c r="K402" s="17">
        <v>599</v>
      </c>
      <c r="L402" s="17">
        <v>71.5</v>
      </c>
      <c r="M402" s="17">
        <v>714</v>
      </c>
      <c r="N402" s="17"/>
      <c r="O402" s="17"/>
      <c r="P402" s="17">
        <v>89</v>
      </c>
      <c r="Q402" s="17">
        <v>222</v>
      </c>
      <c r="R402" s="17">
        <v>88</v>
      </c>
      <c r="S402" s="17">
        <v>601</v>
      </c>
      <c r="T402" s="17"/>
      <c r="U402" s="17"/>
      <c r="V402" s="17"/>
      <c r="W402" s="17"/>
      <c r="X402" s="15">
        <v>342.25</v>
      </c>
      <c r="Y402" s="17">
        <v>24</v>
      </c>
      <c r="Z402" s="17">
        <v>590.75</v>
      </c>
      <c r="AA402" s="17">
        <v>340</v>
      </c>
      <c r="AB402" s="12">
        <v>19</v>
      </c>
    </row>
    <row r="403" ht="14.25" spans="1:28">
      <c r="A403" s="13">
        <v>401</v>
      </c>
      <c r="B403" s="15">
        <v>9</v>
      </c>
      <c r="C403" s="16">
        <v>16</v>
      </c>
      <c r="D403" s="17" t="s">
        <v>812</v>
      </c>
      <c r="E403" s="17" t="s">
        <v>813</v>
      </c>
      <c r="F403" s="17">
        <v>100</v>
      </c>
      <c r="G403" s="17">
        <v>3368</v>
      </c>
      <c r="H403" s="17">
        <v>120</v>
      </c>
      <c r="I403" s="17">
        <v>708</v>
      </c>
      <c r="J403" s="17">
        <v>120.25</v>
      </c>
      <c r="K403" s="17">
        <v>493</v>
      </c>
      <c r="L403" s="17">
        <v>78</v>
      </c>
      <c r="M403" s="17">
        <v>253</v>
      </c>
      <c r="N403" s="17"/>
      <c r="O403" s="17"/>
      <c r="P403" s="17">
        <v>73</v>
      </c>
      <c r="Q403" s="17">
        <v>4501</v>
      </c>
      <c r="R403" s="17">
        <v>87</v>
      </c>
      <c r="S403" s="17">
        <v>883</v>
      </c>
      <c r="T403" s="17"/>
      <c r="U403" s="17"/>
      <c r="V403" s="17"/>
      <c r="W403" s="17"/>
      <c r="X403" s="15">
        <v>340.25</v>
      </c>
      <c r="Y403" s="17">
        <v>28</v>
      </c>
      <c r="Z403" s="17">
        <v>578.25</v>
      </c>
      <c r="AA403" s="17">
        <v>560</v>
      </c>
      <c r="AB403" s="12">
        <v>30</v>
      </c>
    </row>
    <row r="404" ht="14.25" spans="1:28">
      <c r="A404" s="13">
        <v>402</v>
      </c>
      <c r="B404" s="15">
        <v>9</v>
      </c>
      <c r="C404" s="16">
        <v>17</v>
      </c>
      <c r="D404" s="17" t="s">
        <v>814</v>
      </c>
      <c r="E404" s="17" t="s">
        <v>815</v>
      </c>
      <c r="F404" s="17">
        <v>107</v>
      </c>
      <c r="G404" s="17">
        <v>945</v>
      </c>
      <c r="H404" s="17">
        <v>137</v>
      </c>
      <c r="I404" s="17">
        <v>23</v>
      </c>
      <c r="J404" s="17">
        <v>102</v>
      </c>
      <c r="K404" s="17">
        <v>2685</v>
      </c>
      <c r="L404" s="17">
        <v>77</v>
      </c>
      <c r="M404" s="17">
        <v>299</v>
      </c>
      <c r="N404" s="17"/>
      <c r="O404" s="17"/>
      <c r="P404" s="17">
        <v>92</v>
      </c>
      <c r="Q404" s="17">
        <v>36</v>
      </c>
      <c r="R404" s="17">
        <v>87</v>
      </c>
      <c r="S404" s="17">
        <v>883</v>
      </c>
      <c r="T404" s="17"/>
      <c r="U404" s="17"/>
      <c r="V404" s="17"/>
      <c r="W404" s="17"/>
      <c r="X404" s="15">
        <v>346</v>
      </c>
      <c r="Y404" s="17">
        <v>17</v>
      </c>
      <c r="Z404" s="17">
        <v>602</v>
      </c>
      <c r="AA404" s="17">
        <v>209</v>
      </c>
      <c r="AB404" s="12">
        <v>12</v>
      </c>
    </row>
    <row r="405" ht="14.25" spans="1:28">
      <c r="A405" s="13">
        <v>403</v>
      </c>
      <c r="B405" s="15">
        <v>9</v>
      </c>
      <c r="C405" s="16">
        <v>18</v>
      </c>
      <c r="D405" s="17" t="s">
        <v>816</v>
      </c>
      <c r="E405" s="17" t="s">
        <v>817</v>
      </c>
      <c r="F405" s="17">
        <v>104</v>
      </c>
      <c r="G405" s="17">
        <v>1709</v>
      </c>
      <c r="H405" s="17">
        <v>132</v>
      </c>
      <c r="I405" s="17">
        <v>93</v>
      </c>
      <c r="J405" s="17">
        <v>118</v>
      </c>
      <c r="K405" s="17">
        <v>642</v>
      </c>
      <c r="L405" s="17">
        <v>80.5</v>
      </c>
      <c r="M405" s="17">
        <v>137</v>
      </c>
      <c r="N405" s="17"/>
      <c r="O405" s="17"/>
      <c r="P405" s="17">
        <v>87</v>
      </c>
      <c r="Q405" s="17">
        <v>681</v>
      </c>
      <c r="R405" s="17">
        <v>89</v>
      </c>
      <c r="S405" s="17">
        <v>415</v>
      </c>
      <c r="T405" s="17"/>
      <c r="U405" s="17"/>
      <c r="V405" s="17"/>
      <c r="W405" s="17"/>
      <c r="X405" s="15">
        <v>354</v>
      </c>
      <c r="Y405" s="17">
        <v>9</v>
      </c>
      <c r="Z405" s="17">
        <v>610.5</v>
      </c>
      <c r="AA405" s="17">
        <v>134</v>
      </c>
      <c r="AB405" s="12">
        <v>7</v>
      </c>
    </row>
    <row r="406" ht="14.25" spans="1:28">
      <c r="A406" s="13">
        <v>404</v>
      </c>
      <c r="B406" s="15">
        <v>9</v>
      </c>
      <c r="C406" s="16">
        <v>19</v>
      </c>
      <c r="D406" s="17" t="s">
        <v>818</v>
      </c>
      <c r="E406" s="17" t="s">
        <v>819</v>
      </c>
      <c r="F406" s="17">
        <v>103.5</v>
      </c>
      <c r="G406" s="17">
        <v>1897</v>
      </c>
      <c r="H406" s="17">
        <v>117</v>
      </c>
      <c r="I406" s="17">
        <v>975</v>
      </c>
      <c r="J406" s="17">
        <v>105.25</v>
      </c>
      <c r="K406" s="17">
        <v>2156</v>
      </c>
      <c r="L406" s="17">
        <v>55.5</v>
      </c>
      <c r="M406" s="17">
        <v>2964</v>
      </c>
      <c r="N406" s="17"/>
      <c r="O406" s="17"/>
      <c r="P406" s="17">
        <v>82</v>
      </c>
      <c r="Q406" s="17">
        <v>1870</v>
      </c>
      <c r="R406" s="17">
        <v>88</v>
      </c>
      <c r="S406" s="17">
        <v>601</v>
      </c>
      <c r="T406" s="17"/>
      <c r="U406" s="17"/>
      <c r="V406" s="17"/>
      <c r="W406" s="17"/>
      <c r="X406" s="15">
        <v>325.75</v>
      </c>
      <c r="Y406" s="17">
        <v>82</v>
      </c>
      <c r="Z406" s="17">
        <v>551.25</v>
      </c>
      <c r="AA406" s="17">
        <v>1244</v>
      </c>
      <c r="AB406" s="12">
        <v>96</v>
      </c>
    </row>
    <row r="407" ht="14.25" spans="1:28">
      <c r="A407" s="13">
        <v>405</v>
      </c>
      <c r="B407" s="15">
        <v>9</v>
      </c>
      <c r="C407" s="16">
        <v>20</v>
      </c>
      <c r="D407" s="17" t="s">
        <v>820</v>
      </c>
      <c r="E407" s="17" t="s">
        <v>821</v>
      </c>
      <c r="F407" s="17">
        <v>93.5</v>
      </c>
      <c r="G407" s="17">
        <v>7127</v>
      </c>
      <c r="H407" s="17">
        <v>123</v>
      </c>
      <c r="I407" s="17">
        <v>484</v>
      </c>
      <c r="J407" s="17">
        <v>119</v>
      </c>
      <c r="K407" s="17">
        <v>560</v>
      </c>
      <c r="L407" s="17">
        <v>66.5</v>
      </c>
      <c r="M407" s="17">
        <v>1237</v>
      </c>
      <c r="N407" s="17"/>
      <c r="O407" s="17"/>
      <c r="P407" s="17">
        <v>78</v>
      </c>
      <c r="Q407" s="17">
        <v>2908</v>
      </c>
      <c r="R407" s="17">
        <v>84</v>
      </c>
      <c r="S407" s="17">
        <v>1490</v>
      </c>
      <c r="T407" s="17"/>
      <c r="U407" s="17"/>
      <c r="V407" s="17"/>
      <c r="W407" s="17"/>
      <c r="X407" s="15">
        <v>335.5</v>
      </c>
      <c r="Y407" s="17">
        <v>48</v>
      </c>
      <c r="Z407" s="17">
        <v>564</v>
      </c>
      <c r="AA407" s="17">
        <v>894</v>
      </c>
      <c r="AB407" s="12">
        <v>61</v>
      </c>
    </row>
    <row r="408" ht="14.25" spans="1:28">
      <c r="A408" s="13">
        <v>406</v>
      </c>
      <c r="B408" s="15">
        <v>9</v>
      </c>
      <c r="C408" s="16">
        <v>21</v>
      </c>
      <c r="D408" s="17" t="s">
        <v>822</v>
      </c>
      <c r="E408" s="17" t="s">
        <v>823</v>
      </c>
      <c r="F408" s="17">
        <v>103</v>
      </c>
      <c r="G408" s="17">
        <v>2094</v>
      </c>
      <c r="H408" s="17">
        <v>118.5</v>
      </c>
      <c r="I408" s="17">
        <v>833</v>
      </c>
      <c r="J408" s="17">
        <v>112.75</v>
      </c>
      <c r="K408" s="17">
        <v>1155</v>
      </c>
      <c r="L408" s="17">
        <v>59.5</v>
      </c>
      <c r="M408" s="17">
        <v>2274</v>
      </c>
      <c r="N408" s="17"/>
      <c r="O408" s="17"/>
      <c r="P408" s="17">
        <v>64</v>
      </c>
      <c r="Q408" s="17">
        <v>7304</v>
      </c>
      <c r="R408" s="17">
        <v>74</v>
      </c>
      <c r="S408" s="17">
        <v>4119</v>
      </c>
      <c r="T408" s="17"/>
      <c r="U408" s="17"/>
      <c r="V408" s="17"/>
      <c r="W408" s="17"/>
      <c r="X408" s="15">
        <v>334.25</v>
      </c>
      <c r="Y408" s="17">
        <v>52</v>
      </c>
      <c r="Z408" s="17">
        <v>531.75</v>
      </c>
      <c r="AA408" s="17">
        <v>1886</v>
      </c>
      <c r="AB408" s="12">
        <v>162</v>
      </c>
    </row>
    <row r="409" ht="14.25" spans="1:28">
      <c r="A409" s="13">
        <v>407</v>
      </c>
      <c r="B409" s="15">
        <v>9</v>
      </c>
      <c r="C409" s="16">
        <v>22</v>
      </c>
      <c r="D409" s="17" t="s">
        <v>824</v>
      </c>
      <c r="E409" s="17" t="s">
        <v>825</v>
      </c>
      <c r="F409" s="17">
        <v>100.75</v>
      </c>
      <c r="G409" s="17">
        <v>3103</v>
      </c>
      <c r="H409" s="17">
        <v>104</v>
      </c>
      <c r="I409" s="17">
        <v>2999</v>
      </c>
      <c r="J409" s="17">
        <v>117</v>
      </c>
      <c r="K409" s="17">
        <v>727</v>
      </c>
      <c r="L409" s="17">
        <v>72.5</v>
      </c>
      <c r="M409" s="17">
        <v>627</v>
      </c>
      <c r="N409" s="17"/>
      <c r="O409" s="17"/>
      <c r="P409" s="17">
        <v>89</v>
      </c>
      <c r="Q409" s="17">
        <v>222</v>
      </c>
      <c r="R409" s="17">
        <v>89</v>
      </c>
      <c r="S409" s="17">
        <v>415</v>
      </c>
      <c r="T409" s="17"/>
      <c r="U409" s="17"/>
      <c r="V409" s="17"/>
      <c r="W409" s="17"/>
      <c r="X409" s="15">
        <v>321.75</v>
      </c>
      <c r="Y409" s="17">
        <v>106</v>
      </c>
      <c r="Z409" s="17">
        <v>572.25</v>
      </c>
      <c r="AA409" s="17">
        <v>700</v>
      </c>
      <c r="AB409" s="12">
        <v>40</v>
      </c>
    </row>
    <row r="410" ht="14.25" spans="1:28">
      <c r="A410" s="13">
        <v>408</v>
      </c>
      <c r="B410" s="15">
        <v>9</v>
      </c>
      <c r="C410" s="16">
        <v>23</v>
      </c>
      <c r="D410" s="17" t="s">
        <v>826</v>
      </c>
      <c r="E410" s="17" t="s">
        <v>827</v>
      </c>
      <c r="F410" s="17">
        <v>103.25</v>
      </c>
      <c r="G410" s="17">
        <v>2074</v>
      </c>
      <c r="H410" s="17">
        <v>123.5</v>
      </c>
      <c r="I410" s="17">
        <v>452</v>
      </c>
      <c r="J410" s="17">
        <v>111.75</v>
      </c>
      <c r="K410" s="17">
        <v>1270</v>
      </c>
      <c r="L410" s="17">
        <v>77.5</v>
      </c>
      <c r="M410" s="17">
        <v>279</v>
      </c>
      <c r="N410" s="17"/>
      <c r="O410" s="17"/>
      <c r="P410" s="17">
        <v>86</v>
      </c>
      <c r="Q410" s="17">
        <v>1052</v>
      </c>
      <c r="R410" s="17">
        <v>88</v>
      </c>
      <c r="S410" s="17">
        <v>601</v>
      </c>
      <c r="T410" s="17"/>
      <c r="U410" s="17"/>
      <c r="V410" s="17"/>
      <c r="W410" s="17"/>
      <c r="X410" s="15">
        <v>338.5</v>
      </c>
      <c r="Y410" s="17">
        <v>31</v>
      </c>
      <c r="Z410" s="17">
        <v>590</v>
      </c>
      <c r="AA410" s="17">
        <v>348</v>
      </c>
      <c r="AB410" s="12">
        <v>20</v>
      </c>
    </row>
    <row r="411" ht="14.25" spans="1:28">
      <c r="A411" s="13">
        <v>409</v>
      </c>
      <c r="B411" s="15">
        <v>9</v>
      </c>
      <c r="C411" s="16">
        <v>24</v>
      </c>
      <c r="D411" s="17" t="s">
        <v>828</v>
      </c>
      <c r="E411" s="17" t="s">
        <v>829</v>
      </c>
      <c r="F411" s="17">
        <v>103</v>
      </c>
      <c r="G411" s="17">
        <v>2094</v>
      </c>
      <c r="H411" s="17">
        <v>132</v>
      </c>
      <c r="I411" s="17">
        <v>93</v>
      </c>
      <c r="J411" s="17">
        <v>122</v>
      </c>
      <c r="K411" s="17">
        <v>371</v>
      </c>
      <c r="L411" s="17">
        <v>80</v>
      </c>
      <c r="M411" s="17">
        <v>151</v>
      </c>
      <c r="N411" s="17"/>
      <c r="O411" s="17"/>
      <c r="P411" s="17">
        <v>94</v>
      </c>
      <c r="Q411" s="17">
        <v>10</v>
      </c>
      <c r="R411" s="17">
        <v>89</v>
      </c>
      <c r="S411" s="17">
        <v>415</v>
      </c>
      <c r="T411" s="17"/>
      <c r="U411" s="17"/>
      <c r="V411" s="17"/>
      <c r="W411" s="17"/>
      <c r="X411" s="15">
        <v>357</v>
      </c>
      <c r="Y411" s="17">
        <v>5</v>
      </c>
      <c r="Z411" s="17">
        <v>620</v>
      </c>
      <c r="AA411" s="17">
        <v>87</v>
      </c>
      <c r="AB411" s="12">
        <v>4</v>
      </c>
    </row>
    <row r="412" ht="14.25" spans="1:28">
      <c r="A412" s="13">
        <v>410</v>
      </c>
      <c r="B412" s="15">
        <v>9</v>
      </c>
      <c r="C412" s="16">
        <v>26</v>
      </c>
      <c r="D412" s="17" t="s">
        <v>830</v>
      </c>
      <c r="E412" s="17" t="s">
        <v>831</v>
      </c>
      <c r="F412" s="17">
        <v>108.5</v>
      </c>
      <c r="G412" s="17">
        <v>650</v>
      </c>
      <c r="H412" s="17">
        <v>130</v>
      </c>
      <c r="I412" s="17">
        <v>136</v>
      </c>
      <c r="J412" s="17">
        <v>107.5</v>
      </c>
      <c r="K412" s="17">
        <v>1810</v>
      </c>
      <c r="L412" s="17">
        <v>69.5</v>
      </c>
      <c r="M412" s="17">
        <v>899</v>
      </c>
      <c r="N412" s="17"/>
      <c r="O412" s="17"/>
      <c r="P412" s="17">
        <v>88</v>
      </c>
      <c r="Q412" s="17">
        <v>397</v>
      </c>
      <c r="R412" s="17">
        <v>89</v>
      </c>
      <c r="S412" s="17">
        <v>415</v>
      </c>
      <c r="T412" s="17"/>
      <c r="U412" s="17"/>
      <c r="V412" s="17"/>
      <c r="W412" s="17"/>
      <c r="X412" s="15">
        <v>346</v>
      </c>
      <c r="Y412" s="17">
        <v>17</v>
      </c>
      <c r="Z412" s="17">
        <v>592.5</v>
      </c>
      <c r="AA412" s="17">
        <v>316</v>
      </c>
      <c r="AB412" s="12">
        <v>18</v>
      </c>
    </row>
    <row r="413" ht="14.25" spans="1:28">
      <c r="A413" s="13">
        <v>411</v>
      </c>
      <c r="B413" s="15">
        <v>9</v>
      </c>
      <c r="C413" s="16">
        <v>27</v>
      </c>
      <c r="D413" s="17" t="s">
        <v>832</v>
      </c>
      <c r="E413" s="17" t="s">
        <v>833</v>
      </c>
      <c r="F413" s="17">
        <v>103</v>
      </c>
      <c r="G413" s="17">
        <v>2094</v>
      </c>
      <c r="H413" s="17">
        <v>128</v>
      </c>
      <c r="I413" s="17">
        <v>207</v>
      </c>
      <c r="J413" s="17">
        <v>98.5</v>
      </c>
      <c r="K413" s="17">
        <v>3338</v>
      </c>
      <c r="L413" s="17">
        <v>80.5</v>
      </c>
      <c r="M413" s="17">
        <v>137</v>
      </c>
      <c r="N413" s="17"/>
      <c r="O413" s="17"/>
      <c r="P413" s="17">
        <v>68</v>
      </c>
      <c r="Q413" s="17">
        <v>6016</v>
      </c>
      <c r="R413" s="17">
        <v>78</v>
      </c>
      <c r="S413" s="17">
        <v>2906</v>
      </c>
      <c r="T413" s="17"/>
      <c r="U413" s="17"/>
      <c r="V413" s="17"/>
      <c r="W413" s="17"/>
      <c r="X413" s="15">
        <v>329.5</v>
      </c>
      <c r="Y413" s="17">
        <v>69</v>
      </c>
      <c r="Z413" s="17">
        <v>556</v>
      </c>
      <c r="AA413" s="17">
        <v>1115</v>
      </c>
      <c r="AB413" s="12">
        <v>81</v>
      </c>
    </row>
    <row r="414" ht="14.25" spans="1:28">
      <c r="A414" s="13">
        <v>412</v>
      </c>
      <c r="B414" s="15">
        <v>9</v>
      </c>
      <c r="C414" s="16">
        <v>28</v>
      </c>
      <c r="D414" s="17" t="s">
        <v>834</v>
      </c>
      <c r="E414" s="17" t="s">
        <v>835</v>
      </c>
      <c r="F414" s="17">
        <v>102.5</v>
      </c>
      <c r="G414" s="17">
        <v>2274</v>
      </c>
      <c r="H414" s="17">
        <v>87</v>
      </c>
      <c r="I414" s="17">
        <v>6532</v>
      </c>
      <c r="J414" s="17">
        <v>82</v>
      </c>
      <c r="K414" s="17">
        <v>7249</v>
      </c>
      <c r="L414" s="17">
        <v>68.5</v>
      </c>
      <c r="M414" s="17">
        <v>1014</v>
      </c>
      <c r="N414" s="17"/>
      <c r="O414" s="17"/>
      <c r="P414" s="17">
        <v>90</v>
      </c>
      <c r="Q414" s="17">
        <v>119</v>
      </c>
      <c r="R414" s="17">
        <v>93</v>
      </c>
      <c r="S414" s="17">
        <v>50</v>
      </c>
      <c r="T414" s="17"/>
      <c r="U414" s="17"/>
      <c r="V414" s="17"/>
      <c r="W414" s="17"/>
      <c r="X414" s="15">
        <v>271.5</v>
      </c>
      <c r="Y414" s="17">
        <v>518</v>
      </c>
      <c r="Z414" s="17">
        <v>523</v>
      </c>
      <c r="AA414" s="17">
        <v>2242</v>
      </c>
      <c r="AB414" s="12">
        <v>202</v>
      </c>
    </row>
    <row r="415" ht="14.25" spans="1:28">
      <c r="A415" s="13">
        <v>413</v>
      </c>
      <c r="B415" s="15">
        <v>9</v>
      </c>
      <c r="C415" s="16">
        <v>29</v>
      </c>
      <c r="D415" s="17" t="s">
        <v>836</v>
      </c>
      <c r="E415" s="17" t="s">
        <v>837</v>
      </c>
      <c r="F415" s="17">
        <v>93.5</v>
      </c>
      <c r="G415" s="17">
        <v>7127</v>
      </c>
      <c r="H415" s="17">
        <v>116</v>
      </c>
      <c r="I415" s="17">
        <v>1095</v>
      </c>
      <c r="J415" s="17">
        <v>104</v>
      </c>
      <c r="K415" s="17">
        <v>2352</v>
      </c>
      <c r="L415" s="17">
        <v>65.5</v>
      </c>
      <c r="M415" s="17">
        <v>1373</v>
      </c>
      <c r="N415" s="17"/>
      <c r="O415" s="17"/>
      <c r="P415" s="17">
        <v>69</v>
      </c>
      <c r="Q415" s="17">
        <v>5655</v>
      </c>
      <c r="R415" s="17">
        <v>76</v>
      </c>
      <c r="S415" s="17">
        <v>3491</v>
      </c>
      <c r="T415" s="17"/>
      <c r="U415" s="17"/>
      <c r="V415" s="17"/>
      <c r="W415" s="17"/>
      <c r="X415" s="15">
        <v>313.5</v>
      </c>
      <c r="Y415" s="17">
        <v>164</v>
      </c>
      <c r="Z415" s="17">
        <v>524</v>
      </c>
      <c r="AA415" s="17">
        <v>2187</v>
      </c>
      <c r="AB415" s="12">
        <v>199</v>
      </c>
    </row>
    <row r="416" ht="14.25" spans="1:28">
      <c r="A416" s="13">
        <v>414</v>
      </c>
      <c r="B416" s="15">
        <v>9</v>
      </c>
      <c r="C416" s="16">
        <v>30</v>
      </c>
      <c r="D416" s="17" t="s">
        <v>838</v>
      </c>
      <c r="E416" s="17" t="s">
        <v>839</v>
      </c>
      <c r="F416" s="17">
        <v>101.5</v>
      </c>
      <c r="G416" s="17">
        <v>2674</v>
      </c>
      <c r="H416" s="17">
        <v>130.5</v>
      </c>
      <c r="I416" s="17">
        <v>122</v>
      </c>
      <c r="J416" s="17">
        <v>98.5</v>
      </c>
      <c r="K416" s="17">
        <v>3338</v>
      </c>
      <c r="L416" s="17">
        <v>75</v>
      </c>
      <c r="M416" s="17">
        <v>448</v>
      </c>
      <c r="N416" s="17"/>
      <c r="O416" s="17"/>
      <c r="P416" s="17">
        <v>80</v>
      </c>
      <c r="Q416" s="17">
        <v>2333</v>
      </c>
      <c r="R416" s="17">
        <v>89</v>
      </c>
      <c r="S416" s="17">
        <v>415</v>
      </c>
      <c r="T416" s="17"/>
      <c r="U416" s="17"/>
      <c r="V416" s="17"/>
      <c r="W416" s="17"/>
      <c r="X416" s="15">
        <v>330.5</v>
      </c>
      <c r="Y416" s="17">
        <v>63</v>
      </c>
      <c r="Z416" s="17">
        <v>574.5</v>
      </c>
      <c r="AA416" s="17">
        <v>638</v>
      </c>
      <c r="AB416" s="12">
        <v>36</v>
      </c>
    </row>
    <row r="417" ht="14.25" spans="1:28">
      <c r="A417" s="13">
        <v>415</v>
      </c>
      <c r="B417" s="15">
        <v>9</v>
      </c>
      <c r="C417" s="16">
        <v>31</v>
      </c>
      <c r="D417" s="17" t="s">
        <v>840</v>
      </c>
      <c r="E417" s="17" t="s">
        <v>841</v>
      </c>
      <c r="F417" s="17">
        <v>109</v>
      </c>
      <c r="G417" s="17">
        <v>567</v>
      </c>
      <c r="H417" s="17">
        <v>126</v>
      </c>
      <c r="I417" s="17">
        <v>306</v>
      </c>
      <c r="J417" s="17">
        <v>108.5</v>
      </c>
      <c r="K417" s="17">
        <v>1655</v>
      </c>
      <c r="L417" s="17">
        <v>60</v>
      </c>
      <c r="M417" s="17">
        <v>2185</v>
      </c>
      <c r="N417" s="17"/>
      <c r="O417" s="17"/>
      <c r="P417" s="17">
        <v>76</v>
      </c>
      <c r="Q417" s="17">
        <v>3515</v>
      </c>
      <c r="R417" s="17">
        <v>83</v>
      </c>
      <c r="S417" s="17">
        <v>1715</v>
      </c>
      <c r="T417" s="17"/>
      <c r="U417" s="17"/>
      <c r="V417" s="17"/>
      <c r="W417" s="17"/>
      <c r="X417" s="15">
        <v>343.5</v>
      </c>
      <c r="Y417" s="17">
        <v>21</v>
      </c>
      <c r="Z417" s="17">
        <v>562.5</v>
      </c>
      <c r="AA417" s="17">
        <v>937</v>
      </c>
      <c r="AB417" s="12">
        <v>66</v>
      </c>
    </row>
    <row r="418" ht="14.25" spans="1:28">
      <c r="A418" s="13">
        <v>416</v>
      </c>
      <c r="B418" s="15">
        <v>9</v>
      </c>
      <c r="C418" s="16">
        <v>32</v>
      </c>
      <c r="D418" s="17" t="s">
        <v>842</v>
      </c>
      <c r="E418" s="17" t="s">
        <v>843</v>
      </c>
      <c r="F418" s="17">
        <v>105.5</v>
      </c>
      <c r="G418" s="17">
        <v>1281</v>
      </c>
      <c r="H418" s="17">
        <v>130</v>
      </c>
      <c r="I418" s="17">
        <v>136</v>
      </c>
      <c r="J418" s="17">
        <v>121.5</v>
      </c>
      <c r="K418" s="17">
        <v>410</v>
      </c>
      <c r="L418" s="17">
        <v>85</v>
      </c>
      <c r="M418" s="17">
        <v>27</v>
      </c>
      <c r="N418" s="17"/>
      <c r="O418" s="17"/>
      <c r="P418" s="17">
        <v>91</v>
      </c>
      <c r="Q418" s="17">
        <v>69</v>
      </c>
      <c r="R418" s="17">
        <v>93</v>
      </c>
      <c r="S418" s="17">
        <v>50</v>
      </c>
      <c r="T418" s="17"/>
      <c r="U418" s="17"/>
      <c r="V418" s="17"/>
      <c r="W418" s="17"/>
      <c r="X418" s="15">
        <v>357</v>
      </c>
      <c r="Y418" s="17">
        <v>5</v>
      </c>
      <c r="Z418" s="17">
        <v>626</v>
      </c>
      <c r="AA418" s="17">
        <v>50</v>
      </c>
      <c r="AB418" s="12">
        <v>2</v>
      </c>
    </row>
    <row r="419" ht="14.25" spans="1:28">
      <c r="A419" s="13">
        <v>417</v>
      </c>
      <c r="B419" s="15">
        <v>9</v>
      </c>
      <c r="C419" s="16">
        <v>33</v>
      </c>
      <c r="D419" s="17" t="s">
        <v>844</v>
      </c>
      <c r="E419" s="17" t="s">
        <v>845</v>
      </c>
      <c r="F419" s="17">
        <v>98.5</v>
      </c>
      <c r="G419" s="17">
        <v>4145</v>
      </c>
      <c r="H419" s="17">
        <v>117.5</v>
      </c>
      <c r="I419" s="17">
        <v>923</v>
      </c>
      <c r="J419" s="17">
        <v>120</v>
      </c>
      <c r="K419" s="17">
        <v>503</v>
      </c>
      <c r="L419" s="17">
        <v>62</v>
      </c>
      <c r="M419" s="17">
        <v>1839</v>
      </c>
      <c r="N419" s="17"/>
      <c r="O419" s="17"/>
      <c r="P419" s="17">
        <v>87</v>
      </c>
      <c r="Q419" s="17">
        <v>681</v>
      </c>
      <c r="R419" s="17">
        <v>82</v>
      </c>
      <c r="S419" s="17">
        <v>1915</v>
      </c>
      <c r="T419" s="17"/>
      <c r="U419" s="17"/>
      <c r="V419" s="17"/>
      <c r="W419" s="17"/>
      <c r="X419" s="15">
        <v>336</v>
      </c>
      <c r="Y419" s="17">
        <v>45</v>
      </c>
      <c r="Z419" s="17">
        <v>567</v>
      </c>
      <c r="AA419" s="17">
        <v>828</v>
      </c>
      <c r="AB419" s="12">
        <v>55</v>
      </c>
    </row>
    <row r="420" ht="14.25" spans="1:28">
      <c r="A420" s="13">
        <v>418</v>
      </c>
      <c r="B420" s="15">
        <v>9</v>
      </c>
      <c r="C420" s="16">
        <v>34</v>
      </c>
      <c r="D420" s="17" t="s">
        <v>846</v>
      </c>
      <c r="E420" s="17" t="s">
        <v>847</v>
      </c>
      <c r="F420" s="17">
        <v>113.5</v>
      </c>
      <c r="G420" s="17">
        <v>139</v>
      </c>
      <c r="H420" s="17">
        <v>112</v>
      </c>
      <c r="I420" s="17">
        <v>1617</v>
      </c>
      <c r="J420" s="17">
        <v>138.75</v>
      </c>
      <c r="K420" s="17">
        <v>3</v>
      </c>
      <c r="L420" s="17">
        <v>66</v>
      </c>
      <c r="M420" s="17">
        <v>1304</v>
      </c>
      <c r="N420" s="17"/>
      <c r="O420" s="17"/>
      <c r="P420" s="17">
        <v>76</v>
      </c>
      <c r="Q420" s="17">
        <v>3515</v>
      </c>
      <c r="R420" s="17">
        <v>89</v>
      </c>
      <c r="S420" s="17">
        <v>415</v>
      </c>
      <c r="T420" s="17"/>
      <c r="U420" s="17"/>
      <c r="V420" s="17"/>
      <c r="W420" s="17"/>
      <c r="X420" s="15">
        <v>364.25</v>
      </c>
      <c r="Y420" s="17">
        <v>2</v>
      </c>
      <c r="Z420" s="17">
        <v>595.25</v>
      </c>
      <c r="AA420" s="17">
        <v>278</v>
      </c>
      <c r="AB420" s="12">
        <v>14</v>
      </c>
    </row>
    <row r="421" ht="14.25" spans="1:28">
      <c r="A421" s="13">
        <v>419</v>
      </c>
      <c r="B421" s="15">
        <v>9</v>
      </c>
      <c r="C421" s="16">
        <v>35</v>
      </c>
      <c r="D421" s="19" t="s">
        <v>848</v>
      </c>
      <c r="E421" s="17" t="s">
        <v>849</v>
      </c>
      <c r="F421" s="17">
        <v>95.5</v>
      </c>
      <c r="G421" s="17">
        <v>5877</v>
      </c>
      <c r="H421" s="17">
        <v>128</v>
      </c>
      <c r="I421" s="17">
        <v>207</v>
      </c>
      <c r="J421" s="17">
        <v>104</v>
      </c>
      <c r="K421" s="17">
        <v>2352</v>
      </c>
      <c r="L421" s="17">
        <v>69</v>
      </c>
      <c r="M421" s="17">
        <v>949</v>
      </c>
      <c r="N421" s="17"/>
      <c r="O421" s="17"/>
      <c r="P421" s="17">
        <v>86</v>
      </c>
      <c r="Q421" s="17">
        <v>1052</v>
      </c>
      <c r="R421" s="17">
        <v>75</v>
      </c>
      <c r="S421" s="17">
        <v>3790</v>
      </c>
      <c r="T421" s="17"/>
      <c r="U421" s="17"/>
      <c r="V421" s="17"/>
      <c r="W421" s="17"/>
      <c r="X421" s="15">
        <v>327.5</v>
      </c>
      <c r="Y421" s="17">
        <v>75</v>
      </c>
      <c r="Z421" s="17">
        <v>557.5</v>
      </c>
      <c r="AA421" s="17">
        <v>1065</v>
      </c>
      <c r="AB421" s="12">
        <v>78</v>
      </c>
    </row>
    <row r="422" ht="14.25" spans="1:28">
      <c r="A422" s="13">
        <v>420</v>
      </c>
      <c r="B422" s="15">
        <v>9</v>
      </c>
      <c r="C422" s="16">
        <v>36</v>
      </c>
      <c r="D422" s="17" t="s">
        <v>850</v>
      </c>
      <c r="E422" s="17" t="s">
        <v>851</v>
      </c>
      <c r="F422" s="17">
        <v>107.75</v>
      </c>
      <c r="G422" s="17">
        <v>823</v>
      </c>
      <c r="H422" s="17">
        <v>121.5</v>
      </c>
      <c r="I422" s="17">
        <v>581</v>
      </c>
      <c r="J422" s="17">
        <v>96</v>
      </c>
      <c r="K422" s="17">
        <v>3851</v>
      </c>
      <c r="L422" s="17">
        <v>64.5</v>
      </c>
      <c r="M422" s="17">
        <v>1506</v>
      </c>
      <c r="N422" s="17"/>
      <c r="O422" s="17"/>
      <c r="P422" s="17">
        <v>90</v>
      </c>
      <c r="Q422" s="17">
        <v>119</v>
      </c>
      <c r="R422" s="17">
        <v>85</v>
      </c>
      <c r="S422" s="17">
        <v>1393</v>
      </c>
      <c r="T422" s="17"/>
      <c r="U422" s="17"/>
      <c r="V422" s="17"/>
      <c r="W422" s="17"/>
      <c r="X422" s="15">
        <v>325.25</v>
      </c>
      <c r="Y422" s="17">
        <v>87</v>
      </c>
      <c r="Z422" s="17">
        <v>564.75</v>
      </c>
      <c r="AA422" s="17">
        <v>879</v>
      </c>
      <c r="AB422" s="12">
        <v>58</v>
      </c>
    </row>
    <row r="423" ht="14.25" spans="1:28">
      <c r="A423" s="13">
        <v>421</v>
      </c>
      <c r="B423" s="15">
        <v>9</v>
      </c>
      <c r="C423" s="16">
        <v>37</v>
      </c>
      <c r="D423" s="17" t="s">
        <v>852</v>
      </c>
      <c r="E423" s="17" t="s">
        <v>853</v>
      </c>
      <c r="F423" s="17">
        <v>99.5</v>
      </c>
      <c r="G423" s="17">
        <v>3607</v>
      </c>
      <c r="H423" s="17">
        <v>110.5</v>
      </c>
      <c r="I423" s="17">
        <v>1866</v>
      </c>
      <c r="J423" s="17">
        <v>119</v>
      </c>
      <c r="K423" s="17">
        <v>560</v>
      </c>
      <c r="L423" s="17">
        <v>76.5</v>
      </c>
      <c r="M423" s="17">
        <v>333</v>
      </c>
      <c r="N423" s="17"/>
      <c r="O423" s="17"/>
      <c r="P423" s="17">
        <v>78</v>
      </c>
      <c r="Q423" s="17">
        <v>2908</v>
      </c>
      <c r="R423" s="17">
        <v>92</v>
      </c>
      <c r="S423" s="17">
        <v>98</v>
      </c>
      <c r="T423" s="17"/>
      <c r="U423" s="17"/>
      <c r="V423" s="17"/>
      <c r="W423" s="17"/>
      <c r="X423" s="15">
        <v>329</v>
      </c>
      <c r="Y423" s="17">
        <v>73</v>
      </c>
      <c r="Z423" s="17">
        <v>575.5</v>
      </c>
      <c r="AA423" s="17">
        <v>607</v>
      </c>
      <c r="AB423" s="12">
        <v>35</v>
      </c>
    </row>
    <row r="424" ht="14.25" spans="1:28">
      <c r="A424" s="13">
        <v>422</v>
      </c>
      <c r="B424" s="15">
        <v>9</v>
      </c>
      <c r="C424" s="16">
        <v>38</v>
      </c>
      <c r="D424" s="17" t="s">
        <v>854</v>
      </c>
      <c r="E424" s="17" t="s">
        <v>855</v>
      </c>
      <c r="F424" s="17">
        <v>102</v>
      </c>
      <c r="G424" s="17">
        <v>2480</v>
      </c>
      <c r="H424" s="17">
        <v>125</v>
      </c>
      <c r="I424" s="17">
        <v>360</v>
      </c>
      <c r="J424" s="17">
        <v>121.25</v>
      </c>
      <c r="K424" s="17">
        <v>434</v>
      </c>
      <c r="L424" s="17">
        <v>82.5</v>
      </c>
      <c r="M424" s="17">
        <v>75</v>
      </c>
      <c r="N424" s="17"/>
      <c r="O424" s="17"/>
      <c r="P424" s="17">
        <v>80</v>
      </c>
      <c r="Q424" s="17">
        <v>2333</v>
      </c>
      <c r="R424" s="17">
        <v>84</v>
      </c>
      <c r="S424" s="17">
        <v>1490</v>
      </c>
      <c r="T424" s="17"/>
      <c r="U424" s="17"/>
      <c r="V424" s="17"/>
      <c r="W424" s="17"/>
      <c r="X424" s="15">
        <v>348.25</v>
      </c>
      <c r="Y424" s="17">
        <v>15</v>
      </c>
      <c r="Z424" s="17">
        <v>594.75</v>
      </c>
      <c r="AA424" s="17">
        <v>285</v>
      </c>
      <c r="AB424" s="12">
        <v>15</v>
      </c>
    </row>
    <row r="425" ht="14.25" spans="1:28">
      <c r="A425" s="13">
        <v>423</v>
      </c>
      <c r="B425" s="15">
        <v>9</v>
      </c>
      <c r="C425" s="16">
        <v>39</v>
      </c>
      <c r="D425" s="17" t="s">
        <v>856</v>
      </c>
      <c r="E425" s="17" t="s">
        <v>857</v>
      </c>
      <c r="F425" s="17">
        <v>116</v>
      </c>
      <c r="G425" s="17">
        <v>48</v>
      </c>
      <c r="H425" s="17">
        <v>135.5</v>
      </c>
      <c r="I425" s="17">
        <v>35</v>
      </c>
      <c r="J425" s="17">
        <v>121.5</v>
      </c>
      <c r="K425" s="17">
        <v>410</v>
      </c>
      <c r="L425" s="17">
        <v>83.5</v>
      </c>
      <c r="M425" s="17">
        <v>55</v>
      </c>
      <c r="N425" s="17"/>
      <c r="O425" s="17"/>
      <c r="P425" s="17">
        <v>92</v>
      </c>
      <c r="Q425" s="17">
        <v>36</v>
      </c>
      <c r="R425" s="17">
        <v>93</v>
      </c>
      <c r="S425" s="17">
        <v>50</v>
      </c>
      <c r="T425" s="17"/>
      <c r="U425" s="17"/>
      <c r="V425" s="17"/>
      <c r="W425" s="17"/>
      <c r="X425" s="15">
        <v>373</v>
      </c>
      <c r="Y425" s="17">
        <v>1</v>
      </c>
      <c r="Z425" s="17">
        <v>641.5</v>
      </c>
      <c r="AA425" s="17">
        <v>12</v>
      </c>
      <c r="AB425" s="12">
        <v>1</v>
      </c>
    </row>
    <row r="426" ht="14.25" spans="1:28">
      <c r="A426" s="13">
        <v>424</v>
      </c>
      <c r="B426" s="15">
        <v>9</v>
      </c>
      <c r="C426" s="16">
        <v>40</v>
      </c>
      <c r="D426" s="17" t="s">
        <v>858</v>
      </c>
      <c r="E426" s="17" t="s">
        <v>859</v>
      </c>
      <c r="F426" s="17">
        <v>95</v>
      </c>
      <c r="G426" s="17">
        <v>6168</v>
      </c>
      <c r="H426" s="17">
        <v>125.5</v>
      </c>
      <c r="I426" s="17">
        <v>333</v>
      </c>
      <c r="J426" s="17">
        <v>114.75</v>
      </c>
      <c r="K426" s="17">
        <v>938</v>
      </c>
      <c r="L426" s="17">
        <v>51.5</v>
      </c>
      <c r="M426" s="17">
        <v>3642</v>
      </c>
      <c r="N426" s="17"/>
      <c r="O426" s="17"/>
      <c r="P426" s="17">
        <v>87</v>
      </c>
      <c r="Q426" s="17">
        <v>681</v>
      </c>
      <c r="R426" s="17">
        <v>87</v>
      </c>
      <c r="S426" s="17">
        <v>883</v>
      </c>
      <c r="T426" s="17"/>
      <c r="U426" s="17"/>
      <c r="V426" s="17"/>
      <c r="W426" s="17"/>
      <c r="X426" s="15">
        <v>335.25</v>
      </c>
      <c r="Y426" s="17">
        <v>50</v>
      </c>
      <c r="Z426" s="17">
        <v>560.75</v>
      </c>
      <c r="AA426" s="17">
        <v>985</v>
      </c>
      <c r="AB426" s="12">
        <v>70</v>
      </c>
    </row>
    <row r="427" ht="14.25" spans="1:28">
      <c r="A427" s="13">
        <v>425</v>
      </c>
      <c r="B427" s="15">
        <v>9</v>
      </c>
      <c r="C427" s="16">
        <v>41</v>
      </c>
      <c r="D427" s="19" t="s">
        <v>860</v>
      </c>
      <c r="E427" s="17" t="s">
        <v>861</v>
      </c>
      <c r="F427" s="17">
        <v>100.75</v>
      </c>
      <c r="G427" s="17">
        <v>3103</v>
      </c>
      <c r="H427" s="17">
        <v>129.5</v>
      </c>
      <c r="I427" s="17">
        <v>151</v>
      </c>
      <c r="J427" s="17">
        <v>111</v>
      </c>
      <c r="K427" s="17">
        <v>1337</v>
      </c>
      <c r="L427" s="17">
        <v>76.5</v>
      </c>
      <c r="M427" s="17">
        <v>333</v>
      </c>
      <c r="N427" s="17"/>
      <c r="O427" s="17"/>
      <c r="P427" s="17">
        <v>75</v>
      </c>
      <c r="Q427" s="17">
        <v>3841</v>
      </c>
      <c r="R427" s="17">
        <v>81</v>
      </c>
      <c r="S427" s="17">
        <v>2139</v>
      </c>
      <c r="T427" s="17"/>
      <c r="U427" s="17"/>
      <c r="V427" s="17"/>
      <c r="W427" s="17"/>
      <c r="X427" s="15">
        <v>341.25</v>
      </c>
      <c r="Y427" s="17">
        <v>26</v>
      </c>
      <c r="Z427" s="17">
        <v>573.75</v>
      </c>
      <c r="AA427" s="17">
        <v>658</v>
      </c>
      <c r="AB427" s="12">
        <v>38</v>
      </c>
    </row>
    <row r="428" ht="14.25" spans="1:28">
      <c r="A428" s="13">
        <v>426</v>
      </c>
      <c r="B428" s="15">
        <v>9</v>
      </c>
      <c r="C428" s="16">
        <v>42</v>
      </c>
      <c r="D428" s="17" t="s">
        <v>862</v>
      </c>
      <c r="E428" s="17" t="s">
        <v>863</v>
      </c>
      <c r="F428" s="17">
        <v>91</v>
      </c>
      <c r="G428" s="17">
        <v>8620</v>
      </c>
      <c r="H428" s="17">
        <v>109</v>
      </c>
      <c r="I428" s="17">
        <v>2105</v>
      </c>
      <c r="J428" s="17">
        <v>120.25</v>
      </c>
      <c r="K428" s="17">
        <v>493</v>
      </c>
      <c r="L428" s="17">
        <v>66</v>
      </c>
      <c r="M428" s="17">
        <v>1304</v>
      </c>
      <c r="N428" s="17"/>
      <c r="O428" s="17"/>
      <c r="P428" s="17">
        <v>80</v>
      </c>
      <c r="Q428" s="17">
        <v>2333</v>
      </c>
      <c r="R428" s="17">
        <v>88</v>
      </c>
      <c r="S428" s="17">
        <v>601</v>
      </c>
      <c r="T428" s="17"/>
      <c r="U428" s="17"/>
      <c r="V428" s="17"/>
      <c r="W428" s="17"/>
      <c r="X428" s="15">
        <v>320.25</v>
      </c>
      <c r="Y428" s="17">
        <v>114</v>
      </c>
      <c r="Z428" s="17">
        <v>554.25</v>
      </c>
      <c r="AA428" s="17">
        <v>1157</v>
      </c>
      <c r="AB428" s="12">
        <v>87</v>
      </c>
    </row>
    <row r="429" ht="14.25" spans="1:28">
      <c r="A429" s="13">
        <v>427</v>
      </c>
      <c r="B429" s="15">
        <v>9</v>
      </c>
      <c r="C429" s="16">
        <v>43</v>
      </c>
      <c r="D429" s="17" t="s">
        <v>864</v>
      </c>
      <c r="E429" s="17" t="s">
        <v>865</v>
      </c>
      <c r="F429" s="17">
        <v>92.5</v>
      </c>
      <c r="G429" s="17">
        <v>7705</v>
      </c>
      <c r="H429" s="17">
        <v>116</v>
      </c>
      <c r="I429" s="17">
        <v>1095</v>
      </c>
      <c r="J429" s="17">
        <v>114.75</v>
      </c>
      <c r="K429" s="17">
        <v>938</v>
      </c>
      <c r="L429" s="17">
        <v>75.5</v>
      </c>
      <c r="M429" s="17">
        <v>413</v>
      </c>
      <c r="N429" s="17"/>
      <c r="O429" s="17"/>
      <c r="P429" s="17">
        <v>83</v>
      </c>
      <c r="Q429" s="17">
        <v>1643</v>
      </c>
      <c r="R429" s="17">
        <v>86</v>
      </c>
      <c r="S429" s="17">
        <v>1176</v>
      </c>
      <c r="T429" s="17"/>
      <c r="U429" s="17"/>
      <c r="V429" s="17"/>
      <c r="W429" s="17"/>
      <c r="X429" s="15">
        <v>323.25</v>
      </c>
      <c r="Y429" s="17">
        <v>97</v>
      </c>
      <c r="Z429" s="17">
        <v>567.75</v>
      </c>
      <c r="AA429" s="17">
        <v>819</v>
      </c>
      <c r="AB429" s="12">
        <v>54</v>
      </c>
    </row>
    <row r="430" ht="14.25" spans="1:28">
      <c r="A430" s="13">
        <v>428</v>
      </c>
      <c r="B430" s="15">
        <v>9</v>
      </c>
      <c r="C430" s="16">
        <v>44</v>
      </c>
      <c r="D430" s="17" t="s">
        <v>866</v>
      </c>
      <c r="E430" s="17" t="s">
        <v>867</v>
      </c>
      <c r="F430" s="17">
        <v>101</v>
      </c>
      <c r="G430" s="17">
        <v>2896</v>
      </c>
      <c r="H430" s="17">
        <v>124</v>
      </c>
      <c r="I430" s="17">
        <v>418</v>
      </c>
      <c r="J430" s="17">
        <v>98.75</v>
      </c>
      <c r="K430" s="17">
        <v>3309</v>
      </c>
      <c r="L430" s="17">
        <v>76</v>
      </c>
      <c r="M430" s="17">
        <v>367</v>
      </c>
      <c r="N430" s="17"/>
      <c r="O430" s="17"/>
      <c r="P430" s="17">
        <v>91</v>
      </c>
      <c r="Q430" s="17">
        <v>69</v>
      </c>
      <c r="R430" s="17">
        <v>95</v>
      </c>
      <c r="S430" s="17">
        <v>10</v>
      </c>
      <c r="T430" s="17"/>
      <c r="U430" s="17"/>
      <c r="V430" s="17"/>
      <c r="W430" s="17"/>
      <c r="X430" s="15">
        <v>323.75</v>
      </c>
      <c r="Y430" s="17">
        <v>93</v>
      </c>
      <c r="Z430" s="17">
        <v>585.75</v>
      </c>
      <c r="AA430" s="17">
        <v>420</v>
      </c>
      <c r="AB430" s="12">
        <v>22</v>
      </c>
    </row>
    <row r="431" ht="14.25" spans="1:28">
      <c r="A431" s="13">
        <v>429</v>
      </c>
      <c r="B431" s="15">
        <v>9</v>
      </c>
      <c r="C431" s="16">
        <v>45</v>
      </c>
      <c r="D431" s="17" t="s">
        <v>868</v>
      </c>
      <c r="E431" s="17" t="s">
        <v>869</v>
      </c>
      <c r="F431" s="17">
        <v>102.25</v>
      </c>
      <c r="G431" s="17">
        <v>2460</v>
      </c>
      <c r="H431" s="17">
        <v>110.5</v>
      </c>
      <c r="I431" s="17">
        <v>1866</v>
      </c>
      <c r="J431" s="17">
        <v>122</v>
      </c>
      <c r="K431" s="17">
        <v>371</v>
      </c>
      <c r="L431" s="17">
        <v>71.5</v>
      </c>
      <c r="M431" s="17">
        <v>714</v>
      </c>
      <c r="N431" s="17"/>
      <c r="O431" s="17"/>
      <c r="P431" s="17">
        <v>88</v>
      </c>
      <c r="Q431" s="17">
        <v>397</v>
      </c>
      <c r="R431" s="17">
        <v>83</v>
      </c>
      <c r="S431" s="17">
        <v>1715</v>
      </c>
      <c r="T431" s="17"/>
      <c r="U431" s="17"/>
      <c r="V431" s="17"/>
      <c r="W431" s="17"/>
      <c r="X431" s="15">
        <v>334.75</v>
      </c>
      <c r="Y431" s="17">
        <v>51</v>
      </c>
      <c r="Z431" s="17">
        <v>577.25</v>
      </c>
      <c r="AA431" s="17">
        <v>577</v>
      </c>
      <c r="AB431" s="12">
        <v>32</v>
      </c>
    </row>
    <row r="432" ht="14.25" spans="1:28">
      <c r="A432" s="13">
        <v>430</v>
      </c>
      <c r="B432" s="15">
        <v>9</v>
      </c>
      <c r="C432" s="16">
        <v>46</v>
      </c>
      <c r="D432" s="17" t="s">
        <v>870</v>
      </c>
      <c r="E432" s="17" t="s">
        <v>871</v>
      </c>
      <c r="F432" s="17">
        <v>110.25</v>
      </c>
      <c r="G432" s="17">
        <v>422</v>
      </c>
      <c r="H432" s="17">
        <v>134.5</v>
      </c>
      <c r="I432" s="17">
        <v>52</v>
      </c>
      <c r="J432" s="17">
        <v>114</v>
      </c>
      <c r="K432" s="17">
        <v>991</v>
      </c>
      <c r="L432" s="17">
        <v>76</v>
      </c>
      <c r="M432" s="17">
        <v>367</v>
      </c>
      <c r="N432" s="17"/>
      <c r="O432" s="17"/>
      <c r="P432" s="17">
        <v>77</v>
      </c>
      <c r="Q432" s="17">
        <v>3207</v>
      </c>
      <c r="R432" s="17">
        <v>95</v>
      </c>
      <c r="S432" s="17">
        <v>10</v>
      </c>
      <c r="T432" s="17"/>
      <c r="U432" s="17"/>
      <c r="V432" s="17"/>
      <c r="W432" s="17"/>
      <c r="X432" s="15">
        <v>358.75</v>
      </c>
      <c r="Y432" s="17">
        <v>3</v>
      </c>
      <c r="Z432" s="17">
        <v>606.75</v>
      </c>
      <c r="AA432" s="17">
        <v>166</v>
      </c>
      <c r="AB432" s="12">
        <v>9</v>
      </c>
    </row>
    <row r="433" ht="14.25" spans="1:28">
      <c r="A433" s="13">
        <v>431</v>
      </c>
      <c r="B433" s="15">
        <v>9</v>
      </c>
      <c r="C433" s="16">
        <v>47</v>
      </c>
      <c r="D433" s="17" t="s">
        <v>872</v>
      </c>
      <c r="E433" s="17" t="s">
        <v>873</v>
      </c>
      <c r="F433" s="17">
        <v>109.5</v>
      </c>
      <c r="G433" s="17">
        <v>495</v>
      </c>
      <c r="H433" s="17">
        <v>117</v>
      </c>
      <c r="I433" s="17">
        <v>975</v>
      </c>
      <c r="J433" s="17">
        <v>120</v>
      </c>
      <c r="K433" s="17">
        <v>503</v>
      </c>
      <c r="L433" s="17">
        <v>57.5</v>
      </c>
      <c r="M433" s="17">
        <v>2619</v>
      </c>
      <c r="N433" s="17"/>
      <c r="O433" s="17"/>
      <c r="P433" s="17">
        <v>77</v>
      </c>
      <c r="Q433" s="17">
        <v>3207</v>
      </c>
      <c r="R433" s="17">
        <v>88</v>
      </c>
      <c r="S433" s="17">
        <v>601</v>
      </c>
      <c r="T433" s="17"/>
      <c r="U433" s="17"/>
      <c r="V433" s="17"/>
      <c r="W433" s="17"/>
      <c r="X433" s="15">
        <v>346.5</v>
      </c>
      <c r="Y433" s="17">
        <v>16</v>
      </c>
      <c r="Z433" s="17">
        <v>569</v>
      </c>
      <c r="AA433" s="17">
        <v>776</v>
      </c>
      <c r="AB433" s="12">
        <v>50</v>
      </c>
    </row>
    <row r="434" ht="14.25" spans="1:28">
      <c r="A434" s="13">
        <v>432</v>
      </c>
      <c r="B434" s="15">
        <v>9</v>
      </c>
      <c r="C434" s="16">
        <v>48</v>
      </c>
      <c r="D434" s="17" t="s">
        <v>874</v>
      </c>
      <c r="E434" s="17" t="s">
        <v>875</v>
      </c>
      <c r="F434" s="17">
        <v>98.25</v>
      </c>
      <c r="G434" s="17">
        <v>4392</v>
      </c>
      <c r="H434" s="17">
        <v>115.5</v>
      </c>
      <c r="I434" s="17">
        <v>1149</v>
      </c>
      <c r="J434" s="17">
        <v>122</v>
      </c>
      <c r="K434" s="17">
        <v>371</v>
      </c>
      <c r="L434" s="17">
        <v>75.5</v>
      </c>
      <c r="M434" s="17">
        <v>413</v>
      </c>
      <c r="N434" s="17"/>
      <c r="O434" s="17"/>
      <c r="P434" s="17">
        <v>73</v>
      </c>
      <c r="Q434" s="17">
        <v>4501</v>
      </c>
      <c r="R434" s="17">
        <v>95</v>
      </c>
      <c r="S434" s="17">
        <v>10</v>
      </c>
      <c r="T434" s="17"/>
      <c r="U434" s="17"/>
      <c r="V434" s="17"/>
      <c r="W434" s="17"/>
      <c r="X434" s="15">
        <v>335.75</v>
      </c>
      <c r="Y434" s="17">
        <v>47</v>
      </c>
      <c r="Z434" s="17">
        <v>579.25</v>
      </c>
      <c r="AA434" s="17">
        <v>533</v>
      </c>
      <c r="AB434" s="12">
        <v>28</v>
      </c>
    </row>
    <row r="435" ht="14.25" spans="1:28">
      <c r="A435" s="13">
        <v>433</v>
      </c>
      <c r="B435" s="15">
        <v>9</v>
      </c>
      <c r="C435" s="16">
        <v>49</v>
      </c>
      <c r="D435" s="17" t="s">
        <v>876</v>
      </c>
      <c r="E435" s="17" t="s">
        <v>877</v>
      </c>
      <c r="F435" s="17">
        <v>98.5</v>
      </c>
      <c r="G435" s="17">
        <v>4145</v>
      </c>
      <c r="H435" s="17">
        <v>129</v>
      </c>
      <c r="I435" s="17">
        <v>168</v>
      </c>
      <c r="J435" s="17">
        <v>111.5</v>
      </c>
      <c r="K435" s="17">
        <v>1281</v>
      </c>
      <c r="L435" s="17">
        <v>68</v>
      </c>
      <c r="M435" s="17">
        <v>1067</v>
      </c>
      <c r="N435" s="17"/>
      <c r="O435" s="17"/>
      <c r="P435" s="17">
        <v>84</v>
      </c>
      <c r="Q435" s="17">
        <v>1443</v>
      </c>
      <c r="R435" s="17">
        <v>90</v>
      </c>
      <c r="S435" s="17">
        <v>255</v>
      </c>
      <c r="T435" s="17"/>
      <c r="U435" s="17"/>
      <c r="V435" s="17"/>
      <c r="W435" s="17"/>
      <c r="X435" s="15">
        <v>339</v>
      </c>
      <c r="Y435" s="17">
        <v>30</v>
      </c>
      <c r="Z435" s="17">
        <v>581</v>
      </c>
      <c r="AA435" s="17">
        <v>503</v>
      </c>
      <c r="AB435" s="12">
        <v>26</v>
      </c>
    </row>
    <row r="436" ht="14.25" spans="1:28">
      <c r="A436" s="13">
        <v>434</v>
      </c>
      <c r="B436" s="15">
        <v>9</v>
      </c>
      <c r="C436" s="16">
        <v>50</v>
      </c>
      <c r="D436" s="19" t="s">
        <v>878</v>
      </c>
      <c r="E436" s="17" t="s">
        <v>879</v>
      </c>
      <c r="F436" s="17">
        <v>118.5</v>
      </c>
      <c r="G436" s="17">
        <v>19</v>
      </c>
      <c r="H436" s="17">
        <v>108</v>
      </c>
      <c r="I436" s="17">
        <v>2274</v>
      </c>
      <c r="J436" s="17">
        <v>103.25</v>
      </c>
      <c r="K436" s="17">
        <v>2503</v>
      </c>
      <c r="L436" s="17">
        <v>69</v>
      </c>
      <c r="M436" s="17">
        <v>949</v>
      </c>
      <c r="N436" s="17"/>
      <c r="O436" s="17"/>
      <c r="P436" s="17">
        <v>79</v>
      </c>
      <c r="Q436" s="17">
        <v>2632</v>
      </c>
      <c r="R436" s="17">
        <v>87</v>
      </c>
      <c r="S436" s="17">
        <v>883</v>
      </c>
      <c r="T436" s="17"/>
      <c r="U436" s="17"/>
      <c r="V436" s="17"/>
      <c r="W436" s="17"/>
      <c r="X436" s="15">
        <v>329.75</v>
      </c>
      <c r="Y436" s="17">
        <v>68</v>
      </c>
      <c r="Z436" s="17">
        <v>564.75</v>
      </c>
      <c r="AA436" s="17">
        <v>879</v>
      </c>
      <c r="AB436" s="12">
        <v>58</v>
      </c>
    </row>
    <row r="437" ht="14.25" spans="1:28">
      <c r="A437" s="13">
        <v>435</v>
      </c>
      <c r="B437" s="15">
        <v>9</v>
      </c>
      <c r="C437" s="16">
        <v>51</v>
      </c>
      <c r="D437" s="19" t="s">
        <v>880</v>
      </c>
      <c r="E437" s="17" t="s">
        <v>881</v>
      </c>
      <c r="F437" s="17">
        <v>106.25</v>
      </c>
      <c r="G437" s="17">
        <v>1151</v>
      </c>
      <c r="H437" s="17">
        <v>129.5</v>
      </c>
      <c r="I437" s="17">
        <v>151</v>
      </c>
      <c r="J437" s="17">
        <v>118.75</v>
      </c>
      <c r="K437" s="17">
        <v>599</v>
      </c>
      <c r="L437" s="17">
        <v>74.5</v>
      </c>
      <c r="M437" s="17">
        <v>487</v>
      </c>
      <c r="N437" s="17"/>
      <c r="O437" s="17"/>
      <c r="P437" s="17">
        <v>89</v>
      </c>
      <c r="Q437" s="17">
        <v>222</v>
      </c>
      <c r="R437" s="17">
        <v>87</v>
      </c>
      <c r="S437" s="17">
        <v>883</v>
      </c>
      <c r="T437" s="17"/>
      <c r="U437" s="17"/>
      <c r="V437" s="17"/>
      <c r="W437" s="17"/>
      <c r="X437" s="15">
        <v>354.5</v>
      </c>
      <c r="Y437" s="17">
        <v>8</v>
      </c>
      <c r="Z437" s="17">
        <v>605</v>
      </c>
      <c r="AA437" s="17">
        <v>180</v>
      </c>
      <c r="AB437" s="12">
        <v>10</v>
      </c>
    </row>
    <row r="438" ht="14.25" spans="1:28">
      <c r="A438" s="13">
        <v>436</v>
      </c>
      <c r="B438" s="15">
        <v>9</v>
      </c>
      <c r="C438" s="16">
        <v>52</v>
      </c>
      <c r="D438" s="17" t="s">
        <v>882</v>
      </c>
      <c r="E438" s="17" t="s">
        <v>883</v>
      </c>
      <c r="F438" s="17">
        <v>106.25</v>
      </c>
      <c r="G438" s="17">
        <v>1151</v>
      </c>
      <c r="H438" s="17">
        <v>116.25</v>
      </c>
      <c r="I438" s="17">
        <v>1094</v>
      </c>
      <c r="J438" s="17">
        <v>114.25</v>
      </c>
      <c r="K438" s="17">
        <v>986</v>
      </c>
      <c r="L438" s="17">
        <v>54.5</v>
      </c>
      <c r="M438" s="17">
        <v>3126</v>
      </c>
      <c r="N438" s="17"/>
      <c r="O438" s="17"/>
      <c r="P438" s="17">
        <v>65</v>
      </c>
      <c r="Q438" s="17">
        <v>7113</v>
      </c>
      <c r="R438" s="17">
        <v>69</v>
      </c>
      <c r="S438" s="17">
        <v>5677</v>
      </c>
      <c r="T438" s="17"/>
      <c r="U438" s="17"/>
      <c r="V438" s="17"/>
      <c r="W438" s="17"/>
      <c r="X438" s="15">
        <v>336.75</v>
      </c>
      <c r="Y438" s="17">
        <v>42</v>
      </c>
      <c r="Z438" s="17">
        <v>525.25</v>
      </c>
      <c r="AA438" s="17">
        <v>2129</v>
      </c>
      <c r="AB438" s="12">
        <v>183</v>
      </c>
    </row>
    <row r="439" ht="14.25" spans="1:28">
      <c r="A439" s="13">
        <v>437</v>
      </c>
      <c r="B439" s="15">
        <v>9</v>
      </c>
      <c r="C439" s="16">
        <v>53</v>
      </c>
      <c r="D439" s="17" t="s">
        <v>884</v>
      </c>
      <c r="E439" s="17" t="s">
        <v>885</v>
      </c>
      <c r="F439" s="17">
        <v>105.5</v>
      </c>
      <c r="G439" s="17">
        <v>1281</v>
      </c>
      <c r="H439" s="17">
        <v>128</v>
      </c>
      <c r="I439" s="17">
        <v>207</v>
      </c>
      <c r="J439" s="17">
        <v>115.5</v>
      </c>
      <c r="K439" s="17">
        <v>849</v>
      </c>
      <c r="L439" s="17">
        <v>71.5</v>
      </c>
      <c r="M439" s="17">
        <v>714</v>
      </c>
      <c r="N439" s="17"/>
      <c r="O439" s="17"/>
      <c r="P439" s="17">
        <v>88</v>
      </c>
      <c r="Q439" s="17">
        <v>397</v>
      </c>
      <c r="R439" s="17">
        <v>94</v>
      </c>
      <c r="S439" s="17">
        <v>24</v>
      </c>
      <c r="T439" s="17"/>
      <c r="U439" s="17"/>
      <c r="V439" s="17"/>
      <c r="W439" s="17"/>
      <c r="X439" s="15">
        <v>349</v>
      </c>
      <c r="Y439" s="17">
        <v>13</v>
      </c>
      <c r="Z439" s="17">
        <v>602.5</v>
      </c>
      <c r="AA439" s="17">
        <v>206</v>
      </c>
      <c r="AB439" s="12">
        <v>11</v>
      </c>
    </row>
    <row r="440" ht="14.25" spans="1:28">
      <c r="A440" s="13">
        <v>438</v>
      </c>
      <c r="B440" s="15">
        <v>9</v>
      </c>
      <c r="C440" s="16">
        <v>54</v>
      </c>
      <c r="D440" s="17" t="s">
        <v>886</v>
      </c>
      <c r="E440" s="17" t="s">
        <v>887</v>
      </c>
      <c r="F440" s="17">
        <v>93.5</v>
      </c>
      <c r="G440" s="17">
        <v>7127</v>
      </c>
      <c r="H440" s="17">
        <v>127</v>
      </c>
      <c r="I440" s="17">
        <v>247</v>
      </c>
      <c r="J440" s="17">
        <v>118</v>
      </c>
      <c r="K440" s="17">
        <v>642</v>
      </c>
      <c r="L440" s="17">
        <v>79</v>
      </c>
      <c r="M440" s="17">
        <v>206</v>
      </c>
      <c r="N440" s="17"/>
      <c r="O440" s="17"/>
      <c r="P440" s="17">
        <v>77</v>
      </c>
      <c r="Q440" s="17">
        <v>3207</v>
      </c>
      <c r="R440" s="17">
        <v>88</v>
      </c>
      <c r="S440" s="17">
        <v>601</v>
      </c>
      <c r="T440" s="17"/>
      <c r="U440" s="17"/>
      <c r="V440" s="17"/>
      <c r="W440" s="17"/>
      <c r="X440" s="15">
        <v>338.5</v>
      </c>
      <c r="Y440" s="17">
        <v>31</v>
      </c>
      <c r="Z440" s="17">
        <v>582.5</v>
      </c>
      <c r="AA440" s="17">
        <v>470</v>
      </c>
      <c r="AB440" s="12">
        <v>25</v>
      </c>
    </row>
    <row r="441" ht="14.25" spans="1:28">
      <c r="A441" s="13">
        <v>439</v>
      </c>
      <c r="B441" s="15">
        <v>9</v>
      </c>
      <c r="C441" s="16">
        <v>55</v>
      </c>
      <c r="D441" s="17" t="s">
        <v>888</v>
      </c>
      <c r="E441" s="17" t="s">
        <v>889</v>
      </c>
      <c r="F441" s="17">
        <v>95</v>
      </c>
      <c r="G441" s="17">
        <v>6168</v>
      </c>
      <c r="H441" s="17">
        <v>97.5</v>
      </c>
      <c r="I441" s="17">
        <v>4244</v>
      </c>
      <c r="J441" s="17">
        <v>111.75</v>
      </c>
      <c r="K441" s="17">
        <v>1270</v>
      </c>
      <c r="L441" s="17">
        <v>78</v>
      </c>
      <c r="M441" s="17">
        <v>253</v>
      </c>
      <c r="N441" s="17"/>
      <c r="O441" s="17"/>
      <c r="P441" s="17">
        <v>88</v>
      </c>
      <c r="Q441" s="17">
        <v>397</v>
      </c>
      <c r="R441" s="17">
        <v>88</v>
      </c>
      <c r="S441" s="17">
        <v>601</v>
      </c>
      <c r="T441" s="17"/>
      <c r="U441" s="17"/>
      <c r="V441" s="17"/>
      <c r="W441" s="17"/>
      <c r="X441" s="15">
        <v>304.25</v>
      </c>
      <c r="Y441" s="17">
        <v>243</v>
      </c>
      <c r="Z441" s="17">
        <v>558.25</v>
      </c>
      <c r="AA441" s="17">
        <v>1038</v>
      </c>
      <c r="AB441" s="12">
        <v>75</v>
      </c>
    </row>
    <row r="442" ht="14.25" spans="1:28">
      <c r="A442" s="13">
        <v>440</v>
      </c>
      <c r="B442" s="15">
        <v>10</v>
      </c>
      <c r="C442" s="16">
        <v>1</v>
      </c>
      <c r="D442" s="17" t="s">
        <v>890</v>
      </c>
      <c r="E442" s="17" t="s">
        <v>891</v>
      </c>
      <c r="F442" s="17">
        <v>102.5</v>
      </c>
      <c r="G442" s="17">
        <v>2274</v>
      </c>
      <c r="H442" s="17">
        <v>108.5</v>
      </c>
      <c r="I442" s="17">
        <v>2198</v>
      </c>
      <c r="J442" s="17">
        <v>93.5</v>
      </c>
      <c r="K442" s="17">
        <v>4431</v>
      </c>
      <c r="L442" s="17">
        <v>66</v>
      </c>
      <c r="M442" s="17">
        <v>1304</v>
      </c>
      <c r="N442" s="17"/>
      <c r="O442" s="17"/>
      <c r="P442" s="17">
        <v>83</v>
      </c>
      <c r="Q442" s="17">
        <v>1643</v>
      </c>
      <c r="R442" s="17">
        <v>87</v>
      </c>
      <c r="S442" s="17">
        <v>883</v>
      </c>
      <c r="T442" s="17"/>
      <c r="U442" s="17"/>
      <c r="V442" s="17"/>
      <c r="W442" s="17"/>
      <c r="X442" s="15">
        <v>304.5</v>
      </c>
      <c r="Y442" s="17">
        <v>239</v>
      </c>
      <c r="Z442" s="17">
        <v>540.5</v>
      </c>
      <c r="AA442" s="17">
        <v>1602</v>
      </c>
      <c r="AB442" s="12">
        <v>128</v>
      </c>
    </row>
    <row r="443" ht="14.25" spans="1:28">
      <c r="A443" s="13">
        <v>441</v>
      </c>
      <c r="B443" s="15">
        <v>10</v>
      </c>
      <c r="C443" s="16">
        <v>2</v>
      </c>
      <c r="D443" s="17" t="s">
        <v>892</v>
      </c>
      <c r="E443" s="17" t="s">
        <v>893</v>
      </c>
      <c r="F443" s="17">
        <v>109.5</v>
      </c>
      <c r="G443" s="17">
        <v>495</v>
      </c>
      <c r="H443" s="17">
        <v>107</v>
      </c>
      <c r="I443" s="17">
        <v>2461</v>
      </c>
      <c r="J443" s="17">
        <v>89.5</v>
      </c>
      <c r="K443" s="17">
        <v>5383</v>
      </c>
      <c r="L443" s="17">
        <v>57</v>
      </c>
      <c r="M443" s="17">
        <v>2714</v>
      </c>
      <c r="N443" s="17"/>
      <c r="O443" s="17"/>
      <c r="P443" s="17">
        <v>75</v>
      </c>
      <c r="Q443" s="17">
        <v>3841</v>
      </c>
      <c r="R443" s="17">
        <v>84</v>
      </c>
      <c r="S443" s="17">
        <v>1490</v>
      </c>
      <c r="T443" s="17"/>
      <c r="U443" s="17"/>
      <c r="V443" s="17"/>
      <c r="W443" s="17"/>
      <c r="X443" s="15">
        <v>306</v>
      </c>
      <c r="Y443" s="17">
        <v>227</v>
      </c>
      <c r="Z443" s="17">
        <v>522</v>
      </c>
      <c r="AA443" s="17">
        <v>2281</v>
      </c>
      <c r="AB443" s="12">
        <v>206</v>
      </c>
    </row>
    <row r="444" ht="14.25" spans="1:28">
      <c r="A444" s="13">
        <v>442</v>
      </c>
      <c r="B444" s="15">
        <v>10</v>
      </c>
      <c r="C444" s="16">
        <v>3</v>
      </c>
      <c r="D444" s="17" t="s">
        <v>894</v>
      </c>
      <c r="E444" s="17" t="s">
        <v>895</v>
      </c>
      <c r="F444" s="17">
        <v>103</v>
      </c>
      <c r="G444" s="17">
        <v>2094</v>
      </c>
      <c r="H444" s="17">
        <v>86.5</v>
      </c>
      <c r="I444" s="17">
        <v>6657</v>
      </c>
      <c r="J444" s="17">
        <v>106.5</v>
      </c>
      <c r="K444" s="17">
        <v>1929</v>
      </c>
      <c r="L444" s="17">
        <v>44</v>
      </c>
      <c r="M444" s="17">
        <v>5222</v>
      </c>
      <c r="N444" s="17"/>
      <c r="O444" s="17"/>
      <c r="P444" s="17">
        <v>71</v>
      </c>
      <c r="Q444" s="17">
        <v>5258</v>
      </c>
      <c r="R444" s="17">
        <v>91</v>
      </c>
      <c r="S444" s="17">
        <v>151</v>
      </c>
      <c r="T444" s="17"/>
      <c r="U444" s="17"/>
      <c r="V444" s="17"/>
      <c r="W444" s="17"/>
      <c r="X444" s="15">
        <v>296</v>
      </c>
      <c r="Y444" s="17">
        <v>307</v>
      </c>
      <c r="Z444" s="17">
        <v>502</v>
      </c>
      <c r="AA444" s="17">
        <v>3150</v>
      </c>
      <c r="AB444" s="12">
        <v>316</v>
      </c>
    </row>
    <row r="445" ht="14.25" spans="1:28">
      <c r="A445" s="13">
        <v>443</v>
      </c>
      <c r="B445" s="15">
        <v>10</v>
      </c>
      <c r="C445" s="16">
        <v>4</v>
      </c>
      <c r="D445" s="17" t="s">
        <v>896</v>
      </c>
      <c r="E445" s="17" t="s">
        <v>897</v>
      </c>
      <c r="F445" s="17">
        <v>104.5</v>
      </c>
      <c r="G445" s="17">
        <v>1551</v>
      </c>
      <c r="H445" s="17">
        <v>113</v>
      </c>
      <c r="I445" s="17">
        <v>1467</v>
      </c>
      <c r="J445" s="17">
        <v>119</v>
      </c>
      <c r="K445" s="17">
        <v>560</v>
      </c>
      <c r="L445" s="17">
        <v>65.5</v>
      </c>
      <c r="M445" s="17">
        <v>1373</v>
      </c>
      <c r="N445" s="17"/>
      <c r="O445" s="17"/>
      <c r="P445" s="17">
        <v>89</v>
      </c>
      <c r="Q445" s="17">
        <v>222</v>
      </c>
      <c r="R445" s="17">
        <v>87</v>
      </c>
      <c r="S445" s="17">
        <v>883</v>
      </c>
      <c r="T445" s="17"/>
      <c r="U445" s="17"/>
      <c r="V445" s="17"/>
      <c r="W445" s="17"/>
      <c r="X445" s="15">
        <v>336.5</v>
      </c>
      <c r="Y445" s="17">
        <v>43</v>
      </c>
      <c r="Z445" s="17">
        <v>578</v>
      </c>
      <c r="AA445" s="17">
        <v>565</v>
      </c>
      <c r="AB445" s="12">
        <v>31</v>
      </c>
    </row>
    <row r="446" ht="14.25" spans="1:28">
      <c r="A446" s="13">
        <v>444</v>
      </c>
      <c r="B446" s="15">
        <v>10</v>
      </c>
      <c r="C446" s="16">
        <v>5</v>
      </c>
      <c r="D446" s="17" t="s">
        <v>898</v>
      </c>
      <c r="E446" s="17" t="s">
        <v>899</v>
      </c>
      <c r="F446" s="17">
        <v>114</v>
      </c>
      <c r="G446" s="17">
        <v>113</v>
      </c>
      <c r="H446" s="17">
        <v>109</v>
      </c>
      <c r="I446" s="17">
        <v>2105</v>
      </c>
      <c r="J446" s="17">
        <v>107.75</v>
      </c>
      <c r="K446" s="17">
        <v>1777</v>
      </c>
      <c r="L446" s="17">
        <v>53.5</v>
      </c>
      <c r="M446" s="17">
        <v>3296</v>
      </c>
      <c r="N446" s="17"/>
      <c r="O446" s="17"/>
      <c r="P446" s="17">
        <v>89</v>
      </c>
      <c r="Q446" s="17">
        <v>222</v>
      </c>
      <c r="R446" s="17">
        <v>91</v>
      </c>
      <c r="S446" s="17">
        <v>151</v>
      </c>
      <c r="T446" s="17"/>
      <c r="U446" s="17"/>
      <c r="V446" s="17"/>
      <c r="W446" s="17"/>
      <c r="X446" s="15">
        <v>330.75</v>
      </c>
      <c r="Y446" s="17">
        <v>61</v>
      </c>
      <c r="Z446" s="17">
        <v>564.25</v>
      </c>
      <c r="AA446" s="17">
        <v>891</v>
      </c>
      <c r="AB446" s="12">
        <v>60</v>
      </c>
    </row>
    <row r="447" ht="14.25" spans="1:28">
      <c r="A447" s="13">
        <v>445</v>
      </c>
      <c r="B447" s="15">
        <v>10</v>
      </c>
      <c r="C447" s="16">
        <v>6</v>
      </c>
      <c r="D447" s="17" t="s">
        <v>900</v>
      </c>
      <c r="E447" s="17" t="s">
        <v>901</v>
      </c>
      <c r="F447" s="17">
        <v>111.75</v>
      </c>
      <c r="G447" s="17">
        <v>259</v>
      </c>
      <c r="H447" s="17">
        <v>91</v>
      </c>
      <c r="I447" s="17">
        <v>5638</v>
      </c>
      <c r="J447" s="17">
        <v>83</v>
      </c>
      <c r="K447" s="17">
        <v>6990</v>
      </c>
      <c r="L447" s="17">
        <v>60.5</v>
      </c>
      <c r="M447" s="17">
        <v>2106</v>
      </c>
      <c r="N447" s="17"/>
      <c r="O447" s="17"/>
      <c r="P447" s="17">
        <v>76</v>
      </c>
      <c r="Q447" s="17">
        <v>3515</v>
      </c>
      <c r="R447" s="17">
        <v>86</v>
      </c>
      <c r="S447" s="17">
        <v>1176</v>
      </c>
      <c r="T447" s="17"/>
      <c r="U447" s="17"/>
      <c r="V447" s="17"/>
      <c r="W447" s="17"/>
      <c r="X447" s="15">
        <v>285.75</v>
      </c>
      <c r="Y447" s="17">
        <v>396</v>
      </c>
      <c r="Z447" s="17">
        <v>508.25</v>
      </c>
      <c r="AA447" s="17">
        <v>2856</v>
      </c>
      <c r="AB447" s="12">
        <v>282</v>
      </c>
    </row>
    <row r="448" ht="14.25" spans="1:28">
      <c r="A448" s="13">
        <v>446</v>
      </c>
      <c r="B448" s="15">
        <v>10</v>
      </c>
      <c r="C448" s="16">
        <v>7</v>
      </c>
      <c r="D448" s="17" t="s">
        <v>902</v>
      </c>
      <c r="E448" s="17" t="s">
        <v>903</v>
      </c>
      <c r="F448" s="17">
        <v>105.5</v>
      </c>
      <c r="G448" s="17">
        <v>1281</v>
      </c>
      <c r="H448" s="17">
        <v>116.5</v>
      </c>
      <c r="I448" s="17">
        <v>1035</v>
      </c>
      <c r="J448" s="17">
        <v>108</v>
      </c>
      <c r="K448" s="17">
        <v>1721</v>
      </c>
      <c r="L448" s="17">
        <v>71.5</v>
      </c>
      <c r="M448" s="17">
        <v>714</v>
      </c>
      <c r="N448" s="17"/>
      <c r="O448" s="17"/>
      <c r="P448" s="17">
        <v>82</v>
      </c>
      <c r="Q448" s="17">
        <v>1870</v>
      </c>
      <c r="R448" s="17">
        <v>93</v>
      </c>
      <c r="S448" s="17">
        <v>50</v>
      </c>
      <c r="T448" s="17"/>
      <c r="U448" s="17"/>
      <c r="V448" s="17"/>
      <c r="W448" s="17"/>
      <c r="X448" s="15">
        <v>330</v>
      </c>
      <c r="Y448" s="17">
        <v>66</v>
      </c>
      <c r="Z448" s="17">
        <v>576.5</v>
      </c>
      <c r="AA448" s="17">
        <v>594</v>
      </c>
      <c r="AB448" s="12">
        <v>34</v>
      </c>
    </row>
    <row r="449" ht="14.25" spans="1:28">
      <c r="A449" s="13">
        <v>447</v>
      </c>
      <c r="B449" s="15">
        <v>10</v>
      </c>
      <c r="C449" s="16">
        <v>8</v>
      </c>
      <c r="D449" s="17" t="s">
        <v>904</v>
      </c>
      <c r="E449" s="17" t="s">
        <v>905</v>
      </c>
      <c r="F449" s="17">
        <v>101</v>
      </c>
      <c r="G449" s="17">
        <v>2896</v>
      </c>
      <c r="H449" s="17">
        <v>100</v>
      </c>
      <c r="I449" s="17">
        <v>3741</v>
      </c>
      <c r="J449" s="17">
        <v>112.75</v>
      </c>
      <c r="K449" s="17">
        <v>1155</v>
      </c>
      <c r="L449" s="17">
        <v>64</v>
      </c>
      <c r="M449" s="17">
        <v>1577</v>
      </c>
      <c r="N449" s="17"/>
      <c r="O449" s="17"/>
      <c r="P449" s="17">
        <v>75</v>
      </c>
      <c r="Q449" s="17">
        <v>3841</v>
      </c>
      <c r="R449" s="17">
        <v>88</v>
      </c>
      <c r="S449" s="17">
        <v>601</v>
      </c>
      <c r="T449" s="17"/>
      <c r="U449" s="17"/>
      <c r="V449" s="17"/>
      <c r="W449" s="17"/>
      <c r="X449" s="15">
        <v>313.75</v>
      </c>
      <c r="Y449" s="17">
        <v>161</v>
      </c>
      <c r="Z449" s="17">
        <v>540.75</v>
      </c>
      <c r="AA449" s="17">
        <v>1598</v>
      </c>
      <c r="AB449" s="12">
        <v>126</v>
      </c>
    </row>
    <row r="450" ht="14.25" spans="1:28">
      <c r="A450" s="13">
        <v>448</v>
      </c>
      <c r="B450" s="15">
        <v>10</v>
      </c>
      <c r="C450" s="16">
        <v>9</v>
      </c>
      <c r="D450" s="17" t="s">
        <v>906</v>
      </c>
      <c r="E450" s="17" t="s">
        <v>907</v>
      </c>
      <c r="F450" s="17">
        <v>107.5</v>
      </c>
      <c r="G450" s="17">
        <v>829</v>
      </c>
      <c r="H450" s="17">
        <v>116.5</v>
      </c>
      <c r="I450" s="17">
        <v>1035</v>
      </c>
      <c r="J450" s="17">
        <v>85.5</v>
      </c>
      <c r="K450" s="17">
        <v>6376</v>
      </c>
      <c r="L450" s="17">
        <v>64.5</v>
      </c>
      <c r="M450" s="17">
        <v>1506</v>
      </c>
      <c r="N450" s="17"/>
      <c r="O450" s="17"/>
      <c r="P450" s="17">
        <v>80</v>
      </c>
      <c r="Q450" s="17">
        <v>2333</v>
      </c>
      <c r="R450" s="17">
        <v>88</v>
      </c>
      <c r="S450" s="17">
        <v>601</v>
      </c>
      <c r="T450" s="17"/>
      <c r="U450" s="17"/>
      <c r="V450" s="17"/>
      <c r="W450" s="17"/>
      <c r="X450" s="15">
        <v>309.5</v>
      </c>
      <c r="Y450" s="17">
        <v>197</v>
      </c>
      <c r="Z450" s="17">
        <v>542</v>
      </c>
      <c r="AA450" s="17">
        <v>1549</v>
      </c>
      <c r="AB450" s="12">
        <v>122</v>
      </c>
    </row>
    <row r="451" ht="14.25" spans="1:28">
      <c r="A451" s="13">
        <v>449</v>
      </c>
      <c r="B451" s="15">
        <v>10</v>
      </c>
      <c r="C451" s="16">
        <v>10</v>
      </c>
      <c r="D451" s="17" t="s">
        <v>908</v>
      </c>
      <c r="E451" s="17" t="s">
        <v>909</v>
      </c>
      <c r="F451" s="17">
        <v>102</v>
      </c>
      <c r="G451" s="17">
        <v>2480</v>
      </c>
      <c r="H451" s="17">
        <v>119</v>
      </c>
      <c r="I451" s="17">
        <v>786</v>
      </c>
      <c r="J451" s="17">
        <v>102</v>
      </c>
      <c r="K451" s="17">
        <v>2685</v>
      </c>
      <c r="L451" s="17">
        <v>65.5</v>
      </c>
      <c r="M451" s="17">
        <v>1373</v>
      </c>
      <c r="N451" s="17"/>
      <c r="O451" s="17"/>
      <c r="P451" s="17">
        <v>86</v>
      </c>
      <c r="Q451" s="17">
        <v>1052</v>
      </c>
      <c r="R451" s="17">
        <v>81</v>
      </c>
      <c r="S451" s="17">
        <v>2139</v>
      </c>
      <c r="T451" s="17"/>
      <c r="U451" s="17"/>
      <c r="V451" s="17"/>
      <c r="W451" s="17"/>
      <c r="X451" s="15">
        <v>323</v>
      </c>
      <c r="Y451" s="17">
        <v>99</v>
      </c>
      <c r="Z451" s="17">
        <v>555.5</v>
      </c>
      <c r="AA451" s="17">
        <v>1128</v>
      </c>
      <c r="AB451" s="12">
        <v>84</v>
      </c>
    </row>
    <row r="452" ht="14.25" spans="1:28">
      <c r="A452" s="13">
        <v>450</v>
      </c>
      <c r="B452" s="15">
        <v>10</v>
      </c>
      <c r="C452" s="16">
        <v>11</v>
      </c>
      <c r="D452" s="17" t="s">
        <v>910</v>
      </c>
      <c r="E452" s="17" t="s">
        <v>911</v>
      </c>
      <c r="F452" s="17">
        <v>101</v>
      </c>
      <c r="G452" s="17">
        <v>2896</v>
      </c>
      <c r="H452" s="17">
        <v>113</v>
      </c>
      <c r="I452" s="17">
        <v>1467</v>
      </c>
      <c r="J452" s="17">
        <v>109.75</v>
      </c>
      <c r="K452" s="17">
        <v>1503</v>
      </c>
      <c r="L452" s="17">
        <v>43</v>
      </c>
      <c r="M452" s="17">
        <v>5463</v>
      </c>
      <c r="N452" s="17"/>
      <c r="O452" s="17"/>
      <c r="P452" s="17">
        <v>81</v>
      </c>
      <c r="Q452" s="17">
        <v>2079</v>
      </c>
      <c r="R452" s="17">
        <v>62</v>
      </c>
      <c r="S452" s="17">
        <v>8006</v>
      </c>
      <c r="T452" s="17"/>
      <c r="U452" s="17"/>
      <c r="V452" s="17"/>
      <c r="W452" s="17"/>
      <c r="X452" s="15">
        <v>323.75</v>
      </c>
      <c r="Y452" s="17">
        <v>93</v>
      </c>
      <c r="Z452" s="17">
        <v>509.75</v>
      </c>
      <c r="AA452" s="17">
        <v>2790</v>
      </c>
      <c r="AB452" s="12">
        <v>274</v>
      </c>
    </row>
    <row r="453" ht="14.25" spans="1:28">
      <c r="A453" s="13">
        <v>451</v>
      </c>
      <c r="B453" s="15">
        <v>10</v>
      </c>
      <c r="C453" s="16">
        <v>12</v>
      </c>
      <c r="D453" s="17" t="s">
        <v>912</v>
      </c>
      <c r="E453" s="17" t="s">
        <v>913</v>
      </c>
      <c r="F453" s="17">
        <v>106</v>
      </c>
      <c r="G453" s="17">
        <v>1174</v>
      </c>
      <c r="H453" s="17">
        <v>116</v>
      </c>
      <c r="I453" s="17">
        <v>1095</v>
      </c>
      <c r="J453" s="17">
        <v>81</v>
      </c>
      <c r="K453" s="17">
        <v>7529</v>
      </c>
      <c r="L453" s="17">
        <v>61</v>
      </c>
      <c r="M453" s="17">
        <v>2008</v>
      </c>
      <c r="N453" s="17"/>
      <c r="O453" s="17"/>
      <c r="P453" s="17">
        <v>80</v>
      </c>
      <c r="Q453" s="17">
        <v>2333</v>
      </c>
      <c r="R453" s="17">
        <v>83</v>
      </c>
      <c r="S453" s="17">
        <v>1715</v>
      </c>
      <c r="T453" s="17"/>
      <c r="U453" s="17"/>
      <c r="V453" s="17"/>
      <c r="W453" s="17"/>
      <c r="X453" s="15">
        <v>303</v>
      </c>
      <c r="Y453" s="17">
        <v>251</v>
      </c>
      <c r="Z453" s="17">
        <v>527</v>
      </c>
      <c r="AA453" s="17">
        <v>2061</v>
      </c>
      <c r="AB453" s="12">
        <v>176</v>
      </c>
    </row>
    <row r="454" ht="14.25" spans="1:28">
      <c r="A454" s="13">
        <v>452</v>
      </c>
      <c r="B454" s="15">
        <v>10</v>
      </c>
      <c r="C454" s="16">
        <v>13</v>
      </c>
      <c r="D454" s="17" t="s">
        <v>914</v>
      </c>
      <c r="E454" s="17" t="s">
        <v>915</v>
      </c>
      <c r="F454" s="17">
        <v>110</v>
      </c>
      <c r="G454" s="17">
        <v>430</v>
      </c>
      <c r="H454" s="17">
        <v>115.5</v>
      </c>
      <c r="I454" s="17">
        <v>1149</v>
      </c>
      <c r="J454" s="17">
        <v>100</v>
      </c>
      <c r="K454" s="17">
        <v>3038</v>
      </c>
      <c r="L454" s="17">
        <v>57.5</v>
      </c>
      <c r="M454" s="17">
        <v>2619</v>
      </c>
      <c r="N454" s="17"/>
      <c r="O454" s="17"/>
      <c r="P454" s="17">
        <v>86</v>
      </c>
      <c r="Q454" s="17">
        <v>1052</v>
      </c>
      <c r="R454" s="17">
        <v>86</v>
      </c>
      <c r="S454" s="17">
        <v>1176</v>
      </c>
      <c r="T454" s="17"/>
      <c r="U454" s="17"/>
      <c r="V454" s="17"/>
      <c r="W454" s="17"/>
      <c r="X454" s="15">
        <v>325.5</v>
      </c>
      <c r="Y454" s="17">
        <v>85</v>
      </c>
      <c r="Z454" s="17">
        <v>555</v>
      </c>
      <c r="AA454" s="17">
        <v>1141</v>
      </c>
      <c r="AB454" s="12">
        <v>86</v>
      </c>
    </row>
    <row r="455" ht="14.25" spans="1:28">
      <c r="A455" s="13">
        <v>453</v>
      </c>
      <c r="B455" s="15">
        <v>10</v>
      </c>
      <c r="C455" s="16">
        <v>14</v>
      </c>
      <c r="D455" s="19" t="s">
        <v>916</v>
      </c>
      <c r="E455" s="17" t="s">
        <v>917</v>
      </c>
      <c r="F455" s="17">
        <v>99.5</v>
      </c>
      <c r="G455" s="17">
        <v>3607</v>
      </c>
      <c r="H455" s="17">
        <v>108</v>
      </c>
      <c r="I455" s="17">
        <v>2274</v>
      </c>
      <c r="J455" s="17">
        <v>100</v>
      </c>
      <c r="K455" s="17">
        <v>3038</v>
      </c>
      <c r="L455" s="17">
        <v>58</v>
      </c>
      <c r="M455" s="17">
        <v>2538</v>
      </c>
      <c r="N455" s="17"/>
      <c r="O455" s="17"/>
      <c r="P455" s="17">
        <v>93</v>
      </c>
      <c r="Q455" s="17">
        <v>16</v>
      </c>
      <c r="R455" s="17">
        <v>91</v>
      </c>
      <c r="S455" s="17">
        <v>151</v>
      </c>
      <c r="T455" s="17"/>
      <c r="U455" s="17"/>
      <c r="V455" s="17"/>
      <c r="W455" s="17"/>
      <c r="X455" s="15">
        <v>307.5</v>
      </c>
      <c r="Y455" s="17">
        <v>214</v>
      </c>
      <c r="Z455" s="17">
        <v>549.5</v>
      </c>
      <c r="AA455" s="17">
        <v>1300</v>
      </c>
      <c r="AB455" s="12">
        <v>99</v>
      </c>
    </row>
    <row r="456" ht="14.25" spans="1:28">
      <c r="A456" s="13">
        <v>454</v>
      </c>
      <c r="B456" s="15">
        <v>10</v>
      </c>
      <c r="C456" s="16">
        <v>15</v>
      </c>
      <c r="D456" s="17" t="s">
        <v>918</v>
      </c>
      <c r="E456" s="17" t="s">
        <v>919</v>
      </c>
      <c r="F456" s="17">
        <v>105</v>
      </c>
      <c r="G456" s="17">
        <v>1427</v>
      </c>
      <c r="H456" s="17">
        <v>109.5</v>
      </c>
      <c r="I456" s="17">
        <v>2023</v>
      </c>
      <c r="J456" s="17">
        <v>111.75</v>
      </c>
      <c r="K456" s="17">
        <v>1270</v>
      </c>
      <c r="L456" s="17">
        <v>49.5</v>
      </c>
      <c r="M456" s="17">
        <v>4044</v>
      </c>
      <c r="N456" s="17"/>
      <c r="O456" s="17"/>
      <c r="P456" s="17">
        <v>87</v>
      </c>
      <c r="Q456" s="17">
        <v>681</v>
      </c>
      <c r="R456" s="17">
        <v>91</v>
      </c>
      <c r="S456" s="17">
        <v>151</v>
      </c>
      <c r="T456" s="17"/>
      <c r="U456" s="17"/>
      <c r="V456" s="17"/>
      <c r="W456" s="17"/>
      <c r="X456" s="15">
        <v>326.25</v>
      </c>
      <c r="Y456" s="17">
        <v>81</v>
      </c>
      <c r="Z456" s="17">
        <v>553.75</v>
      </c>
      <c r="AA456" s="17">
        <v>1176</v>
      </c>
      <c r="AB456" s="12">
        <v>90</v>
      </c>
    </row>
    <row r="457" ht="14.25" spans="1:28">
      <c r="A457" s="13">
        <v>455</v>
      </c>
      <c r="B457" s="15">
        <v>10</v>
      </c>
      <c r="C457" s="16">
        <v>16</v>
      </c>
      <c r="D457" s="17" t="s">
        <v>920</v>
      </c>
      <c r="E457" s="17" t="s">
        <v>921</v>
      </c>
      <c r="F457" s="17">
        <v>100.5</v>
      </c>
      <c r="G457" s="17">
        <v>3131</v>
      </c>
      <c r="H457" s="17">
        <v>112</v>
      </c>
      <c r="I457" s="17">
        <v>1617</v>
      </c>
      <c r="J457" s="17">
        <v>99.75</v>
      </c>
      <c r="K457" s="17">
        <v>3109</v>
      </c>
      <c r="L457" s="17">
        <v>61</v>
      </c>
      <c r="M457" s="17">
        <v>2008</v>
      </c>
      <c r="N457" s="17"/>
      <c r="O457" s="17"/>
      <c r="P457" s="17">
        <v>61</v>
      </c>
      <c r="Q457" s="17">
        <v>8358</v>
      </c>
      <c r="R457" s="17">
        <v>83</v>
      </c>
      <c r="S457" s="17">
        <v>1715</v>
      </c>
      <c r="T457" s="17"/>
      <c r="U457" s="17"/>
      <c r="V457" s="17"/>
      <c r="W457" s="17"/>
      <c r="X457" s="15">
        <v>312.25</v>
      </c>
      <c r="Y457" s="17">
        <v>170</v>
      </c>
      <c r="Z457" s="17">
        <v>517.25</v>
      </c>
      <c r="AA457" s="17">
        <v>2449</v>
      </c>
      <c r="AB457" s="12">
        <v>232</v>
      </c>
    </row>
    <row r="458" ht="14.25" spans="1:28">
      <c r="A458" s="13">
        <v>456</v>
      </c>
      <c r="B458" s="15">
        <v>10</v>
      </c>
      <c r="C458" s="16">
        <v>17</v>
      </c>
      <c r="D458" s="17" t="s">
        <v>922</v>
      </c>
      <c r="E458" s="17" t="s">
        <v>923</v>
      </c>
      <c r="F458" s="17">
        <v>93.5</v>
      </c>
      <c r="G458" s="17">
        <v>7127</v>
      </c>
      <c r="H458" s="17">
        <v>99</v>
      </c>
      <c r="I458" s="17">
        <v>3947</v>
      </c>
      <c r="J458" s="17">
        <v>91</v>
      </c>
      <c r="K458" s="17">
        <v>5010</v>
      </c>
      <c r="L458" s="17">
        <v>66</v>
      </c>
      <c r="M458" s="17">
        <v>1304</v>
      </c>
      <c r="N458" s="17"/>
      <c r="O458" s="17"/>
      <c r="P458" s="17">
        <v>86</v>
      </c>
      <c r="Q458" s="17">
        <v>1052</v>
      </c>
      <c r="R458" s="17">
        <v>76</v>
      </c>
      <c r="S458" s="17">
        <v>3491</v>
      </c>
      <c r="T458" s="17"/>
      <c r="U458" s="17"/>
      <c r="V458" s="17"/>
      <c r="W458" s="17"/>
      <c r="X458" s="15">
        <v>283.5</v>
      </c>
      <c r="Y458" s="17">
        <v>412</v>
      </c>
      <c r="Z458" s="17">
        <v>511.5</v>
      </c>
      <c r="AA458" s="17">
        <v>2702</v>
      </c>
      <c r="AB458" s="12">
        <v>266</v>
      </c>
    </row>
    <row r="459" ht="14.25" spans="1:28">
      <c r="A459" s="13">
        <v>457</v>
      </c>
      <c r="B459" s="15">
        <v>10</v>
      </c>
      <c r="C459" s="16">
        <v>18</v>
      </c>
      <c r="D459" s="17" t="s">
        <v>924</v>
      </c>
      <c r="E459" s="17" t="s">
        <v>925</v>
      </c>
      <c r="F459" s="17">
        <v>93</v>
      </c>
      <c r="G459" s="17">
        <v>7407</v>
      </c>
      <c r="H459" s="17">
        <v>109</v>
      </c>
      <c r="I459" s="17">
        <v>2105</v>
      </c>
      <c r="J459" s="17">
        <v>114.75</v>
      </c>
      <c r="K459" s="17">
        <v>938</v>
      </c>
      <c r="L459" s="17">
        <v>49.5</v>
      </c>
      <c r="M459" s="17">
        <v>4044</v>
      </c>
      <c r="N459" s="17"/>
      <c r="O459" s="17"/>
      <c r="P459" s="17">
        <v>85</v>
      </c>
      <c r="Q459" s="17">
        <v>1345</v>
      </c>
      <c r="R459" s="17">
        <v>77</v>
      </c>
      <c r="S459" s="17">
        <v>3183</v>
      </c>
      <c r="T459" s="17"/>
      <c r="U459" s="17"/>
      <c r="V459" s="17"/>
      <c r="W459" s="17"/>
      <c r="X459" s="15">
        <v>316.75</v>
      </c>
      <c r="Y459" s="17">
        <v>140</v>
      </c>
      <c r="Z459" s="17">
        <v>528.25</v>
      </c>
      <c r="AA459" s="17">
        <v>2016</v>
      </c>
      <c r="AB459" s="12">
        <v>173</v>
      </c>
    </row>
    <row r="460" ht="14.25" spans="1:28">
      <c r="A460" s="13">
        <v>458</v>
      </c>
      <c r="B460" s="15">
        <v>10</v>
      </c>
      <c r="C460" s="16">
        <v>19</v>
      </c>
      <c r="D460" s="17" t="s">
        <v>926</v>
      </c>
      <c r="E460" s="17" t="s">
        <v>927</v>
      </c>
      <c r="F460" s="17">
        <v>107.5</v>
      </c>
      <c r="G460" s="17">
        <v>829</v>
      </c>
      <c r="H460" s="17">
        <v>115.5</v>
      </c>
      <c r="I460" s="17">
        <v>1149</v>
      </c>
      <c r="J460" s="17">
        <v>88.5</v>
      </c>
      <c r="K460" s="17">
        <v>5628</v>
      </c>
      <c r="L460" s="17">
        <v>62.5</v>
      </c>
      <c r="M460" s="17">
        <v>1781</v>
      </c>
      <c r="N460" s="17"/>
      <c r="O460" s="17"/>
      <c r="P460" s="17">
        <v>74</v>
      </c>
      <c r="Q460" s="17">
        <v>4168</v>
      </c>
      <c r="R460" s="17">
        <v>88</v>
      </c>
      <c r="S460" s="17">
        <v>601</v>
      </c>
      <c r="T460" s="17"/>
      <c r="U460" s="17"/>
      <c r="V460" s="17"/>
      <c r="W460" s="17"/>
      <c r="X460" s="15">
        <v>311.5</v>
      </c>
      <c r="Y460" s="17">
        <v>173</v>
      </c>
      <c r="Z460" s="17">
        <v>536</v>
      </c>
      <c r="AA460" s="17">
        <v>1744</v>
      </c>
      <c r="AB460" s="12">
        <v>146</v>
      </c>
    </row>
    <row r="461" ht="14.25" spans="1:28">
      <c r="A461" s="13">
        <v>459</v>
      </c>
      <c r="B461" s="15">
        <v>10</v>
      </c>
      <c r="C461" s="16">
        <v>20</v>
      </c>
      <c r="D461" s="17" t="s">
        <v>928</v>
      </c>
      <c r="E461" s="17" t="s">
        <v>929</v>
      </c>
      <c r="F461" s="17">
        <v>108</v>
      </c>
      <c r="G461" s="17">
        <v>736</v>
      </c>
      <c r="H461" s="17">
        <v>103.5</v>
      </c>
      <c r="I461" s="17">
        <v>3096</v>
      </c>
      <c r="J461" s="17">
        <v>100</v>
      </c>
      <c r="K461" s="17">
        <v>3038</v>
      </c>
      <c r="L461" s="17">
        <v>58</v>
      </c>
      <c r="M461" s="17">
        <v>2538</v>
      </c>
      <c r="N461" s="17"/>
      <c r="O461" s="17"/>
      <c r="P461" s="17">
        <v>86</v>
      </c>
      <c r="Q461" s="17">
        <v>1052</v>
      </c>
      <c r="R461" s="17">
        <v>80</v>
      </c>
      <c r="S461" s="17">
        <v>2376</v>
      </c>
      <c r="T461" s="17"/>
      <c r="U461" s="17"/>
      <c r="V461" s="17"/>
      <c r="W461" s="17"/>
      <c r="X461" s="15">
        <v>311.5</v>
      </c>
      <c r="Y461" s="17">
        <v>173</v>
      </c>
      <c r="Z461" s="17">
        <v>535.5</v>
      </c>
      <c r="AA461" s="17">
        <v>1761</v>
      </c>
      <c r="AB461" s="12">
        <v>149</v>
      </c>
    </row>
    <row r="462" ht="14.25" spans="1:28">
      <c r="A462" s="13">
        <v>460</v>
      </c>
      <c r="B462" s="15">
        <v>10</v>
      </c>
      <c r="C462" s="16">
        <v>21</v>
      </c>
      <c r="D462" s="17" t="s">
        <v>930</v>
      </c>
      <c r="E462" s="17" t="s">
        <v>931</v>
      </c>
      <c r="F462" s="17">
        <v>100</v>
      </c>
      <c r="G462" s="17">
        <v>3368</v>
      </c>
      <c r="H462" s="17">
        <v>117</v>
      </c>
      <c r="I462" s="17">
        <v>975</v>
      </c>
      <c r="J462" s="17">
        <v>101.5</v>
      </c>
      <c r="K462" s="17">
        <v>2779</v>
      </c>
      <c r="L462" s="17">
        <v>67.5</v>
      </c>
      <c r="M462" s="17">
        <v>1130</v>
      </c>
      <c r="N462" s="17"/>
      <c r="O462" s="17"/>
      <c r="P462" s="17">
        <v>83</v>
      </c>
      <c r="Q462" s="17">
        <v>1643</v>
      </c>
      <c r="R462" s="17">
        <v>88</v>
      </c>
      <c r="S462" s="17">
        <v>601</v>
      </c>
      <c r="T462" s="17"/>
      <c r="U462" s="17"/>
      <c r="V462" s="17"/>
      <c r="W462" s="17"/>
      <c r="X462" s="15">
        <v>318.5</v>
      </c>
      <c r="Y462" s="17">
        <v>127</v>
      </c>
      <c r="Z462" s="17">
        <v>557</v>
      </c>
      <c r="AA462" s="17">
        <v>1086</v>
      </c>
      <c r="AB462" s="12">
        <v>80</v>
      </c>
    </row>
    <row r="463" ht="14.25" spans="1:28">
      <c r="A463" s="13">
        <v>461</v>
      </c>
      <c r="B463" s="15">
        <v>10</v>
      </c>
      <c r="C463" s="16">
        <v>22</v>
      </c>
      <c r="D463" s="17" t="s">
        <v>932</v>
      </c>
      <c r="E463" s="17" t="s">
        <v>933</v>
      </c>
      <c r="F463" s="17">
        <v>100</v>
      </c>
      <c r="G463" s="17">
        <v>3368</v>
      </c>
      <c r="H463" s="17">
        <v>116</v>
      </c>
      <c r="I463" s="17">
        <v>1095</v>
      </c>
      <c r="J463" s="17">
        <v>105.75</v>
      </c>
      <c r="K463" s="17">
        <v>2077</v>
      </c>
      <c r="L463" s="17">
        <v>65.5</v>
      </c>
      <c r="M463" s="17">
        <v>1373</v>
      </c>
      <c r="N463" s="17"/>
      <c r="O463" s="17"/>
      <c r="P463" s="17">
        <v>84</v>
      </c>
      <c r="Q463" s="17">
        <v>1443</v>
      </c>
      <c r="R463" s="17">
        <v>74</v>
      </c>
      <c r="S463" s="17">
        <v>4119</v>
      </c>
      <c r="T463" s="17"/>
      <c r="U463" s="17"/>
      <c r="V463" s="17"/>
      <c r="W463" s="17"/>
      <c r="X463" s="15">
        <v>321.75</v>
      </c>
      <c r="Y463" s="17">
        <v>106</v>
      </c>
      <c r="Z463" s="17">
        <v>545.25</v>
      </c>
      <c r="AA463" s="17">
        <v>1448</v>
      </c>
      <c r="AB463" s="12">
        <v>110</v>
      </c>
    </row>
    <row r="464" ht="14.25" spans="1:28">
      <c r="A464" s="13">
        <v>462</v>
      </c>
      <c r="B464" s="15">
        <v>10</v>
      </c>
      <c r="C464" s="16">
        <v>23</v>
      </c>
      <c r="D464" s="17" t="s">
        <v>934</v>
      </c>
      <c r="E464" s="17" t="s">
        <v>935</v>
      </c>
      <c r="F464" s="17">
        <v>99.5</v>
      </c>
      <c r="G464" s="17">
        <v>3607</v>
      </c>
      <c r="H464" s="17">
        <v>101.5</v>
      </c>
      <c r="I464" s="17">
        <v>3477</v>
      </c>
      <c r="J464" s="17">
        <v>117.75</v>
      </c>
      <c r="K464" s="17">
        <v>667</v>
      </c>
      <c r="L464" s="17">
        <v>60</v>
      </c>
      <c r="M464" s="17">
        <v>2185</v>
      </c>
      <c r="N464" s="17"/>
      <c r="O464" s="17"/>
      <c r="P464" s="17">
        <v>77</v>
      </c>
      <c r="Q464" s="17">
        <v>3207</v>
      </c>
      <c r="R464" s="17">
        <v>76</v>
      </c>
      <c r="S464" s="17">
        <v>3491</v>
      </c>
      <c r="T464" s="17"/>
      <c r="U464" s="17"/>
      <c r="V464" s="17"/>
      <c r="W464" s="17"/>
      <c r="X464" s="15">
        <v>318.75</v>
      </c>
      <c r="Y464" s="17">
        <v>126</v>
      </c>
      <c r="Z464" s="17">
        <v>531.75</v>
      </c>
      <c r="AA464" s="17">
        <v>1886</v>
      </c>
      <c r="AB464" s="12">
        <v>162</v>
      </c>
    </row>
    <row r="465" ht="14.25" spans="1:28">
      <c r="A465" s="13">
        <v>463</v>
      </c>
      <c r="B465" s="15">
        <v>10</v>
      </c>
      <c r="C465" s="16">
        <v>24</v>
      </c>
      <c r="D465" s="17" t="s">
        <v>936</v>
      </c>
      <c r="E465" s="17" t="s">
        <v>937</v>
      </c>
      <c r="F465" s="17">
        <v>97.5</v>
      </c>
      <c r="G465" s="17">
        <v>4695</v>
      </c>
      <c r="H465" s="17">
        <v>100</v>
      </c>
      <c r="I465" s="17">
        <v>3741</v>
      </c>
      <c r="J465" s="17">
        <v>105.5</v>
      </c>
      <c r="K465" s="17">
        <v>2098</v>
      </c>
      <c r="L465" s="17">
        <v>49</v>
      </c>
      <c r="M465" s="17">
        <v>4146</v>
      </c>
      <c r="N465" s="17"/>
      <c r="O465" s="17"/>
      <c r="P465" s="17">
        <v>71</v>
      </c>
      <c r="Q465" s="17">
        <v>5258</v>
      </c>
      <c r="R465" s="17">
        <v>81</v>
      </c>
      <c r="S465" s="17">
        <v>2139</v>
      </c>
      <c r="T465" s="17"/>
      <c r="U465" s="17"/>
      <c r="V465" s="17"/>
      <c r="W465" s="17"/>
      <c r="X465" s="15">
        <v>303</v>
      </c>
      <c r="Y465" s="17">
        <v>251</v>
      </c>
      <c r="Z465" s="17">
        <v>504</v>
      </c>
      <c r="AA465" s="17">
        <v>3061</v>
      </c>
      <c r="AB465" s="12">
        <v>306</v>
      </c>
    </row>
    <row r="466" ht="14.25" spans="1:28">
      <c r="A466" s="13">
        <v>464</v>
      </c>
      <c r="B466" s="15">
        <v>10</v>
      </c>
      <c r="C466" s="16">
        <v>25</v>
      </c>
      <c r="D466" s="17" t="s">
        <v>938</v>
      </c>
      <c r="E466" s="17" t="s">
        <v>939</v>
      </c>
      <c r="F466" s="17">
        <v>94.5</v>
      </c>
      <c r="G466" s="17">
        <v>6496</v>
      </c>
      <c r="H466" s="17">
        <v>95</v>
      </c>
      <c r="I466" s="17">
        <v>4735</v>
      </c>
      <c r="J466" s="17">
        <v>102.75</v>
      </c>
      <c r="K466" s="17">
        <v>2584</v>
      </c>
      <c r="L466" s="17">
        <v>56</v>
      </c>
      <c r="M466" s="17">
        <v>2878</v>
      </c>
      <c r="N466" s="17"/>
      <c r="O466" s="17"/>
      <c r="P466" s="17">
        <v>75</v>
      </c>
      <c r="Q466" s="17">
        <v>3841</v>
      </c>
      <c r="R466" s="17">
        <v>87</v>
      </c>
      <c r="S466" s="17">
        <v>883</v>
      </c>
      <c r="T466" s="17"/>
      <c r="U466" s="17"/>
      <c r="V466" s="17"/>
      <c r="W466" s="17"/>
      <c r="X466" s="15">
        <v>292.25</v>
      </c>
      <c r="Y466" s="17">
        <v>347</v>
      </c>
      <c r="Z466" s="17">
        <v>510.25</v>
      </c>
      <c r="AA466" s="17">
        <v>2771</v>
      </c>
      <c r="AB466" s="12">
        <v>272</v>
      </c>
    </row>
    <row r="467" ht="14.25" spans="1:28">
      <c r="A467" s="13">
        <v>465</v>
      </c>
      <c r="B467" s="15">
        <v>10</v>
      </c>
      <c r="C467" s="16">
        <v>26</v>
      </c>
      <c r="D467" s="17" t="s">
        <v>940</v>
      </c>
      <c r="E467" s="17" t="s">
        <v>941</v>
      </c>
      <c r="F467" s="17">
        <v>101.25</v>
      </c>
      <c r="G467" s="17">
        <v>2875</v>
      </c>
      <c r="H467" s="17">
        <v>114</v>
      </c>
      <c r="I467" s="17">
        <v>1340</v>
      </c>
      <c r="J467" s="17">
        <v>104</v>
      </c>
      <c r="K467" s="17">
        <v>2352</v>
      </c>
      <c r="L467" s="17">
        <v>68</v>
      </c>
      <c r="M467" s="17">
        <v>1067</v>
      </c>
      <c r="N467" s="17"/>
      <c r="O467" s="17"/>
      <c r="P467" s="17">
        <v>66</v>
      </c>
      <c r="Q467" s="17">
        <v>6766</v>
      </c>
      <c r="R467" s="17">
        <v>87</v>
      </c>
      <c r="S467" s="17">
        <v>883</v>
      </c>
      <c r="T467" s="17"/>
      <c r="U467" s="17"/>
      <c r="V467" s="17"/>
      <c r="W467" s="17"/>
      <c r="X467" s="15">
        <v>319.25</v>
      </c>
      <c r="Y467" s="17">
        <v>123</v>
      </c>
      <c r="Z467" s="17">
        <v>540.25</v>
      </c>
      <c r="AA467" s="17">
        <v>1614</v>
      </c>
      <c r="AB467" s="12">
        <v>130</v>
      </c>
    </row>
    <row r="468" ht="14.25" spans="1:28">
      <c r="A468" s="13">
        <v>466</v>
      </c>
      <c r="B468" s="15">
        <v>10</v>
      </c>
      <c r="C468" s="16">
        <v>27</v>
      </c>
      <c r="D468" s="17" t="s">
        <v>942</v>
      </c>
      <c r="E468" s="17" t="s">
        <v>943</v>
      </c>
      <c r="F468" s="17">
        <v>92.75</v>
      </c>
      <c r="G468" s="17">
        <v>7661</v>
      </c>
      <c r="H468" s="17">
        <v>116</v>
      </c>
      <c r="I468" s="17">
        <v>1095</v>
      </c>
      <c r="J468" s="17">
        <v>86</v>
      </c>
      <c r="K468" s="17">
        <v>6253</v>
      </c>
      <c r="L468" s="17">
        <v>73</v>
      </c>
      <c r="M468" s="17">
        <v>575</v>
      </c>
      <c r="N468" s="17"/>
      <c r="O468" s="17"/>
      <c r="P468" s="17">
        <v>89</v>
      </c>
      <c r="Q468" s="17">
        <v>222</v>
      </c>
      <c r="R468" s="17">
        <v>80</v>
      </c>
      <c r="S468" s="17">
        <v>2376</v>
      </c>
      <c r="T468" s="17"/>
      <c r="U468" s="17"/>
      <c r="V468" s="17"/>
      <c r="W468" s="17"/>
      <c r="X468" s="15">
        <v>294.75</v>
      </c>
      <c r="Y468" s="17">
        <v>319</v>
      </c>
      <c r="Z468" s="17">
        <v>536.75</v>
      </c>
      <c r="AA468" s="17">
        <v>1724</v>
      </c>
      <c r="AB468" s="12">
        <v>143</v>
      </c>
    </row>
    <row r="469" ht="14.25" spans="1:28">
      <c r="A469" s="13">
        <v>467</v>
      </c>
      <c r="B469" s="15">
        <v>10</v>
      </c>
      <c r="C469" s="16">
        <v>28</v>
      </c>
      <c r="D469" s="17" t="s">
        <v>944</v>
      </c>
      <c r="E469" s="17" t="s">
        <v>945</v>
      </c>
      <c r="F469" s="17">
        <v>114</v>
      </c>
      <c r="G469" s="17">
        <v>113</v>
      </c>
      <c r="H469" s="17">
        <v>115</v>
      </c>
      <c r="I469" s="17">
        <v>1213</v>
      </c>
      <c r="J469" s="17">
        <v>107</v>
      </c>
      <c r="K469" s="17">
        <v>1871</v>
      </c>
      <c r="L469" s="17">
        <v>55.5</v>
      </c>
      <c r="M469" s="17">
        <v>2964</v>
      </c>
      <c r="N469" s="17"/>
      <c r="O469" s="17"/>
      <c r="P469" s="17">
        <v>73</v>
      </c>
      <c r="Q469" s="17">
        <v>4501</v>
      </c>
      <c r="R469" s="17">
        <v>80</v>
      </c>
      <c r="S469" s="17">
        <v>2376</v>
      </c>
      <c r="T469" s="17"/>
      <c r="U469" s="17"/>
      <c r="V469" s="17"/>
      <c r="W469" s="17"/>
      <c r="X469" s="15">
        <v>336</v>
      </c>
      <c r="Y469" s="17">
        <v>45</v>
      </c>
      <c r="Z469" s="17">
        <v>544.5</v>
      </c>
      <c r="AA469" s="17">
        <v>1470</v>
      </c>
      <c r="AB469" s="12">
        <v>116</v>
      </c>
    </row>
    <row r="470" ht="14.25" spans="1:28">
      <c r="A470" s="13">
        <v>468</v>
      </c>
      <c r="B470" s="15">
        <v>10</v>
      </c>
      <c r="C470" s="16">
        <v>29</v>
      </c>
      <c r="D470" s="17" t="s">
        <v>946</v>
      </c>
      <c r="E470" s="17" t="s">
        <v>947</v>
      </c>
      <c r="F470" s="17">
        <v>102.5</v>
      </c>
      <c r="G470" s="17">
        <v>2274</v>
      </c>
      <c r="H470" s="17">
        <v>130.5</v>
      </c>
      <c r="I470" s="17">
        <v>122</v>
      </c>
      <c r="J470" s="17">
        <v>104.25</v>
      </c>
      <c r="K470" s="17">
        <v>2330</v>
      </c>
      <c r="L470" s="17">
        <v>63.5</v>
      </c>
      <c r="M470" s="17">
        <v>1636</v>
      </c>
      <c r="N470" s="17"/>
      <c r="O470" s="17"/>
      <c r="P470" s="17">
        <v>83</v>
      </c>
      <c r="Q470" s="17">
        <v>1643</v>
      </c>
      <c r="R470" s="17">
        <v>86</v>
      </c>
      <c r="S470" s="17">
        <v>1176</v>
      </c>
      <c r="T470" s="17"/>
      <c r="U470" s="17"/>
      <c r="V470" s="17"/>
      <c r="W470" s="17"/>
      <c r="X470" s="15">
        <v>337.25</v>
      </c>
      <c r="Y470" s="17">
        <v>35</v>
      </c>
      <c r="Z470" s="17">
        <v>569.75</v>
      </c>
      <c r="AA470" s="17">
        <v>753</v>
      </c>
      <c r="AB470" s="12">
        <v>46</v>
      </c>
    </row>
    <row r="471" ht="14.25" spans="1:28">
      <c r="A471" s="13">
        <v>469</v>
      </c>
      <c r="B471" s="15">
        <v>10</v>
      </c>
      <c r="C471" s="16">
        <v>30</v>
      </c>
      <c r="D471" s="17" t="s">
        <v>948</v>
      </c>
      <c r="E471" s="17" t="s">
        <v>949</v>
      </c>
      <c r="F471" s="17">
        <v>99.5</v>
      </c>
      <c r="G471" s="17">
        <v>3607</v>
      </c>
      <c r="H471" s="17">
        <v>111.5</v>
      </c>
      <c r="I471" s="17">
        <v>1692</v>
      </c>
      <c r="J471" s="17">
        <v>93.5</v>
      </c>
      <c r="K471" s="17">
        <v>4431</v>
      </c>
      <c r="L471" s="17">
        <v>45.5</v>
      </c>
      <c r="M471" s="17">
        <v>4898</v>
      </c>
      <c r="N471" s="17"/>
      <c r="O471" s="17"/>
      <c r="P471" s="17">
        <v>58</v>
      </c>
      <c r="Q471" s="17">
        <v>9299</v>
      </c>
      <c r="R471" s="17">
        <v>72</v>
      </c>
      <c r="S471" s="17">
        <v>4793</v>
      </c>
      <c r="T471" s="17"/>
      <c r="U471" s="17"/>
      <c r="V471" s="17"/>
      <c r="W471" s="17"/>
      <c r="X471" s="15">
        <v>304.5</v>
      </c>
      <c r="Y471" s="17">
        <v>239</v>
      </c>
      <c r="Z471" s="17">
        <v>480</v>
      </c>
      <c r="AA471" s="17">
        <v>4277</v>
      </c>
      <c r="AB471" s="12">
        <v>419</v>
      </c>
    </row>
    <row r="472" ht="14.25" spans="1:28">
      <c r="A472" s="13">
        <v>470</v>
      </c>
      <c r="B472" s="15">
        <v>10</v>
      </c>
      <c r="C472" s="16">
        <v>31</v>
      </c>
      <c r="D472" s="17" t="s">
        <v>950</v>
      </c>
      <c r="E472" s="17" t="s">
        <v>951</v>
      </c>
      <c r="F472" s="17">
        <v>107</v>
      </c>
      <c r="G472" s="17">
        <v>945</v>
      </c>
      <c r="H472" s="17">
        <v>107.5</v>
      </c>
      <c r="I472" s="17">
        <v>2373</v>
      </c>
      <c r="J472" s="17">
        <v>96.75</v>
      </c>
      <c r="K472" s="17">
        <v>3707</v>
      </c>
      <c r="L472" s="17">
        <v>65</v>
      </c>
      <c r="M472" s="17">
        <v>1440</v>
      </c>
      <c r="N472" s="17"/>
      <c r="O472" s="17"/>
      <c r="P472" s="17">
        <v>86</v>
      </c>
      <c r="Q472" s="17">
        <v>1052</v>
      </c>
      <c r="R472" s="17">
        <v>79</v>
      </c>
      <c r="S472" s="17">
        <v>2629</v>
      </c>
      <c r="T472" s="17"/>
      <c r="U472" s="17"/>
      <c r="V472" s="17"/>
      <c r="W472" s="17"/>
      <c r="X472" s="15">
        <v>311.25</v>
      </c>
      <c r="Y472" s="17">
        <v>176</v>
      </c>
      <c r="Z472" s="17">
        <v>541.25</v>
      </c>
      <c r="AA472" s="17">
        <v>1581</v>
      </c>
      <c r="AB472" s="12">
        <v>124</v>
      </c>
    </row>
    <row r="473" ht="14.25" spans="1:28">
      <c r="A473" s="13">
        <v>471</v>
      </c>
      <c r="B473" s="15">
        <v>10</v>
      </c>
      <c r="C473" s="16">
        <v>32</v>
      </c>
      <c r="D473" s="17" t="s">
        <v>952</v>
      </c>
      <c r="E473" s="17" t="s">
        <v>953</v>
      </c>
      <c r="F473" s="17">
        <v>95</v>
      </c>
      <c r="G473" s="17">
        <v>6168</v>
      </c>
      <c r="H473" s="17">
        <v>114.5</v>
      </c>
      <c r="I473" s="17">
        <v>1277</v>
      </c>
      <c r="J473" s="17">
        <v>103.5</v>
      </c>
      <c r="K473" s="17">
        <v>2441</v>
      </c>
      <c r="L473" s="17">
        <v>71.5</v>
      </c>
      <c r="M473" s="17">
        <v>714</v>
      </c>
      <c r="N473" s="17"/>
      <c r="O473" s="17"/>
      <c r="P473" s="17">
        <v>85</v>
      </c>
      <c r="Q473" s="17">
        <v>1345</v>
      </c>
      <c r="R473" s="17">
        <v>88</v>
      </c>
      <c r="S473" s="17">
        <v>601</v>
      </c>
      <c r="T473" s="17"/>
      <c r="U473" s="17"/>
      <c r="V473" s="17"/>
      <c r="W473" s="17"/>
      <c r="X473" s="15">
        <v>313</v>
      </c>
      <c r="Y473" s="17">
        <v>167</v>
      </c>
      <c r="Z473" s="17">
        <v>557.5</v>
      </c>
      <c r="AA473" s="17">
        <v>1065</v>
      </c>
      <c r="AB473" s="12">
        <v>78</v>
      </c>
    </row>
    <row r="474" ht="14.25" spans="1:28">
      <c r="A474" s="13">
        <v>472</v>
      </c>
      <c r="B474" s="15">
        <v>10</v>
      </c>
      <c r="C474" s="16">
        <v>33</v>
      </c>
      <c r="D474" s="17" t="s">
        <v>954</v>
      </c>
      <c r="E474" s="17" t="s">
        <v>955</v>
      </c>
      <c r="F474" s="17">
        <v>106</v>
      </c>
      <c r="G474" s="17">
        <v>1174</v>
      </c>
      <c r="H474" s="17">
        <v>112.5</v>
      </c>
      <c r="I474" s="17">
        <v>1543</v>
      </c>
      <c r="J474" s="17">
        <v>100</v>
      </c>
      <c r="K474" s="17">
        <v>3038</v>
      </c>
      <c r="L474" s="17">
        <v>65</v>
      </c>
      <c r="M474" s="17">
        <v>1440</v>
      </c>
      <c r="N474" s="17"/>
      <c r="O474" s="17"/>
      <c r="P474" s="17">
        <v>76</v>
      </c>
      <c r="Q474" s="17">
        <v>3515</v>
      </c>
      <c r="R474" s="17">
        <v>80</v>
      </c>
      <c r="S474" s="17">
        <v>2376</v>
      </c>
      <c r="T474" s="17"/>
      <c r="U474" s="17"/>
      <c r="V474" s="17"/>
      <c r="W474" s="17"/>
      <c r="X474" s="15">
        <v>318.5</v>
      </c>
      <c r="Y474" s="17">
        <v>127</v>
      </c>
      <c r="Z474" s="17">
        <v>539.5</v>
      </c>
      <c r="AA474" s="17">
        <v>1641</v>
      </c>
      <c r="AB474" s="12">
        <v>134</v>
      </c>
    </row>
    <row r="475" ht="14.25" spans="1:28">
      <c r="A475" s="13">
        <v>473</v>
      </c>
      <c r="B475" s="15">
        <v>10</v>
      </c>
      <c r="C475" s="16">
        <v>34</v>
      </c>
      <c r="D475" s="17" t="s">
        <v>956</v>
      </c>
      <c r="E475" s="17" t="s">
        <v>957</v>
      </c>
      <c r="F475" s="17">
        <v>88.5</v>
      </c>
      <c r="G475" s="17">
        <v>10291</v>
      </c>
      <c r="H475" s="17">
        <v>100.5</v>
      </c>
      <c r="I475" s="17">
        <v>3650</v>
      </c>
      <c r="J475" s="17">
        <v>98</v>
      </c>
      <c r="K475" s="17">
        <v>3454</v>
      </c>
      <c r="L475" s="17">
        <v>61</v>
      </c>
      <c r="M475" s="17">
        <v>2008</v>
      </c>
      <c r="N475" s="17"/>
      <c r="O475" s="17"/>
      <c r="P475" s="17">
        <v>75</v>
      </c>
      <c r="Q475" s="17">
        <v>3841</v>
      </c>
      <c r="R475" s="17">
        <v>74</v>
      </c>
      <c r="S475" s="17">
        <v>4119</v>
      </c>
      <c r="T475" s="17"/>
      <c r="U475" s="17"/>
      <c r="V475" s="17"/>
      <c r="W475" s="17"/>
      <c r="X475" s="15">
        <v>287</v>
      </c>
      <c r="Y475" s="17">
        <v>386</v>
      </c>
      <c r="Z475" s="17">
        <v>497</v>
      </c>
      <c r="AA475" s="17">
        <v>3380</v>
      </c>
      <c r="AB475" s="12">
        <v>345</v>
      </c>
    </row>
    <row r="476" ht="14.25" spans="1:28">
      <c r="A476" s="13">
        <v>474</v>
      </c>
      <c r="B476" s="15">
        <v>10</v>
      </c>
      <c r="C476" s="16">
        <v>35</v>
      </c>
      <c r="D476" s="17" t="s">
        <v>958</v>
      </c>
      <c r="E476" s="17" t="s">
        <v>959</v>
      </c>
      <c r="F476" s="17">
        <v>104.5</v>
      </c>
      <c r="G476" s="17">
        <v>1551</v>
      </c>
      <c r="H476" s="17">
        <v>92</v>
      </c>
      <c r="I476" s="17">
        <v>5417</v>
      </c>
      <c r="J476" s="17">
        <v>107.5</v>
      </c>
      <c r="K476" s="17">
        <v>1810</v>
      </c>
      <c r="L476" s="17">
        <v>42.5</v>
      </c>
      <c r="M476" s="17">
        <v>5605</v>
      </c>
      <c r="N476" s="17"/>
      <c r="O476" s="17"/>
      <c r="P476" s="17">
        <v>70</v>
      </c>
      <c r="Q476" s="17">
        <v>5445</v>
      </c>
      <c r="R476" s="17">
        <v>88</v>
      </c>
      <c r="S476" s="17">
        <v>601</v>
      </c>
      <c r="T476" s="17"/>
      <c r="U476" s="17"/>
      <c r="V476" s="17"/>
      <c r="W476" s="17"/>
      <c r="X476" s="15">
        <v>304</v>
      </c>
      <c r="Y476" s="17">
        <v>245</v>
      </c>
      <c r="Z476" s="17">
        <v>504.5</v>
      </c>
      <c r="AA476" s="17">
        <v>3031</v>
      </c>
      <c r="AB476" s="12">
        <v>301</v>
      </c>
    </row>
    <row r="477" ht="14.25" spans="1:28">
      <c r="A477" s="13">
        <v>475</v>
      </c>
      <c r="B477" s="15">
        <v>10</v>
      </c>
      <c r="C477" s="16">
        <v>36</v>
      </c>
      <c r="D477" s="17" t="s">
        <v>960</v>
      </c>
      <c r="E477" s="17" t="s">
        <v>961</v>
      </c>
      <c r="F477" s="17">
        <v>102.75</v>
      </c>
      <c r="G477" s="17">
        <v>2250</v>
      </c>
      <c r="H477" s="17">
        <v>107.5</v>
      </c>
      <c r="I477" s="17">
        <v>2373</v>
      </c>
      <c r="J477" s="17">
        <v>101</v>
      </c>
      <c r="K477" s="17">
        <v>2859</v>
      </c>
      <c r="L477" s="17">
        <v>65.5</v>
      </c>
      <c r="M477" s="17">
        <v>1373</v>
      </c>
      <c r="N477" s="17"/>
      <c r="O477" s="17"/>
      <c r="P477" s="17">
        <v>78</v>
      </c>
      <c r="Q477" s="17">
        <v>2908</v>
      </c>
      <c r="R477" s="17">
        <v>86</v>
      </c>
      <c r="S477" s="17">
        <v>1176</v>
      </c>
      <c r="T477" s="17"/>
      <c r="U477" s="17"/>
      <c r="V477" s="17"/>
      <c r="W477" s="17"/>
      <c r="X477" s="15">
        <v>311.25</v>
      </c>
      <c r="Y477" s="17">
        <v>176</v>
      </c>
      <c r="Z477" s="17">
        <v>540.75</v>
      </c>
      <c r="AA477" s="17">
        <v>1598</v>
      </c>
      <c r="AB477" s="12">
        <v>126</v>
      </c>
    </row>
    <row r="478" ht="14.25" spans="1:28">
      <c r="A478" s="13">
        <v>476</v>
      </c>
      <c r="B478" s="15">
        <v>10</v>
      </c>
      <c r="C478" s="16">
        <v>37</v>
      </c>
      <c r="D478" s="17" t="s">
        <v>962</v>
      </c>
      <c r="E478" s="17" t="s">
        <v>963</v>
      </c>
      <c r="F478" s="17">
        <v>93.5</v>
      </c>
      <c r="G478" s="17">
        <v>7127</v>
      </c>
      <c r="H478" s="17">
        <v>106</v>
      </c>
      <c r="I478" s="17">
        <v>2619</v>
      </c>
      <c r="J478" s="17">
        <v>91.25</v>
      </c>
      <c r="K478" s="17">
        <v>4978</v>
      </c>
      <c r="L478" s="17">
        <v>59.5</v>
      </c>
      <c r="M478" s="17">
        <v>2274</v>
      </c>
      <c r="N478" s="17"/>
      <c r="O478" s="17"/>
      <c r="P478" s="17">
        <v>83</v>
      </c>
      <c r="Q478" s="17">
        <v>1643</v>
      </c>
      <c r="R478" s="17">
        <v>90</v>
      </c>
      <c r="S478" s="17">
        <v>255</v>
      </c>
      <c r="T478" s="17"/>
      <c r="U478" s="17"/>
      <c r="V478" s="17"/>
      <c r="W478" s="17"/>
      <c r="X478" s="15">
        <v>290.75</v>
      </c>
      <c r="Y478" s="17">
        <v>361</v>
      </c>
      <c r="Z478" s="17">
        <v>523.25</v>
      </c>
      <c r="AA478" s="17">
        <v>2235</v>
      </c>
      <c r="AB478" s="12">
        <v>201</v>
      </c>
    </row>
    <row r="479" ht="14.25" spans="1:28">
      <c r="A479" s="13">
        <v>477</v>
      </c>
      <c r="B479" s="15">
        <v>10</v>
      </c>
      <c r="C479" s="16">
        <v>38</v>
      </c>
      <c r="D479" s="17" t="s">
        <v>964</v>
      </c>
      <c r="E479" s="17" t="s">
        <v>965</v>
      </c>
      <c r="F479" s="17">
        <v>109</v>
      </c>
      <c r="G479" s="17">
        <v>567</v>
      </c>
      <c r="H479" s="17">
        <v>113</v>
      </c>
      <c r="I479" s="17">
        <v>1467</v>
      </c>
      <c r="J479" s="17">
        <v>109.5</v>
      </c>
      <c r="K479" s="17">
        <v>1527</v>
      </c>
      <c r="L479" s="17">
        <v>66.5</v>
      </c>
      <c r="M479" s="17">
        <v>1237</v>
      </c>
      <c r="N479" s="17"/>
      <c r="O479" s="17"/>
      <c r="P479" s="17">
        <v>80</v>
      </c>
      <c r="Q479" s="17">
        <v>2333</v>
      </c>
      <c r="R479" s="17">
        <v>90</v>
      </c>
      <c r="S479" s="17">
        <v>255</v>
      </c>
      <c r="T479" s="17"/>
      <c r="U479" s="17"/>
      <c r="V479" s="17"/>
      <c r="W479" s="17"/>
      <c r="X479" s="15">
        <v>331.5</v>
      </c>
      <c r="Y479" s="17">
        <v>59</v>
      </c>
      <c r="Z479" s="17">
        <v>568</v>
      </c>
      <c r="AA479" s="17">
        <v>808</v>
      </c>
      <c r="AB479" s="12">
        <v>53</v>
      </c>
    </row>
    <row r="480" ht="14.25" spans="1:28">
      <c r="A480" s="13">
        <v>478</v>
      </c>
      <c r="B480" s="15">
        <v>10</v>
      </c>
      <c r="C480" s="16">
        <v>39</v>
      </c>
      <c r="D480" s="17" t="s">
        <v>966</v>
      </c>
      <c r="E480" s="17" t="s">
        <v>967</v>
      </c>
      <c r="F480" s="17">
        <v>95</v>
      </c>
      <c r="G480" s="17">
        <v>6168</v>
      </c>
      <c r="H480" s="17">
        <v>112.5</v>
      </c>
      <c r="I480" s="17">
        <v>1543</v>
      </c>
      <c r="J480" s="17">
        <v>108.75</v>
      </c>
      <c r="K480" s="17">
        <v>1628</v>
      </c>
      <c r="L480" s="17">
        <v>64</v>
      </c>
      <c r="M480" s="17">
        <v>1577</v>
      </c>
      <c r="N480" s="17"/>
      <c r="O480" s="17"/>
      <c r="P480" s="17">
        <v>77</v>
      </c>
      <c r="Q480" s="17">
        <v>3207</v>
      </c>
      <c r="R480" s="17">
        <v>79</v>
      </c>
      <c r="S480" s="17">
        <v>2629</v>
      </c>
      <c r="T480" s="17"/>
      <c r="U480" s="17"/>
      <c r="V480" s="17"/>
      <c r="W480" s="17"/>
      <c r="X480" s="15">
        <v>316.25</v>
      </c>
      <c r="Y480" s="17">
        <v>143</v>
      </c>
      <c r="Z480" s="17">
        <v>536.25</v>
      </c>
      <c r="AA480" s="17">
        <v>1737</v>
      </c>
      <c r="AB480" s="12">
        <v>144</v>
      </c>
    </row>
    <row r="481" ht="14.25" spans="1:28">
      <c r="A481" s="13">
        <v>479</v>
      </c>
      <c r="B481" s="15">
        <v>10</v>
      </c>
      <c r="C481" s="16">
        <v>40</v>
      </c>
      <c r="D481" s="17" t="s">
        <v>968</v>
      </c>
      <c r="E481" s="17" t="s">
        <v>969</v>
      </c>
      <c r="F481" s="17">
        <v>115</v>
      </c>
      <c r="G481" s="17">
        <v>77</v>
      </c>
      <c r="H481" s="17">
        <v>103</v>
      </c>
      <c r="I481" s="17">
        <v>3209</v>
      </c>
      <c r="J481" s="17">
        <v>112.75</v>
      </c>
      <c r="K481" s="17">
        <v>1155</v>
      </c>
      <c r="L481" s="17">
        <v>66</v>
      </c>
      <c r="M481" s="17">
        <v>1304</v>
      </c>
      <c r="N481" s="17"/>
      <c r="O481" s="17"/>
      <c r="P481" s="17">
        <v>89</v>
      </c>
      <c r="Q481" s="17">
        <v>222</v>
      </c>
      <c r="R481" s="17">
        <v>76</v>
      </c>
      <c r="S481" s="17">
        <v>3491</v>
      </c>
      <c r="T481" s="17"/>
      <c r="U481" s="17"/>
      <c r="V481" s="17"/>
      <c r="W481" s="17"/>
      <c r="X481" s="15">
        <v>330.75</v>
      </c>
      <c r="Y481" s="17">
        <v>61</v>
      </c>
      <c r="Z481" s="17">
        <v>561.75</v>
      </c>
      <c r="AA481" s="17">
        <v>953</v>
      </c>
      <c r="AB481" s="12">
        <v>68</v>
      </c>
    </row>
    <row r="482" ht="14.25" spans="1:28">
      <c r="A482" s="13">
        <v>480</v>
      </c>
      <c r="B482" s="15">
        <v>10</v>
      </c>
      <c r="C482" s="16">
        <v>41</v>
      </c>
      <c r="D482" s="17" t="s">
        <v>970</v>
      </c>
      <c r="E482" s="17" t="s">
        <v>971</v>
      </c>
      <c r="F482" s="17">
        <v>103.5</v>
      </c>
      <c r="G482" s="17">
        <v>1897</v>
      </c>
      <c r="H482" s="17">
        <v>111</v>
      </c>
      <c r="I482" s="17">
        <v>1774</v>
      </c>
      <c r="J482" s="17">
        <v>94.25</v>
      </c>
      <c r="K482" s="17">
        <v>4296</v>
      </c>
      <c r="L482" s="17">
        <v>75.5</v>
      </c>
      <c r="M482" s="17">
        <v>413</v>
      </c>
      <c r="N482" s="17"/>
      <c r="O482" s="17"/>
      <c r="P482" s="17">
        <v>72</v>
      </c>
      <c r="Q482" s="17">
        <v>4881</v>
      </c>
      <c r="R482" s="17">
        <v>77</v>
      </c>
      <c r="S482" s="17">
        <v>3183</v>
      </c>
      <c r="T482" s="17"/>
      <c r="U482" s="17"/>
      <c r="V482" s="17"/>
      <c r="W482" s="17"/>
      <c r="X482" s="15">
        <v>308.75</v>
      </c>
      <c r="Y482" s="17">
        <v>206</v>
      </c>
      <c r="Z482" s="17">
        <v>533.25</v>
      </c>
      <c r="AA482" s="17">
        <v>1832</v>
      </c>
      <c r="AB482" s="12">
        <v>156</v>
      </c>
    </row>
    <row r="483" ht="14.25" spans="1:28">
      <c r="A483" s="13">
        <v>481</v>
      </c>
      <c r="B483" s="15">
        <v>10</v>
      </c>
      <c r="C483" s="16">
        <v>42</v>
      </c>
      <c r="D483" s="17" t="s">
        <v>972</v>
      </c>
      <c r="E483" s="17" t="s">
        <v>973</v>
      </c>
      <c r="F483" s="17">
        <v>98.5</v>
      </c>
      <c r="G483" s="17">
        <v>4145</v>
      </c>
      <c r="H483" s="17">
        <v>116.5</v>
      </c>
      <c r="I483" s="17">
        <v>1035</v>
      </c>
      <c r="J483" s="17">
        <v>99.75</v>
      </c>
      <c r="K483" s="17">
        <v>3109</v>
      </c>
      <c r="L483" s="17">
        <v>74.5</v>
      </c>
      <c r="M483" s="17">
        <v>487</v>
      </c>
      <c r="N483" s="17"/>
      <c r="O483" s="17"/>
      <c r="P483" s="17">
        <v>81</v>
      </c>
      <c r="Q483" s="17">
        <v>2079</v>
      </c>
      <c r="R483" s="17">
        <v>90</v>
      </c>
      <c r="S483" s="17">
        <v>255</v>
      </c>
      <c r="T483" s="17"/>
      <c r="U483" s="17"/>
      <c r="V483" s="17"/>
      <c r="W483" s="17"/>
      <c r="X483" s="15">
        <v>314.75</v>
      </c>
      <c r="Y483" s="17">
        <v>151</v>
      </c>
      <c r="Z483" s="17">
        <v>560.25</v>
      </c>
      <c r="AA483" s="17">
        <v>994</v>
      </c>
      <c r="AB483" s="12">
        <v>72</v>
      </c>
    </row>
    <row r="484" ht="14.25" spans="1:28">
      <c r="A484" s="13">
        <v>482</v>
      </c>
      <c r="B484" s="15">
        <v>10</v>
      </c>
      <c r="C484" s="16">
        <v>43</v>
      </c>
      <c r="D484" s="17" t="s">
        <v>974</v>
      </c>
      <c r="E484" s="17" t="s">
        <v>975</v>
      </c>
      <c r="F484" s="17">
        <v>96.5</v>
      </c>
      <c r="G484" s="17">
        <v>5262</v>
      </c>
      <c r="H484" s="17">
        <v>100.5</v>
      </c>
      <c r="I484" s="17">
        <v>3650</v>
      </c>
      <c r="J484" s="17">
        <v>99</v>
      </c>
      <c r="K484" s="17">
        <v>3244</v>
      </c>
      <c r="L484" s="17">
        <v>73</v>
      </c>
      <c r="M484" s="17">
        <v>575</v>
      </c>
      <c r="N484" s="17"/>
      <c r="O484" s="17"/>
      <c r="P484" s="17">
        <v>87</v>
      </c>
      <c r="Q484" s="17">
        <v>681</v>
      </c>
      <c r="R484" s="17">
        <v>82</v>
      </c>
      <c r="S484" s="17">
        <v>1915</v>
      </c>
      <c r="T484" s="17"/>
      <c r="U484" s="17"/>
      <c r="V484" s="17"/>
      <c r="W484" s="17"/>
      <c r="X484" s="15">
        <v>296</v>
      </c>
      <c r="Y484" s="17">
        <v>307</v>
      </c>
      <c r="Z484" s="17">
        <v>538</v>
      </c>
      <c r="AA484" s="17">
        <v>1682</v>
      </c>
      <c r="AB484" s="12">
        <v>138</v>
      </c>
    </row>
    <row r="485" ht="14.25" spans="1:28">
      <c r="A485" s="13">
        <v>483</v>
      </c>
      <c r="B485" s="15">
        <v>10</v>
      </c>
      <c r="C485" s="16">
        <v>44</v>
      </c>
      <c r="D485" s="17" t="s">
        <v>976</v>
      </c>
      <c r="E485" s="17" t="s">
        <v>977</v>
      </c>
      <c r="F485" s="17">
        <v>94</v>
      </c>
      <c r="G485" s="17">
        <v>6811</v>
      </c>
      <c r="H485" s="17">
        <v>109.5</v>
      </c>
      <c r="I485" s="17">
        <v>2023</v>
      </c>
      <c r="J485" s="17">
        <v>114.25</v>
      </c>
      <c r="K485" s="17">
        <v>986</v>
      </c>
      <c r="L485" s="17">
        <v>58</v>
      </c>
      <c r="M485" s="17">
        <v>2538</v>
      </c>
      <c r="N485" s="17"/>
      <c r="O485" s="17"/>
      <c r="P485" s="17">
        <v>86</v>
      </c>
      <c r="Q485" s="17">
        <v>1052</v>
      </c>
      <c r="R485" s="17">
        <v>85</v>
      </c>
      <c r="S485" s="17">
        <v>1393</v>
      </c>
      <c r="T485" s="17"/>
      <c r="U485" s="17"/>
      <c r="V485" s="17"/>
      <c r="W485" s="17"/>
      <c r="X485" s="15">
        <v>317.75</v>
      </c>
      <c r="Y485" s="17">
        <v>133</v>
      </c>
      <c r="Z485" s="17">
        <v>546.75</v>
      </c>
      <c r="AA485" s="17">
        <v>1400</v>
      </c>
      <c r="AB485" s="12">
        <v>106</v>
      </c>
    </row>
    <row r="486" ht="14.25" spans="1:28">
      <c r="A486" s="13">
        <v>484</v>
      </c>
      <c r="B486" s="15">
        <v>10</v>
      </c>
      <c r="C486" s="16">
        <v>45</v>
      </c>
      <c r="D486" s="17" t="s">
        <v>978</v>
      </c>
      <c r="E486" s="17" t="s">
        <v>979</v>
      </c>
      <c r="F486" s="17">
        <v>90.5</v>
      </c>
      <c r="G486" s="17">
        <v>8999</v>
      </c>
      <c r="H486" s="17">
        <v>113.5</v>
      </c>
      <c r="I486" s="17">
        <v>1397</v>
      </c>
      <c r="J486" s="17">
        <v>89</v>
      </c>
      <c r="K486" s="17">
        <v>5512</v>
      </c>
      <c r="L486" s="17">
        <v>73.5</v>
      </c>
      <c r="M486" s="17">
        <v>548</v>
      </c>
      <c r="N486" s="17"/>
      <c r="O486" s="17"/>
      <c r="P486" s="17">
        <v>83</v>
      </c>
      <c r="Q486" s="17">
        <v>1643</v>
      </c>
      <c r="R486" s="17">
        <v>91</v>
      </c>
      <c r="S486" s="17">
        <v>151</v>
      </c>
      <c r="T486" s="17"/>
      <c r="U486" s="17"/>
      <c r="V486" s="17"/>
      <c r="W486" s="17"/>
      <c r="X486" s="15">
        <v>293</v>
      </c>
      <c r="Y486" s="17">
        <v>335</v>
      </c>
      <c r="Z486" s="17">
        <v>540.5</v>
      </c>
      <c r="AA486" s="17">
        <v>1602</v>
      </c>
      <c r="AB486" s="12">
        <v>128</v>
      </c>
    </row>
    <row r="487" ht="14.25" spans="1:28">
      <c r="A487" s="13">
        <v>485</v>
      </c>
      <c r="B487" s="15">
        <v>10</v>
      </c>
      <c r="C487" s="16">
        <v>46</v>
      </c>
      <c r="D487" s="17" t="s">
        <v>980</v>
      </c>
      <c r="E487" s="17" t="s">
        <v>981</v>
      </c>
      <c r="F487" s="17">
        <v>108</v>
      </c>
      <c r="G487" s="17">
        <v>736</v>
      </c>
      <c r="H487" s="17">
        <v>111.5</v>
      </c>
      <c r="I487" s="17">
        <v>1692</v>
      </c>
      <c r="J487" s="17">
        <v>86.25</v>
      </c>
      <c r="K487" s="17">
        <v>6223</v>
      </c>
      <c r="L487" s="17">
        <v>73</v>
      </c>
      <c r="M487" s="17">
        <v>575</v>
      </c>
      <c r="N487" s="17"/>
      <c r="O487" s="17"/>
      <c r="P487" s="17">
        <v>88</v>
      </c>
      <c r="Q487" s="17">
        <v>397</v>
      </c>
      <c r="R487" s="17">
        <v>91</v>
      </c>
      <c r="S487" s="17">
        <v>151</v>
      </c>
      <c r="T487" s="17"/>
      <c r="U487" s="17"/>
      <c r="V487" s="17"/>
      <c r="W487" s="17"/>
      <c r="X487" s="15">
        <v>305.75</v>
      </c>
      <c r="Y487" s="17">
        <v>229</v>
      </c>
      <c r="Z487" s="17">
        <v>557.75</v>
      </c>
      <c r="AA487" s="17">
        <v>1057</v>
      </c>
      <c r="AB487" s="12">
        <v>77</v>
      </c>
    </row>
    <row r="488" ht="14.25" spans="1:28">
      <c r="A488" s="13">
        <v>486</v>
      </c>
      <c r="B488" s="15">
        <v>10</v>
      </c>
      <c r="C488" s="16">
        <v>47</v>
      </c>
      <c r="D488" s="17" t="s">
        <v>982</v>
      </c>
      <c r="E488" s="17" t="s">
        <v>983</v>
      </c>
      <c r="F488" s="17">
        <v>104.5</v>
      </c>
      <c r="G488" s="17">
        <v>1551</v>
      </c>
      <c r="H488" s="17">
        <v>120.5</v>
      </c>
      <c r="I488" s="17">
        <v>665</v>
      </c>
      <c r="J488" s="17">
        <v>108</v>
      </c>
      <c r="K488" s="17">
        <v>1721</v>
      </c>
      <c r="L488" s="17">
        <v>74.5</v>
      </c>
      <c r="M488" s="17">
        <v>487</v>
      </c>
      <c r="N488" s="17"/>
      <c r="O488" s="17"/>
      <c r="P488" s="17">
        <v>87</v>
      </c>
      <c r="Q488" s="17">
        <v>681</v>
      </c>
      <c r="R488" s="17">
        <v>89</v>
      </c>
      <c r="S488" s="17">
        <v>415</v>
      </c>
      <c r="T488" s="17"/>
      <c r="U488" s="17"/>
      <c r="V488" s="17"/>
      <c r="W488" s="17"/>
      <c r="X488" s="15">
        <v>333</v>
      </c>
      <c r="Y488" s="17">
        <v>56</v>
      </c>
      <c r="Z488" s="17">
        <v>583.5</v>
      </c>
      <c r="AA488" s="17">
        <v>451</v>
      </c>
      <c r="AB488" s="12">
        <v>24</v>
      </c>
    </row>
    <row r="489" ht="14.25" spans="1:28">
      <c r="A489" s="13">
        <v>487</v>
      </c>
      <c r="B489" s="15">
        <v>10</v>
      </c>
      <c r="C489" s="16">
        <v>48</v>
      </c>
      <c r="D489" s="19" t="s">
        <v>984</v>
      </c>
      <c r="E489" s="17" t="s">
        <v>985</v>
      </c>
      <c r="F489" s="17">
        <v>98.75</v>
      </c>
      <c r="G489" s="17">
        <v>4121</v>
      </c>
      <c r="H489" s="17">
        <v>106</v>
      </c>
      <c r="I489" s="17">
        <v>2619</v>
      </c>
      <c r="J489" s="17">
        <v>112.5</v>
      </c>
      <c r="K489" s="17">
        <v>1174</v>
      </c>
      <c r="L489" s="17">
        <v>61</v>
      </c>
      <c r="M489" s="17">
        <v>2008</v>
      </c>
      <c r="N489" s="17"/>
      <c r="O489" s="17"/>
      <c r="P489" s="17">
        <v>88</v>
      </c>
      <c r="Q489" s="17">
        <v>397</v>
      </c>
      <c r="R489" s="17">
        <v>87</v>
      </c>
      <c r="S489" s="17">
        <v>883</v>
      </c>
      <c r="T489" s="17"/>
      <c r="U489" s="17"/>
      <c r="V489" s="17"/>
      <c r="W489" s="17"/>
      <c r="X489" s="15">
        <v>317.25</v>
      </c>
      <c r="Y489" s="17">
        <v>137</v>
      </c>
      <c r="Z489" s="17">
        <v>553.25</v>
      </c>
      <c r="AA489" s="17">
        <v>1194</v>
      </c>
      <c r="AB489" s="12">
        <v>92</v>
      </c>
    </row>
    <row r="490" ht="14.25" spans="1:28">
      <c r="A490" s="13">
        <v>488</v>
      </c>
      <c r="B490" s="15">
        <v>10</v>
      </c>
      <c r="C490" s="16">
        <v>49</v>
      </c>
      <c r="D490" s="17" t="s">
        <v>986</v>
      </c>
      <c r="E490" s="17" t="s">
        <v>987</v>
      </c>
      <c r="F490" s="17">
        <v>98</v>
      </c>
      <c r="G490" s="17">
        <v>4423</v>
      </c>
      <c r="H490" s="17">
        <v>115</v>
      </c>
      <c r="I490" s="17">
        <v>1213</v>
      </c>
      <c r="J490" s="17">
        <v>92</v>
      </c>
      <c r="K490" s="17">
        <v>4787</v>
      </c>
      <c r="L490" s="17">
        <v>63.5</v>
      </c>
      <c r="M490" s="17">
        <v>1636</v>
      </c>
      <c r="N490" s="17"/>
      <c r="O490" s="17"/>
      <c r="P490" s="17">
        <v>77</v>
      </c>
      <c r="Q490" s="17">
        <v>3207</v>
      </c>
      <c r="R490" s="17">
        <v>86</v>
      </c>
      <c r="S490" s="17">
        <v>1176</v>
      </c>
      <c r="T490" s="17"/>
      <c r="U490" s="17"/>
      <c r="V490" s="17"/>
      <c r="W490" s="17"/>
      <c r="X490" s="15">
        <v>305</v>
      </c>
      <c r="Y490" s="17">
        <v>236</v>
      </c>
      <c r="Z490" s="17">
        <v>531.5</v>
      </c>
      <c r="AA490" s="17">
        <v>1892</v>
      </c>
      <c r="AB490" s="12">
        <v>165</v>
      </c>
    </row>
    <row r="491" ht="14.25" spans="1:28">
      <c r="A491" s="13">
        <v>489</v>
      </c>
      <c r="B491" s="15">
        <v>10</v>
      </c>
      <c r="C491" s="16">
        <v>50</v>
      </c>
      <c r="D491" s="17" t="s">
        <v>988</v>
      </c>
      <c r="E491" s="17" t="s">
        <v>989</v>
      </c>
      <c r="F491" s="17">
        <v>107</v>
      </c>
      <c r="G491" s="17">
        <v>945</v>
      </c>
      <c r="H491" s="17">
        <v>119.5</v>
      </c>
      <c r="I491" s="17">
        <v>753</v>
      </c>
      <c r="J491" s="17">
        <v>100.5</v>
      </c>
      <c r="K491" s="17">
        <v>2946</v>
      </c>
      <c r="L491" s="17">
        <v>63</v>
      </c>
      <c r="M491" s="17">
        <v>1702</v>
      </c>
      <c r="N491" s="17"/>
      <c r="O491" s="17"/>
      <c r="P491" s="17">
        <v>92</v>
      </c>
      <c r="Q491" s="17">
        <v>36</v>
      </c>
      <c r="R491" s="17">
        <v>83</v>
      </c>
      <c r="S491" s="17">
        <v>1715</v>
      </c>
      <c r="T491" s="17"/>
      <c r="U491" s="17"/>
      <c r="V491" s="17"/>
      <c r="W491" s="17"/>
      <c r="X491" s="15">
        <v>327</v>
      </c>
      <c r="Y491" s="17">
        <v>77</v>
      </c>
      <c r="Z491" s="17">
        <v>565</v>
      </c>
      <c r="AA491" s="17">
        <v>866</v>
      </c>
      <c r="AB491" s="12">
        <v>57</v>
      </c>
    </row>
    <row r="492" ht="14.25" spans="1:28">
      <c r="A492" s="13">
        <v>490</v>
      </c>
      <c r="B492" s="15">
        <v>10</v>
      </c>
      <c r="C492" s="16">
        <v>51</v>
      </c>
      <c r="D492" s="17" t="s">
        <v>990</v>
      </c>
      <c r="E492" s="17" t="s">
        <v>991</v>
      </c>
      <c r="F492" s="17">
        <v>106</v>
      </c>
      <c r="G492" s="17">
        <v>1174</v>
      </c>
      <c r="H492" s="17">
        <v>112</v>
      </c>
      <c r="I492" s="17">
        <v>1617</v>
      </c>
      <c r="J492" s="17">
        <v>112.5</v>
      </c>
      <c r="K492" s="17">
        <v>1174</v>
      </c>
      <c r="L492" s="17">
        <v>63.5</v>
      </c>
      <c r="M492" s="17">
        <v>1636</v>
      </c>
      <c r="N492" s="17"/>
      <c r="O492" s="17"/>
      <c r="P492" s="17">
        <v>78</v>
      </c>
      <c r="Q492" s="17">
        <v>2908</v>
      </c>
      <c r="R492" s="17">
        <v>82</v>
      </c>
      <c r="S492" s="17">
        <v>1915</v>
      </c>
      <c r="T492" s="17"/>
      <c r="U492" s="17"/>
      <c r="V492" s="17"/>
      <c r="W492" s="17"/>
      <c r="X492" s="15">
        <v>330.5</v>
      </c>
      <c r="Y492" s="17">
        <v>63</v>
      </c>
      <c r="Z492" s="17">
        <v>554</v>
      </c>
      <c r="AA492" s="17">
        <v>1167</v>
      </c>
      <c r="AB492" s="12">
        <v>89</v>
      </c>
    </row>
    <row r="493" ht="14.25" spans="1:28">
      <c r="A493" s="13">
        <v>491</v>
      </c>
      <c r="B493" s="15">
        <v>10</v>
      </c>
      <c r="C493" s="16">
        <v>52</v>
      </c>
      <c r="D493" s="17" t="s">
        <v>992</v>
      </c>
      <c r="E493" s="17" t="s">
        <v>993</v>
      </c>
      <c r="F493" s="17">
        <v>98.5</v>
      </c>
      <c r="G493" s="17">
        <v>4145</v>
      </c>
      <c r="H493" s="17">
        <v>105</v>
      </c>
      <c r="I493" s="17">
        <v>2810</v>
      </c>
      <c r="J493" s="17">
        <v>96.75</v>
      </c>
      <c r="K493" s="17">
        <v>3707</v>
      </c>
      <c r="L493" s="17">
        <v>72.5</v>
      </c>
      <c r="M493" s="17">
        <v>627</v>
      </c>
      <c r="N493" s="17"/>
      <c r="O493" s="17"/>
      <c r="P493" s="17">
        <v>79</v>
      </c>
      <c r="Q493" s="17">
        <v>2632</v>
      </c>
      <c r="R493" s="17">
        <v>80</v>
      </c>
      <c r="S493" s="17">
        <v>2376</v>
      </c>
      <c r="T493" s="17"/>
      <c r="U493" s="17"/>
      <c r="V493" s="17"/>
      <c r="W493" s="17"/>
      <c r="X493" s="15">
        <v>300.25</v>
      </c>
      <c r="Y493" s="17">
        <v>274</v>
      </c>
      <c r="Z493" s="17">
        <v>531.75</v>
      </c>
      <c r="AA493" s="17">
        <v>1886</v>
      </c>
      <c r="AB493" s="12">
        <v>162</v>
      </c>
    </row>
    <row r="494" ht="14.25" spans="1:28">
      <c r="A494" s="13">
        <v>492</v>
      </c>
      <c r="B494" s="15">
        <v>10</v>
      </c>
      <c r="C494" s="16">
        <v>53</v>
      </c>
      <c r="D494" s="17" t="s">
        <v>994</v>
      </c>
      <c r="E494" s="17" t="s">
        <v>995</v>
      </c>
      <c r="F494" s="17">
        <v>102.5</v>
      </c>
      <c r="G494" s="17">
        <v>2274</v>
      </c>
      <c r="H494" s="17">
        <v>116.5</v>
      </c>
      <c r="I494" s="17">
        <v>1035</v>
      </c>
      <c r="J494" s="17">
        <v>114.75</v>
      </c>
      <c r="K494" s="17">
        <v>938</v>
      </c>
      <c r="L494" s="17">
        <v>83</v>
      </c>
      <c r="M494" s="17">
        <v>65</v>
      </c>
      <c r="N494" s="17"/>
      <c r="O494" s="17"/>
      <c r="P494" s="17">
        <v>88</v>
      </c>
      <c r="Q494" s="17">
        <v>397</v>
      </c>
      <c r="R494" s="17">
        <v>93</v>
      </c>
      <c r="S494" s="17">
        <v>50</v>
      </c>
      <c r="T494" s="17"/>
      <c r="U494" s="17"/>
      <c r="V494" s="17"/>
      <c r="W494" s="17"/>
      <c r="X494" s="15">
        <v>333.75</v>
      </c>
      <c r="Y494" s="17">
        <v>54</v>
      </c>
      <c r="Z494" s="17">
        <v>597.75</v>
      </c>
      <c r="AA494" s="17">
        <v>253</v>
      </c>
      <c r="AB494" s="12">
        <v>13</v>
      </c>
    </row>
    <row r="495" ht="14.25" spans="1:28">
      <c r="A495" s="13">
        <v>493</v>
      </c>
      <c r="B495" s="15">
        <v>10</v>
      </c>
      <c r="C495" s="16">
        <v>54</v>
      </c>
      <c r="D495" s="17" t="s">
        <v>996</v>
      </c>
      <c r="E495" s="17" t="s">
        <v>997</v>
      </c>
      <c r="F495" s="17">
        <v>108.5</v>
      </c>
      <c r="G495" s="17">
        <v>650</v>
      </c>
      <c r="H495" s="17">
        <v>121.5</v>
      </c>
      <c r="I495" s="17">
        <v>581</v>
      </c>
      <c r="J495" s="17">
        <v>121.75</v>
      </c>
      <c r="K495" s="17">
        <v>398</v>
      </c>
      <c r="L495" s="17">
        <v>84.5</v>
      </c>
      <c r="M495" s="17">
        <v>36</v>
      </c>
      <c r="N495" s="17"/>
      <c r="O495" s="17"/>
      <c r="P495" s="17">
        <v>88</v>
      </c>
      <c r="Q495" s="17">
        <v>397</v>
      </c>
      <c r="R495" s="17">
        <v>87</v>
      </c>
      <c r="S495" s="17">
        <v>883</v>
      </c>
      <c r="T495" s="17"/>
      <c r="U495" s="17"/>
      <c r="V495" s="17"/>
      <c r="W495" s="17"/>
      <c r="X495" s="15">
        <v>351.75</v>
      </c>
      <c r="Y495" s="17">
        <v>10</v>
      </c>
      <c r="Z495" s="17">
        <v>611.25</v>
      </c>
      <c r="AA495" s="17">
        <v>126</v>
      </c>
      <c r="AB495" s="12">
        <v>6</v>
      </c>
    </row>
    <row r="496" ht="14.25" spans="1:28">
      <c r="A496" s="13">
        <v>494</v>
      </c>
      <c r="B496" s="15">
        <v>10</v>
      </c>
      <c r="C496" s="16">
        <v>55</v>
      </c>
      <c r="D496" s="17" t="s">
        <v>998</v>
      </c>
      <c r="E496" s="17" t="s">
        <v>999</v>
      </c>
      <c r="F496" s="17">
        <v>108.75</v>
      </c>
      <c r="G496" s="17">
        <v>640</v>
      </c>
      <c r="H496" s="17">
        <v>98.5</v>
      </c>
      <c r="I496" s="17">
        <v>4047</v>
      </c>
      <c r="J496" s="17">
        <v>117.25</v>
      </c>
      <c r="K496" s="17">
        <v>714</v>
      </c>
      <c r="L496" s="17">
        <v>55</v>
      </c>
      <c r="M496" s="17">
        <v>3031</v>
      </c>
      <c r="N496" s="17"/>
      <c r="O496" s="17"/>
      <c r="P496" s="17">
        <v>86</v>
      </c>
      <c r="Q496" s="17">
        <v>1052</v>
      </c>
      <c r="R496" s="17">
        <v>84</v>
      </c>
      <c r="S496" s="17">
        <v>1490</v>
      </c>
      <c r="T496" s="17"/>
      <c r="U496" s="17"/>
      <c r="V496" s="17"/>
      <c r="W496" s="17"/>
      <c r="X496" s="15">
        <v>324.5</v>
      </c>
      <c r="Y496" s="17">
        <v>91</v>
      </c>
      <c r="Z496" s="17">
        <v>549.5</v>
      </c>
      <c r="AA496" s="17">
        <v>1300</v>
      </c>
      <c r="AB496" s="12">
        <v>99</v>
      </c>
    </row>
    <row r="497" ht="14.25" spans="1:28">
      <c r="A497" s="13">
        <v>495</v>
      </c>
      <c r="B497" s="15">
        <v>10</v>
      </c>
      <c r="C497" s="16">
        <v>56</v>
      </c>
      <c r="D497" s="17" t="s">
        <v>1000</v>
      </c>
      <c r="E497" s="17" t="s">
        <v>1001</v>
      </c>
      <c r="F497" s="17">
        <v>99</v>
      </c>
      <c r="G497" s="17">
        <v>3868</v>
      </c>
      <c r="H497" s="17">
        <v>136</v>
      </c>
      <c r="I497" s="17">
        <v>30</v>
      </c>
      <c r="J497" s="17">
        <v>107</v>
      </c>
      <c r="K497" s="17">
        <v>1871</v>
      </c>
      <c r="L497" s="17">
        <v>89</v>
      </c>
      <c r="M497" s="17">
        <v>10</v>
      </c>
      <c r="N497" s="17"/>
      <c r="O497" s="17"/>
      <c r="P497" s="17">
        <v>89</v>
      </c>
      <c r="Q497" s="17">
        <v>222</v>
      </c>
      <c r="R497" s="17">
        <v>87</v>
      </c>
      <c r="S497" s="17">
        <v>883</v>
      </c>
      <c r="T497" s="17"/>
      <c r="U497" s="17"/>
      <c r="V497" s="17"/>
      <c r="W497" s="17"/>
      <c r="X497" s="15">
        <v>342</v>
      </c>
      <c r="Y497" s="17">
        <v>25</v>
      </c>
      <c r="Z497" s="17">
        <v>607</v>
      </c>
      <c r="AA497" s="17">
        <v>160</v>
      </c>
      <c r="AB497" s="12">
        <v>8</v>
      </c>
    </row>
    <row r="498" ht="14.25" spans="1:28">
      <c r="A498" s="13">
        <v>496</v>
      </c>
      <c r="B498" s="15">
        <v>10</v>
      </c>
      <c r="C498" s="16">
        <v>57</v>
      </c>
      <c r="D498" s="17" t="s">
        <v>1002</v>
      </c>
      <c r="E498" s="17" t="s">
        <v>1003</v>
      </c>
      <c r="F498" s="17">
        <v>98.25</v>
      </c>
      <c r="G498" s="17">
        <v>4392</v>
      </c>
      <c r="H498" s="17">
        <v>118.5</v>
      </c>
      <c r="I498" s="17">
        <v>833</v>
      </c>
      <c r="J498" s="17">
        <v>110</v>
      </c>
      <c r="K498" s="17">
        <v>1448</v>
      </c>
      <c r="L498" s="17">
        <v>63</v>
      </c>
      <c r="M498" s="17">
        <v>1702</v>
      </c>
      <c r="N498" s="17"/>
      <c r="O498" s="17"/>
      <c r="P498" s="17">
        <v>83</v>
      </c>
      <c r="Q498" s="17">
        <v>1643</v>
      </c>
      <c r="R498" s="17">
        <v>89</v>
      </c>
      <c r="S498" s="17">
        <v>415</v>
      </c>
      <c r="T498" s="17"/>
      <c r="U498" s="17"/>
      <c r="V498" s="17"/>
      <c r="W498" s="17"/>
      <c r="X498" s="15">
        <v>326.75</v>
      </c>
      <c r="Y498" s="17">
        <v>79</v>
      </c>
      <c r="Z498" s="17">
        <v>561.75</v>
      </c>
      <c r="AA498" s="17">
        <v>953</v>
      </c>
      <c r="AB498" s="12">
        <v>68</v>
      </c>
    </row>
    <row r="499" ht="14.25" spans="1:28">
      <c r="A499" s="13">
        <v>497</v>
      </c>
      <c r="B499" s="15">
        <v>11</v>
      </c>
      <c r="C499" s="16">
        <v>1</v>
      </c>
      <c r="D499" s="17" t="s">
        <v>1004</v>
      </c>
      <c r="E499" s="17" t="s">
        <v>1005</v>
      </c>
      <c r="F499" s="17">
        <v>93</v>
      </c>
      <c r="G499" s="17">
        <v>7407</v>
      </c>
      <c r="H499" s="17">
        <v>110</v>
      </c>
      <c r="I499" s="17">
        <v>1931</v>
      </c>
      <c r="J499" s="17">
        <v>105.75</v>
      </c>
      <c r="K499" s="17">
        <v>2077</v>
      </c>
      <c r="L499" s="17">
        <v>58.5</v>
      </c>
      <c r="M499" s="17">
        <v>2451</v>
      </c>
      <c r="N499" s="17"/>
      <c r="O499" s="17"/>
      <c r="P499" s="17">
        <v>82</v>
      </c>
      <c r="Q499" s="17">
        <v>1870</v>
      </c>
      <c r="R499" s="17">
        <v>84</v>
      </c>
      <c r="S499" s="17">
        <v>1490</v>
      </c>
      <c r="T499" s="17"/>
      <c r="U499" s="17"/>
      <c r="V499" s="17"/>
      <c r="W499" s="17"/>
      <c r="X499" s="15">
        <v>308.75</v>
      </c>
      <c r="Y499" s="17">
        <v>206</v>
      </c>
      <c r="Z499" s="17">
        <v>533.25</v>
      </c>
      <c r="AA499" s="17">
        <v>1832</v>
      </c>
      <c r="AB499" s="12">
        <v>156</v>
      </c>
    </row>
    <row r="500" ht="14.25" spans="1:28">
      <c r="A500" s="13">
        <v>498</v>
      </c>
      <c r="B500" s="15">
        <v>11</v>
      </c>
      <c r="C500" s="16">
        <v>2</v>
      </c>
      <c r="D500" s="17" t="s">
        <v>1006</v>
      </c>
      <c r="E500" s="17" t="s">
        <v>1007</v>
      </c>
      <c r="F500" s="17">
        <v>103.5</v>
      </c>
      <c r="G500" s="17">
        <v>1897</v>
      </c>
      <c r="H500" s="17">
        <v>105.5</v>
      </c>
      <c r="I500" s="17">
        <v>2718</v>
      </c>
      <c r="J500" s="17">
        <v>92.5</v>
      </c>
      <c r="K500" s="17">
        <v>4660</v>
      </c>
      <c r="L500" s="17">
        <v>37.5</v>
      </c>
      <c r="M500" s="17">
        <v>6979</v>
      </c>
      <c r="N500" s="17"/>
      <c r="O500" s="17"/>
      <c r="P500" s="17">
        <v>77</v>
      </c>
      <c r="Q500" s="17">
        <v>3207</v>
      </c>
      <c r="R500" s="17">
        <v>76</v>
      </c>
      <c r="S500" s="17">
        <v>3491</v>
      </c>
      <c r="T500" s="17"/>
      <c r="U500" s="17"/>
      <c r="V500" s="17"/>
      <c r="W500" s="17"/>
      <c r="X500" s="15">
        <v>301.5</v>
      </c>
      <c r="Y500" s="17">
        <v>265</v>
      </c>
      <c r="Z500" s="17">
        <v>492</v>
      </c>
      <c r="AA500" s="17">
        <v>3646</v>
      </c>
      <c r="AB500" s="12">
        <v>363</v>
      </c>
    </row>
    <row r="501" ht="14.25" spans="1:28">
      <c r="A501" s="13">
        <v>499</v>
      </c>
      <c r="B501" s="15">
        <v>11</v>
      </c>
      <c r="C501" s="16">
        <v>3</v>
      </c>
      <c r="D501" s="17" t="s">
        <v>1008</v>
      </c>
      <c r="E501" s="17" t="s">
        <v>1009</v>
      </c>
      <c r="F501" s="17">
        <v>90.5</v>
      </c>
      <c r="G501" s="17">
        <v>8999</v>
      </c>
      <c r="H501" s="17">
        <v>81.5</v>
      </c>
      <c r="I501" s="17">
        <v>7740</v>
      </c>
      <c r="J501" s="17">
        <v>77.5</v>
      </c>
      <c r="K501" s="17">
        <v>8422</v>
      </c>
      <c r="L501" s="17">
        <v>32</v>
      </c>
      <c r="M501" s="17">
        <v>8723</v>
      </c>
      <c r="N501" s="17"/>
      <c r="O501" s="17"/>
      <c r="P501" s="17">
        <v>81</v>
      </c>
      <c r="Q501" s="17">
        <v>2079</v>
      </c>
      <c r="R501" s="17">
        <v>79</v>
      </c>
      <c r="S501" s="17">
        <v>2629</v>
      </c>
      <c r="T501" s="17"/>
      <c r="U501" s="17"/>
      <c r="V501" s="17"/>
      <c r="W501" s="17"/>
      <c r="X501" s="15">
        <v>249.5</v>
      </c>
      <c r="Y501" s="17">
        <v>611</v>
      </c>
      <c r="Z501" s="17">
        <v>441.5</v>
      </c>
      <c r="AA501" s="17">
        <v>6712</v>
      </c>
      <c r="AB501" s="12">
        <v>565</v>
      </c>
    </row>
    <row r="502" ht="14.25" spans="1:28">
      <c r="A502" s="13">
        <v>500</v>
      </c>
      <c r="B502" s="15">
        <v>11</v>
      </c>
      <c r="C502" s="16">
        <v>4</v>
      </c>
      <c r="D502" s="17" t="s">
        <v>1010</v>
      </c>
      <c r="E502" s="17" t="s">
        <v>1011</v>
      </c>
      <c r="F502" s="17">
        <v>99.5</v>
      </c>
      <c r="G502" s="17">
        <v>3607</v>
      </c>
      <c r="H502" s="17">
        <v>83.5</v>
      </c>
      <c r="I502" s="17">
        <v>7321</v>
      </c>
      <c r="J502" s="17">
        <v>86</v>
      </c>
      <c r="K502" s="17">
        <v>6253</v>
      </c>
      <c r="L502" s="17">
        <v>47</v>
      </c>
      <c r="M502" s="17">
        <v>4568</v>
      </c>
      <c r="N502" s="17"/>
      <c r="O502" s="17"/>
      <c r="P502" s="17">
        <v>86</v>
      </c>
      <c r="Q502" s="17">
        <v>1052</v>
      </c>
      <c r="R502" s="17">
        <v>67</v>
      </c>
      <c r="S502" s="17">
        <v>6298</v>
      </c>
      <c r="T502" s="17"/>
      <c r="U502" s="17"/>
      <c r="V502" s="17"/>
      <c r="W502" s="17"/>
      <c r="X502" s="15">
        <v>269</v>
      </c>
      <c r="Y502" s="17">
        <v>538</v>
      </c>
      <c r="Z502" s="17">
        <v>469</v>
      </c>
      <c r="AA502" s="17">
        <v>4901</v>
      </c>
      <c r="AB502" s="12">
        <v>462</v>
      </c>
    </row>
    <row r="503" ht="14.25" spans="1:28">
      <c r="A503" s="13">
        <v>501</v>
      </c>
      <c r="B503" s="15">
        <v>11</v>
      </c>
      <c r="C503" s="16">
        <v>5</v>
      </c>
      <c r="D503" s="17" t="s">
        <v>1012</v>
      </c>
      <c r="E503" s="17" t="s">
        <v>1013</v>
      </c>
      <c r="F503" s="17">
        <v>90</v>
      </c>
      <c r="G503" s="17">
        <v>9312</v>
      </c>
      <c r="H503" s="17">
        <v>75</v>
      </c>
      <c r="I503" s="17">
        <v>9019</v>
      </c>
      <c r="J503" s="17">
        <v>76.5</v>
      </c>
      <c r="K503" s="17">
        <v>8698</v>
      </c>
      <c r="L503" s="17">
        <v>51.5</v>
      </c>
      <c r="M503" s="17">
        <v>3642</v>
      </c>
      <c r="N503" s="17"/>
      <c r="O503" s="17"/>
      <c r="P503" s="17">
        <v>62</v>
      </c>
      <c r="Q503" s="17">
        <v>8021</v>
      </c>
      <c r="R503" s="17">
        <v>67</v>
      </c>
      <c r="S503" s="17">
        <v>6298</v>
      </c>
      <c r="T503" s="17"/>
      <c r="U503" s="17"/>
      <c r="V503" s="17"/>
      <c r="W503" s="17"/>
      <c r="X503" s="15">
        <v>241.5</v>
      </c>
      <c r="Y503" s="17">
        <v>628</v>
      </c>
      <c r="Z503" s="17">
        <v>422</v>
      </c>
      <c r="AA503" s="17">
        <v>8072</v>
      </c>
      <c r="AB503" s="12">
        <v>621</v>
      </c>
    </row>
    <row r="504" ht="14.25" spans="1:28">
      <c r="A504" s="13">
        <v>502</v>
      </c>
      <c r="B504" s="15">
        <v>11</v>
      </c>
      <c r="C504" s="16">
        <v>6</v>
      </c>
      <c r="D504" s="17" t="s">
        <v>1014</v>
      </c>
      <c r="E504" s="17" t="s">
        <v>1015</v>
      </c>
      <c r="F504" s="17">
        <v>92.75</v>
      </c>
      <c r="G504" s="17">
        <v>7661</v>
      </c>
      <c r="H504" s="17">
        <v>107.5</v>
      </c>
      <c r="I504" s="17">
        <v>2373</v>
      </c>
      <c r="J504" s="17">
        <v>83.5</v>
      </c>
      <c r="K504" s="17">
        <v>6874</v>
      </c>
      <c r="L504" s="17">
        <v>64.5</v>
      </c>
      <c r="M504" s="17">
        <v>1506</v>
      </c>
      <c r="N504" s="17"/>
      <c r="O504" s="17"/>
      <c r="P504" s="17">
        <v>78</v>
      </c>
      <c r="Q504" s="17">
        <v>2908</v>
      </c>
      <c r="R504" s="17">
        <v>89</v>
      </c>
      <c r="S504" s="17">
        <v>415</v>
      </c>
      <c r="T504" s="17"/>
      <c r="U504" s="17"/>
      <c r="V504" s="17"/>
      <c r="W504" s="17"/>
      <c r="X504" s="15">
        <v>283.75</v>
      </c>
      <c r="Y504" s="17">
        <v>411</v>
      </c>
      <c r="Z504" s="17">
        <v>515.25</v>
      </c>
      <c r="AA504" s="17">
        <v>2533</v>
      </c>
      <c r="AB504" s="12">
        <v>245</v>
      </c>
    </row>
    <row r="505" ht="14.25" spans="1:28">
      <c r="A505" s="13">
        <v>503</v>
      </c>
      <c r="B505" s="15">
        <v>11</v>
      </c>
      <c r="C505" s="16">
        <v>7</v>
      </c>
      <c r="D505" s="17" t="s">
        <v>1016</v>
      </c>
      <c r="E505" s="17" t="s">
        <v>1017</v>
      </c>
      <c r="F505" s="17">
        <v>101</v>
      </c>
      <c r="G505" s="17">
        <v>2896</v>
      </c>
      <c r="H505" s="17">
        <v>21.5</v>
      </c>
      <c r="I505" s="17">
        <v>16816</v>
      </c>
      <c r="J505" s="17">
        <v>38</v>
      </c>
      <c r="K505" s="17">
        <v>15249</v>
      </c>
      <c r="L505" s="17">
        <v>14</v>
      </c>
      <c r="M505" s="17">
        <v>16299</v>
      </c>
      <c r="N505" s="17"/>
      <c r="O505" s="17"/>
      <c r="P505" s="17">
        <v>44</v>
      </c>
      <c r="Q505" s="17">
        <v>11531</v>
      </c>
      <c r="R505" s="17">
        <v>52</v>
      </c>
      <c r="S505" s="17">
        <v>10788</v>
      </c>
      <c r="T505" s="17"/>
      <c r="U505" s="17"/>
      <c r="V505" s="17"/>
      <c r="W505" s="17"/>
      <c r="X505" s="15">
        <v>160.5</v>
      </c>
      <c r="Y505" s="17">
        <v>662</v>
      </c>
      <c r="Z505" s="17">
        <v>270.5</v>
      </c>
      <c r="AA505" s="17">
        <v>16435</v>
      </c>
      <c r="AB505" s="12">
        <v>662</v>
      </c>
    </row>
    <row r="506" ht="14.25" spans="1:28">
      <c r="A506" s="13">
        <v>504</v>
      </c>
      <c r="B506" s="15">
        <v>11</v>
      </c>
      <c r="C506" s="16">
        <v>8</v>
      </c>
      <c r="D506" s="17" t="s">
        <v>1018</v>
      </c>
      <c r="E506" s="17" t="s">
        <v>1019</v>
      </c>
      <c r="F506" s="17">
        <v>93</v>
      </c>
      <c r="G506" s="17">
        <v>7407</v>
      </c>
      <c r="H506" s="17">
        <v>100</v>
      </c>
      <c r="I506" s="17">
        <v>3741</v>
      </c>
      <c r="J506" s="17">
        <v>80.75</v>
      </c>
      <c r="K506" s="17">
        <v>7625</v>
      </c>
      <c r="L506" s="17">
        <v>57.5</v>
      </c>
      <c r="M506" s="17">
        <v>2619</v>
      </c>
      <c r="N506" s="17"/>
      <c r="O506" s="17"/>
      <c r="P506" s="17">
        <v>83</v>
      </c>
      <c r="Q506" s="17">
        <v>1643</v>
      </c>
      <c r="R506" s="17">
        <v>91</v>
      </c>
      <c r="S506" s="17">
        <v>151</v>
      </c>
      <c r="T506" s="17"/>
      <c r="U506" s="17"/>
      <c r="V506" s="17"/>
      <c r="W506" s="17"/>
      <c r="X506" s="15">
        <v>273.75</v>
      </c>
      <c r="Y506" s="17">
        <v>504</v>
      </c>
      <c r="Z506" s="17">
        <v>505.25</v>
      </c>
      <c r="AA506" s="17">
        <v>3001</v>
      </c>
      <c r="AB506" s="12">
        <v>298</v>
      </c>
    </row>
    <row r="507" ht="14.25" spans="1:28">
      <c r="A507" s="13">
        <v>505</v>
      </c>
      <c r="B507" s="15">
        <v>11</v>
      </c>
      <c r="C507" s="16">
        <v>9</v>
      </c>
      <c r="D507" s="17" t="s">
        <v>1020</v>
      </c>
      <c r="E507" s="17" t="s">
        <v>1021</v>
      </c>
      <c r="F507" s="17">
        <v>92.5</v>
      </c>
      <c r="G507" s="17">
        <v>7705</v>
      </c>
      <c r="H507" s="17">
        <v>100</v>
      </c>
      <c r="I507" s="17">
        <v>3741</v>
      </c>
      <c r="J507" s="17">
        <v>100</v>
      </c>
      <c r="K507" s="17">
        <v>3038</v>
      </c>
      <c r="L507" s="17">
        <v>49.5</v>
      </c>
      <c r="M507" s="17">
        <v>4044</v>
      </c>
      <c r="N507" s="17"/>
      <c r="O507" s="17"/>
      <c r="P507" s="17">
        <v>82</v>
      </c>
      <c r="Q507" s="17">
        <v>1870</v>
      </c>
      <c r="R507" s="17">
        <v>82</v>
      </c>
      <c r="S507" s="17">
        <v>1915</v>
      </c>
      <c r="T507" s="17"/>
      <c r="U507" s="17"/>
      <c r="V507" s="17"/>
      <c r="W507" s="17"/>
      <c r="X507" s="15">
        <v>292.5</v>
      </c>
      <c r="Y507" s="17">
        <v>345</v>
      </c>
      <c r="Z507" s="17">
        <v>506</v>
      </c>
      <c r="AA507" s="17">
        <v>2960</v>
      </c>
      <c r="AB507" s="12">
        <v>293</v>
      </c>
    </row>
    <row r="508" ht="14.25" spans="1:28">
      <c r="A508" s="13">
        <v>506</v>
      </c>
      <c r="B508" s="15">
        <v>11</v>
      </c>
      <c r="C508" s="16">
        <v>10</v>
      </c>
      <c r="D508" s="17" t="s">
        <v>1022</v>
      </c>
      <c r="E508" s="17" t="s">
        <v>1023</v>
      </c>
      <c r="F508" s="17">
        <v>98.5</v>
      </c>
      <c r="G508" s="17">
        <v>4145</v>
      </c>
      <c r="H508" s="17">
        <v>82</v>
      </c>
      <c r="I508" s="17">
        <v>7634</v>
      </c>
      <c r="J508" s="17">
        <v>99.5</v>
      </c>
      <c r="K508" s="17">
        <v>3134</v>
      </c>
      <c r="L508" s="17">
        <v>48.5</v>
      </c>
      <c r="M508" s="17">
        <v>4255</v>
      </c>
      <c r="N508" s="17"/>
      <c r="O508" s="17"/>
      <c r="P508" s="17">
        <v>62</v>
      </c>
      <c r="Q508" s="17">
        <v>8021</v>
      </c>
      <c r="R508" s="17">
        <v>74</v>
      </c>
      <c r="S508" s="17">
        <v>4119</v>
      </c>
      <c r="T508" s="17"/>
      <c r="U508" s="17"/>
      <c r="V508" s="17"/>
      <c r="W508" s="17"/>
      <c r="X508" s="15">
        <v>280</v>
      </c>
      <c r="Y508" s="17">
        <v>448</v>
      </c>
      <c r="Z508" s="17">
        <v>464.5</v>
      </c>
      <c r="AA508" s="17">
        <v>5196</v>
      </c>
      <c r="AB508" s="12">
        <v>490</v>
      </c>
    </row>
    <row r="509" ht="14.25" spans="1:28">
      <c r="A509" s="13">
        <v>507</v>
      </c>
      <c r="B509" s="15">
        <v>11</v>
      </c>
      <c r="C509" s="16">
        <v>11</v>
      </c>
      <c r="D509" s="17" t="s">
        <v>1024</v>
      </c>
      <c r="E509" s="17" t="s">
        <v>1025</v>
      </c>
      <c r="F509" s="17">
        <v>95</v>
      </c>
      <c r="G509" s="17">
        <v>6168</v>
      </c>
      <c r="H509" s="17">
        <v>118</v>
      </c>
      <c r="I509" s="17">
        <v>885</v>
      </c>
      <c r="J509" s="17">
        <v>101.5</v>
      </c>
      <c r="K509" s="17">
        <v>2779</v>
      </c>
      <c r="L509" s="17">
        <v>45</v>
      </c>
      <c r="M509" s="17">
        <v>5014</v>
      </c>
      <c r="N509" s="17"/>
      <c r="O509" s="17"/>
      <c r="P509" s="17">
        <v>75</v>
      </c>
      <c r="Q509" s="17">
        <v>3841</v>
      </c>
      <c r="R509" s="17">
        <v>79</v>
      </c>
      <c r="S509" s="17">
        <v>2629</v>
      </c>
      <c r="T509" s="17"/>
      <c r="U509" s="17"/>
      <c r="V509" s="17"/>
      <c r="W509" s="17"/>
      <c r="X509" s="15">
        <v>314.5</v>
      </c>
      <c r="Y509" s="17">
        <v>152</v>
      </c>
      <c r="Z509" s="17">
        <v>513.5</v>
      </c>
      <c r="AA509" s="17">
        <v>2612</v>
      </c>
      <c r="AB509" s="12">
        <v>253</v>
      </c>
    </row>
    <row r="510" ht="14.25" spans="1:28">
      <c r="A510" s="13">
        <v>508</v>
      </c>
      <c r="B510" s="15">
        <v>11</v>
      </c>
      <c r="C510" s="16">
        <v>12</v>
      </c>
      <c r="D510" s="17" t="s">
        <v>1026</v>
      </c>
      <c r="E510" s="17" t="s">
        <v>1027</v>
      </c>
      <c r="F510" s="17">
        <v>94</v>
      </c>
      <c r="G510" s="17">
        <v>6811</v>
      </c>
      <c r="H510" s="17">
        <v>124</v>
      </c>
      <c r="I510" s="17">
        <v>418</v>
      </c>
      <c r="J510" s="17">
        <v>103</v>
      </c>
      <c r="K510" s="17">
        <v>2527</v>
      </c>
      <c r="L510" s="17">
        <v>62.5</v>
      </c>
      <c r="M510" s="17">
        <v>1781</v>
      </c>
      <c r="N510" s="17"/>
      <c r="O510" s="17"/>
      <c r="P510" s="17">
        <v>80</v>
      </c>
      <c r="Q510" s="17">
        <v>2333</v>
      </c>
      <c r="R510" s="17">
        <v>74</v>
      </c>
      <c r="S510" s="17">
        <v>4119</v>
      </c>
      <c r="T510" s="17"/>
      <c r="U510" s="17"/>
      <c r="V510" s="17"/>
      <c r="W510" s="17"/>
      <c r="X510" s="15">
        <v>321</v>
      </c>
      <c r="Y510" s="17">
        <v>108</v>
      </c>
      <c r="Z510" s="17">
        <v>537.5</v>
      </c>
      <c r="AA510" s="17">
        <v>1699</v>
      </c>
      <c r="AB510" s="12">
        <v>140</v>
      </c>
    </row>
    <row r="511" ht="14.25" spans="1:28">
      <c r="A511" s="13">
        <v>509</v>
      </c>
      <c r="B511" s="15">
        <v>11</v>
      </c>
      <c r="C511" s="16">
        <v>13</v>
      </c>
      <c r="D511" s="17" t="s">
        <v>1028</v>
      </c>
      <c r="E511" s="17" t="s">
        <v>1029</v>
      </c>
      <c r="F511" s="17">
        <v>99.5</v>
      </c>
      <c r="G511" s="17">
        <v>3607</v>
      </c>
      <c r="H511" s="17">
        <v>92.5</v>
      </c>
      <c r="I511" s="17">
        <v>5299</v>
      </c>
      <c r="J511" s="17">
        <v>86.75</v>
      </c>
      <c r="K511" s="17">
        <v>6087</v>
      </c>
      <c r="L511" s="17">
        <v>40</v>
      </c>
      <c r="M511" s="17">
        <v>6265</v>
      </c>
      <c r="N511" s="17"/>
      <c r="O511" s="17"/>
      <c r="P511" s="17">
        <v>62</v>
      </c>
      <c r="Q511" s="17">
        <v>8021</v>
      </c>
      <c r="R511" s="17">
        <v>83</v>
      </c>
      <c r="S511" s="17">
        <v>1715</v>
      </c>
      <c r="T511" s="17"/>
      <c r="U511" s="17"/>
      <c r="V511" s="17"/>
      <c r="W511" s="17"/>
      <c r="X511" s="15">
        <v>278.75</v>
      </c>
      <c r="Y511" s="17">
        <v>459</v>
      </c>
      <c r="Z511" s="17">
        <v>463.75</v>
      </c>
      <c r="AA511" s="17">
        <v>5255</v>
      </c>
      <c r="AB511" s="12">
        <v>493</v>
      </c>
    </row>
    <row r="512" ht="14.25" spans="1:28">
      <c r="A512" s="13">
        <v>510</v>
      </c>
      <c r="B512" s="15">
        <v>11</v>
      </c>
      <c r="C512" s="16">
        <v>14</v>
      </c>
      <c r="D512" s="17" t="s">
        <v>1030</v>
      </c>
      <c r="E512" s="17" t="s">
        <v>1031</v>
      </c>
      <c r="F512" s="17">
        <v>101.5</v>
      </c>
      <c r="G512" s="17">
        <v>2674</v>
      </c>
      <c r="H512" s="17">
        <v>94.5</v>
      </c>
      <c r="I512" s="17">
        <v>4840</v>
      </c>
      <c r="J512" s="17">
        <v>94.75</v>
      </c>
      <c r="K512" s="17">
        <v>4171</v>
      </c>
      <c r="L512" s="17">
        <v>56</v>
      </c>
      <c r="M512" s="17">
        <v>2878</v>
      </c>
      <c r="N512" s="17"/>
      <c r="O512" s="17"/>
      <c r="P512" s="17">
        <v>79</v>
      </c>
      <c r="Q512" s="17">
        <v>2632</v>
      </c>
      <c r="R512" s="17">
        <v>86</v>
      </c>
      <c r="S512" s="17">
        <v>1176</v>
      </c>
      <c r="T512" s="17"/>
      <c r="U512" s="17"/>
      <c r="V512" s="17"/>
      <c r="W512" s="17"/>
      <c r="X512" s="15">
        <v>290.75</v>
      </c>
      <c r="Y512" s="17">
        <v>361</v>
      </c>
      <c r="Z512" s="17">
        <v>511.75</v>
      </c>
      <c r="AA512" s="17">
        <v>2690</v>
      </c>
      <c r="AB512" s="12">
        <v>264</v>
      </c>
    </row>
    <row r="513" ht="14.25" spans="1:28">
      <c r="A513" s="13">
        <v>511</v>
      </c>
      <c r="B513" s="15">
        <v>11</v>
      </c>
      <c r="C513" s="16">
        <v>15</v>
      </c>
      <c r="D513" s="17" t="s">
        <v>1032</v>
      </c>
      <c r="E513" s="17" t="s">
        <v>1033</v>
      </c>
      <c r="F513" s="17">
        <v>96</v>
      </c>
      <c r="G513" s="17">
        <v>5544</v>
      </c>
      <c r="H513" s="17">
        <v>87.5</v>
      </c>
      <c r="I513" s="17">
        <v>6415</v>
      </c>
      <c r="J513" s="17">
        <v>96.25</v>
      </c>
      <c r="K513" s="17">
        <v>3820</v>
      </c>
      <c r="L513" s="17">
        <v>40.5</v>
      </c>
      <c r="M513" s="17">
        <v>6131</v>
      </c>
      <c r="N513" s="17"/>
      <c r="O513" s="17"/>
      <c r="P513" s="17">
        <v>74</v>
      </c>
      <c r="Q513" s="17">
        <v>4168</v>
      </c>
      <c r="R513" s="17">
        <v>77</v>
      </c>
      <c r="S513" s="17">
        <v>3183</v>
      </c>
      <c r="T513" s="17"/>
      <c r="U513" s="17"/>
      <c r="V513" s="17"/>
      <c r="W513" s="17"/>
      <c r="X513" s="15">
        <v>279.75</v>
      </c>
      <c r="Y513" s="17">
        <v>450</v>
      </c>
      <c r="Z513" s="17">
        <v>471.25</v>
      </c>
      <c r="AA513" s="17">
        <v>4775</v>
      </c>
      <c r="AB513" s="12">
        <v>455</v>
      </c>
    </row>
    <row r="514" ht="14.25" spans="1:28">
      <c r="A514" s="13">
        <v>512</v>
      </c>
      <c r="B514" s="15">
        <v>11</v>
      </c>
      <c r="C514" s="16">
        <v>16</v>
      </c>
      <c r="D514" s="17" t="s">
        <v>1034</v>
      </c>
      <c r="E514" s="17" t="s">
        <v>1035</v>
      </c>
      <c r="F514" s="17">
        <v>85.5</v>
      </c>
      <c r="G514" s="17">
        <v>12079</v>
      </c>
      <c r="H514" s="17">
        <v>70</v>
      </c>
      <c r="I514" s="17">
        <v>9977</v>
      </c>
      <c r="J514" s="17">
        <v>64</v>
      </c>
      <c r="K514" s="17">
        <v>11677</v>
      </c>
      <c r="L514" s="17">
        <v>35</v>
      </c>
      <c r="M514" s="17">
        <v>7732</v>
      </c>
      <c r="N514" s="17"/>
      <c r="O514" s="17"/>
      <c r="P514" s="17">
        <v>51</v>
      </c>
      <c r="Q514" s="17">
        <v>10643</v>
      </c>
      <c r="R514" s="17">
        <v>60</v>
      </c>
      <c r="S514" s="17">
        <v>8759</v>
      </c>
      <c r="T514" s="17"/>
      <c r="U514" s="17"/>
      <c r="V514" s="17"/>
      <c r="W514" s="17"/>
      <c r="X514" s="15">
        <v>219.5</v>
      </c>
      <c r="Y514" s="17">
        <v>655</v>
      </c>
      <c r="Z514" s="17">
        <v>365.5</v>
      </c>
      <c r="AA514" s="17">
        <v>11953</v>
      </c>
      <c r="AB514" s="12">
        <v>655</v>
      </c>
    </row>
    <row r="515" ht="14.25" spans="1:28">
      <c r="A515" s="13">
        <v>513</v>
      </c>
      <c r="B515" s="15">
        <v>11</v>
      </c>
      <c r="C515" s="16">
        <v>17</v>
      </c>
      <c r="D515" s="17" t="s">
        <v>1036</v>
      </c>
      <c r="E515" s="17" t="s">
        <v>1037</v>
      </c>
      <c r="F515" s="17">
        <v>102</v>
      </c>
      <c r="G515" s="17">
        <v>2480</v>
      </c>
      <c r="H515" s="17">
        <v>104</v>
      </c>
      <c r="I515" s="17">
        <v>2999</v>
      </c>
      <c r="J515" s="17">
        <v>113</v>
      </c>
      <c r="K515" s="17">
        <v>1110</v>
      </c>
      <c r="L515" s="17">
        <v>24</v>
      </c>
      <c r="M515" s="17">
        <v>12052</v>
      </c>
      <c r="N515" s="17"/>
      <c r="O515" s="17"/>
      <c r="P515" s="17">
        <v>80</v>
      </c>
      <c r="Q515" s="17">
        <v>2333</v>
      </c>
      <c r="R515" s="17">
        <v>74</v>
      </c>
      <c r="S515" s="17">
        <v>4119</v>
      </c>
      <c r="T515" s="17"/>
      <c r="U515" s="17"/>
      <c r="V515" s="17"/>
      <c r="W515" s="17"/>
      <c r="X515" s="15">
        <v>319</v>
      </c>
      <c r="Y515" s="17">
        <v>124</v>
      </c>
      <c r="Z515" s="17">
        <v>497</v>
      </c>
      <c r="AA515" s="17">
        <v>3380</v>
      </c>
      <c r="AB515" s="12">
        <v>345</v>
      </c>
    </row>
    <row r="516" ht="14.25" spans="1:28">
      <c r="A516" s="13">
        <v>514</v>
      </c>
      <c r="B516" s="15">
        <v>11</v>
      </c>
      <c r="C516" s="16">
        <v>18</v>
      </c>
      <c r="D516" s="19" t="s">
        <v>1038</v>
      </c>
      <c r="E516" s="17" t="s">
        <v>1039</v>
      </c>
      <c r="F516" s="17">
        <v>103.5</v>
      </c>
      <c r="G516" s="17">
        <v>1897</v>
      </c>
      <c r="H516" s="17">
        <v>128</v>
      </c>
      <c r="I516" s="17">
        <v>207</v>
      </c>
      <c r="J516" s="17">
        <v>118</v>
      </c>
      <c r="K516" s="17">
        <v>642</v>
      </c>
      <c r="L516" s="17">
        <v>63</v>
      </c>
      <c r="M516" s="17">
        <v>1702</v>
      </c>
      <c r="N516" s="17"/>
      <c r="O516" s="17"/>
      <c r="P516" s="17">
        <v>67</v>
      </c>
      <c r="Q516" s="17">
        <v>6384</v>
      </c>
      <c r="R516" s="17">
        <v>80</v>
      </c>
      <c r="S516" s="17">
        <v>2376</v>
      </c>
      <c r="T516" s="17"/>
      <c r="U516" s="17"/>
      <c r="V516" s="17"/>
      <c r="W516" s="17"/>
      <c r="X516" s="15">
        <v>349.5</v>
      </c>
      <c r="Y516" s="17">
        <v>12</v>
      </c>
      <c r="Z516" s="17">
        <v>559.5</v>
      </c>
      <c r="AA516" s="17">
        <v>1011</v>
      </c>
      <c r="AB516" s="12">
        <v>74</v>
      </c>
    </row>
    <row r="517" ht="14.25" spans="1:28">
      <c r="A517" s="13">
        <v>515</v>
      </c>
      <c r="B517" s="15">
        <v>11</v>
      </c>
      <c r="C517" s="16">
        <v>19</v>
      </c>
      <c r="D517" s="17" t="s">
        <v>1040</v>
      </c>
      <c r="E517" s="17" t="s">
        <v>1041</v>
      </c>
      <c r="F517" s="17">
        <v>107.5</v>
      </c>
      <c r="G517" s="17">
        <v>829</v>
      </c>
      <c r="H517" s="17">
        <v>115.5</v>
      </c>
      <c r="I517" s="17">
        <v>1149</v>
      </c>
      <c r="J517" s="17">
        <v>99.5</v>
      </c>
      <c r="K517" s="17">
        <v>3134</v>
      </c>
      <c r="L517" s="17">
        <v>41.5</v>
      </c>
      <c r="M517" s="17">
        <v>5867</v>
      </c>
      <c r="N517" s="17"/>
      <c r="O517" s="17"/>
      <c r="P517" s="17">
        <v>81</v>
      </c>
      <c r="Q517" s="17">
        <v>2079</v>
      </c>
      <c r="R517" s="17">
        <v>90</v>
      </c>
      <c r="S517" s="17">
        <v>255</v>
      </c>
      <c r="T517" s="17"/>
      <c r="U517" s="17"/>
      <c r="V517" s="17"/>
      <c r="W517" s="17"/>
      <c r="X517" s="15">
        <v>322.5</v>
      </c>
      <c r="Y517" s="17">
        <v>102</v>
      </c>
      <c r="Z517" s="17">
        <v>535</v>
      </c>
      <c r="AA517" s="17">
        <v>1780</v>
      </c>
      <c r="AB517" s="12">
        <v>152</v>
      </c>
    </row>
    <row r="518" ht="14.25" spans="1:28">
      <c r="A518" s="13">
        <v>516</v>
      </c>
      <c r="B518" s="15">
        <v>11</v>
      </c>
      <c r="C518" s="16">
        <v>20</v>
      </c>
      <c r="D518" s="17" t="s">
        <v>1042</v>
      </c>
      <c r="E518" s="17" t="s">
        <v>1043</v>
      </c>
      <c r="F518" s="17">
        <v>92.5</v>
      </c>
      <c r="G518" s="17">
        <v>7705</v>
      </c>
      <c r="H518" s="17">
        <v>121</v>
      </c>
      <c r="I518" s="17">
        <v>621</v>
      </c>
      <c r="J518" s="17">
        <v>113.5</v>
      </c>
      <c r="K518" s="17">
        <v>1049</v>
      </c>
      <c r="L518" s="17">
        <v>60</v>
      </c>
      <c r="M518" s="17">
        <v>2185</v>
      </c>
      <c r="N518" s="17"/>
      <c r="O518" s="17"/>
      <c r="P518" s="17">
        <v>81</v>
      </c>
      <c r="Q518" s="17">
        <v>2079</v>
      </c>
      <c r="R518" s="17">
        <v>82</v>
      </c>
      <c r="S518" s="17">
        <v>1915</v>
      </c>
      <c r="T518" s="17"/>
      <c r="U518" s="17"/>
      <c r="V518" s="17"/>
      <c r="W518" s="17"/>
      <c r="X518" s="15">
        <v>327</v>
      </c>
      <c r="Y518" s="17">
        <v>77</v>
      </c>
      <c r="Z518" s="17">
        <v>550</v>
      </c>
      <c r="AA518" s="17">
        <v>1284</v>
      </c>
      <c r="AB518" s="12">
        <v>97</v>
      </c>
    </row>
    <row r="519" ht="14.25" spans="1:28">
      <c r="A519" s="13">
        <v>517</v>
      </c>
      <c r="B519" s="15">
        <v>11</v>
      </c>
      <c r="C519" s="16">
        <v>21</v>
      </c>
      <c r="D519" s="17" t="s">
        <v>1044</v>
      </c>
      <c r="E519" s="17" t="s">
        <v>1045</v>
      </c>
      <c r="F519" s="17">
        <v>105</v>
      </c>
      <c r="G519" s="17">
        <v>1427</v>
      </c>
      <c r="H519" s="17">
        <v>98</v>
      </c>
      <c r="I519" s="17">
        <v>4147</v>
      </c>
      <c r="J519" s="17">
        <v>95</v>
      </c>
      <c r="K519" s="17">
        <v>4092</v>
      </c>
      <c r="L519" s="17">
        <v>50</v>
      </c>
      <c r="M519" s="17">
        <v>3933</v>
      </c>
      <c r="N519" s="17"/>
      <c r="O519" s="17"/>
      <c r="P519" s="17">
        <v>81</v>
      </c>
      <c r="Q519" s="17">
        <v>2079</v>
      </c>
      <c r="R519" s="17">
        <v>82</v>
      </c>
      <c r="S519" s="17">
        <v>1915</v>
      </c>
      <c r="T519" s="17"/>
      <c r="U519" s="17"/>
      <c r="V519" s="17"/>
      <c r="W519" s="17"/>
      <c r="X519" s="15">
        <v>298</v>
      </c>
      <c r="Y519" s="17">
        <v>293</v>
      </c>
      <c r="Z519" s="17">
        <v>511</v>
      </c>
      <c r="AA519" s="17">
        <v>2723</v>
      </c>
      <c r="AB519" s="12">
        <v>268</v>
      </c>
    </row>
    <row r="520" ht="14.25" spans="1:28">
      <c r="A520" s="13">
        <v>518</v>
      </c>
      <c r="B520" s="15">
        <v>11</v>
      </c>
      <c r="C520" s="16">
        <v>22</v>
      </c>
      <c r="D520" s="17" t="s">
        <v>1046</v>
      </c>
      <c r="E520" s="17" t="s">
        <v>1047</v>
      </c>
      <c r="F520" s="17">
        <v>94.5</v>
      </c>
      <c r="G520" s="17">
        <v>6496</v>
      </c>
      <c r="H520" s="17">
        <v>84</v>
      </c>
      <c r="I520" s="17">
        <v>7206</v>
      </c>
      <c r="J520" s="17">
        <v>99.5</v>
      </c>
      <c r="K520" s="17">
        <v>3134</v>
      </c>
      <c r="L520" s="17">
        <v>62.5</v>
      </c>
      <c r="M520" s="17">
        <v>1781</v>
      </c>
      <c r="N520" s="17"/>
      <c r="O520" s="17"/>
      <c r="P520" s="17">
        <v>83</v>
      </c>
      <c r="Q520" s="17">
        <v>1643</v>
      </c>
      <c r="R520" s="17">
        <v>85</v>
      </c>
      <c r="S520" s="17">
        <v>1393</v>
      </c>
      <c r="T520" s="17"/>
      <c r="U520" s="17"/>
      <c r="V520" s="17"/>
      <c r="W520" s="17"/>
      <c r="X520" s="15">
        <v>278</v>
      </c>
      <c r="Y520" s="17">
        <v>469</v>
      </c>
      <c r="Z520" s="17">
        <v>508.5</v>
      </c>
      <c r="AA520" s="17">
        <v>2836</v>
      </c>
      <c r="AB520" s="12">
        <v>279</v>
      </c>
    </row>
    <row r="521" ht="14.25" spans="1:28">
      <c r="A521" s="13">
        <v>519</v>
      </c>
      <c r="B521" s="15">
        <v>11</v>
      </c>
      <c r="C521" s="16">
        <v>24</v>
      </c>
      <c r="D521" s="17" t="s">
        <v>1048</v>
      </c>
      <c r="E521" s="17" t="s">
        <v>1049</v>
      </c>
      <c r="F521" s="17">
        <v>99.5</v>
      </c>
      <c r="G521" s="17">
        <v>3607</v>
      </c>
      <c r="H521" s="17">
        <v>108</v>
      </c>
      <c r="I521" s="17">
        <v>2274</v>
      </c>
      <c r="J521" s="17">
        <v>103</v>
      </c>
      <c r="K521" s="17">
        <v>2527</v>
      </c>
      <c r="L521" s="17">
        <v>51</v>
      </c>
      <c r="M521" s="17">
        <v>3730</v>
      </c>
      <c r="N521" s="17"/>
      <c r="O521" s="17"/>
      <c r="P521" s="17">
        <v>84</v>
      </c>
      <c r="Q521" s="17">
        <v>1443</v>
      </c>
      <c r="R521" s="17">
        <v>77</v>
      </c>
      <c r="S521" s="17">
        <v>3183</v>
      </c>
      <c r="T521" s="17"/>
      <c r="U521" s="17"/>
      <c r="V521" s="17"/>
      <c r="W521" s="17"/>
      <c r="X521" s="15">
        <v>310.5</v>
      </c>
      <c r="Y521" s="17">
        <v>187</v>
      </c>
      <c r="Z521" s="17">
        <v>522.5</v>
      </c>
      <c r="AA521" s="17">
        <v>2264</v>
      </c>
      <c r="AB521" s="12">
        <v>205</v>
      </c>
    </row>
    <row r="522" ht="14.25" spans="1:28">
      <c r="A522" s="13">
        <v>520</v>
      </c>
      <c r="B522" s="15">
        <v>11</v>
      </c>
      <c r="C522" s="16">
        <v>25</v>
      </c>
      <c r="D522" s="17" t="s">
        <v>1050</v>
      </c>
      <c r="E522" s="17" t="s">
        <v>1051</v>
      </c>
      <c r="F522" s="17">
        <v>99</v>
      </c>
      <c r="G522" s="17">
        <v>3868</v>
      </c>
      <c r="H522" s="17">
        <v>102.5</v>
      </c>
      <c r="I522" s="17">
        <v>3278</v>
      </c>
      <c r="J522" s="17">
        <v>101.25</v>
      </c>
      <c r="K522" s="17">
        <v>2839</v>
      </c>
      <c r="L522" s="17">
        <v>23</v>
      </c>
      <c r="M522" s="17">
        <v>12526</v>
      </c>
      <c r="N522" s="17"/>
      <c r="O522" s="17"/>
      <c r="P522" s="17">
        <v>68</v>
      </c>
      <c r="Q522" s="17">
        <v>6016</v>
      </c>
      <c r="R522" s="17">
        <v>72</v>
      </c>
      <c r="S522" s="17">
        <v>4793</v>
      </c>
      <c r="T522" s="17"/>
      <c r="U522" s="17"/>
      <c r="V522" s="17"/>
      <c r="W522" s="17"/>
      <c r="X522" s="15">
        <v>302.75</v>
      </c>
      <c r="Y522" s="17">
        <v>259</v>
      </c>
      <c r="Z522" s="17">
        <v>465.75</v>
      </c>
      <c r="AA522" s="17">
        <v>5115</v>
      </c>
      <c r="AB522" s="12">
        <v>483</v>
      </c>
    </row>
    <row r="523" ht="14.25" spans="1:28">
      <c r="A523" s="13">
        <v>521</v>
      </c>
      <c r="B523" s="15">
        <v>11</v>
      </c>
      <c r="C523" s="16">
        <v>26</v>
      </c>
      <c r="D523" s="17" t="s">
        <v>1052</v>
      </c>
      <c r="E523" s="17" t="s">
        <v>1053</v>
      </c>
      <c r="F523" s="17">
        <v>98.5</v>
      </c>
      <c r="G523" s="17">
        <v>4145</v>
      </c>
      <c r="H523" s="17">
        <v>96</v>
      </c>
      <c r="I523" s="17">
        <v>4544</v>
      </c>
      <c r="J523" s="17">
        <v>87.5</v>
      </c>
      <c r="K523" s="17">
        <v>5877</v>
      </c>
      <c r="L523" s="17">
        <v>31</v>
      </c>
      <c r="M523" s="17">
        <v>9078</v>
      </c>
      <c r="N523" s="17"/>
      <c r="O523" s="17"/>
      <c r="P523" s="17">
        <v>52</v>
      </c>
      <c r="Q523" s="17">
        <v>10512</v>
      </c>
      <c r="R523" s="17">
        <v>70</v>
      </c>
      <c r="S523" s="17">
        <v>5497</v>
      </c>
      <c r="T523" s="17"/>
      <c r="U523" s="17"/>
      <c r="V523" s="17"/>
      <c r="W523" s="17"/>
      <c r="X523" s="15">
        <v>282</v>
      </c>
      <c r="Y523" s="17">
        <v>432</v>
      </c>
      <c r="Z523" s="17">
        <v>435</v>
      </c>
      <c r="AA523" s="17">
        <v>7153</v>
      </c>
      <c r="AB523" s="12">
        <v>586</v>
      </c>
    </row>
    <row r="524" ht="14.25" spans="1:28">
      <c r="A524" s="13">
        <v>522</v>
      </c>
      <c r="B524" s="15">
        <v>11</v>
      </c>
      <c r="C524" s="16">
        <v>27</v>
      </c>
      <c r="D524" s="17" t="s">
        <v>1054</v>
      </c>
      <c r="E524" s="17" t="s">
        <v>1055</v>
      </c>
      <c r="F524" s="17">
        <v>116</v>
      </c>
      <c r="G524" s="17">
        <v>48</v>
      </c>
      <c r="H524" s="17">
        <v>101</v>
      </c>
      <c r="I524" s="17">
        <v>3563</v>
      </c>
      <c r="J524" s="17">
        <v>99.5</v>
      </c>
      <c r="K524" s="17">
        <v>3134</v>
      </c>
      <c r="L524" s="17">
        <v>35.5</v>
      </c>
      <c r="M524" s="17">
        <v>7589</v>
      </c>
      <c r="N524" s="17"/>
      <c r="O524" s="17"/>
      <c r="P524" s="17">
        <v>87</v>
      </c>
      <c r="Q524" s="17">
        <v>681</v>
      </c>
      <c r="R524" s="17">
        <v>86</v>
      </c>
      <c r="S524" s="17">
        <v>1176</v>
      </c>
      <c r="T524" s="17"/>
      <c r="U524" s="17"/>
      <c r="V524" s="17"/>
      <c r="W524" s="17"/>
      <c r="X524" s="15">
        <v>316.5</v>
      </c>
      <c r="Y524" s="17">
        <v>142</v>
      </c>
      <c r="Z524" s="17">
        <v>525</v>
      </c>
      <c r="AA524" s="17">
        <v>2137</v>
      </c>
      <c r="AB524" s="12">
        <v>186</v>
      </c>
    </row>
    <row r="525" ht="14.25" spans="1:28">
      <c r="A525" s="13">
        <v>523</v>
      </c>
      <c r="B525" s="15">
        <v>11</v>
      </c>
      <c r="C525" s="16">
        <v>28</v>
      </c>
      <c r="D525" s="17" t="s">
        <v>1056</v>
      </c>
      <c r="E525" s="17" t="s">
        <v>1057</v>
      </c>
      <c r="F525" s="17">
        <v>99</v>
      </c>
      <c r="G525" s="17">
        <v>3868</v>
      </c>
      <c r="H525" s="17">
        <v>86.5</v>
      </c>
      <c r="I525" s="17">
        <v>6657</v>
      </c>
      <c r="J525" s="17">
        <v>106.25</v>
      </c>
      <c r="K525" s="17">
        <v>1993</v>
      </c>
      <c r="L525" s="17">
        <v>51.5</v>
      </c>
      <c r="M525" s="17">
        <v>3642</v>
      </c>
      <c r="N525" s="17"/>
      <c r="O525" s="17"/>
      <c r="P525" s="17">
        <v>65</v>
      </c>
      <c r="Q525" s="17">
        <v>7113</v>
      </c>
      <c r="R525" s="17">
        <v>62</v>
      </c>
      <c r="S525" s="17">
        <v>8006</v>
      </c>
      <c r="T525" s="17"/>
      <c r="U525" s="17"/>
      <c r="V525" s="17"/>
      <c r="W525" s="17"/>
      <c r="X525" s="15">
        <v>291.75</v>
      </c>
      <c r="Y525" s="17">
        <v>355</v>
      </c>
      <c r="Z525" s="17">
        <v>470.25</v>
      </c>
      <c r="AA525" s="17">
        <v>4826</v>
      </c>
      <c r="AB525" s="12">
        <v>459</v>
      </c>
    </row>
    <row r="526" ht="14.25" spans="1:28">
      <c r="A526" s="13">
        <v>524</v>
      </c>
      <c r="B526" s="15">
        <v>11</v>
      </c>
      <c r="C526" s="16">
        <v>29</v>
      </c>
      <c r="D526" s="17" t="s">
        <v>1058</v>
      </c>
      <c r="E526" s="17" t="s">
        <v>1059</v>
      </c>
      <c r="F526" s="17">
        <v>103</v>
      </c>
      <c r="G526" s="17">
        <v>2094</v>
      </c>
      <c r="H526" s="17">
        <v>102.5</v>
      </c>
      <c r="I526" s="17">
        <v>3278</v>
      </c>
      <c r="J526" s="17">
        <v>100.75</v>
      </c>
      <c r="K526" s="17">
        <v>2915</v>
      </c>
      <c r="L526" s="17">
        <v>57.5</v>
      </c>
      <c r="M526" s="17">
        <v>2619</v>
      </c>
      <c r="N526" s="17"/>
      <c r="O526" s="17"/>
      <c r="P526" s="17">
        <v>73</v>
      </c>
      <c r="Q526" s="17">
        <v>4501</v>
      </c>
      <c r="R526" s="17">
        <v>77</v>
      </c>
      <c r="S526" s="17">
        <v>3183</v>
      </c>
      <c r="T526" s="17"/>
      <c r="U526" s="17"/>
      <c r="V526" s="17"/>
      <c r="W526" s="17"/>
      <c r="X526" s="15">
        <v>306.25</v>
      </c>
      <c r="Y526" s="17">
        <v>225</v>
      </c>
      <c r="Z526" s="17">
        <v>513.75</v>
      </c>
      <c r="AA526" s="17">
        <v>2604</v>
      </c>
      <c r="AB526" s="12">
        <v>251</v>
      </c>
    </row>
    <row r="527" ht="14.25" spans="1:28">
      <c r="A527" s="13">
        <v>525</v>
      </c>
      <c r="B527" s="15">
        <v>11</v>
      </c>
      <c r="C527" s="16">
        <v>30</v>
      </c>
      <c r="D527" s="17" t="s">
        <v>1060</v>
      </c>
      <c r="E527" s="17" t="s">
        <v>1061</v>
      </c>
      <c r="F527" s="17">
        <v>95.5</v>
      </c>
      <c r="G527" s="17">
        <v>5877</v>
      </c>
      <c r="H527" s="17">
        <v>93.5</v>
      </c>
      <c r="I527" s="17">
        <v>5060</v>
      </c>
      <c r="J527" s="17">
        <v>110.25</v>
      </c>
      <c r="K527" s="17">
        <v>1435</v>
      </c>
      <c r="L527" s="17">
        <v>55.5</v>
      </c>
      <c r="M527" s="17">
        <v>2964</v>
      </c>
      <c r="N527" s="17"/>
      <c r="O527" s="17"/>
      <c r="P527" s="17">
        <v>80</v>
      </c>
      <c r="Q527" s="17">
        <v>2333</v>
      </c>
      <c r="R527" s="17">
        <v>71</v>
      </c>
      <c r="S527" s="17">
        <v>5151</v>
      </c>
      <c r="T527" s="17"/>
      <c r="U527" s="17"/>
      <c r="V527" s="17"/>
      <c r="W527" s="17"/>
      <c r="X527" s="15">
        <v>299.25</v>
      </c>
      <c r="Y527" s="17">
        <v>281</v>
      </c>
      <c r="Z527" s="17">
        <v>505.75</v>
      </c>
      <c r="AA527" s="17">
        <v>2981</v>
      </c>
      <c r="AB527" s="12">
        <v>297</v>
      </c>
    </row>
    <row r="528" ht="14.25" spans="1:28">
      <c r="A528" s="13">
        <v>526</v>
      </c>
      <c r="B528" s="15">
        <v>11</v>
      </c>
      <c r="C528" s="16">
        <v>31</v>
      </c>
      <c r="D528" s="17" t="s">
        <v>1062</v>
      </c>
      <c r="E528" s="17" t="s">
        <v>630</v>
      </c>
      <c r="F528" s="17">
        <v>88.5</v>
      </c>
      <c r="G528" s="17">
        <v>10291</v>
      </c>
      <c r="H528" s="17">
        <v>101</v>
      </c>
      <c r="I528" s="17">
        <v>3563</v>
      </c>
      <c r="J528" s="17">
        <v>54.5</v>
      </c>
      <c r="K528" s="17">
        <v>13373</v>
      </c>
      <c r="L528" s="17">
        <v>57</v>
      </c>
      <c r="M528" s="17">
        <v>2714</v>
      </c>
      <c r="N528" s="17"/>
      <c r="O528" s="17"/>
      <c r="P528" s="17">
        <v>82</v>
      </c>
      <c r="Q528" s="17">
        <v>1870</v>
      </c>
      <c r="R528" s="17">
        <v>79</v>
      </c>
      <c r="S528" s="17">
        <v>2629</v>
      </c>
      <c r="T528" s="17"/>
      <c r="U528" s="17"/>
      <c r="V528" s="17"/>
      <c r="W528" s="17"/>
      <c r="X528" s="15">
        <v>244</v>
      </c>
      <c r="Y528" s="17">
        <v>620</v>
      </c>
      <c r="Z528" s="17">
        <v>462</v>
      </c>
      <c r="AA528" s="17">
        <v>5355</v>
      </c>
      <c r="AB528" s="12">
        <v>500</v>
      </c>
    </row>
    <row r="529" ht="14.25" spans="1:28">
      <c r="A529" s="13">
        <v>527</v>
      </c>
      <c r="B529" s="15">
        <v>11</v>
      </c>
      <c r="C529" s="16">
        <v>32</v>
      </c>
      <c r="D529" s="17" t="s">
        <v>1063</v>
      </c>
      <c r="E529" s="17" t="s">
        <v>1064</v>
      </c>
      <c r="F529" s="17">
        <v>97</v>
      </c>
      <c r="G529" s="17">
        <v>4967</v>
      </c>
      <c r="H529" s="17">
        <v>122</v>
      </c>
      <c r="I529" s="17">
        <v>549</v>
      </c>
      <c r="J529" s="17">
        <v>99</v>
      </c>
      <c r="K529" s="17">
        <v>3244</v>
      </c>
      <c r="L529" s="17">
        <v>47</v>
      </c>
      <c r="M529" s="17">
        <v>4568</v>
      </c>
      <c r="N529" s="17"/>
      <c r="O529" s="17"/>
      <c r="P529" s="17">
        <v>75</v>
      </c>
      <c r="Q529" s="17">
        <v>3841</v>
      </c>
      <c r="R529" s="17">
        <v>80</v>
      </c>
      <c r="S529" s="17">
        <v>2376</v>
      </c>
      <c r="T529" s="17"/>
      <c r="U529" s="17"/>
      <c r="V529" s="17"/>
      <c r="W529" s="17"/>
      <c r="X529" s="15">
        <v>318</v>
      </c>
      <c r="Y529" s="17">
        <v>130</v>
      </c>
      <c r="Z529" s="17">
        <v>520</v>
      </c>
      <c r="AA529" s="17">
        <v>2348</v>
      </c>
      <c r="AB529" s="12">
        <v>218</v>
      </c>
    </row>
    <row r="530" ht="14.25" spans="1:28">
      <c r="A530" s="13">
        <v>528</v>
      </c>
      <c r="B530" s="15">
        <v>11</v>
      </c>
      <c r="C530" s="16">
        <v>33</v>
      </c>
      <c r="D530" s="17" t="s">
        <v>1065</v>
      </c>
      <c r="E530" s="17" t="s">
        <v>1066</v>
      </c>
      <c r="F530" s="17">
        <v>95</v>
      </c>
      <c r="G530" s="17">
        <v>6168</v>
      </c>
      <c r="H530" s="17">
        <v>117</v>
      </c>
      <c r="I530" s="17">
        <v>975</v>
      </c>
      <c r="J530" s="17">
        <v>93</v>
      </c>
      <c r="K530" s="17">
        <v>4548</v>
      </c>
      <c r="L530" s="17">
        <v>49.5</v>
      </c>
      <c r="M530" s="17">
        <v>4044</v>
      </c>
      <c r="N530" s="17"/>
      <c r="O530" s="17"/>
      <c r="P530" s="17">
        <v>83</v>
      </c>
      <c r="Q530" s="17">
        <v>1643</v>
      </c>
      <c r="R530" s="17">
        <v>83</v>
      </c>
      <c r="S530" s="17">
        <v>1715</v>
      </c>
      <c r="T530" s="17"/>
      <c r="U530" s="17"/>
      <c r="V530" s="17"/>
      <c r="W530" s="17"/>
      <c r="X530" s="15">
        <v>305</v>
      </c>
      <c r="Y530" s="17">
        <v>236</v>
      </c>
      <c r="Z530" s="17">
        <v>520.5</v>
      </c>
      <c r="AA530" s="17">
        <v>2332</v>
      </c>
      <c r="AB530" s="12">
        <v>214</v>
      </c>
    </row>
    <row r="531" ht="14.25" spans="1:28">
      <c r="A531" s="13">
        <v>529</v>
      </c>
      <c r="B531" s="15">
        <v>11</v>
      </c>
      <c r="C531" s="16">
        <v>34</v>
      </c>
      <c r="D531" s="17" t="s">
        <v>1067</v>
      </c>
      <c r="E531" s="17" t="s">
        <v>1068</v>
      </c>
      <c r="F531" s="17">
        <v>91</v>
      </c>
      <c r="G531" s="17">
        <v>8620</v>
      </c>
      <c r="H531" s="17">
        <v>91</v>
      </c>
      <c r="I531" s="17">
        <v>5638</v>
      </c>
      <c r="J531" s="17">
        <v>84</v>
      </c>
      <c r="K531" s="17">
        <v>6761</v>
      </c>
      <c r="L531" s="17">
        <v>42.5</v>
      </c>
      <c r="M531" s="17">
        <v>5605</v>
      </c>
      <c r="N531" s="17"/>
      <c r="O531" s="17"/>
      <c r="P531" s="17">
        <v>77</v>
      </c>
      <c r="Q531" s="17">
        <v>3207</v>
      </c>
      <c r="R531" s="17">
        <v>77</v>
      </c>
      <c r="S531" s="17">
        <v>3183</v>
      </c>
      <c r="T531" s="17"/>
      <c r="U531" s="17"/>
      <c r="V531" s="17"/>
      <c r="W531" s="17"/>
      <c r="X531" s="15">
        <v>266</v>
      </c>
      <c r="Y531" s="17">
        <v>549</v>
      </c>
      <c r="Z531" s="17">
        <v>462.5</v>
      </c>
      <c r="AA531" s="17">
        <v>5320</v>
      </c>
      <c r="AB531" s="12">
        <v>499</v>
      </c>
    </row>
    <row r="532" ht="14.25" spans="1:28">
      <c r="A532" s="13">
        <v>530</v>
      </c>
      <c r="B532" s="15">
        <v>11</v>
      </c>
      <c r="C532" s="16">
        <v>36</v>
      </c>
      <c r="D532" s="17" t="s">
        <v>1069</v>
      </c>
      <c r="E532" s="17" t="s">
        <v>1070</v>
      </c>
      <c r="F532" s="17">
        <v>91</v>
      </c>
      <c r="G532" s="17">
        <v>8620</v>
      </c>
      <c r="H532" s="17">
        <v>113.5</v>
      </c>
      <c r="I532" s="17">
        <v>1397</v>
      </c>
      <c r="J532" s="17">
        <v>95.25</v>
      </c>
      <c r="K532" s="17">
        <v>4060</v>
      </c>
      <c r="L532" s="17">
        <v>64</v>
      </c>
      <c r="M532" s="17">
        <v>1577</v>
      </c>
      <c r="N532" s="17"/>
      <c r="O532" s="17"/>
      <c r="P532" s="17">
        <v>87</v>
      </c>
      <c r="Q532" s="17">
        <v>681</v>
      </c>
      <c r="R532" s="17">
        <v>80</v>
      </c>
      <c r="S532" s="17">
        <v>2376</v>
      </c>
      <c r="T532" s="17"/>
      <c r="U532" s="17"/>
      <c r="V532" s="17"/>
      <c r="W532" s="17"/>
      <c r="X532" s="15">
        <v>299.75</v>
      </c>
      <c r="Y532" s="17">
        <v>279</v>
      </c>
      <c r="Z532" s="17">
        <v>530.75</v>
      </c>
      <c r="AA532" s="17">
        <v>1925</v>
      </c>
      <c r="AB532" s="12">
        <v>168</v>
      </c>
    </row>
    <row r="533" ht="14.25" spans="1:28">
      <c r="A533" s="13">
        <v>531</v>
      </c>
      <c r="B533" s="15">
        <v>11</v>
      </c>
      <c r="C533" s="16">
        <v>37</v>
      </c>
      <c r="D533" s="17" t="s">
        <v>1071</v>
      </c>
      <c r="E533" s="17" t="s">
        <v>1072</v>
      </c>
      <c r="F533" s="17">
        <v>95.5</v>
      </c>
      <c r="G533" s="17">
        <v>5877</v>
      </c>
      <c r="H533" s="17">
        <v>109</v>
      </c>
      <c r="I533" s="17">
        <v>2105</v>
      </c>
      <c r="J533" s="17">
        <v>117.5</v>
      </c>
      <c r="K533" s="17">
        <v>682</v>
      </c>
      <c r="L533" s="17">
        <v>60</v>
      </c>
      <c r="M533" s="17">
        <v>2185</v>
      </c>
      <c r="N533" s="17"/>
      <c r="O533" s="17"/>
      <c r="P533" s="17">
        <v>82</v>
      </c>
      <c r="Q533" s="17">
        <v>1870</v>
      </c>
      <c r="R533" s="17">
        <v>88</v>
      </c>
      <c r="S533" s="17">
        <v>601</v>
      </c>
      <c r="T533" s="17"/>
      <c r="U533" s="17"/>
      <c r="V533" s="17"/>
      <c r="W533" s="17"/>
      <c r="X533" s="15">
        <v>322</v>
      </c>
      <c r="Y533" s="17">
        <v>104</v>
      </c>
      <c r="Z533" s="17">
        <v>552</v>
      </c>
      <c r="AA533" s="17">
        <v>1226</v>
      </c>
      <c r="AB533" s="12">
        <v>95</v>
      </c>
    </row>
    <row r="534" ht="14.25" spans="1:28">
      <c r="A534" s="13">
        <v>532</v>
      </c>
      <c r="B534" s="15">
        <v>11</v>
      </c>
      <c r="C534" s="16">
        <v>38</v>
      </c>
      <c r="D534" s="17" t="s">
        <v>1073</v>
      </c>
      <c r="E534" s="17" t="s">
        <v>1074</v>
      </c>
      <c r="F534" s="17">
        <v>105</v>
      </c>
      <c r="G534" s="17">
        <v>1427</v>
      </c>
      <c r="H534" s="17">
        <v>111</v>
      </c>
      <c r="I534" s="17">
        <v>1774</v>
      </c>
      <c r="J534" s="17">
        <v>98.25</v>
      </c>
      <c r="K534" s="17">
        <v>3423</v>
      </c>
      <c r="L534" s="17">
        <v>59.5</v>
      </c>
      <c r="M534" s="17">
        <v>2274</v>
      </c>
      <c r="N534" s="17"/>
      <c r="O534" s="17"/>
      <c r="P534" s="17">
        <v>86</v>
      </c>
      <c r="Q534" s="17">
        <v>1052</v>
      </c>
      <c r="R534" s="17">
        <v>83</v>
      </c>
      <c r="S534" s="17">
        <v>1715</v>
      </c>
      <c r="T534" s="17"/>
      <c r="U534" s="17"/>
      <c r="V534" s="17"/>
      <c r="W534" s="17"/>
      <c r="X534" s="15">
        <v>314.25</v>
      </c>
      <c r="Y534" s="17">
        <v>154</v>
      </c>
      <c r="Z534" s="17">
        <v>542.75</v>
      </c>
      <c r="AA534" s="17">
        <v>1520</v>
      </c>
      <c r="AB534" s="12">
        <v>121</v>
      </c>
    </row>
    <row r="535" ht="14.25" spans="1:28">
      <c r="A535" s="13">
        <v>533</v>
      </c>
      <c r="B535" s="15">
        <v>11</v>
      </c>
      <c r="C535" s="16">
        <v>39</v>
      </c>
      <c r="D535" s="17" t="s">
        <v>1075</v>
      </c>
      <c r="E535" s="17" t="s">
        <v>1076</v>
      </c>
      <c r="F535" s="17">
        <v>101</v>
      </c>
      <c r="G535" s="17">
        <v>2896</v>
      </c>
      <c r="H535" s="17">
        <v>53</v>
      </c>
      <c r="I535" s="17">
        <v>12991</v>
      </c>
      <c r="J535" s="17">
        <v>76.75</v>
      </c>
      <c r="K535" s="17">
        <v>8663</v>
      </c>
      <c r="L535" s="17">
        <v>41</v>
      </c>
      <c r="M535" s="17">
        <v>5993</v>
      </c>
      <c r="N535" s="17"/>
      <c r="O535" s="17"/>
      <c r="P535" s="17">
        <v>70</v>
      </c>
      <c r="Q535" s="17">
        <v>5445</v>
      </c>
      <c r="R535" s="17">
        <v>88</v>
      </c>
      <c r="S535" s="17">
        <v>601</v>
      </c>
      <c r="T535" s="17"/>
      <c r="U535" s="17"/>
      <c r="V535" s="17"/>
      <c r="W535" s="17"/>
      <c r="X535" s="15">
        <v>230.75</v>
      </c>
      <c r="Y535" s="17">
        <v>646</v>
      </c>
      <c r="Z535" s="17">
        <v>429.75</v>
      </c>
      <c r="AA535" s="17">
        <v>7516</v>
      </c>
      <c r="AB535" s="12">
        <v>602</v>
      </c>
    </row>
    <row r="536" ht="14.25" spans="1:28">
      <c r="A536" s="13">
        <v>534</v>
      </c>
      <c r="B536" s="15">
        <v>11</v>
      </c>
      <c r="C536" s="16">
        <v>40</v>
      </c>
      <c r="D536" s="17" t="s">
        <v>1077</v>
      </c>
      <c r="E536" s="17" t="s">
        <v>1078</v>
      </c>
      <c r="F536" s="17">
        <v>97.5</v>
      </c>
      <c r="G536" s="17">
        <v>4695</v>
      </c>
      <c r="H536" s="17">
        <v>113</v>
      </c>
      <c r="I536" s="17">
        <v>1467</v>
      </c>
      <c r="J536" s="17">
        <v>96.5</v>
      </c>
      <c r="K536" s="17">
        <v>3746</v>
      </c>
      <c r="L536" s="17">
        <v>71.5</v>
      </c>
      <c r="M536" s="17">
        <v>714</v>
      </c>
      <c r="N536" s="17"/>
      <c r="O536" s="17"/>
      <c r="P536" s="17">
        <v>80</v>
      </c>
      <c r="Q536" s="17">
        <v>2333</v>
      </c>
      <c r="R536" s="17">
        <v>66</v>
      </c>
      <c r="S536" s="17">
        <v>6674</v>
      </c>
      <c r="T536" s="17"/>
      <c r="U536" s="17"/>
      <c r="V536" s="17"/>
      <c r="W536" s="17"/>
      <c r="X536" s="15">
        <v>307</v>
      </c>
      <c r="Y536" s="17">
        <v>221</v>
      </c>
      <c r="Z536" s="17">
        <v>524.5</v>
      </c>
      <c r="AA536" s="17">
        <v>2164</v>
      </c>
      <c r="AB536" s="12">
        <v>192</v>
      </c>
    </row>
    <row r="537" ht="14.25" spans="1:28">
      <c r="A537" s="13">
        <v>535</v>
      </c>
      <c r="B537" s="15">
        <v>11</v>
      </c>
      <c r="C537" s="16">
        <v>41</v>
      </c>
      <c r="D537" s="17" t="s">
        <v>1079</v>
      </c>
      <c r="E537" s="17" t="s">
        <v>1080</v>
      </c>
      <c r="F537" s="17">
        <v>101</v>
      </c>
      <c r="G537" s="17">
        <v>2896</v>
      </c>
      <c r="H537" s="17">
        <v>91</v>
      </c>
      <c r="I537" s="17">
        <v>5638</v>
      </c>
      <c r="J537" s="17">
        <v>88.5</v>
      </c>
      <c r="K537" s="17">
        <v>5628</v>
      </c>
      <c r="L537" s="17">
        <v>44</v>
      </c>
      <c r="M537" s="17">
        <v>5222</v>
      </c>
      <c r="N537" s="17"/>
      <c r="O537" s="17"/>
      <c r="P537" s="17">
        <v>64</v>
      </c>
      <c r="Q537" s="17">
        <v>7304</v>
      </c>
      <c r="R537" s="17">
        <v>71</v>
      </c>
      <c r="S537" s="17">
        <v>5151</v>
      </c>
      <c r="T537" s="17"/>
      <c r="U537" s="17"/>
      <c r="V537" s="17"/>
      <c r="W537" s="17"/>
      <c r="X537" s="15">
        <v>280.5</v>
      </c>
      <c r="Y537" s="17">
        <v>443</v>
      </c>
      <c r="Z537" s="17">
        <v>459.5</v>
      </c>
      <c r="AA537" s="17">
        <v>5507</v>
      </c>
      <c r="AB537" s="12">
        <v>509</v>
      </c>
    </row>
    <row r="538" ht="14.25" spans="1:28">
      <c r="A538" s="13">
        <v>536</v>
      </c>
      <c r="B538" s="15">
        <v>11</v>
      </c>
      <c r="C538" s="16">
        <v>42</v>
      </c>
      <c r="D538" s="17" t="s">
        <v>1081</v>
      </c>
      <c r="E538" s="17" t="s">
        <v>1082</v>
      </c>
      <c r="F538" s="17">
        <v>94.5</v>
      </c>
      <c r="G538" s="17">
        <v>6496</v>
      </c>
      <c r="H538" s="17">
        <v>100.5</v>
      </c>
      <c r="I538" s="17">
        <v>3650</v>
      </c>
      <c r="J538" s="17">
        <v>37.75</v>
      </c>
      <c r="K538" s="17">
        <v>15283</v>
      </c>
      <c r="L538" s="17">
        <v>54.5</v>
      </c>
      <c r="M538" s="17">
        <v>3126</v>
      </c>
      <c r="N538" s="17"/>
      <c r="O538" s="17"/>
      <c r="P538" s="17">
        <v>61</v>
      </c>
      <c r="Q538" s="17">
        <v>8358</v>
      </c>
      <c r="R538" s="17">
        <v>78</v>
      </c>
      <c r="S538" s="17">
        <v>2906</v>
      </c>
      <c r="T538" s="17"/>
      <c r="U538" s="17"/>
      <c r="V538" s="17"/>
      <c r="W538" s="17"/>
      <c r="X538" s="15">
        <v>232.75</v>
      </c>
      <c r="Y538" s="17">
        <v>641</v>
      </c>
      <c r="Z538" s="17">
        <v>426.25</v>
      </c>
      <c r="AA538" s="17">
        <v>7778</v>
      </c>
      <c r="AB538" s="12">
        <v>611</v>
      </c>
    </row>
    <row r="539" ht="14.25" spans="1:28">
      <c r="A539" s="13">
        <v>537</v>
      </c>
      <c r="B539" s="15">
        <v>11</v>
      </c>
      <c r="C539" s="16">
        <v>43</v>
      </c>
      <c r="D539" s="17" t="s">
        <v>1083</v>
      </c>
      <c r="E539" s="17" t="s">
        <v>1084</v>
      </c>
      <c r="F539" s="17">
        <v>86.75</v>
      </c>
      <c r="G539" s="17">
        <v>11488</v>
      </c>
      <c r="H539" s="17">
        <v>105.5</v>
      </c>
      <c r="I539" s="17">
        <v>2718</v>
      </c>
      <c r="J539" s="17">
        <v>72.5</v>
      </c>
      <c r="K539" s="17">
        <v>9729</v>
      </c>
      <c r="L539" s="17">
        <v>38.5</v>
      </c>
      <c r="M539" s="17">
        <v>6692</v>
      </c>
      <c r="N539" s="17"/>
      <c r="O539" s="17"/>
      <c r="P539" s="17">
        <v>76</v>
      </c>
      <c r="Q539" s="17">
        <v>3515</v>
      </c>
      <c r="R539" s="17">
        <v>62</v>
      </c>
      <c r="S539" s="17">
        <v>8006</v>
      </c>
      <c r="T539" s="17"/>
      <c r="U539" s="17"/>
      <c r="V539" s="17"/>
      <c r="W539" s="17"/>
      <c r="X539" s="15">
        <v>264.75</v>
      </c>
      <c r="Y539" s="17">
        <v>557</v>
      </c>
      <c r="Z539" s="17">
        <v>441.25</v>
      </c>
      <c r="AA539" s="17">
        <v>6734</v>
      </c>
      <c r="AB539" s="12">
        <v>567</v>
      </c>
    </row>
    <row r="540" ht="14.25" spans="1:28">
      <c r="A540" s="13">
        <v>538</v>
      </c>
      <c r="B540" s="15">
        <v>11</v>
      </c>
      <c r="C540" s="16">
        <v>44</v>
      </c>
      <c r="D540" s="17" t="s">
        <v>1085</v>
      </c>
      <c r="E540" s="17" t="s">
        <v>1029</v>
      </c>
      <c r="F540" s="17">
        <v>105</v>
      </c>
      <c r="G540" s="17">
        <v>1427</v>
      </c>
      <c r="H540" s="17">
        <v>97</v>
      </c>
      <c r="I540" s="17">
        <v>4348</v>
      </c>
      <c r="J540" s="17">
        <v>105.5</v>
      </c>
      <c r="K540" s="17">
        <v>2098</v>
      </c>
      <c r="L540" s="17">
        <v>23</v>
      </c>
      <c r="M540" s="17">
        <v>12526</v>
      </c>
      <c r="N540" s="17"/>
      <c r="O540" s="17"/>
      <c r="P540" s="17">
        <v>86</v>
      </c>
      <c r="Q540" s="17">
        <v>1052</v>
      </c>
      <c r="R540" s="17">
        <v>80</v>
      </c>
      <c r="S540" s="17">
        <v>2376</v>
      </c>
      <c r="T540" s="17"/>
      <c r="U540" s="17"/>
      <c r="V540" s="17"/>
      <c r="W540" s="17"/>
      <c r="X540" s="15">
        <v>307.5</v>
      </c>
      <c r="Y540" s="17">
        <v>214</v>
      </c>
      <c r="Z540" s="17">
        <v>496.5</v>
      </c>
      <c r="AA540" s="17">
        <v>3420</v>
      </c>
      <c r="AB540" s="12">
        <v>350</v>
      </c>
    </row>
    <row r="541" ht="14.25" spans="1:28">
      <c r="A541" s="13">
        <v>539</v>
      </c>
      <c r="B541" s="15">
        <v>11</v>
      </c>
      <c r="C541" s="16">
        <v>45</v>
      </c>
      <c r="D541" s="17" t="s">
        <v>1086</v>
      </c>
      <c r="E541" s="17" t="s">
        <v>1087</v>
      </c>
      <c r="F541" s="17">
        <v>87</v>
      </c>
      <c r="G541" s="17">
        <v>11216</v>
      </c>
      <c r="H541" s="17">
        <v>102</v>
      </c>
      <c r="I541" s="17">
        <v>3381</v>
      </c>
      <c r="J541" s="17">
        <v>105.25</v>
      </c>
      <c r="K541" s="17">
        <v>2156</v>
      </c>
      <c r="L541" s="17">
        <v>47</v>
      </c>
      <c r="M541" s="17">
        <v>4568</v>
      </c>
      <c r="N541" s="17"/>
      <c r="O541" s="17"/>
      <c r="P541" s="17">
        <v>79</v>
      </c>
      <c r="Q541" s="17">
        <v>2632</v>
      </c>
      <c r="R541" s="17">
        <v>80</v>
      </c>
      <c r="S541" s="17">
        <v>2376</v>
      </c>
      <c r="T541" s="17"/>
      <c r="U541" s="17"/>
      <c r="V541" s="17"/>
      <c r="W541" s="17"/>
      <c r="X541" s="15">
        <v>294.25</v>
      </c>
      <c r="Y541" s="17">
        <v>324</v>
      </c>
      <c r="Z541" s="17">
        <v>500.25</v>
      </c>
      <c r="AA541" s="17">
        <v>3240</v>
      </c>
      <c r="AB541" s="12">
        <v>324</v>
      </c>
    </row>
    <row r="542" ht="14.25" spans="1:28">
      <c r="A542" s="13">
        <v>540</v>
      </c>
      <c r="B542" s="15">
        <v>11</v>
      </c>
      <c r="C542" s="16">
        <v>46</v>
      </c>
      <c r="D542" s="17" t="s">
        <v>1088</v>
      </c>
      <c r="E542" s="17" t="s">
        <v>1089</v>
      </c>
      <c r="F542" s="17">
        <v>107</v>
      </c>
      <c r="G542" s="17">
        <v>945</v>
      </c>
      <c r="H542" s="17">
        <v>86.5</v>
      </c>
      <c r="I542" s="17">
        <v>6657</v>
      </c>
      <c r="J542" s="17">
        <v>92.5</v>
      </c>
      <c r="K542" s="17">
        <v>4660</v>
      </c>
      <c r="L542" s="17">
        <v>50.5</v>
      </c>
      <c r="M542" s="17">
        <v>3830</v>
      </c>
      <c r="N542" s="17"/>
      <c r="O542" s="17"/>
      <c r="P542" s="17">
        <v>78</v>
      </c>
      <c r="Q542" s="17">
        <v>2908</v>
      </c>
      <c r="R542" s="17">
        <v>85</v>
      </c>
      <c r="S542" s="17">
        <v>1393</v>
      </c>
      <c r="T542" s="17"/>
      <c r="U542" s="17"/>
      <c r="V542" s="17"/>
      <c r="W542" s="17"/>
      <c r="X542" s="15">
        <v>286</v>
      </c>
      <c r="Y542" s="17">
        <v>392</v>
      </c>
      <c r="Z542" s="17">
        <v>499.5</v>
      </c>
      <c r="AA542" s="17">
        <v>3259</v>
      </c>
      <c r="AB542" s="12">
        <v>328</v>
      </c>
    </row>
    <row r="543" ht="14.25" spans="1:28">
      <c r="A543" s="13">
        <v>541</v>
      </c>
      <c r="B543" s="15">
        <v>11</v>
      </c>
      <c r="C543" s="16">
        <v>47</v>
      </c>
      <c r="D543" s="17" t="s">
        <v>1090</v>
      </c>
      <c r="E543" s="17" t="s">
        <v>1091</v>
      </c>
      <c r="F543" s="17">
        <v>94</v>
      </c>
      <c r="G543" s="17">
        <v>6811</v>
      </c>
      <c r="H543" s="17">
        <v>102</v>
      </c>
      <c r="I543" s="17">
        <v>3381</v>
      </c>
      <c r="J543" s="17">
        <v>101.25</v>
      </c>
      <c r="K543" s="17">
        <v>2839</v>
      </c>
      <c r="L543" s="17">
        <v>61</v>
      </c>
      <c r="M543" s="17">
        <v>2008</v>
      </c>
      <c r="N543" s="17"/>
      <c r="O543" s="17"/>
      <c r="P543" s="17">
        <v>82</v>
      </c>
      <c r="Q543" s="17">
        <v>1870</v>
      </c>
      <c r="R543" s="17">
        <v>81</v>
      </c>
      <c r="S543" s="17">
        <v>2139</v>
      </c>
      <c r="T543" s="17"/>
      <c r="U543" s="17"/>
      <c r="V543" s="17"/>
      <c r="W543" s="17"/>
      <c r="X543" s="15">
        <v>297.25</v>
      </c>
      <c r="Y543" s="17">
        <v>301</v>
      </c>
      <c r="Z543" s="17">
        <v>521.25</v>
      </c>
      <c r="AA543" s="17">
        <v>2313</v>
      </c>
      <c r="AB543" s="12">
        <v>211</v>
      </c>
    </row>
    <row r="544" ht="14.25" spans="1:28">
      <c r="A544" s="13">
        <v>542</v>
      </c>
      <c r="B544" s="15">
        <v>11</v>
      </c>
      <c r="C544" s="16">
        <v>48</v>
      </c>
      <c r="D544" s="17" t="s">
        <v>1092</v>
      </c>
      <c r="E544" s="17" t="s">
        <v>1093</v>
      </c>
      <c r="F544" s="17">
        <v>109</v>
      </c>
      <c r="G544" s="17">
        <v>567</v>
      </c>
      <c r="H544" s="17">
        <v>85</v>
      </c>
      <c r="I544" s="17">
        <v>6959</v>
      </c>
      <c r="J544" s="17">
        <v>47.5</v>
      </c>
      <c r="K544" s="17">
        <v>14303</v>
      </c>
      <c r="L544" s="17">
        <v>49.5</v>
      </c>
      <c r="M544" s="17">
        <v>4044</v>
      </c>
      <c r="N544" s="17"/>
      <c r="O544" s="17"/>
      <c r="P544" s="17">
        <v>65</v>
      </c>
      <c r="Q544" s="17">
        <v>7113</v>
      </c>
      <c r="R544" s="17">
        <v>66</v>
      </c>
      <c r="S544" s="17">
        <v>6674</v>
      </c>
      <c r="T544" s="17"/>
      <c r="U544" s="17"/>
      <c r="V544" s="17"/>
      <c r="W544" s="17"/>
      <c r="X544" s="15">
        <v>241.5</v>
      </c>
      <c r="Y544" s="17">
        <v>628</v>
      </c>
      <c r="Z544" s="17">
        <v>422</v>
      </c>
      <c r="AA544" s="17">
        <v>8072</v>
      </c>
      <c r="AB544" s="12">
        <v>621</v>
      </c>
    </row>
    <row r="545" ht="14.25" spans="1:28">
      <c r="A545" s="13">
        <v>543</v>
      </c>
      <c r="B545" s="15">
        <v>11</v>
      </c>
      <c r="C545" s="16">
        <v>49</v>
      </c>
      <c r="D545" s="17" t="s">
        <v>1094</v>
      </c>
      <c r="E545" s="17" t="s">
        <v>1095</v>
      </c>
      <c r="F545" s="17">
        <v>107</v>
      </c>
      <c r="G545" s="17">
        <v>945</v>
      </c>
      <c r="H545" s="17">
        <v>103.5</v>
      </c>
      <c r="I545" s="17">
        <v>3096</v>
      </c>
      <c r="J545" s="17">
        <v>112</v>
      </c>
      <c r="K545" s="17">
        <v>1229</v>
      </c>
      <c r="L545" s="17">
        <v>32</v>
      </c>
      <c r="M545" s="17">
        <v>8723</v>
      </c>
      <c r="N545" s="17"/>
      <c r="O545" s="17"/>
      <c r="P545" s="17">
        <v>73</v>
      </c>
      <c r="Q545" s="17">
        <v>4501</v>
      </c>
      <c r="R545" s="17">
        <v>84</v>
      </c>
      <c r="S545" s="17">
        <v>1490</v>
      </c>
      <c r="T545" s="17"/>
      <c r="U545" s="17"/>
      <c r="V545" s="17"/>
      <c r="W545" s="17"/>
      <c r="X545" s="15">
        <v>322.5</v>
      </c>
      <c r="Y545" s="17">
        <v>102</v>
      </c>
      <c r="Z545" s="17">
        <v>511.5</v>
      </c>
      <c r="AA545" s="17">
        <v>2702</v>
      </c>
      <c r="AB545" s="12">
        <v>266</v>
      </c>
    </row>
    <row r="546" ht="14.25" spans="1:28">
      <c r="A546" s="13">
        <v>544</v>
      </c>
      <c r="B546" s="15">
        <v>11</v>
      </c>
      <c r="C546" s="16">
        <v>50</v>
      </c>
      <c r="D546" s="17" t="s">
        <v>1096</v>
      </c>
      <c r="E546" s="17" t="s">
        <v>1097</v>
      </c>
      <c r="F546" s="17">
        <v>94.75</v>
      </c>
      <c r="G546" s="17">
        <v>6456</v>
      </c>
      <c r="H546" s="17">
        <v>66.5</v>
      </c>
      <c r="I546" s="17">
        <v>10595</v>
      </c>
      <c r="J546" s="17">
        <v>55</v>
      </c>
      <c r="K546" s="17">
        <v>13286</v>
      </c>
      <c r="L546" s="17">
        <v>38.5</v>
      </c>
      <c r="M546" s="17">
        <v>6692</v>
      </c>
      <c r="N546" s="17"/>
      <c r="O546" s="17"/>
      <c r="P546" s="17">
        <v>69</v>
      </c>
      <c r="Q546" s="17">
        <v>5655</v>
      </c>
      <c r="R546" s="17">
        <v>75</v>
      </c>
      <c r="S546" s="17">
        <v>3790</v>
      </c>
      <c r="T546" s="17"/>
      <c r="U546" s="17"/>
      <c r="V546" s="17"/>
      <c r="W546" s="17"/>
      <c r="X546" s="15">
        <v>216.25</v>
      </c>
      <c r="Y546" s="17">
        <v>656</v>
      </c>
      <c r="Z546" s="17">
        <v>398.75</v>
      </c>
      <c r="AA546" s="17">
        <v>9720</v>
      </c>
      <c r="AB546" s="12">
        <v>640</v>
      </c>
    </row>
    <row r="547" ht="14.25" spans="1:28">
      <c r="A547" s="13">
        <v>545</v>
      </c>
      <c r="B547" s="15">
        <v>11</v>
      </c>
      <c r="C547" s="16">
        <v>51</v>
      </c>
      <c r="D547" s="17" t="s">
        <v>1098</v>
      </c>
      <c r="E547" s="17" t="s">
        <v>1099</v>
      </c>
      <c r="F547" s="17">
        <v>93.5</v>
      </c>
      <c r="G547" s="17">
        <v>7127</v>
      </c>
      <c r="H547" s="17">
        <v>80.5</v>
      </c>
      <c r="I547" s="17">
        <v>7938</v>
      </c>
      <c r="J547" s="17">
        <v>79.75</v>
      </c>
      <c r="K547" s="17">
        <v>7889</v>
      </c>
      <c r="L547" s="17">
        <v>23.5</v>
      </c>
      <c r="M547" s="17">
        <v>12312</v>
      </c>
      <c r="N547" s="17"/>
      <c r="O547" s="17"/>
      <c r="P547" s="17">
        <v>70</v>
      </c>
      <c r="Q547" s="17">
        <v>5445</v>
      </c>
      <c r="R547" s="17">
        <v>60</v>
      </c>
      <c r="S547" s="17">
        <v>8759</v>
      </c>
      <c r="T547" s="17"/>
      <c r="U547" s="17"/>
      <c r="V547" s="17"/>
      <c r="W547" s="17"/>
      <c r="X547" s="15">
        <v>253.75</v>
      </c>
      <c r="Y547" s="17">
        <v>601</v>
      </c>
      <c r="Z547" s="17">
        <v>407.25</v>
      </c>
      <c r="AA547" s="17">
        <v>9147</v>
      </c>
      <c r="AB547" s="12">
        <v>635</v>
      </c>
    </row>
    <row r="548" ht="14.25" spans="1:28">
      <c r="A548" s="13">
        <v>546</v>
      </c>
      <c r="B548" s="15">
        <v>11</v>
      </c>
      <c r="C548" s="16">
        <v>52</v>
      </c>
      <c r="D548" s="17" t="s">
        <v>1100</v>
      </c>
      <c r="E548" s="17" t="s">
        <v>1101</v>
      </c>
      <c r="F548" s="17">
        <v>95.5</v>
      </c>
      <c r="G548" s="17">
        <v>5877</v>
      </c>
      <c r="H548" s="17">
        <v>99.5</v>
      </c>
      <c r="I548" s="17">
        <v>3847</v>
      </c>
      <c r="J548" s="17">
        <v>75</v>
      </c>
      <c r="K548" s="17">
        <v>9087</v>
      </c>
      <c r="L548" s="17">
        <v>40.5</v>
      </c>
      <c r="M548" s="17">
        <v>6131</v>
      </c>
      <c r="N548" s="17"/>
      <c r="O548" s="17"/>
      <c r="P548" s="17">
        <v>58</v>
      </c>
      <c r="Q548" s="17">
        <v>9299</v>
      </c>
      <c r="R548" s="17">
        <v>72</v>
      </c>
      <c r="S548" s="17">
        <v>4793</v>
      </c>
      <c r="T548" s="17"/>
      <c r="U548" s="17"/>
      <c r="V548" s="17"/>
      <c r="W548" s="17"/>
      <c r="X548" s="15">
        <v>270</v>
      </c>
      <c r="Y548" s="17">
        <v>531</v>
      </c>
      <c r="Z548" s="17">
        <v>440.5</v>
      </c>
      <c r="AA548" s="17">
        <v>6781</v>
      </c>
      <c r="AB548" s="12">
        <v>569</v>
      </c>
    </row>
    <row r="549" ht="14.25" spans="1:28">
      <c r="A549" s="13">
        <v>547</v>
      </c>
      <c r="B549" s="15">
        <v>11</v>
      </c>
      <c r="C549" s="16">
        <v>53</v>
      </c>
      <c r="D549" s="17" t="s">
        <v>1102</v>
      </c>
      <c r="E549" s="17" t="s">
        <v>1103</v>
      </c>
      <c r="F549" s="17">
        <v>97.5</v>
      </c>
      <c r="G549" s="17">
        <v>4695</v>
      </c>
      <c r="H549" s="17">
        <v>78</v>
      </c>
      <c r="I549" s="17">
        <v>8424</v>
      </c>
      <c r="J549" s="17">
        <v>87.25</v>
      </c>
      <c r="K549" s="17">
        <v>5964</v>
      </c>
      <c r="L549" s="17">
        <v>32.5</v>
      </c>
      <c r="M549" s="17">
        <v>8567</v>
      </c>
      <c r="N549" s="17"/>
      <c r="O549" s="17"/>
      <c r="P549" s="17">
        <v>59</v>
      </c>
      <c r="Q549" s="17">
        <v>8996</v>
      </c>
      <c r="R549" s="17">
        <v>76</v>
      </c>
      <c r="S549" s="17">
        <v>3491</v>
      </c>
      <c r="T549" s="17"/>
      <c r="U549" s="17"/>
      <c r="V549" s="17"/>
      <c r="W549" s="17"/>
      <c r="X549" s="15">
        <v>262.75</v>
      </c>
      <c r="Y549" s="17">
        <v>571</v>
      </c>
      <c r="Z549" s="17">
        <v>430.25</v>
      </c>
      <c r="AA549" s="17">
        <v>7488</v>
      </c>
      <c r="AB549" s="12">
        <v>600</v>
      </c>
    </row>
    <row r="550" ht="14.25" spans="1:28">
      <c r="A550" s="13">
        <v>548</v>
      </c>
      <c r="B550" s="15">
        <v>11</v>
      </c>
      <c r="C550" s="16">
        <v>54</v>
      </c>
      <c r="D550" s="17" t="s">
        <v>1104</v>
      </c>
      <c r="E550" s="17" t="s">
        <v>1105</v>
      </c>
      <c r="F550" s="17">
        <v>91.5</v>
      </c>
      <c r="G550" s="17">
        <v>8306</v>
      </c>
      <c r="H550" s="17">
        <v>109.5</v>
      </c>
      <c r="I550" s="17">
        <v>2023</v>
      </c>
      <c r="J550" s="17">
        <v>87</v>
      </c>
      <c r="K550" s="17">
        <v>5999</v>
      </c>
      <c r="L550" s="17">
        <v>55</v>
      </c>
      <c r="M550" s="17">
        <v>3031</v>
      </c>
      <c r="N550" s="17"/>
      <c r="O550" s="17"/>
      <c r="P550" s="17">
        <v>67</v>
      </c>
      <c r="Q550" s="17">
        <v>6384</v>
      </c>
      <c r="R550" s="17">
        <v>80</v>
      </c>
      <c r="S550" s="17">
        <v>2376</v>
      </c>
      <c r="T550" s="17"/>
      <c r="U550" s="17"/>
      <c r="V550" s="17"/>
      <c r="W550" s="17"/>
      <c r="X550" s="15">
        <v>288</v>
      </c>
      <c r="Y550" s="17">
        <v>378</v>
      </c>
      <c r="Z550" s="17">
        <v>490</v>
      </c>
      <c r="AA550" s="17">
        <v>3746</v>
      </c>
      <c r="AB550" s="12">
        <v>373</v>
      </c>
    </row>
    <row r="551" ht="14.25" spans="1:28">
      <c r="A551" s="13">
        <v>549</v>
      </c>
      <c r="B551" s="15">
        <v>11</v>
      </c>
      <c r="C551" s="16">
        <v>55</v>
      </c>
      <c r="D551" s="17" t="s">
        <v>1106</v>
      </c>
      <c r="E551" s="17" t="s">
        <v>1107</v>
      </c>
      <c r="F551" s="17">
        <v>86</v>
      </c>
      <c r="G551" s="17">
        <v>11803</v>
      </c>
      <c r="H551" s="17">
        <v>73</v>
      </c>
      <c r="I551" s="17">
        <v>9411</v>
      </c>
      <c r="J551" s="17">
        <v>63.5</v>
      </c>
      <c r="K551" s="17">
        <v>11774</v>
      </c>
      <c r="L551" s="17">
        <v>17</v>
      </c>
      <c r="M551" s="17">
        <v>15308</v>
      </c>
      <c r="N551" s="17"/>
      <c r="O551" s="17"/>
      <c r="P551" s="17">
        <v>57</v>
      </c>
      <c r="Q551" s="17">
        <v>9600</v>
      </c>
      <c r="R551" s="17">
        <v>61</v>
      </c>
      <c r="S551" s="17">
        <v>8408</v>
      </c>
      <c r="T551" s="17"/>
      <c r="U551" s="17"/>
      <c r="V551" s="17"/>
      <c r="W551" s="17"/>
      <c r="X551" s="15">
        <v>222.5</v>
      </c>
      <c r="Y551" s="17">
        <v>651</v>
      </c>
      <c r="Z551" s="17">
        <v>357.5</v>
      </c>
      <c r="AA551" s="17">
        <v>12443</v>
      </c>
      <c r="AB551" s="12">
        <v>658</v>
      </c>
    </row>
    <row r="552" ht="14.25" spans="1:28">
      <c r="A552" s="13">
        <v>550</v>
      </c>
      <c r="B552" s="15">
        <v>11</v>
      </c>
      <c r="C552" s="16">
        <v>56</v>
      </c>
      <c r="D552" s="17" t="s">
        <v>1108</v>
      </c>
      <c r="E552" s="17" t="s">
        <v>1109</v>
      </c>
      <c r="F552" s="17">
        <v>98</v>
      </c>
      <c r="G552" s="17">
        <v>4423</v>
      </c>
      <c r="H552" s="17">
        <v>96</v>
      </c>
      <c r="I552" s="17">
        <v>4544</v>
      </c>
      <c r="J552" s="17">
        <v>71.25</v>
      </c>
      <c r="K552" s="17">
        <v>10042</v>
      </c>
      <c r="L552" s="17">
        <v>41.5</v>
      </c>
      <c r="M552" s="17">
        <v>5867</v>
      </c>
      <c r="N552" s="17"/>
      <c r="O552" s="17"/>
      <c r="P552" s="17">
        <v>86</v>
      </c>
      <c r="Q552" s="17">
        <v>1052</v>
      </c>
      <c r="R552" s="17">
        <v>81</v>
      </c>
      <c r="S552" s="17">
        <v>2139</v>
      </c>
      <c r="T552" s="17"/>
      <c r="U552" s="17"/>
      <c r="V552" s="17"/>
      <c r="W552" s="17"/>
      <c r="X552" s="15">
        <v>265.25</v>
      </c>
      <c r="Y552" s="17">
        <v>553</v>
      </c>
      <c r="Z552" s="17">
        <v>473.75</v>
      </c>
      <c r="AA552" s="17">
        <v>4617</v>
      </c>
      <c r="AB552" s="12">
        <v>445</v>
      </c>
    </row>
    <row r="553" ht="14.25" spans="1:28">
      <c r="A553" s="13">
        <v>551</v>
      </c>
      <c r="B553" s="15">
        <v>11</v>
      </c>
      <c r="C553" s="16">
        <v>57</v>
      </c>
      <c r="D553" s="17" t="s">
        <v>1110</v>
      </c>
      <c r="E553" s="17" t="s">
        <v>1111</v>
      </c>
      <c r="F553" s="17">
        <v>92.5</v>
      </c>
      <c r="G553" s="17">
        <v>7705</v>
      </c>
      <c r="H553" s="17">
        <v>87.5</v>
      </c>
      <c r="I553" s="17">
        <v>6415</v>
      </c>
      <c r="J553" s="17">
        <v>81.5</v>
      </c>
      <c r="K553" s="17">
        <v>7394</v>
      </c>
      <c r="L553" s="17">
        <v>41</v>
      </c>
      <c r="M553" s="17">
        <v>5993</v>
      </c>
      <c r="N553" s="17"/>
      <c r="O553" s="17"/>
      <c r="P553" s="17">
        <v>75</v>
      </c>
      <c r="Q553" s="17">
        <v>3841</v>
      </c>
      <c r="R553" s="17">
        <v>68</v>
      </c>
      <c r="S553" s="17">
        <v>6079</v>
      </c>
      <c r="T553" s="17"/>
      <c r="U553" s="17"/>
      <c r="V553" s="17"/>
      <c r="W553" s="17"/>
      <c r="X553" s="15">
        <v>261.5</v>
      </c>
      <c r="Y553" s="17">
        <v>575</v>
      </c>
      <c r="Z553" s="17">
        <v>445.5</v>
      </c>
      <c r="AA553" s="17">
        <v>6425</v>
      </c>
      <c r="AB553" s="12">
        <v>553</v>
      </c>
    </row>
    <row r="554" ht="14.25" spans="1:28">
      <c r="A554" s="13">
        <v>552</v>
      </c>
      <c r="B554" s="15">
        <v>11</v>
      </c>
      <c r="C554" s="16">
        <v>58</v>
      </c>
      <c r="D554" s="17" t="s">
        <v>1112</v>
      </c>
      <c r="E554" s="17" t="s">
        <v>1113</v>
      </c>
      <c r="F554" s="17">
        <v>87</v>
      </c>
      <c r="G554" s="17">
        <v>11216</v>
      </c>
      <c r="H554" s="17">
        <v>126.5</v>
      </c>
      <c r="I554" s="17">
        <v>273</v>
      </c>
      <c r="J554" s="17">
        <v>80</v>
      </c>
      <c r="K554" s="17">
        <v>7802</v>
      </c>
      <c r="L554" s="17">
        <v>51.5</v>
      </c>
      <c r="M554" s="17">
        <v>3642</v>
      </c>
      <c r="N554" s="17"/>
      <c r="O554" s="17"/>
      <c r="P554" s="17">
        <v>75</v>
      </c>
      <c r="Q554" s="17">
        <v>3841</v>
      </c>
      <c r="R554" s="17">
        <v>77</v>
      </c>
      <c r="S554" s="17">
        <v>3183</v>
      </c>
      <c r="T554" s="17"/>
      <c r="U554" s="17"/>
      <c r="V554" s="17"/>
      <c r="W554" s="17"/>
      <c r="X554" s="15">
        <v>293.5</v>
      </c>
      <c r="Y554" s="17">
        <v>330</v>
      </c>
      <c r="Z554" s="17">
        <v>497</v>
      </c>
      <c r="AA554" s="17">
        <v>3380</v>
      </c>
      <c r="AB554" s="12">
        <v>345</v>
      </c>
    </row>
    <row r="555" ht="14.25" spans="1:28">
      <c r="A555" s="13">
        <v>553</v>
      </c>
      <c r="B555" s="15">
        <v>11</v>
      </c>
      <c r="C555" s="16">
        <v>59</v>
      </c>
      <c r="D555" s="17" t="s">
        <v>1114</v>
      </c>
      <c r="E555" s="17" t="s">
        <v>1115</v>
      </c>
      <c r="F555" s="17">
        <v>91</v>
      </c>
      <c r="G555" s="17">
        <v>8620</v>
      </c>
      <c r="H555" s="17">
        <v>98</v>
      </c>
      <c r="I555" s="17">
        <v>4147</v>
      </c>
      <c r="J555" s="17">
        <v>96</v>
      </c>
      <c r="K555" s="17">
        <v>3851</v>
      </c>
      <c r="L555" s="17">
        <v>37.5</v>
      </c>
      <c r="M555" s="17">
        <v>6979</v>
      </c>
      <c r="N555" s="17"/>
      <c r="O555" s="17"/>
      <c r="P555" s="17">
        <v>60</v>
      </c>
      <c r="Q555" s="17">
        <v>8673</v>
      </c>
      <c r="R555" s="17">
        <v>88</v>
      </c>
      <c r="S555" s="17">
        <v>601</v>
      </c>
      <c r="T555" s="17"/>
      <c r="U555" s="17"/>
      <c r="V555" s="17"/>
      <c r="W555" s="17"/>
      <c r="X555" s="15">
        <v>285</v>
      </c>
      <c r="Y555" s="17">
        <v>401</v>
      </c>
      <c r="Z555" s="17">
        <v>470.5</v>
      </c>
      <c r="AA555" s="17">
        <v>4810</v>
      </c>
      <c r="AB555" s="12">
        <v>456</v>
      </c>
    </row>
    <row r="556" ht="14.25" spans="1:28">
      <c r="A556" s="13">
        <v>554</v>
      </c>
      <c r="B556" s="15">
        <v>12</v>
      </c>
      <c r="C556" s="16">
        <v>1</v>
      </c>
      <c r="D556" s="17" t="s">
        <v>1116</v>
      </c>
      <c r="E556" s="17" t="s">
        <v>1117</v>
      </c>
      <c r="F556" s="17">
        <v>98</v>
      </c>
      <c r="G556" s="17">
        <v>4423</v>
      </c>
      <c r="H556" s="17">
        <v>95</v>
      </c>
      <c r="I556" s="17">
        <v>4735</v>
      </c>
      <c r="J556" s="17">
        <v>111.5</v>
      </c>
      <c r="K556" s="17">
        <v>1281</v>
      </c>
      <c r="L556" s="17">
        <v>44.5</v>
      </c>
      <c r="M556" s="17">
        <v>5122</v>
      </c>
      <c r="N556" s="17"/>
      <c r="O556" s="17"/>
      <c r="P556" s="17">
        <v>60</v>
      </c>
      <c r="Q556" s="17">
        <v>8673</v>
      </c>
      <c r="R556" s="17">
        <v>75</v>
      </c>
      <c r="S556" s="17">
        <v>3790</v>
      </c>
      <c r="T556" s="17"/>
      <c r="U556" s="17"/>
      <c r="V556" s="17"/>
      <c r="W556" s="17"/>
      <c r="X556" s="15">
        <v>304.5</v>
      </c>
      <c r="Y556" s="17">
        <v>239</v>
      </c>
      <c r="Z556" s="17">
        <v>484</v>
      </c>
      <c r="AA556" s="17">
        <v>4049</v>
      </c>
      <c r="AB556" s="12">
        <v>402</v>
      </c>
    </row>
    <row r="557" ht="14.25" spans="1:28">
      <c r="A557" s="13">
        <v>555</v>
      </c>
      <c r="B557" s="15">
        <v>12</v>
      </c>
      <c r="C557" s="16">
        <v>2</v>
      </c>
      <c r="D557" s="17" t="s">
        <v>1118</v>
      </c>
      <c r="E557" s="17" t="s">
        <v>1119</v>
      </c>
      <c r="F557" s="17">
        <v>88</v>
      </c>
      <c r="G557" s="17">
        <v>10604</v>
      </c>
      <c r="H557" s="17">
        <v>96</v>
      </c>
      <c r="I557" s="17">
        <v>4544</v>
      </c>
      <c r="J557" s="17">
        <v>94</v>
      </c>
      <c r="K557" s="17">
        <v>4318</v>
      </c>
      <c r="L557" s="17">
        <v>39</v>
      </c>
      <c r="M557" s="17">
        <v>6535</v>
      </c>
      <c r="N557" s="17"/>
      <c r="O557" s="17"/>
      <c r="P557" s="17">
        <v>68</v>
      </c>
      <c r="Q557" s="17">
        <v>6016</v>
      </c>
      <c r="R557" s="17">
        <v>72</v>
      </c>
      <c r="S557" s="17">
        <v>4793</v>
      </c>
      <c r="T557" s="17"/>
      <c r="U557" s="17"/>
      <c r="V557" s="17"/>
      <c r="W557" s="17"/>
      <c r="X557" s="15">
        <v>278</v>
      </c>
      <c r="Y557" s="17">
        <v>469</v>
      </c>
      <c r="Z557" s="17">
        <v>457</v>
      </c>
      <c r="AA557" s="17">
        <v>5673</v>
      </c>
      <c r="AB557" s="12">
        <v>521</v>
      </c>
    </row>
    <row r="558" ht="14.25" spans="1:28">
      <c r="A558" s="13">
        <v>556</v>
      </c>
      <c r="B558" s="15">
        <v>12</v>
      </c>
      <c r="C558" s="16">
        <v>3</v>
      </c>
      <c r="D558" s="17" t="s">
        <v>1120</v>
      </c>
      <c r="E558" s="17" t="s">
        <v>1121</v>
      </c>
      <c r="F558" s="17">
        <v>108</v>
      </c>
      <c r="G558" s="17">
        <v>736</v>
      </c>
      <c r="H558" s="17">
        <v>85</v>
      </c>
      <c r="I558" s="17">
        <v>6959</v>
      </c>
      <c r="J558" s="17">
        <v>100</v>
      </c>
      <c r="K558" s="17">
        <v>3038</v>
      </c>
      <c r="L558" s="17">
        <v>49</v>
      </c>
      <c r="M558" s="17">
        <v>4146</v>
      </c>
      <c r="N558" s="17"/>
      <c r="O558" s="17"/>
      <c r="P558" s="17">
        <v>84</v>
      </c>
      <c r="Q558" s="17">
        <v>1443</v>
      </c>
      <c r="R558" s="17">
        <v>78</v>
      </c>
      <c r="S558" s="17">
        <v>2906</v>
      </c>
      <c r="T558" s="17"/>
      <c r="U558" s="17"/>
      <c r="V558" s="17"/>
      <c r="W558" s="17"/>
      <c r="X558" s="15">
        <v>293</v>
      </c>
      <c r="Y558" s="17">
        <v>335</v>
      </c>
      <c r="Z558" s="17">
        <v>504</v>
      </c>
      <c r="AA558" s="17">
        <v>3061</v>
      </c>
      <c r="AB558" s="12">
        <v>306</v>
      </c>
    </row>
    <row r="559" ht="14.25" spans="1:28">
      <c r="A559" s="13">
        <v>557</v>
      </c>
      <c r="B559" s="15">
        <v>12</v>
      </c>
      <c r="C559" s="16">
        <v>4</v>
      </c>
      <c r="D559" s="17" t="s">
        <v>1122</v>
      </c>
      <c r="E559" s="17" t="s">
        <v>1123</v>
      </c>
      <c r="F559" s="17">
        <v>102</v>
      </c>
      <c r="G559" s="17">
        <v>2480</v>
      </c>
      <c r="H559" s="17">
        <v>104.5</v>
      </c>
      <c r="I559" s="17">
        <v>2895</v>
      </c>
      <c r="J559" s="17">
        <v>125.5</v>
      </c>
      <c r="K559" s="17">
        <v>199</v>
      </c>
      <c r="L559" s="17">
        <v>72.5</v>
      </c>
      <c r="M559" s="17">
        <v>627</v>
      </c>
      <c r="N559" s="17"/>
      <c r="O559" s="17"/>
      <c r="P559" s="17">
        <v>74</v>
      </c>
      <c r="Q559" s="17">
        <v>4168</v>
      </c>
      <c r="R559" s="17">
        <v>88</v>
      </c>
      <c r="S559" s="17">
        <v>601</v>
      </c>
      <c r="T559" s="17"/>
      <c r="U559" s="17"/>
      <c r="V559" s="17"/>
      <c r="W559" s="17"/>
      <c r="X559" s="15">
        <v>332</v>
      </c>
      <c r="Y559" s="17">
        <v>58</v>
      </c>
      <c r="Z559" s="17">
        <v>566.5</v>
      </c>
      <c r="AA559" s="17">
        <v>840</v>
      </c>
      <c r="AB559" s="12">
        <v>56</v>
      </c>
    </row>
    <row r="560" ht="14.25" spans="1:28">
      <c r="A560" s="13">
        <v>558</v>
      </c>
      <c r="B560" s="15">
        <v>12</v>
      </c>
      <c r="C560" s="16">
        <v>5</v>
      </c>
      <c r="D560" s="17" t="s">
        <v>1124</v>
      </c>
      <c r="E560" s="17" t="s">
        <v>1125</v>
      </c>
      <c r="F560" s="17">
        <v>100</v>
      </c>
      <c r="G560" s="17">
        <v>3368</v>
      </c>
      <c r="H560" s="17">
        <v>101.5</v>
      </c>
      <c r="I560" s="17">
        <v>3477</v>
      </c>
      <c r="J560" s="17">
        <v>75.5</v>
      </c>
      <c r="K560" s="17">
        <v>8958</v>
      </c>
      <c r="L560" s="17">
        <v>62</v>
      </c>
      <c r="M560" s="17">
        <v>1839</v>
      </c>
      <c r="N560" s="17"/>
      <c r="O560" s="17"/>
      <c r="P560" s="17">
        <v>80</v>
      </c>
      <c r="Q560" s="17">
        <v>2333</v>
      </c>
      <c r="R560" s="17">
        <v>87</v>
      </c>
      <c r="S560" s="17">
        <v>883</v>
      </c>
      <c r="T560" s="17"/>
      <c r="U560" s="17"/>
      <c r="V560" s="17"/>
      <c r="W560" s="17"/>
      <c r="X560" s="15">
        <v>277</v>
      </c>
      <c r="Y560" s="17">
        <v>485</v>
      </c>
      <c r="Z560" s="17">
        <v>506</v>
      </c>
      <c r="AA560" s="17">
        <v>2960</v>
      </c>
      <c r="AB560" s="12">
        <v>293</v>
      </c>
    </row>
    <row r="561" ht="14.25" spans="1:28">
      <c r="A561" s="13">
        <v>559</v>
      </c>
      <c r="B561" s="15">
        <v>12</v>
      </c>
      <c r="C561" s="16">
        <v>6</v>
      </c>
      <c r="D561" s="17" t="s">
        <v>1126</v>
      </c>
      <c r="E561" s="17" t="s">
        <v>1127</v>
      </c>
      <c r="F561" s="17">
        <v>85.5</v>
      </c>
      <c r="G561" s="17">
        <v>12079</v>
      </c>
      <c r="H561" s="17">
        <v>113</v>
      </c>
      <c r="I561" s="17">
        <v>1467</v>
      </c>
      <c r="J561" s="17">
        <v>64.25</v>
      </c>
      <c r="K561" s="17">
        <v>11649</v>
      </c>
      <c r="L561" s="17">
        <v>51</v>
      </c>
      <c r="M561" s="17">
        <v>3730</v>
      </c>
      <c r="N561" s="17"/>
      <c r="O561" s="17"/>
      <c r="P561" s="17">
        <v>56</v>
      </c>
      <c r="Q561" s="17">
        <v>9899</v>
      </c>
      <c r="R561" s="17">
        <v>58</v>
      </c>
      <c r="S561" s="17">
        <v>9300</v>
      </c>
      <c r="T561" s="17"/>
      <c r="U561" s="17"/>
      <c r="V561" s="17"/>
      <c r="W561" s="17"/>
      <c r="X561" s="15">
        <v>262.75</v>
      </c>
      <c r="Y561" s="17">
        <v>571</v>
      </c>
      <c r="Z561" s="17">
        <v>427.75</v>
      </c>
      <c r="AA561" s="17">
        <v>7663</v>
      </c>
      <c r="AB561" s="12">
        <v>607</v>
      </c>
    </row>
    <row r="562" ht="14.25" spans="1:28">
      <c r="A562" s="13">
        <v>560</v>
      </c>
      <c r="B562" s="15">
        <v>12</v>
      </c>
      <c r="C562" s="16">
        <v>7</v>
      </c>
      <c r="D562" s="17" t="s">
        <v>1128</v>
      </c>
      <c r="E562" s="17" t="s">
        <v>1129</v>
      </c>
      <c r="F562" s="17">
        <v>99</v>
      </c>
      <c r="G562" s="17">
        <v>3868</v>
      </c>
      <c r="H562" s="17">
        <v>92.5</v>
      </c>
      <c r="I562" s="17">
        <v>5299</v>
      </c>
      <c r="J562" s="17">
        <v>75.5</v>
      </c>
      <c r="K562" s="17">
        <v>8958</v>
      </c>
      <c r="L562" s="17">
        <v>40</v>
      </c>
      <c r="M562" s="17">
        <v>6265</v>
      </c>
      <c r="N562" s="17"/>
      <c r="O562" s="17"/>
      <c r="P562" s="17">
        <v>62</v>
      </c>
      <c r="Q562" s="17">
        <v>8021</v>
      </c>
      <c r="R562" s="17">
        <v>62</v>
      </c>
      <c r="S562" s="17">
        <v>8006</v>
      </c>
      <c r="T562" s="17"/>
      <c r="U562" s="17"/>
      <c r="V562" s="17"/>
      <c r="W562" s="17"/>
      <c r="X562" s="15">
        <v>267</v>
      </c>
      <c r="Y562" s="17">
        <v>545</v>
      </c>
      <c r="Z562" s="17">
        <v>431</v>
      </c>
      <c r="AA562" s="17">
        <v>7418</v>
      </c>
      <c r="AB562" s="12">
        <v>595</v>
      </c>
    </row>
    <row r="563" ht="14.25" spans="1:28">
      <c r="A563" s="13">
        <v>561</v>
      </c>
      <c r="B563" s="15">
        <v>12</v>
      </c>
      <c r="C563" s="16">
        <v>8</v>
      </c>
      <c r="D563" s="17" t="s">
        <v>1130</v>
      </c>
      <c r="E563" s="17" t="s">
        <v>1131</v>
      </c>
      <c r="F563" s="17">
        <v>102.5</v>
      </c>
      <c r="G563" s="17">
        <v>2274</v>
      </c>
      <c r="H563" s="17">
        <v>108</v>
      </c>
      <c r="I563" s="17">
        <v>2274</v>
      </c>
      <c r="J563" s="17">
        <v>64.5</v>
      </c>
      <c r="K563" s="17">
        <v>11584</v>
      </c>
      <c r="L563" s="17">
        <v>52.5</v>
      </c>
      <c r="M563" s="17">
        <v>3470</v>
      </c>
      <c r="N563" s="17"/>
      <c r="O563" s="17"/>
      <c r="P563" s="17">
        <v>69</v>
      </c>
      <c r="Q563" s="17">
        <v>5655</v>
      </c>
      <c r="R563" s="17">
        <v>78</v>
      </c>
      <c r="S563" s="17">
        <v>2906</v>
      </c>
      <c r="T563" s="17"/>
      <c r="U563" s="17"/>
      <c r="V563" s="17"/>
      <c r="W563" s="17"/>
      <c r="X563" s="15">
        <v>275</v>
      </c>
      <c r="Y563" s="17">
        <v>497</v>
      </c>
      <c r="Z563" s="17">
        <v>474.5</v>
      </c>
      <c r="AA563" s="17">
        <v>4571</v>
      </c>
      <c r="AB563" s="12">
        <v>439</v>
      </c>
    </row>
    <row r="564" ht="14.25" spans="1:28">
      <c r="A564" s="13">
        <v>562</v>
      </c>
      <c r="B564" s="15">
        <v>12</v>
      </c>
      <c r="C564" s="16">
        <v>9</v>
      </c>
      <c r="D564" s="17" t="s">
        <v>1132</v>
      </c>
      <c r="E564" s="17" t="s">
        <v>1133</v>
      </c>
      <c r="F564" s="17">
        <v>107.5</v>
      </c>
      <c r="G564" s="17">
        <v>829</v>
      </c>
      <c r="H564" s="17">
        <v>99</v>
      </c>
      <c r="I564" s="17">
        <v>3947</v>
      </c>
      <c r="J564" s="17">
        <v>103.75</v>
      </c>
      <c r="K564" s="17">
        <v>2416</v>
      </c>
      <c r="L564" s="17">
        <v>44.5</v>
      </c>
      <c r="M564" s="17">
        <v>5122</v>
      </c>
      <c r="N564" s="17"/>
      <c r="O564" s="17"/>
      <c r="P564" s="17">
        <v>75</v>
      </c>
      <c r="Q564" s="17">
        <v>3841</v>
      </c>
      <c r="R564" s="17">
        <v>77</v>
      </c>
      <c r="S564" s="17">
        <v>3183</v>
      </c>
      <c r="T564" s="17"/>
      <c r="U564" s="17"/>
      <c r="V564" s="17"/>
      <c r="W564" s="17"/>
      <c r="X564" s="15">
        <v>310.25</v>
      </c>
      <c r="Y564" s="17">
        <v>189</v>
      </c>
      <c r="Z564" s="17">
        <v>506.75</v>
      </c>
      <c r="AA564" s="17">
        <v>2921</v>
      </c>
      <c r="AB564" s="12">
        <v>287</v>
      </c>
    </row>
    <row r="565" ht="14.25" spans="1:28">
      <c r="A565" s="13">
        <v>563</v>
      </c>
      <c r="B565" s="15">
        <v>12</v>
      </c>
      <c r="C565" s="16">
        <v>10</v>
      </c>
      <c r="D565" s="17" t="s">
        <v>1134</v>
      </c>
      <c r="E565" s="17" t="s">
        <v>1135</v>
      </c>
      <c r="F565" s="17">
        <v>91</v>
      </c>
      <c r="G565" s="17">
        <v>8620</v>
      </c>
      <c r="H565" s="17">
        <v>111</v>
      </c>
      <c r="I565" s="17">
        <v>1774</v>
      </c>
      <c r="J565" s="17">
        <v>73.5</v>
      </c>
      <c r="K565" s="17">
        <v>9484</v>
      </c>
      <c r="L565" s="17">
        <v>48.5</v>
      </c>
      <c r="M565" s="17">
        <v>4255</v>
      </c>
      <c r="N565" s="17"/>
      <c r="O565" s="17"/>
      <c r="P565" s="17">
        <v>86</v>
      </c>
      <c r="Q565" s="17">
        <v>1052</v>
      </c>
      <c r="R565" s="17">
        <v>79</v>
      </c>
      <c r="S565" s="17">
        <v>2629</v>
      </c>
      <c r="T565" s="17"/>
      <c r="U565" s="17"/>
      <c r="V565" s="17"/>
      <c r="W565" s="17"/>
      <c r="X565" s="15">
        <v>275.5</v>
      </c>
      <c r="Y565" s="17">
        <v>494</v>
      </c>
      <c r="Z565" s="17">
        <v>489</v>
      </c>
      <c r="AA565" s="17">
        <v>3796</v>
      </c>
      <c r="AB565" s="12">
        <v>380</v>
      </c>
    </row>
    <row r="566" ht="14.25" spans="1:28">
      <c r="A566" s="13">
        <v>564</v>
      </c>
      <c r="B566" s="20">
        <v>12</v>
      </c>
      <c r="C566" s="16">
        <v>11</v>
      </c>
      <c r="D566" s="19" t="s">
        <v>1136</v>
      </c>
      <c r="E566" s="17" t="s">
        <v>1137</v>
      </c>
      <c r="F566" s="17">
        <v>82.5</v>
      </c>
      <c r="G566" s="17">
        <v>13630</v>
      </c>
      <c r="H566" s="17">
        <v>55.5</v>
      </c>
      <c r="I566" s="17">
        <v>12624</v>
      </c>
      <c r="J566" s="17">
        <v>70.75</v>
      </c>
      <c r="K566" s="17">
        <v>10151</v>
      </c>
      <c r="L566" s="17">
        <v>23</v>
      </c>
      <c r="M566" s="17">
        <v>12526</v>
      </c>
      <c r="N566" s="17"/>
      <c r="O566" s="17"/>
      <c r="P566" s="17">
        <v>55</v>
      </c>
      <c r="Q566" s="17">
        <v>10022</v>
      </c>
      <c r="R566" s="17">
        <v>58</v>
      </c>
      <c r="S566" s="17">
        <v>9300</v>
      </c>
      <c r="T566" s="17"/>
      <c r="U566" s="17"/>
      <c r="V566" s="17"/>
      <c r="W566" s="17"/>
      <c r="X566" s="15">
        <v>208.75</v>
      </c>
      <c r="Y566" s="17">
        <v>661</v>
      </c>
      <c r="Z566" s="17">
        <v>344.75</v>
      </c>
      <c r="AA566" s="17">
        <v>13231</v>
      </c>
      <c r="AB566" s="12">
        <v>660</v>
      </c>
    </row>
    <row r="567" ht="14.25" spans="1:28">
      <c r="A567" s="13">
        <v>565</v>
      </c>
      <c r="B567" s="15">
        <v>12</v>
      </c>
      <c r="C567" s="16">
        <v>12</v>
      </c>
      <c r="D567" s="17" t="s">
        <v>1138</v>
      </c>
      <c r="E567" s="17" t="s">
        <v>1139</v>
      </c>
      <c r="F567" s="17">
        <v>98.5</v>
      </c>
      <c r="G567" s="17">
        <v>4145</v>
      </c>
      <c r="H567" s="17">
        <v>91.5</v>
      </c>
      <c r="I567" s="17">
        <v>5528</v>
      </c>
      <c r="J567" s="17">
        <v>93.5</v>
      </c>
      <c r="K567" s="17">
        <v>4431</v>
      </c>
      <c r="L567" s="17">
        <v>57.5</v>
      </c>
      <c r="M567" s="17">
        <v>2619</v>
      </c>
      <c r="N567" s="17"/>
      <c r="O567" s="17"/>
      <c r="P567" s="17">
        <v>83</v>
      </c>
      <c r="Q567" s="17">
        <v>1643</v>
      </c>
      <c r="R567" s="17">
        <v>82</v>
      </c>
      <c r="S567" s="17">
        <v>1915</v>
      </c>
      <c r="T567" s="17"/>
      <c r="U567" s="17"/>
      <c r="V567" s="17"/>
      <c r="W567" s="17"/>
      <c r="X567" s="15">
        <v>283.5</v>
      </c>
      <c r="Y567" s="17">
        <v>412</v>
      </c>
      <c r="Z567" s="17">
        <v>506</v>
      </c>
      <c r="AA567" s="17">
        <v>2960</v>
      </c>
      <c r="AB567" s="12">
        <v>293</v>
      </c>
    </row>
    <row r="568" ht="14.25" spans="1:28">
      <c r="A568" s="13">
        <v>566</v>
      </c>
      <c r="B568" s="15">
        <v>12</v>
      </c>
      <c r="C568" s="16">
        <v>13</v>
      </c>
      <c r="D568" s="17" t="s">
        <v>1140</v>
      </c>
      <c r="E568" s="17" t="s">
        <v>1141</v>
      </c>
      <c r="F568" s="17">
        <v>96</v>
      </c>
      <c r="G568" s="17">
        <v>5544</v>
      </c>
      <c r="H568" s="17">
        <v>108</v>
      </c>
      <c r="I568" s="17">
        <v>2274</v>
      </c>
      <c r="J568" s="17">
        <v>26</v>
      </c>
      <c r="K568" s="17">
        <v>15980</v>
      </c>
      <c r="L568" s="17">
        <v>43.5</v>
      </c>
      <c r="M568" s="17">
        <v>5353</v>
      </c>
      <c r="N568" s="17"/>
      <c r="O568" s="17"/>
      <c r="P568" s="17">
        <v>77</v>
      </c>
      <c r="Q568" s="17">
        <v>3207</v>
      </c>
      <c r="R568" s="17">
        <v>82</v>
      </c>
      <c r="S568" s="17">
        <v>1915</v>
      </c>
      <c r="T568" s="17"/>
      <c r="U568" s="17"/>
      <c r="V568" s="17"/>
      <c r="W568" s="17"/>
      <c r="X568" s="15">
        <v>230</v>
      </c>
      <c r="Y568" s="17">
        <v>648</v>
      </c>
      <c r="Z568" s="17">
        <v>432.5</v>
      </c>
      <c r="AA568" s="17">
        <v>7322</v>
      </c>
      <c r="AB568" s="12">
        <v>594</v>
      </c>
    </row>
    <row r="569" ht="14.25" spans="1:28">
      <c r="A569" s="13">
        <v>567</v>
      </c>
      <c r="B569" s="15">
        <v>12</v>
      </c>
      <c r="C569" s="16">
        <v>14</v>
      </c>
      <c r="D569" s="17" t="s">
        <v>1142</v>
      </c>
      <c r="E569" s="17" t="s">
        <v>1143</v>
      </c>
      <c r="F569" s="17">
        <v>99.5</v>
      </c>
      <c r="G569" s="17">
        <v>3607</v>
      </c>
      <c r="H569" s="17">
        <v>97</v>
      </c>
      <c r="I569" s="17">
        <v>4348</v>
      </c>
      <c r="J569" s="17">
        <v>111</v>
      </c>
      <c r="K569" s="17">
        <v>1337</v>
      </c>
      <c r="L569" s="17">
        <v>54</v>
      </c>
      <c r="M569" s="17">
        <v>3208</v>
      </c>
      <c r="N569" s="17"/>
      <c r="O569" s="17"/>
      <c r="P569" s="17">
        <v>66</v>
      </c>
      <c r="Q569" s="17">
        <v>6766</v>
      </c>
      <c r="R569" s="17">
        <v>75</v>
      </c>
      <c r="S569" s="17">
        <v>3790</v>
      </c>
      <c r="T569" s="17"/>
      <c r="U569" s="17"/>
      <c r="V569" s="17"/>
      <c r="W569" s="17"/>
      <c r="X569" s="15">
        <v>307.5</v>
      </c>
      <c r="Y569" s="17">
        <v>214</v>
      </c>
      <c r="Z569" s="17">
        <v>502.5</v>
      </c>
      <c r="AA569" s="17">
        <v>3122</v>
      </c>
      <c r="AB569" s="12">
        <v>312</v>
      </c>
    </row>
    <row r="570" ht="14.25" spans="1:28">
      <c r="A570" s="13">
        <v>568</v>
      </c>
      <c r="B570" s="15">
        <v>12</v>
      </c>
      <c r="C570" s="16">
        <v>15</v>
      </c>
      <c r="D570" s="17" t="s">
        <v>1144</v>
      </c>
      <c r="E570" s="17" t="s">
        <v>1145</v>
      </c>
      <c r="F570" s="17">
        <v>103</v>
      </c>
      <c r="G570" s="17">
        <v>2094</v>
      </c>
      <c r="H570" s="17">
        <v>115.5</v>
      </c>
      <c r="I570" s="17">
        <v>1149</v>
      </c>
      <c r="J570" s="17">
        <v>92.5</v>
      </c>
      <c r="K570" s="17">
        <v>4660</v>
      </c>
      <c r="L570" s="17">
        <v>73</v>
      </c>
      <c r="M570" s="17">
        <v>575</v>
      </c>
      <c r="N570" s="17"/>
      <c r="O570" s="17"/>
      <c r="P570" s="17">
        <v>81</v>
      </c>
      <c r="Q570" s="17">
        <v>2079</v>
      </c>
      <c r="R570" s="17">
        <v>84</v>
      </c>
      <c r="S570" s="17">
        <v>1490</v>
      </c>
      <c r="T570" s="17"/>
      <c r="U570" s="17"/>
      <c r="V570" s="17"/>
      <c r="W570" s="17"/>
      <c r="X570" s="15">
        <v>311</v>
      </c>
      <c r="Y570" s="17">
        <v>181</v>
      </c>
      <c r="Z570" s="17">
        <v>549</v>
      </c>
      <c r="AA570" s="17">
        <v>1327</v>
      </c>
      <c r="AB570" s="12">
        <v>101</v>
      </c>
    </row>
    <row r="571" ht="14.25" spans="1:28">
      <c r="A571" s="13">
        <v>569</v>
      </c>
      <c r="B571" s="15">
        <v>12</v>
      </c>
      <c r="C571" s="16">
        <v>16</v>
      </c>
      <c r="D571" s="17" t="s">
        <v>1146</v>
      </c>
      <c r="E571" s="17" t="s">
        <v>1147</v>
      </c>
      <c r="F571" s="17">
        <v>103.5</v>
      </c>
      <c r="G571" s="17">
        <v>1897</v>
      </c>
      <c r="H571" s="17">
        <v>119</v>
      </c>
      <c r="I571" s="17">
        <v>786</v>
      </c>
      <c r="J571" s="17">
        <v>98.25</v>
      </c>
      <c r="K571" s="17">
        <v>3423</v>
      </c>
      <c r="L571" s="17">
        <v>69</v>
      </c>
      <c r="M571" s="17">
        <v>949</v>
      </c>
      <c r="N571" s="17"/>
      <c r="O571" s="17"/>
      <c r="P571" s="17">
        <v>91</v>
      </c>
      <c r="Q571" s="17">
        <v>69</v>
      </c>
      <c r="R571" s="17">
        <v>89</v>
      </c>
      <c r="S571" s="17">
        <v>415</v>
      </c>
      <c r="T571" s="17"/>
      <c r="U571" s="17"/>
      <c r="V571" s="17"/>
      <c r="W571" s="17"/>
      <c r="X571" s="15">
        <v>320.75</v>
      </c>
      <c r="Y571" s="17">
        <v>110</v>
      </c>
      <c r="Z571" s="17">
        <v>569.75</v>
      </c>
      <c r="AA571" s="17">
        <v>753</v>
      </c>
      <c r="AB571" s="12">
        <v>46</v>
      </c>
    </row>
    <row r="572" ht="14.25" spans="1:28">
      <c r="A572" s="13">
        <v>570</v>
      </c>
      <c r="B572" s="15">
        <v>12</v>
      </c>
      <c r="C572" s="16">
        <v>17</v>
      </c>
      <c r="D572" s="17" t="s">
        <v>1148</v>
      </c>
      <c r="E572" s="17" t="s">
        <v>1149</v>
      </c>
      <c r="F572" s="17">
        <v>97.25</v>
      </c>
      <c r="G572" s="17">
        <v>4934</v>
      </c>
      <c r="H572" s="17">
        <v>111.5</v>
      </c>
      <c r="I572" s="17">
        <v>1692</v>
      </c>
      <c r="J572" s="17">
        <v>116.5</v>
      </c>
      <c r="K572" s="17">
        <v>765</v>
      </c>
      <c r="L572" s="17">
        <v>59</v>
      </c>
      <c r="M572" s="17">
        <v>2358</v>
      </c>
      <c r="N572" s="17"/>
      <c r="O572" s="17"/>
      <c r="P572" s="17">
        <v>83</v>
      </c>
      <c r="Q572" s="17">
        <v>1643</v>
      </c>
      <c r="R572" s="17">
        <v>87</v>
      </c>
      <c r="S572" s="17">
        <v>883</v>
      </c>
      <c r="T572" s="17"/>
      <c r="U572" s="17"/>
      <c r="V572" s="17"/>
      <c r="W572" s="17"/>
      <c r="X572" s="15">
        <v>325.25</v>
      </c>
      <c r="Y572" s="17">
        <v>87</v>
      </c>
      <c r="Z572" s="17">
        <v>554.25</v>
      </c>
      <c r="AA572" s="17">
        <v>1157</v>
      </c>
      <c r="AB572" s="12">
        <v>87</v>
      </c>
    </row>
    <row r="573" ht="14.25" spans="1:28">
      <c r="A573" s="13">
        <v>571</v>
      </c>
      <c r="B573" s="15">
        <v>12</v>
      </c>
      <c r="C573" s="16">
        <v>18</v>
      </c>
      <c r="D573" s="17" t="s">
        <v>1150</v>
      </c>
      <c r="E573" s="17" t="s">
        <v>1151</v>
      </c>
      <c r="F573" s="17">
        <v>109.5</v>
      </c>
      <c r="G573" s="17">
        <v>495</v>
      </c>
      <c r="H573" s="17">
        <v>91</v>
      </c>
      <c r="I573" s="17">
        <v>5638</v>
      </c>
      <c r="J573" s="17">
        <v>101</v>
      </c>
      <c r="K573" s="17">
        <v>2859</v>
      </c>
      <c r="L573" s="17">
        <v>49.5</v>
      </c>
      <c r="M573" s="17">
        <v>4044</v>
      </c>
      <c r="N573" s="17"/>
      <c r="O573" s="17"/>
      <c r="P573" s="17">
        <v>76</v>
      </c>
      <c r="Q573" s="17">
        <v>3515</v>
      </c>
      <c r="R573" s="17">
        <v>72</v>
      </c>
      <c r="S573" s="17">
        <v>4793</v>
      </c>
      <c r="T573" s="17"/>
      <c r="U573" s="17"/>
      <c r="V573" s="17"/>
      <c r="W573" s="17"/>
      <c r="X573" s="15">
        <v>301.5</v>
      </c>
      <c r="Y573" s="17">
        <v>265</v>
      </c>
      <c r="Z573" s="17">
        <v>499</v>
      </c>
      <c r="AA573" s="17">
        <v>3285</v>
      </c>
      <c r="AB573" s="12">
        <v>332</v>
      </c>
    </row>
    <row r="574" ht="14.25" spans="1:28">
      <c r="A574" s="13">
        <v>572</v>
      </c>
      <c r="B574" s="15">
        <v>12</v>
      </c>
      <c r="C574" s="16">
        <v>19</v>
      </c>
      <c r="D574" s="17" t="s">
        <v>1152</v>
      </c>
      <c r="E574" s="17" t="s">
        <v>1153</v>
      </c>
      <c r="F574" s="17">
        <v>99</v>
      </c>
      <c r="G574" s="17">
        <v>3868</v>
      </c>
      <c r="H574" s="17">
        <v>99.5</v>
      </c>
      <c r="I574" s="17">
        <v>3847</v>
      </c>
      <c r="J574" s="17">
        <v>107.5</v>
      </c>
      <c r="K574" s="17">
        <v>1810</v>
      </c>
      <c r="L574" s="17">
        <v>48</v>
      </c>
      <c r="M574" s="17">
        <v>4355</v>
      </c>
      <c r="N574" s="17"/>
      <c r="O574" s="17"/>
      <c r="P574" s="17">
        <v>79</v>
      </c>
      <c r="Q574" s="17">
        <v>2632</v>
      </c>
      <c r="R574" s="17">
        <v>75</v>
      </c>
      <c r="S574" s="17">
        <v>3790</v>
      </c>
      <c r="T574" s="17"/>
      <c r="U574" s="17"/>
      <c r="V574" s="17"/>
      <c r="W574" s="17"/>
      <c r="X574" s="15">
        <v>306</v>
      </c>
      <c r="Y574" s="17">
        <v>227</v>
      </c>
      <c r="Z574" s="17">
        <v>508</v>
      </c>
      <c r="AA574" s="17">
        <v>2863</v>
      </c>
      <c r="AB574" s="12">
        <v>284</v>
      </c>
    </row>
    <row r="575" ht="14.25" spans="1:28">
      <c r="A575" s="13">
        <v>573</v>
      </c>
      <c r="B575" s="15">
        <v>12</v>
      </c>
      <c r="C575" s="16">
        <v>20</v>
      </c>
      <c r="D575" s="17" t="s">
        <v>1154</v>
      </c>
      <c r="E575" s="17" t="s">
        <v>1155</v>
      </c>
      <c r="F575" s="17">
        <v>75.25</v>
      </c>
      <c r="G575" s="17">
        <v>16090</v>
      </c>
      <c r="H575" s="17">
        <v>41.5</v>
      </c>
      <c r="I575" s="17">
        <v>14695</v>
      </c>
      <c r="J575" s="17">
        <v>93.75</v>
      </c>
      <c r="K575" s="17">
        <v>4401</v>
      </c>
      <c r="L575" s="17">
        <v>21</v>
      </c>
      <c r="M575" s="17">
        <v>13491</v>
      </c>
      <c r="N575" s="17"/>
      <c r="O575" s="17"/>
      <c r="P575" s="17">
        <v>50</v>
      </c>
      <c r="Q575" s="17">
        <v>10845</v>
      </c>
      <c r="R575" s="17">
        <v>57</v>
      </c>
      <c r="S575" s="17">
        <v>9659</v>
      </c>
      <c r="T575" s="17"/>
      <c r="U575" s="17"/>
      <c r="V575" s="17"/>
      <c r="W575" s="17"/>
      <c r="X575" s="15">
        <v>210.5</v>
      </c>
      <c r="Y575" s="17">
        <v>659</v>
      </c>
      <c r="Z575" s="17">
        <v>338.5</v>
      </c>
      <c r="AA575" s="17">
        <v>13549</v>
      </c>
      <c r="AB575" s="12">
        <v>661</v>
      </c>
    </row>
    <row r="576" ht="14.25" spans="1:28">
      <c r="A576" s="13">
        <v>574</v>
      </c>
      <c r="B576" s="15">
        <v>12</v>
      </c>
      <c r="C576" s="16">
        <v>21</v>
      </c>
      <c r="D576" s="17" t="s">
        <v>1156</v>
      </c>
      <c r="E576" s="17" t="s">
        <v>1157</v>
      </c>
      <c r="F576" s="17">
        <v>105</v>
      </c>
      <c r="G576" s="17">
        <v>1427</v>
      </c>
      <c r="H576" s="17">
        <v>94.5</v>
      </c>
      <c r="I576" s="17">
        <v>4840</v>
      </c>
      <c r="J576" s="17">
        <v>104.75</v>
      </c>
      <c r="K576" s="17">
        <v>2246</v>
      </c>
      <c r="L576" s="17">
        <v>48.5</v>
      </c>
      <c r="M576" s="17">
        <v>4255</v>
      </c>
      <c r="N576" s="17"/>
      <c r="O576" s="17"/>
      <c r="P576" s="17">
        <v>80</v>
      </c>
      <c r="Q576" s="17">
        <v>2333</v>
      </c>
      <c r="R576" s="17">
        <v>79</v>
      </c>
      <c r="S576" s="17">
        <v>2629</v>
      </c>
      <c r="T576" s="17"/>
      <c r="U576" s="17"/>
      <c r="V576" s="17"/>
      <c r="W576" s="17"/>
      <c r="X576" s="15">
        <v>304.25</v>
      </c>
      <c r="Y576" s="17">
        <v>243</v>
      </c>
      <c r="Z576" s="17">
        <v>511.75</v>
      </c>
      <c r="AA576" s="17">
        <v>2690</v>
      </c>
      <c r="AB576" s="12">
        <v>264</v>
      </c>
    </row>
    <row r="577" ht="14.25" spans="1:28">
      <c r="A577" s="13">
        <v>575</v>
      </c>
      <c r="B577" s="15">
        <v>12</v>
      </c>
      <c r="C577" s="16">
        <v>22</v>
      </c>
      <c r="D577" s="17" t="s">
        <v>1158</v>
      </c>
      <c r="E577" s="17" t="s">
        <v>1159</v>
      </c>
      <c r="F577" s="17">
        <v>78</v>
      </c>
      <c r="G577" s="17">
        <v>15316</v>
      </c>
      <c r="H577" s="17">
        <v>63</v>
      </c>
      <c r="I577" s="17">
        <v>11279</v>
      </c>
      <c r="J577" s="17">
        <v>68.5</v>
      </c>
      <c r="K577" s="17">
        <v>10662</v>
      </c>
      <c r="L577" s="17">
        <v>34.5</v>
      </c>
      <c r="M577" s="17">
        <v>7899</v>
      </c>
      <c r="N577" s="17"/>
      <c r="O577" s="17"/>
      <c r="P577" s="17">
        <v>39</v>
      </c>
      <c r="Q577" s="17">
        <v>11920</v>
      </c>
      <c r="R577" s="17">
        <v>71</v>
      </c>
      <c r="S577" s="17">
        <v>5151</v>
      </c>
      <c r="T577" s="17"/>
      <c r="U577" s="17"/>
      <c r="V577" s="17"/>
      <c r="W577" s="17"/>
      <c r="X577" s="15">
        <v>209.5</v>
      </c>
      <c r="Y577" s="17">
        <v>660</v>
      </c>
      <c r="Z577" s="17">
        <v>354</v>
      </c>
      <c r="AA577" s="17">
        <v>12660</v>
      </c>
      <c r="AB577" s="12">
        <v>659</v>
      </c>
    </row>
    <row r="578" ht="14.25" spans="1:28">
      <c r="A578" s="13">
        <v>576</v>
      </c>
      <c r="B578" s="15">
        <v>12</v>
      </c>
      <c r="C578" s="16">
        <v>23</v>
      </c>
      <c r="D578" s="17" t="s">
        <v>1160</v>
      </c>
      <c r="E578" s="17" t="s">
        <v>1161</v>
      </c>
      <c r="F578" s="17">
        <v>92</v>
      </c>
      <c r="G578" s="17">
        <v>7994</v>
      </c>
      <c r="H578" s="17">
        <v>93.5</v>
      </c>
      <c r="I578" s="17">
        <v>5060</v>
      </c>
      <c r="J578" s="17">
        <v>78</v>
      </c>
      <c r="K578" s="17">
        <v>8318</v>
      </c>
      <c r="L578" s="17">
        <v>63.5</v>
      </c>
      <c r="M578" s="17">
        <v>1636</v>
      </c>
      <c r="N578" s="17"/>
      <c r="O578" s="17"/>
      <c r="P578" s="17">
        <v>56</v>
      </c>
      <c r="Q578" s="17">
        <v>9899</v>
      </c>
      <c r="R578" s="17">
        <v>73</v>
      </c>
      <c r="S578" s="17">
        <v>4436</v>
      </c>
      <c r="T578" s="17"/>
      <c r="U578" s="17"/>
      <c r="V578" s="17"/>
      <c r="W578" s="17"/>
      <c r="X578" s="15">
        <v>263.5</v>
      </c>
      <c r="Y578" s="17">
        <v>563</v>
      </c>
      <c r="Z578" s="17">
        <v>456</v>
      </c>
      <c r="AA578" s="17">
        <v>5731</v>
      </c>
      <c r="AB578" s="12">
        <v>524</v>
      </c>
    </row>
    <row r="579" ht="14.25" spans="1:28">
      <c r="A579" s="13">
        <v>577</v>
      </c>
      <c r="B579" s="15">
        <v>12</v>
      </c>
      <c r="C579" s="16">
        <v>25</v>
      </c>
      <c r="D579" s="17" t="s">
        <v>1162</v>
      </c>
      <c r="E579" s="17" t="s">
        <v>1163</v>
      </c>
      <c r="F579" s="17">
        <v>103</v>
      </c>
      <c r="G579" s="17">
        <v>2094</v>
      </c>
      <c r="H579" s="17">
        <v>97.5</v>
      </c>
      <c r="I579" s="17">
        <v>4244</v>
      </c>
      <c r="J579" s="17">
        <v>82</v>
      </c>
      <c r="K579" s="17">
        <v>7249</v>
      </c>
      <c r="L579" s="17">
        <v>48</v>
      </c>
      <c r="M579" s="17">
        <v>4355</v>
      </c>
      <c r="N579" s="17"/>
      <c r="O579" s="17"/>
      <c r="P579" s="17">
        <v>51</v>
      </c>
      <c r="Q579" s="17">
        <v>10643</v>
      </c>
      <c r="R579" s="17">
        <v>75</v>
      </c>
      <c r="S579" s="17">
        <v>3790</v>
      </c>
      <c r="T579" s="17"/>
      <c r="U579" s="17"/>
      <c r="V579" s="17"/>
      <c r="W579" s="17"/>
      <c r="X579" s="15">
        <v>282.5</v>
      </c>
      <c r="Y579" s="17">
        <v>425</v>
      </c>
      <c r="Z579" s="17">
        <v>456.5</v>
      </c>
      <c r="AA579" s="17">
        <v>5705</v>
      </c>
      <c r="AB579" s="12">
        <v>522</v>
      </c>
    </row>
    <row r="580" ht="14.25" spans="1:28">
      <c r="A580" s="13">
        <v>578</v>
      </c>
      <c r="B580" s="15">
        <v>12</v>
      </c>
      <c r="C580" s="16">
        <v>26</v>
      </c>
      <c r="D580" s="17" t="s">
        <v>1164</v>
      </c>
      <c r="E580" s="17" t="s">
        <v>1165</v>
      </c>
      <c r="F580" s="17">
        <v>91.25</v>
      </c>
      <c r="G580" s="17">
        <v>8581</v>
      </c>
      <c r="H580" s="17">
        <v>101</v>
      </c>
      <c r="I580" s="17">
        <v>3563</v>
      </c>
      <c r="J580" s="17">
        <v>92</v>
      </c>
      <c r="K580" s="17">
        <v>4787</v>
      </c>
      <c r="L580" s="17">
        <v>58.5</v>
      </c>
      <c r="M580" s="17">
        <v>2451</v>
      </c>
      <c r="N580" s="17"/>
      <c r="O580" s="17"/>
      <c r="P580" s="17">
        <v>78</v>
      </c>
      <c r="Q580" s="17">
        <v>2908</v>
      </c>
      <c r="R580" s="17">
        <v>69</v>
      </c>
      <c r="S580" s="17">
        <v>5677</v>
      </c>
      <c r="T580" s="17"/>
      <c r="U580" s="17"/>
      <c r="V580" s="17"/>
      <c r="W580" s="17"/>
      <c r="X580" s="15">
        <v>284.25</v>
      </c>
      <c r="Y580" s="17">
        <v>407</v>
      </c>
      <c r="Z580" s="17">
        <v>489.75</v>
      </c>
      <c r="AA580" s="17">
        <v>3763</v>
      </c>
      <c r="AB580" s="12">
        <v>375</v>
      </c>
    </row>
    <row r="581" ht="14.25" spans="1:28">
      <c r="A581" s="13">
        <v>579</v>
      </c>
      <c r="B581" s="15">
        <v>12</v>
      </c>
      <c r="C581" s="16">
        <v>27</v>
      </c>
      <c r="D581" s="17" t="s">
        <v>1166</v>
      </c>
      <c r="E581" s="17" t="s">
        <v>1167</v>
      </c>
      <c r="F581" s="17">
        <v>93</v>
      </c>
      <c r="G581" s="17">
        <v>7407</v>
      </c>
      <c r="H581" s="17">
        <v>84.5</v>
      </c>
      <c r="I581" s="17">
        <v>7091</v>
      </c>
      <c r="J581" s="17">
        <v>83</v>
      </c>
      <c r="K581" s="17">
        <v>6990</v>
      </c>
      <c r="L581" s="17">
        <v>26</v>
      </c>
      <c r="M581" s="17">
        <v>11124</v>
      </c>
      <c r="N581" s="17"/>
      <c r="O581" s="17"/>
      <c r="P581" s="17">
        <v>55</v>
      </c>
      <c r="Q581" s="17">
        <v>10022</v>
      </c>
      <c r="R581" s="17">
        <v>50</v>
      </c>
      <c r="S581" s="17">
        <v>11165</v>
      </c>
      <c r="T581" s="17"/>
      <c r="U581" s="17"/>
      <c r="V581" s="17"/>
      <c r="W581" s="17"/>
      <c r="X581" s="15">
        <v>260.5</v>
      </c>
      <c r="Y581" s="17">
        <v>581</v>
      </c>
      <c r="Z581" s="17">
        <v>391.5</v>
      </c>
      <c r="AA581" s="17">
        <v>10244</v>
      </c>
      <c r="AB581" s="12">
        <v>644</v>
      </c>
    </row>
    <row r="582" ht="14.25" spans="1:28">
      <c r="A582" s="13">
        <v>580</v>
      </c>
      <c r="B582" s="15">
        <v>12</v>
      </c>
      <c r="C582" s="16">
        <v>28</v>
      </c>
      <c r="D582" s="17" t="s">
        <v>1168</v>
      </c>
      <c r="E582" s="17" t="s">
        <v>1169</v>
      </c>
      <c r="F582" s="17">
        <v>88.75</v>
      </c>
      <c r="G582" s="17">
        <v>10255</v>
      </c>
      <c r="H582" s="17">
        <v>98.5</v>
      </c>
      <c r="I582" s="17">
        <v>4047</v>
      </c>
      <c r="J582" s="17">
        <v>82.25</v>
      </c>
      <c r="K582" s="17">
        <v>7208</v>
      </c>
      <c r="L582" s="17">
        <v>38.5</v>
      </c>
      <c r="M582" s="17">
        <v>6692</v>
      </c>
      <c r="N582" s="17"/>
      <c r="O582" s="17"/>
      <c r="P582" s="17">
        <v>58</v>
      </c>
      <c r="Q582" s="17">
        <v>9299</v>
      </c>
      <c r="R582" s="17">
        <v>37</v>
      </c>
      <c r="S582" s="17">
        <v>12748</v>
      </c>
      <c r="T582" s="17"/>
      <c r="U582" s="17"/>
      <c r="V582" s="17"/>
      <c r="W582" s="17"/>
      <c r="X582" s="15">
        <v>269.5</v>
      </c>
      <c r="Y582" s="17">
        <v>536</v>
      </c>
      <c r="Z582" s="17">
        <v>403</v>
      </c>
      <c r="AA582" s="17">
        <v>9452</v>
      </c>
      <c r="AB582" s="12">
        <v>639</v>
      </c>
    </row>
    <row r="583" ht="14.25" spans="1:28">
      <c r="A583" s="13">
        <v>581</v>
      </c>
      <c r="B583" s="15">
        <v>12</v>
      </c>
      <c r="C583" s="16">
        <v>29</v>
      </c>
      <c r="D583" s="17" t="s">
        <v>1170</v>
      </c>
      <c r="E583" s="17" t="s">
        <v>1171</v>
      </c>
      <c r="F583" s="17">
        <v>90</v>
      </c>
      <c r="G583" s="17">
        <v>9312</v>
      </c>
      <c r="H583" s="17">
        <v>63.5</v>
      </c>
      <c r="I583" s="17">
        <v>11189</v>
      </c>
      <c r="J583" s="17">
        <v>88.5</v>
      </c>
      <c r="K583" s="17">
        <v>5628</v>
      </c>
      <c r="L583" s="17">
        <v>21</v>
      </c>
      <c r="M583" s="17">
        <v>13491</v>
      </c>
      <c r="N583" s="17"/>
      <c r="O583" s="17"/>
      <c r="P583" s="17">
        <v>55</v>
      </c>
      <c r="Q583" s="17">
        <v>10022</v>
      </c>
      <c r="R583" s="17">
        <v>70</v>
      </c>
      <c r="S583" s="17">
        <v>5497</v>
      </c>
      <c r="T583" s="17"/>
      <c r="U583" s="17"/>
      <c r="V583" s="17"/>
      <c r="W583" s="17"/>
      <c r="X583" s="15">
        <v>242</v>
      </c>
      <c r="Y583" s="17">
        <v>626</v>
      </c>
      <c r="Z583" s="17">
        <v>388</v>
      </c>
      <c r="AA583" s="17">
        <v>10517</v>
      </c>
      <c r="AB583" s="12">
        <v>646</v>
      </c>
    </row>
    <row r="584" ht="14.25" spans="1:28">
      <c r="A584" s="13">
        <v>582</v>
      </c>
      <c r="B584" s="15">
        <v>12</v>
      </c>
      <c r="C584" s="16">
        <v>30</v>
      </c>
      <c r="D584" s="17" t="s">
        <v>1172</v>
      </c>
      <c r="E584" s="17" t="s">
        <v>1173</v>
      </c>
      <c r="F584" s="17">
        <v>93</v>
      </c>
      <c r="G584" s="17">
        <v>7407</v>
      </c>
      <c r="H584" s="17">
        <v>73.5</v>
      </c>
      <c r="I584" s="17">
        <v>9309</v>
      </c>
      <c r="J584" s="17">
        <v>65.25</v>
      </c>
      <c r="K584" s="17">
        <v>11436</v>
      </c>
      <c r="L584" s="17">
        <v>36.5</v>
      </c>
      <c r="M584" s="17">
        <v>7270</v>
      </c>
      <c r="N584" s="17"/>
      <c r="O584" s="17"/>
      <c r="P584" s="17">
        <v>75</v>
      </c>
      <c r="Q584" s="17">
        <v>3841</v>
      </c>
      <c r="R584" s="17">
        <v>71</v>
      </c>
      <c r="S584" s="17">
        <v>5151</v>
      </c>
      <c r="T584" s="17"/>
      <c r="U584" s="17"/>
      <c r="V584" s="17"/>
      <c r="W584" s="17"/>
      <c r="X584" s="15">
        <v>231.75</v>
      </c>
      <c r="Y584" s="17">
        <v>644</v>
      </c>
      <c r="Z584" s="17">
        <v>414.25</v>
      </c>
      <c r="AA584" s="17">
        <v>8636</v>
      </c>
      <c r="AB584" s="12">
        <v>627</v>
      </c>
    </row>
    <row r="585" ht="14.25" spans="1:28">
      <c r="A585" s="13">
        <v>583</v>
      </c>
      <c r="B585" s="15">
        <v>12</v>
      </c>
      <c r="C585" s="16">
        <v>31</v>
      </c>
      <c r="D585" s="17" t="s">
        <v>1174</v>
      </c>
      <c r="E585" s="17" t="s">
        <v>1175</v>
      </c>
      <c r="F585" s="17">
        <v>103</v>
      </c>
      <c r="G585" s="17">
        <v>2094</v>
      </c>
      <c r="H585" s="17">
        <v>97</v>
      </c>
      <c r="I585" s="17">
        <v>4348</v>
      </c>
      <c r="J585" s="17">
        <v>92</v>
      </c>
      <c r="K585" s="17">
        <v>4787</v>
      </c>
      <c r="L585" s="17">
        <v>40</v>
      </c>
      <c r="M585" s="17">
        <v>6265</v>
      </c>
      <c r="N585" s="17"/>
      <c r="O585" s="17"/>
      <c r="P585" s="17">
        <v>51</v>
      </c>
      <c r="Q585" s="17">
        <v>10643</v>
      </c>
      <c r="R585" s="17">
        <v>86</v>
      </c>
      <c r="S585" s="17">
        <v>1176</v>
      </c>
      <c r="T585" s="17"/>
      <c r="U585" s="17"/>
      <c r="V585" s="17"/>
      <c r="W585" s="17"/>
      <c r="X585" s="15">
        <v>292</v>
      </c>
      <c r="Y585" s="17">
        <v>350</v>
      </c>
      <c r="Z585" s="17">
        <v>469</v>
      </c>
      <c r="AA585" s="17">
        <v>4901</v>
      </c>
      <c r="AB585" s="12">
        <v>462</v>
      </c>
    </row>
    <row r="586" ht="14.25" spans="1:28">
      <c r="A586" s="13">
        <v>584</v>
      </c>
      <c r="B586" s="15">
        <v>12</v>
      </c>
      <c r="C586" s="16">
        <v>33</v>
      </c>
      <c r="D586" s="17" t="s">
        <v>1176</v>
      </c>
      <c r="E586" s="17" t="s">
        <v>1177</v>
      </c>
      <c r="F586" s="17">
        <v>78.5</v>
      </c>
      <c r="G586" s="17">
        <v>15156</v>
      </c>
      <c r="H586" s="17">
        <v>98.5</v>
      </c>
      <c r="I586" s="17">
        <v>4047</v>
      </c>
      <c r="J586" s="17">
        <v>61</v>
      </c>
      <c r="K586" s="17">
        <v>12262</v>
      </c>
      <c r="L586" s="17">
        <v>29</v>
      </c>
      <c r="M586" s="17">
        <v>9872</v>
      </c>
      <c r="N586" s="17"/>
      <c r="O586" s="17"/>
      <c r="P586" s="17">
        <v>46</v>
      </c>
      <c r="Q586" s="17">
        <v>11292</v>
      </c>
      <c r="R586" s="17">
        <v>50</v>
      </c>
      <c r="S586" s="17">
        <v>11165</v>
      </c>
      <c r="T586" s="17"/>
      <c r="U586" s="17"/>
      <c r="V586" s="17"/>
      <c r="W586" s="17"/>
      <c r="X586" s="15">
        <v>238</v>
      </c>
      <c r="Y586" s="17">
        <v>634</v>
      </c>
      <c r="Z586" s="17">
        <v>363</v>
      </c>
      <c r="AA586" s="17">
        <v>12102</v>
      </c>
      <c r="AB586" s="12">
        <v>656</v>
      </c>
    </row>
    <row r="587" ht="14.25" spans="1:28">
      <c r="A587" s="13">
        <v>585</v>
      </c>
      <c r="B587" s="15">
        <v>12</v>
      </c>
      <c r="C587" s="16">
        <v>34</v>
      </c>
      <c r="D587" s="17" t="s">
        <v>1178</v>
      </c>
      <c r="E587" s="17" t="s">
        <v>1179</v>
      </c>
      <c r="F587" s="17">
        <v>91.5</v>
      </c>
      <c r="G587" s="17">
        <v>8306</v>
      </c>
      <c r="H587" s="17">
        <v>115.5</v>
      </c>
      <c r="I587" s="17">
        <v>1149</v>
      </c>
      <c r="J587" s="17">
        <v>92</v>
      </c>
      <c r="K587" s="17">
        <v>4787</v>
      </c>
      <c r="L587" s="17">
        <v>58.5</v>
      </c>
      <c r="M587" s="17">
        <v>2451</v>
      </c>
      <c r="N587" s="17"/>
      <c r="O587" s="17"/>
      <c r="P587" s="17">
        <v>88</v>
      </c>
      <c r="Q587" s="17">
        <v>397</v>
      </c>
      <c r="R587" s="17">
        <v>75</v>
      </c>
      <c r="S587" s="17">
        <v>3790</v>
      </c>
      <c r="T587" s="17"/>
      <c r="U587" s="17"/>
      <c r="V587" s="17"/>
      <c r="W587" s="17"/>
      <c r="X587" s="15">
        <v>299</v>
      </c>
      <c r="Y587" s="17">
        <v>284</v>
      </c>
      <c r="Z587" s="17">
        <v>520.5</v>
      </c>
      <c r="AA587" s="17">
        <v>2332</v>
      </c>
      <c r="AB587" s="12">
        <v>214</v>
      </c>
    </row>
    <row r="588" ht="14.25" spans="1:28">
      <c r="A588" s="13">
        <v>586</v>
      </c>
      <c r="B588" s="15">
        <v>12</v>
      </c>
      <c r="C588" s="16">
        <v>35</v>
      </c>
      <c r="D588" s="17" t="s">
        <v>1180</v>
      </c>
      <c r="E588" s="17" t="s">
        <v>1181</v>
      </c>
      <c r="F588" s="17">
        <v>86.75</v>
      </c>
      <c r="G588" s="17">
        <v>11488</v>
      </c>
      <c r="H588" s="17">
        <v>106.5</v>
      </c>
      <c r="I588" s="17">
        <v>2542</v>
      </c>
      <c r="J588" s="17">
        <v>65</v>
      </c>
      <c r="K588" s="17">
        <v>11480</v>
      </c>
      <c r="L588" s="17">
        <v>47</v>
      </c>
      <c r="M588" s="17">
        <v>4568</v>
      </c>
      <c r="N588" s="17"/>
      <c r="O588" s="17"/>
      <c r="P588" s="17">
        <v>54</v>
      </c>
      <c r="Q588" s="17">
        <v>10153</v>
      </c>
      <c r="R588" s="17">
        <v>50</v>
      </c>
      <c r="S588" s="17">
        <v>11165</v>
      </c>
      <c r="T588" s="17"/>
      <c r="U588" s="17"/>
      <c r="V588" s="17"/>
      <c r="W588" s="17"/>
      <c r="X588" s="15">
        <v>258.25</v>
      </c>
      <c r="Y588" s="17">
        <v>588</v>
      </c>
      <c r="Z588" s="17">
        <v>409.25</v>
      </c>
      <c r="AA588" s="17">
        <v>8999</v>
      </c>
      <c r="AB588" s="12">
        <v>633</v>
      </c>
    </row>
    <row r="589" ht="14.25" spans="1:28">
      <c r="A589" s="13">
        <v>587</v>
      </c>
      <c r="B589" s="15">
        <v>12</v>
      </c>
      <c r="C589" s="16">
        <v>37</v>
      </c>
      <c r="D589" s="17" t="s">
        <v>1182</v>
      </c>
      <c r="E589" s="17" t="s">
        <v>1183</v>
      </c>
      <c r="F589" s="17">
        <v>91.5</v>
      </c>
      <c r="G589" s="17">
        <v>8306</v>
      </c>
      <c r="H589" s="17">
        <v>98.5</v>
      </c>
      <c r="I589" s="17">
        <v>4047</v>
      </c>
      <c r="J589" s="17">
        <v>105</v>
      </c>
      <c r="K589" s="17">
        <v>2184</v>
      </c>
      <c r="L589" s="17">
        <v>33</v>
      </c>
      <c r="M589" s="17">
        <v>8387</v>
      </c>
      <c r="N589" s="17"/>
      <c r="O589" s="17"/>
      <c r="P589" s="17">
        <v>75</v>
      </c>
      <c r="Q589" s="17">
        <v>3841</v>
      </c>
      <c r="R589" s="17">
        <v>65</v>
      </c>
      <c r="S589" s="17">
        <v>7060</v>
      </c>
      <c r="T589" s="17"/>
      <c r="U589" s="17"/>
      <c r="V589" s="17"/>
      <c r="W589" s="17"/>
      <c r="X589" s="15">
        <v>295</v>
      </c>
      <c r="Y589" s="17">
        <v>314</v>
      </c>
      <c r="Z589" s="17">
        <v>468</v>
      </c>
      <c r="AA589" s="17">
        <v>4971</v>
      </c>
      <c r="AB589" s="12">
        <v>467</v>
      </c>
    </row>
    <row r="590" ht="14.25" spans="1:28">
      <c r="A590" s="13">
        <v>588</v>
      </c>
      <c r="B590" s="15">
        <v>12</v>
      </c>
      <c r="C590" s="16">
        <v>38</v>
      </c>
      <c r="D590" s="17" t="s">
        <v>1184</v>
      </c>
      <c r="E590" s="17" t="s">
        <v>1185</v>
      </c>
      <c r="F590" s="17">
        <v>93</v>
      </c>
      <c r="G590" s="17">
        <v>7407</v>
      </c>
      <c r="H590" s="17">
        <v>89.5</v>
      </c>
      <c r="I590" s="17">
        <v>5946</v>
      </c>
      <c r="J590" s="17">
        <v>95</v>
      </c>
      <c r="K590" s="17">
        <v>4092</v>
      </c>
      <c r="L590" s="17">
        <v>64.5</v>
      </c>
      <c r="M590" s="17">
        <v>1506</v>
      </c>
      <c r="N590" s="17"/>
      <c r="O590" s="17"/>
      <c r="P590" s="17">
        <v>64</v>
      </c>
      <c r="Q590" s="17">
        <v>7304</v>
      </c>
      <c r="R590" s="17">
        <v>75</v>
      </c>
      <c r="S590" s="17">
        <v>3790</v>
      </c>
      <c r="T590" s="17"/>
      <c r="U590" s="17"/>
      <c r="V590" s="17"/>
      <c r="W590" s="17"/>
      <c r="X590" s="15">
        <v>277.5</v>
      </c>
      <c r="Y590" s="17">
        <v>480</v>
      </c>
      <c r="Z590" s="17">
        <v>481</v>
      </c>
      <c r="AA590" s="17">
        <v>4224</v>
      </c>
      <c r="AB590" s="12">
        <v>417</v>
      </c>
    </row>
    <row r="591" ht="14.25" spans="1:28">
      <c r="A591" s="13">
        <v>589</v>
      </c>
      <c r="B591" s="15">
        <v>12</v>
      </c>
      <c r="C591" s="16">
        <v>39</v>
      </c>
      <c r="D591" s="17" t="s">
        <v>1186</v>
      </c>
      <c r="E591" s="17" t="s">
        <v>1187</v>
      </c>
      <c r="F591" s="17">
        <v>98</v>
      </c>
      <c r="G591" s="17">
        <v>4423</v>
      </c>
      <c r="H591" s="17">
        <v>116</v>
      </c>
      <c r="I591" s="17">
        <v>1095</v>
      </c>
      <c r="J591" s="17">
        <v>73.25</v>
      </c>
      <c r="K591" s="17">
        <v>9584</v>
      </c>
      <c r="L591" s="17">
        <v>65</v>
      </c>
      <c r="M591" s="17">
        <v>1440</v>
      </c>
      <c r="N591" s="17"/>
      <c r="O591" s="17"/>
      <c r="P591" s="17">
        <v>73</v>
      </c>
      <c r="Q591" s="17">
        <v>4501</v>
      </c>
      <c r="R591" s="17">
        <v>81</v>
      </c>
      <c r="S591" s="17">
        <v>2139</v>
      </c>
      <c r="T591" s="17"/>
      <c r="U591" s="17"/>
      <c r="V591" s="17"/>
      <c r="W591" s="17"/>
      <c r="X591" s="15">
        <v>287.25</v>
      </c>
      <c r="Y591" s="17">
        <v>384</v>
      </c>
      <c r="Z591" s="17">
        <v>506.25</v>
      </c>
      <c r="AA591" s="17">
        <v>2951</v>
      </c>
      <c r="AB591" s="12">
        <v>290</v>
      </c>
    </row>
    <row r="592" ht="14.25" spans="1:28">
      <c r="A592" s="13">
        <v>590</v>
      </c>
      <c r="B592" s="15">
        <v>12</v>
      </c>
      <c r="C592" s="16">
        <v>40</v>
      </c>
      <c r="D592" s="17" t="s">
        <v>1188</v>
      </c>
      <c r="E592" s="17" t="s">
        <v>1189</v>
      </c>
      <c r="F592" s="17">
        <v>105</v>
      </c>
      <c r="G592" s="17">
        <v>1427</v>
      </c>
      <c r="H592" s="17">
        <v>89.5</v>
      </c>
      <c r="I592" s="17">
        <v>5946</v>
      </c>
      <c r="J592" s="17">
        <v>105.5</v>
      </c>
      <c r="K592" s="17">
        <v>2098</v>
      </c>
      <c r="L592" s="17">
        <v>48.5</v>
      </c>
      <c r="M592" s="17">
        <v>4255</v>
      </c>
      <c r="N592" s="17"/>
      <c r="O592" s="17"/>
      <c r="P592" s="17">
        <v>74</v>
      </c>
      <c r="Q592" s="17">
        <v>4168</v>
      </c>
      <c r="R592" s="17">
        <v>67</v>
      </c>
      <c r="S592" s="17">
        <v>6298</v>
      </c>
      <c r="T592" s="17"/>
      <c r="U592" s="17"/>
      <c r="V592" s="17"/>
      <c r="W592" s="17"/>
      <c r="X592" s="15">
        <v>300</v>
      </c>
      <c r="Y592" s="17">
        <v>276</v>
      </c>
      <c r="Z592" s="17">
        <v>489.5</v>
      </c>
      <c r="AA592" s="17">
        <v>3772</v>
      </c>
      <c r="AB592" s="12">
        <v>377</v>
      </c>
    </row>
    <row r="593" ht="14.25" spans="1:28">
      <c r="A593" s="13">
        <v>591</v>
      </c>
      <c r="B593" s="15">
        <v>12</v>
      </c>
      <c r="C593" s="16">
        <v>41</v>
      </c>
      <c r="D593" s="17" t="s">
        <v>1190</v>
      </c>
      <c r="E593" s="17" t="s">
        <v>1191</v>
      </c>
      <c r="F593" s="17">
        <v>91.75</v>
      </c>
      <c r="G593" s="17">
        <v>8279</v>
      </c>
      <c r="H593" s="17">
        <v>91.5</v>
      </c>
      <c r="I593" s="17">
        <v>5528</v>
      </c>
      <c r="J593" s="17">
        <v>94.75</v>
      </c>
      <c r="K593" s="17">
        <v>4171</v>
      </c>
      <c r="L593" s="17">
        <v>35</v>
      </c>
      <c r="M593" s="17">
        <v>7732</v>
      </c>
      <c r="N593" s="17"/>
      <c r="O593" s="17"/>
      <c r="P593" s="17">
        <v>69</v>
      </c>
      <c r="Q593" s="17">
        <v>5655</v>
      </c>
      <c r="R593" s="17">
        <v>87</v>
      </c>
      <c r="S593" s="17">
        <v>883</v>
      </c>
      <c r="T593" s="17"/>
      <c r="U593" s="17"/>
      <c r="V593" s="17"/>
      <c r="W593" s="17"/>
      <c r="X593" s="15">
        <v>278</v>
      </c>
      <c r="Y593" s="17">
        <v>469</v>
      </c>
      <c r="Z593" s="17">
        <v>469</v>
      </c>
      <c r="AA593" s="17">
        <v>4901</v>
      </c>
      <c r="AB593" s="12">
        <v>462</v>
      </c>
    </row>
    <row r="594" ht="14.25" spans="1:28">
      <c r="A594" s="13">
        <v>592</v>
      </c>
      <c r="B594" s="15">
        <v>12</v>
      </c>
      <c r="C594" s="16">
        <v>42</v>
      </c>
      <c r="D594" s="17" t="s">
        <v>1192</v>
      </c>
      <c r="E594" s="17" t="s">
        <v>1193</v>
      </c>
      <c r="F594" s="17">
        <v>103</v>
      </c>
      <c r="G594" s="17">
        <v>2094</v>
      </c>
      <c r="H594" s="17">
        <v>98</v>
      </c>
      <c r="I594" s="17">
        <v>4147</v>
      </c>
      <c r="J594" s="17">
        <v>97.5</v>
      </c>
      <c r="K594" s="17">
        <v>3545</v>
      </c>
      <c r="L594" s="17">
        <v>57</v>
      </c>
      <c r="M594" s="17">
        <v>2714</v>
      </c>
      <c r="N594" s="17"/>
      <c r="O594" s="17"/>
      <c r="P594" s="17">
        <v>77</v>
      </c>
      <c r="Q594" s="17">
        <v>3207</v>
      </c>
      <c r="R594" s="17">
        <v>89</v>
      </c>
      <c r="S594" s="17">
        <v>415</v>
      </c>
      <c r="T594" s="17"/>
      <c r="U594" s="17"/>
      <c r="V594" s="17"/>
      <c r="W594" s="17"/>
      <c r="X594" s="15">
        <v>298.5</v>
      </c>
      <c r="Y594" s="17">
        <v>289</v>
      </c>
      <c r="Z594" s="17">
        <v>521.5</v>
      </c>
      <c r="AA594" s="17">
        <v>2298</v>
      </c>
      <c r="AB594" s="12">
        <v>209</v>
      </c>
    </row>
    <row r="595" ht="14.25" spans="1:28">
      <c r="A595" s="13">
        <v>593</v>
      </c>
      <c r="B595" s="15">
        <v>12</v>
      </c>
      <c r="C595" s="16">
        <v>43</v>
      </c>
      <c r="D595" s="17" t="s">
        <v>1194</v>
      </c>
      <c r="E595" s="17" t="s">
        <v>1195</v>
      </c>
      <c r="F595" s="17">
        <v>82</v>
      </c>
      <c r="G595" s="17">
        <v>13863</v>
      </c>
      <c r="H595" s="17">
        <v>109</v>
      </c>
      <c r="I595" s="17">
        <v>2105</v>
      </c>
      <c r="J595" s="17">
        <v>73.5</v>
      </c>
      <c r="K595" s="17">
        <v>9484</v>
      </c>
      <c r="L595" s="17">
        <v>43.5</v>
      </c>
      <c r="M595" s="17">
        <v>5353</v>
      </c>
      <c r="N595" s="17"/>
      <c r="O595" s="17"/>
      <c r="P595" s="17">
        <v>72</v>
      </c>
      <c r="Q595" s="17">
        <v>4881</v>
      </c>
      <c r="R595" s="17">
        <v>73</v>
      </c>
      <c r="S595" s="17">
        <v>4436</v>
      </c>
      <c r="T595" s="17"/>
      <c r="U595" s="17"/>
      <c r="V595" s="17"/>
      <c r="W595" s="17"/>
      <c r="X595" s="15">
        <v>264.5</v>
      </c>
      <c r="Y595" s="17">
        <v>560</v>
      </c>
      <c r="Z595" s="17">
        <v>453</v>
      </c>
      <c r="AA595" s="17">
        <v>5915</v>
      </c>
      <c r="AB595" s="12">
        <v>532</v>
      </c>
    </row>
    <row r="596" ht="14.25" spans="1:28">
      <c r="A596" s="13">
        <v>594</v>
      </c>
      <c r="B596" s="15">
        <v>12</v>
      </c>
      <c r="C596" s="16">
        <v>44</v>
      </c>
      <c r="D596" s="17" t="s">
        <v>1196</v>
      </c>
      <c r="E596" s="17" t="s">
        <v>1197</v>
      </c>
      <c r="F596" s="17">
        <v>103.5</v>
      </c>
      <c r="G596" s="17">
        <v>1897</v>
      </c>
      <c r="H596" s="17">
        <v>115.5</v>
      </c>
      <c r="I596" s="17">
        <v>1149</v>
      </c>
      <c r="J596" s="17">
        <v>75.25</v>
      </c>
      <c r="K596" s="17">
        <v>9049</v>
      </c>
      <c r="L596" s="17">
        <v>69</v>
      </c>
      <c r="M596" s="17">
        <v>949</v>
      </c>
      <c r="N596" s="17"/>
      <c r="O596" s="17"/>
      <c r="P596" s="17">
        <v>73</v>
      </c>
      <c r="Q596" s="17">
        <v>4501</v>
      </c>
      <c r="R596" s="17">
        <v>81</v>
      </c>
      <c r="S596" s="17">
        <v>2139</v>
      </c>
      <c r="T596" s="17"/>
      <c r="U596" s="17"/>
      <c r="V596" s="17"/>
      <c r="W596" s="17"/>
      <c r="X596" s="15">
        <v>294.25</v>
      </c>
      <c r="Y596" s="17">
        <v>324</v>
      </c>
      <c r="Z596" s="17">
        <v>517.25</v>
      </c>
      <c r="AA596" s="17">
        <v>2449</v>
      </c>
      <c r="AB596" s="12">
        <v>232</v>
      </c>
    </row>
    <row r="597" ht="14.25" spans="1:28">
      <c r="A597" s="13">
        <v>595</v>
      </c>
      <c r="B597" s="15">
        <v>12</v>
      </c>
      <c r="C597" s="16">
        <v>45</v>
      </c>
      <c r="D597" s="17" t="s">
        <v>1198</v>
      </c>
      <c r="E597" s="17" t="s">
        <v>1199</v>
      </c>
      <c r="F597" s="17">
        <v>98</v>
      </c>
      <c r="G597" s="17">
        <v>4423</v>
      </c>
      <c r="H597" s="17">
        <v>110</v>
      </c>
      <c r="I597" s="17">
        <v>1931</v>
      </c>
      <c r="J597" s="17">
        <v>99.25</v>
      </c>
      <c r="K597" s="17">
        <v>3211</v>
      </c>
      <c r="L597" s="17">
        <v>39.5</v>
      </c>
      <c r="M597" s="17">
        <v>6404</v>
      </c>
      <c r="N597" s="17"/>
      <c r="O597" s="17"/>
      <c r="P597" s="17">
        <v>67</v>
      </c>
      <c r="Q597" s="17">
        <v>6384</v>
      </c>
      <c r="R597" s="17">
        <v>69</v>
      </c>
      <c r="S597" s="17">
        <v>5677</v>
      </c>
      <c r="T597" s="17"/>
      <c r="U597" s="17"/>
      <c r="V597" s="17"/>
      <c r="W597" s="17"/>
      <c r="X597" s="15">
        <v>307.25</v>
      </c>
      <c r="Y597" s="17">
        <v>219</v>
      </c>
      <c r="Z597" s="17">
        <v>482.75</v>
      </c>
      <c r="AA597" s="17">
        <v>4122</v>
      </c>
      <c r="AB597" s="12">
        <v>409</v>
      </c>
    </row>
    <row r="598" ht="14.25" spans="1:28">
      <c r="A598" s="13">
        <v>596</v>
      </c>
      <c r="B598" s="15">
        <v>12</v>
      </c>
      <c r="C598" s="16">
        <v>46</v>
      </c>
      <c r="D598" s="17" t="s">
        <v>1200</v>
      </c>
      <c r="E598" s="17" t="s">
        <v>1201</v>
      </c>
      <c r="F598" s="17">
        <v>97</v>
      </c>
      <c r="G598" s="17">
        <v>4967</v>
      </c>
      <c r="H598" s="17">
        <v>90</v>
      </c>
      <c r="I598" s="17">
        <v>5850</v>
      </c>
      <c r="J598" s="17">
        <v>105.75</v>
      </c>
      <c r="K598" s="17">
        <v>2077</v>
      </c>
      <c r="L598" s="17">
        <v>34</v>
      </c>
      <c r="M598" s="17">
        <v>8051</v>
      </c>
      <c r="N598" s="17"/>
      <c r="O598" s="17"/>
      <c r="P598" s="17">
        <v>75</v>
      </c>
      <c r="Q598" s="17">
        <v>3841</v>
      </c>
      <c r="R598" s="17">
        <v>72</v>
      </c>
      <c r="S598" s="17">
        <v>4793</v>
      </c>
      <c r="T598" s="17"/>
      <c r="U598" s="17"/>
      <c r="V598" s="17"/>
      <c r="W598" s="17"/>
      <c r="X598" s="15">
        <v>292.75</v>
      </c>
      <c r="Y598" s="17">
        <v>343</v>
      </c>
      <c r="Z598" s="17">
        <v>473.75</v>
      </c>
      <c r="AA598" s="17">
        <v>4617</v>
      </c>
      <c r="AB598" s="12">
        <v>445</v>
      </c>
    </row>
    <row r="599" ht="14.25" spans="1:28">
      <c r="A599" s="13">
        <v>597</v>
      </c>
      <c r="B599" s="15">
        <v>12</v>
      </c>
      <c r="C599" s="16">
        <v>47</v>
      </c>
      <c r="D599" s="17" t="s">
        <v>1202</v>
      </c>
      <c r="E599" s="17" t="s">
        <v>1203</v>
      </c>
      <c r="F599" s="17">
        <v>100.5</v>
      </c>
      <c r="G599" s="17">
        <v>3131</v>
      </c>
      <c r="H599" s="17">
        <v>91</v>
      </c>
      <c r="I599" s="17">
        <v>5638</v>
      </c>
      <c r="J599" s="17">
        <v>94.5</v>
      </c>
      <c r="K599" s="17">
        <v>4208</v>
      </c>
      <c r="L599" s="17">
        <v>39</v>
      </c>
      <c r="M599" s="17">
        <v>6535</v>
      </c>
      <c r="N599" s="17"/>
      <c r="O599" s="17"/>
      <c r="P599" s="17">
        <v>73</v>
      </c>
      <c r="Q599" s="17">
        <v>4501</v>
      </c>
      <c r="R599" s="17">
        <v>74</v>
      </c>
      <c r="S599" s="17">
        <v>4119</v>
      </c>
      <c r="T599" s="17"/>
      <c r="U599" s="17"/>
      <c r="V599" s="17"/>
      <c r="W599" s="17"/>
      <c r="X599" s="15">
        <v>286</v>
      </c>
      <c r="Y599" s="17">
        <v>392</v>
      </c>
      <c r="Z599" s="17">
        <v>472</v>
      </c>
      <c r="AA599" s="17">
        <v>4725</v>
      </c>
      <c r="AB599" s="12">
        <v>451</v>
      </c>
    </row>
    <row r="600" ht="14.25" spans="1:28">
      <c r="A600" s="13">
        <v>598</v>
      </c>
      <c r="B600" s="15">
        <v>12</v>
      </c>
      <c r="C600" s="16">
        <v>48</v>
      </c>
      <c r="D600" s="17" t="s">
        <v>1204</v>
      </c>
      <c r="E600" s="17" t="s">
        <v>1205</v>
      </c>
      <c r="F600" s="17">
        <v>97.5</v>
      </c>
      <c r="G600" s="17">
        <v>4695</v>
      </c>
      <c r="H600" s="17">
        <v>104</v>
      </c>
      <c r="I600" s="17">
        <v>2999</v>
      </c>
      <c r="J600" s="17">
        <v>76</v>
      </c>
      <c r="K600" s="17">
        <v>8837</v>
      </c>
      <c r="L600" s="17">
        <v>58.5</v>
      </c>
      <c r="M600" s="17">
        <v>2451</v>
      </c>
      <c r="N600" s="17"/>
      <c r="O600" s="17"/>
      <c r="P600" s="17">
        <v>75</v>
      </c>
      <c r="Q600" s="17">
        <v>3841</v>
      </c>
      <c r="R600" s="17">
        <v>73</v>
      </c>
      <c r="S600" s="17">
        <v>4436</v>
      </c>
      <c r="T600" s="17"/>
      <c r="U600" s="17"/>
      <c r="V600" s="17"/>
      <c r="W600" s="17"/>
      <c r="X600" s="15">
        <v>277.5</v>
      </c>
      <c r="Y600" s="17">
        <v>480</v>
      </c>
      <c r="Z600" s="17">
        <v>484</v>
      </c>
      <c r="AA600" s="17">
        <v>4049</v>
      </c>
      <c r="AB600" s="12">
        <v>402</v>
      </c>
    </row>
    <row r="601" ht="14.25" spans="1:28">
      <c r="A601" s="13">
        <v>599</v>
      </c>
      <c r="B601" s="15">
        <v>12</v>
      </c>
      <c r="C601" s="16">
        <v>49</v>
      </c>
      <c r="D601" s="17" t="s">
        <v>1206</v>
      </c>
      <c r="E601" s="17" t="s">
        <v>1207</v>
      </c>
      <c r="F601" s="17">
        <v>100.5</v>
      </c>
      <c r="G601" s="17">
        <v>3131</v>
      </c>
      <c r="H601" s="17">
        <v>93.5</v>
      </c>
      <c r="I601" s="17">
        <v>5060</v>
      </c>
      <c r="J601" s="17">
        <v>85.25</v>
      </c>
      <c r="K601" s="17">
        <v>6452</v>
      </c>
      <c r="L601" s="17">
        <v>43</v>
      </c>
      <c r="M601" s="17">
        <v>5463</v>
      </c>
      <c r="N601" s="17"/>
      <c r="O601" s="17"/>
      <c r="P601" s="17">
        <v>65</v>
      </c>
      <c r="Q601" s="17">
        <v>7113</v>
      </c>
      <c r="R601" s="17">
        <v>72</v>
      </c>
      <c r="S601" s="17">
        <v>4793</v>
      </c>
      <c r="T601" s="17"/>
      <c r="U601" s="17"/>
      <c r="V601" s="17"/>
      <c r="W601" s="17"/>
      <c r="X601" s="15">
        <v>279.25</v>
      </c>
      <c r="Y601" s="17">
        <v>453</v>
      </c>
      <c r="Z601" s="17">
        <v>459.25</v>
      </c>
      <c r="AA601" s="17">
        <v>5521</v>
      </c>
      <c r="AB601" s="12">
        <v>511</v>
      </c>
    </row>
    <row r="602" ht="14.25" spans="1:28">
      <c r="A602" s="13">
        <v>600</v>
      </c>
      <c r="B602" s="15">
        <v>12</v>
      </c>
      <c r="C602" s="16">
        <v>50</v>
      </c>
      <c r="D602" s="17" t="s">
        <v>1208</v>
      </c>
      <c r="E602" s="17" t="s">
        <v>1209</v>
      </c>
      <c r="F602" s="17">
        <v>103.5</v>
      </c>
      <c r="G602" s="17">
        <v>1897</v>
      </c>
      <c r="H602" s="17">
        <v>115</v>
      </c>
      <c r="I602" s="17">
        <v>1213</v>
      </c>
      <c r="J602" s="17">
        <v>87.75</v>
      </c>
      <c r="K602" s="17">
        <v>5835</v>
      </c>
      <c r="L602" s="17">
        <v>77</v>
      </c>
      <c r="M602" s="17">
        <v>299</v>
      </c>
      <c r="N602" s="17"/>
      <c r="O602" s="17"/>
      <c r="P602" s="17">
        <v>72</v>
      </c>
      <c r="Q602" s="17">
        <v>4881</v>
      </c>
      <c r="R602" s="17">
        <v>83</v>
      </c>
      <c r="S602" s="17">
        <v>1715</v>
      </c>
      <c r="T602" s="17"/>
      <c r="U602" s="17"/>
      <c r="V602" s="17"/>
      <c r="W602" s="17"/>
      <c r="X602" s="15">
        <v>306.25</v>
      </c>
      <c r="Y602" s="17">
        <v>225</v>
      </c>
      <c r="Z602" s="17">
        <v>538.25</v>
      </c>
      <c r="AA602" s="17">
        <v>1678</v>
      </c>
      <c r="AB602" s="12">
        <v>137</v>
      </c>
    </row>
    <row r="603" ht="14.25" spans="1:28">
      <c r="A603" s="13">
        <v>601</v>
      </c>
      <c r="B603" s="15">
        <v>12</v>
      </c>
      <c r="C603" s="16">
        <v>51</v>
      </c>
      <c r="D603" s="17" t="s">
        <v>1210</v>
      </c>
      <c r="E603" s="17" t="s">
        <v>1211</v>
      </c>
      <c r="F603" s="17">
        <v>92</v>
      </c>
      <c r="G603" s="17">
        <v>7994</v>
      </c>
      <c r="H603" s="17">
        <v>65</v>
      </c>
      <c r="I603" s="17">
        <v>10886</v>
      </c>
      <c r="J603" s="17">
        <v>75</v>
      </c>
      <c r="K603" s="17">
        <v>9087</v>
      </c>
      <c r="L603" s="17">
        <v>26.5</v>
      </c>
      <c r="M603" s="17">
        <v>10911</v>
      </c>
      <c r="N603" s="17"/>
      <c r="O603" s="17"/>
      <c r="P603" s="17">
        <v>60</v>
      </c>
      <c r="Q603" s="17">
        <v>8673</v>
      </c>
      <c r="R603" s="17">
        <v>60</v>
      </c>
      <c r="S603" s="17">
        <v>8759</v>
      </c>
      <c r="T603" s="17"/>
      <c r="U603" s="17"/>
      <c r="V603" s="17"/>
      <c r="W603" s="17"/>
      <c r="X603" s="15">
        <v>232</v>
      </c>
      <c r="Y603" s="17">
        <v>642</v>
      </c>
      <c r="Z603" s="17">
        <v>378.5</v>
      </c>
      <c r="AA603" s="17">
        <v>11140</v>
      </c>
      <c r="AB603" s="12">
        <v>653</v>
      </c>
    </row>
    <row r="604" ht="14.25" spans="1:28">
      <c r="A604" s="13">
        <v>602</v>
      </c>
      <c r="B604" s="15">
        <v>12</v>
      </c>
      <c r="C604" s="16">
        <v>52</v>
      </c>
      <c r="D604" s="17" t="s">
        <v>1212</v>
      </c>
      <c r="E604" s="17" t="s">
        <v>1213</v>
      </c>
      <c r="F604" s="17">
        <v>99</v>
      </c>
      <c r="G604" s="17">
        <v>3868</v>
      </c>
      <c r="H604" s="17">
        <v>105.5</v>
      </c>
      <c r="I604" s="17">
        <v>2718</v>
      </c>
      <c r="J604" s="17">
        <v>59.5</v>
      </c>
      <c r="K604" s="17">
        <v>12535</v>
      </c>
      <c r="L604" s="17">
        <v>45</v>
      </c>
      <c r="M604" s="17">
        <v>5014</v>
      </c>
      <c r="N604" s="17"/>
      <c r="O604" s="17"/>
      <c r="P604" s="17">
        <v>58</v>
      </c>
      <c r="Q604" s="17">
        <v>9299</v>
      </c>
      <c r="R604" s="17">
        <v>72</v>
      </c>
      <c r="S604" s="17">
        <v>4793</v>
      </c>
      <c r="T604" s="17"/>
      <c r="U604" s="17"/>
      <c r="V604" s="17"/>
      <c r="W604" s="17"/>
      <c r="X604" s="15">
        <v>264</v>
      </c>
      <c r="Y604" s="17">
        <v>562</v>
      </c>
      <c r="Z604" s="17">
        <v>439</v>
      </c>
      <c r="AA604" s="17">
        <v>6886</v>
      </c>
      <c r="AB604" s="12">
        <v>572</v>
      </c>
    </row>
    <row r="605" ht="14.25" spans="1:28">
      <c r="A605" s="13">
        <v>603</v>
      </c>
      <c r="B605" s="15">
        <v>12</v>
      </c>
      <c r="C605" s="16">
        <v>53</v>
      </c>
      <c r="D605" s="17" t="s">
        <v>1214</v>
      </c>
      <c r="E605" s="17" t="s">
        <v>1215</v>
      </c>
      <c r="F605" s="17">
        <v>94</v>
      </c>
      <c r="G605" s="17">
        <v>6811</v>
      </c>
      <c r="H605" s="17">
        <v>104.5</v>
      </c>
      <c r="I605" s="17">
        <v>2895</v>
      </c>
      <c r="J605" s="17">
        <v>82.25</v>
      </c>
      <c r="K605" s="17">
        <v>7208</v>
      </c>
      <c r="L605" s="17">
        <v>59.5</v>
      </c>
      <c r="M605" s="17">
        <v>2274</v>
      </c>
      <c r="N605" s="17"/>
      <c r="O605" s="17"/>
      <c r="P605" s="17">
        <v>73</v>
      </c>
      <c r="Q605" s="17">
        <v>4501</v>
      </c>
      <c r="R605" s="17">
        <v>62</v>
      </c>
      <c r="S605" s="17">
        <v>8006</v>
      </c>
      <c r="T605" s="17"/>
      <c r="U605" s="17"/>
      <c r="V605" s="17"/>
      <c r="W605" s="17"/>
      <c r="X605" s="15">
        <v>280.75</v>
      </c>
      <c r="Y605" s="17">
        <v>441</v>
      </c>
      <c r="Z605" s="17">
        <v>475.25</v>
      </c>
      <c r="AA605" s="17">
        <v>4533</v>
      </c>
      <c r="AB605" s="12">
        <v>437</v>
      </c>
    </row>
    <row r="606" ht="14.25" spans="1:28">
      <c r="A606" s="13">
        <v>604</v>
      </c>
      <c r="B606" s="15">
        <v>12</v>
      </c>
      <c r="C606" s="16">
        <v>54</v>
      </c>
      <c r="D606" s="17" t="s">
        <v>1216</v>
      </c>
      <c r="E606" s="17" t="s">
        <v>1217</v>
      </c>
      <c r="F606" s="17">
        <v>85.5</v>
      </c>
      <c r="G606" s="17">
        <v>12079</v>
      </c>
      <c r="H606" s="17">
        <v>94.5</v>
      </c>
      <c r="I606" s="17">
        <v>4840</v>
      </c>
      <c r="J606" s="17">
        <v>67</v>
      </c>
      <c r="K606" s="17">
        <v>11015</v>
      </c>
      <c r="L606" s="17">
        <v>44</v>
      </c>
      <c r="M606" s="17">
        <v>5222</v>
      </c>
      <c r="N606" s="17"/>
      <c r="O606" s="17"/>
      <c r="P606" s="17">
        <v>64</v>
      </c>
      <c r="Q606" s="17">
        <v>7304</v>
      </c>
      <c r="R606" s="17">
        <v>73</v>
      </c>
      <c r="S606" s="17">
        <v>4436</v>
      </c>
      <c r="T606" s="17"/>
      <c r="U606" s="17"/>
      <c r="V606" s="17"/>
      <c r="W606" s="17"/>
      <c r="X606" s="15">
        <v>247</v>
      </c>
      <c r="Y606" s="17">
        <v>616</v>
      </c>
      <c r="Z606" s="17">
        <v>428</v>
      </c>
      <c r="AA606" s="17">
        <v>7643</v>
      </c>
      <c r="AB606" s="12">
        <v>606</v>
      </c>
    </row>
    <row r="607" ht="14.25" spans="1:28">
      <c r="A607" s="13">
        <v>605</v>
      </c>
      <c r="B607" s="15">
        <v>12</v>
      </c>
      <c r="C607" s="16">
        <v>55</v>
      </c>
      <c r="D607" s="17" t="s">
        <v>1218</v>
      </c>
      <c r="E607" s="17" t="s">
        <v>1219</v>
      </c>
      <c r="F607" s="17">
        <v>103.5</v>
      </c>
      <c r="G607" s="17">
        <v>1897</v>
      </c>
      <c r="H607" s="17">
        <v>82</v>
      </c>
      <c r="I607" s="17">
        <v>7634</v>
      </c>
      <c r="J607" s="17">
        <v>120</v>
      </c>
      <c r="K607" s="17">
        <v>503</v>
      </c>
      <c r="L607" s="17">
        <v>17.5</v>
      </c>
      <c r="M607" s="17">
        <v>15175</v>
      </c>
      <c r="N607" s="17"/>
      <c r="O607" s="17"/>
      <c r="P607" s="17">
        <v>56</v>
      </c>
      <c r="Q607" s="17">
        <v>9899</v>
      </c>
      <c r="R607" s="17">
        <v>65</v>
      </c>
      <c r="S607" s="17">
        <v>7060</v>
      </c>
      <c r="T607" s="17"/>
      <c r="U607" s="17"/>
      <c r="V607" s="17"/>
      <c r="W607" s="17"/>
      <c r="X607" s="15">
        <v>305.5</v>
      </c>
      <c r="Y607" s="17">
        <v>233</v>
      </c>
      <c r="Z607" s="17">
        <v>444</v>
      </c>
      <c r="AA607" s="17">
        <v>6525</v>
      </c>
      <c r="AB607" s="12">
        <v>556</v>
      </c>
    </row>
    <row r="608" ht="14.25" spans="1:28">
      <c r="A608" s="13">
        <v>606</v>
      </c>
      <c r="B608" s="15">
        <v>12</v>
      </c>
      <c r="C608" s="16">
        <v>56</v>
      </c>
      <c r="D608" s="17" t="s">
        <v>1220</v>
      </c>
      <c r="E608" s="17" t="s">
        <v>1221</v>
      </c>
      <c r="F608" s="17">
        <v>95</v>
      </c>
      <c r="G608" s="17">
        <v>6168</v>
      </c>
      <c r="H608" s="17">
        <v>88</v>
      </c>
      <c r="I608" s="17">
        <v>6299</v>
      </c>
      <c r="J608" s="17">
        <v>93</v>
      </c>
      <c r="K608" s="17">
        <v>4548</v>
      </c>
      <c r="L608" s="17">
        <v>46</v>
      </c>
      <c r="M608" s="17">
        <v>4785</v>
      </c>
      <c r="N608" s="17"/>
      <c r="O608" s="17"/>
      <c r="P608" s="17">
        <v>60</v>
      </c>
      <c r="Q608" s="17">
        <v>8673</v>
      </c>
      <c r="R608" s="17">
        <v>74</v>
      </c>
      <c r="S608" s="17">
        <v>4119</v>
      </c>
      <c r="T608" s="17"/>
      <c r="U608" s="17"/>
      <c r="V608" s="17"/>
      <c r="W608" s="17"/>
      <c r="X608" s="15">
        <v>276</v>
      </c>
      <c r="Y608" s="17">
        <v>490</v>
      </c>
      <c r="Z608" s="17">
        <v>456</v>
      </c>
      <c r="AA608" s="17">
        <v>5731</v>
      </c>
      <c r="AB608" s="12">
        <v>524</v>
      </c>
    </row>
    <row r="609" ht="14.25" spans="1:28">
      <c r="A609" s="13">
        <v>607</v>
      </c>
      <c r="B609" s="15">
        <v>12</v>
      </c>
      <c r="C609" s="16">
        <v>57</v>
      </c>
      <c r="D609" s="17" t="s">
        <v>1222</v>
      </c>
      <c r="E609" s="17" t="s">
        <v>1223</v>
      </c>
      <c r="F609" s="17">
        <v>83.5</v>
      </c>
      <c r="G609" s="17">
        <v>13160</v>
      </c>
      <c r="H609" s="17">
        <v>89.5</v>
      </c>
      <c r="I609" s="17">
        <v>5946</v>
      </c>
      <c r="J609" s="17">
        <v>80</v>
      </c>
      <c r="K609" s="17">
        <v>7802</v>
      </c>
      <c r="L609" s="17">
        <v>35.5</v>
      </c>
      <c r="M609" s="17">
        <v>7589</v>
      </c>
      <c r="N609" s="17"/>
      <c r="O609" s="17"/>
      <c r="P609" s="17">
        <v>82</v>
      </c>
      <c r="Q609" s="17">
        <v>1870</v>
      </c>
      <c r="R609" s="17">
        <v>71</v>
      </c>
      <c r="S609" s="17">
        <v>5151</v>
      </c>
      <c r="T609" s="17"/>
      <c r="U609" s="17"/>
      <c r="V609" s="17"/>
      <c r="W609" s="17"/>
      <c r="X609" s="15">
        <v>253</v>
      </c>
      <c r="Y609" s="17">
        <v>603</v>
      </c>
      <c r="Z609" s="17">
        <v>441.5</v>
      </c>
      <c r="AA609" s="17">
        <v>6712</v>
      </c>
      <c r="AB609" s="12">
        <v>565</v>
      </c>
    </row>
    <row r="610" ht="14.25" spans="1:28">
      <c r="A610" s="13">
        <v>608</v>
      </c>
      <c r="B610" s="15">
        <v>12</v>
      </c>
      <c r="C610" s="16">
        <v>58</v>
      </c>
      <c r="D610" s="17" t="s">
        <v>1224</v>
      </c>
      <c r="E610" s="17" t="s">
        <v>1225</v>
      </c>
      <c r="F610" s="17">
        <v>97</v>
      </c>
      <c r="G610" s="17">
        <v>4967</v>
      </c>
      <c r="H610" s="17">
        <v>93.5</v>
      </c>
      <c r="I610" s="17">
        <v>5060</v>
      </c>
      <c r="J610" s="17">
        <v>106.75</v>
      </c>
      <c r="K610" s="17">
        <v>1917</v>
      </c>
      <c r="L610" s="17">
        <v>61</v>
      </c>
      <c r="M610" s="17">
        <v>2008</v>
      </c>
      <c r="N610" s="17"/>
      <c r="O610" s="17"/>
      <c r="P610" s="17">
        <v>79</v>
      </c>
      <c r="Q610" s="17">
        <v>2632</v>
      </c>
      <c r="R610" s="17">
        <v>82</v>
      </c>
      <c r="S610" s="17">
        <v>1915</v>
      </c>
      <c r="T610" s="17"/>
      <c r="U610" s="17"/>
      <c r="V610" s="17"/>
      <c r="W610" s="17"/>
      <c r="X610" s="15">
        <v>297.25</v>
      </c>
      <c r="Y610" s="17">
        <v>301</v>
      </c>
      <c r="Z610" s="17">
        <v>519.25</v>
      </c>
      <c r="AA610" s="17">
        <v>2376</v>
      </c>
      <c r="AB610" s="12">
        <v>221</v>
      </c>
    </row>
    <row r="611" ht="14.25" spans="1:28">
      <c r="A611" s="13">
        <v>609</v>
      </c>
      <c r="B611" s="20">
        <v>12</v>
      </c>
      <c r="C611" s="16">
        <v>59</v>
      </c>
      <c r="D611" s="19" t="s">
        <v>1226</v>
      </c>
      <c r="E611" s="17" t="s">
        <v>1227</v>
      </c>
      <c r="F611" s="17">
        <v>96.25</v>
      </c>
      <c r="G611" s="17">
        <v>5515</v>
      </c>
      <c r="H611" s="17">
        <v>110</v>
      </c>
      <c r="I611" s="17">
        <v>1931</v>
      </c>
      <c r="J611" s="17">
        <v>93</v>
      </c>
      <c r="K611" s="17">
        <v>4548</v>
      </c>
      <c r="L611" s="17">
        <v>36</v>
      </c>
      <c r="M611" s="17">
        <v>7408</v>
      </c>
      <c r="N611" s="17"/>
      <c r="O611" s="17"/>
      <c r="P611" s="17">
        <v>86</v>
      </c>
      <c r="Q611" s="17">
        <v>1052</v>
      </c>
      <c r="R611" s="17">
        <v>68</v>
      </c>
      <c r="S611" s="17">
        <v>6079</v>
      </c>
      <c r="T611" s="17"/>
      <c r="U611" s="17"/>
      <c r="V611" s="17"/>
      <c r="W611" s="17"/>
      <c r="X611" s="15">
        <v>299.25</v>
      </c>
      <c r="Y611" s="17">
        <v>281</v>
      </c>
      <c r="Z611" s="17">
        <v>489.25</v>
      </c>
      <c r="AA611" s="17">
        <v>3787</v>
      </c>
      <c r="AB611" s="12">
        <v>379</v>
      </c>
    </row>
    <row r="612" ht="14.25" spans="1:28">
      <c r="A612" s="13">
        <v>610</v>
      </c>
      <c r="B612" s="15">
        <v>13</v>
      </c>
      <c r="C612" s="16">
        <v>1</v>
      </c>
      <c r="D612" s="17" t="s">
        <v>1228</v>
      </c>
      <c r="E612" s="17" t="s">
        <v>1229</v>
      </c>
      <c r="F612" s="17">
        <v>104</v>
      </c>
      <c r="G612" s="17">
        <v>1709</v>
      </c>
      <c r="H612" s="17">
        <v>94.5</v>
      </c>
      <c r="I612" s="17">
        <v>4840</v>
      </c>
      <c r="J612" s="17">
        <v>87</v>
      </c>
      <c r="K612" s="17">
        <v>5999</v>
      </c>
      <c r="L612" s="17">
        <v>44.5</v>
      </c>
      <c r="M612" s="17">
        <v>5122</v>
      </c>
      <c r="N612" s="17"/>
      <c r="O612" s="17"/>
      <c r="P612" s="17">
        <v>65</v>
      </c>
      <c r="Q612" s="17">
        <v>7113</v>
      </c>
      <c r="R612" s="17">
        <v>75</v>
      </c>
      <c r="S612" s="17">
        <v>3790</v>
      </c>
      <c r="T612" s="17"/>
      <c r="U612" s="17"/>
      <c r="V612" s="17"/>
      <c r="W612" s="17"/>
      <c r="X612" s="15">
        <v>285.5</v>
      </c>
      <c r="Y612" s="17">
        <v>397</v>
      </c>
      <c r="Z612" s="17">
        <v>470</v>
      </c>
      <c r="AA612" s="17">
        <v>4837</v>
      </c>
      <c r="AB612" s="12">
        <v>460</v>
      </c>
    </row>
    <row r="613" ht="14.25" spans="1:28">
      <c r="A613" s="13">
        <v>611</v>
      </c>
      <c r="B613" s="15">
        <v>13</v>
      </c>
      <c r="C613" s="16">
        <v>2</v>
      </c>
      <c r="D613" s="17" t="s">
        <v>1230</v>
      </c>
      <c r="E613" s="17" t="s">
        <v>1231</v>
      </c>
      <c r="F613" s="17">
        <v>99</v>
      </c>
      <c r="G613" s="17">
        <v>3868</v>
      </c>
      <c r="H613" s="17">
        <v>113.5</v>
      </c>
      <c r="I613" s="17">
        <v>1397</v>
      </c>
      <c r="J613" s="17">
        <v>85</v>
      </c>
      <c r="K613" s="17">
        <v>6480</v>
      </c>
      <c r="L613" s="17">
        <v>54.5</v>
      </c>
      <c r="M613" s="17">
        <v>3126</v>
      </c>
      <c r="N613" s="17"/>
      <c r="O613" s="17"/>
      <c r="P613" s="17">
        <v>82</v>
      </c>
      <c r="Q613" s="17">
        <v>1870</v>
      </c>
      <c r="R613" s="17">
        <v>82</v>
      </c>
      <c r="S613" s="17">
        <v>1915</v>
      </c>
      <c r="T613" s="17"/>
      <c r="U613" s="17"/>
      <c r="V613" s="17"/>
      <c r="W613" s="17"/>
      <c r="X613" s="15">
        <v>297.5</v>
      </c>
      <c r="Y613" s="17">
        <v>299</v>
      </c>
      <c r="Z613" s="17">
        <v>516</v>
      </c>
      <c r="AA613" s="17">
        <v>2500</v>
      </c>
      <c r="AB613" s="12">
        <v>240</v>
      </c>
    </row>
    <row r="614" ht="14.25" spans="1:28">
      <c r="A614" s="13">
        <v>612</v>
      </c>
      <c r="B614" s="15">
        <v>13</v>
      </c>
      <c r="C614" s="16">
        <v>3</v>
      </c>
      <c r="D614" s="17" t="s">
        <v>1232</v>
      </c>
      <c r="E614" s="17" t="s">
        <v>1233</v>
      </c>
      <c r="F614" s="17">
        <v>95</v>
      </c>
      <c r="G614" s="17">
        <v>6168</v>
      </c>
      <c r="H614" s="17">
        <v>117</v>
      </c>
      <c r="I614" s="17">
        <v>975</v>
      </c>
      <c r="J614" s="17">
        <v>87</v>
      </c>
      <c r="K614" s="17">
        <v>5999</v>
      </c>
      <c r="L614" s="17">
        <v>66.5</v>
      </c>
      <c r="M614" s="17">
        <v>1237</v>
      </c>
      <c r="N614" s="17"/>
      <c r="O614" s="17"/>
      <c r="P614" s="17">
        <v>73</v>
      </c>
      <c r="Q614" s="17">
        <v>4501</v>
      </c>
      <c r="R614" s="17">
        <v>86</v>
      </c>
      <c r="S614" s="17">
        <v>1176</v>
      </c>
      <c r="T614" s="17"/>
      <c r="U614" s="17"/>
      <c r="V614" s="17"/>
      <c r="W614" s="17"/>
      <c r="X614" s="15">
        <v>299</v>
      </c>
      <c r="Y614" s="17">
        <v>284</v>
      </c>
      <c r="Z614" s="17">
        <v>524.5</v>
      </c>
      <c r="AA614" s="17">
        <v>2164</v>
      </c>
      <c r="AB614" s="12">
        <v>192</v>
      </c>
    </row>
    <row r="615" ht="14.25" spans="1:28">
      <c r="A615" s="13">
        <v>613</v>
      </c>
      <c r="B615" s="15">
        <v>13</v>
      </c>
      <c r="C615" s="16">
        <v>4</v>
      </c>
      <c r="D615" s="17" t="s">
        <v>1234</v>
      </c>
      <c r="E615" s="17" t="s">
        <v>1235</v>
      </c>
      <c r="F615" s="17">
        <v>97</v>
      </c>
      <c r="G615" s="17">
        <v>4967</v>
      </c>
      <c r="H615" s="17">
        <v>88</v>
      </c>
      <c r="I615" s="17">
        <v>6299</v>
      </c>
      <c r="J615" s="17">
        <v>85.5</v>
      </c>
      <c r="K615" s="17">
        <v>6376</v>
      </c>
      <c r="L615" s="17">
        <v>50</v>
      </c>
      <c r="M615" s="17">
        <v>3933</v>
      </c>
      <c r="N615" s="17"/>
      <c r="O615" s="17"/>
      <c r="P615" s="17">
        <v>61</v>
      </c>
      <c r="Q615" s="17">
        <v>8358</v>
      </c>
      <c r="R615" s="17">
        <v>80</v>
      </c>
      <c r="S615" s="17">
        <v>2376</v>
      </c>
      <c r="T615" s="17"/>
      <c r="U615" s="17"/>
      <c r="V615" s="17"/>
      <c r="W615" s="17"/>
      <c r="X615" s="15">
        <v>270.5</v>
      </c>
      <c r="Y615" s="17">
        <v>526</v>
      </c>
      <c r="Z615" s="17">
        <v>461.5</v>
      </c>
      <c r="AA615" s="17">
        <v>5381</v>
      </c>
      <c r="AB615" s="12">
        <v>503</v>
      </c>
    </row>
    <row r="616" ht="14.25" spans="1:28">
      <c r="A616" s="13">
        <v>614</v>
      </c>
      <c r="B616" s="15">
        <v>13</v>
      </c>
      <c r="C616" s="16">
        <v>5</v>
      </c>
      <c r="D616" s="17" t="s">
        <v>1236</v>
      </c>
      <c r="E616" s="17" t="s">
        <v>1237</v>
      </c>
      <c r="F616" s="17">
        <v>103.5</v>
      </c>
      <c r="G616" s="17">
        <v>1897</v>
      </c>
      <c r="H616" s="17">
        <v>62.5</v>
      </c>
      <c r="I616" s="17">
        <v>11385</v>
      </c>
      <c r="J616" s="17">
        <v>106.5</v>
      </c>
      <c r="K616" s="17">
        <v>1929</v>
      </c>
      <c r="L616" s="17">
        <v>29.5</v>
      </c>
      <c r="M616" s="17">
        <v>9688</v>
      </c>
      <c r="N616" s="17"/>
      <c r="O616" s="17"/>
      <c r="P616" s="17">
        <v>66</v>
      </c>
      <c r="Q616" s="17">
        <v>6766</v>
      </c>
      <c r="R616" s="17">
        <v>70</v>
      </c>
      <c r="S616" s="17">
        <v>5497</v>
      </c>
      <c r="T616" s="17"/>
      <c r="U616" s="17"/>
      <c r="V616" s="17"/>
      <c r="W616" s="17"/>
      <c r="X616" s="15">
        <v>272.5</v>
      </c>
      <c r="Y616" s="17">
        <v>510</v>
      </c>
      <c r="Z616" s="17">
        <v>438</v>
      </c>
      <c r="AA616" s="17">
        <v>6959</v>
      </c>
      <c r="AB616" s="12">
        <v>576</v>
      </c>
    </row>
    <row r="617" ht="14.25" spans="1:28">
      <c r="A617" s="13">
        <v>615</v>
      </c>
      <c r="B617" s="15">
        <v>13</v>
      </c>
      <c r="C617" s="16">
        <v>6</v>
      </c>
      <c r="D617" s="17" t="s">
        <v>1238</v>
      </c>
      <c r="E617" s="17" t="s">
        <v>1239</v>
      </c>
      <c r="F617" s="17">
        <v>91</v>
      </c>
      <c r="G617" s="17">
        <v>8620</v>
      </c>
      <c r="H617" s="17">
        <v>114</v>
      </c>
      <c r="I617" s="17">
        <v>1340</v>
      </c>
      <c r="J617" s="17">
        <v>81.25</v>
      </c>
      <c r="K617" s="17">
        <v>7494</v>
      </c>
      <c r="L617" s="17">
        <v>51.5</v>
      </c>
      <c r="M617" s="17">
        <v>3642</v>
      </c>
      <c r="N617" s="17"/>
      <c r="O617" s="17"/>
      <c r="P617" s="17">
        <v>62</v>
      </c>
      <c r="Q617" s="17">
        <v>8021</v>
      </c>
      <c r="R617" s="17">
        <v>66</v>
      </c>
      <c r="S617" s="17">
        <v>6674</v>
      </c>
      <c r="T617" s="17"/>
      <c r="U617" s="17"/>
      <c r="V617" s="17"/>
      <c r="W617" s="17"/>
      <c r="X617" s="15">
        <v>286.25</v>
      </c>
      <c r="Y617" s="17">
        <v>390</v>
      </c>
      <c r="Z617" s="17">
        <v>465.75</v>
      </c>
      <c r="AA617" s="17">
        <v>5115</v>
      </c>
      <c r="AB617" s="12">
        <v>483</v>
      </c>
    </row>
    <row r="618" ht="14.25" spans="1:28">
      <c r="A618" s="13">
        <v>616</v>
      </c>
      <c r="B618" s="15">
        <v>13</v>
      </c>
      <c r="C618" s="16">
        <v>7</v>
      </c>
      <c r="D618" s="17" t="s">
        <v>1240</v>
      </c>
      <c r="E618" s="17" t="s">
        <v>1241</v>
      </c>
      <c r="F618" s="17">
        <v>71.5</v>
      </c>
      <c r="G618" s="17">
        <v>16688</v>
      </c>
      <c r="H618" s="17">
        <v>91.5</v>
      </c>
      <c r="I618" s="17">
        <v>5528</v>
      </c>
      <c r="J618" s="17">
        <v>103.75</v>
      </c>
      <c r="K618" s="17">
        <v>2416</v>
      </c>
      <c r="L618" s="17">
        <v>56.5</v>
      </c>
      <c r="M618" s="17">
        <v>2801</v>
      </c>
      <c r="N618" s="17"/>
      <c r="O618" s="17"/>
      <c r="P618" s="17">
        <v>80</v>
      </c>
      <c r="Q618" s="17">
        <v>2333</v>
      </c>
      <c r="R618" s="17">
        <v>78</v>
      </c>
      <c r="S618" s="17">
        <v>2906</v>
      </c>
      <c r="T618" s="17"/>
      <c r="U618" s="17"/>
      <c r="V618" s="17"/>
      <c r="W618" s="17"/>
      <c r="X618" s="15">
        <v>266.75</v>
      </c>
      <c r="Y618" s="17">
        <v>547</v>
      </c>
      <c r="Z618" s="17">
        <v>481.25</v>
      </c>
      <c r="AA618" s="17">
        <v>4215</v>
      </c>
      <c r="AB618" s="12">
        <v>416</v>
      </c>
    </row>
    <row r="619" ht="14.25" spans="1:28">
      <c r="A619" s="13">
        <v>617</v>
      </c>
      <c r="B619" s="15">
        <v>13</v>
      </c>
      <c r="C619" s="16">
        <v>8</v>
      </c>
      <c r="D619" s="17" t="s">
        <v>1242</v>
      </c>
      <c r="E619" s="17" t="s">
        <v>1243</v>
      </c>
      <c r="F619" s="17">
        <v>86.5</v>
      </c>
      <c r="G619" s="17">
        <v>11527</v>
      </c>
      <c r="H619" s="17">
        <v>93</v>
      </c>
      <c r="I619" s="17">
        <v>5192</v>
      </c>
      <c r="J619" s="17">
        <v>45.5</v>
      </c>
      <c r="K619" s="17">
        <v>14548</v>
      </c>
      <c r="L619" s="17">
        <v>30</v>
      </c>
      <c r="M619" s="17">
        <v>9441</v>
      </c>
      <c r="N619" s="17"/>
      <c r="O619" s="17"/>
      <c r="P619" s="17">
        <v>51</v>
      </c>
      <c r="Q619" s="17">
        <v>10643</v>
      </c>
      <c r="R619" s="17">
        <v>73</v>
      </c>
      <c r="S619" s="17">
        <v>4436</v>
      </c>
      <c r="T619" s="17"/>
      <c r="U619" s="17"/>
      <c r="V619" s="17"/>
      <c r="W619" s="17"/>
      <c r="X619" s="15">
        <v>225</v>
      </c>
      <c r="Y619" s="17">
        <v>650</v>
      </c>
      <c r="Z619" s="17">
        <v>379</v>
      </c>
      <c r="AA619" s="17">
        <v>11109</v>
      </c>
      <c r="AB619" s="12">
        <v>652</v>
      </c>
    </row>
    <row r="620" ht="14.25" spans="1:28">
      <c r="A620" s="13">
        <v>618</v>
      </c>
      <c r="B620" s="15">
        <v>13</v>
      </c>
      <c r="C620" s="16">
        <v>9</v>
      </c>
      <c r="D620" s="17" t="s">
        <v>1244</v>
      </c>
      <c r="E620" s="17" t="s">
        <v>1245</v>
      </c>
      <c r="F620" s="17">
        <v>112</v>
      </c>
      <c r="G620" s="17">
        <v>223</v>
      </c>
      <c r="H620" s="17">
        <v>105</v>
      </c>
      <c r="I620" s="17">
        <v>2810</v>
      </c>
      <c r="J620" s="17">
        <v>107.75</v>
      </c>
      <c r="K620" s="17">
        <v>1777</v>
      </c>
      <c r="L620" s="17">
        <v>60</v>
      </c>
      <c r="M620" s="17">
        <v>2185</v>
      </c>
      <c r="N620" s="17"/>
      <c r="O620" s="17"/>
      <c r="P620" s="17">
        <v>73</v>
      </c>
      <c r="Q620" s="17">
        <v>4501</v>
      </c>
      <c r="R620" s="17">
        <v>90</v>
      </c>
      <c r="S620" s="17">
        <v>255</v>
      </c>
      <c r="T620" s="17"/>
      <c r="U620" s="17"/>
      <c r="V620" s="17"/>
      <c r="W620" s="17"/>
      <c r="X620" s="15">
        <v>324.75</v>
      </c>
      <c r="Y620" s="17">
        <v>89</v>
      </c>
      <c r="Z620" s="17">
        <v>547.75</v>
      </c>
      <c r="AA620" s="17">
        <v>1371</v>
      </c>
      <c r="AB620" s="12">
        <v>105</v>
      </c>
    </row>
    <row r="621" ht="14.25" spans="1:28">
      <c r="A621" s="13">
        <v>619</v>
      </c>
      <c r="B621" s="15">
        <v>13</v>
      </c>
      <c r="C621" s="16">
        <v>10</v>
      </c>
      <c r="D621" s="17" t="s">
        <v>1246</v>
      </c>
      <c r="E621" s="17" t="s">
        <v>1247</v>
      </c>
      <c r="F621" s="17">
        <v>98</v>
      </c>
      <c r="G621" s="17">
        <v>4423</v>
      </c>
      <c r="H621" s="17">
        <v>103.5</v>
      </c>
      <c r="I621" s="17">
        <v>3096</v>
      </c>
      <c r="J621" s="17">
        <v>69.5</v>
      </c>
      <c r="K621" s="17">
        <v>10427</v>
      </c>
      <c r="L621" s="17">
        <v>45.5</v>
      </c>
      <c r="M621" s="17">
        <v>4898</v>
      </c>
      <c r="N621" s="17"/>
      <c r="O621" s="17"/>
      <c r="P621" s="17">
        <v>74</v>
      </c>
      <c r="Q621" s="17">
        <v>4168</v>
      </c>
      <c r="R621" s="17">
        <v>75</v>
      </c>
      <c r="S621" s="17">
        <v>3790</v>
      </c>
      <c r="T621" s="17"/>
      <c r="U621" s="17"/>
      <c r="V621" s="17"/>
      <c r="W621" s="17"/>
      <c r="X621" s="15">
        <v>271</v>
      </c>
      <c r="Y621" s="17">
        <v>522</v>
      </c>
      <c r="Z621" s="17">
        <v>465.5</v>
      </c>
      <c r="AA621" s="17">
        <v>5127</v>
      </c>
      <c r="AB621" s="12">
        <v>485</v>
      </c>
    </row>
    <row r="622" ht="14.25" spans="1:28">
      <c r="A622" s="13">
        <v>620</v>
      </c>
      <c r="B622" s="15">
        <v>13</v>
      </c>
      <c r="C622" s="16">
        <v>12</v>
      </c>
      <c r="D622" s="17" t="s">
        <v>1248</v>
      </c>
      <c r="E622" s="17" t="s">
        <v>1249</v>
      </c>
      <c r="F622" s="17">
        <v>98.25</v>
      </c>
      <c r="G622" s="17">
        <v>4392</v>
      </c>
      <c r="H622" s="17">
        <v>113.5</v>
      </c>
      <c r="I622" s="17">
        <v>1397</v>
      </c>
      <c r="J622" s="17">
        <v>82.5</v>
      </c>
      <c r="K622" s="17">
        <v>7120</v>
      </c>
      <c r="L622" s="17">
        <v>39.5</v>
      </c>
      <c r="M622" s="17">
        <v>6404</v>
      </c>
      <c r="N622" s="17"/>
      <c r="O622" s="17"/>
      <c r="P622" s="17">
        <v>83</v>
      </c>
      <c r="Q622" s="17">
        <v>1643</v>
      </c>
      <c r="R622" s="17">
        <v>68</v>
      </c>
      <c r="S622" s="17">
        <v>6079</v>
      </c>
      <c r="T622" s="17"/>
      <c r="U622" s="17"/>
      <c r="V622" s="17"/>
      <c r="W622" s="17"/>
      <c r="X622" s="15">
        <v>294.25</v>
      </c>
      <c r="Y622" s="17">
        <v>324</v>
      </c>
      <c r="Z622" s="17">
        <v>484.75</v>
      </c>
      <c r="AA622" s="17">
        <v>4013</v>
      </c>
      <c r="AB622" s="12">
        <v>400</v>
      </c>
    </row>
    <row r="623" ht="14.25" spans="1:28">
      <c r="A623" s="13">
        <v>621</v>
      </c>
      <c r="B623" s="15">
        <v>13</v>
      </c>
      <c r="C623" s="16">
        <v>13</v>
      </c>
      <c r="D623" s="17" t="s">
        <v>1250</v>
      </c>
      <c r="E623" s="17" t="s">
        <v>1251</v>
      </c>
      <c r="F623" s="17">
        <v>88</v>
      </c>
      <c r="G623" s="17">
        <v>10604</v>
      </c>
      <c r="H623" s="17">
        <v>80</v>
      </c>
      <c r="I623" s="17">
        <v>8038</v>
      </c>
      <c r="J623" s="17">
        <v>84.75</v>
      </c>
      <c r="K623" s="17">
        <v>6579</v>
      </c>
      <c r="L623" s="17">
        <v>35</v>
      </c>
      <c r="M623" s="17">
        <v>7732</v>
      </c>
      <c r="N623" s="17"/>
      <c r="O623" s="17"/>
      <c r="P623" s="17">
        <v>63</v>
      </c>
      <c r="Q623" s="17">
        <v>7666</v>
      </c>
      <c r="R623" s="17">
        <v>61</v>
      </c>
      <c r="S623" s="17">
        <v>8408</v>
      </c>
      <c r="T623" s="17"/>
      <c r="U623" s="17"/>
      <c r="V623" s="17"/>
      <c r="W623" s="17"/>
      <c r="X623" s="15">
        <v>252.75</v>
      </c>
      <c r="Y623" s="17">
        <v>604</v>
      </c>
      <c r="Z623" s="17">
        <v>411.75</v>
      </c>
      <c r="AA623" s="17">
        <v>8824</v>
      </c>
      <c r="AB623" s="12">
        <v>629</v>
      </c>
    </row>
    <row r="624" ht="14.25" spans="1:28">
      <c r="A624" s="13">
        <v>622</v>
      </c>
      <c r="B624" s="15">
        <v>13</v>
      </c>
      <c r="C624" s="16">
        <v>15</v>
      </c>
      <c r="D624" s="17" t="s">
        <v>1252</v>
      </c>
      <c r="E624" s="17" t="s">
        <v>1253</v>
      </c>
      <c r="F624" s="17">
        <v>90.5</v>
      </c>
      <c r="G624" s="17">
        <v>8999</v>
      </c>
      <c r="H624" s="17">
        <v>104.5</v>
      </c>
      <c r="I624" s="17">
        <v>2895</v>
      </c>
      <c r="J624" s="17">
        <v>96</v>
      </c>
      <c r="K624" s="17">
        <v>3851</v>
      </c>
      <c r="L624" s="17">
        <v>48.5</v>
      </c>
      <c r="M624" s="17">
        <v>4255</v>
      </c>
      <c r="N624" s="17"/>
      <c r="O624" s="17"/>
      <c r="P624" s="17">
        <v>89</v>
      </c>
      <c r="Q624" s="17">
        <v>222</v>
      </c>
      <c r="R624" s="17">
        <v>73</v>
      </c>
      <c r="S624" s="17">
        <v>4436</v>
      </c>
      <c r="T624" s="17"/>
      <c r="U624" s="17"/>
      <c r="V624" s="17"/>
      <c r="W624" s="17"/>
      <c r="X624" s="15">
        <v>291</v>
      </c>
      <c r="Y624" s="17">
        <v>359</v>
      </c>
      <c r="Z624" s="17">
        <v>501.5</v>
      </c>
      <c r="AA624" s="17">
        <v>3169</v>
      </c>
      <c r="AB624" s="12">
        <v>319</v>
      </c>
    </row>
    <row r="625" ht="14.25" spans="1:28">
      <c r="A625" s="13">
        <v>623</v>
      </c>
      <c r="B625" s="15">
        <v>13</v>
      </c>
      <c r="C625" s="16">
        <v>16</v>
      </c>
      <c r="D625" s="17" t="s">
        <v>1254</v>
      </c>
      <c r="E625" s="17" t="s">
        <v>1255</v>
      </c>
      <c r="F625" s="17">
        <v>95</v>
      </c>
      <c r="G625" s="17">
        <v>6168</v>
      </c>
      <c r="H625" s="17">
        <v>93.5</v>
      </c>
      <c r="I625" s="17">
        <v>5060</v>
      </c>
      <c r="J625" s="17">
        <v>100</v>
      </c>
      <c r="K625" s="17">
        <v>3038</v>
      </c>
      <c r="L625" s="17">
        <v>45</v>
      </c>
      <c r="M625" s="17">
        <v>5014</v>
      </c>
      <c r="N625" s="17"/>
      <c r="O625" s="17"/>
      <c r="P625" s="17">
        <v>73</v>
      </c>
      <c r="Q625" s="17">
        <v>4501</v>
      </c>
      <c r="R625" s="17">
        <v>73</v>
      </c>
      <c r="S625" s="17">
        <v>4436</v>
      </c>
      <c r="T625" s="17"/>
      <c r="U625" s="17"/>
      <c r="V625" s="17"/>
      <c r="W625" s="17"/>
      <c r="X625" s="15">
        <v>288.5</v>
      </c>
      <c r="Y625" s="17">
        <v>376</v>
      </c>
      <c r="Z625" s="17">
        <v>479.5</v>
      </c>
      <c r="AA625" s="17">
        <v>4305</v>
      </c>
      <c r="AB625" s="12">
        <v>420</v>
      </c>
    </row>
    <row r="626" ht="14.25" spans="1:28">
      <c r="A626" s="13">
        <v>624</v>
      </c>
      <c r="B626" s="15">
        <v>13</v>
      </c>
      <c r="C626" s="16">
        <v>17</v>
      </c>
      <c r="D626" s="17" t="s">
        <v>1256</v>
      </c>
      <c r="E626" s="17" t="s">
        <v>1257</v>
      </c>
      <c r="F626" s="17">
        <v>97.5</v>
      </c>
      <c r="G626" s="17">
        <v>4695</v>
      </c>
      <c r="H626" s="17">
        <v>106</v>
      </c>
      <c r="I626" s="17">
        <v>2619</v>
      </c>
      <c r="J626" s="17">
        <v>82.75</v>
      </c>
      <c r="K626" s="17">
        <v>7077</v>
      </c>
      <c r="L626" s="17">
        <v>40.5</v>
      </c>
      <c r="M626" s="17">
        <v>6131</v>
      </c>
      <c r="N626" s="17"/>
      <c r="O626" s="17"/>
      <c r="P626" s="17">
        <v>62</v>
      </c>
      <c r="Q626" s="17">
        <v>8021</v>
      </c>
      <c r="R626" s="17">
        <v>83</v>
      </c>
      <c r="S626" s="17">
        <v>1715</v>
      </c>
      <c r="T626" s="17"/>
      <c r="U626" s="17"/>
      <c r="V626" s="17"/>
      <c r="W626" s="17"/>
      <c r="X626" s="15">
        <v>286.25</v>
      </c>
      <c r="Y626" s="17">
        <v>390</v>
      </c>
      <c r="Z626" s="17">
        <v>471.75</v>
      </c>
      <c r="AA626" s="17">
        <v>4740</v>
      </c>
      <c r="AB626" s="12">
        <v>452</v>
      </c>
    </row>
    <row r="627" ht="14.25" spans="1:28">
      <c r="A627" s="13">
        <v>625</v>
      </c>
      <c r="B627" s="15">
        <v>13</v>
      </c>
      <c r="C627" s="16">
        <v>18</v>
      </c>
      <c r="D627" s="17" t="s">
        <v>1258</v>
      </c>
      <c r="E627" s="17" t="s">
        <v>1259</v>
      </c>
      <c r="F627" s="17">
        <v>104</v>
      </c>
      <c r="G627" s="17">
        <v>1709</v>
      </c>
      <c r="H627" s="17">
        <v>92</v>
      </c>
      <c r="I627" s="17">
        <v>5417</v>
      </c>
      <c r="J627" s="17">
        <v>114.5</v>
      </c>
      <c r="K627" s="17">
        <v>951</v>
      </c>
      <c r="L627" s="17">
        <v>60.5</v>
      </c>
      <c r="M627" s="17">
        <v>2106</v>
      </c>
      <c r="N627" s="17"/>
      <c r="O627" s="17"/>
      <c r="P627" s="17">
        <v>71</v>
      </c>
      <c r="Q627" s="17">
        <v>5258</v>
      </c>
      <c r="R627" s="17">
        <v>75</v>
      </c>
      <c r="S627" s="17">
        <v>3790</v>
      </c>
      <c r="T627" s="17"/>
      <c r="U627" s="17"/>
      <c r="V627" s="17"/>
      <c r="W627" s="17"/>
      <c r="X627" s="15">
        <v>310.5</v>
      </c>
      <c r="Y627" s="17">
        <v>187</v>
      </c>
      <c r="Z627" s="17">
        <v>517</v>
      </c>
      <c r="AA627" s="17">
        <v>2459</v>
      </c>
      <c r="AB627" s="12">
        <v>236</v>
      </c>
    </row>
    <row r="628" ht="14.25" spans="1:28">
      <c r="A628" s="13">
        <v>626</v>
      </c>
      <c r="B628" s="15">
        <v>13</v>
      </c>
      <c r="C628" s="16">
        <v>19</v>
      </c>
      <c r="D628" s="17" t="s">
        <v>1260</v>
      </c>
      <c r="E628" s="17" t="s">
        <v>1261</v>
      </c>
      <c r="F628" s="17">
        <v>104.25</v>
      </c>
      <c r="G628" s="17">
        <v>1691</v>
      </c>
      <c r="H628" s="17">
        <v>104</v>
      </c>
      <c r="I628" s="17">
        <v>2999</v>
      </c>
      <c r="J628" s="17">
        <v>99</v>
      </c>
      <c r="K628" s="17">
        <v>3244</v>
      </c>
      <c r="L628" s="17">
        <v>53</v>
      </c>
      <c r="M628" s="17">
        <v>3368</v>
      </c>
      <c r="N628" s="17"/>
      <c r="O628" s="17"/>
      <c r="P628" s="17">
        <v>79</v>
      </c>
      <c r="Q628" s="17">
        <v>2632</v>
      </c>
      <c r="R628" s="17">
        <v>74</v>
      </c>
      <c r="S628" s="17">
        <v>4119</v>
      </c>
      <c r="T628" s="17"/>
      <c r="U628" s="17"/>
      <c r="V628" s="17"/>
      <c r="W628" s="17"/>
      <c r="X628" s="15">
        <v>307.25</v>
      </c>
      <c r="Y628" s="17">
        <v>219</v>
      </c>
      <c r="Z628" s="17">
        <v>513.25</v>
      </c>
      <c r="AA628" s="17">
        <v>2629</v>
      </c>
      <c r="AB628" s="12">
        <v>256</v>
      </c>
    </row>
    <row r="629" ht="14.25" spans="1:28">
      <c r="A629" s="13">
        <v>627</v>
      </c>
      <c r="B629" s="15">
        <v>13</v>
      </c>
      <c r="C629" s="16">
        <v>20</v>
      </c>
      <c r="D629" s="17" t="s">
        <v>1262</v>
      </c>
      <c r="E629" s="17" t="s">
        <v>1263</v>
      </c>
      <c r="F629" s="17">
        <v>96</v>
      </c>
      <c r="G629" s="17">
        <v>5544</v>
      </c>
      <c r="H629" s="17">
        <v>109.5</v>
      </c>
      <c r="I629" s="17">
        <v>2023</v>
      </c>
      <c r="J629" s="17">
        <v>104.25</v>
      </c>
      <c r="K629" s="17">
        <v>2330</v>
      </c>
      <c r="L629" s="17">
        <v>42</v>
      </c>
      <c r="M629" s="17">
        <v>5731</v>
      </c>
      <c r="N629" s="17"/>
      <c r="O629" s="17"/>
      <c r="P629" s="17">
        <v>83</v>
      </c>
      <c r="Q629" s="17">
        <v>1643</v>
      </c>
      <c r="R629" s="17">
        <v>81</v>
      </c>
      <c r="S629" s="17">
        <v>2139</v>
      </c>
      <c r="T629" s="17"/>
      <c r="U629" s="17"/>
      <c r="V629" s="17"/>
      <c r="W629" s="17"/>
      <c r="X629" s="15">
        <v>309.75</v>
      </c>
      <c r="Y629" s="17">
        <v>196</v>
      </c>
      <c r="Z629" s="17">
        <v>515.75</v>
      </c>
      <c r="AA629" s="17">
        <v>2519</v>
      </c>
      <c r="AB629" s="12">
        <v>242</v>
      </c>
    </row>
    <row r="630" ht="14.25" spans="1:28">
      <c r="A630" s="13">
        <v>628</v>
      </c>
      <c r="B630" s="15">
        <v>13</v>
      </c>
      <c r="C630" s="16">
        <v>21</v>
      </c>
      <c r="D630" s="17" t="s">
        <v>1264</v>
      </c>
      <c r="E630" s="17" t="s">
        <v>1265</v>
      </c>
      <c r="F630" s="17">
        <v>100.5</v>
      </c>
      <c r="G630" s="17">
        <v>3131</v>
      </c>
      <c r="H630" s="17">
        <v>104</v>
      </c>
      <c r="I630" s="17">
        <v>2999</v>
      </c>
      <c r="J630" s="17">
        <v>105.75</v>
      </c>
      <c r="K630" s="17">
        <v>2077</v>
      </c>
      <c r="L630" s="17">
        <v>46</v>
      </c>
      <c r="M630" s="17">
        <v>4785</v>
      </c>
      <c r="N630" s="17"/>
      <c r="O630" s="17"/>
      <c r="P630" s="17">
        <v>79</v>
      </c>
      <c r="Q630" s="17">
        <v>2632</v>
      </c>
      <c r="R630" s="17">
        <v>81</v>
      </c>
      <c r="S630" s="17">
        <v>2139</v>
      </c>
      <c r="T630" s="17"/>
      <c r="U630" s="17"/>
      <c r="V630" s="17"/>
      <c r="W630" s="17"/>
      <c r="X630" s="15">
        <v>310.25</v>
      </c>
      <c r="Y630" s="17">
        <v>189</v>
      </c>
      <c r="Z630" s="17">
        <v>516.25</v>
      </c>
      <c r="AA630" s="17">
        <v>2490</v>
      </c>
      <c r="AB630" s="12">
        <v>239</v>
      </c>
    </row>
    <row r="631" ht="14.25" spans="1:28">
      <c r="A631" s="13">
        <v>629</v>
      </c>
      <c r="B631" s="15">
        <v>13</v>
      </c>
      <c r="C631" s="16">
        <v>22</v>
      </c>
      <c r="D631" s="17" t="s">
        <v>1266</v>
      </c>
      <c r="E631" s="17" t="s">
        <v>1267</v>
      </c>
      <c r="F631" s="17">
        <v>101.5</v>
      </c>
      <c r="G631" s="17">
        <v>2674</v>
      </c>
      <c r="H631" s="17">
        <v>84.5</v>
      </c>
      <c r="I631" s="17">
        <v>7091</v>
      </c>
      <c r="J631" s="17">
        <v>92</v>
      </c>
      <c r="K631" s="17">
        <v>4787</v>
      </c>
      <c r="L631" s="17">
        <v>42.5</v>
      </c>
      <c r="M631" s="17">
        <v>5605</v>
      </c>
      <c r="N631" s="17"/>
      <c r="O631" s="17"/>
      <c r="P631" s="17">
        <v>74</v>
      </c>
      <c r="Q631" s="17">
        <v>4168</v>
      </c>
      <c r="R631" s="17">
        <v>76</v>
      </c>
      <c r="S631" s="17">
        <v>3491</v>
      </c>
      <c r="T631" s="17"/>
      <c r="U631" s="17"/>
      <c r="V631" s="17"/>
      <c r="W631" s="17"/>
      <c r="X631" s="15">
        <v>278</v>
      </c>
      <c r="Y631" s="17">
        <v>469</v>
      </c>
      <c r="Z631" s="17">
        <v>470.5</v>
      </c>
      <c r="AA631" s="17">
        <v>4810</v>
      </c>
      <c r="AB631" s="12">
        <v>456</v>
      </c>
    </row>
    <row r="632" ht="14.25" spans="1:28">
      <c r="A632" s="13">
        <v>630</v>
      </c>
      <c r="B632" s="15">
        <v>13</v>
      </c>
      <c r="C632" s="16">
        <v>23</v>
      </c>
      <c r="D632" s="17" t="s">
        <v>1268</v>
      </c>
      <c r="E632" s="17" t="s">
        <v>1269</v>
      </c>
      <c r="F632" s="17">
        <v>102.25</v>
      </c>
      <c r="G632" s="17">
        <v>2460</v>
      </c>
      <c r="H632" s="17">
        <v>88.5</v>
      </c>
      <c r="I632" s="17">
        <v>6176</v>
      </c>
      <c r="J632" s="17">
        <v>87</v>
      </c>
      <c r="K632" s="17">
        <v>5999</v>
      </c>
      <c r="L632" s="17">
        <v>35.5</v>
      </c>
      <c r="M632" s="17">
        <v>7589</v>
      </c>
      <c r="N632" s="17"/>
      <c r="O632" s="17"/>
      <c r="P632" s="17">
        <v>68</v>
      </c>
      <c r="Q632" s="17">
        <v>6016</v>
      </c>
      <c r="R632" s="17">
        <v>80</v>
      </c>
      <c r="S632" s="17">
        <v>2376</v>
      </c>
      <c r="T632" s="17"/>
      <c r="U632" s="17"/>
      <c r="V632" s="17"/>
      <c r="W632" s="17"/>
      <c r="X632" s="15">
        <v>277.75</v>
      </c>
      <c r="Y632" s="17">
        <v>477</v>
      </c>
      <c r="Z632" s="17">
        <v>461.25</v>
      </c>
      <c r="AA632" s="17">
        <v>5398</v>
      </c>
      <c r="AB632" s="12">
        <v>505</v>
      </c>
    </row>
    <row r="633" ht="14.25" spans="1:28">
      <c r="A633" s="13">
        <v>631</v>
      </c>
      <c r="B633" s="15">
        <v>13</v>
      </c>
      <c r="C633" s="16">
        <v>24</v>
      </c>
      <c r="D633" s="17" t="s">
        <v>1270</v>
      </c>
      <c r="E633" s="17" t="s">
        <v>1271</v>
      </c>
      <c r="F633" s="17">
        <v>108</v>
      </c>
      <c r="G633" s="17">
        <v>736</v>
      </c>
      <c r="H633" s="17">
        <v>82</v>
      </c>
      <c r="I633" s="17">
        <v>7634</v>
      </c>
      <c r="J633" s="17">
        <v>95</v>
      </c>
      <c r="K633" s="17">
        <v>4092</v>
      </c>
      <c r="L633" s="17">
        <v>34</v>
      </c>
      <c r="M633" s="17">
        <v>8051</v>
      </c>
      <c r="N633" s="17"/>
      <c r="O633" s="17"/>
      <c r="P633" s="17">
        <v>64</v>
      </c>
      <c r="Q633" s="17">
        <v>7304</v>
      </c>
      <c r="R633" s="17">
        <v>84</v>
      </c>
      <c r="S633" s="17">
        <v>1490</v>
      </c>
      <c r="T633" s="17"/>
      <c r="U633" s="17"/>
      <c r="V633" s="17"/>
      <c r="W633" s="17"/>
      <c r="X633" s="15">
        <v>285</v>
      </c>
      <c r="Y633" s="17">
        <v>401</v>
      </c>
      <c r="Z633" s="17">
        <v>467</v>
      </c>
      <c r="AA633" s="17">
        <v>5030</v>
      </c>
      <c r="AB633" s="12">
        <v>476</v>
      </c>
    </row>
    <row r="634" ht="14.25" spans="1:28">
      <c r="A634" s="13">
        <v>632</v>
      </c>
      <c r="B634" s="15">
        <v>13</v>
      </c>
      <c r="C634" s="16">
        <v>25</v>
      </c>
      <c r="D634" s="17" t="s">
        <v>1272</v>
      </c>
      <c r="E634" s="17" t="s">
        <v>1273</v>
      </c>
      <c r="F634" s="17">
        <v>95</v>
      </c>
      <c r="G634" s="17">
        <v>6168</v>
      </c>
      <c r="H634" s="17">
        <v>91</v>
      </c>
      <c r="I634" s="17">
        <v>5638</v>
      </c>
      <c r="J634" s="17">
        <v>79</v>
      </c>
      <c r="K634" s="17">
        <v>8048</v>
      </c>
      <c r="L634" s="17">
        <v>61</v>
      </c>
      <c r="M634" s="17">
        <v>2008</v>
      </c>
      <c r="N634" s="17"/>
      <c r="O634" s="17"/>
      <c r="P634" s="17">
        <v>88</v>
      </c>
      <c r="Q634" s="17">
        <v>397</v>
      </c>
      <c r="R634" s="17">
        <v>81</v>
      </c>
      <c r="S634" s="17">
        <v>2139</v>
      </c>
      <c r="T634" s="17"/>
      <c r="U634" s="17"/>
      <c r="V634" s="17"/>
      <c r="W634" s="17"/>
      <c r="X634" s="15">
        <v>265</v>
      </c>
      <c r="Y634" s="17">
        <v>556</v>
      </c>
      <c r="Z634" s="17">
        <v>495</v>
      </c>
      <c r="AA634" s="17">
        <v>3492</v>
      </c>
      <c r="AB634" s="12">
        <v>353</v>
      </c>
    </row>
    <row r="635" ht="14.25" spans="1:28">
      <c r="A635" s="13">
        <v>633</v>
      </c>
      <c r="B635" s="15">
        <v>13</v>
      </c>
      <c r="C635" s="16">
        <v>26</v>
      </c>
      <c r="D635" s="17" t="s">
        <v>1274</v>
      </c>
      <c r="E635" s="17" t="s">
        <v>1275</v>
      </c>
      <c r="F635" s="17">
        <v>84.5</v>
      </c>
      <c r="G635" s="17">
        <v>12633</v>
      </c>
      <c r="H635" s="17">
        <v>83</v>
      </c>
      <c r="I635" s="17">
        <v>7420</v>
      </c>
      <c r="J635" s="17">
        <v>88.25</v>
      </c>
      <c r="K635" s="17">
        <v>5710</v>
      </c>
      <c r="L635" s="17">
        <v>42</v>
      </c>
      <c r="M635" s="17">
        <v>5731</v>
      </c>
      <c r="N635" s="17"/>
      <c r="O635" s="17"/>
      <c r="P635" s="17">
        <v>64</v>
      </c>
      <c r="Q635" s="17">
        <v>7304</v>
      </c>
      <c r="R635" s="17">
        <v>75</v>
      </c>
      <c r="S635" s="17">
        <v>3790</v>
      </c>
      <c r="T635" s="17"/>
      <c r="U635" s="17"/>
      <c r="V635" s="17"/>
      <c r="W635" s="17"/>
      <c r="X635" s="15">
        <v>255.75</v>
      </c>
      <c r="Y635" s="17">
        <v>594</v>
      </c>
      <c r="Z635" s="17">
        <v>436.75</v>
      </c>
      <c r="AA635" s="17">
        <v>7056</v>
      </c>
      <c r="AB635" s="12">
        <v>579</v>
      </c>
    </row>
    <row r="636" ht="14.25" spans="1:28">
      <c r="A636" s="13">
        <v>634</v>
      </c>
      <c r="B636" s="15">
        <v>13</v>
      </c>
      <c r="C636" s="16">
        <v>27</v>
      </c>
      <c r="D636" s="17" t="s">
        <v>1276</v>
      </c>
      <c r="E636" s="17" t="s">
        <v>1277</v>
      </c>
      <c r="F636" s="17">
        <v>94.75</v>
      </c>
      <c r="G636" s="17">
        <v>6456</v>
      </c>
      <c r="H636" s="17">
        <v>118.5</v>
      </c>
      <c r="I636" s="17">
        <v>833</v>
      </c>
      <c r="J636" s="17">
        <v>93.75</v>
      </c>
      <c r="K636" s="17">
        <v>4401</v>
      </c>
      <c r="L636" s="17">
        <v>53.5</v>
      </c>
      <c r="M636" s="17">
        <v>3296</v>
      </c>
      <c r="N636" s="17"/>
      <c r="O636" s="17"/>
      <c r="P636" s="17">
        <v>77</v>
      </c>
      <c r="Q636" s="17">
        <v>3207</v>
      </c>
      <c r="R636" s="17">
        <v>76</v>
      </c>
      <c r="S636" s="17">
        <v>3491</v>
      </c>
      <c r="T636" s="17"/>
      <c r="U636" s="17"/>
      <c r="V636" s="17"/>
      <c r="W636" s="17"/>
      <c r="X636" s="15">
        <v>307</v>
      </c>
      <c r="Y636" s="17">
        <v>221</v>
      </c>
      <c r="Z636" s="17">
        <v>513.5</v>
      </c>
      <c r="AA636" s="17">
        <v>2612</v>
      </c>
      <c r="AB636" s="12">
        <v>253</v>
      </c>
    </row>
    <row r="637" ht="14.25" spans="1:28">
      <c r="A637" s="13">
        <v>635</v>
      </c>
      <c r="B637" s="15">
        <v>13</v>
      </c>
      <c r="C637" s="16">
        <v>28</v>
      </c>
      <c r="D637" s="17" t="s">
        <v>1278</v>
      </c>
      <c r="E637" s="17" t="s">
        <v>1279</v>
      </c>
      <c r="F637" s="17">
        <v>101</v>
      </c>
      <c r="G637" s="17">
        <v>2896</v>
      </c>
      <c r="H637" s="17">
        <v>112</v>
      </c>
      <c r="I637" s="17">
        <v>1617</v>
      </c>
      <c r="J637" s="17">
        <v>103.75</v>
      </c>
      <c r="K637" s="17">
        <v>2416</v>
      </c>
      <c r="L637" s="17">
        <v>56</v>
      </c>
      <c r="M637" s="17">
        <v>2878</v>
      </c>
      <c r="N637" s="17"/>
      <c r="O637" s="17"/>
      <c r="P637" s="17">
        <v>89</v>
      </c>
      <c r="Q637" s="17">
        <v>222</v>
      </c>
      <c r="R637" s="17">
        <v>91</v>
      </c>
      <c r="S637" s="17">
        <v>151</v>
      </c>
      <c r="T637" s="17"/>
      <c r="U637" s="17"/>
      <c r="V637" s="17"/>
      <c r="W637" s="17"/>
      <c r="X637" s="15">
        <v>316.75</v>
      </c>
      <c r="Y637" s="17">
        <v>140</v>
      </c>
      <c r="Z637" s="17">
        <v>552.75</v>
      </c>
      <c r="AA637" s="17">
        <v>1211</v>
      </c>
      <c r="AB637" s="12">
        <v>93</v>
      </c>
    </row>
    <row r="638" ht="14.25" spans="1:28">
      <c r="A638" s="13">
        <v>636</v>
      </c>
      <c r="B638" s="15">
        <v>13</v>
      </c>
      <c r="C638" s="16">
        <v>29</v>
      </c>
      <c r="D638" s="17" t="s">
        <v>1280</v>
      </c>
      <c r="E638" s="17" t="s">
        <v>1281</v>
      </c>
      <c r="F638" s="17">
        <v>91</v>
      </c>
      <c r="G638" s="17">
        <v>8620</v>
      </c>
      <c r="H638" s="17">
        <v>87.5</v>
      </c>
      <c r="I638" s="17">
        <v>6415</v>
      </c>
      <c r="J638" s="17">
        <v>82.75</v>
      </c>
      <c r="K638" s="17">
        <v>7077</v>
      </c>
      <c r="L638" s="17">
        <v>45</v>
      </c>
      <c r="M638" s="17">
        <v>5014</v>
      </c>
      <c r="N638" s="17"/>
      <c r="O638" s="17"/>
      <c r="P638" s="17">
        <v>70</v>
      </c>
      <c r="Q638" s="17">
        <v>5445</v>
      </c>
      <c r="R638" s="17">
        <v>87</v>
      </c>
      <c r="S638" s="17">
        <v>883</v>
      </c>
      <c r="T638" s="17"/>
      <c r="U638" s="17"/>
      <c r="V638" s="17"/>
      <c r="W638" s="17"/>
      <c r="X638" s="15">
        <v>261.25</v>
      </c>
      <c r="Y638" s="17">
        <v>576</v>
      </c>
      <c r="Z638" s="17">
        <v>463.25</v>
      </c>
      <c r="AA638" s="17">
        <v>5288</v>
      </c>
      <c r="AB638" s="12">
        <v>497</v>
      </c>
    </row>
    <row r="639" ht="14.25" spans="1:28">
      <c r="A639" s="13">
        <v>637</v>
      </c>
      <c r="B639" s="15">
        <v>13</v>
      </c>
      <c r="C639" s="16">
        <v>30</v>
      </c>
      <c r="D639" s="17" t="s">
        <v>1282</v>
      </c>
      <c r="E639" s="17" t="s">
        <v>1283</v>
      </c>
      <c r="F639" s="17">
        <v>104</v>
      </c>
      <c r="G639" s="17">
        <v>1709</v>
      </c>
      <c r="H639" s="17">
        <v>92.5</v>
      </c>
      <c r="I639" s="17">
        <v>5299</v>
      </c>
      <c r="J639" s="17">
        <v>79.5</v>
      </c>
      <c r="K639" s="17">
        <v>7930</v>
      </c>
      <c r="L639" s="17">
        <v>47.5</v>
      </c>
      <c r="M639" s="17">
        <v>4470</v>
      </c>
      <c r="N639" s="17"/>
      <c r="O639" s="17"/>
      <c r="P639" s="17">
        <v>64</v>
      </c>
      <c r="Q639" s="17">
        <v>7304</v>
      </c>
      <c r="R639" s="17">
        <v>80</v>
      </c>
      <c r="S639" s="17">
        <v>2376</v>
      </c>
      <c r="T639" s="17"/>
      <c r="U639" s="17"/>
      <c r="V639" s="17"/>
      <c r="W639" s="17"/>
      <c r="X639" s="15">
        <v>276</v>
      </c>
      <c r="Y639" s="17">
        <v>490</v>
      </c>
      <c r="Z639" s="17">
        <v>467.5</v>
      </c>
      <c r="AA639" s="17">
        <v>5000</v>
      </c>
      <c r="AB639" s="12">
        <v>470</v>
      </c>
    </row>
    <row r="640" ht="14.25" spans="1:28">
      <c r="A640" s="13">
        <v>638</v>
      </c>
      <c r="B640" s="15">
        <v>13</v>
      </c>
      <c r="C640" s="16">
        <v>31</v>
      </c>
      <c r="D640" s="19" t="s">
        <v>1284</v>
      </c>
      <c r="E640" s="17" t="s">
        <v>847</v>
      </c>
      <c r="F640" s="17">
        <v>95.5</v>
      </c>
      <c r="G640" s="17">
        <v>5877</v>
      </c>
      <c r="H640" s="17">
        <v>104.5</v>
      </c>
      <c r="I640" s="17">
        <v>2895</v>
      </c>
      <c r="J640" s="17">
        <v>95.75</v>
      </c>
      <c r="K640" s="17">
        <v>3946</v>
      </c>
      <c r="L640" s="17">
        <v>64.5</v>
      </c>
      <c r="M640" s="17">
        <v>1506</v>
      </c>
      <c r="N640" s="17"/>
      <c r="O640" s="17"/>
      <c r="P640" s="17">
        <v>88</v>
      </c>
      <c r="Q640" s="17">
        <v>397</v>
      </c>
      <c r="R640" s="17">
        <v>77</v>
      </c>
      <c r="S640" s="17">
        <v>3183</v>
      </c>
      <c r="T640" s="17"/>
      <c r="U640" s="17"/>
      <c r="V640" s="17"/>
      <c r="W640" s="17"/>
      <c r="X640" s="15">
        <v>295.75</v>
      </c>
      <c r="Y640" s="17">
        <v>310</v>
      </c>
      <c r="Z640" s="17">
        <v>525.25</v>
      </c>
      <c r="AA640" s="17">
        <v>2129</v>
      </c>
      <c r="AB640" s="12">
        <v>183</v>
      </c>
    </row>
    <row r="641" ht="14.25" spans="1:28">
      <c r="A641" s="13">
        <v>639</v>
      </c>
      <c r="B641" s="15">
        <v>13</v>
      </c>
      <c r="C641" s="16">
        <v>32</v>
      </c>
      <c r="D641" s="17" t="s">
        <v>1285</v>
      </c>
      <c r="E641" s="17" t="s">
        <v>1286</v>
      </c>
      <c r="F641" s="17">
        <v>106.5</v>
      </c>
      <c r="G641" s="17">
        <v>1059</v>
      </c>
      <c r="H641" s="17">
        <v>133.5</v>
      </c>
      <c r="I641" s="17">
        <v>67</v>
      </c>
      <c r="J641" s="17">
        <v>93</v>
      </c>
      <c r="K641" s="17">
        <v>4548</v>
      </c>
      <c r="L641" s="17">
        <v>75.5</v>
      </c>
      <c r="M641" s="17">
        <v>413</v>
      </c>
      <c r="N641" s="17"/>
      <c r="O641" s="17"/>
      <c r="P641" s="17">
        <v>77</v>
      </c>
      <c r="Q641" s="17">
        <v>3207</v>
      </c>
      <c r="R641" s="17">
        <v>83</v>
      </c>
      <c r="S641" s="17">
        <v>1715</v>
      </c>
      <c r="T641" s="17"/>
      <c r="U641" s="17"/>
      <c r="V641" s="17"/>
      <c r="W641" s="17"/>
      <c r="X641" s="15">
        <v>333</v>
      </c>
      <c r="Y641" s="17">
        <v>56</v>
      </c>
      <c r="Z641" s="17">
        <v>568.5</v>
      </c>
      <c r="AA641" s="17">
        <v>794</v>
      </c>
      <c r="AB641" s="12">
        <v>52</v>
      </c>
    </row>
    <row r="642" ht="14.25" spans="1:28">
      <c r="A642" s="13">
        <v>640</v>
      </c>
      <c r="B642" s="15">
        <v>13</v>
      </c>
      <c r="C642" s="16">
        <v>33</v>
      </c>
      <c r="D642" s="17" t="s">
        <v>1287</v>
      </c>
      <c r="E642" s="17" t="s">
        <v>1288</v>
      </c>
      <c r="F642" s="17">
        <v>101</v>
      </c>
      <c r="G642" s="17">
        <v>2896</v>
      </c>
      <c r="H642" s="17">
        <v>87.5</v>
      </c>
      <c r="I642" s="17">
        <v>6415</v>
      </c>
      <c r="J642" s="17">
        <v>89</v>
      </c>
      <c r="K642" s="17">
        <v>5512</v>
      </c>
      <c r="L642" s="17">
        <v>45</v>
      </c>
      <c r="M642" s="17">
        <v>5014</v>
      </c>
      <c r="N642" s="17"/>
      <c r="O642" s="17"/>
      <c r="P642" s="17">
        <v>57</v>
      </c>
      <c r="Q642" s="17">
        <v>9600</v>
      </c>
      <c r="R642" s="17">
        <v>74</v>
      </c>
      <c r="S642" s="17">
        <v>4119</v>
      </c>
      <c r="T642" s="17"/>
      <c r="U642" s="17"/>
      <c r="V642" s="17"/>
      <c r="W642" s="17"/>
      <c r="X642" s="15">
        <v>277.5</v>
      </c>
      <c r="Y642" s="17">
        <v>480</v>
      </c>
      <c r="Z642" s="17">
        <v>453.5</v>
      </c>
      <c r="AA642" s="17">
        <v>5886</v>
      </c>
      <c r="AB642" s="12">
        <v>531</v>
      </c>
    </row>
    <row r="643" ht="14.25" spans="1:28">
      <c r="A643" s="13">
        <v>641</v>
      </c>
      <c r="B643" s="15">
        <v>13</v>
      </c>
      <c r="C643" s="16">
        <v>34</v>
      </c>
      <c r="D643" s="17" t="s">
        <v>1289</v>
      </c>
      <c r="E643" s="17" t="s">
        <v>1290</v>
      </c>
      <c r="F643" s="17">
        <v>90.5</v>
      </c>
      <c r="G643" s="17">
        <v>8999</v>
      </c>
      <c r="H643" s="17">
        <v>110</v>
      </c>
      <c r="I643" s="17">
        <v>1931</v>
      </c>
      <c r="J643" s="17">
        <v>80</v>
      </c>
      <c r="K643" s="17">
        <v>7802</v>
      </c>
      <c r="L643" s="17">
        <v>42</v>
      </c>
      <c r="M643" s="17">
        <v>5731</v>
      </c>
      <c r="N643" s="17"/>
      <c r="O643" s="17"/>
      <c r="P643" s="17">
        <v>67</v>
      </c>
      <c r="Q643" s="17">
        <v>6384</v>
      </c>
      <c r="R643" s="17">
        <v>86</v>
      </c>
      <c r="S643" s="17">
        <v>1176</v>
      </c>
      <c r="T643" s="17"/>
      <c r="U643" s="17"/>
      <c r="V643" s="17"/>
      <c r="W643" s="17"/>
      <c r="X643" s="15">
        <v>280.5</v>
      </c>
      <c r="Y643" s="17">
        <v>443</v>
      </c>
      <c r="Z643" s="17">
        <v>475.5</v>
      </c>
      <c r="AA643" s="17">
        <v>4513</v>
      </c>
      <c r="AB643" s="12">
        <v>434</v>
      </c>
    </row>
    <row r="644" ht="14.25" spans="1:28">
      <c r="A644" s="13">
        <v>642</v>
      </c>
      <c r="B644" s="15">
        <v>13</v>
      </c>
      <c r="C644" s="16">
        <v>35</v>
      </c>
      <c r="D644" s="17" t="s">
        <v>1291</v>
      </c>
      <c r="E644" s="17" t="s">
        <v>1292</v>
      </c>
      <c r="F644" s="17">
        <v>114.25</v>
      </c>
      <c r="G644" s="17">
        <v>109</v>
      </c>
      <c r="H644" s="17">
        <v>110</v>
      </c>
      <c r="I644" s="17">
        <v>1931</v>
      </c>
      <c r="J644" s="17">
        <v>109.25</v>
      </c>
      <c r="K644" s="17">
        <v>1566</v>
      </c>
      <c r="L644" s="17">
        <v>62.5</v>
      </c>
      <c r="M644" s="17">
        <v>1781</v>
      </c>
      <c r="N644" s="17"/>
      <c r="O644" s="17"/>
      <c r="P644" s="17">
        <v>81</v>
      </c>
      <c r="Q644" s="17">
        <v>2079</v>
      </c>
      <c r="R644" s="17">
        <v>93</v>
      </c>
      <c r="S644" s="17">
        <v>50</v>
      </c>
      <c r="T644" s="17"/>
      <c r="U644" s="17"/>
      <c r="V644" s="17"/>
      <c r="W644" s="17"/>
      <c r="X644" s="15">
        <v>333.5</v>
      </c>
      <c r="Y644" s="17">
        <v>55</v>
      </c>
      <c r="Z644" s="17">
        <v>570</v>
      </c>
      <c r="AA644" s="17">
        <v>744</v>
      </c>
      <c r="AB644" s="12">
        <v>45</v>
      </c>
    </row>
    <row r="645" ht="14.25" spans="1:28">
      <c r="A645" s="13">
        <v>643</v>
      </c>
      <c r="B645" s="15">
        <v>13</v>
      </c>
      <c r="C645" s="16">
        <v>36</v>
      </c>
      <c r="D645" s="17" t="s">
        <v>1293</v>
      </c>
      <c r="E645" s="17" t="s">
        <v>1294</v>
      </c>
      <c r="F645" s="17">
        <v>99.5</v>
      </c>
      <c r="G645" s="17">
        <v>3607</v>
      </c>
      <c r="H645" s="17">
        <v>89</v>
      </c>
      <c r="I645" s="17">
        <v>6077</v>
      </c>
      <c r="J645" s="17">
        <v>86.75</v>
      </c>
      <c r="K645" s="17">
        <v>6087</v>
      </c>
      <c r="L645" s="17">
        <v>49</v>
      </c>
      <c r="M645" s="17">
        <v>4146</v>
      </c>
      <c r="N645" s="17"/>
      <c r="O645" s="17"/>
      <c r="P645" s="17">
        <v>74</v>
      </c>
      <c r="Q645" s="17">
        <v>4168</v>
      </c>
      <c r="R645" s="17">
        <v>74</v>
      </c>
      <c r="S645" s="17">
        <v>4119</v>
      </c>
      <c r="T645" s="17"/>
      <c r="U645" s="17"/>
      <c r="V645" s="17"/>
      <c r="W645" s="17"/>
      <c r="X645" s="15">
        <v>275.25</v>
      </c>
      <c r="Y645" s="17">
        <v>495</v>
      </c>
      <c r="Z645" s="17">
        <v>472.25</v>
      </c>
      <c r="AA645" s="17">
        <v>4710</v>
      </c>
      <c r="AB645" s="12">
        <v>449</v>
      </c>
    </row>
    <row r="646" ht="14.25" spans="1:28">
      <c r="A646" s="13">
        <v>644</v>
      </c>
      <c r="B646" s="15">
        <v>13</v>
      </c>
      <c r="C646" s="16">
        <v>37</v>
      </c>
      <c r="D646" s="17" t="s">
        <v>1295</v>
      </c>
      <c r="E646" s="17" t="s">
        <v>1296</v>
      </c>
      <c r="F646" s="17">
        <v>96.5</v>
      </c>
      <c r="G646" s="17">
        <v>5262</v>
      </c>
      <c r="H646" s="17">
        <v>88</v>
      </c>
      <c r="I646" s="17">
        <v>6299</v>
      </c>
      <c r="J646" s="17">
        <v>91.5</v>
      </c>
      <c r="K646" s="17">
        <v>4916</v>
      </c>
      <c r="L646" s="17">
        <v>59.5</v>
      </c>
      <c r="M646" s="17">
        <v>2274</v>
      </c>
      <c r="N646" s="17"/>
      <c r="O646" s="17"/>
      <c r="P646" s="17">
        <v>75</v>
      </c>
      <c r="Q646" s="17">
        <v>3841</v>
      </c>
      <c r="R646" s="17">
        <v>79</v>
      </c>
      <c r="S646" s="17">
        <v>2629</v>
      </c>
      <c r="T646" s="17"/>
      <c r="U646" s="17"/>
      <c r="V646" s="17"/>
      <c r="W646" s="17"/>
      <c r="X646" s="15">
        <v>276</v>
      </c>
      <c r="Y646" s="17">
        <v>490</v>
      </c>
      <c r="Z646" s="17">
        <v>489.5</v>
      </c>
      <c r="AA646" s="17">
        <v>3772</v>
      </c>
      <c r="AB646" s="12">
        <v>377</v>
      </c>
    </row>
    <row r="647" ht="14.25" spans="1:28">
      <c r="A647" s="13">
        <v>645</v>
      </c>
      <c r="B647" s="15">
        <v>13</v>
      </c>
      <c r="C647" s="16">
        <v>38</v>
      </c>
      <c r="D647" s="17" t="s">
        <v>1297</v>
      </c>
      <c r="E647" s="17" t="s">
        <v>1298</v>
      </c>
      <c r="F647" s="17">
        <v>95.5</v>
      </c>
      <c r="G647" s="17">
        <v>5877</v>
      </c>
      <c r="H647" s="17">
        <v>86.5</v>
      </c>
      <c r="I647" s="17">
        <v>6657</v>
      </c>
      <c r="J647" s="17">
        <v>102</v>
      </c>
      <c r="K647" s="17">
        <v>2685</v>
      </c>
      <c r="L647" s="17">
        <v>57.5</v>
      </c>
      <c r="M647" s="17">
        <v>2619</v>
      </c>
      <c r="N647" s="17"/>
      <c r="O647" s="17"/>
      <c r="P647" s="17">
        <v>84</v>
      </c>
      <c r="Q647" s="17">
        <v>1443</v>
      </c>
      <c r="R647" s="17">
        <v>78</v>
      </c>
      <c r="S647" s="17">
        <v>2906</v>
      </c>
      <c r="T647" s="17"/>
      <c r="U647" s="17"/>
      <c r="V647" s="17"/>
      <c r="W647" s="17"/>
      <c r="X647" s="15">
        <v>284</v>
      </c>
      <c r="Y647" s="17">
        <v>408</v>
      </c>
      <c r="Z647" s="17">
        <v>503.5</v>
      </c>
      <c r="AA647" s="17">
        <v>3078</v>
      </c>
      <c r="AB647" s="12">
        <v>308</v>
      </c>
    </row>
    <row r="648" ht="14.25" spans="1:28">
      <c r="A648" s="13">
        <v>646</v>
      </c>
      <c r="B648" s="15">
        <v>13</v>
      </c>
      <c r="C648" s="16">
        <v>40</v>
      </c>
      <c r="D648" s="17" t="s">
        <v>1299</v>
      </c>
      <c r="E648" s="17" t="s">
        <v>1300</v>
      </c>
      <c r="F648" s="17">
        <v>94</v>
      </c>
      <c r="G648" s="17">
        <v>6811</v>
      </c>
      <c r="H648" s="17">
        <v>108.5</v>
      </c>
      <c r="I648" s="17">
        <v>2198</v>
      </c>
      <c r="J648" s="17">
        <v>76</v>
      </c>
      <c r="K648" s="17">
        <v>8837</v>
      </c>
      <c r="L648" s="17">
        <v>64.5</v>
      </c>
      <c r="M648" s="17">
        <v>1506</v>
      </c>
      <c r="N648" s="17"/>
      <c r="O648" s="17"/>
      <c r="P648" s="17">
        <v>79</v>
      </c>
      <c r="Q648" s="17">
        <v>2632</v>
      </c>
      <c r="R648" s="17">
        <v>90</v>
      </c>
      <c r="S648" s="17">
        <v>255</v>
      </c>
      <c r="T648" s="17"/>
      <c r="U648" s="17"/>
      <c r="V648" s="17"/>
      <c r="W648" s="17"/>
      <c r="X648" s="15">
        <v>278.5</v>
      </c>
      <c r="Y648" s="17">
        <v>462</v>
      </c>
      <c r="Z648" s="17">
        <v>512</v>
      </c>
      <c r="AA648" s="17">
        <v>2673</v>
      </c>
      <c r="AB648" s="12">
        <v>261</v>
      </c>
    </row>
    <row r="649" ht="14.25" spans="1:28">
      <c r="A649" s="13">
        <v>647</v>
      </c>
      <c r="B649" s="15">
        <v>13</v>
      </c>
      <c r="C649" s="16">
        <v>41</v>
      </c>
      <c r="D649" s="17" t="s">
        <v>1301</v>
      </c>
      <c r="E649" s="17" t="s">
        <v>1302</v>
      </c>
      <c r="F649" s="17">
        <v>104</v>
      </c>
      <c r="G649" s="17">
        <v>1709</v>
      </c>
      <c r="H649" s="17">
        <v>94.5</v>
      </c>
      <c r="I649" s="17">
        <v>4840</v>
      </c>
      <c r="J649" s="17">
        <v>70.5</v>
      </c>
      <c r="K649" s="17">
        <v>10192</v>
      </c>
      <c r="L649" s="17">
        <v>49</v>
      </c>
      <c r="M649" s="17">
        <v>4146</v>
      </c>
      <c r="N649" s="17"/>
      <c r="O649" s="17"/>
      <c r="P649" s="17">
        <v>72</v>
      </c>
      <c r="Q649" s="17">
        <v>4881</v>
      </c>
      <c r="R649" s="17">
        <v>78</v>
      </c>
      <c r="S649" s="17">
        <v>2906</v>
      </c>
      <c r="T649" s="17"/>
      <c r="U649" s="17"/>
      <c r="V649" s="17"/>
      <c r="W649" s="17"/>
      <c r="X649" s="15">
        <v>269</v>
      </c>
      <c r="Y649" s="17">
        <v>538</v>
      </c>
      <c r="Z649" s="17">
        <v>468</v>
      </c>
      <c r="AA649" s="17">
        <v>4971</v>
      </c>
      <c r="AB649" s="12">
        <v>467</v>
      </c>
    </row>
    <row r="650" ht="14.25" spans="1:28">
      <c r="A650" s="13">
        <v>648</v>
      </c>
      <c r="B650" s="15">
        <v>13</v>
      </c>
      <c r="C650" s="16">
        <v>42</v>
      </c>
      <c r="D650" s="17" t="s">
        <v>1303</v>
      </c>
      <c r="E650" s="17" t="s">
        <v>1304</v>
      </c>
      <c r="F650" s="17">
        <v>89</v>
      </c>
      <c r="G650" s="17">
        <v>9959</v>
      </c>
      <c r="H650" s="17">
        <v>81</v>
      </c>
      <c r="I650" s="17">
        <v>7859</v>
      </c>
      <c r="J650" s="17">
        <v>72.25</v>
      </c>
      <c r="K650" s="17">
        <v>9814</v>
      </c>
      <c r="L650" s="17">
        <v>34.5</v>
      </c>
      <c r="M650" s="17">
        <v>7899</v>
      </c>
      <c r="N650" s="17"/>
      <c r="O650" s="17"/>
      <c r="P650" s="17">
        <v>64</v>
      </c>
      <c r="Q650" s="17">
        <v>7304</v>
      </c>
      <c r="R650" s="17">
        <v>71</v>
      </c>
      <c r="S650" s="17">
        <v>5151</v>
      </c>
      <c r="T650" s="17"/>
      <c r="U650" s="17"/>
      <c r="V650" s="17"/>
      <c r="W650" s="17"/>
      <c r="X650" s="15">
        <v>242.25</v>
      </c>
      <c r="Y650" s="17">
        <v>625</v>
      </c>
      <c r="Z650" s="17">
        <v>411.75</v>
      </c>
      <c r="AA650" s="17">
        <v>8824</v>
      </c>
      <c r="AB650" s="12">
        <v>629</v>
      </c>
    </row>
    <row r="651" ht="14.25" spans="1:28">
      <c r="A651" s="13">
        <v>649</v>
      </c>
      <c r="B651" s="15">
        <v>13</v>
      </c>
      <c r="C651" s="16">
        <v>43</v>
      </c>
      <c r="D651" s="17" t="s">
        <v>1305</v>
      </c>
      <c r="E651" s="17" t="s">
        <v>1306</v>
      </c>
      <c r="F651" s="17">
        <v>93.5</v>
      </c>
      <c r="G651" s="17">
        <v>7127</v>
      </c>
      <c r="H651" s="17">
        <v>102</v>
      </c>
      <c r="I651" s="17">
        <v>3381</v>
      </c>
      <c r="J651" s="17">
        <v>84</v>
      </c>
      <c r="K651" s="17">
        <v>6761</v>
      </c>
      <c r="L651" s="17">
        <v>32.5</v>
      </c>
      <c r="M651" s="17">
        <v>8567</v>
      </c>
      <c r="N651" s="17"/>
      <c r="O651" s="17"/>
      <c r="P651" s="17">
        <v>64</v>
      </c>
      <c r="Q651" s="17">
        <v>7304</v>
      </c>
      <c r="R651" s="17">
        <v>71</v>
      </c>
      <c r="S651" s="17">
        <v>5151</v>
      </c>
      <c r="T651" s="17"/>
      <c r="U651" s="17"/>
      <c r="V651" s="17"/>
      <c r="W651" s="17"/>
      <c r="X651" s="15">
        <v>279.5</v>
      </c>
      <c r="Y651" s="17">
        <v>451</v>
      </c>
      <c r="Z651" s="17">
        <v>447</v>
      </c>
      <c r="AA651" s="17">
        <v>6327</v>
      </c>
      <c r="AB651" s="12">
        <v>549</v>
      </c>
    </row>
    <row r="652" ht="14.25" spans="1:28">
      <c r="A652" s="13">
        <v>650</v>
      </c>
      <c r="B652" s="15">
        <v>13</v>
      </c>
      <c r="C652" s="16">
        <v>44</v>
      </c>
      <c r="D652" s="17" t="s">
        <v>1307</v>
      </c>
      <c r="E652" s="17" t="s">
        <v>1308</v>
      </c>
      <c r="F652" s="17">
        <v>95.5</v>
      </c>
      <c r="G652" s="17">
        <v>5877</v>
      </c>
      <c r="H652" s="17">
        <v>120.5</v>
      </c>
      <c r="I652" s="17">
        <v>665</v>
      </c>
      <c r="J652" s="17">
        <v>88</v>
      </c>
      <c r="K652" s="17">
        <v>5738</v>
      </c>
      <c r="L652" s="17">
        <v>66.5</v>
      </c>
      <c r="M652" s="17">
        <v>1237</v>
      </c>
      <c r="N652" s="17"/>
      <c r="O652" s="17"/>
      <c r="P652" s="17">
        <v>61</v>
      </c>
      <c r="Q652" s="17">
        <v>8358</v>
      </c>
      <c r="R652" s="17">
        <v>73</v>
      </c>
      <c r="S652" s="17">
        <v>4436</v>
      </c>
      <c r="T652" s="17"/>
      <c r="U652" s="17"/>
      <c r="V652" s="17"/>
      <c r="W652" s="17"/>
      <c r="X652" s="15">
        <v>304</v>
      </c>
      <c r="Y652" s="17">
        <v>245</v>
      </c>
      <c r="Z652" s="17">
        <v>504.5</v>
      </c>
      <c r="AA652" s="17">
        <v>3031</v>
      </c>
      <c r="AB652" s="12">
        <v>301</v>
      </c>
    </row>
    <row r="653" ht="14.25" spans="1:28">
      <c r="A653" s="13">
        <v>651</v>
      </c>
      <c r="B653" s="15">
        <v>13</v>
      </c>
      <c r="C653" s="16">
        <v>45</v>
      </c>
      <c r="D653" s="17" t="s">
        <v>1309</v>
      </c>
      <c r="E653" s="17" t="s">
        <v>1310</v>
      </c>
      <c r="F653" s="17">
        <v>96.5</v>
      </c>
      <c r="G653" s="17">
        <v>5262</v>
      </c>
      <c r="H653" s="17">
        <v>97.5</v>
      </c>
      <c r="I653" s="17">
        <v>4244</v>
      </c>
      <c r="J653" s="17">
        <v>98</v>
      </c>
      <c r="K653" s="17">
        <v>3454</v>
      </c>
      <c r="L653" s="17">
        <v>60.5</v>
      </c>
      <c r="M653" s="17">
        <v>2106</v>
      </c>
      <c r="N653" s="17"/>
      <c r="O653" s="17"/>
      <c r="P653" s="17">
        <v>74</v>
      </c>
      <c r="Q653" s="17">
        <v>4168</v>
      </c>
      <c r="R653" s="17">
        <v>80</v>
      </c>
      <c r="S653" s="17">
        <v>2376</v>
      </c>
      <c r="T653" s="17"/>
      <c r="U653" s="17"/>
      <c r="V653" s="17"/>
      <c r="W653" s="17"/>
      <c r="X653" s="15">
        <v>292</v>
      </c>
      <c r="Y653" s="17">
        <v>350</v>
      </c>
      <c r="Z653" s="17">
        <v>506.5</v>
      </c>
      <c r="AA653" s="17">
        <v>2930</v>
      </c>
      <c r="AB653" s="12">
        <v>288</v>
      </c>
    </row>
    <row r="654" ht="14.25" spans="1:28">
      <c r="A654" s="13">
        <v>652</v>
      </c>
      <c r="B654" s="15">
        <v>13</v>
      </c>
      <c r="C654" s="16">
        <v>46</v>
      </c>
      <c r="D654" s="17" t="s">
        <v>1311</v>
      </c>
      <c r="E654" s="17" t="s">
        <v>1312</v>
      </c>
      <c r="F654" s="17">
        <v>98.25</v>
      </c>
      <c r="G654" s="17">
        <v>4392</v>
      </c>
      <c r="H654" s="17">
        <v>84</v>
      </c>
      <c r="I654" s="17">
        <v>7206</v>
      </c>
      <c r="J654" s="17">
        <v>90</v>
      </c>
      <c r="K654" s="17">
        <v>5256</v>
      </c>
      <c r="L654" s="17">
        <v>56</v>
      </c>
      <c r="M654" s="17">
        <v>2878</v>
      </c>
      <c r="N654" s="17"/>
      <c r="O654" s="17"/>
      <c r="P654" s="17">
        <v>82</v>
      </c>
      <c r="Q654" s="17">
        <v>1870</v>
      </c>
      <c r="R654" s="17">
        <v>78</v>
      </c>
      <c r="S654" s="17">
        <v>2906</v>
      </c>
      <c r="T654" s="17"/>
      <c r="U654" s="17"/>
      <c r="V654" s="17"/>
      <c r="W654" s="17"/>
      <c r="X654" s="15">
        <v>272.25</v>
      </c>
      <c r="Y654" s="17">
        <v>513</v>
      </c>
      <c r="Z654" s="17">
        <v>488.25</v>
      </c>
      <c r="AA654" s="17">
        <v>3834</v>
      </c>
      <c r="AB654" s="12">
        <v>385</v>
      </c>
    </row>
    <row r="655" ht="14.25" spans="1:28">
      <c r="A655" s="13">
        <v>653</v>
      </c>
      <c r="B655" s="15">
        <v>13</v>
      </c>
      <c r="C655" s="16">
        <v>47</v>
      </c>
      <c r="D655" s="17" t="s">
        <v>1313</v>
      </c>
      <c r="E655" s="17" t="s">
        <v>1314</v>
      </c>
      <c r="F655" s="17">
        <v>99.5</v>
      </c>
      <c r="G655" s="17">
        <v>3607</v>
      </c>
      <c r="H655" s="17">
        <v>107.5</v>
      </c>
      <c r="I655" s="17">
        <v>2373</v>
      </c>
      <c r="J655" s="17">
        <v>85.5</v>
      </c>
      <c r="K655" s="17">
        <v>6376</v>
      </c>
      <c r="L655" s="17">
        <v>47</v>
      </c>
      <c r="M655" s="17">
        <v>4568</v>
      </c>
      <c r="N655" s="17"/>
      <c r="O655" s="17"/>
      <c r="P655" s="17">
        <v>74</v>
      </c>
      <c r="Q655" s="17">
        <v>4168</v>
      </c>
      <c r="R655" s="17">
        <v>75</v>
      </c>
      <c r="S655" s="17">
        <v>3790</v>
      </c>
      <c r="T655" s="17"/>
      <c r="U655" s="17"/>
      <c r="V655" s="17"/>
      <c r="W655" s="17"/>
      <c r="X655" s="15">
        <v>292.5</v>
      </c>
      <c r="Y655" s="17">
        <v>345</v>
      </c>
      <c r="Z655" s="17">
        <v>488.5</v>
      </c>
      <c r="AA655" s="17">
        <v>3823</v>
      </c>
      <c r="AB655" s="12">
        <v>383</v>
      </c>
    </row>
    <row r="656" ht="14.25" spans="1:28">
      <c r="A656" s="13">
        <v>654</v>
      </c>
      <c r="B656" s="15">
        <v>13</v>
      </c>
      <c r="C656" s="16">
        <v>48</v>
      </c>
      <c r="D656" s="17" t="s">
        <v>1315</v>
      </c>
      <c r="E656" s="17" t="s">
        <v>1316</v>
      </c>
      <c r="F656" s="17">
        <v>110</v>
      </c>
      <c r="G656" s="17">
        <v>430</v>
      </c>
      <c r="H656" s="17">
        <v>121</v>
      </c>
      <c r="I656" s="17">
        <v>621</v>
      </c>
      <c r="J656" s="17">
        <v>99.25</v>
      </c>
      <c r="K656" s="17">
        <v>3211</v>
      </c>
      <c r="L656" s="17">
        <v>67</v>
      </c>
      <c r="M656" s="17">
        <v>1188</v>
      </c>
      <c r="N656" s="17"/>
      <c r="O656" s="17"/>
      <c r="P656" s="17">
        <v>87</v>
      </c>
      <c r="Q656" s="17">
        <v>681</v>
      </c>
      <c r="R656" s="17">
        <v>88</v>
      </c>
      <c r="S656" s="17">
        <v>601</v>
      </c>
      <c r="T656" s="17"/>
      <c r="U656" s="17"/>
      <c r="V656" s="17"/>
      <c r="W656" s="17"/>
      <c r="X656" s="15">
        <v>330.25</v>
      </c>
      <c r="Y656" s="17">
        <v>65</v>
      </c>
      <c r="Z656" s="17">
        <v>572.25</v>
      </c>
      <c r="AA656" s="17">
        <v>700</v>
      </c>
      <c r="AB656" s="12">
        <v>40</v>
      </c>
    </row>
    <row r="657" ht="14.25" spans="1:28">
      <c r="A657" s="13">
        <v>655</v>
      </c>
      <c r="B657" s="15">
        <v>13</v>
      </c>
      <c r="C657" s="16">
        <v>49</v>
      </c>
      <c r="D657" s="17" t="s">
        <v>1317</v>
      </c>
      <c r="E657" s="17" t="s">
        <v>1318</v>
      </c>
      <c r="F657" s="17">
        <v>91.5</v>
      </c>
      <c r="G657" s="17">
        <v>8306</v>
      </c>
      <c r="H657" s="17">
        <v>114.5</v>
      </c>
      <c r="I657" s="17">
        <v>1277</v>
      </c>
      <c r="J657" s="17">
        <v>88.5</v>
      </c>
      <c r="K657" s="17">
        <v>5628</v>
      </c>
      <c r="L657" s="17">
        <v>33</v>
      </c>
      <c r="M657" s="17">
        <v>8387</v>
      </c>
      <c r="N657" s="17"/>
      <c r="O657" s="17"/>
      <c r="P657" s="17">
        <v>87</v>
      </c>
      <c r="Q657" s="17">
        <v>681</v>
      </c>
      <c r="R657" s="17">
        <v>71</v>
      </c>
      <c r="S657" s="17">
        <v>5151</v>
      </c>
      <c r="T657" s="17"/>
      <c r="U657" s="17"/>
      <c r="V657" s="17"/>
      <c r="W657" s="17"/>
      <c r="X657" s="15">
        <v>294.5</v>
      </c>
      <c r="Y657" s="17">
        <v>321</v>
      </c>
      <c r="Z657" s="17">
        <v>485.5</v>
      </c>
      <c r="AA657" s="17">
        <v>3956</v>
      </c>
      <c r="AB657" s="12">
        <v>395</v>
      </c>
    </row>
    <row r="658" ht="14.25" spans="1:28">
      <c r="A658" s="13">
        <v>656</v>
      </c>
      <c r="B658" s="15">
        <v>13</v>
      </c>
      <c r="C658" s="16">
        <v>50</v>
      </c>
      <c r="D658" s="17" t="s">
        <v>1319</v>
      </c>
      <c r="E658" s="17" t="s">
        <v>1320</v>
      </c>
      <c r="F658" s="17">
        <v>99.5</v>
      </c>
      <c r="G658" s="17">
        <v>3607</v>
      </c>
      <c r="H658" s="17">
        <v>78</v>
      </c>
      <c r="I658" s="17">
        <v>8424</v>
      </c>
      <c r="J658" s="17">
        <v>59.75</v>
      </c>
      <c r="K658" s="17">
        <v>12508</v>
      </c>
      <c r="L658" s="17">
        <v>37.5</v>
      </c>
      <c r="M658" s="17">
        <v>6979</v>
      </c>
      <c r="N658" s="17"/>
      <c r="O658" s="17"/>
      <c r="P658" s="17">
        <v>72</v>
      </c>
      <c r="Q658" s="17">
        <v>4881</v>
      </c>
      <c r="R658" s="17">
        <v>87</v>
      </c>
      <c r="S658" s="17">
        <v>883</v>
      </c>
      <c r="T658" s="17"/>
      <c r="U658" s="17"/>
      <c r="V658" s="17"/>
      <c r="W658" s="17"/>
      <c r="X658" s="15">
        <v>237.25</v>
      </c>
      <c r="Y658" s="17">
        <v>636</v>
      </c>
      <c r="Z658" s="17">
        <v>433.75</v>
      </c>
      <c r="AA658" s="17">
        <v>7239</v>
      </c>
      <c r="AB658" s="12">
        <v>591</v>
      </c>
    </row>
    <row r="659" ht="14.25" spans="1:28">
      <c r="A659" s="13">
        <v>657</v>
      </c>
      <c r="B659" s="15">
        <v>13</v>
      </c>
      <c r="C659" s="16">
        <v>51</v>
      </c>
      <c r="D659" s="17" t="s">
        <v>1321</v>
      </c>
      <c r="E659" s="17" t="s">
        <v>1322</v>
      </c>
      <c r="F659" s="17">
        <v>93</v>
      </c>
      <c r="G659" s="17">
        <v>7407</v>
      </c>
      <c r="H659" s="17">
        <v>101.5</v>
      </c>
      <c r="I659" s="17">
        <v>3477</v>
      </c>
      <c r="J659" s="17">
        <v>97.5</v>
      </c>
      <c r="K659" s="17">
        <v>3545</v>
      </c>
      <c r="L659" s="17">
        <v>62</v>
      </c>
      <c r="M659" s="17">
        <v>1839</v>
      </c>
      <c r="N659" s="17"/>
      <c r="O659" s="17"/>
      <c r="P659" s="17">
        <v>67</v>
      </c>
      <c r="Q659" s="17">
        <v>6384</v>
      </c>
      <c r="R659" s="17">
        <v>81</v>
      </c>
      <c r="S659" s="17">
        <v>2139</v>
      </c>
      <c r="T659" s="17"/>
      <c r="U659" s="17"/>
      <c r="V659" s="17"/>
      <c r="W659" s="17"/>
      <c r="X659" s="15">
        <v>292</v>
      </c>
      <c r="Y659" s="17">
        <v>350</v>
      </c>
      <c r="Z659" s="17">
        <v>502</v>
      </c>
      <c r="AA659" s="17">
        <v>3150</v>
      </c>
      <c r="AB659" s="12">
        <v>316</v>
      </c>
    </row>
    <row r="660" ht="14.25" spans="1:28">
      <c r="A660" s="13">
        <v>658</v>
      </c>
      <c r="B660" s="15">
        <v>13</v>
      </c>
      <c r="C660" s="16">
        <v>52</v>
      </c>
      <c r="D660" s="17" t="s">
        <v>1323</v>
      </c>
      <c r="E660" s="17" t="s">
        <v>1324</v>
      </c>
      <c r="F660" s="17">
        <v>103</v>
      </c>
      <c r="G660" s="17">
        <v>2094</v>
      </c>
      <c r="H660" s="17">
        <v>101.5</v>
      </c>
      <c r="I660" s="17">
        <v>3477</v>
      </c>
      <c r="J660" s="17">
        <v>93.5</v>
      </c>
      <c r="K660" s="17">
        <v>4431</v>
      </c>
      <c r="L660" s="17">
        <v>66</v>
      </c>
      <c r="M660" s="17">
        <v>1304</v>
      </c>
      <c r="N660" s="17"/>
      <c r="O660" s="17"/>
      <c r="P660" s="17">
        <v>74</v>
      </c>
      <c r="Q660" s="17">
        <v>4168</v>
      </c>
      <c r="R660" s="17">
        <v>87</v>
      </c>
      <c r="S660" s="17">
        <v>883</v>
      </c>
      <c r="T660" s="17"/>
      <c r="U660" s="17"/>
      <c r="V660" s="17"/>
      <c r="W660" s="17"/>
      <c r="X660" s="15">
        <v>298</v>
      </c>
      <c r="Y660" s="17">
        <v>293</v>
      </c>
      <c r="Z660" s="17">
        <v>525</v>
      </c>
      <c r="AA660" s="17">
        <v>2137</v>
      </c>
      <c r="AB660" s="12">
        <v>186</v>
      </c>
    </row>
    <row r="661" ht="14.25" spans="1:28">
      <c r="A661" s="13">
        <v>659</v>
      </c>
      <c r="B661" s="15">
        <v>13</v>
      </c>
      <c r="C661" s="16">
        <v>53</v>
      </c>
      <c r="D661" s="17" t="s">
        <v>1325</v>
      </c>
      <c r="E661" s="17" t="s">
        <v>49</v>
      </c>
      <c r="F661" s="17">
        <v>83</v>
      </c>
      <c r="G661" s="17">
        <v>13396</v>
      </c>
      <c r="H661" s="17">
        <v>104</v>
      </c>
      <c r="I661" s="17">
        <v>2999</v>
      </c>
      <c r="J661" s="17">
        <v>70.5</v>
      </c>
      <c r="K661" s="17">
        <v>10192</v>
      </c>
      <c r="L661" s="17">
        <v>60</v>
      </c>
      <c r="M661" s="17">
        <v>2185</v>
      </c>
      <c r="N661" s="17"/>
      <c r="O661" s="17"/>
      <c r="P661" s="17">
        <v>74</v>
      </c>
      <c r="Q661" s="17">
        <v>4168</v>
      </c>
      <c r="R661" s="17">
        <v>80</v>
      </c>
      <c r="S661" s="17">
        <v>2376</v>
      </c>
      <c r="T661" s="17"/>
      <c r="U661" s="17"/>
      <c r="V661" s="17"/>
      <c r="W661" s="17"/>
      <c r="X661" s="15">
        <v>257.5</v>
      </c>
      <c r="Y661" s="17">
        <v>590</v>
      </c>
      <c r="Z661" s="17">
        <v>471.5</v>
      </c>
      <c r="AA661" s="17">
        <v>4755</v>
      </c>
      <c r="AB661" s="12">
        <v>453</v>
      </c>
    </row>
    <row r="662" ht="14.25" spans="1:28">
      <c r="A662" s="13">
        <v>660</v>
      </c>
      <c r="B662" s="15">
        <v>13</v>
      </c>
      <c r="C662" s="16">
        <v>54</v>
      </c>
      <c r="D662" s="17" t="s">
        <v>1326</v>
      </c>
      <c r="E662" s="17" t="s">
        <v>1327</v>
      </c>
      <c r="F662" s="17">
        <v>97</v>
      </c>
      <c r="G662" s="17">
        <v>4967</v>
      </c>
      <c r="H662" s="17">
        <v>113.5</v>
      </c>
      <c r="I662" s="17">
        <v>1397</v>
      </c>
      <c r="J662" s="17">
        <v>94.25</v>
      </c>
      <c r="K662" s="17">
        <v>4296</v>
      </c>
      <c r="L662" s="17">
        <v>55</v>
      </c>
      <c r="M662" s="17">
        <v>3031</v>
      </c>
      <c r="N662" s="17"/>
      <c r="O662" s="17"/>
      <c r="P662" s="17">
        <v>80</v>
      </c>
      <c r="Q662" s="17">
        <v>2333</v>
      </c>
      <c r="R662" s="17">
        <v>83</v>
      </c>
      <c r="S662" s="17">
        <v>1715</v>
      </c>
      <c r="T662" s="17"/>
      <c r="U662" s="17"/>
      <c r="V662" s="17"/>
      <c r="W662" s="17"/>
      <c r="X662" s="15">
        <v>304.75</v>
      </c>
      <c r="Y662" s="17">
        <v>238</v>
      </c>
      <c r="Z662" s="17">
        <v>522.75</v>
      </c>
      <c r="AA662" s="17">
        <v>2255</v>
      </c>
      <c r="AB662" s="12">
        <v>204</v>
      </c>
    </row>
    <row r="663" ht="14.25" spans="1:28">
      <c r="A663" s="13">
        <v>661</v>
      </c>
      <c r="B663" s="15">
        <v>13</v>
      </c>
      <c r="C663" s="16">
        <v>55</v>
      </c>
      <c r="D663" s="17" t="s">
        <v>1328</v>
      </c>
      <c r="E663" s="17" t="s">
        <v>1329</v>
      </c>
      <c r="F663" s="17">
        <v>97.5</v>
      </c>
      <c r="G663" s="17">
        <v>4695</v>
      </c>
      <c r="H663" s="17">
        <v>103.5</v>
      </c>
      <c r="I663" s="17">
        <v>3096</v>
      </c>
      <c r="J663" s="17">
        <v>72</v>
      </c>
      <c r="K663" s="17">
        <v>9847</v>
      </c>
      <c r="L663" s="17">
        <v>49.5</v>
      </c>
      <c r="M663" s="17">
        <v>4044</v>
      </c>
      <c r="N663" s="17"/>
      <c r="O663" s="17"/>
      <c r="P663" s="17">
        <v>68</v>
      </c>
      <c r="Q663" s="17">
        <v>6016</v>
      </c>
      <c r="R663" s="17">
        <v>77</v>
      </c>
      <c r="S663" s="17">
        <v>3183</v>
      </c>
      <c r="T663" s="17"/>
      <c r="U663" s="17"/>
      <c r="V663" s="17"/>
      <c r="W663" s="17"/>
      <c r="X663" s="15">
        <v>273</v>
      </c>
      <c r="Y663" s="17">
        <v>508</v>
      </c>
      <c r="Z663" s="17">
        <v>467.5</v>
      </c>
      <c r="AA663" s="17">
        <v>5000</v>
      </c>
      <c r="AB663" s="12">
        <v>470</v>
      </c>
    </row>
    <row r="664" ht="14.25" spans="1:28">
      <c r="A664" s="13">
        <v>662</v>
      </c>
      <c r="B664" s="15">
        <v>13</v>
      </c>
      <c r="C664" s="16">
        <v>56</v>
      </c>
      <c r="D664" s="17" t="s">
        <v>1330</v>
      </c>
      <c r="E664" s="17" t="s">
        <v>1331</v>
      </c>
      <c r="F664" s="17">
        <v>103.5</v>
      </c>
      <c r="G664" s="17">
        <v>1897</v>
      </c>
      <c r="H664" s="17">
        <v>73</v>
      </c>
      <c r="I664" s="17">
        <v>9411</v>
      </c>
      <c r="J664" s="17">
        <v>87</v>
      </c>
      <c r="K664" s="17">
        <v>5999</v>
      </c>
      <c r="L664" s="17">
        <v>27.5</v>
      </c>
      <c r="M664" s="17">
        <v>10504</v>
      </c>
      <c r="N664" s="17"/>
      <c r="O664" s="17"/>
      <c r="P664" s="17">
        <v>68</v>
      </c>
      <c r="Q664" s="17">
        <v>6016</v>
      </c>
      <c r="R664" s="17">
        <v>72</v>
      </c>
      <c r="S664" s="17">
        <v>4793</v>
      </c>
      <c r="T664" s="17"/>
      <c r="U664" s="17"/>
      <c r="V664" s="17"/>
      <c r="W664" s="17"/>
      <c r="X664" s="15">
        <v>263.5</v>
      </c>
      <c r="Y664" s="17">
        <v>563</v>
      </c>
      <c r="Z664" s="17">
        <v>431</v>
      </c>
      <c r="AA664" s="17">
        <v>7418</v>
      </c>
      <c r="AB664" s="12">
        <v>595</v>
      </c>
    </row>
    <row r="665" ht="14.25" spans="1:28">
      <c r="A665" s="13">
        <v>663</v>
      </c>
      <c r="B665" s="15">
        <v>13</v>
      </c>
      <c r="C665" s="16">
        <v>58</v>
      </c>
      <c r="D665" s="17" t="s">
        <v>1332</v>
      </c>
      <c r="E665" s="17" t="s">
        <v>1333</v>
      </c>
      <c r="F665" s="17">
        <v>94.5</v>
      </c>
      <c r="G665" s="17">
        <v>6496</v>
      </c>
      <c r="H665" s="17">
        <v>67.5</v>
      </c>
      <c r="I665" s="17">
        <v>10411</v>
      </c>
      <c r="J665" s="17">
        <v>82.5</v>
      </c>
      <c r="K665" s="17">
        <v>7120</v>
      </c>
      <c r="L665" s="17">
        <v>42.5</v>
      </c>
      <c r="M665" s="17">
        <v>5605</v>
      </c>
      <c r="N665" s="17"/>
      <c r="O665" s="17"/>
      <c r="P665" s="17">
        <v>69</v>
      </c>
      <c r="Q665" s="17">
        <v>5655</v>
      </c>
      <c r="R665" s="17">
        <v>75</v>
      </c>
      <c r="S665" s="17">
        <v>3790</v>
      </c>
      <c r="T665" s="17"/>
      <c r="U665" s="17"/>
      <c r="V665" s="17"/>
      <c r="W665" s="17"/>
      <c r="X665" s="15">
        <v>244.5</v>
      </c>
      <c r="Y665" s="17">
        <v>618</v>
      </c>
      <c r="Z665" s="17">
        <v>431</v>
      </c>
      <c r="AA665" s="17">
        <v>7418</v>
      </c>
      <c r="AB665" s="12">
        <v>595</v>
      </c>
    </row>
    <row r="666" ht="14.25" spans="1:28">
      <c r="A666" s="13">
        <v>664</v>
      </c>
      <c r="B666" s="15">
        <v>14</v>
      </c>
      <c r="C666" s="16">
        <v>1</v>
      </c>
      <c r="D666" s="15" t="s">
        <v>1334</v>
      </c>
      <c r="E666" s="15" t="s">
        <v>1335</v>
      </c>
      <c r="F666" s="21">
        <v>98</v>
      </c>
      <c r="G666" s="21">
        <v>1207</v>
      </c>
      <c r="H666" s="21">
        <v>79.5</v>
      </c>
      <c r="I666" s="21">
        <v>762</v>
      </c>
      <c r="J666" s="21">
        <v>95.75</v>
      </c>
      <c r="K666" s="21">
        <v>897</v>
      </c>
      <c r="L666" s="21"/>
      <c r="M666" s="21"/>
      <c r="N666" s="21">
        <v>68.5</v>
      </c>
      <c r="O666" s="21">
        <v>82</v>
      </c>
      <c r="P666" s="21"/>
      <c r="Q666" s="21"/>
      <c r="R666" s="21"/>
      <c r="S666" s="21"/>
      <c r="T666" s="21">
        <v>85</v>
      </c>
      <c r="U666" s="21">
        <v>537</v>
      </c>
      <c r="V666" s="21">
        <v>62</v>
      </c>
      <c r="W666" s="21">
        <v>766</v>
      </c>
      <c r="X666" s="21">
        <v>273.25</v>
      </c>
      <c r="Y666" s="21">
        <v>160</v>
      </c>
      <c r="Z666" s="21">
        <v>488.75</v>
      </c>
      <c r="AA666" s="21">
        <v>685</v>
      </c>
      <c r="AB666" s="12">
        <v>153</v>
      </c>
    </row>
    <row r="667" ht="14.25" spans="1:28">
      <c r="A667" s="13">
        <v>665</v>
      </c>
      <c r="B667" s="15">
        <v>14</v>
      </c>
      <c r="C667" s="16">
        <v>2</v>
      </c>
      <c r="D667" s="15" t="s">
        <v>1336</v>
      </c>
      <c r="E667" s="15" t="s">
        <v>1337</v>
      </c>
      <c r="F667" s="21">
        <v>98</v>
      </c>
      <c r="G667" s="21">
        <v>1207</v>
      </c>
      <c r="H667" s="21">
        <v>94.5</v>
      </c>
      <c r="I667" s="21">
        <v>381</v>
      </c>
      <c r="J667" s="21">
        <v>106</v>
      </c>
      <c r="K667" s="21">
        <v>510</v>
      </c>
      <c r="L667" s="21"/>
      <c r="M667" s="21"/>
      <c r="N667" s="21">
        <v>70</v>
      </c>
      <c r="O667" s="21">
        <v>52</v>
      </c>
      <c r="P667" s="21"/>
      <c r="Q667" s="21"/>
      <c r="R667" s="21"/>
      <c r="S667" s="21"/>
      <c r="T667" s="21">
        <v>75</v>
      </c>
      <c r="U667" s="21">
        <v>1272</v>
      </c>
      <c r="V667" s="21">
        <v>65</v>
      </c>
      <c r="W667" s="21">
        <v>652</v>
      </c>
      <c r="X667" s="21">
        <v>298.5</v>
      </c>
      <c r="Y667" s="21">
        <v>102</v>
      </c>
      <c r="Z667" s="21">
        <v>508.5</v>
      </c>
      <c r="AA667" s="21">
        <v>501</v>
      </c>
      <c r="AB667" s="12">
        <v>120</v>
      </c>
    </row>
    <row r="668" ht="14.25" spans="1:28">
      <c r="A668" s="13">
        <v>666</v>
      </c>
      <c r="B668" s="15">
        <v>14</v>
      </c>
      <c r="C668" s="16">
        <v>3</v>
      </c>
      <c r="D668" s="15" t="s">
        <v>1338</v>
      </c>
      <c r="E668" s="15" t="s">
        <v>1339</v>
      </c>
      <c r="F668" s="21">
        <v>102.5</v>
      </c>
      <c r="G668" s="21">
        <v>686</v>
      </c>
      <c r="H668" s="21">
        <v>117.5</v>
      </c>
      <c r="I668" s="21">
        <v>50</v>
      </c>
      <c r="J668" s="21">
        <v>108</v>
      </c>
      <c r="K668" s="21">
        <v>449</v>
      </c>
      <c r="L668" s="21"/>
      <c r="M668" s="21"/>
      <c r="N668" s="21">
        <v>46</v>
      </c>
      <c r="O668" s="21">
        <v>2109</v>
      </c>
      <c r="P668" s="21"/>
      <c r="Q668" s="21"/>
      <c r="R668" s="21"/>
      <c r="S668" s="21"/>
      <c r="T668" s="21">
        <v>90</v>
      </c>
      <c r="U668" s="21">
        <v>80</v>
      </c>
      <c r="V668" s="21">
        <v>71</v>
      </c>
      <c r="W668" s="21">
        <v>422</v>
      </c>
      <c r="X668" s="21">
        <v>328</v>
      </c>
      <c r="Y668" s="21">
        <v>27</v>
      </c>
      <c r="Z668" s="21">
        <v>535</v>
      </c>
      <c r="AA668" s="21">
        <v>312</v>
      </c>
      <c r="AB668" s="12">
        <v>67</v>
      </c>
    </row>
    <row r="669" ht="14.25" spans="1:28">
      <c r="A669" s="13">
        <v>667</v>
      </c>
      <c r="B669" s="15">
        <v>14</v>
      </c>
      <c r="C669" s="16">
        <v>4</v>
      </c>
      <c r="D669" s="15" t="s">
        <v>1340</v>
      </c>
      <c r="E669" s="15" t="s">
        <v>1341</v>
      </c>
      <c r="F669" s="21">
        <v>100.75</v>
      </c>
      <c r="G669" s="21">
        <v>893</v>
      </c>
      <c r="H669" s="21">
        <v>110</v>
      </c>
      <c r="I669" s="21">
        <v>132</v>
      </c>
      <c r="J669" s="21">
        <v>115.75</v>
      </c>
      <c r="K669" s="21">
        <v>253</v>
      </c>
      <c r="L669" s="21"/>
      <c r="M669" s="21"/>
      <c r="N669" s="21">
        <v>56</v>
      </c>
      <c r="O669" s="21">
        <v>804</v>
      </c>
      <c r="P669" s="21"/>
      <c r="Q669" s="21"/>
      <c r="R669" s="21"/>
      <c r="S669" s="21"/>
      <c r="T669" s="21">
        <v>85</v>
      </c>
      <c r="U669" s="21">
        <v>537</v>
      </c>
      <c r="V669" s="21">
        <v>73</v>
      </c>
      <c r="W669" s="21">
        <v>356</v>
      </c>
      <c r="X669" s="22">
        <v>326.5</v>
      </c>
      <c r="Y669" s="22">
        <v>31</v>
      </c>
      <c r="Z669" s="21">
        <v>540.5</v>
      </c>
      <c r="AA669" s="21">
        <v>286</v>
      </c>
      <c r="AB669" s="12">
        <v>57</v>
      </c>
    </row>
    <row r="670" ht="14.25" spans="1:28">
      <c r="A670" s="13">
        <v>668</v>
      </c>
      <c r="B670" s="15">
        <v>14</v>
      </c>
      <c r="C670" s="16">
        <v>6</v>
      </c>
      <c r="D670" s="15" t="s">
        <v>1342</v>
      </c>
      <c r="E670" s="15" t="s">
        <v>1343</v>
      </c>
      <c r="F670" s="21">
        <v>109.5</v>
      </c>
      <c r="G670" s="21">
        <v>183</v>
      </c>
      <c r="H670" s="21">
        <v>95.5</v>
      </c>
      <c r="I670" s="21">
        <v>360</v>
      </c>
      <c r="J670" s="21">
        <v>108.25</v>
      </c>
      <c r="K670" s="21">
        <v>445</v>
      </c>
      <c r="L670" s="21"/>
      <c r="M670" s="21"/>
      <c r="N670" s="21">
        <v>53.5</v>
      </c>
      <c r="O670" s="21">
        <v>1111</v>
      </c>
      <c r="P670" s="21"/>
      <c r="Q670" s="21"/>
      <c r="R670" s="21"/>
      <c r="S670" s="21"/>
      <c r="T670" s="21">
        <v>88</v>
      </c>
      <c r="U670" s="21">
        <v>227</v>
      </c>
      <c r="V670" s="21">
        <v>80</v>
      </c>
      <c r="W670" s="21">
        <v>158</v>
      </c>
      <c r="X670" s="22">
        <v>313.25</v>
      </c>
      <c r="Y670" s="22">
        <v>61</v>
      </c>
      <c r="Z670" s="21">
        <v>534.75</v>
      </c>
      <c r="AA670" s="21">
        <v>314</v>
      </c>
      <c r="AB670" s="12">
        <v>68</v>
      </c>
    </row>
    <row r="671" ht="14.25" spans="1:28">
      <c r="A671" s="13">
        <v>669</v>
      </c>
      <c r="B671" s="15">
        <v>14</v>
      </c>
      <c r="C671" s="16">
        <v>8</v>
      </c>
      <c r="D671" s="15" t="s">
        <v>1344</v>
      </c>
      <c r="E671" s="15" t="s">
        <v>1345</v>
      </c>
      <c r="F671" s="21">
        <v>88.5</v>
      </c>
      <c r="G671" s="21">
        <v>2571</v>
      </c>
      <c r="H671" s="21">
        <v>69.5</v>
      </c>
      <c r="I671" s="21">
        <v>1066</v>
      </c>
      <c r="J671" s="21">
        <v>88.5</v>
      </c>
      <c r="K671" s="21">
        <v>1209</v>
      </c>
      <c r="L671" s="21"/>
      <c r="M671" s="21"/>
      <c r="N671" s="21">
        <v>61</v>
      </c>
      <c r="O671" s="21">
        <v>392</v>
      </c>
      <c r="P671" s="21"/>
      <c r="Q671" s="21"/>
      <c r="R671" s="21"/>
      <c r="S671" s="21"/>
      <c r="T671" s="21">
        <v>82</v>
      </c>
      <c r="U671" s="21">
        <v>702</v>
      </c>
      <c r="V671" s="21">
        <v>66</v>
      </c>
      <c r="W671" s="21">
        <v>594</v>
      </c>
      <c r="X671" s="22">
        <v>246.5</v>
      </c>
      <c r="Y671" s="22">
        <v>197</v>
      </c>
      <c r="Z671" s="21">
        <v>455.5</v>
      </c>
      <c r="AA671" s="21">
        <v>1073</v>
      </c>
      <c r="AB671" s="12">
        <v>189</v>
      </c>
    </row>
    <row r="672" ht="14.25" spans="1:28">
      <c r="A672" s="13">
        <v>670</v>
      </c>
      <c r="B672" s="15">
        <v>14</v>
      </c>
      <c r="C672" s="16">
        <v>9</v>
      </c>
      <c r="D672" s="15" t="s">
        <v>1346</v>
      </c>
      <c r="E672" s="15" t="s">
        <v>1347</v>
      </c>
      <c r="F672" s="21">
        <v>108</v>
      </c>
      <c r="G672" s="21">
        <v>247</v>
      </c>
      <c r="H672" s="21">
        <v>82</v>
      </c>
      <c r="I672" s="21">
        <v>685</v>
      </c>
      <c r="J672" s="21">
        <v>104.5</v>
      </c>
      <c r="K672" s="21">
        <v>556</v>
      </c>
      <c r="L672" s="21"/>
      <c r="M672" s="21"/>
      <c r="N672" s="21">
        <v>56</v>
      </c>
      <c r="O672" s="21">
        <v>804</v>
      </c>
      <c r="P672" s="21"/>
      <c r="Q672" s="21"/>
      <c r="R672" s="21"/>
      <c r="S672" s="21"/>
      <c r="T672" s="21">
        <v>88</v>
      </c>
      <c r="U672" s="21">
        <v>227</v>
      </c>
      <c r="V672" s="21">
        <v>66</v>
      </c>
      <c r="W672" s="21">
        <v>594</v>
      </c>
      <c r="X672" s="22">
        <v>294.5</v>
      </c>
      <c r="Y672" s="22">
        <v>116</v>
      </c>
      <c r="Z672" s="21">
        <v>504.5</v>
      </c>
      <c r="AA672" s="21">
        <v>529</v>
      </c>
      <c r="AB672" s="12">
        <v>129</v>
      </c>
    </row>
    <row r="673" ht="14.25" spans="1:28">
      <c r="A673" s="13">
        <v>671</v>
      </c>
      <c r="B673" s="15">
        <v>14</v>
      </c>
      <c r="C673" s="16">
        <v>11</v>
      </c>
      <c r="D673" s="15" t="s">
        <v>1348</v>
      </c>
      <c r="E673" s="15" t="s">
        <v>1349</v>
      </c>
      <c r="F673" s="21">
        <v>93.25</v>
      </c>
      <c r="G673" s="21">
        <v>1909</v>
      </c>
      <c r="H673" s="21">
        <v>89</v>
      </c>
      <c r="I673" s="21">
        <v>515</v>
      </c>
      <c r="J673" s="21">
        <v>113</v>
      </c>
      <c r="K673" s="21">
        <v>307</v>
      </c>
      <c r="L673" s="21"/>
      <c r="M673" s="21"/>
      <c r="N673" s="21">
        <v>55.5</v>
      </c>
      <c r="O673" s="21">
        <v>860</v>
      </c>
      <c r="P673" s="21"/>
      <c r="Q673" s="21"/>
      <c r="R673" s="21"/>
      <c r="S673" s="21"/>
      <c r="T673" s="21">
        <v>81</v>
      </c>
      <c r="U673" s="21">
        <v>808</v>
      </c>
      <c r="V673" s="21">
        <v>77</v>
      </c>
      <c r="W673" s="21">
        <v>235</v>
      </c>
      <c r="X673" s="22">
        <v>295.25</v>
      </c>
      <c r="Y673" s="22">
        <v>113</v>
      </c>
      <c r="Z673" s="21">
        <v>508.75</v>
      </c>
      <c r="AA673" s="21">
        <v>498</v>
      </c>
      <c r="AB673" s="12">
        <v>118</v>
      </c>
    </row>
    <row r="674" ht="14.25" spans="1:28">
      <c r="A674" s="13">
        <v>672</v>
      </c>
      <c r="B674" s="15">
        <v>14</v>
      </c>
      <c r="C674" s="16">
        <v>12</v>
      </c>
      <c r="D674" s="15" t="s">
        <v>1350</v>
      </c>
      <c r="E674" s="15" t="s">
        <v>1351</v>
      </c>
      <c r="F674" s="21">
        <v>97</v>
      </c>
      <c r="G674" s="21">
        <v>1332</v>
      </c>
      <c r="H674" s="21">
        <v>74.5</v>
      </c>
      <c r="I674" s="21">
        <v>903</v>
      </c>
      <c r="J674" s="21">
        <v>94</v>
      </c>
      <c r="K674" s="21">
        <v>963</v>
      </c>
      <c r="L674" s="21"/>
      <c r="M674" s="21"/>
      <c r="N674" s="21">
        <v>58.5</v>
      </c>
      <c r="O674" s="21">
        <v>550</v>
      </c>
      <c r="P674" s="21"/>
      <c r="Q674" s="21"/>
      <c r="R674" s="21"/>
      <c r="S674" s="21"/>
      <c r="T674" s="21">
        <v>65</v>
      </c>
      <c r="U674" s="21">
        <v>2190</v>
      </c>
      <c r="V674" s="21">
        <v>74</v>
      </c>
      <c r="W674" s="21">
        <v>320</v>
      </c>
      <c r="X674" s="22">
        <v>265.5</v>
      </c>
      <c r="Y674" s="22">
        <v>186</v>
      </c>
      <c r="Z674" s="21">
        <v>463</v>
      </c>
      <c r="AA674" s="21">
        <v>961</v>
      </c>
      <c r="AB674" s="12">
        <v>183</v>
      </c>
    </row>
    <row r="675" ht="14.25" spans="1:28">
      <c r="A675" s="13">
        <v>673</v>
      </c>
      <c r="B675" s="15">
        <v>14</v>
      </c>
      <c r="C675" s="16">
        <v>13</v>
      </c>
      <c r="D675" s="15" t="s">
        <v>1352</v>
      </c>
      <c r="E675" s="15" t="s">
        <v>1353</v>
      </c>
      <c r="F675" s="21">
        <v>103</v>
      </c>
      <c r="G675" s="21">
        <v>626</v>
      </c>
      <c r="H675" s="21">
        <v>105</v>
      </c>
      <c r="I675" s="21">
        <v>189</v>
      </c>
      <c r="J675" s="21">
        <v>88.5</v>
      </c>
      <c r="K675" s="21">
        <v>1209</v>
      </c>
      <c r="L675" s="21"/>
      <c r="M675" s="21"/>
      <c r="N675" s="21">
        <v>64.5</v>
      </c>
      <c r="O675" s="21">
        <v>210</v>
      </c>
      <c r="P675" s="21"/>
      <c r="Q675" s="21"/>
      <c r="R675" s="21"/>
      <c r="S675" s="21"/>
      <c r="T675" s="21">
        <v>65</v>
      </c>
      <c r="U675" s="21">
        <v>2190</v>
      </c>
      <c r="V675" s="21">
        <v>73</v>
      </c>
      <c r="W675" s="21">
        <v>356</v>
      </c>
      <c r="X675" s="22">
        <v>296.5</v>
      </c>
      <c r="Y675" s="22">
        <v>108</v>
      </c>
      <c r="Z675" s="21">
        <v>499</v>
      </c>
      <c r="AA675" s="21">
        <v>585</v>
      </c>
      <c r="AB675" s="12">
        <v>136</v>
      </c>
    </row>
    <row r="676" ht="14.25" spans="1:28">
      <c r="A676" s="13">
        <v>674</v>
      </c>
      <c r="B676" s="15">
        <v>14</v>
      </c>
      <c r="C676" s="16">
        <v>14</v>
      </c>
      <c r="D676" s="15" t="s">
        <v>1354</v>
      </c>
      <c r="E676" s="15" t="s">
        <v>1355</v>
      </c>
      <c r="F676" s="21">
        <v>116</v>
      </c>
      <c r="G676" s="21">
        <v>34</v>
      </c>
      <c r="H676" s="21">
        <v>98</v>
      </c>
      <c r="I676" s="21">
        <v>314</v>
      </c>
      <c r="J676" s="21">
        <v>103.75</v>
      </c>
      <c r="K676" s="21">
        <v>574</v>
      </c>
      <c r="L676" s="21"/>
      <c r="M676" s="21"/>
      <c r="N676" s="21">
        <v>69</v>
      </c>
      <c r="O676" s="21">
        <v>71</v>
      </c>
      <c r="P676" s="21"/>
      <c r="Q676" s="21"/>
      <c r="R676" s="21"/>
      <c r="S676" s="21"/>
      <c r="T676" s="21">
        <v>92</v>
      </c>
      <c r="U676" s="21">
        <v>30</v>
      </c>
      <c r="V676" s="21">
        <v>84</v>
      </c>
      <c r="W676" s="21">
        <v>104</v>
      </c>
      <c r="X676" s="22">
        <v>317.75</v>
      </c>
      <c r="Y676" s="22">
        <v>48</v>
      </c>
      <c r="Z676" s="21">
        <v>562.75</v>
      </c>
      <c r="AA676" s="21">
        <v>166</v>
      </c>
      <c r="AB676" s="12">
        <v>28</v>
      </c>
    </row>
    <row r="677" ht="14.25" spans="1:28">
      <c r="A677" s="13">
        <v>675</v>
      </c>
      <c r="B677" s="15">
        <v>14</v>
      </c>
      <c r="C677" s="16">
        <v>15</v>
      </c>
      <c r="D677" s="15" t="s">
        <v>1356</v>
      </c>
      <c r="E677" s="15" t="s">
        <v>1357</v>
      </c>
      <c r="F677" s="21">
        <v>99.5</v>
      </c>
      <c r="G677" s="21">
        <v>1010</v>
      </c>
      <c r="H677" s="21">
        <v>78</v>
      </c>
      <c r="I677" s="21">
        <v>802</v>
      </c>
      <c r="J677" s="21">
        <v>95</v>
      </c>
      <c r="K677" s="21">
        <v>926</v>
      </c>
      <c r="L677" s="21"/>
      <c r="M677" s="21"/>
      <c r="N677" s="21">
        <v>44</v>
      </c>
      <c r="O677" s="21">
        <v>2371</v>
      </c>
      <c r="P677" s="21"/>
      <c r="Q677" s="21"/>
      <c r="R677" s="21"/>
      <c r="S677" s="21"/>
      <c r="T677" s="21">
        <v>69</v>
      </c>
      <c r="U677" s="21">
        <v>1773</v>
      </c>
      <c r="V677" s="21">
        <v>58</v>
      </c>
      <c r="W677" s="21">
        <v>927</v>
      </c>
      <c r="X677" s="22">
        <v>272.5</v>
      </c>
      <c r="Y677" s="22">
        <v>162</v>
      </c>
      <c r="Z677" s="21">
        <v>443.5</v>
      </c>
      <c r="AA677" s="21">
        <v>1248</v>
      </c>
      <c r="AB677" s="12">
        <v>194</v>
      </c>
    </row>
    <row r="678" ht="14.25" spans="1:28">
      <c r="A678" s="13">
        <v>676</v>
      </c>
      <c r="B678" s="15">
        <v>14</v>
      </c>
      <c r="C678" s="16">
        <v>16</v>
      </c>
      <c r="D678" s="15" t="s">
        <v>1358</v>
      </c>
      <c r="E678" s="15" t="s">
        <v>1359</v>
      </c>
      <c r="F678" s="21">
        <v>93.5</v>
      </c>
      <c r="G678" s="21">
        <v>1834</v>
      </c>
      <c r="H678" s="21">
        <v>60</v>
      </c>
      <c r="I678" s="21">
        <v>1405</v>
      </c>
      <c r="J678" s="21">
        <v>56.5</v>
      </c>
      <c r="K678" s="21">
        <v>2893</v>
      </c>
      <c r="L678" s="21"/>
      <c r="M678" s="21"/>
      <c r="N678" s="21">
        <v>39.5</v>
      </c>
      <c r="O678" s="21">
        <v>3024</v>
      </c>
      <c r="P678" s="21"/>
      <c r="Q678" s="21"/>
      <c r="R678" s="21"/>
      <c r="S678" s="21"/>
      <c r="T678" s="21">
        <v>62</v>
      </c>
      <c r="U678" s="21">
        <v>2464</v>
      </c>
      <c r="V678" s="21">
        <v>39</v>
      </c>
      <c r="W678" s="21">
        <v>1501</v>
      </c>
      <c r="X678" s="22">
        <v>210</v>
      </c>
      <c r="Y678" s="22">
        <v>206</v>
      </c>
      <c r="Z678" s="21">
        <v>350.5</v>
      </c>
      <c r="AA678" s="21">
        <v>2730</v>
      </c>
      <c r="AB678" s="12">
        <v>206</v>
      </c>
    </row>
    <row r="679" ht="14.25" spans="1:28">
      <c r="A679" s="13">
        <v>677</v>
      </c>
      <c r="B679" s="15">
        <v>14</v>
      </c>
      <c r="C679" s="16">
        <v>18</v>
      </c>
      <c r="D679" s="15" t="s">
        <v>1360</v>
      </c>
      <c r="E679" s="15" t="s">
        <v>1361</v>
      </c>
      <c r="F679" s="21">
        <v>91.5</v>
      </c>
      <c r="G679" s="21">
        <v>2123</v>
      </c>
      <c r="H679" s="21">
        <v>114</v>
      </c>
      <c r="I679" s="21">
        <v>77</v>
      </c>
      <c r="J679" s="21">
        <v>105.25</v>
      </c>
      <c r="K679" s="21">
        <v>535</v>
      </c>
      <c r="L679" s="21"/>
      <c r="M679" s="21"/>
      <c r="N679" s="21">
        <v>55.25</v>
      </c>
      <c r="O679" s="21">
        <v>913</v>
      </c>
      <c r="P679" s="21"/>
      <c r="Q679" s="21"/>
      <c r="R679" s="21"/>
      <c r="S679" s="21"/>
      <c r="T679" s="21">
        <v>83</v>
      </c>
      <c r="U679" s="21">
        <v>616</v>
      </c>
      <c r="V679" s="21">
        <v>78</v>
      </c>
      <c r="W679" s="21">
        <v>215</v>
      </c>
      <c r="X679" s="22">
        <v>310.75</v>
      </c>
      <c r="Y679" s="22">
        <v>70</v>
      </c>
      <c r="Z679" s="21">
        <v>527</v>
      </c>
      <c r="AA679" s="21">
        <v>370</v>
      </c>
      <c r="AB679" s="12">
        <v>84</v>
      </c>
    </row>
    <row r="680" ht="14.25" spans="1:28">
      <c r="A680" s="13">
        <v>678</v>
      </c>
      <c r="B680" s="15">
        <v>14</v>
      </c>
      <c r="C680" s="16">
        <v>19</v>
      </c>
      <c r="D680" s="15" t="s">
        <v>1362</v>
      </c>
      <c r="E680" s="15" t="s">
        <v>1363</v>
      </c>
      <c r="F680" s="21">
        <v>107</v>
      </c>
      <c r="G680" s="21">
        <v>307</v>
      </c>
      <c r="H680" s="21">
        <v>98.5</v>
      </c>
      <c r="I680" s="21">
        <v>305</v>
      </c>
      <c r="J680" s="21">
        <v>105.5</v>
      </c>
      <c r="K680" s="21">
        <v>523</v>
      </c>
      <c r="L680" s="21"/>
      <c r="M680" s="21"/>
      <c r="N680" s="21">
        <v>70</v>
      </c>
      <c r="O680" s="21">
        <v>52</v>
      </c>
      <c r="P680" s="21"/>
      <c r="Q680" s="21"/>
      <c r="R680" s="21"/>
      <c r="S680" s="21"/>
      <c r="T680" s="21">
        <v>87</v>
      </c>
      <c r="U680" s="21">
        <v>333</v>
      </c>
      <c r="V680" s="21">
        <v>88</v>
      </c>
      <c r="W680" s="21">
        <v>30</v>
      </c>
      <c r="X680" s="22">
        <v>311</v>
      </c>
      <c r="Y680" s="22">
        <v>69</v>
      </c>
      <c r="Z680" s="21">
        <v>556</v>
      </c>
      <c r="AA680" s="21">
        <v>199</v>
      </c>
      <c r="AB680" s="12">
        <v>34</v>
      </c>
    </row>
    <row r="681" ht="14.25" spans="1:28">
      <c r="A681" s="13">
        <v>679</v>
      </c>
      <c r="B681" s="15">
        <v>14</v>
      </c>
      <c r="C681" s="16">
        <v>20</v>
      </c>
      <c r="D681" s="15" t="s">
        <v>1364</v>
      </c>
      <c r="E681" s="15" t="s">
        <v>1365</v>
      </c>
      <c r="F681" s="21">
        <v>107.5</v>
      </c>
      <c r="G681" s="21">
        <v>270</v>
      </c>
      <c r="H681" s="21">
        <v>101</v>
      </c>
      <c r="I681" s="21">
        <v>253</v>
      </c>
      <c r="J681" s="21">
        <v>118.25</v>
      </c>
      <c r="K681" s="21">
        <v>196</v>
      </c>
      <c r="L681" s="21"/>
      <c r="M681" s="21"/>
      <c r="N681" s="21">
        <v>43.5</v>
      </c>
      <c r="O681" s="21">
        <v>2443</v>
      </c>
      <c r="P681" s="21"/>
      <c r="Q681" s="21"/>
      <c r="R681" s="21"/>
      <c r="S681" s="21"/>
      <c r="T681" s="21">
        <v>82</v>
      </c>
      <c r="U681" s="21">
        <v>702</v>
      </c>
      <c r="V681" s="21">
        <v>71</v>
      </c>
      <c r="W681" s="21">
        <v>422</v>
      </c>
      <c r="X681" s="22">
        <v>326.75</v>
      </c>
      <c r="Y681" s="22">
        <v>28</v>
      </c>
      <c r="Z681" s="21">
        <v>523.25</v>
      </c>
      <c r="AA681" s="21">
        <v>388</v>
      </c>
      <c r="AB681" s="12">
        <v>88</v>
      </c>
    </row>
    <row r="682" ht="14.25" spans="1:28">
      <c r="A682" s="13">
        <v>680</v>
      </c>
      <c r="B682" s="15">
        <v>14</v>
      </c>
      <c r="C682" s="16">
        <v>21</v>
      </c>
      <c r="D682" s="15" t="s">
        <v>1366</v>
      </c>
      <c r="E682" s="15" t="s">
        <v>1367</v>
      </c>
      <c r="F682" s="21">
        <v>84.5</v>
      </c>
      <c r="G682" s="21">
        <v>3102</v>
      </c>
      <c r="H682" s="21">
        <v>99.5</v>
      </c>
      <c r="I682" s="21">
        <v>281</v>
      </c>
      <c r="J682" s="21">
        <v>115</v>
      </c>
      <c r="K682" s="21">
        <v>262</v>
      </c>
      <c r="L682" s="21"/>
      <c r="M682" s="21"/>
      <c r="N682" s="21">
        <v>57.5</v>
      </c>
      <c r="O682" s="21">
        <v>638</v>
      </c>
      <c r="P682" s="21"/>
      <c r="Q682" s="21"/>
      <c r="R682" s="21"/>
      <c r="S682" s="21"/>
      <c r="T682" s="21">
        <v>73</v>
      </c>
      <c r="U682" s="21">
        <v>1447</v>
      </c>
      <c r="V682" s="21">
        <v>86</v>
      </c>
      <c r="W682" s="21">
        <v>73</v>
      </c>
      <c r="X682" s="22">
        <v>299</v>
      </c>
      <c r="Y682" s="22">
        <v>100</v>
      </c>
      <c r="Z682" s="21">
        <v>515.5</v>
      </c>
      <c r="AA682" s="21">
        <v>445</v>
      </c>
      <c r="AB682" s="12">
        <v>105</v>
      </c>
    </row>
    <row r="683" ht="14.25" spans="1:28">
      <c r="A683" s="13">
        <v>681</v>
      </c>
      <c r="B683" s="15">
        <v>14</v>
      </c>
      <c r="C683" s="16">
        <v>22</v>
      </c>
      <c r="D683" s="15" t="s">
        <v>1368</v>
      </c>
      <c r="E683" s="15" t="s">
        <v>1369</v>
      </c>
      <c r="F683" s="21">
        <v>102</v>
      </c>
      <c r="G683" s="21">
        <v>747</v>
      </c>
      <c r="H683" s="21">
        <v>93</v>
      </c>
      <c r="I683" s="21">
        <v>412</v>
      </c>
      <c r="J683" s="21">
        <v>108</v>
      </c>
      <c r="K683" s="21">
        <v>449</v>
      </c>
      <c r="L683" s="21"/>
      <c r="M683" s="21"/>
      <c r="N683" s="21">
        <v>48.5</v>
      </c>
      <c r="O683" s="21">
        <v>1763</v>
      </c>
      <c r="P683" s="21"/>
      <c r="Q683" s="21"/>
      <c r="R683" s="21"/>
      <c r="S683" s="21"/>
      <c r="T683" s="21">
        <v>78</v>
      </c>
      <c r="U683" s="21">
        <v>1003</v>
      </c>
      <c r="V683" s="21">
        <v>76</v>
      </c>
      <c r="W683" s="21">
        <v>263</v>
      </c>
      <c r="X683" s="22">
        <v>303</v>
      </c>
      <c r="Y683" s="22">
        <v>85</v>
      </c>
      <c r="Z683" s="21">
        <v>505.5</v>
      </c>
      <c r="AA683" s="21">
        <v>524</v>
      </c>
      <c r="AB683" s="12">
        <v>127</v>
      </c>
    </row>
    <row r="684" ht="14.25" spans="1:28">
      <c r="A684" s="13">
        <v>682</v>
      </c>
      <c r="B684" s="15">
        <v>14</v>
      </c>
      <c r="C684" s="16">
        <v>23</v>
      </c>
      <c r="D684" s="15" t="s">
        <v>1370</v>
      </c>
      <c r="E684" s="15" t="s">
        <v>1371</v>
      </c>
      <c r="F684" s="21">
        <v>107.5</v>
      </c>
      <c r="G684" s="21">
        <v>270</v>
      </c>
      <c r="H684" s="21">
        <v>91.5</v>
      </c>
      <c r="I684" s="21">
        <v>450</v>
      </c>
      <c r="J684" s="21">
        <v>102.5</v>
      </c>
      <c r="K684" s="21">
        <v>612</v>
      </c>
      <c r="L684" s="21"/>
      <c r="M684" s="21"/>
      <c r="N684" s="21">
        <v>60.5</v>
      </c>
      <c r="O684" s="21">
        <v>424</v>
      </c>
      <c r="P684" s="21"/>
      <c r="Q684" s="21"/>
      <c r="R684" s="21"/>
      <c r="S684" s="21"/>
      <c r="T684" s="21">
        <v>89</v>
      </c>
      <c r="U684" s="21">
        <v>137</v>
      </c>
      <c r="V684" s="21">
        <v>83</v>
      </c>
      <c r="W684" s="21">
        <v>115</v>
      </c>
      <c r="X684" s="22">
        <v>301.5</v>
      </c>
      <c r="Y684" s="22">
        <v>93</v>
      </c>
      <c r="Z684" s="21">
        <v>534</v>
      </c>
      <c r="AA684" s="21">
        <v>319</v>
      </c>
      <c r="AB684" s="12">
        <v>70</v>
      </c>
    </row>
    <row r="685" ht="14.25" spans="1:28">
      <c r="A685" s="13">
        <v>683</v>
      </c>
      <c r="B685" s="15">
        <v>14</v>
      </c>
      <c r="C685" s="16">
        <v>24</v>
      </c>
      <c r="D685" s="15" t="s">
        <v>1372</v>
      </c>
      <c r="E685" s="15" t="s">
        <v>1373</v>
      </c>
      <c r="F685" s="21">
        <v>98.5</v>
      </c>
      <c r="G685" s="21">
        <v>1145</v>
      </c>
      <c r="H685" s="21">
        <v>102.5</v>
      </c>
      <c r="I685" s="21">
        <v>229</v>
      </c>
      <c r="J685" s="21">
        <v>101</v>
      </c>
      <c r="K685" s="21">
        <v>667</v>
      </c>
      <c r="L685" s="21"/>
      <c r="M685" s="21"/>
      <c r="N685" s="21">
        <v>62.5</v>
      </c>
      <c r="O685" s="21">
        <v>292</v>
      </c>
      <c r="P685" s="21"/>
      <c r="Q685" s="21"/>
      <c r="R685" s="21"/>
      <c r="S685" s="21"/>
      <c r="T685" s="21">
        <v>87</v>
      </c>
      <c r="U685" s="21">
        <v>333</v>
      </c>
      <c r="V685" s="21">
        <v>87</v>
      </c>
      <c r="W685" s="21">
        <v>54</v>
      </c>
      <c r="X685" s="22">
        <v>302</v>
      </c>
      <c r="Y685" s="22">
        <v>88</v>
      </c>
      <c r="Z685" s="21">
        <v>538.5</v>
      </c>
      <c r="AA685" s="21">
        <v>293</v>
      </c>
      <c r="AB685" s="12">
        <v>59</v>
      </c>
    </row>
    <row r="686" ht="14.25" spans="1:28">
      <c r="A686" s="13">
        <v>684</v>
      </c>
      <c r="B686" s="15">
        <v>14</v>
      </c>
      <c r="C686" s="16">
        <v>25</v>
      </c>
      <c r="D686" s="15" t="s">
        <v>1374</v>
      </c>
      <c r="E686" s="15" t="s">
        <v>1375</v>
      </c>
      <c r="F686" s="21">
        <v>107</v>
      </c>
      <c r="G686" s="21">
        <v>307</v>
      </c>
      <c r="H686" s="21">
        <v>95</v>
      </c>
      <c r="I686" s="21">
        <v>372</v>
      </c>
      <c r="J686" s="21">
        <v>113.25</v>
      </c>
      <c r="K686" s="21">
        <v>304</v>
      </c>
      <c r="L686" s="21"/>
      <c r="M686" s="21"/>
      <c r="N686" s="21">
        <v>66</v>
      </c>
      <c r="O686" s="21">
        <v>163</v>
      </c>
      <c r="P686" s="21"/>
      <c r="Q686" s="21"/>
      <c r="R686" s="21"/>
      <c r="S686" s="21"/>
      <c r="T686" s="21">
        <v>88</v>
      </c>
      <c r="U686" s="21">
        <v>227</v>
      </c>
      <c r="V686" s="21">
        <v>80</v>
      </c>
      <c r="W686" s="21">
        <v>158</v>
      </c>
      <c r="X686" s="22">
        <v>315.25</v>
      </c>
      <c r="Y686" s="22">
        <v>54</v>
      </c>
      <c r="Z686" s="21">
        <v>549.25</v>
      </c>
      <c r="AA686" s="21">
        <v>233</v>
      </c>
      <c r="AB686" s="12">
        <v>43</v>
      </c>
    </row>
    <row r="687" ht="14.25" spans="1:28">
      <c r="A687" s="13">
        <v>685</v>
      </c>
      <c r="B687" s="15">
        <v>14</v>
      </c>
      <c r="C687" s="16">
        <v>26</v>
      </c>
      <c r="D687" s="15" t="s">
        <v>1376</v>
      </c>
      <c r="E687" s="15" t="s">
        <v>1377</v>
      </c>
      <c r="F687" s="21">
        <v>90.5</v>
      </c>
      <c r="G687" s="21">
        <v>2252</v>
      </c>
      <c r="H687" s="21">
        <v>86</v>
      </c>
      <c r="I687" s="21">
        <v>584</v>
      </c>
      <c r="J687" s="21">
        <v>106.5</v>
      </c>
      <c r="K687" s="21">
        <v>490</v>
      </c>
      <c r="L687" s="21"/>
      <c r="M687" s="21"/>
      <c r="N687" s="21">
        <v>70.5</v>
      </c>
      <c r="O687" s="21">
        <v>40</v>
      </c>
      <c r="P687" s="21"/>
      <c r="Q687" s="21"/>
      <c r="R687" s="21"/>
      <c r="S687" s="21"/>
      <c r="T687" s="21">
        <v>73</v>
      </c>
      <c r="U687" s="21">
        <v>1447</v>
      </c>
      <c r="V687" s="21">
        <v>73</v>
      </c>
      <c r="W687" s="21">
        <v>356</v>
      </c>
      <c r="X687" s="22">
        <v>283</v>
      </c>
      <c r="Y687" s="22">
        <v>145</v>
      </c>
      <c r="Z687" s="21">
        <v>499.5</v>
      </c>
      <c r="AA687" s="21">
        <v>581</v>
      </c>
      <c r="AB687" s="12">
        <v>135</v>
      </c>
    </row>
    <row r="688" ht="14.25" spans="1:28">
      <c r="A688" s="13">
        <v>686</v>
      </c>
      <c r="B688" s="15">
        <v>14</v>
      </c>
      <c r="C688" s="16">
        <v>27</v>
      </c>
      <c r="D688" s="15" t="s">
        <v>1378</v>
      </c>
      <c r="E688" s="15" t="s">
        <v>1379</v>
      </c>
      <c r="F688" s="21">
        <v>98.5</v>
      </c>
      <c r="G688" s="21">
        <v>1145</v>
      </c>
      <c r="H688" s="21">
        <v>106</v>
      </c>
      <c r="I688" s="21">
        <v>175</v>
      </c>
      <c r="J688" s="21">
        <v>78</v>
      </c>
      <c r="K688" s="21">
        <v>1799</v>
      </c>
      <c r="L688" s="21"/>
      <c r="M688" s="21"/>
      <c r="N688" s="21">
        <v>51.5</v>
      </c>
      <c r="O688" s="21">
        <v>1342</v>
      </c>
      <c r="P688" s="21"/>
      <c r="Q688" s="21"/>
      <c r="R688" s="21"/>
      <c r="S688" s="21"/>
      <c r="T688" s="21">
        <v>72</v>
      </c>
      <c r="U688" s="21">
        <v>1556</v>
      </c>
      <c r="V688" s="21">
        <v>64</v>
      </c>
      <c r="W688" s="21">
        <v>690</v>
      </c>
      <c r="X688" s="22">
        <v>282.5</v>
      </c>
      <c r="Y688" s="22">
        <v>147</v>
      </c>
      <c r="Z688" s="21">
        <v>470</v>
      </c>
      <c r="AA688" s="21">
        <v>888</v>
      </c>
      <c r="AB688" s="12">
        <v>178</v>
      </c>
    </row>
    <row r="689" ht="14.25" spans="1:28">
      <c r="A689" s="13">
        <v>687</v>
      </c>
      <c r="B689" s="15">
        <v>14</v>
      </c>
      <c r="C689" s="16">
        <v>28</v>
      </c>
      <c r="D689" s="15" t="s">
        <v>1380</v>
      </c>
      <c r="E689" s="15" t="s">
        <v>1381</v>
      </c>
      <c r="F689" s="21">
        <v>102.5</v>
      </c>
      <c r="G689" s="21">
        <v>686</v>
      </c>
      <c r="H689" s="21">
        <v>92</v>
      </c>
      <c r="I689" s="21">
        <v>436</v>
      </c>
      <c r="J689" s="21">
        <v>101</v>
      </c>
      <c r="K689" s="21">
        <v>667</v>
      </c>
      <c r="L689" s="21"/>
      <c r="M689" s="21"/>
      <c r="N689" s="21">
        <v>59.5</v>
      </c>
      <c r="O689" s="21">
        <v>483</v>
      </c>
      <c r="P689" s="21"/>
      <c r="Q689" s="21"/>
      <c r="R689" s="21"/>
      <c r="S689" s="21"/>
      <c r="T689" s="21">
        <v>78</v>
      </c>
      <c r="U689" s="21">
        <v>1003</v>
      </c>
      <c r="V689" s="21">
        <v>77</v>
      </c>
      <c r="W689" s="21">
        <v>235</v>
      </c>
      <c r="X689" s="22">
        <v>295.5</v>
      </c>
      <c r="Y689" s="22">
        <v>112</v>
      </c>
      <c r="Z689" s="21">
        <v>510</v>
      </c>
      <c r="AA689" s="21">
        <v>478</v>
      </c>
      <c r="AB689" s="12">
        <v>111</v>
      </c>
    </row>
    <row r="690" ht="14.25" spans="1:28">
      <c r="A690" s="13">
        <v>688</v>
      </c>
      <c r="B690" s="15">
        <v>14</v>
      </c>
      <c r="C690" s="16">
        <v>29</v>
      </c>
      <c r="D690" s="15" t="s">
        <v>1382</v>
      </c>
      <c r="E690" s="15" t="s">
        <v>1383</v>
      </c>
      <c r="F690" s="21">
        <v>89.5</v>
      </c>
      <c r="G690" s="21">
        <v>2413</v>
      </c>
      <c r="H690" s="21">
        <v>97.5</v>
      </c>
      <c r="I690" s="21">
        <v>318</v>
      </c>
      <c r="J690" s="21">
        <v>74</v>
      </c>
      <c r="K690" s="21">
        <v>1999</v>
      </c>
      <c r="L690" s="21"/>
      <c r="M690" s="21"/>
      <c r="N690" s="21">
        <v>45</v>
      </c>
      <c r="O690" s="21">
        <v>2241</v>
      </c>
      <c r="P690" s="21"/>
      <c r="Q690" s="21"/>
      <c r="R690" s="21"/>
      <c r="S690" s="21"/>
      <c r="T690" s="21">
        <v>70</v>
      </c>
      <c r="U690" s="21">
        <v>1710</v>
      </c>
      <c r="V690" s="21">
        <v>74</v>
      </c>
      <c r="W690" s="21">
        <v>320</v>
      </c>
      <c r="X690" s="22">
        <v>261</v>
      </c>
      <c r="Y690" s="22">
        <v>190</v>
      </c>
      <c r="Z690" s="21">
        <v>450</v>
      </c>
      <c r="AA690" s="21">
        <v>1161</v>
      </c>
      <c r="AB690" s="12">
        <v>191</v>
      </c>
    </row>
    <row r="691" ht="14.25" spans="1:28">
      <c r="A691" s="13">
        <v>689</v>
      </c>
      <c r="B691" s="15">
        <v>14</v>
      </c>
      <c r="C691" s="16">
        <v>30</v>
      </c>
      <c r="D691" s="15" t="s">
        <v>1384</v>
      </c>
      <c r="E691" s="15" t="s">
        <v>1385</v>
      </c>
      <c r="F691" s="21">
        <v>92</v>
      </c>
      <c r="G691" s="21">
        <v>2049</v>
      </c>
      <c r="H691" s="21">
        <v>79</v>
      </c>
      <c r="I691" s="21">
        <v>781</v>
      </c>
      <c r="J691" s="21">
        <v>72.5</v>
      </c>
      <c r="K691" s="21">
        <v>2085</v>
      </c>
      <c r="L691" s="21"/>
      <c r="M691" s="21"/>
      <c r="N691" s="21">
        <v>45</v>
      </c>
      <c r="O691" s="21">
        <v>2241</v>
      </c>
      <c r="P691" s="21"/>
      <c r="Q691" s="21"/>
      <c r="R691" s="21"/>
      <c r="S691" s="21"/>
      <c r="T691" s="21">
        <v>68</v>
      </c>
      <c r="U691" s="21">
        <v>1886</v>
      </c>
      <c r="V691" s="21">
        <v>86</v>
      </c>
      <c r="W691" s="21">
        <v>73</v>
      </c>
      <c r="X691" s="22">
        <v>243.5</v>
      </c>
      <c r="Y691" s="22">
        <v>201</v>
      </c>
      <c r="Z691" s="21">
        <v>442.5</v>
      </c>
      <c r="AA691" s="21">
        <v>1265</v>
      </c>
      <c r="AB691" s="12">
        <v>196</v>
      </c>
    </row>
    <row r="692" ht="14.25" spans="1:28">
      <c r="A692" s="13">
        <v>690</v>
      </c>
      <c r="B692" s="15">
        <v>14</v>
      </c>
      <c r="C692" s="16">
        <v>31</v>
      </c>
      <c r="D692" s="15" t="s">
        <v>1386</v>
      </c>
      <c r="E692" s="15" t="s">
        <v>1387</v>
      </c>
      <c r="F692" s="21">
        <v>91.5</v>
      </c>
      <c r="G692" s="21">
        <v>2123</v>
      </c>
      <c r="H692" s="21">
        <v>106.5</v>
      </c>
      <c r="I692" s="21">
        <v>173</v>
      </c>
      <c r="J692" s="21">
        <v>110</v>
      </c>
      <c r="K692" s="21">
        <v>386</v>
      </c>
      <c r="L692" s="21"/>
      <c r="M692" s="21"/>
      <c r="N692" s="21">
        <v>55</v>
      </c>
      <c r="O692" s="21">
        <v>914</v>
      </c>
      <c r="P692" s="21"/>
      <c r="Q692" s="21"/>
      <c r="R692" s="21"/>
      <c r="S692" s="21"/>
      <c r="T692" s="21">
        <v>88</v>
      </c>
      <c r="U692" s="21">
        <v>227</v>
      </c>
      <c r="V692" s="21">
        <v>79</v>
      </c>
      <c r="W692" s="21">
        <v>194</v>
      </c>
      <c r="X692" s="22">
        <v>308</v>
      </c>
      <c r="Y692" s="22">
        <v>77</v>
      </c>
      <c r="Z692" s="21">
        <v>530</v>
      </c>
      <c r="AA692" s="21">
        <v>350</v>
      </c>
      <c r="AB692" s="12">
        <v>78</v>
      </c>
    </row>
    <row r="693" ht="14.25" spans="1:28">
      <c r="A693" s="13">
        <v>691</v>
      </c>
      <c r="B693" s="15">
        <v>14</v>
      </c>
      <c r="C693" s="16">
        <v>33</v>
      </c>
      <c r="D693" s="15" t="s">
        <v>1388</v>
      </c>
      <c r="E693" s="15" t="s">
        <v>1389</v>
      </c>
      <c r="F693" s="21">
        <v>100.5</v>
      </c>
      <c r="G693" s="21">
        <v>901</v>
      </c>
      <c r="H693" s="21">
        <v>112</v>
      </c>
      <c r="I693" s="21">
        <v>96</v>
      </c>
      <c r="J693" s="21">
        <v>90.5</v>
      </c>
      <c r="K693" s="21">
        <v>1116</v>
      </c>
      <c r="L693" s="21"/>
      <c r="M693" s="21"/>
      <c r="N693" s="21">
        <v>56</v>
      </c>
      <c r="O693" s="21">
        <v>804</v>
      </c>
      <c r="P693" s="21"/>
      <c r="Q693" s="21"/>
      <c r="R693" s="21"/>
      <c r="S693" s="21"/>
      <c r="T693" s="21">
        <v>88</v>
      </c>
      <c r="U693" s="21">
        <v>227</v>
      </c>
      <c r="V693" s="21">
        <v>74</v>
      </c>
      <c r="W693" s="21">
        <v>320</v>
      </c>
      <c r="X693" s="22">
        <v>303</v>
      </c>
      <c r="Y693" s="22">
        <v>85</v>
      </c>
      <c r="Z693" s="21">
        <v>521</v>
      </c>
      <c r="AA693" s="21">
        <v>402</v>
      </c>
      <c r="AB693" s="12">
        <v>93</v>
      </c>
    </row>
    <row r="694" ht="14.25" spans="1:28">
      <c r="A694" s="13">
        <v>692</v>
      </c>
      <c r="B694" s="15">
        <v>14</v>
      </c>
      <c r="C694" s="16">
        <v>34</v>
      </c>
      <c r="D694" s="15" t="s">
        <v>1390</v>
      </c>
      <c r="E694" s="15" t="s">
        <v>1115</v>
      </c>
      <c r="F694" s="21">
        <v>104</v>
      </c>
      <c r="G694" s="21">
        <v>526</v>
      </c>
      <c r="H694" s="21">
        <v>94</v>
      </c>
      <c r="I694" s="21">
        <v>391</v>
      </c>
      <c r="J694" s="21">
        <v>114</v>
      </c>
      <c r="K694" s="21">
        <v>281</v>
      </c>
      <c r="L694" s="21"/>
      <c r="M694" s="21"/>
      <c r="N694" s="21">
        <v>60</v>
      </c>
      <c r="O694" s="21">
        <v>457</v>
      </c>
      <c r="P694" s="21"/>
      <c r="Q694" s="21"/>
      <c r="R694" s="21"/>
      <c r="S694" s="21"/>
      <c r="T694" s="21">
        <v>82</v>
      </c>
      <c r="U694" s="21">
        <v>702</v>
      </c>
      <c r="V694" s="21">
        <v>73</v>
      </c>
      <c r="W694" s="21">
        <v>356</v>
      </c>
      <c r="X694" s="22">
        <v>312</v>
      </c>
      <c r="Y694" s="22">
        <v>65</v>
      </c>
      <c r="Z694" s="21">
        <v>527</v>
      </c>
      <c r="AA694" s="21">
        <v>370</v>
      </c>
      <c r="AB694" s="12">
        <v>84</v>
      </c>
    </row>
    <row r="695" ht="14.25" spans="1:28">
      <c r="A695" s="13">
        <v>693</v>
      </c>
      <c r="B695" s="15">
        <v>14</v>
      </c>
      <c r="C695" s="16">
        <v>35</v>
      </c>
      <c r="D695" s="15" t="s">
        <v>1391</v>
      </c>
      <c r="E695" s="15" t="s">
        <v>1392</v>
      </c>
      <c r="F695" s="21">
        <v>100</v>
      </c>
      <c r="G695" s="21">
        <v>958</v>
      </c>
      <c r="H695" s="21">
        <v>100</v>
      </c>
      <c r="I695" s="21">
        <v>272</v>
      </c>
      <c r="J695" s="21">
        <v>92</v>
      </c>
      <c r="K695" s="21">
        <v>1049</v>
      </c>
      <c r="L695" s="21"/>
      <c r="M695" s="21"/>
      <c r="N695" s="21">
        <v>62.5</v>
      </c>
      <c r="O695" s="21">
        <v>292</v>
      </c>
      <c r="P695" s="21"/>
      <c r="Q695" s="21"/>
      <c r="R695" s="21"/>
      <c r="S695" s="21"/>
      <c r="T695" s="21">
        <v>69</v>
      </c>
      <c r="U695" s="21">
        <v>1773</v>
      </c>
      <c r="V695" s="21">
        <v>74</v>
      </c>
      <c r="W695" s="21">
        <v>320</v>
      </c>
      <c r="X695" s="22">
        <v>292</v>
      </c>
      <c r="Y695" s="22">
        <v>123</v>
      </c>
      <c r="Z695" s="21">
        <v>497.5</v>
      </c>
      <c r="AA695" s="21">
        <v>598</v>
      </c>
      <c r="AB695" s="12">
        <v>137</v>
      </c>
    </row>
    <row r="696" ht="14.25" spans="1:28">
      <c r="A696" s="13">
        <v>694</v>
      </c>
      <c r="B696" s="15">
        <v>14</v>
      </c>
      <c r="C696" s="16">
        <v>36</v>
      </c>
      <c r="D696" s="15" t="s">
        <v>1393</v>
      </c>
      <c r="E696" s="15" t="s">
        <v>1394</v>
      </c>
      <c r="F696" s="21">
        <v>103</v>
      </c>
      <c r="G696" s="21">
        <v>626</v>
      </c>
      <c r="H696" s="21">
        <v>88.5</v>
      </c>
      <c r="I696" s="21">
        <v>526</v>
      </c>
      <c r="J696" s="21">
        <v>98.5</v>
      </c>
      <c r="K696" s="21">
        <v>774</v>
      </c>
      <c r="L696" s="21"/>
      <c r="M696" s="21"/>
      <c r="N696" s="21">
        <v>53.5</v>
      </c>
      <c r="O696" s="21">
        <v>1111</v>
      </c>
      <c r="P696" s="21"/>
      <c r="Q696" s="21"/>
      <c r="R696" s="21"/>
      <c r="S696" s="21"/>
      <c r="T696" s="21">
        <v>85</v>
      </c>
      <c r="U696" s="21">
        <v>537</v>
      </c>
      <c r="V696" s="21">
        <v>81</v>
      </c>
      <c r="W696" s="21">
        <v>135</v>
      </c>
      <c r="X696" s="22">
        <v>290</v>
      </c>
      <c r="Y696" s="22">
        <v>130</v>
      </c>
      <c r="Z696" s="21">
        <v>509.5</v>
      </c>
      <c r="AA696" s="21">
        <v>483</v>
      </c>
      <c r="AB696" s="12">
        <v>112</v>
      </c>
    </row>
    <row r="697" ht="14.25" spans="1:28">
      <c r="A697" s="13">
        <v>695</v>
      </c>
      <c r="B697" s="15">
        <v>14</v>
      </c>
      <c r="C697" s="16">
        <v>37</v>
      </c>
      <c r="D697" s="15" t="s">
        <v>1395</v>
      </c>
      <c r="E697" s="15" t="s">
        <v>1396</v>
      </c>
      <c r="F697" s="21">
        <v>102.5</v>
      </c>
      <c r="G697" s="21">
        <v>686</v>
      </c>
      <c r="H697" s="21">
        <v>91</v>
      </c>
      <c r="I697" s="21">
        <v>467</v>
      </c>
      <c r="J697" s="21">
        <v>97</v>
      </c>
      <c r="K697" s="21">
        <v>837</v>
      </c>
      <c r="L697" s="21"/>
      <c r="M697" s="21"/>
      <c r="N697" s="21">
        <v>59.5</v>
      </c>
      <c r="O697" s="21">
        <v>483</v>
      </c>
      <c r="P697" s="21"/>
      <c r="Q697" s="21"/>
      <c r="R697" s="21"/>
      <c r="S697" s="21"/>
      <c r="T697" s="21">
        <v>82</v>
      </c>
      <c r="U697" s="21">
        <v>702</v>
      </c>
      <c r="V697" s="21">
        <v>71</v>
      </c>
      <c r="W697" s="21">
        <v>422</v>
      </c>
      <c r="X697" s="22">
        <v>290.5</v>
      </c>
      <c r="Y697" s="22">
        <v>127</v>
      </c>
      <c r="Z697" s="21">
        <v>503</v>
      </c>
      <c r="AA697" s="21">
        <v>544</v>
      </c>
      <c r="AB697" s="12">
        <v>131</v>
      </c>
    </row>
    <row r="698" ht="14.25" spans="1:28">
      <c r="A698" s="13">
        <v>696</v>
      </c>
      <c r="B698" s="15">
        <v>14</v>
      </c>
      <c r="C698" s="16">
        <v>38</v>
      </c>
      <c r="D698" s="15" t="s">
        <v>1397</v>
      </c>
      <c r="E698" s="15" t="s">
        <v>95</v>
      </c>
      <c r="F698" s="21">
        <v>106</v>
      </c>
      <c r="G698" s="21">
        <v>367</v>
      </c>
      <c r="H698" s="21">
        <v>90.5</v>
      </c>
      <c r="I698" s="21">
        <v>484</v>
      </c>
      <c r="J698" s="21">
        <v>82</v>
      </c>
      <c r="K698" s="21">
        <v>1576</v>
      </c>
      <c r="L698" s="21"/>
      <c r="M698" s="21"/>
      <c r="N698" s="21">
        <v>54.5</v>
      </c>
      <c r="O698" s="21">
        <v>986</v>
      </c>
      <c r="P698" s="21"/>
      <c r="Q698" s="21"/>
      <c r="R698" s="21"/>
      <c r="S698" s="21"/>
      <c r="T698" s="21">
        <v>61</v>
      </c>
      <c r="U698" s="21">
        <v>2565</v>
      </c>
      <c r="V698" s="21">
        <v>62</v>
      </c>
      <c r="W698" s="21">
        <v>766</v>
      </c>
      <c r="X698" s="22">
        <v>278.5</v>
      </c>
      <c r="Y698" s="22">
        <v>152</v>
      </c>
      <c r="Z698" s="21">
        <v>456</v>
      </c>
      <c r="AA698" s="21">
        <v>1067</v>
      </c>
      <c r="AB698" s="12">
        <v>188</v>
      </c>
    </row>
    <row r="699" ht="14.25" spans="1:28">
      <c r="A699" s="13">
        <v>697</v>
      </c>
      <c r="B699" s="15">
        <v>14</v>
      </c>
      <c r="C699" s="16">
        <v>39</v>
      </c>
      <c r="D699" s="15" t="s">
        <v>1398</v>
      </c>
      <c r="E699" s="15" t="s">
        <v>1399</v>
      </c>
      <c r="F699" s="21">
        <v>108.25</v>
      </c>
      <c r="G699" s="21">
        <v>241</v>
      </c>
      <c r="H699" s="21">
        <v>57</v>
      </c>
      <c r="I699" s="21">
        <v>1510</v>
      </c>
      <c r="J699" s="21">
        <v>104.5</v>
      </c>
      <c r="K699" s="21">
        <v>556</v>
      </c>
      <c r="L699" s="21"/>
      <c r="M699" s="21"/>
      <c r="N699" s="21">
        <v>52</v>
      </c>
      <c r="O699" s="21">
        <v>1281</v>
      </c>
      <c r="P699" s="21"/>
      <c r="Q699" s="21"/>
      <c r="R699" s="21"/>
      <c r="S699" s="21"/>
      <c r="T699" s="21">
        <v>80</v>
      </c>
      <c r="U699" s="21">
        <v>854</v>
      </c>
      <c r="V699" s="21">
        <v>70</v>
      </c>
      <c r="W699" s="21">
        <v>457</v>
      </c>
      <c r="X699" s="22">
        <v>269.75</v>
      </c>
      <c r="Y699" s="22">
        <v>173</v>
      </c>
      <c r="Z699" s="21">
        <v>471.75</v>
      </c>
      <c r="AA699" s="21">
        <v>872</v>
      </c>
      <c r="AB699" s="12">
        <v>176</v>
      </c>
    </row>
    <row r="700" ht="14.25" spans="1:28">
      <c r="A700" s="13">
        <v>698</v>
      </c>
      <c r="B700" s="15">
        <v>14</v>
      </c>
      <c r="C700" s="16">
        <v>40</v>
      </c>
      <c r="D700" s="15" t="s">
        <v>1400</v>
      </c>
      <c r="E700" s="15" t="s">
        <v>1401</v>
      </c>
      <c r="F700" s="21">
        <v>101</v>
      </c>
      <c r="G700" s="21">
        <v>861</v>
      </c>
      <c r="H700" s="21">
        <v>89.5</v>
      </c>
      <c r="I700" s="21">
        <v>503</v>
      </c>
      <c r="J700" s="21">
        <v>100.5</v>
      </c>
      <c r="K700" s="21">
        <v>683</v>
      </c>
      <c r="L700" s="21"/>
      <c r="M700" s="21"/>
      <c r="N700" s="21">
        <v>58</v>
      </c>
      <c r="O700" s="21">
        <v>588</v>
      </c>
      <c r="P700" s="21"/>
      <c r="Q700" s="21"/>
      <c r="R700" s="21"/>
      <c r="S700" s="21"/>
      <c r="T700" s="21">
        <v>87</v>
      </c>
      <c r="U700" s="21">
        <v>333</v>
      </c>
      <c r="V700" s="21">
        <v>76</v>
      </c>
      <c r="W700" s="21">
        <v>263</v>
      </c>
      <c r="X700" s="22">
        <v>291</v>
      </c>
      <c r="Y700" s="22">
        <v>126</v>
      </c>
      <c r="Z700" s="21">
        <v>512</v>
      </c>
      <c r="AA700" s="21">
        <v>464</v>
      </c>
      <c r="AB700" s="12">
        <v>109</v>
      </c>
    </row>
    <row r="701" ht="14.25" spans="1:28">
      <c r="A701" s="13">
        <v>699</v>
      </c>
      <c r="B701" s="15">
        <v>14</v>
      </c>
      <c r="C701" s="16">
        <v>41</v>
      </c>
      <c r="D701" s="15" t="s">
        <v>1402</v>
      </c>
      <c r="E701" s="15" t="s">
        <v>1403</v>
      </c>
      <c r="F701" s="21">
        <v>95.25</v>
      </c>
      <c r="G701" s="21">
        <v>1603</v>
      </c>
      <c r="H701" s="21">
        <v>77</v>
      </c>
      <c r="I701" s="21">
        <v>829</v>
      </c>
      <c r="J701" s="21">
        <v>105.25</v>
      </c>
      <c r="K701" s="21">
        <v>535</v>
      </c>
      <c r="L701" s="21"/>
      <c r="M701" s="21"/>
      <c r="N701" s="21">
        <v>52</v>
      </c>
      <c r="O701" s="21">
        <v>1281</v>
      </c>
      <c r="P701" s="21"/>
      <c r="Q701" s="21"/>
      <c r="R701" s="21"/>
      <c r="S701" s="21"/>
      <c r="T701" s="21">
        <v>82</v>
      </c>
      <c r="U701" s="21">
        <v>702</v>
      </c>
      <c r="V701" s="21">
        <v>68</v>
      </c>
      <c r="W701" s="21">
        <v>527</v>
      </c>
      <c r="X701" s="22">
        <v>277.5</v>
      </c>
      <c r="Y701" s="22">
        <v>153</v>
      </c>
      <c r="Z701" s="21">
        <v>479.5</v>
      </c>
      <c r="AA701" s="21">
        <v>781</v>
      </c>
      <c r="AB701" s="12">
        <v>169</v>
      </c>
    </row>
    <row r="702" ht="14.25" spans="1:28">
      <c r="A702" s="13">
        <v>700</v>
      </c>
      <c r="B702" s="15">
        <v>14</v>
      </c>
      <c r="C702" s="16">
        <v>42</v>
      </c>
      <c r="D702" s="15" t="s">
        <v>1404</v>
      </c>
      <c r="E702" s="15" t="s">
        <v>1405</v>
      </c>
      <c r="F702" s="21">
        <v>97.25</v>
      </c>
      <c r="G702" s="21">
        <v>1323</v>
      </c>
      <c r="H702" s="21">
        <v>84.5</v>
      </c>
      <c r="I702" s="21">
        <v>620</v>
      </c>
      <c r="J702" s="21">
        <v>104.5</v>
      </c>
      <c r="K702" s="21">
        <v>556</v>
      </c>
      <c r="L702" s="21"/>
      <c r="M702" s="21"/>
      <c r="N702" s="21">
        <v>60.5</v>
      </c>
      <c r="O702" s="21">
        <v>424</v>
      </c>
      <c r="P702" s="21"/>
      <c r="Q702" s="21"/>
      <c r="R702" s="21"/>
      <c r="S702" s="21"/>
      <c r="T702" s="21">
        <v>88</v>
      </c>
      <c r="U702" s="21">
        <v>227</v>
      </c>
      <c r="V702" s="21">
        <v>82</v>
      </c>
      <c r="W702" s="21">
        <v>124</v>
      </c>
      <c r="X702" s="22">
        <v>286.25</v>
      </c>
      <c r="Y702" s="22">
        <v>141</v>
      </c>
      <c r="Z702" s="21">
        <v>516.75</v>
      </c>
      <c r="AA702" s="21">
        <v>438</v>
      </c>
      <c r="AB702" s="12">
        <v>102</v>
      </c>
    </row>
    <row r="703" ht="14.25" spans="1:28">
      <c r="A703" s="13">
        <v>701</v>
      </c>
      <c r="B703" s="15">
        <v>14</v>
      </c>
      <c r="C703" s="16">
        <v>43</v>
      </c>
      <c r="D703" s="15" t="s">
        <v>1406</v>
      </c>
      <c r="E703" s="15" t="s">
        <v>1407</v>
      </c>
      <c r="F703" s="21">
        <v>98</v>
      </c>
      <c r="G703" s="21">
        <v>1207</v>
      </c>
      <c r="H703" s="21">
        <v>69</v>
      </c>
      <c r="I703" s="21">
        <v>1084</v>
      </c>
      <c r="J703" s="21">
        <v>105.5</v>
      </c>
      <c r="K703" s="21">
        <v>523</v>
      </c>
      <c r="L703" s="21"/>
      <c r="M703" s="21"/>
      <c r="N703" s="21">
        <v>54.5</v>
      </c>
      <c r="O703" s="21">
        <v>986</v>
      </c>
      <c r="P703" s="21"/>
      <c r="Q703" s="21"/>
      <c r="R703" s="21"/>
      <c r="S703" s="21"/>
      <c r="T703" s="21">
        <v>78</v>
      </c>
      <c r="U703" s="21">
        <v>1003</v>
      </c>
      <c r="V703" s="21">
        <v>79</v>
      </c>
      <c r="W703" s="21">
        <v>194</v>
      </c>
      <c r="X703" s="22">
        <v>272.5</v>
      </c>
      <c r="Y703" s="22">
        <v>162</v>
      </c>
      <c r="Z703" s="21">
        <v>484</v>
      </c>
      <c r="AA703" s="21">
        <v>731</v>
      </c>
      <c r="AB703" s="12">
        <v>160</v>
      </c>
    </row>
    <row r="704" ht="14.25" spans="1:28">
      <c r="A704" s="13">
        <v>702</v>
      </c>
      <c r="B704" s="15">
        <v>14</v>
      </c>
      <c r="C704" s="16">
        <v>44</v>
      </c>
      <c r="D704" s="15" t="s">
        <v>1408</v>
      </c>
      <c r="E704" s="15" t="s">
        <v>1409</v>
      </c>
      <c r="F704" s="21">
        <v>104.5</v>
      </c>
      <c r="G704" s="21">
        <v>475</v>
      </c>
      <c r="H704" s="21">
        <v>74.5</v>
      </c>
      <c r="I704" s="21">
        <v>903</v>
      </c>
      <c r="J704" s="21">
        <v>117.5</v>
      </c>
      <c r="K704" s="21">
        <v>211</v>
      </c>
      <c r="L704" s="21"/>
      <c r="M704" s="21"/>
      <c r="N704" s="21">
        <v>51.5</v>
      </c>
      <c r="O704" s="21">
        <v>1342</v>
      </c>
      <c r="P704" s="21"/>
      <c r="Q704" s="21"/>
      <c r="R704" s="21"/>
      <c r="S704" s="21"/>
      <c r="T704" s="21">
        <v>90</v>
      </c>
      <c r="U704" s="21">
        <v>80</v>
      </c>
      <c r="V704" s="21">
        <v>80</v>
      </c>
      <c r="W704" s="21">
        <v>158</v>
      </c>
      <c r="X704" s="22">
        <v>296.5</v>
      </c>
      <c r="Y704" s="22">
        <v>108</v>
      </c>
      <c r="Z704" s="21">
        <v>518</v>
      </c>
      <c r="AA704" s="21">
        <v>427</v>
      </c>
      <c r="AB704" s="12">
        <v>100</v>
      </c>
    </row>
    <row r="705" ht="14.25" spans="1:28">
      <c r="A705" s="13">
        <v>703</v>
      </c>
      <c r="B705" s="15">
        <v>14</v>
      </c>
      <c r="C705" s="16">
        <v>45</v>
      </c>
      <c r="D705" s="15" t="s">
        <v>1410</v>
      </c>
      <c r="E705" s="15" t="s">
        <v>1411</v>
      </c>
      <c r="F705" s="21">
        <v>102.5</v>
      </c>
      <c r="G705" s="21">
        <v>686</v>
      </c>
      <c r="H705" s="21">
        <v>102.5</v>
      </c>
      <c r="I705" s="21">
        <v>229</v>
      </c>
      <c r="J705" s="21">
        <v>84.5</v>
      </c>
      <c r="K705" s="21">
        <v>1438</v>
      </c>
      <c r="L705" s="21"/>
      <c r="M705" s="21"/>
      <c r="N705" s="21">
        <v>47</v>
      </c>
      <c r="O705" s="21">
        <v>1983</v>
      </c>
      <c r="P705" s="21"/>
      <c r="Q705" s="21"/>
      <c r="R705" s="21"/>
      <c r="S705" s="21"/>
      <c r="T705" s="21">
        <v>86</v>
      </c>
      <c r="U705" s="21">
        <v>465</v>
      </c>
      <c r="V705" s="21">
        <v>84</v>
      </c>
      <c r="W705" s="21">
        <v>104</v>
      </c>
      <c r="X705" s="22">
        <v>289.5</v>
      </c>
      <c r="Y705" s="22">
        <v>131</v>
      </c>
      <c r="Z705" s="21">
        <v>506.5</v>
      </c>
      <c r="AA705" s="21">
        <v>518</v>
      </c>
      <c r="AB705" s="12">
        <v>126</v>
      </c>
    </row>
    <row r="706" ht="14.25" spans="1:28">
      <c r="A706" s="13">
        <v>704</v>
      </c>
      <c r="B706" s="15">
        <v>15</v>
      </c>
      <c r="C706" s="16">
        <v>1</v>
      </c>
      <c r="D706" s="15" t="s">
        <v>1412</v>
      </c>
      <c r="E706" s="15" t="s">
        <v>1413</v>
      </c>
      <c r="F706" s="21">
        <v>97.5</v>
      </c>
      <c r="G706" s="21">
        <v>1268</v>
      </c>
      <c r="H706" s="21">
        <v>89</v>
      </c>
      <c r="I706" s="21">
        <v>515</v>
      </c>
      <c r="J706" s="21">
        <v>109.5</v>
      </c>
      <c r="K706" s="21">
        <v>405</v>
      </c>
      <c r="L706" s="21"/>
      <c r="M706" s="21"/>
      <c r="N706" s="21">
        <v>51.5</v>
      </c>
      <c r="O706" s="21">
        <v>1342</v>
      </c>
      <c r="P706" s="21"/>
      <c r="Q706" s="21"/>
      <c r="R706" s="21"/>
      <c r="S706" s="21"/>
      <c r="T706" s="21">
        <v>86</v>
      </c>
      <c r="U706" s="21">
        <v>465</v>
      </c>
      <c r="V706" s="21">
        <v>76</v>
      </c>
      <c r="W706" s="21">
        <v>263</v>
      </c>
      <c r="X706" s="22">
        <v>296</v>
      </c>
      <c r="Y706" s="22">
        <v>111</v>
      </c>
      <c r="Z706" s="21">
        <v>509.5</v>
      </c>
      <c r="AA706" s="21">
        <v>483</v>
      </c>
      <c r="AB706" s="12">
        <v>112</v>
      </c>
    </row>
    <row r="707" ht="14.25" spans="1:28">
      <c r="A707" s="13">
        <v>705</v>
      </c>
      <c r="B707" s="15">
        <v>15</v>
      </c>
      <c r="C707" s="16">
        <v>2</v>
      </c>
      <c r="D707" s="15" t="s">
        <v>1414</v>
      </c>
      <c r="E707" s="15" t="s">
        <v>1415</v>
      </c>
      <c r="F707" s="21">
        <v>110.5</v>
      </c>
      <c r="G707" s="21">
        <v>151</v>
      </c>
      <c r="H707" s="21">
        <v>114</v>
      </c>
      <c r="I707" s="21">
        <v>77</v>
      </c>
      <c r="J707" s="21">
        <v>93</v>
      </c>
      <c r="K707" s="21">
        <v>1008</v>
      </c>
      <c r="L707" s="21"/>
      <c r="M707" s="21"/>
      <c r="N707" s="21">
        <v>62.5</v>
      </c>
      <c r="O707" s="21">
        <v>292</v>
      </c>
      <c r="P707" s="21"/>
      <c r="Q707" s="21"/>
      <c r="R707" s="21"/>
      <c r="S707" s="21"/>
      <c r="T707" s="21">
        <v>87</v>
      </c>
      <c r="U707" s="21">
        <v>333</v>
      </c>
      <c r="V707" s="21">
        <v>87</v>
      </c>
      <c r="W707" s="21">
        <v>54</v>
      </c>
      <c r="X707" s="22">
        <v>317.5</v>
      </c>
      <c r="Y707" s="22">
        <v>50</v>
      </c>
      <c r="Z707" s="21">
        <v>554</v>
      </c>
      <c r="AA707" s="21">
        <v>205</v>
      </c>
      <c r="AB707" s="12">
        <v>36</v>
      </c>
    </row>
    <row r="708" ht="14.25" spans="1:28">
      <c r="A708" s="13">
        <v>706</v>
      </c>
      <c r="B708" s="15">
        <v>15</v>
      </c>
      <c r="C708" s="16">
        <v>3</v>
      </c>
      <c r="D708" s="15" t="s">
        <v>1416</v>
      </c>
      <c r="E708" s="15" t="s">
        <v>1417</v>
      </c>
      <c r="F708" s="21">
        <v>99.5</v>
      </c>
      <c r="G708" s="21">
        <v>1010</v>
      </c>
      <c r="H708" s="21">
        <v>63</v>
      </c>
      <c r="I708" s="21">
        <v>1301</v>
      </c>
      <c r="J708" s="21">
        <v>105</v>
      </c>
      <c r="K708" s="21">
        <v>543</v>
      </c>
      <c r="L708" s="21"/>
      <c r="M708" s="21"/>
      <c r="N708" s="21">
        <v>51.5</v>
      </c>
      <c r="O708" s="21">
        <v>1342</v>
      </c>
      <c r="P708" s="21"/>
      <c r="Q708" s="21"/>
      <c r="R708" s="21"/>
      <c r="S708" s="21"/>
      <c r="T708" s="21">
        <v>75</v>
      </c>
      <c r="U708" s="21">
        <v>1272</v>
      </c>
      <c r="V708" s="21">
        <v>56</v>
      </c>
      <c r="W708" s="21">
        <v>1022</v>
      </c>
      <c r="X708" s="22">
        <v>267.5</v>
      </c>
      <c r="Y708" s="22">
        <v>179</v>
      </c>
      <c r="Z708" s="21">
        <v>450</v>
      </c>
      <c r="AA708" s="21">
        <v>1161</v>
      </c>
      <c r="AB708" s="12">
        <v>191</v>
      </c>
    </row>
    <row r="709" ht="14.25" spans="1:28">
      <c r="A709" s="13">
        <v>707</v>
      </c>
      <c r="B709" s="15">
        <v>15</v>
      </c>
      <c r="C709" s="16">
        <v>5</v>
      </c>
      <c r="D709" s="15" t="s">
        <v>1418</v>
      </c>
      <c r="E709" s="15" t="s">
        <v>1363</v>
      </c>
      <c r="F709" s="21">
        <v>105</v>
      </c>
      <c r="G709" s="21">
        <v>437</v>
      </c>
      <c r="H709" s="21">
        <v>86</v>
      </c>
      <c r="I709" s="21">
        <v>584</v>
      </c>
      <c r="J709" s="21">
        <v>94.5</v>
      </c>
      <c r="K709" s="21">
        <v>945</v>
      </c>
      <c r="L709" s="21"/>
      <c r="M709" s="21"/>
      <c r="N709" s="21">
        <v>55</v>
      </c>
      <c r="O709" s="21">
        <v>914</v>
      </c>
      <c r="P709" s="21"/>
      <c r="Q709" s="21"/>
      <c r="R709" s="21"/>
      <c r="S709" s="21"/>
      <c r="T709" s="21">
        <v>92</v>
      </c>
      <c r="U709" s="21">
        <v>30</v>
      </c>
      <c r="V709" s="21">
        <v>77</v>
      </c>
      <c r="W709" s="21">
        <v>235</v>
      </c>
      <c r="X709" s="22">
        <v>285.5</v>
      </c>
      <c r="Y709" s="22">
        <v>142</v>
      </c>
      <c r="Z709" s="21">
        <v>509.5</v>
      </c>
      <c r="AA709" s="21">
        <v>483</v>
      </c>
      <c r="AB709" s="12">
        <v>112</v>
      </c>
    </row>
    <row r="710" ht="14.25" spans="1:28">
      <c r="A710" s="13">
        <v>708</v>
      </c>
      <c r="B710" s="15">
        <v>15</v>
      </c>
      <c r="C710" s="16">
        <v>6</v>
      </c>
      <c r="D710" s="15" t="s">
        <v>1419</v>
      </c>
      <c r="E710" s="15" t="s">
        <v>1420</v>
      </c>
      <c r="F710" s="21">
        <v>100.5</v>
      </c>
      <c r="G710" s="21">
        <v>901</v>
      </c>
      <c r="H710" s="21">
        <v>112.5</v>
      </c>
      <c r="I710" s="21">
        <v>91</v>
      </c>
      <c r="J710" s="21">
        <v>93.5</v>
      </c>
      <c r="K710" s="21">
        <v>991</v>
      </c>
      <c r="L710" s="21"/>
      <c r="M710" s="21"/>
      <c r="N710" s="21">
        <v>62.5</v>
      </c>
      <c r="O710" s="21">
        <v>292</v>
      </c>
      <c r="P710" s="21"/>
      <c r="Q710" s="21"/>
      <c r="R710" s="21"/>
      <c r="S710" s="21"/>
      <c r="T710" s="21">
        <v>90</v>
      </c>
      <c r="U710" s="21">
        <v>80</v>
      </c>
      <c r="V710" s="21">
        <v>72</v>
      </c>
      <c r="W710" s="21">
        <v>395</v>
      </c>
      <c r="X710" s="22">
        <v>306.5</v>
      </c>
      <c r="Y710" s="22">
        <v>80</v>
      </c>
      <c r="Z710" s="21">
        <v>531</v>
      </c>
      <c r="AA710" s="21">
        <v>343</v>
      </c>
      <c r="AB710" s="12">
        <v>76</v>
      </c>
    </row>
    <row r="711" ht="14.25" spans="1:28">
      <c r="A711" s="13">
        <v>709</v>
      </c>
      <c r="B711" s="15">
        <v>15</v>
      </c>
      <c r="C711" s="16">
        <v>7</v>
      </c>
      <c r="D711" s="15" t="s">
        <v>1421</v>
      </c>
      <c r="E711" s="15" t="s">
        <v>1422</v>
      </c>
      <c r="F711" s="21">
        <v>99</v>
      </c>
      <c r="G711" s="21">
        <v>1072</v>
      </c>
      <c r="H711" s="21">
        <v>85.5</v>
      </c>
      <c r="I711" s="21">
        <v>598</v>
      </c>
      <c r="J711" s="21">
        <v>109.25</v>
      </c>
      <c r="K711" s="21">
        <v>417</v>
      </c>
      <c r="L711" s="21"/>
      <c r="M711" s="21"/>
      <c r="N711" s="21">
        <v>57.5</v>
      </c>
      <c r="O711" s="21">
        <v>638</v>
      </c>
      <c r="P711" s="21"/>
      <c r="Q711" s="21"/>
      <c r="R711" s="21"/>
      <c r="S711" s="21"/>
      <c r="T711" s="21">
        <v>80</v>
      </c>
      <c r="U711" s="21">
        <v>854</v>
      </c>
      <c r="V711" s="21">
        <v>87</v>
      </c>
      <c r="W711" s="21">
        <v>54</v>
      </c>
      <c r="X711" s="22">
        <v>293.75</v>
      </c>
      <c r="Y711" s="22">
        <v>120</v>
      </c>
      <c r="Z711" s="21">
        <v>518.25</v>
      </c>
      <c r="AA711" s="21">
        <v>426</v>
      </c>
      <c r="AB711" s="12">
        <v>99</v>
      </c>
    </row>
    <row r="712" ht="14.25" spans="1:28">
      <c r="A712" s="13">
        <v>710</v>
      </c>
      <c r="B712" s="15">
        <v>15</v>
      </c>
      <c r="C712" s="16">
        <v>8</v>
      </c>
      <c r="D712" s="15" t="s">
        <v>1423</v>
      </c>
      <c r="E712" s="15" t="s">
        <v>1424</v>
      </c>
      <c r="F712" s="21">
        <v>87.25</v>
      </c>
      <c r="G712" s="21">
        <v>2774</v>
      </c>
      <c r="H712" s="21">
        <v>74.5</v>
      </c>
      <c r="I712" s="21">
        <v>903</v>
      </c>
      <c r="J712" s="21">
        <v>89</v>
      </c>
      <c r="K712" s="21">
        <v>1186</v>
      </c>
      <c r="L712" s="21"/>
      <c r="M712" s="21"/>
      <c r="N712" s="21">
        <v>48.5</v>
      </c>
      <c r="O712" s="21">
        <v>1763</v>
      </c>
      <c r="P712" s="21"/>
      <c r="Q712" s="21"/>
      <c r="R712" s="21"/>
      <c r="S712" s="21"/>
      <c r="T712" s="21">
        <v>82</v>
      </c>
      <c r="U712" s="21">
        <v>702</v>
      </c>
      <c r="V712" s="21">
        <v>60</v>
      </c>
      <c r="W712" s="21">
        <v>871</v>
      </c>
      <c r="X712" s="22">
        <v>250.75</v>
      </c>
      <c r="Y712" s="22">
        <v>194</v>
      </c>
      <c r="Z712" s="21">
        <v>441.25</v>
      </c>
      <c r="AA712" s="21">
        <v>1277</v>
      </c>
      <c r="AB712" s="12">
        <v>198</v>
      </c>
    </row>
    <row r="713" ht="14.25" spans="1:28">
      <c r="A713" s="13">
        <v>711</v>
      </c>
      <c r="B713" s="15">
        <v>15</v>
      </c>
      <c r="C713" s="16">
        <v>9</v>
      </c>
      <c r="D713" s="15" t="s">
        <v>1425</v>
      </c>
      <c r="E713" s="15" t="s">
        <v>1426</v>
      </c>
      <c r="F713" s="21">
        <v>98</v>
      </c>
      <c r="G713" s="21">
        <v>1207</v>
      </c>
      <c r="H713" s="21">
        <v>76.5</v>
      </c>
      <c r="I713" s="21">
        <v>846</v>
      </c>
      <c r="J713" s="21">
        <v>85.5</v>
      </c>
      <c r="K713" s="21">
        <v>1377</v>
      </c>
      <c r="L713" s="21"/>
      <c r="M713" s="21"/>
      <c r="N713" s="21">
        <v>56.5</v>
      </c>
      <c r="O713" s="21">
        <v>750</v>
      </c>
      <c r="P713" s="21"/>
      <c r="Q713" s="21"/>
      <c r="R713" s="21"/>
      <c r="S713" s="21"/>
      <c r="T713" s="21">
        <v>83</v>
      </c>
      <c r="U713" s="21">
        <v>616</v>
      </c>
      <c r="V713" s="21">
        <v>81</v>
      </c>
      <c r="W713" s="21">
        <v>135</v>
      </c>
      <c r="X713" s="22">
        <v>260</v>
      </c>
      <c r="Y713" s="22">
        <v>191</v>
      </c>
      <c r="Z713" s="21">
        <v>480.5</v>
      </c>
      <c r="AA713" s="21">
        <v>771</v>
      </c>
      <c r="AB713" s="12">
        <v>168</v>
      </c>
    </row>
    <row r="714" ht="14.25" spans="1:28">
      <c r="A714" s="13">
        <v>712</v>
      </c>
      <c r="B714" s="15">
        <v>15</v>
      </c>
      <c r="C714" s="16">
        <v>11</v>
      </c>
      <c r="D714" s="15" t="s">
        <v>1427</v>
      </c>
      <c r="E714" s="15" t="s">
        <v>1428</v>
      </c>
      <c r="F714" s="21">
        <v>90</v>
      </c>
      <c r="G714" s="21">
        <v>2340</v>
      </c>
      <c r="H714" s="21">
        <v>118</v>
      </c>
      <c r="I714" s="21">
        <v>47</v>
      </c>
      <c r="J714" s="21">
        <v>81.5</v>
      </c>
      <c r="K714" s="21">
        <v>1600</v>
      </c>
      <c r="L714" s="21"/>
      <c r="M714" s="21"/>
      <c r="N714" s="21">
        <v>51.5</v>
      </c>
      <c r="O714" s="21">
        <v>1342</v>
      </c>
      <c r="P714" s="21"/>
      <c r="Q714" s="21"/>
      <c r="R714" s="21"/>
      <c r="S714" s="21"/>
      <c r="T714" s="21">
        <v>88</v>
      </c>
      <c r="U714" s="21">
        <v>227</v>
      </c>
      <c r="V714" s="21">
        <v>87</v>
      </c>
      <c r="W714" s="21">
        <v>54</v>
      </c>
      <c r="X714" s="22">
        <v>289.5</v>
      </c>
      <c r="Y714" s="22">
        <v>131</v>
      </c>
      <c r="Z714" s="21">
        <v>516</v>
      </c>
      <c r="AA714" s="21">
        <v>442</v>
      </c>
      <c r="AB714" s="12">
        <v>104</v>
      </c>
    </row>
    <row r="715" ht="14.25" spans="1:28">
      <c r="A715" s="13">
        <v>713</v>
      </c>
      <c r="B715" s="15">
        <v>15</v>
      </c>
      <c r="C715" s="16">
        <v>12</v>
      </c>
      <c r="D715" s="15" t="s">
        <v>1429</v>
      </c>
      <c r="E715" s="15" t="s">
        <v>1430</v>
      </c>
      <c r="F715" s="21">
        <v>109</v>
      </c>
      <c r="G715" s="21">
        <v>201</v>
      </c>
      <c r="H715" s="21">
        <v>90.5</v>
      </c>
      <c r="I715" s="21">
        <v>484</v>
      </c>
      <c r="J715" s="21">
        <v>87.25</v>
      </c>
      <c r="K715" s="21">
        <v>1282</v>
      </c>
      <c r="L715" s="21"/>
      <c r="M715" s="21"/>
      <c r="N715" s="21">
        <v>50.25</v>
      </c>
      <c r="O715" s="21">
        <v>1559</v>
      </c>
      <c r="P715" s="21"/>
      <c r="Q715" s="21"/>
      <c r="R715" s="21"/>
      <c r="S715" s="21"/>
      <c r="T715" s="21">
        <v>80</v>
      </c>
      <c r="U715" s="21">
        <v>854</v>
      </c>
      <c r="V715" s="21">
        <v>79</v>
      </c>
      <c r="W715" s="21">
        <v>194</v>
      </c>
      <c r="X715" s="22">
        <v>286.75</v>
      </c>
      <c r="Y715" s="22">
        <v>139</v>
      </c>
      <c r="Z715" s="21">
        <v>496</v>
      </c>
      <c r="AA715" s="21">
        <v>619</v>
      </c>
      <c r="AB715" s="12">
        <v>142</v>
      </c>
    </row>
    <row r="716" ht="14.25" spans="1:28">
      <c r="A716" s="13">
        <v>714</v>
      </c>
      <c r="B716" s="15">
        <v>15</v>
      </c>
      <c r="C716" s="16">
        <v>13</v>
      </c>
      <c r="D716" s="15" t="s">
        <v>1431</v>
      </c>
      <c r="E716" s="15" t="s">
        <v>1432</v>
      </c>
      <c r="F716" s="21">
        <v>113</v>
      </c>
      <c r="G716" s="21">
        <v>78</v>
      </c>
      <c r="H716" s="21">
        <v>111</v>
      </c>
      <c r="I716" s="21">
        <v>115</v>
      </c>
      <c r="J716" s="21">
        <v>110.75</v>
      </c>
      <c r="K716" s="21">
        <v>369</v>
      </c>
      <c r="L716" s="21"/>
      <c r="M716" s="21"/>
      <c r="N716" s="21">
        <v>64.5</v>
      </c>
      <c r="O716" s="21">
        <v>210</v>
      </c>
      <c r="P716" s="21"/>
      <c r="Q716" s="21"/>
      <c r="R716" s="21"/>
      <c r="S716" s="21"/>
      <c r="T716" s="21">
        <v>82</v>
      </c>
      <c r="U716" s="21">
        <v>702</v>
      </c>
      <c r="V716" s="21">
        <v>87</v>
      </c>
      <c r="W716" s="21">
        <v>54</v>
      </c>
      <c r="X716" s="22">
        <v>334.75</v>
      </c>
      <c r="Y716" s="22">
        <v>18</v>
      </c>
      <c r="Z716" s="21">
        <v>568.25</v>
      </c>
      <c r="AA716" s="21">
        <v>139</v>
      </c>
      <c r="AB716" s="12">
        <v>20</v>
      </c>
    </row>
    <row r="717" ht="14.25" spans="1:28">
      <c r="A717" s="13">
        <v>715</v>
      </c>
      <c r="B717" s="15">
        <v>15</v>
      </c>
      <c r="C717" s="16">
        <v>14</v>
      </c>
      <c r="D717" s="15" t="s">
        <v>1433</v>
      </c>
      <c r="E717" s="15" t="s">
        <v>1434</v>
      </c>
      <c r="F717" s="21">
        <v>98.5</v>
      </c>
      <c r="G717" s="21">
        <v>1145</v>
      </c>
      <c r="H717" s="21">
        <v>110.5</v>
      </c>
      <c r="I717" s="21">
        <v>121</v>
      </c>
      <c r="J717" s="21">
        <v>102.5</v>
      </c>
      <c r="K717" s="21">
        <v>612</v>
      </c>
      <c r="L717" s="21"/>
      <c r="M717" s="21"/>
      <c r="N717" s="21">
        <v>56.5</v>
      </c>
      <c r="O717" s="21">
        <v>750</v>
      </c>
      <c r="P717" s="21"/>
      <c r="Q717" s="21"/>
      <c r="R717" s="21"/>
      <c r="S717" s="21"/>
      <c r="T717" s="21">
        <v>71</v>
      </c>
      <c r="U717" s="21">
        <v>1653</v>
      </c>
      <c r="V717" s="21">
        <v>88</v>
      </c>
      <c r="W717" s="21">
        <v>30</v>
      </c>
      <c r="X717" s="22">
        <v>311.5</v>
      </c>
      <c r="Y717" s="22">
        <v>67</v>
      </c>
      <c r="Z717" s="21">
        <v>527</v>
      </c>
      <c r="AA717" s="21">
        <v>370</v>
      </c>
      <c r="AB717" s="12">
        <v>84</v>
      </c>
    </row>
    <row r="718" ht="14.25" spans="1:28">
      <c r="A718" s="13">
        <v>716</v>
      </c>
      <c r="B718" s="15">
        <v>15</v>
      </c>
      <c r="C718" s="16">
        <v>15</v>
      </c>
      <c r="D718" s="15" t="s">
        <v>1435</v>
      </c>
      <c r="E718" s="15" t="s">
        <v>1436</v>
      </c>
      <c r="F718" s="21">
        <v>93</v>
      </c>
      <c r="G718" s="21">
        <v>1912</v>
      </c>
      <c r="H718" s="21">
        <v>87.5</v>
      </c>
      <c r="I718" s="21">
        <v>551</v>
      </c>
      <c r="J718" s="21">
        <v>121.25</v>
      </c>
      <c r="K718" s="21">
        <v>139</v>
      </c>
      <c r="L718" s="21"/>
      <c r="M718" s="21"/>
      <c r="N718" s="21">
        <v>52</v>
      </c>
      <c r="O718" s="21">
        <v>1281</v>
      </c>
      <c r="P718" s="21"/>
      <c r="Q718" s="21"/>
      <c r="R718" s="21"/>
      <c r="S718" s="21"/>
      <c r="T718" s="21">
        <v>69</v>
      </c>
      <c r="U718" s="21">
        <v>1773</v>
      </c>
      <c r="V718" s="21">
        <v>86</v>
      </c>
      <c r="W718" s="21">
        <v>73</v>
      </c>
      <c r="X718" s="22">
        <v>301.75</v>
      </c>
      <c r="Y718" s="22">
        <v>91</v>
      </c>
      <c r="Z718" s="21">
        <v>508.75</v>
      </c>
      <c r="AA718" s="21">
        <v>498</v>
      </c>
      <c r="AB718" s="12">
        <v>118</v>
      </c>
    </row>
    <row r="719" ht="14.25" spans="1:28">
      <c r="A719" s="13">
        <v>717</v>
      </c>
      <c r="B719" s="15">
        <v>15</v>
      </c>
      <c r="C719" s="16">
        <v>16</v>
      </c>
      <c r="D719" s="15" t="s">
        <v>1437</v>
      </c>
      <c r="E719" s="15" t="s">
        <v>1438</v>
      </c>
      <c r="F719" s="21">
        <v>107.5</v>
      </c>
      <c r="G719" s="21">
        <v>270</v>
      </c>
      <c r="H719" s="21">
        <v>88.5</v>
      </c>
      <c r="I719" s="21">
        <v>526</v>
      </c>
      <c r="J719" s="21">
        <v>129</v>
      </c>
      <c r="K719" s="21">
        <v>40</v>
      </c>
      <c r="L719" s="21"/>
      <c r="M719" s="21"/>
      <c r="N719" s="21">
        <v>52</v>
      </c>
      <c r="O719" s="21">
        <v>1281</v>
      </c>
      <c r="P719" s="21"/>
      <c r="Q719" s="21"/>
      <c r="R719" s="21"/>
      <c r="S719" s="21"/>
      <c r="T719" s="21">
        <v>81</v>
      </c>
      <c r="U719" s="21">
        <v>808</v>
      </c>
      <c r="V719" s="21">
        <v>89</v>
      </c>
      <c r="W719" s="21">
        <v>23</v>
      </c>
      <c r="X719" s="22">
        <v>325</v>
      </c>
      <c r="Y719" s="22">
        <v>34</v>
      </c>
      <c r="Z719" s="21">
        <v>547</v>
      </c>
      <c r="AA719" s="21">
        <v>249</v>
      </c>
      <c r="AB719" s="12">
        <v>48</v>
      </c>
    </row>
    <row r="720" ht="14.25" spans="1:28">
      <c r="A720" s="13">
        <v>718</v>
      </c>
      <c r="B720" s="15">
        <v>15</v>
      </c>
      <c r="C720" s="16">
        <v>17</v>
      </c>
      <c r="D720" s="15" t="s">
        <v>1439</v>
      </c>
      <c r="E720" s="15" t="s">
        <v>1440</v>
      </c>
      <c r="F720" s="21">
        <v>96</v>
      </c>
      <c r="G720" s="21">
        <v>1475</v>
      </c>
      <c r="H720" s="21">
        <v>102</v>
      </c>
      <c r="I720" s="21">
        <v>241</v>
      </c>
      <c r="J720" s="21">
        <v>88.5</v>
      </c>
      <c r="K720" s="21">
        <v>1209</v>
      </c>
      <c r="L720" s="21"/>
      <c r="M720" s="21"/>
      <c r="N720" s="21">
        <v>57.5</v>
      </c>
      <c r="O720" s="21">
        <v>638</v>
      </c>
      <c r="P720" s="21"/>
      <c r="Q720" s="21"/>
      <c r="R720" s="21"/>
      <c r="S720" s="21"/>
      <c r="T720" s="21">
        <v>89</v>
      </c>
      <c r="U720" s="21">
        <v>137</v>
      </c>
      <c r="V720" s="21">
        <v>87</v>
      </c>
      <c r="W720" s="21">
        <v>54</v>
      </c>
      <c r="X720" s="22">
        <v>286.5</v>
      </c>
      <c r="Y720" s="22">
        <v>140</v>
      </c>
      <c r="Z720" s="21">
        <v>520</v>
      </c>
      <c r="AA720" s="21">
        <v>413</v>
      </c>
      <c r="AB720" s="12">
        <v>96</v>
      </c>
    </row>
    <row r="721" ht="14.25" spans="1:28">
      <c r="A721" s="13">
        <v>719</v>
      </c>
      <c r="B721" s="15">
        <v>15</v>
      </c>
      <c r="C721" s="16">
        <v>18</v>
      </c>
      <c r="D721" s="15" t="s">
        <v>1441</v>
      </c>
      <c r="E721" s="15" t="s">
        <v>1442</v>
      </c>
      <c r="F721" s="21">
        <v>105.5</v>
      </c>
      <c r="G721" s="21">
        <v>406</v>
      </c>
      <c r="H721" s="21">
        <v>91</v>
      </c>
      <c r="I721" s="21">
        <v>467</v>
      </c>
      <c r="J721" s="21">
        <v>116.25</v>
      </c>
      <c r="K721" s="21">
        <v>236</v>
      </c>
      <c r="L721" s="21"/>
      <c r="M721" s="21"/>
      <c r="N721" s="21">
        <v>58</v>
      </c>
      <c r="O721" s="21">
        <v>588</v>
      </c>
      <c r="P721" s="21"/>
      <c r="Q721" s="21"/>
      <c r="R721" s="21"/>
      <c r="S721" s="21"/>
      <c r="T721" s="21">
        <v>76</v>
      </c>
      <c r="U721" s="21">
        <v>1218</v>
      </c>
      <c r="V721" s="21">
        <v>86</v>
      </c>
      <c r="W721" s="21">
        <v>73</v>
      </c>
      <c r="X721" s="22">
        <v>312.75</v>
      </c>
      <c r="Y721" s="22">
        <v>62</v>
      </c>
      <c r="Z721" s="21">
        <v>532.75</v>
      </c>
      <c r="AA721" s="21">
        <v>328</v>
      </c>
      <c r="AB721" s="12">
        <v>72</v>
      </c>
    </row>
    <row r="722" ht="14.25" spans="1:28">
      <c r="A722" s="13">
        <v>720</v>
      </c>
      <c r="B722" s="15">
        <v>15</v>
      </c>
      <c r="C722" s="16">
        <v>19</v>
      </c>
      <c r="D722" s="15" t="s">
        <v>1443</v>
      </c>
      <c r="E722" s="15" t="s">
        <v>1444</v>
      </c>
      <c r="F722" s="21">
        <v>95.25</v>
      </c>
      <c r="G722" s="21">
        <v>1603</v>
      </c>
      <c r="H722" s="21">
        <v>63</v>
      </c>
      <c r="I722" s="21">
        <v>1301</v>
      </c>
      <c r="J722" s="21">
        <v>92.75</v>
      </c>
      <c r="K722" s="21">
        <v>1021</v>
      </c>
      <c r="L722" s="21"/>
      <c r="M722" s="21"/>
      <c r="N722" s="21">
        <v>41</v>
      </c>
      <c r="O722" s="21">
        <v>2816</v>
      </c>
      <c r="P722" s="21"/>
      <c r="Q722" s="21"/>
      <c r="R722" s="21"/>
      <c r="S722" s="21"/>
      <c r="T722" s="21">
        <v>89</v>
      </c>
      <c r="U722" s="21">
        <v>137</v>
      </c>
      <c r="V722" s="21">
        <v>91</v>
      </c>
      <c r="W722" s="21">
        <v>9</v>
      </c>
      <c r="X722" s="22">
        <v>251</v>
      </c>
      <c r="Y722" s="22">
        <v>193</v>
      </c>
      <c r="Z722" s="21">
        <v>472</v>
      </c>
      <c r="AA722" s="21">
        <v>870</v>
      </c>
      <c r="AB722" s="12">
        <v>175</v>
      </c>
    </row>
    <row r="723" ht="14.25" spans="1:28">
      <c r="A723" s="13">
        <v>721</v>
      </c>
      <c r="B723" s="15">
        <v>15</v>
      </c>
      <c r="C723" s="16">
        <v>20</v>
      </c>
      <c r="D723" s="15" t="s">
        <v>1445</v>
      </c>
      <c r="E723" s="15" t="s">
        <v>1446</v>
      </c>
      <c r="F723" s="21">
        <v>94.5</v>
      </c>
      <c r="G723" s="21">
        <v>1687</v>
      </c>
      <c r="H723" s="21">
        <v>110.5</v>
      </c>
      <c r="I723" s="21">
        <v>121</v>
      </c>
      <c r="J723" s="21">
        <v>110</v>
      </c>
      <c r="K723" s="21">
        <v>386</v>
      </c>
      <c r="L723" s="21"/>
      <c r="M723" s="21"/>
      <c r="N723" s="21">
        <v>63</v>
      </c>
      <c r="O723" s="21">
        <v>270</v>
      </c>
      <c r="P723" s="21"/>
      <c r="Q723" s="21"/>
      <c r="R723" s="21"/>
      <c r="S723" s="21"/>
      <c r="T723" s="21">
        <v>87</v>
      </c>
      <c r="U723" s="21">
        <v>333</v>
      </c>
      <c r="V723" s="21">
        <v>78</v>
      </c>
      <c r="W723" s="21">
        <v>215</v>
      </c>
      <c r="X723" s="22">
        <v>315</v>
      </c>
      <c r="Y723" s="22">
        <v>56</v>
      </c>
      <c r="Z723" s="21">
        <v>543</v>
      </c>
      <c r="AA723" s="21">
        <v>272</v>
      </c>
      <c r="AB723" s="12">
        <v>53</v>
      </c>
    </row>
    <row r="724" ht="14.25" spans="1:28">
      <c r="A724" s="13">
        <v>722</v>
      </c>
      <c r="B724" s="15">
        <v>15</v>
      </c>
      <c r="C724" s="16">
        <v>21</v>
      </c>
      <c r="D724" s="15" t="s">
        <v>1447</v>
      </c>
      <c r="E724" s="15" t="s">
        <v>1448</v>
      </c>
      <c r="F724" s="21">
        <v>101.75</v>
      </c>
      <c r="G724" s="21">
        <v>799</v>
      </c>
      <c r="H724" s="21">
        <v>120.5</v>
      </c>
      <c r="I724" s="21">
        <v>31</v>
      </c>
      <c r="J724" s="21">
        <v>95.5</v>
      </c>
      <c r="K724" s="21">
        <v>902</v>
      </c>
      <c r="L724" s="21"/>
      <c r="M724" s="21"/>
      <c r="N724" s="21">
        <v>59.5</v>
      </c>
      <c r="O724" s="21">
        <v>483</v>
      </c>
      <c r="P724" s="21"/>
      <c r="Q724" s="21"/>
      <c r="R724" s="21"/>
      <c r="S724" s="21"/>
      <c r="T724" s="21">
        <v>83</v>
      </c>
      <c r="U724" s="21">
        <v>616</v>
      </c>
      <c r="V724" s="21">
        <v>78</v>
      </c>
      <c r="W724" s="21">
        <v>215</v>
      </c>
      <c r="X724" s="22">
        <v>317.75</v>
      </c>
      <c r="Y724" s="22">
        <v>48</v>
      </c>
      <c r="Z724" s="21">
        <v>538.25</v>
      </c>
      <c r="AA724" s="21">
        <v>294</v>
      </c>
      <c r="AB724" s="12">
        <v>60</v>
      </c>
    </row>
    <row r="725" ht="14.25" spans="1:28">
      <c r="A725" s="13">
        <v>723</v>
      </c>
      <c r="B725" s="15">
        <v>15</v>
      </c>
      <c r="C725" s="16">
        <v>22</v>
      </c>
      <c r="D725" s="15" t="s">
        <v>1449</v>
      </c>
      <c r="E725" s="15" t="s">
        <v>1450</v>
      </c>
      <c r="F725" s="21">
        <v>98</v>
      </c>
      <c r="G725" s="21">
        <v>1207</v>
      </c>
      <c r="H725" s="21">
        <v>107.5</v>
      </c>
      <c r="I725" s="21">
        <v>160</v>
      </c>
      <c r="J725" s="21">
        <v>121.25</v>
      </c>
      <c r="K725" s="21">
        <v>139</v>
      </c>
      <c r="L725" s="21"/>
      <c r="M725" s="21"/>
      <c r="N725" s="21">
        <v>56</v>
      </c>
      <c r="O725" s="21">
        <v>804</v>
      </c>
      <c r="P725" s="21"/>
      <c r="Q725" s="21"/>
      <c r="R725" s="21"/>
      <c r="S725" s="21"/>
      <c r="T725" s="21">
        <v>78</v>
      </c>
      <c r="U725" s="21">
        <v>1003</v>
      </c>
      <c r="V725" s="21">
        <v>62</v>
      </c>
      <c r="W725" s="21">
        <v>766</v>
      </c>
      <c r="X725" s="22">
        <v>326.75</v>
      </c>
      <c r="Y725" s="22">
        <v>28</v>
      </c>
      <c r="Z725" s="21">
        <v>522.75</v>
      </c>
      <c r="AA725" s="21">
        <v>391</v>
      </c>
      <c r="AB725" s="12">
        <v>90</v>
      </c>
    </row>
    <row r="726" ht="14.25" spans="1:28">
      <c r="A726" s="13">
        <v>724</v>
      </c>
      <c r="B726" s="15">
        <v>15</v>
      </c>
      <c r="C726" s="16">
        <v>23</v>
      </c>
      <c r="D726" s="15" t="s">
        <v>1451</v>
      </c>
      <c r="E726" s="15" t="s">
        <v>1452</v>
      </c>
      <c r="F726" s="21">
        <v>98</v>
      </c>
      <c r="G726" s="21">
        <v>1207</v>
      </c>
      <c r="H726" s="21">
        <v>106</v>
      </c>
      <c r="I726" s="21">
        <v>175</v>
      </c>
      <c r="J726" s="21">
        <v>117.5</v>
      </c>
      <c r="K726" s="21">
        <v>211</v>
      </c>
      <c r="L726" s="21"/>
      <c r="M726" s="21"/>
      <c r="N726" s="21">
        <v>49</v>
      </c>
      <c r="O726" s="21">
        <v>1682</v>
      </c>
      <c r="P726" s="21"/>
      <c r="Q726" s="21"/>
      <c r="R726" s="21"/>
      <c r="S726" s="21"/>
      <c r="T726" s="21">
        <v>66</v>
      </c>
      <c r="U726" s="21">
        <v>2082</v>
      </c>
      <c r="V726" s="21">
        <v>81</v>
      </c>
      <c r="W726" s="21">
        <v>135</v>
      </c>
      <c r="X726" s="22">
        <v>321.5</v>
      </c>
      <c r="Y726" s="22">
        <v>40</v>
      </c>
      <c r="Z726" s="21">
        <v>517.5</v>
      </c>
      <c r="AA726" s="21">
        <v>430</v>
      </c>
      <c r="AB726" s="12">
        <v>101</v>
      </c>
    </row>
    <row r="727" ht="14.25" spans="1:28">
      <c r="A727" s="13">
        <v>725</v>
      </c>
      <c r="B727" s="15">
        <v>15</v>
      </c>
      <c r="C727" s="16">
        <v>24</v>
      </c>
      <c r="D727" s="15" t="s">
        <v>1453</v>
      </c>
      <c r="E727" s="15" t="s">
        <v>1454</v>
      </c>
      <c r="F727" s="21">
        <v>99.5</v>
      </c>
      <c r="G727" s="21">
        <v>1010</v>
      </c>
      <c r="H727" s="21">
        <v>102</v>
      </c>
      <c r="I727" s="21">
        <v>241</v>
      </c>
      <c r="J727" s="21">
        <v>92.75</v>
      </c>
      <c r="K727" s="21">
        <v>1021</v>
      </c>
      <c r="L727" s="21"/>
      <c r="M727" s="21"/>
      <c r="N727" s="21">
        <v>51</v>
      </c>
      <c r="O727" s="21">
        <v>1415</v>
      </c>
      <c r="P727" s="21"/>
      <c r="Q727" s="21"/>
      <c r="R727" s="21"/>
      <c r="S727" s="21"/>
      <c r="T727" s="21">
        <v>75</v>
      </c>
      <c r="U727" s="21">
        <v>1272</v>
      </c>
      <c r="V727" s="21">
        <v>76</v>
      </c>
      <c r="W727" s="21">
        <v>263</v>
      </c>
      <c r="X727" s="22">
        <v>294.25</v>
      </c>
      <c r="Y727" s="22">
        <v>118</v>
      </c>
      <c r="Z727" s="21">
        <v>496.25</v>
      </c>
      <c r="AA727" s="21">
        <v>617</v>
      </c>
      <c r="AB727" s="12">
        <v>141</v>
      </c>
    </row>
    <row r="728" ht="14.25" spans="1:28">
      <c r="A728" s="13">
        <v>726</v>
      </c>
      <c r="B728" s="15">
        <v>15</v>
      </c>
      <c r="C728" s="16">
        <v>25</v>
      </c>
      <c r="D728" s="15" t="s">
        <v>1455</v>
      </c>
      <c r="E728" s="15" t="s">
        <v>712</v>
      </c>
      <c r="F728" s="21">
        <v>99.5</v>
      </c>
      <c r="G728" s="21">
        <v>1010</v>
      </c>
      <c r="H728" s="21">
        <v>104.5</v>
      </c>
      <c r="I728" s="21">
        <v>197</v>
      </c>
      <c r="J728" s="21">
        <v>97.75</v>
      </c>
      <c r="K728" s="21">
        <v>808</v>
      </c>
      <c r="L728" s="21"/>
      <c r="M728" s="21"/>
      <c r="N728" s="21">
        <v>46.5</v>
      </c>
      <c r="O728" s="21">
        <v>2050</v>
      </c>
      <c r="P728" s="21"/>
      <c r="Q728" s="21"/>
      <c r="R728" s="21"/>
      <c r="S728" s="21"/>
      <c r="T728" s="21">
        <v>77</v>
      </c>
      <c r="U728" s="21">
        <v>1108</v>
      </c>
      <c r="V728" s="21">
        <v>83</v>
      </c>
      <c r="W728" s="21">
        <v>115</v>
      </c>
      <c r="X728" s="22">
        <v>301.75</v>
      </c>
      <c r="Y728" s="22">
        <v>91</v>
      </c>
      <c r="Z728" s="21">
        <v>508.25</v>
      </c>
      <c r="AA728" s="21">
        <v>502</v>
      </c>
      <c r="AB728" s="12">
        <v>121</v>
      </c>
    </row>
    <row r="729" ht="14.25" spans="1:28">
      <c r="A729" s="13">
        <v>727</v>
      </c>
      <c r="B729" s="15">
        <v>15</v>
      </c>
      <c r="C729" s="16">
        <v>26</v>
      </c>
      <c r="D729" s="15" t="s">
        <v>1456</v>
      </c>
      <c r="E729" s="15" t="s">
        <v>1457</v>
      </c>
      <c r="F729" s="21">
        <v>80.5</v>
      </c>
      <c r="G729" s="21">
        <v>3556</v>
      </c>
      <c r="H729" s="21">
        <v>87</v>
      </c>
      <c r="I729" s="21">
        <v>563</v>
      </c>
      <c r="J729" s="21">
        <v>99.25</v>
      </c>
      <c r="K729" s="21">
        <v>742</v>
      </c>
      <c r="L729" s="21"/>
      <c r="M729" s="21"/>
      <c r="N729" s="21">
        <v>59.5</v>
      </c>
      <c r="O729" s="21">
        <v>483</v>
      </c>
      <c r="P729" s="21"/>
      <c r="Q729" s="21"/>
      <c r="R729" s="21"/>
      <c r="S729" s="21"/>
      <c r="T729" s="21">
        <v>77</v>
      </c>
      <c r="U729" s="21">
        <v>1108</v>
      </c>
      <c r="V729" s="21">
        <v>78</v>
      </c>
      <c r="W729" s="21">
        <v>215</v>
      </c>
      <c r="X729" s="22">
        <v>266.75</v>
      </c>
      <c r="Y729" s="22">
        <v>183</v>
      </c>
      <c r="Z729" s="21">
        <v>481.25</v>
      </c>
      <c r="AA729" s="21">
        <v>762</v>
      </c>
      <c r="AB729" s="12">
        <v>167</v>
      </c>
    </row>
    <row r="730" ht="14.25" spans="1:28">
      <c r="A730" s="13">
        <v>728</v>
      </c>
      <c r="B730" s="15">
        <v>15</v>
      </c>
      <c r="C730" s="16">
        <v>28</v>
      </c>
      <c r="D730" s="15" t="s">
        <v>1458</v>
      </c>
      <c r="E730" s="15" t="s">
        <v>1459</v>
      </c>
      <c r="F730" s="21">
        <v>98</v>
      </c>
      <c r="G730" s="21">
        <v>1207</v>
      </c>
      <c r="H730" s="21">
        <v>97</v>
      </c>
      <c r="I730" s="21">
        <v>331</v>
      </c>
      <c r="J730" s="21">
        <v>93.5</v>
      </c>
      <c r="K730" s="21">
        <v>991</v>
      </c>
      <c r="L730" s="21"/>
      <c r="M730" s="21"/>
      <c r="N730" s="21">
        <v>63.5</v>
      </c>
      <c r="O730" s="21">
        <v>253</v>
      </c>
      <c r="P730" s="21"/>
      <c r="Q730" s="21"/>
      <c r="R730" s="21"/>
      <c r="S730" s="21"/>
      <c r="T730" s="21">
        <v>82</v>
      </c>
      <c r="U730" s="21">
        <v>702</v>
      </c>
      <c r="V730" s="21">
        <v>87</v>
      </c>
      <c r="W730" s="21">
        <v>54</v>
      </c>
      <c r="X730" s="22">
        <v>288.5</v>
      </c>
      <c r="Y730" s="22">
        <v>135</v>
      </c>
      <c r="Z730" s="21">
        <v>521</v>
      </c>
      <c r="AA730" s="21">
        <v>402</v>
      </c>
      <c r="AB730" s="12">
        <v>93</v>
      </c>
    </row>
    <row r="731" ht="14.25" spans="1:28">
      <c r="A731" s="13">
        <v>729</v>
      </c>
      <c r="B731" s="15">
        <v>15</v>
      </c>
      <c r="C731" s="16">
        <v>29</v>
      </c>
      <c r="D731" s="15" t="s">
        <v>1460</v>
      </c>
      <c r="E731" s="15" t="s">
        <v>1461</v>
      </c>
      <c r="F731" s="21">
        <v>107.5</v>
      </c>
      <c r="G731" s="21">
        <v>270</v>
      </c>
      <c r="H731" s="21">
        <v>91</v>
      </c>
      <c r="I731" s="21">
        <v>467</v>
      </c>
      <c r="J731" s="21">
        <v>84.5</v>
      </c>
      <c r="K731" s="21">
        <v>1438</v>
      </c>
      <c r="L731" s="21"/>
      <c r="M731" s="21"/>
      <c r="N731" s="21">
        <v>42.5</v>
      </c>
      <c r="O731" s="21">
        <v>2603</v>
      </c>
      <c r="P731" s="21"/>
      <c r="Q731" s="21"/>
      <c r="R731" s="21"/>
      <c r="S731" s="21"/>
      <c r="T731" s="21">
        <v>83</v>
      </c>
      <c r="U731" s="21">
        <v>616</v>
      </c>
      <c r="V731" s="21">
        <v>74</v>
      </c>
      <c r="W731" s="21">
        <v>320</v>
      </c>
      <c r="X731" s="22">
        <v>283</v>
      </c>
      <c r="Y731" s="22">
        <v>145</v>
      </c>
      <c r="Z731" s="21">
        <v>482.5</v>
      </c>
      <c r="AA731" s="21">
        <v>747</v>
      </c>
      <c r="AB731" s="12">
        <v>163</v>
      </c>
    </row>
    <row r="732" ht="14.25" spans="1:28">
      <c r="A732" s="13">
        <v>730</v>
      </c>
      <c r="B732" s="15">
        <v>15</v>
      </c>
      <c r="C732" s="16">
        <v>30</v>
      </c>
      <c r="D732" s="15" t="s">
        <v>1462</v>
      </c>
      <c r="E732" s="15" t="s">
        <v>1463</v>
      </c>
      <c r="F732" s="21">
        <v>104.5</v>
      </c>
      <c r="G732" s="21">
        <v>475</v>
      </c>
      <c r="H732" s="21">
        <v>101</v>
      </c>
      <c r="I732" s="21">
        <v>253</v>
      </c>
      <c r="J732" s="21">
        <v>109</v>
      </c>
      <c r="K732" s="21">
        <v>423</v>
      </c>
      <c r="L732" s="21"/>
      <c r="M732" s="21"/>
      <c r="N732" s="21">
        <v>67</v>
      </c>
      <c r="O732" s="21">
        <v>119</v>
      </c>
      <c r="P732" s="21"/>
      <c r="Q732" s="21"/>
      <c r="R732" s="21"/>
      <c r="S732" s="21"/>
      <c r="T732" s="21">
        <v>87</v>
      </c>
      <c r="U732" s="21">
        <v>333</v>
      </c>
      <c r="V732" s="21">
        <v>74</v>
      </c>
      <c r="W732" s="21">
        <v>320</v>
      </c>
      <c r="X732" s="22">
        <v>314.5</v>
      </c>
      <c r="Y732" s="22">
        <v>58</v>
      </c>
      <c r="Z732" s="21">
        <v>542.5</v>
      </c>
      <c r="AA732" s="21">
        <v>275</v>
      </c>
      <c r="AB732" s="12">
        <v>54</v>
      </c>
    </row>
    <row r="733" ht="14.25" spans="1:28">
      <c r="A733" s="13">
        <v>731</v>
      </c>
      <c r="B733" s="15">
        <v>15</v>
      </c>
      <c r="C733" s="16">
        <v>31</v>
      </c>
      <c r="D733" s="15" t="s">
        <v>1464</v>
      </c>
      <c r="E733" s="15" t="s">
        <v>1465</v>
      </c>
      <c r="F733" s="21">
        <v>101.5</v>
      </c>
      <c r="G733" s="21">
        <v>805</v>
      </c>
      <c r="H733" s="21">
        <v>65.5</v>
      </c>
      <c r="I733" s="21">
        <v>1198</v>
      </c>
      <c r="J733" s="21">
        <v>109.25</v>
      </c>
      <c r="K733" s="21">
        <v>417</v>
      </c>
      <c r="L733" s="21"/>
      <c r="M733" s="21"/>
      <c r="N733" s="21">
        <v>57.5</v>
      </c>
      <c r="O733" s="21">
        <v>638</v>
      </c>
      <c r="P733" s="21"/>
      <c r="Q733" s="21"/>
      <c r="R733" s="21"/>
      <c r="S733" s="21"/>
      <c r="T733" s="21">
        <v>68</v>
      </c>
      <c r="U733" s="21">
        <v>1886</v>
      </c>
      <c r="V733" s="21">
        <v>69</v>
      </c>
      <c r="W733" s="21">
        <v>478</v>
      </c>
      <c r="X733" s="22">
        <v>276.25</v>
      </c>
      <c r="Y733" s="22">
        <v>156</v>
      </c>
      <c r="Z733" s="21">
        <v>470.75</v>
      </c>
      <c r="AA733" s="21">
        <v>881</v>
      </c>
      <c r="AB733" s="12">
        <v>177</v>
      </c>
    </row>
    <row r="734" ht="14.25" spans="1:28">
      <c r="A734" s="13">
        <v>732</v>
      </c>
      <c r="B734" s="15">
        <v>15</v>
      </c>
      <c r="C734" s="16">
        <v>32</v>
      </c>
      <c r="D734" s="15" t="s">
        <v>1466</v>
      </c>
      <c r="E734" s="15" t="s">
        <v>1467</v>
      </c>
      <c r="F734" s="21">
        <v>92</v>
      </c>
      <c r="G734" s="21">
        <v>2049</v>
      </c>
      <c r="H734" s="21">
        <v>93</v>
      </c>
      <c r="I734" s="21">
        <v>412</v>
      </c>
      <c r="J734" s="21">
        <v>64</v>
      </c>
      <c r="K734" s="21">
        <v>2544</v>
      </c>
      <c r="L734" s="21"/>
      <c r="M734" s="21"/>
      <c r="N734" s="21">
        <v>56.5</v>
      </c>
      <c r="O734" s="21">
        <v>750</v>
      </c>
      <c r="P734" s="21"/>
      <c r="Q734" s="21"/>
      <c r="R734" s="21"/>
      <c r="S734" s="21"/>
      <c r="T734" s="21">
        <v>89</v>
      </c>
      <c r="U734" s="21">
        <v>137</v>
      </c>
      <c r="V734" s="21">
        <v>88</v>
      </c>
      <c r="W734" s="21">
        <v>30</v>
      </c>
      <c r="X734" s="22">
        <v>249</v>
      </c>
      <c r="Y734" s="22">
        <v>195</v>
      </c>
      <c r="Z734" s="21">
        <v>482.5</v>
      </c>
      <c r="AA734" s="21">
        <v>747</v>
      </c>
      <c r="AB734" s="12">
        <v>163</v>
      </c>
    </row>
    <row r="735" ht="14.25" spans="1:28">
      <c r="A735" s="13">
        <v>733</v>
      </c>
      <c r="B735" s="15">
        <v>15</v>
      </c>
      <c r="C735" s="16">
        <v>33</v>
      </c>
      <c r="D735" s="15" t="s">
        <v>1468</v>
      </c>
      <c r="E735" s="15" t="s">
        <v>1469</v>
      </c>
      <c r="F735" s="21">
        <v>109.5</v>
      </c>
      <c r="G735" s="21">
        <v>183</v>
      </c>
      <c r="H735" s="21">
        <v>74</v>
      </c>
      <c r="I735" s="21">
        <v>917</v>
      </c>
      <c r="J735" s="21">
        <v>83.75</v>
      </c>
      <c r="K735" s="21">
        <v>1480</v>
      </c>
      <c r="L735" s="21"/>
      <c r="M735" s="21"/>
      <c r="N735" s="21">
        <v>56.5</v>
      </c>
      <c r="O735" s="21">
        <v>750</v>
      </c>
      <c r="P735" s="21"/>
      <c r="Q735" s="21"/>
      <c r="R735" s="21"/>
      <c r="S735" s="21"/>
      <c r="T735" s="21">
        <v>83</v>
      </c>
      <c r="U735" s="21">
        <v>616</v>
      </c>
      <c r="V735" s="21">
        <v>76</v>
      </c>
      <c r="W735" s="21">
        <v>263</v>
      </c>
      <c r="X735" s="22">
        <v>267.25</v>
      </c>
      <c r="Y735" s="22">
        <v>181</v>
      </c>
      <c r="Z735" s="21">
        <v>482.75</v>
      </c>
      <c r="AA735" s="21">
        <v>746</v>
      </c>
      <c r="AB735" s="12">
        <v>162</v>
      </c>
    </row>
    <row r="736" ht="14.25" spans="1:28">
      <c r="A736" s="13">
        <v>734</v>
      </c>
      <c r="B736" s="15">
        <v>15</v>
      </c>
      <c r="C736" s="16">
        <v>34</v>
      </c>
      <c r="D736" s="15" t="s">
        <v>1470</v>
      </c>
      <c r="E736" s="15" t="s">
        <v>1471</v>
      </c>
      <c r="F736" s="21">
        <v>99</v>
      </c>
      <c r="G736" s="21">
        <v>1072</v>
      </c>
      <c r="H736" s="21">
        <v>75</v>
      </c>
      <c r="I736" s="21">
        <v>883</v>
      </c>
      <c r="J736" s="21">
        <v>96</v>
      </c>
      <c r="K736" s="21">
        <v>882</v>
      </c>
      <c r="L736" s="21"/>
      <c r="M736" s="21"/>
      <c r="N736" s="21">
        <v>62</v>
      </c>
      <c r="O736" s="21">
        <v>315</v>
      </c>
      <c r="P736" s="21"/>
      <c r="Q736" s="21"/>
      <c r="R736" s="21"/>
      <c r="S736" s="21"/>
      <c r="T736" s="21">
        <v>73</v>
      </c>
      <c r="U736" s="21">
        <v>1447</v>
      </c>
      <c r="V736" s="21">
        <v>74</v>
      </c>
      <c r="W736" s="21">
        <v>320</v>
      </c>
      <c r="X736" s="22">
        <v>270</v>
      </c>
      <c r="Y736" s="22">
        <v>170</v>
      </c>
      <c r="Z736" s="21">
        <v>479</v>
      </c>
      <c r="AA736" s="21">
        <v>784</v>
      </c>
      <c r="AB736" s="12">
        <v>170</v>
      </c>
    </row>
    <row r="737" ht="14.25" spans="1:28">
      <c r="A737" s="13">
        <v>735</v>
      </c>
      <c r="B737" s="15">
        <v>15</v>
      </c>
      <c r="C737" s="16">
        <v>35</v>
      </c>
      <c r="D737" s="15" t="s">
        <v>1472</v>
      </c>
      <c r="E737" s="15" t="s">
        <v>1473</v>
      </c>
      <c r="F737" s="21">
        <v>108</v>
      </c>
      <c r="G737" s="21">
        <v>247</v>
      </c>
      <c r="H737" s="21">
        <v>87</v>
      </c>
      <c r="I737" s="21">
        <v>563</v>
      </c>
      <c r="J737" s="21">
        <v>92</v>
      </c>
      <c r="K737" s="21">
        <v>1049</v>
      </c>
      <c r="L737" s="21"/>
      <c r="M737" s="21"/>
      <c r="N737" s="21">
        <v>58</v>
      </c>
      <c r="O737" s="21">
        <v>588</v>
      </c>
      <c r="P737" s="21"/>
      <c r="Q737" s="21"/>
      <c r="R737" s="21"/>
      <c r="S737" s="21"/>
      <c r="T737" s="21">
        <v>79</v>
      </c>
      <c r="U737" s="21">
        <v>952</v>
      </c>
      <c r="V737" s="21">
        <v>76</v>
      </c>
      <c r="W737" s="21">
        <v>263</v>
      </c>
      <c r="X737" s="22">
        <v>287</v>
      </c>
      <c r="Y737" s="22">
        <v>137</v>
      </c>
      <c r="Z737" s="21">
        <v>500</v>
      </c>
      <c r="AA737" s="21">
        <v>574</v>
      </c>
      <c r="AB737" s="12">
        <v>133</v>
      </c>
    </row>
    <row r="738" ht="14.25" spans="1:28">
      <c r="A738" s="13">
        <v>736</v>
      </c>
      <c r="B738" s="15">
        <v>15</v>
      </c>
      <c r="C738" s="16">
        <v>36</v>
      </c>
      <c r="D738" s="15" t="s">
        <v>1474</v>
      </c>
      <c r="E738" s="15" t="s">
        <v>1475</v>
      </c>
      <c r="F738" s="21">
        <v>95</v>
      </c>
      <c r="G738" s="21">
        <v>1611</v>
      </c>
      <c r="H738" s="21">
        <v>69.5</v>
      </c>
      <c r="I738" s="21">
        <v>1066</v>
      </c>
      <c r="J738" s="21">
        <v>102.75</v>
      </c>
      <c r="K738" s="21">
        <v>605</v>
      </c>
      <c r="L738" s="21"/>
      <c r="M738" s="21"/>
      <c r="N738" s="21">
        <v>64.5</v>
      </c>
      <c r="O738" s="21">
        <v>210</v>
      </c>
      <c r="P738" s="21"/>
      <c r="Q738" s="21"/>
      <c r="R738" s="21"/>
      <c r="S738" s="21"/>
      <c r="T738" s="21">
        <v>82</v>
      </c>
      <c r="U738" s="21">
        <v>702</v>
      </c>
      <c r="V738" s="21">
        <v>78</v>
      </c>
      <c r="W738" s="21">
        <v>215</v>
      </c>
      <c r="X738" s="22">
        <v>267.25</v>
      </c>
      <c r="Y738" s="22">
        <v>181</v>
      </c>
      <c r="Z738" s="21">
        <v>491.75</v>
      </c>
      <c r="AA738" s="21">
        <v>657</v>
      </c>
      <c r="AB738" s="12">
        <v>147</v>
      </c>
    </row>
    <row r="739" ht="14.25" spans="1:28">
      <c r="A739" s="13">
        <v>737</v>
      </c>
      <c r="B739" s="15">
        <v>15</v>
      </c>
      <c r="C739" s="16">
        <v>37</v>
      </c>
      <c r="D739" s="15" t="s">
        <v>1476</v>
      </c>
      <c r="E739" s="15" t="s">
        <v>1477</v>
      </c>
      <c r="F739" s="21">
        <v>94.75</v>
      </c>
      <c r="G739" s="21">
        <v>1683</v>
      </c>
      <c r="H739" s="21">
        <v>111</v>
      </c>
      <c r="I739" s="21">
        <v>115</v>
      </c>
      <c r="J739" s="21">
        <v>108</v>
      </c>
      <c r="K739" s="21">
        <v>449</v>
      </c>
      <c r="L739" s="21"/>
      <c r="M739" s="21"/>
      <c r="N739" s="21">
        <v>57.5</v>
      </c>
      <c r="O739" s="21">
        <v>638</v>
      </c>
      <c r="P739" s="21"/>
      <c r="Q739" s="21"/>
      <c r="R739" s="21"/>
      <c r="S739" s="21"/>
      <c r="T739" s="21">
        <v>75</v>
      </c>
      <c r="U739" s="21">
        <v>1272</v>
      </c>
      <c r="V739" s="21">
        <v>82</v>
      </c>
      <c r="W739" s="21">
        <v>124</v>
      </c>
      <c r="X739" s="22">
        <v>313.75</v>
      </c>
      <c r="Y739" s="22">
        <v>60</v>
      </c>
      <c r="Z739" s="21">
        <v>528.25</v>
      </c>
      <c r="AA739" s="21">
        <v>364</v>
      </c>
      <c r="AB739" s="12">
        <v>81</v>
      </c>
    </row>
    <row r="740" ht="14.25" spans="1:28">
      <c r="A740" s="13">
        <v>738</v>
      </c>
      <c r="B740" s="15">
        <v>15</v>
      </c>
      <c r="C740" s="16">
        <v>38</v>
      </c>
      <c r="D740" s="15" t="s">
        <v>1478</v>
      </c>
      <c r="E740" s="15" t="s">
        <v>1479</v>
      </c>
      <c r="F740" s="21">
        <v>96.5</v>
      </c>
      <c r="G740" s="21">
        <v>1406</v>
      </c>
      <c r="H740" s="21">
        <v>100</v>
      </c>
      <c r="I740" s="21">
        <v>272</v>
      </c>
      <c r="J740" s="21">
        <v>92.75</v>
      </c>
      <c r="K740" s="21">
        <v>1021</v>
      </c>
      <c r="L740" s="21"/>
      <c r="M740" s="21"/>
      <c r="N740" s="21">
        <v>58</v>
      </c>
      <c r="O740" s="21">
        <v>588</v>
      </c>
      <c r="P740" s="21"/>
      <c r="Q740" s="21"/>
      <c r="R740" s="21"/>
      <c r="S740" s="21"/>
      <c r="T740" s="21">
        <v>77</v>
      </c>
      <c r="U740" s="21">
        <v>1108</v>
      </c>
      <c r="V740" s="21">
        <v>71</v>
      </c>
      <c r="W740" s="21">
        <v>422</v>
      </c>
      <c r="X740" s="22">
        <v>289.25</v>
      </c>
      <c r="Y740" s="22">
        <v>134</v>
      </c>
      <c r="Z740" s="21">
        <v>495.25</v>
      </c>
      <c r="AA740" s="21">
        <v>625</v>
      </c>
      <c r="AB740" s="12">
        <v>143</v>
      </c>
    </row>
    <row r="741" ht="14.25" spans="1:28">
      <c r="A741" s="13">
        <v>739</v>
      </c>
      <c r="B741" s="15">
        <v>15</v>
      </c>
      <c r="C741" s="16">
        <v>39</v>
      </c>
      <c r="D741" s="15" t="s">
        <v>1480</v>
      </c>
      <c r="E741" s="15" t="s">
        <v>1481</v>
      </c>
      <c r="F741" s="21">
        <v>102.25</v>
      </c>
      <c r="G741" s="21">
        <v>743</v>
      </c>
      <c r="H741" s="21">
        <v>82</v>
      </c>
      <c r="I741" s="21">
        <v>685</v>
      </c>
      <c r="J741" s="21">
        <v>113.75</v>
      </c>
      <c r="K741" s="21">
        <v>293</v>
      </c>
      <c r="L741" s="21"/>
      <c r="M741" s="21"/>
      <c r="N741" s="21">
        <v>52</v>
      </c>
      <c r="O741" s="21">
        <v>1281</v>
      </c>
      <c r="P741" s="21"/>
      <c r="Q741" s="21"/>
      <c r="R741" s="21"/>
      <c r="S741" s="21"/>
      <c r="T741" s="21">
        <v>77</v>
      </c>
      <c r="U741" s="21">
        <v>1108</v>
      </c>
      <c r="V741" s="21">
        <v>80</v>
      </c>
      <c r="W741" s="21">
        <v>158</v>
      </c>
      <c r="X741" s="22">
        <v>298</v>
      </c>
      <c r="Y741" s="22">
        <v>104</v>
      </c>
      <c r="Z741" s="21">
        <v>507</v>
      </c>
      <c r="AA741" s="21">
        <v>514</v>
      </c>
      <c r="AB741" s="12">
        <v>124</v>
      </c>
    </row>
    <row r="742" ht="14.25" spans="1:28">
      <c r="A742" s="13">
        <v>740</v>
      </c>
      <c r="B742" s="15">
        <v>15</v>
      </c>
      <c r="C742" s="16">
        <v>40</v>
      </c>
      <c r="D742" s="15" t="s">
        <v>1482</v>
      </c>
      <c r="E742" s="15" t="s">
        <v>1483</v>
      </c>
      <c r="F742" s="21">
        <v>93.5</v>
      </c>
      <c r="G742" s="21">
        <v>1834</v>
      </c>
      <c r="H742" s="21">
        <v>83.5</v>
      </c>
      <c r="I742" s="21">
        <v>651</v>
      </c>
      <c r="J742" s="21">
        <v>99</v>
      </c>
      <c r="K742" s="21">
        <v>751</v>
      </c>
      <c r="L742" s="21"/>
      <c r="M742" s="21"/>
      <c r="N742" s="21">
        <v>62</v>
      </c>
      <c r="O742" s="21">
        <v>315</v>
      </c>
      <c r="P742" s="21"/>
      <c r="Q742" s="21"/>
      <c r="R742" s="21"/>
      <c r="S742" s="21"/>
      <c r="T742" s="21">
        <v>79</v>
      </c>
      <c r="U742" s="21">
        <v>952</v>
      </c>
      <c r="V742" s="21">
        <v>71</v>
      </c>
      <c r="W742" s="21">
        <v>422</v>
      </c>
      <c r="X742" s="22">
        <v>276</v>
      </c>
      <c r="Y742" s="22">
        <v>158</v>
      </c>
      <c r="Z742" s="21">
        <v>488</v>
      </c>
      <c r="AA742" s="21">
        <v>693</v>
      </c>
      <c r="AB742" s="12">
        <v>154</v>
      </c>
    </row>
    <row r="743" ht="14.25" spans="1:28">
      <c r="A743" s="13">
        <v>741</v>
      </c>
      <c r="B743" s="15">
        <v>15</v>
      </c>
      <c r="C743" s="16">
        <v>41</v>
      </c>
      <c r="D743" s="15" t="s">
        <v>1484</v>
      </c>
      <c r="E743" s="15" t="s">
        <v>1485</v>
      </c>
      <c r="F743" s="21">
        <v>115.25</v>
      </c>
      <c r="G743" s="21">
        <v>49</v>
      </c>
      <c r="H743" s="21">
        <v>70</v>
      </c>
      <c r="I743" s="21">
        <v>1051</v>
      </c>
      <c r="J743" s="21">
        <v>98</v>
      </c>
      <c r="K743" s="21">
        <v>794</v>
      </c>
      <c r="L743" s="21"/>
      <c r="M743" s="21"/>
      <c r="N743" s="21">
        <v>54.5</v>
      </c>
      <c r="O743" s="21">
        <v>986</v>
      </c>
      <c r="P743" s="21"/>
      <c r="Q743" s="21"/>
      <c r="R743" s="21"/>
      <c r="S743" s="21"/>
      <c r="T743" s="21">
        <v>82</v>
      </c>
      <c r="U743" s="21">
        <v>702</v>
      </c>
      <c r="V743" s="21">
        <v>80</v>
      </c>
      <c r="W743" s="21">
        <v>158</v>
      </c>
      <c r="X743" s="22">
        <v>283.25</v>
      </c>
      <c r="Y743" s="22">
        <v>144</v>
      </c>
      <c r="Z743" s="21">
        <v>499.75</v>
      </c>
      <c r="AA743" s="21">
        <v>580</v>
      </c>
      <c r="AB743" s="12">
        <v>134</v>
      </c>
    </row>
    <row r="744" ht="14.25" spans="1:28">
      <c r="A744" s="13">
        <v>742</v>
      </c>
      <c r="B744" s="15">
        <v>15</v>
      </c>
      <c r="C744" s="16">
        <v>42</v>
      </c>
      <c r="D744" s="15" t="s">
        <v>1486</v>
      </c>
      <c r="E744" s="15" t="s">
        <v>1487</v>
      </c>
      <c r="F744" s="21">
        <v>103.5</v>
      </c>
      <c r="G744" s="21">
        <v>577</v>
      </c>
      <c r="H744" s="21">
        <v>79.5</v>
      </c>
      <c r="I744" s="21">
        <v>762</v>
      </c>
      <c r="J744" s="21">
        <v>84.5</v>
      </c>
      <c r="K744" s="21">
        <v>1438</v>
      </c>
      <c r="L744" s="21"/>
      <c r="M744" s="21"/>
      <c r="N744" s="21">
        <v>59</v>
      </c>
      <c r="O744" s="21">
        <v>524</v>
      </c>
      <c r="P744" s="21"/>
      <c r="Q744" s="21"/>
      <c r="R744" s="21"/>
      <c r="S744" s="21"/>
      <c r="T744" s="21">
        <v>77</v>
      </c>
      <c r="U744" s="21">
        <v>1108</v>
      </c>
      <c r="V744" s="21">
        <v>73</v>
      </c>
      <c r="W744" s="21">
        <v>356</v>
      </c>
      <c r="X744" s="22">
        <v>267.5</v>
      </c>
      <c r="Y744" s="22">
        <v>179</v>
      </c>
      <c r="Z744" s="21">
        <v>476.5</v>
      </c>
      <c r="AA744" s="21">
        <v>815</v>
      </c>
      <c r="AB744" s="12">
        <v>171</v>
      </c>
    </row>
    <row r="745" ht="14.25" spans="1:28">
      <c r="A745" s="13">
        <v>743</v>
      </c>
      <c r="B745" s="15">
        <v>15</v>
      </c>
      <c r="C745" s="16">
        <v>43</v>
      </c>
      <c r="D745" s="15" t="s">
        <v>1488</v>
      </c>
      <c r="E745" s="15" t="s">
        <v>1489</v>
      </c>
      <c r="F745" s="21">
        <v>103.5</v>
      </c>
      <c r="G745" s="21">
        <v>577</v>
      </c>
      <c r="H745" s="21">
        <v>86.5</v>
      </c>
      <c r="I745" s="21">
        <v>575</v>
      </c>
      <c r="J745" s="21">
        <v>111</v>
      </c>
      <c r="K745" s="21">
        <v>356</v>
      </c>
      <c r="L745" s="21"/>
      <c r="M745" s="21"/>
      <c r="N745" s="21">
        <v>48.5</v>
      </c>
      <c r="O745" s="21">
        <v>1763</v>
      </c>
      <c r="P745" s="21"/>
      <c r="Q745" s="21"/>
      <c r="R745" s="21"/>
      <c r="S745" s="21"/>
      <c r="T745" s="21">
        <v>80</v>
      </c>
      <c r="U745" s="21">
        <v>854</v>
      </c>
      <c r="V745" s="21">
        <v>80</v>
      </c>
      <c r="W745" s="21">
        <v>158</v>
      </c>
      <c r="X745" s="22">
        <v>301</v>
      </c>
      <c r="Y745" s="22">
        <v>96</v>
      </c>
      <c r="Z745" s="21">
        <v>509.5</v>
      </c>
      <c r="AA745" s="21">
        <v>483</v>
      </c>
      <c r="AB745" s="12">
        <v>112</v>
      </c>
    </row>
    <row r="746" ht="14.25" spans="1:28">
      <c r="A746" s="13">
        <v>744</v>
      </c>
      <c r="B746" s="15">
        <v>15</v>
      </c>
      <c r="C746" s="16">
        <v>44</v>
      </c>
      <c r="D746" s="15" t="s">
        <v>1490</v>
      </c>
      <c r="E746" s="15" t="s">
        <v>1491</v>
      </c>
      <c r="F746" s="21">
        <v>90</v>
      </c>
      <c r="G746" s="21">
        <v>2340</v>
      </c>
      <c r="H746" s="21">
        <v>90.5</v>
      </c>
      <c r="I746" s="21">
        <v>484</v>
      </c>
      <c r="J746" s="21">
        <v>101.5</v>
      </c>
      <c r="K746" s="21">
        <v>649</v>
      </c>
      <c r="L746" s="21"/>
      <c r="M746" s="21"/>
      <c r="N746" s="21">
        <v>54</v>
      </c>
      <c r="O746" s="21">
        <v>1056</v>
      </c>
      <c r="P746" s="21"/>
      <c r="Q746" s="21"/>
      <c r="R746" s="21"/>
      <c r="S746" s="21"/>
      <c r="T746" s="21">
        <v>78</v>
      </c>
      <c r="U746" s="21">
        <v>1003</v>
      </c>
      <c r="V746" s="21">
        <v>68</v>
      </c>
      <c r="W746" s="21">
        <v>527</v>
      </c>
      <c r="X746" s="22">
        <v>282</v>
      </c>
      <c r="Y746" s="22">
        <v>148</v>
      </c>
      <c r="Z746" s="21">
        <v>482</v>
      </c>
      <c r="AA746" s="21">
        <v>757</v>
      </c>
      <c r="AB746" s="12">
        <v>166</v>
      </c>
    </row>
    <row r="747" ht="14.25" spans="1:28">
      <c r="A747" s="13">
        <v>745</v>
      </c>
      <c r="B747" s="15">
        <v>15</v>
      </c>
      <c r="C747" s="16">
        <v>45</v>
      </c>
      <c r="D747" s="15" t="s">
        <v>1492</v>
      </c>
      <c r="E747" s="15" t="s">
        <v>1493</v>
      </c>
      <c r="F747" s="21">
        <v>97.5</v>
      </c>
      <c r="G747" s="21">
        <v>1268</v>
      </c>
      <c r="H747" s="21">
        <v>81</v>
      </c>
      <c r="I747" s="21">
        <v>717</v>
      </c>
      <c r="J747" s="21">
        <v>85</v>
      </c>
      <c r="K747" s="21">
        <v>1406</v>
      </c>
      <c r="L747" s="21"/>
      <c r="M747" s="21"/>
      <c r="N747" s="21">
        <v>52.5</v>
      </c>
      <c r="O747" s="21">
        <v>1205</v>
      </c>
      <c r="P747" s="21"/>
      <c r="Q747" s="21"/>
      <c r="R747" s="21"/>
      <c r="S747" s="21"/>
      <c r="T747" s="21">
        <v>80</v>
      </c>
      <c r="U747" s="21">
        <v>854</v>
      </c>
      <c r="V747" s="21">
        <v>74</v>
      </c>
      <c r="W747" s="21">
        <v>320</v>
      </c>
      <c r="X747" s="22">
        <v>263.5</v>
      </c>
      <c r="Y747" s="22">
        <v>188</v>
      </c>
      <c r="Z747" s="21">
        <v>470</v>
      </c>
      <c r="AA747" s="21">
        <v>888</v>
      </c>
      <c r="AB747" s="12">
        <v>178</v>
      </c>
    </row>
    <row r="748" ht="14.25" spans="1:28">
      <c r="A748" s="13">
        <v>746</v>
      </c>
      <c r="B748" s="15">
        <v>16</v>
      </c>
      <c r="C748" s="16">
        <v>1</v>
      </c>
      <c r="D748" s="15" t="s">
        <v>1494</v>
      </c>
      <c r="E748" s="15" t="s">
        <v>1495</v>
      </c>
      <c r="F748" s="21">
        <v>107</v>
      </c>
      <c r="G748" s="21">
        <v>307</v>
      </c>
      <c r="H748" s="21">
        <v>119.5</v>
      </c>
      <c r="I748" s="21">
        <v>35</v>
      </c>
      <c r="J748" s="21">
        <v>117</v>
      </c>
      <c r="K748" s="21">
        <v>222</v>
      </c>
      <c r="L748" s="21"/>
      <c r="M748" s="21"/>
      <c r="N748" s="21">
        <v>55</v>
      </c>
      <c r="O748" s="21">
        <v>914</v>
      </c>
      <c r="P748" s="21">
        <v>74</v>
      </c>
      <c r="Q748" s="21">
        <v>8</v>
      </c>
      <c r="R748" s="21"/>
      <c r="S748" s="21"/>
      <c r="T748" s="21"/>
      <c r="U748" s="21"/>
      <c r="V748" s="21">
        <v>86</v>
      </c>
      <c r="W748" s="21">
        <v>73</v>
      </c>
      <c r="X748" s="22">
        <v>343.5</v>
      </c>
      <c r="Y748" s="22">
        <v>9</v>
      </c>
      <c r="Z748" s="21">
        <v>558.5</v>
      </c>
      <c r="AA748" s="21">
        <v>186</v>
      </c>
      <c r="AB748" s="12">
        <v>31</v>
      </c>
    </row>
    <row r="749" ht="14.25" spans="1:28">
      <c r="A749" s="13">
        <v>747</v>
      </c>
      <c r="B749" s="15">
        <v>16</v>
      </c>
      <c r="C749" s="16">
        <v>2</v>
      </c>
      <c r="D749" s="15" t="s">
        <v>1496</v>
      </c>
      <c r="E749" s="15" t="s">
        <v>1497</v>
      </c>
      <c r="F749" s="21">
        <v>107</v>
      </c>
      <c r="G749" s="21">
        <v>307</v>
      </c>
      <c r="H749" s="21">
        <v>124</v>
      </c>
      <c r="I749" s="21">
        <v>18</v>
      </c>
      <c r="J749" s="21">
        <v>135</v>
      </c>
      <c r="K749" s="21">
        <v>7</v>
      </c>
      <c r="L749" s="21"/>
      <c r="M749" s="21"/>
      <c r="N749" s="21">
        <v>58.5</v>
      </c>
      <c r="O749" s="21">
        <v>550</v>
      </c>
      <c r="P749" s="21">
        <v>84</v>
      </c>
      <c r="Q749" s="21">
        <v>3</v>
      </c>
      <c r="R749" s="21"/>
      <c r="S749" s="21"/>
      <c r="T749" s="21"/>
      <c r="U749" s="21"/>
      <c r="V749" s="21">
        <v>93</v>
      </c>
      <c r="W749" s="21">
        <v>3</v>
      </c>
      <c r="X749" s="22">
        <v>366</v>
      </c>
      <c r="Y749" s="22">
        <v>2</v>
      </c>
      <c r="Z749" s="21">
        <v>601.5</v>
      </c>
      <c r="AA749" s="21">
        <v>28</v>
      </c>
      <c r="AB749" s="12">
        <v>2</v>
      </c>
    </row>
    <row r="750" ht="14.25" spans="1:28">
      <c r="A750" s="13">
        <v>748</v>
      </c>
      <c r="B750" s="15">
        <v>16</v>
      </c>
      <c r="C750" s="16">
        <v>3</v>
      </c>
      <c r="D750" s="15" t="s">
        <v>1498</v>
      </c>
      <c r="E750" s="15" t="s">
        <v>75</v>
      </c>
      <c r="F750" s="21">
        <v>102.5</v>
      </c>
      <c r="G750" s="21">
        <v>686</v>
      </c>
      <c r="H750" s="21">
        <v>126</v>
      </c>
      <c r="I750" s="21">
        <v>15</v>
      </c>
      <c r="J750" s="21">
        <v>106.25</v>
      </c>
      <c r="K750" s="21">
        <v>506</v>
      </c>
      <c r="L750" s="21"/>
      <c r="M750" s="21"/>
      <c r="N750" s="21">
        <v>62.5</v>
      </c>
      <c r="O750" s="21">
        <v>292</v>
      </c>
      <c r="P750" s="21"/>
      <c r="Q750" s="21"/>
      <c r="R750" s="21">
        <v>91</v>
      </c>
      <c r="S750" s="21">
        <v>30</v>
      </c>
      <c r="T750" s="21">
        <v>89</v>
      </c>
      <c r="U750" s="21">
        <v>137</v>
      </c>
      <c r="V750" s="21"/>
      <c r="W750" s="21"/>
      <c r="X750" s="22">
        <v>334.75</v>
      </c>
      <c r="Y750" s="22">
        <v>18</v>
      </c>
      <c r="Z750" s="21">
        <v>577.25</v>
      </c>
      <c r="AA750" s="21">
        <v>91</v>
      </c>
      <c r="AB750" s="12">
        <v>9</v>
      </c>
    </row>
    <row r="751" ht="14.25" spans="1:28">
      <c r="A751" s="13">
        <v>749</v>
      </c>
      <c r="B751" s="15">
        <v>16</v>
      </c>
      <c r="C751" s="16">
        <v>4</v>
      </c>
      <c r="D751" s="15" t="s">
        <v>1499</v>
      </c>
      <c r="E751" s="15" t="s">
        <v>1500</v>
      </c>
      <c r="F751" s="21">
        <v>103.5</v>
      </c>
      <c r="G751" s="21">
        <v>577</v>
      </c>
      <c r="H751" s="21">
        <v>112</v>
      </c>
      <c r="I751" s="21">
        <v>96</v>
      </c>
      <c r="J751" s="21">
        <v>113.75</v>
      </c>
      <c r="K751" s="21">
        <v>293</v>
      </c>
      <c r="L751" s="21"/>
      <c r="M751" s="21"/>
      <c r="N751" s="21">
        <v>69.5</v>
      </c>
      <c r="O751" s="21">
        <v>58</v>
      </c>
      <c r="P751" s="21"/>
      <c r="Q751" s="21"/>
      <c r="R751" s="21"/>
      <c r="S751" s="21"/>
      <c r="T751" s="21">
        <v>93</v>
      </c>
      <c r="U751" s="21">
        <v>12</v>
      </c>
      <c r="V751" s="21">
        <v>80</v>
      </c>
      <c r="W751" s="21">
        <v>158</v>
      </c>
      <c r="X751" s="22">
        <v>329.25</v>
      </c>
      <c r="Y751" s="22">
        <v>25</v>
      </c>
      <c r="Z751" s="21">
        <v>571.75</v>
      </c>
      <c r="AA751" s="21">
        <v>119</v>
      </c>
      <c r="AB751" s="12">
        <v>16</v>
      </c>
    </row>
    <row r="752" ht="14.25" spans="1:28">
      <c r="A752" s="13">
        <v>750</v>
      </c>
      <c r="B752" s="15">
        <v>16</v>
      </c>
      <c r="C752" s="16">
        <v>5</v>
      </c>
      <c r="D752" s="15" t="s">
        <v>1501</v>
      </c>
      <c r="E752" s="15" t="s">
        <v>1502</v>
      </c>
      <c r="F752" s="21">
        <v>103.5</v>
      </c>
      <c r="G752" s="21">
        <v>577</v>
      </c>
      <c r="H752" s="21">
        <v>119</v>
      </c>
      <c r="I752" s="21">
        <v>37</v>
      </c>
      <c r="J752" s="21">
        <v>123</v>
      </c>
      <c r="K752" s="21">
        <v>102</v>
      </c>
      <c r="L752" s="21"/>
      <c r="M752" s="21"/>
      <c r="N752" s="21">
        <v>64.5</v>
      </c>
      <c r="O752" s="21">
        <v>210</v>
      </c>
      <c r="P752" s="21"/>
      <c r="Q752" s="21"/>
      <c r="R752" s="21"/>
      <c r="S752" s="21"/>
      <c r="T752" s="21">
        <v>84</v>
      </c>
      <c r="U752" s="21">
        <v>578</v>
      </c>
      <c r="V752" s="21">
        <v>86</v>
      </c>
      <c r="W752" s="21">
        <v>73</v>
      </c>
      <c r="X752" s="22">
        <v>345.5</v>
      </c>
      <c r="Y752" s="22">
        <v>7</v>
      </c>
      <c r="Z752" s="21">
        <v>580</v>
      </c>
      <c r="AA752" s="21">
        <v>77</v>
      </c>
      <c r="AB752" s="12">
        <v>7</v>
      </c>
    </row>
    <row r="753" ht="14.25" spans="1:28">
      <c r="A753" s="13">
        <v>751</v>
      </c>
      <c r="B753" s="15">
        <v>16</v>
      </c>
      <c r="C753" s="16">
        <v>6</v>
      </c>
      <c r="D753" s="15" t="s">
        <v>1503</v>
      </c>
      <c r="E753" s="15" t="s">
        <v>1029</v>
      </c>
      <c r="F753" s="21">
        <v>104</v>
      </c>
      <c r="G753" s="21">
        <v>526</v>
      </c>
      <c r="H753" s="21">
        <v>109.5</v>
      </c>
      <c r="I753" s="21">
        <v>136</v>
      </c>
      <c r="J753" s="21">
        <v>125</v>
      </c>
      <c r="K753" s="21">
        <v>77</v>
      </c>
      <c r="L753" s="21"/>
      <c r="M753" s="21"/>
      <c r="N753" s="21">
        <v>53</v>
      </c>
      <c r="O753" s="21">
        <v>1155</v>
      </c>
      <c r="P753" s="21"/>
      <c r="Q753" s="21"/>
      <c r="R753" s="21"/>
      <c r="S753" s="21"/>
      <c r="T753" s="21">
        <v>93</v>
      </c>
      <c r="U753" s="21">
        <v>12</v>
      </c>
      <c r="V753" s="21">
        <v>84</v>
      </c>
      <c r="W753" s="21">
        <v>104</v>
      </c>
      <c r="X753" s="22">
        <v>338.5</v>
      </c>
      <c r="Y753" s="22">
        <v>13</v>
      </c>
      <c r="Z753" s="21">
        <v>568.5</v>
      </c>
      <c r="AA753" s="21">
        <v>137</v>
      </c>
      <c r="AB753" s="12">
        <v>19</v>
      </c>
    </row>
    <row r="754" ht="14.25" spans="1:28">
      <c r="A754" s="13">
        <v>752</v>
      </c>
      <c r="B754" s="15">
        <v>16</v>
      </c>
      <c r="C754" s="16">
        <v>7</v>
      </c>
      <c r="D754" s="15" t="s">
        <v>1504</v>
      </c>
      <c r="E754" s="15" t="s">
        <v>1505</v>
      </c>
      <c r="F754" s="21">
        <v>114.5</v>
      </c>
      <c r="G754" s="21">
        <v>52</v>
      </c>
      <c r="H754" s="21">
        <v>130</v>
      </c>
      <c r="I754" s="21">
        <v>9</v>
      </c>
      <c r="J754" s="21">
        <v>122.25</v>
      </c>
      <c r="K754" s="21">
        <v>123</v>
      </c>
      <c r="L754" s="21"/>
      <c r="M754" s="21"/>
      <c r="N754" s="21">
        <v>64</v>
      </c>
      <c r="O754" s="21">
        <v>232</v>
      </c>
      <c r="P754" s="21"/>
      <c r="Q754" s="21"/>
      <c r="R754" s="21"/>
      <c r="S754" s="21"/>
      <c r="T754" s="21">
        <v>94</v>
      </c>
      <c r="U754" s="21">
        <v>8</v>
      </c>
      <c r="V754" s="21">
        <v>91</v>
      </c>
      <c r="W754" s="21">
        <v>9</v>
      </c>
      <c r="X754" s="22">
        <v>366.75</v>
      </c>
      <c r="Y754" s="22">
        <v>1</v>
      </c>
      <c r="Z754" s="21">
        <v>615.75</v>
      </c>
      <c r="AA754" s="21">
        <v>11</v>
      </c>
      <c r="AB754" s="12">
        <v>1</v>
      </c>
    </row>
    <row r="755" ht="14.25" spans="1:28">
      <c r="A755" s="13">
        <v>753</v>
      </c>
      <c r="B755" s="15">
        <v>16</v>
      </c>
      <c r="C755" s="16">
        <v>8</v>
      </c>
      <c r="D755" s="15" t="s">
        <v>1506</v>
      </c>
      <c r="E755" s="15" t="s">
        <v>1507</v>
      </c>
      <c r="F755" s="21">
        <v>104.5</v>
      </c>
      <c r="G755" s="21">
        <v>475</v>
      </c>
      <c r="H755" s="21">
        <v>93.5</v>
      </c>
      <c r="I755" s="21">
        <v>401</v>
      </c>
      <c r="J755" s="21">
        <v>114.5</v>
      </c>
      <c r="K755" s="21">
        <v>271</v>
      </c>
      <c r="L755" s="21"/>
      <c r="M755" s="21"/>
      <c r="N755" s="21">
        <v>69</v>
      </c>
      <c r="O755" s="21">
        <v>71</v>
      </c>
      <c r="P755" s="21"/>
      <c r="Q755" s="21"/>
      <c r="R755" s="21"/>
      <c r="S755" s="21"/>
      <c r="T755" s="21">
        <v>92</v>
      </c>
      <c r="U755" s="21">
        <v>30</v>
      </c>
      <c r="V755" s="21">
        <v>88</v>
      </c>
      <c r="W755" s="21">
        <v>30</v>
      </c>
      <c r="X755" s="22">
        <v>312.5</v>
      </c>
      <c r="Y755" s="22">
        <v>64</v>
      </c>
      <c r="Z755" s="21">
        <v>561.5</v>
      </c>
      <c r="AA755" s="21">
        <v>172</v>
      </c>
      <c r="AB755" s="12">
        <v>29</v>
      </c>
    </row>
    <row r="756" ht="14.25" spans="1:28">
      <c r="A756" s="13">
        <v>754</v>
      </c>
      <c r="B756" s="15">
        <v>16</v>
      </c>
      <c r="C756" s="16">
        <v>9</v>
      </c>
      <c r="D756" s="15" t="s">
        <v>1508</v>
      </c>
      <c r="E756" s="15" t="s">
        <v>1509</v>
      </c>
      <c r="F756" s="21">
        <v>100.5</v>
      </c>
      <c r="G756" s="21">
        <v>901</v>
      </c>
      <c r="H756" s="21">
        <v>97.5</v>
      </c>
      <c r="I756" s="21">
        <v>318</v>
      </c>
      <c r="J756" s="21">
        <v>111.5</v>
      </c>
      <c r="K756" s="21">
        <v>346</v>
      </c>
      <c r="L756" s="21"/>
      <c r="M756" s="21"/>
      <c r="N756" s="21">
        <v>72</v>
      </c>
      <c r="O756" s="21">
        <v>20</v>
      </c>
      <c r="P756" s="21"/>
      <c r="Q756" s="21"/>
      <c r="R756" s="21"/>
      <c r="S756" s="21"/>
      <c r="T756" s="21">
        <v>88</v>
      </c>
      <c r="U756" s="21">
        <v>227</v>
      </c>
      <c r="V756" s="21">
        <v>79</v>
      </c>
      <c r="W756" s="21">
        <v>194</v>
      </c>
      <c r="X756" s="22">
        <v>309.5</v>
      </c>
      <c r="Y756" s="22">
        <v>73</v>
      </c>
      <c r="Z756" s="21">
        <v>548.5</v>
      </c>
      <c r="AA756" s="21">
        <v>238</v>
      </c>
      <c r="AB756" s="12">
        <v>44</v>
      </c>
    </row>
    <row r="757" ht="14.25" spans="1:28">
      <c r="A757" s="13">
        <v>755</v>
      </c>
      <c r="B757" s="15">
        <v>16</v>
      </c>
      <c r="C757" s="16">
        <v>10</v>
      </c>
      <c r="D757" s="15" t="s">
        <v>1510</v>
      </c>
      <c r="E757" s="15" t="s">
        <v>1511</v>
      </c>
      <c r="F757" s="21">
        <v>99.5</v>
      </c>
      <c r="G757" s="21">
        <v>1010</v>
      </c>
      <c r="H757" s="21">
        <v>118.5</v>
      </c>
      <c r="I757" s="21">
        <v>43</v>
      </c>
      <c r="J757" s="21">
        <v>131</v>
      </c>
      <c r="K757" s="21">
        <v>23</v>
      </c>
      <c r="L757" s="21"/>
      <c r="M757" s="21"/>
      <c r="N757" s="21">
        <v>67.5</v>
      </c>
      <c r="O757" s="21">
        <v>103</v>
      </c>
      <c r="P757" s="21"/>
      <c r="Q757" s="21"/>
      <c r="R757" s="21"/>
      <c r="S757" s="21"/>
      <c r="T757" s="21">
        <v>85</v>
      </c>
      <c r="U757" s="21">
        <v>537</v>
      </c>
      <c r="V757" s="21">
        <v>88</v>
      </c>
      <c r="W757" s="21">
        <v>30</v>
      </c>
      <c r="X757" s="22">
        <v>349</v>
      </c>
      <c r="Y757" s="22">
        <v>5</v>
      </c>
      <c r="Z757" s="21">
        <v>589.5</v>
      </c>
      <c r="AA757" s="21">
        <v>49</v>
      </c>
      <c r="AB757" s="12">
        <v>3</v>
      </c>
    </row>
    <row r="758" ht="14.25" spans="1:28">
      <c r="A758" s="13">
        <v>756</v>
      </c>
      <c r="B758" s="15">
        <v>16</v>
      </c>
      <c r="C758" s="16">
        <v>11</v>
      </c>
      <c r="D758" s="15" t="s">
        <v>1512</v>
      </c>
      <c r="E758" s="15" t="s">
        <v>65</v>
      </c>
      <c r="F758" s="21">
        <v>100</v>
      </c>
      <c r="G758" s="21">
        <v>958</v>
      </c>
      <c r="H758" s="21">
        <v>125</v>
      </c>
      <c r="I758" s="21">
        <v>16</v>
      </c>
      <c r="J758" s="21">
        <v>118.25</v>
      </c>
      <c r="K758" s="21">
        <v>196</v>
      </c>
      <c r="L758" s="21"/>
      <c r="M758" s="21"/>
      <c r="N758" s="21">
        <v>56</v>
      </c>
      <c r="O758" s="21">
        <v>804</v>
      </c>
      <c r="P758" s="21"/>
      <c r="Q758" s="21"/>
      <c r="R758" s="21"/>
      <c r="S758" s="21"/>
      <c r="T758" s="21">
        <v>87</v>
      </c>
      <c r="U758" s="21">
        <v>333</v>
      </c>
      <c r="V758" s="21">
        <v>82</v>
      </c>
      <c r="W758" s="21">
        <v>124</v>
      </c>
      <c r="X758" s="22">
        <v>343.25</v>
      </c>
      <c r="Y758" s="22">
        <v>10</v>
      </c>
      <c r="Z758" s="21">
        <v>568.25</v>
      </c>
      <c r="AA758" s="21">
        <v>139</v>
      </c>
      <c r="AB758" s="12">
        <v>20</v>
      </c>
    </row>
    <row r="759" ht="14.25" spans="1:28">
      <c r="A759" s="13">
        <v>757</v>
      </c>
      <c r="B759" s="15">
        <v>16</v>
      </c>
      <c r="C759" s="16">
        <v>12</v>
      </c>
      <c r="D759" s="15" t="s">
        <v>1513</v>
      </c>
      <c r="E759" s="15" t="s">
        <v>1514</v>
      </c>
      <c r="F759" s="21">
        <v>101.5</v>
      </c>
      <c r="G759" s="21">
        <v>805</v>
      </c>
      <c r="H759" s="21">
        <v>102.5</v>
      </c>
      <c r="I759" s="21">
        <v>229</v>
      </c>
      <c r="J759" s="21">
        <v>114</v>
      </c>
      <c r="K759" s="21">
        <v>281</v>
      </c>
      <c r="L759" s="21"/>
      <c r="M759" s="21"/>
      <c r="N759" s="21">
        <v>57.25</v>
      </c>
      <c r="O759" s="21">
        <v>688</v>
      </c>
      <c r="P759" s="21"/>
      <c r="Q759" s="21"/>
      <c r="R759" s="21"/>
      <c r="S759" s="21"/>
      <c r="T759" s="21">
        <v>91</v>
      </c>
      <c r="U759" s="21">
        <v>51</v>
      </c>
      <c r="V759" s="21">
        <v>87</v>
      </c>
      <c r="W759" s="21">
        <v>54</v>
      </c>
      <c r="X759" s="22">
        <v>318</v>
      </c>
      <c r="Y759" s="22">
        <v>46</v>
      </c>
      <c r="Z759" s="21">
        <v>553.25</v>
      </c>
      <c r="AA759" s="21">
        <v>211</v>
      </c>
      <c r="AB759" s="12">
        <v>39</v>
      </c>
    </row>
    <row r="760" ht="14.25" spans="1:28">
      <c r="A760" s="13">
        <v>758</v>
      </c>
      <c r="B760" s="15">
        <v>16</v>
      </c>
      <c r="C760" s="16">
        <v>13</v>
      </c>
      <c r="D760" s="15" t="s">
        <v>1515</v>
      </c>
      <c r="E760" s="15" t="s">
        <v>1516</v>
      </c>
      <c r="F760" s="21">
        <v>103.5</v>
      </c>
      <c r="G760" s="21">
        <v>577</v>
      </c>
      <c r="H760" s="21">
        <v>94</v>
      </c>
      <c r="I760" s="21">
        <v>391</v>
      </c>
      <c r="J760" s="21">
        <v>110.75</v>
      </c>
      <c r="K760" s="21">
        <v>369</v>
      </c>
      <c r="L760" s="21"/>
      <c r="M760" s="21"/>
      <c r="N760" s="21">
        <v>49</v>
      </c>
      <c r="O760" s="21">
        <v>1682</v>
      </c>
      <c r="P760" s="21"/>
      <c r="Q760" s="21"/>
      <c r="R760" s="21"/>
      <c r="S760" s="21"/>
      <c r="T760" s="21">
        <v>88</v>
      </c>
      <c r="U760" s="21">
        <v>227</v>
      </c>
      <c r="V760" s="21">
        <v>88</v>
      </c>
      <c r="W760" s="21">
        <v>30</v>
      </c>
      <c r="X760" s="22">
        <v>308.25</v>
      </c>
      <c r="Y760" s="22">
        <v>75</v>
      </c>
      <c r="Z760" s="21">
        <v>533.25</v>
      </c>
      <c r="AA760" s="21">
        <v>324</v>
      </c>
      <c r="AB760" s="12">
        <v>71</v>
      </c>
    </row>
    <row r="761" ht="14.25" spans="1:28">
      <c r="A761" s="13">
        <v>759</v>
      </c>
      <c r="B761" s="15">
        <v>16</v>
      </c>
      <c r="C761" s="16">
        <v>14</v>
      </c>
      <c r="D761" s="15" t="s">
        <v>1517</v>
      </c>
      <c r="E761" s="15" t="s">
        <v>1518</v>
      </c>
      <c r="F761" s="21">
        <v>113</v>
      </c>
      <c r="G761" s="21">
        <v>78</v>
      </c>
      <c r="H761" s="21">
        <v>93</v>
      </c>
      <c r="I761" s="21">
        <v>412</v>
      </c>
      <c r="J761" s="21">
        <v>118.5</v>
      </c>
      <c r="K761" s="21">
        <v>189</v>
      </c>
      <c r="L761" s="21"/>
      <c r="M761" s="21"/>
      <c r="N761" s="21">
        <v>63</v>
      </c>
      <c r="O761" s="21">
        <v>270</v>
      </c>
      <c r="P761" s="21"/>
      <c r="Q761" s="21"/>
      <c r="R761" s="21"/>
      <c r="S761" s="21"/>
      <c r="T761" s="21">
        <v>77</v>
      </c>
      <c r="U761" s="21">
        <v>1108</v>
      </c>
      <c r="V761" s="21">
        <v>81</v>
      </c>
      <c r="W761" s="21">
        <v>135</v>
      </c>
      <c r="X761" s="22">
        <v>324.5</v>
      </c>
      <c r="Y761" s="22">
        <v>37</v>
      </c>
      <c r="Z761" s="21">
        <v>545.5</v>
      </c>
      <c r="AA761" s="21">
        <v>258</v>
      </c>
      <c r="AB761" s="12">
        <v>50</v>
      </c>
    </row>
    <row r="762" ht="14.25" spans="1:28">
      <c r="A762" s="13">
        <v>760</v>
      </c>
      <c r="B762" s="15">
        <v>16</v>
      </c>
      <c r="C762" s="16">
        <v>15</v>
      </c>
      <c r="D762" s="15" t="s">
        <v>1519</v>
      </c>
      <c r="E762" s="15" t="s">
        <v>1520</v>
      </c>
      <c r="F762" s="21">
        <v>105</v>
      </c>
      <c r="G762" s="21">
        <v>437</v>
      </c>
      <c r="H762" s="21">
        <v>105</v>
      </c>
      <c r="I762" s="21">
        <v>189</v>
      </c>
      <c r="J762" s="21">
        <v>124</v>
      </c>
      <c r="K762" s="21">
        <v>89</v>
      </c>
      <c r="L762" s="21"/>
      <c r="M762" s="21"/>
      <c r="N762" s="21">
        <v>67</v>
      </c>
      <c r="O762" s="21">
        <v>119</v>
      </c>
      <c r="P762" s="21"/>
      <c r="Q762" s="21"/>
      <c r="R762" s="21"/>
      <c r="S762" s="21"/>
      <c r="T762" s="21">
        <v>75</v>
      </c>
      <c r="U762" s="21">
        <v>1272</v>
      </c>
      <c r="V762" s="21">
        <v>78</v>
      </c>
      <c r="W762" s="21">
        <v>215</v>
      </c>
      <c r="X762" s="22">
        <v>334</v>
      </c>
      <c r="Y762" s="22">
        <v>20</v>
      </c>
      <c r="Z762" s="21">
        <v>554</v>
      </c>
      <c r="AA762" s="21">
        <v>205</v>
      </c>
      <c r="AB762" s="12">
        <v>36</v>
      </c>
    </row>
    <row r="763" ht="14.25" spans="1:28">
      <c r="A763" s="13">
        <v>761</v>
      </c>
      <c r="B763" s="15">
        <v>16</v>
      </c>
      <c r="C763" s="16">
        <v>16</v>
      </c>
      <c r="D763" s="15" t="s">
        <v>1521</v>
      </c>
      <c r="E763" s="15" t="s">
        <v>1522</v>
      </c>
      <c r="F763" s="21">
        <v>111</v>
      </c>
      <c r="G763" s="21">
        <v>130</v>
      </c>
      <c r="H763" s="21">
        <v>110</v>
      </c>
      <c r="I763" s="21">
        <v>132</v>
      </c>
      <c r="J763" s="21">
        <v>123.5</v>
      </c>
      <c r="K763" s="21">
        <v>92</v>
      </c>
      <c r="L763" s="21"/>
      <c r="M763" s="21"/>
      <c r="N763" s="21">
        <v>50.5</v>
      </c>
      <c r="O763" s="21">
        <v>1493</v>
      </c>
      <c r="P763" s="21"/>
      <c r="Q763" s="21"/>
      <c r="R763" s="21"/>
      <c r="S763" s="21"/>
      <c r="T763" s="21">
        <v>88</v>
      </c>
      <c r="U763" s="21">
        <v>227</v>
      </c>
      <c r="V763" s="21">
        <v>81</v>
      </c>
      <c r="W763" s="21">
        <v>135</v>
      </c>
      <c r="X763" s="22">
        <v>344.5</v>
      </c>
      <c r="Y763" s="22">
        <v>8</v>
      </c>
      <c r="Z763" s="21">
        <v>564</v>
      </c>
      <c r="AA763" s="21">
        <v>161</v>
      </c>
      <c r="AB763" s="12">
        <v>26</v>
      </c>
    </row>
    <row r="764" ht="14.25" spans="1:28">
      <c r="A764" s="13">
        <v>762</v>
      </c>
      <c r="B764" s="15">
        <v>16</v>
      </c>
      <c r="C764" s="16">
        <v>17</v>
      </c>
      <c r="D764" s="15" t="s">
        <v>1523</v>
      </c>
      <c r="E764" s="15" t="s">
        <v>1524</v>
      </c>
      <c r="F764" s="21">
        <v>111</v>
      </c>
      <c r="G764" s="21">
        <v>130</v>
      </c>
      <c r="H764" s="21">
        <v>102.5</v>
      </c>
      <c r="I764" s="21">
        <v>229</v>
      </c>
      <c r="J764" s="21">
        <v>122.5</v>
      </c>
      <c r="K764" s="21">
        <v>117</v>
      </c>
      <c r="L764" s="21"/>
      <c r="M764" s="21"/>
      <c r="N764" s="21">
        <v>61.5</v>
      </c>
      <c r="O764" s="21">
        <v>347</v>
      </c>
      <c r="P764" s="21"/>
      <c r="Q764" s="21"/>
      <c r="R764" s="21"/>
      <c r="S764" s="21"/>
      <c r="T764" s="21">
        <v>88</v>
      </c>
      <c r="U764" s="21">
        <v>227</v>
      </c>
      <c r="V764" s="21">
        <v>87</v>
      </c>
      <c r="W764" s="21">
        <v>54</v>
      </c>
      <c r="X764" s="22">
        <v>336</v>
      </c>
      <c r="Y764" s="22">
        <v>15</v>
      </c>
      <c r="Z764" s="21">
        <v>572.5</v>
      </c>
      <c r="AA764" s="21">
        <v>111</v>
      </c>
      <c r="AB764" s="12">
        <v>14</v>
      </c>
    </row>
    <row r="765" ht="14.25" spans="1:28">
      <c r="A765" s="13">
        <v>763</v>
      </c>
      <c r="B765" s="15">
        <v>16</v>
      </c>
      <c r="C765" s="16">
        <v>18</v>
      </c>
      <c r="D765" s="15" t="s">
        <v>1525</v>
      </c>
      <c r="E765" s="15" t="s">
        <v>1526</v>
      </c>
      <c r="F765" s="21">
        <v>107.5</v>
      </c>
      <c r="G765" s="21">
        <v>270</v>
      </c>
      <c r="H765" s="21">
        <v>97.5</v>
      </c>
      <c r="I765" s="21">
        <v>318</v>
      </c>
      <c r="J765" s="21">
        <v>113</v>
      </c>
      <c r="K765" s="21">
        <v>307</v>
      </c>
      <c r="L765" s="21"/>
      <c r="M765" s="21"/>
      <c r="N765" s="21">
        <v>60</v>
      </c>
      <c r="O765" s="21">
        <v>457</v>
      </c>
      <c r="P765" s="21"/>
      <c r="Q765" s="21"/>
      <c r="R765" s="21"/>
      <c r="S765" s="21"/>
      <c r="T765" s="21">
        <v>89</v>
      </c>
      <c r="U765" s="21">
        <v>137</v>
      </c>
      <c r="V765" s="21">
        <v>89</v>
      </c>
      <c r="W765" s="21">
        <v>23</v>
      </c>
      <c r="X765" s="22">
        <v>318</v>
      </c>
      <c r="Y765" s="22">
        <v>46</v>
      </c>
      <c r="Z765" s="21">
        <v>556</v>
      </c>
      <c r="AA765" s="21">
        <v>199</v>
      </c>
      <c r="AB765" s="12">
        <v>34</v>
      </c>
    </row>
    <row r="766" ht="14.25" spans="1:28">
      <c r="A766" s="13">
        <v>764</v>
      </c>
      <c r="B766" s="15">
        <v>16</v>
      </c>
      <c r="C766" s="16">
        <v>19</v>
      </c>
      <c r="D766" s="15" t="s">
        <v>1527</v>
      </c>
      <c r="E766" s="15" t="s">
        <v>1528</v>
      </c>
      <c r="F766" s="21">
        <v>103.5</v>
      </c>
      <c r="G766" s="21">
        <v>577</v>
      </c>
      <c r="H766" s="21">
        <v>107.5</v>
      </c>
      <c r="I766" s="21">
        <v>160</v>
      </c>
      <c r="J766" s="21">
        <v>121.5</v>
      </c>
      <c r="K766" s="21">
        <v>134</v>
      </c>
      <c r="L766" s="21"/>
      <c r="M766" s="21"/>
      <c r="N766" s="21">
        <v>67</v>
      </c>
      <c r="O766" s="21">
        <v>119</v>
      </c>
      <c r="P766" s="21"/>
      <c r="Q766" s="21"/>
      <c r="R766" s="21"/>
      <c r="S766" s="21"/>
      <c r="T766" s="21">
        <v>93</v>
      </c>
      <c r="U766" s="21">
        <v>12</v>
      </c>
      <c r="V766" s="21">
        <v>87</v>
      </c>
      <c r="W766" s="21">
        <v>54</v>
      </c>
      <c r="X766" s="22">
        <v>332.5</v>
      </c>
      <c r="Y766" s="22">
        <v>22</v>
      </c>
      <c r="Z766" s="21">
        <v>579.5</v>
      </c>
      <c r="AA766" s="21">
        <v>80</v>
      </c>
      <c r="AB766" s="12">
        <v>8</v>
      </c>
    </row>
    <row r="767" ht="14.25" spans="1:28">
      <c r="A767" s="13">
        <v>765</v>
      </c>
      <c r="B767" s="15">
        <v>16</v>
      </c>
      <c r="C767" s="16">
        <v>20</v>
      </c>
      <c r="D767" s="15" t="s">
        <v>1529</v>
      </c>
      <c r="E767" s="15" t="s">
        <v>1530</v>
      </c>
      <c r="F767" s="21">
        <v>117.5</v>
      </c>
      <c r="G767" s="21">
        <v>26</v>
      </c>
      <c r="H767" s="21">
        <v>113</v>
      </c>
      <c r="I767" s="21">
        <v>86</v>
      </c>
      <c r="J767" s="21">
        <v>120</v>
      </c>
      <c r="K767" s="21">
        <v>160</v>
      </c>
      <c r="L767" s="21"/>
      <c r="M767" s="21"/>
      <c r="N767" s="21">
        <v>51.5</v>
      </c>
      <c r="O767" s="21">
        <v>1342</v>
      </c>
      <c r="P767" s="21"/>
      <c r="Q767" s="21"/>
      <c r="R767" s="21"/>
      <c r="S767" s="21"/>
      <c r="T767" s="21">
        <v>92</v>
      </c>
      <c r="U767" s="21">
        <v>30</v>
      </c>
      <c r="V767" s="21">
        <v>88</v>
      </c>
      <c r="W767" s="21">
        <v>30</v>
      </c>
      <c r="X767" s="22">
        <v>350.5</v>
      </c>
      <c r="Y767" s="22">
        <v>4</v>
      </c>
      <c r="Z767" s="21">
        <v>582</v>
      </c>
      <c r="AA767" s="21">
        <v>70</v>
      </c>
      <c r="AB767" s="12">
        <v>6</v>
      </c>
    </row>
    <row r="768" ht="14.25" spans="1:28">
      <c r="A768" s="13">
        <v>766</v>
      </c>
      <c r="B768" s="15">
        <v>16</v>
      </c>
      <c r="C768" s="16">
        <v>21</v>
      </c>
      <c r="D768" s="15" t="s">
        <v>1531</v>
      </c>
      <c r="E768" s="15" t="s">
        <v>1532</v>
      </c>
      <c r="F768" s="21">
        <v>102.75</v>
      </c>
      <c r="G768" s="21">
        <v>678</v>
      </c>
      <c r="H768" s="21">
        <v>124</v>
      </c>
      <c r="I768" s="21">
        <v>18</v>
      </c>
      <c r="J768" s="21">
        <v>126</v>
      </c>
      <c r="K768" s="21">
        <v>66</v>
      </c>
      <c r="L768" s="21"/>
      <c r="M768" s="21"/>
      <c r="N768" s="21">
        <v>59</v>
      </c>
      <c r="O768" s="21">
        <v>524</v>
      </c>
      <c r="P768" s="21"/>
      <c r="Q768" s="21"/>
      <c r="R768" s="21"/>
      <c r="S768" s="21"/>
      <c r="T768" s="21">
        <v>80</v>
      </c>
      <c r="U768" s="21">
        <v>854</v>
      </c>
      <c r="V768" s="21">
        <v>84</v>
      </c>
      <c r="W768" s="21">
        <v>104</v>
      </c>
      <c r="X768" s="22">
        <v>352.75</v>
      </c>
      <c r="Y768" s="22">
        <v>3</v>
      </c>
      <c r="Z768" s="21">
        <v>575.75</v>
      </c>
      <c r="AA768" s="21">
        <v>102</v>
      </c>
      <c r="AB768" s="12">
        <v>12</v>
      </c>
    </row>
    <row r="769" ht="14.25" spans="1:28">
      <c r="A769" s="13">
        <v>767</v>
      </c>
      <c r="B769" s="15">
        <v>16</v>
      </c>
      <c r="C769" s="16">
        <v>22</v>
      </c>
      <c r="D769" s="15" t="s">
        <v>1533</v>
      </c>
      <c r="E769" s="15" t="s">
        <v>1534</v>
      </c>
      <c r="F769" s="21">
        <v>107.5</v>
      </c>
      <c r="G769" s="21">
        <v>270</v>
      </c>
      <c r="H769" s="21">
        <v>108</v>
      </c>
      <c r="I769" s="21">
        <v>154</v>
      </c>
      <c r="J769" s="21">
        <v>130.5</v>
      </c>
      <c r="K769" s="21">
        <v>27</v>
      </c>
      <c r="L769" s="21"/>
      <c r="M769" s="21"/>
      <c r="N769" s="21">
        <v>58</v>
      </c>
      <c r="O769" s="21">
        <v>588</v>
      </c>
      <c r="P769" s="21"/>
      <c r="Q769" s="21"/>
      <c r="R769" s="21"/>
      <c r="S769" s="21"/>
      <c r="T769" s="21">
        <v>83</v>
      </c>
      <c r="U769" s="21">
        <v>616</v>
      </c>
      <c r="V769" s="21">
        <v>81</v>
      </c>
      <c r="W769" s="21">
        <v>135</v>
      </c>
      <c r="X769" s="22">
        <v>346</v>
      </c>
      <c r="Y769" s="22">
        <v>6</v>
      </c>
      <c r="Z769" s="21">
        <v>568</v>
      </c>
      <c r="AA769" s="21">
        <v>142</v>
      </c>
      <c r="AB769" s="12">
        <v>22</v>
      </c>
    </row>
    <row r="770" ht="14.25" spans="1:28">
      <c r="A770" s="13">
        <v>768</v>
      </c>
      <c r="B770" s="15">
        <v>16</v>
      </c>
      <c r="C770" s="16">
        <v>23</v>
      </c>
      <c r="D770" s="15" t="s">
        <v>1535</v>
      </c>
      <c r="E770" s="15" t="s">
        <v>1536</v>
      </c>
      <c r="F770" s="21">
        <v>113</v>
      </c>
      <c r="G770" s="21">
        <v>78</v>
      </c>
      <c r="H770" s="21">
        <v>111.5</v>
      </c>
      <c r="I770" s="21">
        <v>106</v>
      </c>
      <c r="J770" s="21">
        <v>111</v>
      </c>
      <c r="K770" s="21">
        <v>356</v>
      </c>
      <c r="L770" s="21"/>
      <c r="M770" s="21"/>
      <c r="N770" s="21">
        <v>62</v>
      </c>
      <c r="O770" s="21">
        <v>315</v>
      </c>
      <c r="P770" s="21"/>
      <c r="Q770" s="21"/>
      <c r="R770" s="21"/>
      <c r="S770" s="21"/>
      <c r="T770" s="21">
        <v>96</v>
      </c>
      <c r="U770" s="21">
        <v>2</v>
      </c>
      <c r="V770" s="21">
        <v>83</v>
      </c>
      <c r="W770" s="21">
        <v>115</v>
      </c>
      <c r="X770" s="22">
        <v>335.5</v>
      </c>
      <c r="Y770" s="22">
        <v>16</v>
      </c>
      <c r="Z770" s="21">
        <v>576.5</v>
      </c>
      <c r="AA770" s="21">
        <v>98</v>
      </c>
      <c r="AB770" s="12">
        <v>11</v>
      </c>
    </row>
    <row r="771" ht="14.25" spans="1:28">
      <c r="A771" s="13">
        <v>769</v>
      </c>
      <c r="B771" s="15">
        <v>16</v>
      </c>
      <c r="C771" s="16">
        <v>25</v>
      </c>
      <c r="D771" s="15" t="s">
        <v>1537</v>
      </c>
      <c r="E771" s="15" t="s">
        <v>847</v>
      </c>
      <c r="F771" s="21">
        <v>111</v>
      </c>
      <c r="G771" s="21">
        <v>130</v>
      </c>
      <c r="H771" s="21">
        <v>88.5</v>
      </c>
      <c r="I771" s="21">
        <v>526</v>
      </c>
      <c r="J771" s="21">
        <v>102.5</v>
      </c>
      <c r="K771" s="21">
        <v>612</v>
      </c>
      <c r="L771" s="21"/>
      <c r="M771" s="21"/>
      <c r="N771" s="21">
        <v>58.5</v>
      </c>
      <c r="O771" s="21">
        <v>550</v>
      </c>
      <c r="P771" s="21"/>
      <c r="Q771" s="21"/>
      <c r="R771" s="21">
        <v>80</v>
      </c>
      <c r="S771" s="21">
        <v>535</v>
      </c>
      <c r="T771" s="21">
        <v>83</v>
      </c>
      <c r="U771" s="21">
        <v>616</v>
      </c>
      <c r="V771" s="21"/>
      <c r="W771" s="21"/>
      <c r="X771" s="22">
        <v>302</v>
      </c>
      <c r="Y771" s="22">
        <v>88</v>
      </c>
      <c r="Z771" s="21">
        <v>523.5</v>
      </c>
      <c r="AA771" s="21">
        <v>387</v>
      </c>
      <c r="AB771" s="12">
        <v>87</v>
      </c>
    </row>
    <row r="772" ht="14.25" spans="1:28">
      <c r="A772" s="13">
        <v>770</v>
      </c>
      <c r="B772" s="15">
        <v>16</v>
      </c>
      <c r="C772" s="16">
        <v>26</v>
      </c>
      <c r="D772" s="15" t="s">
        <v>1538</v>
      </c>
      <c r="E772" s="15" t="s">
        <v>1539</v>
      </c>
      <c r="F772" s="21">
        <v>108.5</v>
      </c>
      <c r="G772" s="21">
        <v>223</v>
      </c>
      <c r="H772" s="21">
        <v>98.5</v>
      </c>
      <c r="I772" s="21">
        <v>305</v>
      </c>
      <c r="J772" s="21">
        <v>118.5</v>
      </c>
      <c r="K772" s="21">
        <v>189</v>
      </c>
      <c r="L772" s="21"/>
      <c r="M772" s="21"/>
      <c r="N772" s="21">
        <v>64</v>
      </c>
      <c r="O772" s="21">
        <v>232</v>
      </c>
      <c r="P772" s="21"/>
      <c r="Q772" s="21"/>
      <c r="R772" s="21">
        <v>94</v>
      </c>
      <c r="S772" s="21">
        <v>5</v>
      </c>
      <c r="T772" s="21">
        <v>88</v>
      </c>
      <c r="U772" s="21">
        <v>227</v>
      </c>
      <c r="V772" s="21"/>
      <c r="W772" s="21"/>
      <c r="X772" s="22">
        <v>325.5</v>
      </c>
      <c r="Y772" s="22">
        <v>32</v>
      </c>
      <c r="Z772" s="21">
        <v>571.5</v>
      </c>
      <c r="AA772" s="21">
        <v>120</v>
      </c>
      <c r="AB772" s="12">
        <v>17</v>
      </c>
    </row>
    <row r="773" ht="14.25" spans="1:28">
      <c r="A773" s="13">
        <v>771</v>
      </c>
      <c r="B773" s="15">
        <v>16</v>
      </c>
      <c r="C773" s="16">
        <v>27</v>
      </c>
      <c r="D773" s="15" t="s">
        <v>1540</v>
      </c>
      <c r="E773" s="15" t="s">
        <v>1541</v>
      </c>
      <c r="F773" s="21">
        <v>105</v>
      </c>
      <c r="G773" s="21">
        <v>437</v>
      </c>
      <c r="H773" s="21">
        <v>113</v>
      </c>
      <c r="I773" s="21">
        <v>86</v>
      </c>
      <c r="J773" s="21">
        <v>120.5</v>
      </c>
      <c r="K773" s="21">
        <v>153</v>
      </c>
      <c r="L773" s="21"/>
      <c r="M773" s="21"/>
      <c r="N773" s="21">
        <v>66.5</v>
      </c>
      <c r="O773" s="21">
        <v>139</v>
      </c>
      <c r="P773" s="21"/>
      <c r="Q773" s="21"/>
      <c r="R773" s="21">
        <v>93</v>
      </c>
      <c r="S773" s="21">
        <v>12</v>
      </c>
      <c r="T773" s="21">
        <v>89</v>
      </c>
      <c r="U773" s="21">
        <v>137</v>
      </c>
      <c r="V773" s="21"/>
      <c r="W773" s="21"/>
      <c r="X773" s="22">
        <v>338.5</v>
      </c>
      <c r="Y773" s="22">
        <v>13</v>
      </c>
      <c r="Z773" s="21">
        <v>587</v>
      </c>
      <c r="AA773" s="21">
        <v>54</v>
      </c>
      <c r="AB773" s="12">
        <v>4</v>
      </c>
    </row>
    <row r="774" ht="14.25" spans="1:28">
      <c r="A774" s="13">
        <v>772</v>
      </c>
      <c r="B774" s="15">
        <v>16</v>
      </c>
      <c r="C774" s="16">
        <v>28</v>
      </c>
      <c r="D774" s="15" t="s">
        <v>1542</v>
      </c>
      <c r="E774" s="15" t="s">
        <v>1543</v>
      </c>
      <c r="F774" s="21">
        <v>112.5</v>
      </c>
      <c r="G774" s="21">
        <v>92</v>
      </c>
      <c r="H774" s="21">
        <v>89</v>
      </c>
      <c r="I774" s="21">
        <v>515</v>
      </c>
      <c r="J774" s="21">
        <v>122</v>
      </c>
      <c r="K774" s="21">
        <v>129</v>
      </c>
      <c r="L774" s="21"/>
      <c r="M774" s="21"/>
      <c r="N774" s="21">
        <v>63.5</v>
      </c>
      <c r="O774" s="21">
        <v>253</v>
      </c>
      <c r="P774" s="21"/>
      <c r="Q774" s="21"/>
      <c r="R774" s="21">
        <v>92</v>
      </c>
      <c r="S774" s="21">
        <v>16</v>
      </c>
      <c r="T774" s="21">
        <v>88</v>
      </c>
      <c r="U774" s="21">
        <v>227</v>
      </c>
      <c r="V774" s="21"/>
      <c r="W774" s="21"/>
      <c r="X774" s="22">
        <v>323.5</v>
      </c>
      <c r="Y774" s="22">
        <v>38</v>
      </c>
      <c r="Z774" s="21">
        <v>567</v>
      </c>
      <c r="AA774" s="21">
        <v>145</v>
      </c>
      <c r="AB774" s="12">
        <v>23</v>
      </c>
    </row>
    <row r="775" ht="14.25" spans="1:28">
      <c r="A775" s="13">
        <v>773</v>
      </c>
      <c r="B775" s="15">
        <v>16</v>
      </c>
      <c r="C775" s="16">
        <v>29</v>
      </c>
      <c r="D775" s="15" t="s">
        <v>1544</v>
      </c>
      <c r="E775" s="15" t="s">
        <v>1545</v>
      </c>
      <c r="F775" s="21">
        <v>101</v>
      </c>
      <c r="G775" s="21">
        <v>861</v>
      </c>
      <c r="H775" s="21">
        <v>119</v>
      </c>
      <c r="I775" s="21">
        <v>37</v>
      </c>
      <c r="J775" s="21">
        <v>105.5</v>
      </c>
      <c r="K775" s="21">
        <v>523</v>
      </c>
      <c r="L775" s="21"/>
      <c r="M775" s="21"/>
      <c r="N775" s="21">
        <v>56.5</v>
      </c>
      <c r="O775" s="21">
        <v>750</v>
      </c>
      <c r="P775" s="21"/>
      <c r="Q775" s="21"/>
      <c r="R775" s="21">
        <v>87</v>
      </c>
      <c r="S775" s="21">
        <v>202</v>
      </c>
      <c r="T775" s="21">
        <v>88</v>
      </c>
      <c r="U775" s="21">
        <v>227</v>
      </c>
      <c r="V775" s="21"/>
      <c r="W775" s="21"/>
      <c r="X775" s="22">
        <v>325.5</v>
      </c>
      <c r="Y775" s="22">
        <v>32</v>
      </c>
      <c r="Z775" s="21">
        <v>557</v>
      </c>
      <c r="AA775" s="21">
        <v>193</v>
      </c>
      <c r="AB775" s="12">
        <v>33</v>
      </c>
    </row>
    <row r="776" ht="14.25" spans="1:28">
      <c r="A776" s="13">
        <v>774</v>
      </c>
      <c r="B776" s="15">
        <v>16</v>
      </c>
      <c r="C776" s="16">
        <v>31</v>
      </c>
      <c r="D776" s="15" t="s">
        <v>1546</v>
      </c>
      <c r="E776" s="15" t="s">
        <v>1547</v>
      </c>
      <c r="F776" s="21">
        <v>114.5</v>
      </c>
      <c r="G776" s="21">
        <v>52</v>
      </c>
      <c r="H776" s="21">
        <v>80</v>
      </c>
      <c r="I776" s="21">
        <v>745</v>
      </c>
      <c r="J776" s="21">
        <v>124.75</v>
      </c>
      <c r="K776" s="21">
        <v>83</v>
      </c>
      <c r="L776" s="21"/>
      <c r="M776" s="21"/>
      <c r="N776" s="21">
        <v>82.5</v>
      </c>
      <c r="O776" s="21">
        <v>1</v>
      </c>
      <c r="P776" s="21"/>
      <c r="Q776" s="21"/>
      <c r="R776" s="21">
        <v>88</v>
      </c>
      <c r="S776" s="21">
        <v>123</v>
      </c>
      <c r="T776" s="21">
        <v>87</v>
      </c>
      <c r="U776" s="21">
        <v>333</v>
      </c>
      <c r="V776" s="21"/>
      <c r="W776" s="21"/>
      <c r="X776" s="22">
        <v>319.25</v>
      </c>
      <c r="Y776" s="22">
        <v>43</v>
      </c>
      <c r="Z776" s="21">
        <v>576.75</v>
      </c>
      <c r="AA776" s="21">
        <v>96</v>
      </c>
      <c r="AB776" s="12">
        <v>10</v>
      </c>
    </row>
    <row r="777" ht="14.25" spans="1:28">
      <c r="A777" s="13">
        <v>775</v>
      </c>
      <c r="B777" s="15">
        <v>16</v>
      </c>
      <c r="C777" s="16">
        <v>32</v>
      </c>
      <c r="D777" s="15" t="s">
        <v>1548</v>
      </c>
      <c r="E777" s="15" t="s">
        <v>1549</v>
      </c>
      <c r="F777" s="21">
        <v>110</v>
      </c>
      <c r="G777" s="21">
        <v>165</v>
      </c>
      <c r="H777" s="21">
        <v>106</v>
      </c>
      <c r="I777" s="21">
        <v>175</v>
      </c>
      <c r="J777" s="21">
        <v>119</v>
      </c>
      <c r="K777" s="21">
        <v>179</v>
      </c>
      <c r="L777" s="21"/>
      <c r="M777" s="21"/>
      <c r="N777" s="21">
        <v>66</v>
      </c>
      <c r="O777" s="21">
        <v>163</v>
      </c>
      <c r="P777" s="21"/>
      <c r="Q777" s="21"/>
      <c r="R777" s="21">
        <v>91</v>
      </c>
      <c r="S777" s="21">
        <v>30</v>
      </c>
      <c r="T777" s="21">
        <v>80</v>
      </c>
      <c r="U777" s="21">
        <v>854</v>
      </c>
      <c r="V777" s="21"/>
      <c r="W777" s="21"/>
      <c r="X777" s="22">
        <v>335</v>
      </c>
      <c r="Y777" s="22">
        <v>17</v>
      </c>
      <c r="Z777" s="21">
        <v>572</v>
      </c>
      <c r="AA777" s="21">
        <v>118</v>
      </c>
      <c r="AB777" s="12">
        <v>15</v>
      </c>
    </row>
    <row r="778" ht="14.25" spans="1:28">
      <c r="A778" s="13">
        <v>776</v>
      </c>
      <c r="B778" s="15">
        <v>16</v>
      </c>
      <c r="C778" s="16">
        <v>33</v>
      </c>
      <c r="D778" s="15" t="s">
        <v>1550</v>
      </c>
      <c r="E778" s="15" t="s">
        <v>1551</v>
      </c>
      <c r="F778" s="21">
        <v>108.5</v>
      </c>
      <c r="G778" s="21">
        <v>223</v>
      </c>
      <c r="H778" s="21">
        <v>95</v>
      </c>
      <c r="I778" s="21">
        <v>372</v>
      </c>
      <c r="J778" s="21">
        <v>123.25</v>
      </c>
      <c r="K778" s="21">
        <v>100</v>
      </c>
      <c r="L778" s="21"/>
      <c r="M778" s="21"/>
      <c r="N778" s="21">
        <v>61.5</v>
      </c>
      <c r="O778" s="21">
        <v>347</v>
      </c>
      <c r="P778" s="21"/>
      <c r="Q778" s="21"/>
      <c r="R778" s="21">
        <v>86</v>
      </c>
      <c r="S778" s="21">
        <v>293</v>
      </c>
      <c r="T778" s="21">
        <v>83</v>
      </c>
      <c r="U778" s="21">
        <v>616</v>
      </c>
      <c r="V778" s="21"/>
      <c r="W778" s="21"/>
      <c r="X778" s="22">
        <v>326.75</v>
      </c>
      <c r="Y778" s="22">
        <v>28</v>
      </c>
      <c r="Z778" s="21">
        <v>557.25</v>
      </c>
      <c r="AA778" s="21">
        <v>192</v>
      </c>
      <c r="AB778" s="12">
        <v>32</v>
      </c>
    </row>
    <row r="779" ht="14.25" spans="1:28">
      <c r="A779" s="13">
        <v>777</v>
      </c>
      <c r="B779" s="15">
        <v>16</v>
      </c>
      <c r="C779" s="16">
        <v>34</v>
      </c>
      <c r="D779" s="15" t="s">
        <v>1552</v>
      </c>
      <c r="E779" s="15" t="s">
        <v>1553</v>
      </c>
      <c r="F779" s="21">
        <v>107.5</v>
      </c>
      <c r="G779" s="21">
        <v>270</v>
      </c>
      <c r="H779" s="21">
        <v>119</v>
      </c>
      <c r="I779" s="21">
        <v>37</v>
      </c>
      <c r="J779" s="21">
        <v>114</v>
      </c>
      <c r="K779" s="21">
        <v>281</v>
      </c>
      <c r="L779" s="21"/>
      <c r="M779" s="21"/>
      <c r="N779" s="21">
        <v>70.5</v>
      </c>
      <c r="O779" s="21">
        <v>40</v>
      </c>
      <c r="P779" s="21"/>
      <c r="Q779" s="21"/>
      <c r="R779" s="21">
        <v>92</v>
      </c>
      <c r="S779" s="21">
        <v>16</v>
      </c>
      <c r="T779" s="21">
        <v>84</v>
      </c>
      <c r="U779" s="21">
        <v>578</v>
      </c>
      <c r="V779" s="21"/>
      <c r="W779" s="21"/>
      <c r="X779" s="22">
        <v>340.5</v>
      </c>
      <c r="Y779" s="22">
        <v>12</v>
      </c>
      <c r="Z779" s="21">
        <v>587</v>
      </c>
      <c r="AA779" s="21">
        <v>54</v>
      </c>
      <c r="AB779" s="12">
        <v>4</v>
      </c>
    </row>
    <row r="780" ht="14.25" spans="1:28">
      <c r="A780" s="13">
        <v>778</v>
      </c>
      <c r="B780" s="15">
        <v>16</v>
      </c>
      <c r="C780" s="16">
        <v>35</v>
      </c>
      <c r="D780" s="15" t="s">
        <v>1554</v>
      </c>
      <c r="E780" s="15" t="s">
        <v>1555</v>
      </c>
      <c r="F780" s="21">
        <v>101.25</v>
      </c>
      <c r="G780" s="21">
        <v>857</v>
      </c>
      <c r="H780" s="21">
        <v>107.5</v>
      </c>
      <c r="I780" s="21">
        <v>160</v>
      </c>
      <c r="J780" s="21">
        <v>120.5</v>
      </c>
      <c r="K780" s="21">
        <v>153</v>
      </c>
      <c r="L780" s="21"/>
      <c r="M780" s="21"/>
      <c r="N780" s="21">
        <v>58.5</v>
      </c>
      <c r="O780" s="21">
        <v>550</v>
      </c>
      <c r="P780" s="21"/>
      <c r="Q780" s="21"/>
      <c r="R780" s="21">
        <v>84</v>
      </c>
      <c r="S780" s="21">
        <v>369</v>
      </c>
      <c r="T780" s="21">
        <v>76</v>
      </c>
      <c r="U780" s="21">
        <v>1218</v>
      </c>
      <c r="V780" s="21"/>
      <c r="W780" s="21"/>
      <c r="X780" s="22">
        <v>329.25</v>
      </c>
      <c r="Y780" s="22">
        <v>25</v>
      </c>
      <c r="Z780" s="21">
        <v>547.75</v>
      </c>
      <c r="AA780" s="21">
        <v>242</v>
      </c>
      <c r="AB780" s="12">
        <v>45</v>
      </c>
    </row>
    <row r="781" ht="14.25" spans="1:28">
      <c r="A781" s="13">
        <v>779</v>
      </c>
      <c r="B781" s="15">
        <v>16</v>
      </c>
      <c r="C781" s="16">
        <v>36</v>
      </c>
      <c r="D781" s="15" t="s">
        <v>1556</v>
      </c>
      <c r="E781" s="15" t="s">
        <v>1557</v>
      </c>
      <c r="F781" s="21">
        <v>112.5</v>
      </c>
      <c r="G781" s="21">
        <v>92</v>
      </c>
      <c r="H781" s="21">
        <v>94</v>
      </c>
      <c r="I781" s="21">
        <v>391</v>
      </c>
      <c r="J781" s="21">
        <v>118.5</v>
      </c>
      <c r="K781" s="21">
        <v>189</v>
      </c>
      <c r="L781" s="21"/>
      <c r="M781" s="21"/>
      <c r="N781" s="21">
        <v>67</v>
      </c>
      <c r="O781" s="21">
        <v>119</v>
      </c>
      <c r="P781" s="21"/>
      <c r="Q781" s="21"/>
      <c r="R781" s="21">
        <v>71</v>
      </c>
      <c r="S781" s="21">
        <v>1117</v>
      </c>
      <c r="T781" s="21">
        <v>87</v>
      </c>
      <c r="U781" s="21">
        <v>333</v>
      </c>
      <c r="V781" s="21"/>
      <c r="W781" s="21"/>
      <c r="X781" s="22">
        <v>325</v>
      </c>
      <c r="Y781" s="22">
        <v>34</v>
      </c>
      <c r="Z781" s="21">
        <v>550</v>
      </c>
      <c r="AA781" s="21">
        <v>224</v>
      </c>
      <c r="AB781" s="12">
        <v>40</v>
      </c>
    </row>
    <row r="782" ht="14.25" spans="1:28">
      <c r="A782" s="13">
        <v>780</v>
      </c>
      <c r="B782" s="15">
        <v>16</v>
      </c>
      <c r="C782" s="16">
        <v>37</v>
      </c>
      <c r="D782" s="15" t="s">
        <v>1558</v>
      </c>
      <c r="E782" s="15" t="s">
        <v>1559</v>
      </c>
      <c r="F782" s="21">
        <v>118</v>
      </c>
      <c r="G782" s="21">
        <v>15</v>
      </c>
      <c r="H782" s="21">
        <v>109</v>
      </c>
      <c r="I782" s="21">
        <v>140</v>
      </c>
      <c r="J782" s="21">
        <v>116.25</v>
      </c>
      <c r="K782" s="21">
        <v>236</v>
      </c>
      <c r="L782" s="21"/>
      <c r="M782" s="21"/>
      <c r="N782" s="21">
        <v>71.5</v>
      </c>
      <c r="O782" s="21">
        <v>24</v>
      </c>
      <c r="P782" s="21"/>
      <c r="Q782" s="21"/>
      <c r="R782" s="21">
        <v>75</v>
      </c>
      <c r="S782" s="21">
        <v>873</v>
      </c>
      <c r="T782" s="21">
        <v>86</v>
      </c>
      <c r="U782" s="21">
        <v>465</v>
      </c>
      <c r="V782" s="21"/>
      <c r="W782" s="21"/>
      <c r="X782" s="22">
        <v>343.25</v>
      </c>
      <c r="Y782" s="22">
        <v>10</v>
      </c>
      <c r="Z782" s="21">
        <v>575.75</v>
      </c>
      <c r="AA782" s="21">
        <v>102</v>
      </c>
      <c r="AB782" s="12">
        <v>12</v>
      </c>
    </row>
    <row r="783" ht="14.25" spans="1:28">
      <c r="A783" s="13">
        <v>781</v>
      </c>
      <c r="B783" s="15">
        <v>16</v>
      </c>
      <c r="C783" s="16">
        <v>38</v>
      </c>
      <c r="D783" s="15" t="s">
        <v>1560</v>
      </c>
      <c r="E783" s="15" t="s">
        <v>1561</v>
      </c>
      <c r="F783" s="21">
        <v>90</v>
      </c>
      <c r="G783" s="21">
        <v>2340</v>
      </c>
      <c r="H783" s="21">
        <v>116.5</v>
      </c>
      <c r="I783" s="21">
        <v>57</v>
      </c>
      <c r="J783" s="21">
        <v>125</v>
      </c>
      <c r="K783" s="21">
        <v>77</v>
      </c>
      <c r="L783" s="21"/>
      <c r="M783" s="21"/>
      <c r="N783" s="21">
        <v>67</v>
      </c>
      <c r="O783" s="21">
        <v>119</v>
      </c>
      <c r="P783" s="21"/>
      <c r="Q783" s="21"/>
      <c r="R783" s="21">
        <v>79</v>
      </c>
      <c r="S783" s="21">
        <v>590</v>
      </c>
      <c r="T783" s="21">
        <v>84</v>
      </c>
      <c r="U783" s="21">
        <v>578</v>
      </c>
      <c r="V783" s="21"/>
      <c r="W783" s="21"/>
      <c r="X783" s="22">
        <v>331.5</v>
      </c>
      <c r="Y783" s="22">
        <v>23</v>
      </c>
      <c r="Z783" s="21">
        <v>561.5</v>
      </c>
      <c r="AA783" s="21">
        <v>172</v>
      </c>
      <c r="AB783" s="12">
        <v>29</v>
      </c>
    </row>
    <row r="784" ht="14.25" spans="1:28">
      <c r="A784" s="13">
        <v>782</v>
      </c>
      <c r="B784" s="15">
        <v>16</v>
      </c>
      <c r="C784" s="16">
        <v>39</v>
      </c>
      <c r="D784" s="15" t="s">
        <v>1562</v>
      </c>
      <c r="E784" s="15" t="s">
        <v>1563</v>
      </c>
      <c r="F784" s="21">
        <v>106</v>
      </c>
      <c r="G784" s="21">
        <v>367</v>
      </c>
      <c r="H784" s="21">
        <v>95.5</v>
      </c>
      <c r="I784" s="21">
        <v>360</v>
      </c>
      <c r="J784" s="21">
        <v>117</v>
      </c>
      <c r="K784" s="21">
        <v>222</v>
      </c>
      <c r="L784" s="21"/>
      <c r="M784" s="21"/>
      <c r="N784" s="21">
        <v>56</v>
      </c>
      <c r="O784" s="21">
        <v>804</v>
      </c>
      <c r="P784" s="21"/>
      <c r="Q784" s="21"/>
      <c r="R784" s="21">
        <v>87</v>
      </c>
      <c r="S784" s="21">
        <v>202</v>
      </c>
      <c r="T784" s="21">
        <v>75</v>
      </c>
      <c r="U784" s="21">
        <v>1272</v>
      </c>
      <c r="V784" s="21"/>
      <c r="W784" s="21"/>
      <c r="X784" s="22">
        <v>318.5</v>
      </c>
      <c r="Y784" s="22">
        <v>45</v>
      </c>
      <c r="Z784" s="21">
        <v>536.5</v>
      </c>
      <c r="AA784" s="21">
        <v>305</v>
      </c>
      <c r="AB784" s="12">
        <v>63</v>
      </c>
    </row>
    <row r="785" ht="14.25" spans="1:28">
      <c r="A785" s="13">
        <v>783</v>
      </c>
      <c r="B785" s="15">
        <v>16</v>
      </c>
      <c r="C785" s="16">
        <v>40</v>
      </c>
      <c r="D785" s="15" t="s">
        <v>1564</v>
      </c>
      <c r="E785" s="15" t="s">
        <v>1565</v>
      </c>
      <c r="F785" s="21">
        <v>99.25</v>
      </c>
      <c r="G785" s="21">
        <v>1060</v>
      </c>
      <c r="H785" s="21">
        <v>95.5</v>
      </c>
      <c r="I785" s="21">
        <v>360</v>
      </c>
      <c r="J785" s="21">
        <v>120.5</v>
      </c>
      <c r="K785" s="21">
        <v>153</v>
      </c>
      <c r="L785" s="21"/>
      <c r="M785" s="21"/>
      <c r="N785" s="21">
        <v>68</v>
      </c>
      <c r="O785" s="21">
        <v>93</v>
      </c>
      <c r="P785" s="21"/>
      <c r="Q785" s="21"/>
      <c r="R785" s="21">
        <v>76</v>
      </c>
      <c r="S785" s="21">
        <v>788</v>
      </c>
      <c r="T785" s="21">
        <v>88</v>
      </c>
      <c r="U785" s="21">
        <v>227</v>
      </c>
      <c r="V785" s="21"/>
      <c r="W785" s="21"/>
      <c r="X785" s="22">
        <v>315.25</v>
      </c>
      <c r="Y785" s="22">
        <v>54</v>
      </c>
      <c r="Z785" s="21">
        <v>547.25</v>
      </c>
      <c r="AA785" s="21">
        <v>246</v>
      </c>
      <c r="AB785" s="12">
        <v>47</v>
      </c>
    </row>
    <row r="786" ht="14.25" spans="1:28">
      <c r="A786" s="13">
        <v>784</v>
      </c>
      <c r="B786" s="15">
        <v>17</v>
      </c>
      <c r="C786" s="16">
        <v>1</v>
      </c>
      <c r="D786" s="15" t="s">
        <v>1566</v>
      </c>
      <c r="E786" s="15" t="s">
        <v>1567</v>
      </c>
      <c r="F786" s="21">
        <v>104.5</v>
      </c>
      <c r="G786" s="21">
        <v>475</v>
      </c>
      <c r="H786" s="21">
        <v>84</v>
      </c>
      <c r="I786" s="21">
        <v>635</v>
      </c>
      <c r="J786" s="21">
        <v>106</v>
      </c>
      <c r="K786" s="21">
        <v>510</v>
      </c>
      <c r="L786" s="21"/>
      <c r="M786" s="21"/>
      <c r="N786" s="21">
        <v>51.5</v>
      </c>
      <c r="O786" s="21">
        <v>1342</v>
      </c>
      <c r="P786" s="21"/>
      <c r="Q786" s="21"/>
      <c r="R786" s="21">
        <v>82</v>
      </c>
      <c r="S786" s="21">
        <v>432</v>
      </c>
      <c r="T786" s="21">
        <v>80</v>
      </c>
      <c r="U786" s="21">
        <v>854</v>
      </c>
      <c r="V786" s="21"/>
      <c r="W786" s="21"/>
      <c r="X786" s="22">
        <v>294.5</v>
      </c>
      <c r="Y786" s="22">
        <v>116</v>
      </c>
      <c r="Z786" s="21">
        <v>508</v>
      </c>
      <c r="AA786" s="21">
        <v>503</v>
      </c>
      <c r="AB786" s="12">
        <v>122</v>
      </c>
    </row>
    <row r="787" ht="14.25" spans="1:28">
      <c r="A787" s="13">
        <v>785</v>
      </c>
      <c r="B787" s="15">
        <v>17</v>
      </c>
      <c r="C787" s="16">
        <v>2</v>
      </c>
      <c r="D787" s="15" t="s">
        <v>1568</v>
      </c>
      <c r="E787" s="15" t="s">
        <v>1569</v>
      </c>
      <c r="F787" s="21">
        <v>94</v>
      </c>
      <c r="G787" s="21">
        <v>1750</v>
      </c>
      <c r="H787" s="21">
        <v>106.5</v>
      </c>
      <c r="I787" s="21">
        <v>173</v>
      </c>
      <c r="J787" s="21">
        <v>70.25</v>
      </c>
      <c r="K787" s="21">
        <v>2207</v>
      </c>
      <c r="L787" s="21"/>
      <c r="M787" s="21"/>
      <c r="N787" s="21">
        <v>55.5</v>
      </c>
      <c r="O787" s="21">
        <v>860</v>
      </c>
      <c r="P787" s="21"/>
      <c r="Q787" s="21"/>
      <c r="R787" s="21">
        <v>79</v>
      </c>
      <c r="S787" s="21">
        <v>590</v>
      </c>
      <c r="T787" s="21">
        <v>80</v>
      </c>
      <c r="U787" s="21">
        <v>854</v>
      </c>
      <c r="V787" s="21"/>
      <c r="W787" s="21"/>
      <c r="X787" s="22">
        <v>270.75</v>
      </c>
      <c r="Y787" s="22">
        <v>167</v>
      </c>
      <c r="Z787" s="21">
        <v>485.25</v>
      </c>
      <c r="AA787" s="21">
        <v>716</v>
      </c>
      <c r="AB787" s="12">
        <v>157</v>
      </c>
    </row>
    <row r="788" ht="14.25" spans="1:28">
      <c r="A788" s="13">
        <v>786</v>
      </c>
      <c r="B788" s="15">
        <v>17</v>
      </c>
      <c r="C788" s="16">
        <v>3</v>
      </c>
      <c r="D788" s="15" t="s">
        <v>1570</v>
      </c>
      <c r="E788" s="15" t="s">
        <v>1571</v>
      </c>
      <c r="F788" s="21">
        <v>104</v>
      </c>
      <c r="G788" s="21">
        <v>526</v>
      </c>
      <c r="H788" s="21">
        <v>90</v>
      </c>
      <c r="I788" s="21">
        <v>498</v>
      </c>
      <c r="J788" s="21">
        <v>96.5</v>
      </c>
      <c r="K788" s="21">
        <v>862</v>
      </c>
      <c r="L788" s="21"/>
      <c r="M788" s="21"/>
      <c r="N788" s="21">
        <v>50.5</v>
      </c>
      <c r="O788" s="21">
        <v>1493</v>
      </c>
      <c r="P788" s="21"/>
      <c r="Q788" s="21"/>
      <c r="R788" s="21">
        <v>82</v>
      </c>
      <c r="S788" s="21">
        <v>432</v>
      </c>
      <c r="T788" s="21">
        <v>84</v>
      </c>
      <c r="U788" s="21">
        <v>578</v>
      </c>
      <c r="V788" s="21"/>
      <c r="W788" s="21"/>
      <c r="X788" s="22">
        <v>290.5</v>
      </c>
      <c r="Y788" s="22">
        <v>127</v>
      </c>
      <c r="Z788" s="21">
        <v>507</v>
      </c>
      <c r="AA788" s="21">
        <v>514</v>
      </c>
      <c r="AB788" s="12">
        <v>124</v>
      </c>
    </row>
    <row r="789" ht="14.25" spans="1:28">
      <c r="A789" s="13">
        <v>787</v>
      </c>
      <c r="B789" s="15">
        <v>17</v>
      </c>
      <c r="C789" s="16">
        <v>6</v>
      </c>
      <c r="D789" s="15" t="s">
        <v>1572</v>
      </c>
      <c r="E789" s="15" t="s">
        <v>1573</v>
      </c>
      <c r="F789" s="21">
        <v>92</v>
      </c>
      <c r="G789" s="21">
        <v>2049</v>
      </c>
      <c r="H789" s="21">
        <v>72</v>
      </c>
      <c r="I789" s="21">
        <v>976</v>
      </c>
      <c r="J789" s="21">
        <v>115.5</v>
      </c>
      <c r="K789" s="21">
        <v>257</v>
      </c>
      <c r="L789" s="21"/>
      <c r="M789" s="21"/>
      <c r="N789" s="21">
        <v>60.5</v>
      </c>
      <c r="O789" s="21">
        <v>424</v>
      </c>
      <c r="P789" s="21"/>
      <c r="Q789" s="21"/>
      <c r="R789" s="21">
        <v>60</v>
      </c>
      <c r="S789" s="21">
        <v>1928</v>
      </c>
      <c r="T789" s="21">
        <v>89</v>
      </c>
      <c r="U789" s="21">
        <v>137</v>
      </c>
      <c r="V789" s="21"/>
      <c r="W789" s="21"/>
      <c r="X789" s="22">
        <v>279.5</v>
      </c>
      <c r="Y789" s="22">
        <v>151</v>
      </c>
      <c r="Z789" s="21">
        <v>489</v>
      </c>
      <c r="AA789" s="21">
        <v>682</v>
      </c>
      <c r="AB789" s="12">
        <v>152</v>
      </c>
    </row>
    <row r="790" ht="14.25" spans="1:28">
      <c r="A790" s="13">
        <v>788</v>
      </c>
      <c r="B790" s="15">
        <v>17</v>
      </c>
      <c r="C790" s="16">
        <v>7</v>
      </c>
      <c r="D790" s="15" t="s">
        <v>1574</v>
      </c>
      <c r="E790" s="15" t="s">
        <v>1575</v>
      </c>
      <c r="F790" s="21">
        <v>102.25</v>
      </c>
      <c r="G790" s="21">
        <v>743</v>
      </c>
      <c r="H790" s="21">
        <v>99</v>
      </c>
      <c r="I790" s="21">
        <v>296</v>
      </c>
      <c r="J790" s="21">
        <v>89.25</v>
      </c>
      <c r="K790" s="21">
        <v>1183</v>
      </c>
      <c r="L790" s="21"/>
      <c r="M790" s="21"/>
      <c r="N790" s="21">
        <v>56</v>
      </c>
      <c r="O790" s="21">
        <v>804</v>
      </c>
      <c r="P790" s="21"/>
      <c r="Q790" s="21"/>
      <c r="R790" s="21">
        <v>83</v>
      </c>
      <c r="S790" s="21">
        <v>391</v>
      </c>
      <c r="T790" s="21">
        <v>68</v>
      </c>
      <c r="U790" s="21">
        <v>1886</v>
      </c>
      <c r="V790" s="21"/>
      <c r="W790" s="21"/>
      <c r="X790" s="22">
        <v>290.5</v>
      </c>
      <c r="Y790" s="22">
        <v>127</v>
      </c>
      <c r="Z790" s="21">
        <v>497.5</v>
      </c>
      <c r="AA790" s="21">
        <v>598</v>
      </c>
      <c r="AB790" s="12">
        <v>137</v>
      </c>
    </row>
    <row r="791" ht="14.25" spans="1:28">
      <c r="A791" s="13">
        <v>789</v>
      </c>
      <c r="B791" s="15">
        <v>17</v>
      </c>
      <c r="C791" s="16">
        <v>10</v>
      </c>
      <c r="D791" s="15" t="s">
        <v>1576</v>
      </c>
      <c r="E791" s="15" t="s">
        <v>1577</v>
      </c>
      <c r="F791" s="21">
        <v>104.5</v>
      </c>
      <c r="G791" s="21">
        <v>475</v>
      </c>
      <c r="H791" s="21">
        <v>88.5</v>
      </c>
      <c r="I791" s="21">
        <v>526</v>
      </c>
      <c r="J791" s="21">
        <v>76.5</v>
      </c>
      <c r="K791" s="21">
        <v>1881</v>
      </c>
      <c r="L791" s="21"/>
      <c r="M791" s="21"/>
      <c r="N791" s="21">
        <v>64.5</v>
      </c>
      <c r="O791" s="21">
        <v>210</v>
      </c>
      <c r="P791" s="21"/>
      <c r="Q791" s="21"/>
      <c r="R791" s="21">
        <v>87</v>
      </c>
      <c r="S791" s="21">
        <v>202</v>
      </c>
      <c r="T791" s="21">
        <v>87</v>
      </c>
      <c r="U791" s="21">
        <v>333</v>
      </c>
      <c r="V791" s="21"/>
      <c r="W791" s="21"/>
      <c r="X791" s="22">
        <v>269.5</v>
      </c>
      <c r="Y791" s="22">
        <v>175</v>
      </c>
      <c r="Z791" s="21">
        <v>508</v>
      </c>
      <c r="AA791" s="21">
        <v>503</v>
      </c>
      <c r="AB791" s="12">
        <v>122</v>
      </c>
    </row>
    <row r="792" ht="14.25" spans="1:28">
      <c r="A792" s="13">
        <v>790</v>
      </c>
      <c r="B792" s="15">
        <v>17</v>
      </c>
      <c r="C792" s="16">
        <v>11</v>
      </c>
      <c r="D792" s="15" t="s">
        <v>1578</v>
      </c>
      <c r="E792" s="15" t="s">
        <v>1579</v>
      </c>
      <c r="F792" s="21">
        <v>105</v>
      </c>
      <c r="G792" s="21">
        <v>437</v>
      </c>
      <c r="H792" s="21">
        <v>53.5</v>
      </c>
      <c r="I792" s="21">
        <v>1706</v>
      </c>
      <c r="J792" s="21">
        <v>80.5</v>
      </c>
      <c r="K792" s="21">
        <v>1650</v>
      </c>
      <c r="L792" s="21"/>
      <c r="M792" s="21"/>
      <c r="N792" s="21">
        <v>50</v>
      </c>
      <c r="O792" s="21">
        <v>1561</v>
      </c>
      <c r="P792" s="21"/>
      <c r="Q792" s="21"/>
      <c r="R792" s="21">
        <v>73</v>
      </c>
      <c r="S792" s="21">
        <v>965</v>
      </c>
      <c r="T792" s="21">
        <v>76</v>
      </c>
      <c r="U792" s="21">
        <v>1218</v>
      </c>
      <c r="V792" s="21"/>
      <c r="W792" s="21"/>
      <c r="X792" s="22">
        <v>239</v>
      </c>
      <c r="Y792" s="22">
        <v>202</v>
      </c>
      <c r="Z792" s="21">
        <v>438</v>
      </c>
      <c r="AA792" s="21">
        <v>1334</v>
      </c>
      <c r="AB792" s="12">
        <v>200</v>
      </c>
    </row>
    <row r="793" ht="14.25" spans="1:28">
      <c r="A793" s="13">
        <v>791</v>
      </c>
      <c r="B793" s="15">
        <v>17</v>
      </c>
      <c r="C793" s="16">
        <v>12</v>
      </c>
      <c r="D793" s="15" t="s">
        <v>1580</v>
      </c>
      <c r="E793" s="15" t="s">
        <v>1581</v>
      </c>
      <c r="F793" s="21">
        <v>113</v>
      </c>
      <c r="G793" s="21">
        <v>78</v>
      </c>
      <c r="H793" s="21">
        <v>103.5</v>
      </c>
      <c r="I793" s="21">
        <v>209</v>
      </c>
      <c r="J793" s="21">
        <v>117.25</v>
      </c>
      <c r="K793" s="21">
        <v>217</v>
      </c>
      <c r="L793" s="21"/>
      <c r="M793" s="21"/>
      <c r="N793" s="21">
        <v>58</v>
      </c>
      <c r="O793" s="21">
        <v>588</v>
      </c>
      <c r="P793" s="21"/>
      <c r="Q793" s="21"/>
      <c r="R793" s="21">
        <v>87</v>
      </c>
      <c r="S793" s="21">
        <v>202</v>
      </c>
      <c r="T793" s="21">
        <v>88</v>
      </c>
      <c r="U793" s="21">
        <v>227</v>
      </c>
      <c r="V793" s="21"/>
      <c r="W793" s="21"/>
      <c r="X793" s="22">
        <v>333.75</v>
      </c>
      <c r="Y793" s="22">
        <v>21</v>
      </c>
      <c r="Z793" s="21">
        <v>566.75</v>
      </c>
      <c r="AA793" s="21">
        <v>148</v>
      </c>
      <c r="AB793" s="12">
        <v>24</v>
      </c>
    </row>
    <row r="794" ht="14.25" spans="1:28">
      <c r="A794" s="13">
        <v>792</v>
      </c>
      <c r="B794" s="15">
        <v>17</v>
      </c>
      <c r="C794" s="16">
        <v>13</v>
      </c>
      <c r="D794" s="15" t="s">
        <v>1582</v>
      </c>
      <c r="E794" s="15" t="s">
        <v>1583</v>
      </c>
      <c r="F794" s="21">
        <v>109.5</v>
      </c>
      <c r="G794" s="21">
        <v>183</v>
      </c>
      <c r="H794" s="21">
        <v>98.5</v>
      </c>
      <c r="I794" s="21">
        <v>305</v>
      </c>
      <c r="J794" s="21">
        <v>112</v>
      </c>
      <c r="K794" s="21">
        <v>334</v>
      </c>
      <c r="L794" s="21"/>
      <c r="M794" s="21"/>
      <c r="N794" s="21">
        <v>62</v>
      </c>
      <c r="O794" s="21">
        <v>315</v>
      </c>
      <c r="P794" s="21"/>
      <c r="Q794" s="21"/>
      <c r="R794" s="21">
        <v>85</v>
      </c>
      <c r="S794" s="21">
        <v>343</v>
      </c>
      <c r="T794" s="21">
        <v>87</v>
      </c>
      <c r="U794" s="21">
        <v>333</v>
      </c>
      <c r="V794" s="21"/>
      <c r="W794" s="21"/>
      <c r="X794" s="22">
        <v>320</v>
      </c>
      <c r="Y794" s="22">
        <v>42</v>
      </c>
      <c r="Z794" s="21">
        <v>554</v>
      </c>
      <c r="AA794" s="21">
        <v>205</v>
      </c>
      <c r="AB794" s="12">
        <v>36</v>
      </c>
    </row>
    <row r="795" ht="14.25" spans="1:28">
      <c r="A795" s="13">
        <v>793</v>
      </c>
      <c r="B795" s="15">
        <v>17</v>
      </c>
      <c r="C795" s="16">
        <v>14</v>
      </c>
      <c r="D795" s="15" t="s">
        <v>1584</v>
      </c>
      <c r="E795" s="15" t="s">
        <v>1585</v>
      </c>
      <c r="F795" s="21">
        <v>95.5</v>
      </c>
      <c r="G795" s="21">
        <v>1544</v>
      </c>
      <c r="H795" s="21">
        <v>84</v>
      </c>
      <c r="I795" s="21">
        <v>635</v>
      </c>
      <c r="J795" s="21">
        <v>98</v>
      </c>
      <c r="K795" s="21">
        <v>794</v>
      </c>
      <c r="L795" s="21"/>
      <c r="M795" s="21"/>
      <c r="N795" s="21">
        <v>56</v>
      </c>
      <c r="O795" s="21">
        <v>804</v>
      </c>
      <c r="P795" s="21"/>
      <c r="Q795" s="21"/>
      <c r="R795" s="21">
        <v>69</v>
      </c>
      <c r="S795" s="21">
        <v>1223</v>
      </c>
      <c r="T795" s="21">
        <v>88</v>
      </c>
      <c r="U795" s="21">
        <v>227</v>
      </c>
      <c r="V795" s="21"/>
      <c r="W795" s="21"/>
      <c r="X795" s="22">
        <v>277.5</v>
      </c>
      <c r="Y795" s="22">
        <v>153</v>
      </c>
      <c r="Z795" s="21">
        <v>490.5</v>
      </c>
      <c r="AA795" s="21">
        <v>671</v>
      </c>
      <c r="AB795" s="12">
        <v>150</v>
      </c>
    </row>
    <row r="796" ht="14.25" spans="1:28">
      <c r="A796" s="13">
        <v>794</v>
      </c>
      <c r="B796" s="15">
        <v>17</v>
      </c>
      <c r="C796" s="16">
        <v>15</v>
      </c>
      <c r="D796" s="15" t="s">
        <v>1586</v>
      </c>
      <c r="E796" s="15" t="s">
        <v>1587</v>
      </c>
      <c r="F796" s="21">
        <v>90.5</v>
      </c>
      <c r="G796" s="21">
        <v>2252</v>
      </c>
      <c r="H796" s="21">
        <v>80.5</v>
      </c>
      <c r="I796" s="21">
        <v>730</v>
      </c>
      <c r="J796" s="21">
        <v>104</v>
      </c>
      <c r="K796" s="21">
        <v>566</v>
      </c>
      <c r="L796" s="21"/>
      <c r="M796" s="21"/>
      <c r="N796" s="21">
        <v>56</v>
      </c>
      <c r="O796" s="21">
        <v>804</v>
      </c>
      <c r="P796" s="21"/>
      <c r="Q796" s="21"/>
      <c r="R796" s="21">
        <v>61</v>
      </c>
      <c r="S796" s="21">
        <v>1852</v>
      </c>
      <c r="T796" s="21">
        <v>54</v>
      </c>
      <c r="U796" s="21">
        <v>3088</v>
      </c>
      <c r="V796" s="21"/>
      <c r="W796" s="21"/>
      <c r="X796" s="22">
        <v>275</v>
      </c>
      <c r="Y796" s="22">
        <v>159</v>
      </c>
      <c r="Z796" s="21">
        <v>446</v>
      </c>
      <c r="AA796" s="21">
        <v>1204</v>
      </c>
      <c r="AB796" s="12">
        <v>193</v>
      </c>
    </row>
    <row r="797" ht="14.25" spans="1:28">
      <c r="A797" s="13">
        <v>795</v>
      </c>
      <c r="B797" s="15">
        <v>17</v>
      </c>
      <c r="C797" s="16">
        <v>17</v>
      </c>
      <c r="D797" s="15" t="s">
        <v>1588</v>
      </c>
      <c r="E797" s="15" t="s">
        <v>1589</v>
      </c>
      <c r="F797" s="21">
        <v>105</v>
      </c>
      <c r="G797" s="21">
        <v>437</v>
      </c>
      <c r="H797" s="21">
        <v>95.5</v>
      </c>
      <c r="I797" s="21">
        <v>360</v>
      </c>
      <c r="J797" s="21">
        <v>105.75</v>
      </c>
      <c r="K797" s="21">
        <v>519</v>
      </c>
      <c r="L797" s="21"/>
      <c r="M797" s="21"/>
      <c r="N797" s="21">
        <v>58</v>
      </c>
      <c r="O797" s="21">
        <v>588</v>
      </c>
      <c r="P797" s="21"/>
      <c r="Q797" s="21"/>
      <c r="R797" s="21">
        <v>86</v>
      </c>
      <c r="S797" s="21">
        <v>293</v>
      </c>
      <c r="T797" s="21">
        <v>82</v>
      </c>
      <c r="U797" s="21">
        <v>702</v>
      </c>
      <c r="V797" s="21"/>
      <c r="W797" s="21"/>
      <c r="X797" s="22">
        <v>306.25</v>
      </c>
      <c r="Y797" s="22">
        <v>81</v>
      </c>
      <c r="Z797" s="21">
        <v>532.25</v>
      </c>
      <c r="AA797" s="21">
        <v>335</v>
      </c>
      <c r="AB797" s="12">
        <v>75</v>
      </c>
    </row>
    <row r="798" ht="14.25" spans="1:28">
      <c r="A798" s="13">
        <v>796</v>
      </c>
      <c r="B798" s="15">
        <v>17</v>
      </c>
      <c r="C798" s="16">
        <v>19</v>
      </c>
      <c r="D798" s="15" t="s">
        <v>1590</v>
      </c>
      <c r="E798" s="15" t="s">
        <v>1591</v>
      </c>
      <c r="F798" s="21">
        <v>102.75</v>
      </c>
      <c r="G798" s="21">
        <v>678</v>
      </c>
      <c r="H798" s="21">
        <v>90</v>
      </c>
      <c r="I798" s="21">
        <v>498</v>
      </c>
      <c r="J798" s="21">
        <v>105.75</v>
      </c>
      <c r="K798" s="21">
        <v>519</v>
      </c>
      <c r="L798" s="21"/>
      <c r="M798" s="21"/>
      <c r="N798" s="21">
        <v>55.5</v>
      </c>
      <c r="O798" s="21">
        <v>860</v>
      </c>
      <c r="P798" s="21"/>
      <c r="Q798" s="21"/>
      <c r="R798" s="21">
        <v>88</v>
      </c>
      <c r="S798" s="21">
        <v>123</v>
      </c>
      <c r="T798" s="21">
        <v>89</v>
      </c>
      <c r="U798" s="21">
        <v>137</v>
      </c>
      <c r="V798" s="21"/>
      <c r="W798" s="21"/>
      <c r="X798" s="22">
        <v>298.5</v>
      </c>
      <c r="Y798" s="22">
        <v>102</v>
      </c>
      <c r="Z798" s="21">
        <v>531</v>
      </c>
      <c r="AA798" s="21">
        <v>343</v>
      </c>
      <c r="AB798" s="12">
        <v>76</v>
      </c>
    </row>
    <row r="799" ht="14.25" spans="1:28">
      <c r="A799" s="13">
        <v>797</v>
      </c>
      <c r="B799" s="15">
        <v>17</v>
      </c>
      <c r="C799" s="16">
        <v>20</v>
      </c>
      <c r="D799" s="15" t="s">
        <v>1592</v>
      </c>
      <c r="E799" s="15" t="s">
        <v>1593</v>
      </c>
      <c r="F799" s="21">
        <v>112.5</v>
      </c>
      <c r="G799" s="21">
        <v>92</v>
      </c>
      <c r="H799" s="21">
        <v>94.5</v>
      </c>
      <c r="I799" s="21">
        <v>381</v>
      </c>
      <c r="J799" s="21">
        <v>116.5</v>
      </c>
      <c r="K799" s="21">
        <v>233</v>
      </c>
      <c r="L799" s="21"/>
      <c r="M799" s="21"/>
      <c r="N799" s="21">
        <v>65.5</v>
      </c>
      <c r="O799" s="21">
        <v>173</v>
      </c>
      <c r="P799" s="21"/>
      <c r="Q799" s="21"/>
      <c r="R799" s="21">
        <v>87</v>
      </c>
      <c r="S799" s="21">
        <v>202</v>
      </c>
      <c r="T799" s="21">
        <v>89</v>
      </c>
      <c r="U799" s="21">
        <v>137</v>
      </c>
      <c r="V799" s="21"/>
      <c r="W799" s="21"/>
      <c r="X799" s="22">
        <v>323.5</v>
      </c>
      <c r="Y799" s="22">
        <v>38</v>
      </c>
      <c r="Z799" s="21">
        <v>565</v>
      </c>
      <c r="AA799" s="21">
        <v>156</v>
      </c>
      <c r="AB799" s="12">
        <v>25</v>
      </c>
    </row>
    <row r="800" ht="14.25" spans="1:28">
      <c r="A800" s="13">
        <v>798</v>
      </c>
      <c r="B800" s="15">
        <v>17</v>
      </c>
      <c r="C800" s="16">
        <v>21</v>
      </c>
      <c r="D800" s="15" t="s">
        <v>1594</v>
      </c>
      <c r="E800" s="15" t="s">
        <v>1595</v>
      </c>
      <c r="F800" s="21">
        <v>100</v>
      </c>
      <c r="G800" s="21">
        <v>958</v>
      </c>
      <c r="H800" s="21">
        <v>114</v>
      </c>
      <c r="I800" s="21">
        <v>77</v>
      </c>
      <c r="J800" s="21">
        <v>117</v>
      </c>
      <c r="K800" s="21">
        <v>222</v>
      </c>
      <c r="L800" s="21"/>
      <c r="M800" s="21"/>
      <c r="N800" s="21">
        <v>66</v>
      </c>
      <c r="O800" s="21">
        <v>163</v>
      </c>
      <c r="P800" s="21"/>
      <c r="Q800" s="21"/>
      <c r="R800" s="21">
        <v>79</v>
      </c>
      <c r="S800" s="21">
        <v>590</v>
      </c>
      <c r="T800" s="21">
        <v>87</v>
      </c>
      <c r="U800" s="21">
        <v>333</v>
      </c>
      <c r="V800" s="21"/>
      <c r="W800" s="21"/>
      <c r="X800" s="22">
        <v>331</v>
      </c>
      <c r="Y800" s="22">
        <v>24</v>
      </c>
      <c r="Z800" s="21">
        <v>563</v>
      </c>
      <c r="AA800" s="21">
        <v>163</v>
      </c>
      <c r="AB800" s="12">
        <v>27</v>
      </c>
    </row>
    <row r="801" ht="14.25" spans="1:28">
      <c r="A801" s="13">
        <v>799</v>
      </c>
      <c r="B801" s="15">
        <v>17</v>
      </c>
      <c r="C801" s="16">
        <v>22</v>
      </c>
      <c r="D801" s="15" t="s">
        <v>1596</v>
      </c>
      <c r="E801" s="15" t="s">
        <v>1597</v>
      </c>
      <c r="F801" s="21">
        <v>107</v>
      </c>
      <c r="G801" s="21">
        <v>307</v>
      </c>
      <c r="H801" s="21">
        <v>50</v>
      </c>
      <c r="I801" s="21">
        <v>1904</v>
      </c>
      <c r="J801" s="21">
        <v>89</v>
      </c>
      <c r="K801" s="21">
        <v>1186</v>
      </c>
      <c r="L801" s="21"/>
      <c r="M801" s="21"/>
      <c r="N801" s="21">
        <v>46</v>
      </c>
      <c r="O801" s="21">
        <v>2109</v>
      </c>
      <c r="P801" s="21"/>
      <c r="Q801" s="21"/>
      <c r="R801" s="21">
        <v>72</v>
      </c>
      <c r="S801" s="21">
        <v>1055</v>
      </c>
      <c r="T801" s="21">
        <v>77</v>
      </c>
      <c r="U801" s="21">
        <v>1108</v>
      </c>
      <c r="V801" s="21"/>
      <c r="W801" s="21"/>
      <c r="X801" s="22">
        <v>246</v>
      </c>
      <c r="Y801" s="22">
        <v>198</v>
      </c>
      <c r="Z801" s="21">
        <v>441</v>
      </c>
      <c r="AA801" s="21">
        <v>1280</v>
      </c>
      <c r="AB801" s="12">
        <v>199</v>
      </c>
    </row>
    <row r="802" ht="14.25" spans="1:28">
      <c r="A802" s="13">
        <v>800</v>
      </c>
      <c r="B802" s="15">
        <v>17</v>
      </c>
      <c r="C802" s="16">
        <v>23</v>
      </c>
      <c r="D802" s="15" t="s">
        <v>1598</v>
      </c>
      <c r="E802" s="15" t="s">
        <v>1599</v>
      </c>
      <c r="F802" s="21">
        <v>105</v>
      </c>
      <c r="G802" s="21">
        <v>437</v>
      </c>
      <c r="H802" s="21">
        <v>104</v>
      </c>
      <c r="I802" s="21">
        <v>203</v>
      </c>
      <c r="J802" s="21">
        <v>99.25</v>
      </c>
      <c r="K802" s="21">
        <v>742</v>
      </c>
      <c r="L802" s="21"/>
      <c r="M802" s="21"/>
      <c r="N802" s="21">
        <v>65.5</v>
      </c>
      <c r="O802" s="21">
        <v>173</v>
      </c>
      <c r="P802" s="21"/>
      <c r="Q802" s="21"/>
      <c r="R802" s="21">
        <v>85</v>
      </c>
      <c r="S802" s="21">
        <v>343</v>
      </c>
      <c r="T802" s="21">
        <v>87</v>
      </c>
      <c r="U802" s="21">
        <v>333</v>
      </c>
      <c r="V802" s="21"/>
      <c r="W802" s="21"/>
      <c r="X802" s="22">
        <v>308.25</v>
      </c>
      <c r="Y802" s="22">
        <v>75</v>
      </c>
      <c r="Z802" s="21">
        <v>545.75</v>
      </c>
      <c r="AA802" s="21">
        <v>256</v>
      </c>
      <c r="AB802" s="12">
        <v>49</v>
      </c>
    </row>
    <row r="803" ht="14.25" spans="1:28">
      <c r="A803" s="13">
        <v>801</v>
      </c>
      <c r="B803" s="15">
        <v>17</v>
      </c>
      <c r="C803" s="16">
        <v>24</v>
      </c>
      <c r="D803" s="15" t="s">
        <v>1600</v>
      </c>
      <c r="E803" s="15" t="s">
        <v>1601</v>
      </c>
      <c r="F803" s="21">
        <v>99</v>
      </c>
      <c r="G803" s="21">
        <v>1072</v>
      </c>
      <c r="H803" s="21">
        <v>70</v>
      </c>
      <c r="I803" s="21">
        <v>1051</v>
      </c>
      <c r="J803" s="21">
        <v>96.75</v>
      </c>
      <c r="K803" s="21">
        <v>855</v>
      </c>
      <c r="L803" s="21"/>
      <c r="M803" s="21"/>
      <c r="N803" s="21">
        <v>44.5</v>
      </c>
      <c r="O803" s="21">
        <v>2305</v>
      </c>
      <c r="P803" s="21"/>
      <c r="Q803" s="21"/>
      <c r="R803" s="21">
        <v>88</v>
      </c>
      <c r="S803" s="21">
        <v>123</v>
      </c>
      <c r="T803" s="21">
        <v>87</v>
      </c>
      <c r="U803" s="21">
        <v>333</v>
      </c>
      <c r="V803" s="21"/>
      <c r="W803" s="21"/>
      <c r="X803" s="22">
        <v>265.75</v>
      </c>
      <c r="Y803" s="22">
        <v>185</v>
      </c>
      <c r="Z803" s="21">
        <v>485.25</v>
      </c>
      <c r="AA803" s="21">
        <v>716</v>
      </c>
      <c r="AB803" s="12">
        <v>157</v>
      </c>
    </row>
    <row r="804" ht="14.25" spans="1:28">
      <c r="A804" s="13">
        <v>802</v>
      </c>
      <c r="B804" s="15">
        <v>17</v>
      </c>
      <c r="C804" s="16">
        <v>25</v>
      </c>
      <c r="D804" s="15" t="s">
        <v>1602</v>
      </c>
      <c r="E804" s="15" t="s">
        <v>1603</v>
      </c>
      <c r="F804" s="21">
        <v>99</v>
      </c>
      <c r="G804" s="21">
        <v>1072</v>
      </c>
      <c r="H804" s="21">
        <v>100</v>
      </c>
      <c r="I804" s="21">
        <v>272</v>
      </c>
      <c r="J804" s="21">
        <v>93</v>
      </c>
      <c r="K804" s="21">
        <v>1008</v>
      </c>
      <c r="L804" s="21"/>
      <c r="M804" s="21"/>
      <c r="N804" s="21">
        <v>49</v>
      </c>
      <c r="O804" s="21">
        <v>1682</v>
      </c>
      <c r="P804" s="21"/>
      <c r="Q804" s="21"/>
      <c r="R804" s="21">
        <v>72</v>
      </c>
      <c r="S804" s="21">
        <v>1055</v>
      </c>
      <c r="T804" s="21">
        <v>79</v>
      </c>
      <c r="U804" s="21">
        <v>952</v>
      </c>
      <c r="V804" s="21"/>
      <c r="W804" s="21"/>
      <c r="X804" s="22">
        <v>292</v>
      </c>
      <c r="Y804" s="22">
        <v>123</v>
      </c>
      <c r="Z804" s="21">
        <v>492</v>
      </c>
      <c r="AA804" s="21">
        <v>653</v>
      </c>
      <c r="AB804" s="12">
        <v>146</v>
      </c>
    </row>
    <row r="805" ht="14.25" spans="1:28">
      <c r="A805" s="13">
        <v>803</v>
      </c>
      <c r="B805" s="15">
        <v>17</v>
      </c>
      <c r="C805" s="16">
        <v>26</v>
      </c>
      <c r="D805" s="15" t="s">
        <v>1604</v>
      </c>
      <c r="E805" s="15" t="s">
        <v>1605</v>
      </c>
      <c r="F805" s="21">
        <v>104.5</v>
      </c>
      <c r="G805" s="21">
        <v>475</v>
      </c>
      <c r="H805" s="21">
        <v>100.5</v>
      </c>
      <c r="I805" s="21">
        <v>263</v>
      </c>
      <c r="J805" s="21">
        <v>113.75</v>
      </c>
      <c r="K805" s="21">
        <v>293</v>
      </c>
      <c r="L805" s="21"/>
      <c r="M805" s="21"/>
      <c r="N805" s="21">
        <v>59.5</v>
      </c>
      <c r="O805" s="21">
        <v>483</v>
      </c>
      <c r="P805" s="21"/>
      <c r="Q805" s="21"/>
      <c r="R805" s="21">
        <v>80</v>
      </c>
      <c r="S805" s="21">
        <v>535</v>
      </c>
      <c r="T805" s="21">
        <v>86</v>
      </c>
      <c r="U805" s="21">
        <v>465</v>
      </c>
      <c r="V805" s="21"/>
      <c r="W805" s="21"/>
      <c r="X805" s="22">
        <v>318.75</v>
      </c>
      <c r="Y805" s="22">
        <v>44</v>
      </c>
      <c r="Z805" s="21">
        <v>544.25</v>
      </c>
      <c r="AA805" s="21">
        <v>263</v>
      </c>
      <c r="AB805" s="12">
        <v>51</v>
      </c>
    </row>
    <row r="806" ht="14.25" spans="1:28">
      <c r="A806" s="13">
        <v>804</v>
      </c>
      <c r="B806" s="15">
        <v>17</v>
      </c>
      <c r="C806" s="16">
        <v>27</v>
      </c>
      <c r="D806" s="15" t="s">
        <v>1606</v>
      </c>
      <c r="E806" s="15" t="s">
        <v>1607</v>
      </c>
      <c r="F806" s="21">
        <v>97.25</v>
      </c>
      <c r="G806" s="21">
        <v>1323</v>
      </c>
      <c r="H806" s="21">
        <v>105</v>
      </c>
      <c r="I806" s="21">
        <v>189</v>
      </c>
      <c r="J806" s="21">
        <v>113.5</v>
      </c>
      <c r="K806" s="21">
        <v>297</v>
      </c>
      <c r="L806" s="21"/>
      <c r="M806" s="21"/>
      <c r="N806" s="21">
        <v>55</v>
      </c>
      <c r="O806" s="21">
        <v>914</v>
      </c>
      <c r="P806" s="21"/>
      <c r="Q806" s="21"/>
      <c r="R806" s="21">
        <v>78</v>
      </c>
      <c r="S806" s="21">
        <v>682</v>
      </c>
      <c r="T806" s="21">
        <v>86</v>
      </c>
      <c r="U806" s="21">
        <v>465</v>
      </c>
      <c r="V806" s="21"/>
      <c r="W806" s="21"/>
      <c r="X806" s="22">
        <v>315.75</v>
      </c>
      <c r="Y806" s="22">
        <v>53</v>
      </c>
      <c r="Z806" s="21">
        <v>534.75</v>
      </c>
      <c r="AA806" s="21">
        <v>314</v>
      </c>
      <c r="AB806" s="12">
        <v>68</v>
      </c>
    </row>
    <row r="807" ht="14.25" spans="1:28">
      <c r="A807" s="13">
        <v>805</v>
      </c>
      <c r="B807" s="15">
        <v>17</v>
      </c>
      <c r="C807" s="16">
        <v>28</v>
      </c>
      <c r="D807" s="15" t="s">
        <v>1608</v>
      </c>
      <c r="E807" s="15" t="s">
        <v>1609</v>
      </c>
      <c r="F807" s="21">
        <v>98</v>
      </c>
      <c r="G807" s="21">
        <v>1207</v>
      </c>
      <c r="H807" s="21">
        <v>110.5</v>
      </c>
      <c r="I807" s="21">
        <v>121</v>
      </c>
      <c r="J807" s="21">
        <v>103.5</v>
      </c>
      <c r="K807" s="21">
        <v>582</v>
      </c>
      <c r="L807" s="21"/>
      <c r="M807" s="21"/>
      <c r="N807" s="21">
        <v>65.5</v>
      </c>
      <c r="O807" s="21">
        <v>173</v>
      </c>
      <c r="P807" s="21"/>
      <c r="Q807" s="21"/>
      <c r="R807" s="21">
        <v>70</v>
      </c>
      <c r="S807" s="21">
        <v>1165</v>
      </c>
      <c r="T807" s="21">
        <v>71</v>
      </c>
      <c r="U807" s="21">
        <v>1653</v>
      </c>
      <c r="V807" s="21"/>
      <c r="W807" s="21"/>
      <c r="X807" s="22">
        <v>312</v>
      </c>
      <c r="Y807" s="22">
        <v>65</v>
      </c>
      <c r="Z807" s="21">
        <v>518.5</v>
      </c>
      <c r="AA807" s="21">
        <v>422</v>
      </c>
      <c r="AB807" s="12">
        <v>97</v>
      </c>
    </row>
    <row r="808" ht="14.25" spans="1:28">
      <c r="A808" s="13">
        <v>806</v>
      </c>
      <c r="B808" s="15">
        <v>17</v>
      </c>
      <c r="C808" s="16">
        <v>29</v>
      </c>
      <c r="D808" s="15" t="s">
        <v>1610</v>
      </c>
      <c r="E808" s="15" t="s">
        <v>1611</v>
      </c>
      <c r="F808" s="21">
        <v>102.5</v>
      </c>
      <c r="G808" s="21">
        <v>686</v>
      </c>
      <c r="H808" s="21">
        <v>106</v>
      </c>
      <c r="I808" s="21">
        <v>175</v>
      </c>
      <c r="J808" s="21">
        <v>109</v>
      </c>
      <c r="K808" s="21">
        <v>423</v>
      </c>
      <c r="L808" s="21"/>
      <c r="M808" s="21"/>
      <c r="N808" s="21">
        <v>57</v>
      </c>
      <c r="O808" s="21">
        <v>689</v>
      </c>
      <c r="P808" s="21"/>
      <c r="Q808" s="21"/>
      <c r="R808" s="21">
        <v>78</v>
      </c>
      <c r="S808" s="21">
        <v>682</v>
      </c>
      <c r="T808" s="21">
        <v>83</v>
      </c>
      <c r="U808" s="21">
        <v>616</v>
      </c>
      <c r="V808" s="21"/>
      <c r="W808" s="21"/>
      <c r="X808" s="22">
        <v>317.5</v>
      </c>
      <c r="Y808" s="22">
        <v>50</v>
      </c>
      <c r="Z808" s="21">
        <v>535.5</v>
      </c>
      <c r="AA808" s="21">
        <v>310</v>
      </c>
      <c r="AB808" s="12">
        <v>66</v>
      </c>
    </row>
    <row r="809" ht="14.25" spans="1:28">
      <c r="A809" s="13">
        <v>807</v>
      </c>
      <c r="B809" s="15">
        <v>17</v>
      </c>
      <c r="C809" s="16">
        <v>30</v>
      </c>
      <c r="D809" s="15" t="s">
        <v>1612</v>
      </c>
      <c r="E809" s="15" t="s">
        <v>1613</v>
      </c>
      <c r="F809" s="21">
        <v>90.25</v>
      </c>
      <c r="G809" s="21">
        <v>2328</v>
      </c>
      <c r="H809" s="21">
        <v>103</v>
      </c>
      <c r="I809" s="21">
        <v>216</v>
      </c>
      <c r="J809" s="21">
        <v>107.25</v>
      </c>
      <c r="K809" s="21">
        <v>475</v>
      </c>
      <c r="L809" s="21"/>
      <c r="M809" s="21"/>
      <c r="N809" s="21">
        <v>54.5</v>
      </c>
      <c r="O809" s="21">
        <v>986</v>
      </c>
      <c r="P809" s="21"/>
      <c r="Q809" s="21"/>
      <c r="R809" s="21">
        <v>94</v>
      </c>
      <c r="S809" s="21">
        <v>5</v>
      </c>
      <c r="T809" s="21">
        <v>91</v>
      </c>
      <c r="U809" s="21">
        <v>51</v>
      </c>
      <c r="V809" s="21"/>
      <c r="W809" s="21"/>
      <c r="X809" s="22">
        <v>300.5</v>
      </c>
      <c r="Y809" s="22">
        <v>97</v>
      </c>
      <c r="Z809" s="21">
        <v>540</v>
      </c>
      <c r="AA809" s="21">
        <v>289</v>
      </c>
      <c r="AB809" s="12">
        <v>58</v>
      </c>
    </row>
    <row r="810" ht="14.25" spans="1:28">
      <c r="A810" s="13">
        <v>808</v>
      </c>
      <c r="B810" s="15">
        <v>17</v>
      </c>
      <c r="C810" s="16">
        <v>31</v>
      </c>
      <c r="D810" s="15" t="s">
        <v>1614</v>
      </c>
      <c r="E810" s="15" t="s">
        <v>1615</v>
      </c>
      <c r="F810" s="21">
        <v>115.5</v>
      </c>
      <c r="G810" s="21">
        <v>41</v>
      </c>
      <c r="H810" s="21">
        <v>102.5</v>
      </c>
      <c r="I810" s="21">
        <v>229</v>
      </c>
      <c r="J810" s="21">
        <v>90</v>
      </c>
      <c r="K810" s="21">
        <v>1140</v>
      </c>
      <c r="L810" s="21"/>
      <c r="M810" s="21"/>
      <c r="N810" s="21">
        <v>54.5</v>
      </c>
      <c r="O810" s="21">
        <v>986</v>
      </c>
      <c r="P810" s="21"/>
      <c r="Q810" s="21"/>
      <c r="R810" s="21">
        <v>91</v>
      </c>
      <c r="S810" s="21">
        <v>30</v>
      </c>
      <c r="T810" s="21">
        <v>89</v>
      </c>
      <c r="U810" s="21">
        <v>137</v>
      </c>
      <c r="V810" s="21"/>
      <c r="W810" s="21"/>
      <c r="X810" s="22">
        <v>308</v>
      </c>
      <c r="Y810" s="22">
        <v>77</v>
      </c>
      <c r="Z810" s="21">
        <v>542.5</v>
      </c>
      <c r="AA810" s="21">
        <v>275</v>
      </c>
      <c r="AB810" s="12">
        <v>54</v>
      </c>
    </row>
    <row r="811" ht="14.25" spans="1:28">
      <c r="A811" s="13">
        <v>809</v>
      </c>
      <c r="B811" s="15">
        <v>17</v>
      </c>
      <c r="C811" s="16">
        <v>33</v>
      </c>
      <c r="D811" s="15" t="s">
        <v>1616</v>
      </c>
      <c r="E811" s="15" t="s">
        <v>1617</v>
      </c>
      <c r="F811" s="21">
        <v>97</v>
      </c>
      <c r="G811" s="21">
        <v>1332</v>
      </c>
      <c r="H811" s="21">
        <v>94</v>
      </c>
      <c r="I811" s="21">
        <v>391</v>
      </c>
      <c r="J811" s="21">
        <v>85.25</v>
      </c>
      <c r="K811" s="21">
        <v>1399</v>
      </c>
      <c r="L811" s="21"/>
      <c r="M811" s="21"/>
      <c r="N811" s="21">
        <v>49</v>
      </c>
      <c r="O811" s="21">
        <v>1682</v>
      </c>
      <c r="P811" s="21"/>
      <c r="Q811" s="21"/>
      <c r="R811" s="21">
        <v>68</v>
      </c>
      <c r="S811" s="21">
        <v>1296</v>
      </c>
      <c r="T811" s="21">
        <v>69</v>
      </c>
      <c r="U811" s="21">
        <v>1773</v>
      </c>
      <c r="V811" s="21"/>
      <c r="W811" s="21"/>
      <c r="X811" s="22">
        <v>276.25</v>
      </c>
      <c r="Y811" s="22">
        <v>156</v>
      </c>
      <c r="Z811" s="21">
        <v>462.25</v>
      </c>
      <c r="AA811" s="21">
        <v>975</v>
      </c>
      <c r="AB811" s="12">
        <v>184</v>
      </c>
    </row>
    <row r="812" ht="14.25" spans="1:28">
      <c r="A812" s="13">
        <v>810</v>
      </c>
      <c r="B812" s="15">
        <v>17</v>
      </c>
      <c r="C812" s="16">
        <v>35</v>
      </c>
      <c r="D812" s="15" t="s">
        <v>1618</v>
      </c>
      <c r="E812" s="15" t="s">
        <v>1619</v>
      </c>
      <c r="F812" s="21">
        <v>103.25</v>
      </c>
      <c r="G812" s="21">
        <v>620</v>
      </c>
      <c r="H812" s="21">
        <v>78</v>
      </c>
      <c r="I812" s="21">
        <v>802</v>
      </c>
      <c r="J812" s="21">
        <v>81</v>
      </c>
      <c r="K812" s="21">
        <v>1629</v>
      </c>
      <c r="L812" s="21"/>
      <c r="M812" s="21"/>
      <c r="N812" s="21">
        <v>62</v>
      </c>
      <c r="O812" s="21">
        <v>315</v>
      </c>
      <c r="P812" s="21"/>
      <c r="Q812" s="21"/>
      <c r="R812" s="21">
        <v>79</v>
      </c>
      <c r="S812" s="21">
        <v>590</v>
      </c>
      <c r="T812" s="21">
        <v>70</v>
      </c>
      <c r="U812" s="21">
        <v>1710</v>
      </c>
      <c r="V812" s="21"/>
      <c r="W812" s="21"/>
      <c r="X812" s="22">
        <v>262.25</v>
      </c>
      <c r="Y812" s="22">
        <v>189</v>
      </c>
      <c r="Z812" s="21">
        <v>473.25</v>
      </c>
      <c r="AA812" s="21">
        <v>857</v>
      </c>
      <c r="AB812" s="12">
        <v>174</v>
      </c>
    </row>
    <row r="813" ht="14.25" spans="1:28">
      <c r="A813" s="13">
        <v>811</v>
      </c>
      <c r="B813" s="15">
        <v>17</v>
      </c>
      <c r="C813" s="16">
        <v>36</v>
      </c>
      <c r="D813" s="15" t="s">
        <v>1620</v>
      </c>
      <c r="E813" s="15" t="s">
        <v>1621</v>
      </c>
      <c r="F813" s="21">
        <v>110.5</v>
      </c>
      <c r="G813" s="21">
        <v>151</v>
      </c>
      <c r="H813" s="21">
        <v>74.5</v>
      </c>
      <c r="I813" s="21">
        <v>903</v>
      </c>
      <c r="J813" s="21">
        <v>84.5</v>
      </c>
      <c r="K813" s="21">
        <v>1438</v>
      </c>
      <c r="L813" s="21"/>
      <c r="M813" s="21"/>
      <c r="N813" s="21">
        <v>61.5</v>
      </c>
      <c r="O813" s="21">
        <v>347</v>
      </c>
      <c r="P813" s="21"/>
      <c r="Q813" s="21"/>
      <c r="R813" s="21">
        <v>65</v>
      </c>
      <c r="S813" s="21">
        <v>1510</v>
      </c>
      <c r="T813" s="21">
        <v>80</v>
      </c>
      <c r="U813" s="21">
        <v>854</v>
      </c>
      <c r="V813" s="21"/>
      <c r="W813" s="21"/>
      <c r="X813" s="22">
        <v>269.5</v>
      </c>
      <c r="Y813" s="22">
        <v>175</v>
      </c>
      <c r="Z813" s="21">
        <v>476</v>
      </c>
      <c r="AA813" s="21">
        <v>820</v>
      </c>
      <c r="AB813" s="12">
        <v>172</v>
      </c>
    </row>
    <row r="814" ht="14.25" spans="1:28">
      <c r="A814" s="13">
        <v>812</v>
      </c>
      <c r="B814" s="15">
        <v>17</v>
      </c>
      <c r="C814" s="16">
        <v>37</v>
      </c>
      <c r="D814" s="15" t="s">
        <v>1622</v>
      </c>
      <c r="E814" s="15" t="s">
        <v>1623</v>
      </c>
      <c r="F814" s="21">
        <v>101.5</v>
      </c>
      <c r="G814" s="21">
        <v>805</v>
      </c>
      <c r="H814" s="21">
        <v>102</v>
      </c>
      <c r="I814" s="21">
        <v>241</v>
      </c>
      <c r="J814" s="21">
        <v>111.25</v>
      </c>
      <c r="K814" s="21">
        <v>355</v>
      </c>
      <c r="L814" s="21"/>
      <c r="M814" s="21"/>
      <c r="N814" s="21">
        <v>61.5</v>
      </c>
      <c r="O814" s="21">
        <v>347</v>
      </c>
      <c r="P814" s="21"/>
      <c r="Q814" s="21"/>
      <c r="R814" s="21">
        <v>86</v>
      </c>
      <c r="S814" s="21">
        <v>293</v>
      </c>
      <c r="T814" s="21">
        <v>74</v>
      </c>
      <c r="U814" s="21">
        <v>1396</v>
      </c>
      <c r="V814" s="21"/>
      <c r="W814" s="21"/>
      <c r="X814" s="22">
        <v>314.75</v>
      </c>
      <c r="Y814" s="22">
        <v>57</v>
      </c>
      <c r="Z814" s="21">
        <v>536.25</v>
      </c>
      <c r="AA814" s="21">
        <v>307</v>
      </c>
      <c r="AB814" s="12">
        <v>65</v>
      </c>
    </row>
    <row r="815" ht="14.25" spans="1:28">
      <c r="A815" s="13">
        <v>813</v>
      </c>
      <c r="B815" s="15">
        <v>17</v>
      </c>
      <c r="C815" s="16">
        <v>38</v>
      </c>
      <c r="D815" s="15" t="s">
        <v>1624</v>
      </c>
      <c r="E815" s="15" t="s">
        <v>1625</v>
      </c>
      <c r="F815" s="21">
        <v>115</v>
      </c>
      <c r="G815" s="21">
        <v>50</v>
      </c>
      <c r="H815" s="21">
        <v>64.5</v>
      </c>
      <c r="I815" s="21">
        <v>1240</v>
      </c>
      <c r="J815" s="21">
        <v>118.5</v>
      </c>
      <c r="K815" s="21">
        <v>189</v>
      </c>
      <c r="L815" s="21"/>
      <c r="M815" s="21"/>
      <c r="N815" s="21">
        <v>47.5</v>
      </c>
      <c r="O815" s="21">
        <v>1909</v>
      </c>
      <c r="P815" s="21"/>
      <c r="Q815" s="21"/>
      <c r="R815" s="21">
        <v>87</v>
      </c>
      <c r="S815" s="21">
        <v>202</v>
      </c>
      <c r="T815" s="21">
        <v>90</v>
      </c>
      <c r="U815" s="21">
        <v>80</v>
      </c>
      <c r="V815" s="21"/>
      <c r="W815" s="21"/>
      <c r="X815" s="22">
        <v>298</v>
      </c>
      <c r="Y815" s="22">
        <v>104</v>
      </c>
      <c r="Z815" s="21">
        <v>522.5</v>
      </c>
      <c r="AA815" s="21">
        <v>392</v>
      </c>
      <c r="AB815" s="12">
        <v>91</v>
      </c>
    </row>
    <row r="816" ht="14.25" spans="1:28">
      <c r="A816" s="13">
        <v>814</v>
      </c>
      <c r="B816" s="15">
        <v>17</v>
      </c>
      <c r="C816" s="16">
        <v>39</v>
      </c>
      <c r="D816" s="15" t="s">
        <v>1626</v>
      </c>
      <c r="E816" s="15" t="s">
        <v>1627</v>
      </c>
      <c r="F816" s="21">
        <v>97</v>
      </c>
      <c r="G816" s="21">
        <v>1332</v>
      </c>
      <c r="H816" s="21">
        <v>99</v>
      </c>
      <c r="I816" s="21">
        <v>296</v>
      </c>
      <c r="J816" s="21">
        <v>91.75</v>
      </c>
      <c r="K816" s="21">
        <v>1069</v>
      </c>
      <c r="L816" s="21"/>
      <c r="M816" s="21"/>
      <c r="N816" s="21">
        <v>47</v>
      </c>
      <c r="O816" s="21">
        <v>1983</v>
      </c>
      <c r="P816" s="21"/>
      <c r="Q816" s="21"/>
      <c r="R816" s="21">
        <v>87</v>
      </c>
      <c r="S816" s="21">
        <v>202</v>
      </c>
      <c r="T816" s="21">
        <v>69</v>
      </c>
      <c r="U816" s="21">
        <v>1773</v>
      </c>
      <c r="V816" s="21"/>
      <c r="W816" s="21"/>
      <c r="X816" s="22">
        <v>287.75</v>
      </c>
      <c r="Y816" s="22">
        <v>136</v>
      </c>
      <c r="Z816" s="21">
        <v>490.75</v>
      </c>
      <c r="AA816" s="21">
        <v>669</v>
      </c>
      <c r="AB816" s="12">
        <v>149</v>
      </c>
    </row>
    <row r="817" ht="14.25" spans="1:28">
      <c r="A817" s="13">
        <v>815</v>
      </c>
      <c r="B817" s="15">
        <v>17</v>
      </c>
      <c r="C817" s="16">
        <v>40</v>
      </c>
      <c r="D817" s="15" t="s">
        <v>1628</v>
      </c>
      <c r="E817" s="15" t="s">
        <v>1629</v>
      </c>
      <c r="F817" s="21">
        <v>95.25</v>
      </c>
      <c r="G817" s="21">
        <v>1603</v>
      </c>
      <c r="H817" s="21">
        <v>76</v>
      </c>
      <c r="I817" s="21">
        <v>862</v>
      </c>
      <c r="J817" s="21">
        <v>101.5</v>
      </c>
      <c r="K817" s="21">
        <v>649</v>
      </c>
      <c r="L817" s="21"/>
      <c r="M817" s="21"/>
      <c r="N817" s="21">
        <v>59.5</v>
      </c>
      <c r="O817" s="21">
        <v>483</v>
      </c>
      <c r="P817" s="21"/>
      <c r="Q817" s="21"/>
      <c r="R817" s="21">
        <v>82</v>
      </c>
      <c r="S817" s="21">
        <v>432</v>
      </c>
      <c r="T817" s="21">
        <v>78</v>
      </c>
      <c r="U817" s="21">
        <v>1003</v>
      </c>
      <c r="V817" s="21"/>
      <c r="W817" s="21"/>
      <c r="X817" s="22">
        <v>272.75</v>
      </c>
      <c r="Y817" s="22">
        <v>161</v>
      </c>
      <c r="Z817" s="21">
        <v>492.25</v>
      </c>
      <c r="AA817" s="21">
        <v>651</v>
      </c>
      <c r="AB817" s="12">
        <v>145</v>
      </c>
    </row>
    <row r="818" ht="14.25" spans="1:28">
      <c r="A818" s="13">
        <v>816</v>
      </c>
      <c r="B818" s="15">
        <v>17</v>
      </c>
      <c r="C818" s="16">
        <v>41</v>
      </c>
      <c r="D818" s="15" t="s">
        <v>1630</v>
      </c>
      <c r="E818" s="15" t="s">
        <v>1631</v>
      </c>
      <c r="F818" s="21">
        <v>107</v>
      </c>
      <c r="G818" s="21">
        <v>307</v>
      </c>
      <c r="H818" s="21">
        <v>87</v>
      </c>
      <c r="I818" s="21">
        <v>563</v>
      </c>
      <c r="J818" s="21">
        <v>108.25</v>
      </c>
      <c r="K818" s="21">
        <v>445</v>
      </c>
      <c r="L818" s="21"/>
      <c r="M818" s="21"/>
      <c r="N818" s="21">
        <v>51</v>
      </c>
      <c r="O818" s="21">
        <v>1415</v>
      </c>
      <c r="P818" s="21"/>
      <c r="Q818" s="21"/>
      <c r="R818" s="21">
        <v>70</v>
      </c>
      <c r="S818" s="21">
        <v>1165</v>
      </c>
      <c r="T818" s="21">
        <v>89</v>
      </c>
      <c r="U818" s="21">
        <v>137</v>
      </c>
      <c r="V818" s="21"/>
      <c r="W818" s="21"/>
      <c r="X818" s="22">
        <v>302.25</v>
      </c>
      <c r="Y818" s="22">
        <v>87</v>
      </c>
      <c r="Z818" s="21">
        <v>512.25</v>
      </c>
      <c r="AA818" s="21">
        <v>462</v>
      </c>
      <c r="AB818" s="12">
        <v>108</v>
      </c>
    </row>
    <row r="819" ht="14.25" spans="1:28">
      <c r="A819" s="13">
        <v>817</v>
      </c>
      <c r="B819" s="15">
        <v>17</v>
      </c>
      <c r="C819" s="16">
        <v>44</v>
      </c>
      <c r="D819" s="15" t="s">
        <v>1632</v>
      </c>
      <c r="E819" s="15" t="s">
        <v>1633</v>
      </c>
      <c r="F819" s="21">
        <v>96.5</v>
      </c>
      <c r="G819" s="21">
        <v>1406</v>
      </c>
      <c r="H819" s="21">
        <v>98</v>
      </c>
      <c r="I819" s="21">
        <v>314</v>
      </c>
      <c r="J819" s="21">
        <v>100.5</v>
      </c>
      <c r="K819" s="21">
        <v>683</v>
      </c>
      <c r="L819" s="21"/>
      <c r="M819" s="21"/>
      <c r="N819" s="21">
        <v>59.5</v>
      </c>
      <c r="O819" s="21">
        <v>483</v>
      </c>
      <c r="P819" s="21"/>
      <c r="Q819" s="21"/>
      <c r="R819" s="21">
        <v>70</v>
      </c>
      <c r="S819" s="21">
        <v>1165</v>
      </c>
      <c r="T819" s="21">
        <v>89</v>
      </c>
      <c r="U819" s="21">
        <v>137</v>
      </c>
      <c r="V819" s="21"/>
      <c r="W819" s="21"/>
      <c r="X819" s="22">
        <v>295</v>
      </c>
      <c r="Y819" s="22">
        <v>114</v>
      </c>
      <c r="Z819" s="21">
        <v>513.5</v>
      </c>
      <c r="AA819" s="21">
        <v>458</v>
      </c>
      <c r="AB819" s="12">
        <v>107</v>
      </c>
    </row>
    <row r="820" ht="14.25" spans="1:28">
      <c r="A820" s="13">
        <v>818</v>
      </c>
      <c r="B820" s="15">
        <v>17</v>
      </c>
      <c r="C820" s="16">
        <v>45</v>
      </c>
      <c r="D820" s="15" t="s">
        <v>1634</v>
      </c>
      <c r="E820" s="15" t="s">
        <v>1635</v>
      </c>
      <c r="F820" s="21">
        <v>99</v>
      </c>
      <c r="G820" s="21">
        <v>1072</v>
      </c>
      <c r="H820" s="21">
        <v>110.5</v>
      </c>
      <c r="I820" s="21">
        <v>121</v>
      </c>
      <c r="J820" s="21">
        <v>85.5</v>
      </c>
      <c r="K820" s="21">
        <v>1377</v>
      </c>
      <c r="L820" s="21"/>
      <c r="M820" s="21"/>
      <c r="N820" s="21">
        <v>55.5</v>
      </c>
      <c r="O820" s="21">
        <v>860</v>
      </c>
      <c r="P820" s="21"/>
      <c r="Q820" s="21"/>
      <c r="R820" s="21">
        <v>70</v>
      </c>
      <c r="S820" s="21">
        <v>1165</v>
      </c>
      <c r="T820" s="21">
        <v>89</v>
      </c>
      <c r="U820" s="21">
        <v>137</v>
      </c>
      <c r="V820" s="21"/>
      <c r="W820" s="21"/>
      <c r="X820" s="22">
        <v>295</v>
      </c>
      <c r="Y820" s="22">
        <v>114</v>
      </c>
      <c r="Z820" s="21">
        <v>509.5</v>
      </c>
      <c r="AA820" s="21">
        <v>483</v>
      </c>
      <c r="AB820" s="12">
        <v>112</v>
      </c>
    </row>
    <row r="821" ht="14.25" spans="1:28">
      <c r="A821" s="13">
        <v>819</v>
      </c>
      <c r="B821" s="15">
        <v>17</v>
      </c>
      <c r="C821" s="16">
        <v>46</v>
      </c>
      <c r="D821" s="15" t="s">
        <v>1636</v>
      </c>
      <c r="E821" s="15" t="s">
        <v>1637</v>
      </c>
      <c r="F821" s="21">
        <v>95</v>
      </c>
      <c r="G821" s="21">
        <v>1611</v>
      </c>
      <c r="H821" s="21">
        <v>72</v>
      </c>
      <c r="I821" s="21">
        <v>976</v>
      </c>
      <c r="J821" s="21">
        <v>78.75</v>
      </c>
      <c r="K821" s="21">
        <v>1768</v>
      </c>
      <c r="L821" s="21"/>
      <c r="M821" s="21"/>
      <c r="N821" s="21">
        <v>50.5</v>
      </c>
      <c r="O821" s="21">
        <v>1493</v>
      </c>
      <c r="P821" s="21"/>
      <c r="Q821" s="21"/>
      <c r="R821" s="21">
        <v>71</v>
      </c>
      <c r="S821" s="21">
        <v>1117</v>
      </c>
      <c r="T821" s="21">
        <v>55</v>
      </c>
      <c r="U821" s="21">
        <v>3042</v>
      </c>
      <c r="V821" s="21"/>
      <c r="W821" s="21"/>
      <c r="X821" s="22">
        <v>245.75</v>
      </c>
      <c r="Y821" s="22">
        <v>200</v>
      </c>
      <c r="Z821" s="21">
        <v>422.25</v>
      </c>
      <c r="AA821" s="21">
        <v>1562</v>
      </c>
      <c r="AB821" s="12">
        <v>203</v>
      </c>
    </row>
    <row r="822" ht="14.25" spans="1:28">
      <c r="A822" s="13">
        <v>820</v>
      </c>
      <c r="B822" s="15">
        <v>17</v>
      </c>
      <c r="C822" s="16">
        <v>47</v>
      </c>
      <c r="D822" s="15" t="s">
        <v>1638</v>
      </c>
      <c r="E822" s="15" t="s">
        <v>1639</v>
      </c>
      <c r="F822" s="21">
        <v>96.25</v>
      </c>
      <c r="G822" s="21">
        <v>1467</v>
      </c>
      <c r="H822" s="21">
        <v>68.5</v>
      </c>
      <c r="I822" s="21">
        <v>1098</v>
      </c>
      <c r="J822" s="21">
        <v>107.5</v>
      </c>
      <c r="K822" s="21">
        <v>469</v>
      </c>
      <c r="L822" s="21"/>
      <c r="M822" s="21"/>
      <c r="N822" s="21">
        <v>48.5</v>
      </c>
      <c r="O822" s="21">
        <v>1763</v>
      </c>
      <c r="P822" s="21"/>
      <c r="Q822" s="21"/>
      <c r="R822" s="21">
        <v>71</v>
      </c>
      <c r="S822" s="21">
        <v>1117</v>
      </c>
      <c r="T822" s="21">
        <v>69</v>
      </c>
      <c r="U822" s="21">
        <v>1773</v>
      </c>
      <c r="V822" s="21"/>
      <c r="W822" s="21"/>
      <c r="X822" s="22">
        <v>272.25</v>
      </c>
      <c r="Y822" s="22">
        <v>165</v>
      </c>
      <c r="Z822" s="21">
        <v>460.75</v>
      </c>
      <c r="AA822" s="21">
        <v>999</v>
      </c>
      <c r="AB822" s="12">
        <v>186</v>
      </c>
    </row>
    <row r="823" ht="14.25" spans="1:28">
      <c r="A823" s="13">
        <v>821</v>
      </c>
      <c r="B823" s="15">
        <v>17</v>
      </c>
      <c r="C823" s="16">
        <v>48</v>
      </c>
      <c r="D823" s="15" t="s">
        <v>1640</v>
      </c>
      <c r="E823" s="15" t="s">
        <v>1641</v>
      </c>
      <c r="F823" s="21">
        <v>103.75</v>
      </c>
      <c r="G823" s="21">
        <v>573</v>
      </c>
      <c r="H823" s="21">
        <v>93.5</v>
      </c>
      <c r="I823" s="21">
        <v>401</v>
      </c>
      <c r="J823" s="21">
        <v>102</v>
      </c>
      <c r="K823" s="21">
        <v>632</v>
      </c>
      <c r="L823" s="21"/>
      <c r="M823" s="21"/>
      <c r="N823" s="21">
        <v>65.5</v>
      </c>
      <c r="O823" s="21">
        <v>173</v>
      </c>
      <c r="P823" s="21"/>
      <c r="Q823" s="21"/>
      <c r="R823" s="21">
        <v>89</v>
      </c>
      <c r="S823" s="21">
        <v>77</v>
      </c>
      <c r="T823" s="21">
        <v>76</v>
      </c>
      <c r="U823" s="21">
        <v>1218</v>
      </c>
      <c r="V823" s="21"/>
      <c r="W823" s="21"/>
      <c r="X823" s="22">
        <v>299.25</v>
      </c>
      <c r="Y823" s="22">
        <v>99</v>
      </c>
      <c r="Z823" s="21">
        <v>529.75</v>
      </c>
      <c r="AA823" s="21">
        <v>356</v>
      </c>
      <c r="AB823" s="12">
        <v>79</v>
      </c>
    </row>
    <row r="824" ht="14.25" spans="1:28">
      <c r="A824" s="13">
        <v>822</v>
      </c>
      <c r="B824" s="15">
        <v>17</v>
      </c>
      <c r="C824" s="16">
        <v>49</v>
      </c>
      <c r="D824" s="15" t="s">
        <v>1642</v>
      </c>
      <c r="E824" s="15" t="s">
        <v>1643</v>
      </c>
      <c r="F824" s="21">
        <v>97.5</v>
      </c>
      <c r="G824" s="21">
        <v>1268</v>
      </c>
      <c r="H824" s="21">
        <v>67</v>
      </c>
      <c r="I824" s="21">
        <v>1147</v>
      </c>
      <c r="J824" s="21">
        <v>107</v>
      </c>
      <c r="K824" s="21">
        <v>478</v>
      </c>
      <c r="L824" s="21"/>
      <c r="M824" s="21"/>
      <c r="N824" s="21">
        <v>49.5</v>
      </c>
      <c r="O824" s="21">
        <v>1623</v>
      </c>
      <c r="P824" s="21"/>
      <c r="Q824" s="21"/>
      <c r="R824" s="21">
        <v>86</v>
      </c>
      <c r="S824" s="21">
        <v>293</v>
      </c>
      <c r="T824" s="21">
        <v>80</v>
      </c>
      <c r="U824" s="21">
        <v>854</v>
      </c>
      <c r="V824" s="21"/>
      <c r="W824" s="21"/>
      <c r="X824" s="22">
        <v>271.5</v>
      </c>
      <c r="Y824" s="22">
        <v>166</v>
      </c>
      <c r="Z824" s="21">
        <v>487</v>
      </c>
      <c r="AA824" s="21">
        <v>704</v>
      </c>
      <c r="AB824" s="12">
        <v>156</v>
      </c>
    </row>
    <row r="825" ht="14.25" spans="1:28">
      <c r="A825" s="13">
        <v>823</v>
      </c>
      <c r="B825" s="15">
        <v>17</v>
      </c>
      <c r="C825" s="16">
        <v>52</v>
      </c>
      <c r="D825" s="15" t="s">
        <v>1644</v>
      </c>
      <c r="E825" s="15" t="s">
        <v>1645</v>
      </c>
      <c r="F825" s="21">
        <v>105.5</v>
      </c>
      <c r="G825" s="21">
        <v>406</v>
      </c>
      <c r="H825" s="21">
        <v>72.5</v>
      </c>
      <c r="I825" s="21">
        <v>965</v>
      </c>
      <c r="J825" s="21">
        <v>119</v>
      </c>
      <c r="K825" s="21">
        <v>179</v>
      </c>
      <c r="L825" s="21"/>
      <c r="M825" s="21"/>
      <c r="N825" s="21">
        <v>55.5</v>
      </c>
      <c r="O825" s="21">
        <v>860</v>
      </c>
      <c r="P825" s="21"/>
      <c r="Q825" s="21"/>
      <c r="R825" s="21">
        <v>84</v>
      </c>
      <c r="S825" s="21">
        <v>369</v>
      </c>
      <c r="T825" s="21">
        <v>85</v>
      </c>
      <c r="U825" s="21">
        <v>537</v>
      </c>
      <c r="V825" s="21"/>
      <c r="W825" s="21"/>
      <c r="X825" s="22">
        <v>297</v>
      </c>
      <c r="Y825" s="22">
        <v>106</v>
      </c>
      <c r="Z825" s="21">
        <v>521.5</v>
      </c>
      <c r="AA825" s="21">
        <v>399</v>
      </c>
      <c r="AB825" s="12">
        <v>92</v>
      </c>
    </row>
    <row r="826" ht="14.25" spans="1:28">
      <c r="A826" s="13">
        <v>824</v>
      </c>
      <c r="B826" s="15">
        <v>17</v>
      </c>
      <c r="C826" s="16">
        <v>53</v>
      </c>
      <c r="D826" s="15" t="s">
        <v>1646</v>
      </c>
      <c r="E826" s="15" t="s">
        <v>1647</v>
      </c>
      <c r="F826" s="21">
        <v>87.5</v>
      </c>
      <c r="G826" s="21">
        <v>2724</v>
      </c>
      <c r="H826" s="21">
        <v>73</v>
      </c>
      <c r="I826" s="21">
        <v>950</v>
      </c>
      <c r="J826" s="21">
        <v>91.75</v>
      </c>
      <c r="K826" s="21">
        <v>1069</v>
      </c>
      <c r="L826" s="21"/>
      <c r="M826" s="21"/>
      <c r="N826" s="21">
        <v>49</v>
      </c>
      <c r="O826" s="21">
        <v>1682</v>
      </c>
      <c r="P826" s="21"/>
      <c r="Q826" s="21"/>
      <c r="R826" s="21">
        <v>67</v>
      </c>
      <c r="S826" s="21">
        <v>1346</v>
      </c>
      <c r="T826" s="21">
        <v>84</v>
      </c>
      <c r="U826" s="21">
        <v>578</v>
      </c>
      <c r="V826" s="21"/>
      <c r="W826" s="21"/>
      <c r="X826" s="22">
        <v>252.25</v>
      </c>
      <c r="Y826" s="22">
        <v>192</v>
      </c>
      <c r="Z826" s="21">
        <v>452.25</v>
      </c>
      <c r="AA826" s="21">
        <v>1137</v>
      </c>
      <c r="AB826" s="12">
        <v>190</v>
      </c>
    </row>
    <row r="827" ht="14.25" spans="1:28">
      <c r="A827" s="13">
        <v>825</v>
      </c>
      <c r="B827" s="15">
        <v>17</v>
      </c>
      <c r="C827" s="16">
        <v>54</v>
      </c>
      <c r="D827" s="15" t="s">
        <v>1648</v>
      </c>
      <c r="E827" s="15" t="s">
        <v>1649</v>
      </c>
      <c r="F827" s="21">
        <v>108</v>
      </c>
      <c r="G827" s="21">
        <v>247</v>
      </c>
      <c r="H827" s="21">
        <v>88</v>
      </c>
      <c r="I827" s="21">
        <v>537</v>
      </c>
      <c r="J827" s="21">
        <v>97.5</v>
      </c>
      <c r="K827" s="21">
        <v>814</v>
      </c>
      <c r="L827" s="21"/>
      <c r="M827" s="21"/>
      <c r="N827" s="21">
        <v>42.5</v>
      </c>
      <c r="O827" s="21">
        <v>2603</v>
      </c>
      <c r="P827" s="21"/>
      <c r="Q827" s="21"/>
      <c r="R827" s="21">
        <v>88</v>
      </c>
      <c r="S827" s="21">
        <v>123</v>
      </c>
      <c r="T827" s="21">
        <v>90</v>
      </c>
      <c r="U827" s="21">
        <v>80</v>
      </c>
      <c r="V827" s="21"/>
      <c r="W827" s="21"/>
      <c r="X827" s="22">
        <v>293.5</v>
      </c>
      <c r="Y827" s="22">
        <v>121</v>
      </c>
      <c r="Z827" s="21">
        <v>514</v>
      </c>
      <c r="AA827" s="21">
        <v>454</v>
      </c>
      <c r="AB827" s="12">
        <v>106</v>
      </c>
    </row>
    <row r="828" ht="14.25" spans="1:28">
      <c r="A828" s="13">
        <v>826</v>
      </c>
      <c r="B828" s="15">
        <v>17</v>
      </c>
      <c r="C828" s="16">
        <v>55</v>
      </c>
      <c r="D828" s="15" t="s">
        <v>1650</v>
      </c>
      <c r="E828" s="15" t="s">
        <v>1651</v>
      </c>
      <c r="F828" s="21">
        <v>119.5</v>
      </c>
      <c r="G828" s="21">
        <v>11</v>
      </c>
      <c r="H828" s="21">
        <v>50.5</v>
      </c>
      <c r="I828" s="21">
        <v>1871</v>
      </c>
      <c r="J828" s="21">
        <v>117</v>
      </c>
      <c r="K828" s="21">
        <v>222</v>
      </c>
      <c r="L828" s="21"/>
      <c r="M828" s="21"/>
      <c r="N828" s="21">
        <v>63.5</v>
      </c>
      <c r="O828" s="21">
        <v>253</v>
      </c>
      <c r="P828" s="21"/>
      <c r="Q828" s="21"/>
      <c r="R828" s="21">
        <v>78</v>
      </c>
      <c r="S828" s="21">
        <v>682</v>
      </c>
      <c r="T828" s="21">
        <v>88</v>
      </c>
      <c r="U828" s="21">
        <v>227</v>
      </c>
      <c r="V828" s="21"/>
      <c r="W828" s="21"/>
      <c r="X828" s="22">
        <v>287</v>
      </c>
      <c r="Y828" s="22">
        <v>137</v>
      </c>
      <c r="Z828" s="21">
        <v>516.5</v>
      </c>
      <c r="AA828" s="21">
        <v>439</v>
      </c>
      <c r="AB828" s="12">
        <v>103</v>
      </c>
    </row>
    <row r="829" ht="14.25" spans="1:28">
      <c r="A829" s="13">
        <v>827</v>
      </c>
      <c r="B829" s="15">
        <v>18</v>
      </c>
      <c r="C829" s="16">
        <v>2</v>
      </c>
      <c r="D829" s="15" t="s">
        <v>1652</v>
      </c>
      <c r="E829" s="15" t="s">
        <v>1653</v>
      </c>
      <c r="F829" s="21">
        <v>100</v>
      </c>
      <c r="G829" s="21">
        <v>958</v>
      </c>
      <c r="H829" s="21">
        <v>105</v>
      </c>
      <c r="I829" s="21">
        <v>189</v>
      </c>
      <c r="J829" s="21">
        <v>79.5</v>
      </c>
      <c r="K829" s="21">
        <v>1718</v>
      </c>
      <c r="L829" s="21"/>
      <c r="M829" s="21"/>
      <c r="N829" s="21">
        <v>45.5</v>
      </c>
      <c r="O829" s="21">
        <v>2181</v>
      </c>
      <c r="P829" s="21"/>
      <c r="Q829" s="21"/>
      <c r="R829" s="21">
        <v>74</v>
      </c>
      <c r="S829" s="21">
        <v>916</v>
      </c>
      <c r="T829" s="21">
        <v>80</v>
      </c>
      <c r="U829" s="21">
        <v>854</v>
      </c>
      <c r="V829" s="21"/>
      <c r="W829" s="21"/>
      <c r="X829" s="22">
        <v>284.5</v>
      </c>
      <c r="Y829" s="22">
        <v>143</v>
      </c>
      <c r="Z829" s="21">
        <v>484</v>
      </c>
      <c r="AA829" s="21">
        <v>731</v>
      </c>
      <c r="AB829" s="12">
        <v>160</v>
      </c>
    </row>
    <row r="830" ht="14.25" spans="1:28">
      <c r="A830" s="13">
        <v>828</v>
      </c>
      <c r="B830" s="15">
        <v>18</v>
      </c>
      <c r="C830" s="16">
        <v>4</v>
      </c>
      <c r="D830" s="15" t="s">
        <v>1654</v>
      </c>
      <c r="E830" s="15" t="s">
        <v>1655</v>
      </c>
      <c r="F830" s="21">
        <v>103.5</v>
      </c>
      <c r="G830" s="21">
        <v>577</v>
      </c>
      <c r="H830" s="21">
        <v>111.5</v>
      </c>
      <c r="I830" s="21">
        <v>106</v>
      </c>
      <c r="J830" s="21">
        <v>110</v>
      </c>
      <c r="K830" s="21">
        <v>386</v>
      </c>
      <c r="L830" s="21"/>
      <c r="M830" s="21"/>
      <c r="N830" s="21">
        <v>68.5</v>
      </c>
      <c r="O830" s="21">
        <v>82</v>
      </c>
      <c r="P830" s="21"/>
      <c r="Q830" s="21"/>
      <c r="R830" s="21">
        <v>91</v>
      </c>
      <c r="S830" s="21">
        <v>30</v>
      </c>
      <c r="T830" s="21">
        <v>86</v>
      </c>
      <c r="U830" s="21">
        <v>465</v>
      </c>
      <c r="V830" s="21"/>
      <c r="W830" s="21"/>
      <c r="X830" s="22">
        <v>325</v>
      </c>
      <c r="Y830" s="22">
        <v>34</v>
      </c>
      <c r="Z830" s="21">
        <v>570.5</v>
      </c>
      <c r="AA830" s="21">
        <v>125</v>
      </c>
      <c r="AB830" s="12">
        <v>18</v>
      </c>
    </row>
    <row r="831" ht="14.25" spans="1:28">
      <c r="A831" s="13">
        <v>829</v>
      </c>
      <c r="B831" s="15">
        <v>18</v>
      </c>
      <c r="C831" s="16">
        <v>5</v>
      </c>
      <c r="D831" s="15" t="s">
        <v>1656</v>
      </c>
      <c r="E831" s="15" t="s">
        <v>1657</v>
      </c>
      <c r="F831" s="21">
        <v>100.5</v>
      </c>
      <c r="G831" s="21">
        <v>901</v>
      </c>
      <c r="H831" s="21">
        <v>53</v>
      </c>
      <c r="I831" s="21">
        <v>1737</v>
      </c>
      <c r="J831" s="21">
        <v>73</v>
      </c>
      <c r="K831" s="21">
        <v>2053</v>
      </c>
      <c r="L831" s="21"/>
      <c r="M831" s="21"/>
      <c r="N831" s="21">
        <v>49</v>
      </c>
      <c r="O831" s="21">
        <v>1682</v>
      </c>
      <c r="P831" s="21"/>
      <c r="Q831" s="21"/>
      <c r="R831" s="21">
        <v>70</v>
      </c>
      <c r="S831" s="21">
        <v>1165</v>
      </c>
      <c r="T831" s="21">
        <v>71</v>
      </c>
      <c r="U831" s="21">
        <v>1653</v>
      </c>
      <c r="V831" s="21"/>
      <c r="W831" s="21"/>
      <c r="X831" s="22">
        <v>226.5</v>
      </c>
      <c r="Y831" s="22">
        <v>205</v>
      </c>
      <c r="Z831" s="21">
        <v>416.5</v>
      </c>
      <c r="AA831" s="21">
        <v>1653</v>
      </c>
      <c r="AB831" s="12">
        <v>205</v>
      </c>
    </row>
    <row r="832" ht="14.25" spans="1:28">
      <c r="A832" s="13">
        <v>830</v>
      </c>
      <c r="B832" s="15">
        <v>18</v>
      </c>
      <c r="C832" s="16">
        <v>7</v>
      </c>
      <c r="D832" s="15" t="s">
        <v>1658</v>
      </c>
      <c r="E832" s="15" t="s">
        <v>1659</v>
      </c>
      <c r="F832" s="21">
        <v>94.5</v>
      </c>
      <c r="G832" s="21">
        <v>1687</v>
      </c>
      <c r="H832" s="21">
        <v>99.5</v>
      </c>
      <c r="I832" s="21">
        <v>281</v>
      </c>
      <c r="J832" s="21">
        <v>120.5</v>
      </c>
      <c r="K832" s="21">
        <v>153</v>
      </c>
      <c r="L832" s="21"/>
      <c r="M832" s="21"/>
      <c r="N832" s="21">
        <v>40.5</v>
      </c>
      <c r="O832" s="21">
        <v>2886</v>
      </c>
      <c r="P832" s="21"/>
      <c r="Q832" s="21"/>
      <c r="R832" s="21">
        <v>68</v>
      </c>
      <c r="S832" s="21">
        <v>1296</v>
      </c>
      <c r="T832" s="21">
        <v>86</v>
      </c>
      <c r="U832" s="21">
        <v>465</v>
      </c>
      <c r="V832" s="21"/>
      <c r="W832" s="21"/>
      <c r="X832" s="22">
        <v>314.5</v>
      </c>
      <c r="Y832" s="22">
        <v>58</v>
      </c>
      <c r="Z832" s="21">
        <v>509</v>
      </c>
      <c r="AA832" s="21">
        <v>494</v>
      </c>
      <c r="AB832" s="12">
        <v>117</v>
      </c>
    </row>
    <row r="833" ht="14.25" spans="1:28">
      <c r="A833" s="13">
        <v>831</v>
      </c>
      <c r="B833" s="15">
        <v>18</v>
      </c>
      <c r="C833" s="16">
        <v>8</v>
      </c>
      <c r="D833" s="15" t="s">
        <v>1660</v>
      </c>
      <c r="E833" s="15" t="s">
        <v>1661</v>
      </c>
      <c r="F833" s="21">
        <v>112.5</v>
      </c>
      <c r="G833" s="21">
        <v>92</v>
      </c>
      <c r="H833" s="21">
        <v>96</v>
      </c>
      <c r="I833" s="21">
        <v>351</v>
      </c>
      <c r="J833" s="21">
        <v>107.75</v>
      </c>
      <c r="K833" s="21">
        <v>464</v>
      </c>
      <c r="L833" s="21"/>
      <c r="M833" s="21"/>
      <c r="N833" s="21">
        <v>56</v>
      </c>
      <c r="O833" s="21">
        <v>804</v>
      </c>
      <c r="P833" s="21"/>
      <c r="Q833" s="21"/>
      <c r="R833" s="21">
        <v>88</v>
      </c>
      <c r="S833" s="21">
        <v>123</v>
      </c>
      <c r="T833" s="21">
        <v>77</v>
      </c>
      <c r="U833" s="21">
        <v>1108</v>
      </c>
      <c r="V833" s="21"/>
      <c r="W833" s="21"/>
      <c r="X833" s="22">
        <v>316.25</v>
      </c>
      <c r="Y833" s="22">
        <v>52</v>
      </c>
      <c r="Z833" s="21">
        <v>537.25</v>
      </c>
      <c r="AA833" s="21">
        <v>301</v>
      </c>
      <c r="AB833" s="12">
        <v>62</v>
      </c>
    </row>
    <row r="834" ht="14.25" spans="1:28">
      <c r="A834" s="13">
        <v>832</v>
      </c>
      <c r="B834" s="15">
        <v>18</v>
      </c>
      <c r="C834" s="16">
        <v>10</v>
      </c>
      <c r="D834" s="15" t="s">
        <v>1662</v>
      </c>
      <c r="E834" s="15" t="s">
        <v>1663</v>
      </c>
      <c r="F834" s="21">
        <v>96.5</v>
      </c>
      <c r="G834" s="21">
        <v>1406</v>
      </c>
      <c r="H834" s="21">
        <v>57</v>
      </c>
      <c r="I834" s="21">
        <v>1510</v>
      </c>
      <c r="J834" s="21">
        <v>85.5</v>
      </c>
      <c r="K834" s="21">
        <v>1377</v>
      </c>
      <c r="L834" s="21"/>
      <c r="M834" s="21"/>
      <c r="N834" s="21">
        <v>42</v>
      </c>
      <c r="O834" s="21">
        <v>2673</v>
      </c>
      <c r="P834" s="21"/>
      <c r="Q834" s="21"/>
      <c r="R834" s="21">
        <v>79</v>
      </c>
      <c r="S834" s="21">
        <v>590</v>
      </c>
      <c r="T834" s="21">
        <v>58</v>
      </c>
      <c r="U834" s="21">
        <v>2834</v>
      </c>
      <c r="V834" s="21"/>
      <c r="W834" s="21"/>
      <c r="X834" s="22">
        <v>239</v>
      </c>
      <c r="Y834" s="22">
        <v>202</v>
      </c>
      <c r="Z834" s="21">
        <v>418</v>
      </c>
      <c r="AA834" s="21">
        <v>1628</v>
      </c>
      <c r="AB834" s="12">
        <v>204</v>
      </c>
    </row>
    <row r="835" ht="14.25" spans="1:28">
      <c r="A835" s="13">
        <v>833</v>
      </c>
      <c r="B835" s="15">
        <v>18</v>
      </c>
      <c r="C835" s="16">
        <v>11</v>
      </c>
      <c r="D835" s="15" t="s">
        <v>1664</v>
      </c>
      <c r="E835" s="15" t="s">
        <v>1665</v>
      </c>
      <c r="F835" s="21">
        <v>108</v>
      </c>
      <c r="G835" s="21">
        <v>247</v>
      </c>
      <c r="H835" s="21">
        <v>91.5</v>
      </c>
      <c r="I835" s="21">
        <v>450</v>
      </c>
      <c r="J835" s="21">
        <v>102</v>
      </c>
      <c r="K835" s="21">
        <v>632</v>
      </c>
      <c r="L835" s="21"/>
      <c r="M835" s="21"/>
      <c r="N835" s="21">
        <v>71</v>
      </c>
      <c r="O835" s="21">
        <v>28</v>
      </c>
      <c r="P835" s="21"/>
      <c r="Q835" s="21"/>
      <c r="R835" s="21">
        <v>91</v>
      </c>
      <c r="S835" s="21">
        <v>30</v>
      </c>
      <c r="T835" s="21">
        <v>84</v>
      </c>
      <c r="U835" s="21">
        <v>578</v>
      </c>
      <c r="V835" s="21"/>
      <c r="W835" s="21"/>
      <c r="X835" s="22">
        <v>301.5</v>
      </c>
      <c r="Y835" s="22">
        <v>93</v>
      </c>
      <c r="Z835" s="21">
        <v>547.5</v>
      </c>
      <c r="AA835" s="21">
        <v>245</v>
      </c>
      <c r="AB835" s="12">
        <v>46</v>
      </c>
    </row>
    <row r="836" ht="14.25" spans="1:28">
      <c r="A836" s="13">
        <v>834</v>
      </c>
      <c r="B836" s="15">
        <v>18</v>
      </c>
      <c r="C836" s="16">
        <v>12</v>
      </c>
      <c r="D836" s="15" t="s">
        <v>1666</v>
      </c>
      <c r="E836" s="15" t="s">
        <v>1667</v>
      </c>
      <c r="F836" s="21">
        <v>111</v>
      </c>
      <c r="G836" s="21">
        <v>130</v>
      </c>
      <c r="H836" s="21">
        <v>111.5</v>
      </c>
      <c r="I836" s="21">
        <v>106</v>
      </c>
      <c r="J836" s="21">
        <v>88.25</v>
      </c>
      <c r="K836" s="21">
        <v>1227</v>
      </c>
      <c r="L836" s="21"/>
      <c r="M836" s="21"/>
      <c r="N836" s="21">
        <v>57.5</v>
      </c>
      <c r="O836" s="21">
        <v>638</v>
      </c>
      <c r="P836" s="21"/>
      <c r="Q836" s="21"/>
      <c r="R836" s="21">
        <v>87</v>
      </c>
      <c r="S836" s="21">
        <v>202</v>
      </c>
      <c r="T836" s="21">
        <v>72</v>
      </c>
      <c r="U836" s="21">
        <v>1556</v>
      </c>
      <c r="V836" s="21"/>
      <c r="W836" s="21"/>
      <c r="X836" s="22">
        <v>310.75</v>
      </c>
      <c r="Y836" s="22">
        <v>70</v>
      </c>
      <c r="Z836" s="21">
        <v>527.25</v>
      </c>
      <c r="AA836" s="21">
        <v>369</v>
      </c>
      <c r="AB836" s="12">
        <v>83</v>
      </c>
    </row>
    <row r="837" ht="14.25" spans="1:28">
      <c r="A837" s="13">
        <v>835</v>
      </c>
      <c r="B837" s="15">
        <v>18</v>
      </c>
      <c r="C837" s="16">
        <v>13</v>
      </c>
      <c r="D837" s="15" t="s">
        <v>1668</v>
      </c>
      <c r="E837" s="15" t="s">
        <v>1669</v>
      </c>
      <c r="F837" s="21">
        <v>100</v>
      </c>
      <c r="G837" s="21">
        <v>958</v>
      </c>
      <c r="H837" s="21">
        <v>95.5</v>
      </c>
      <c r="I837" s="21">
        <v>360</v>
      </c>
      <c r="J837" s="21">
        <v>98.75</v>
      </c>
      <c r="K837" s="21">
        <v>765</v>
      </c>
      <c r="L837" s="21"/>
      <c r="M837" s="21"/>
      <c r="N837" s="21">
        <v>36.5</v>
      </c>
      <c r="O837" s="21">
        <v>3346</v>
      </c>
      <c r="P837" s="21"/>
      <c r="Q837" s="21"/>
      <c r="R837" s="21">
        <v>75</v>
      </c>
      <c r="S837" s="21">
        <v>873</v>
      </c>
      <c r="T837" s="21">
        <v>69</v>
      </c>
      <c r="U837" s="21">
        <v>1773</v>
      </c>
      <c r="V837" s="21"/>
      <c r="W837" s="21"/>
      <c r="X837" s="22">
        <v>294.25</v>
      </c>
      <c r="Y837" s="22">
        <v>118</v>
      </c>
      <c r="Z837" s="21">
        <v>474.75</v>
      </c>
      <c r="AA837" s="21">
        <v>841</v>
      </c>
      <c r="AB837" s="12">
        <v>173</v>
      </c>
    </row>
    <row r="838" ht="14.25" spans="1:28">
      <c r="A838" s="13">
        <v>836</v>
      </c>
      <c r="B838" s="15">
        <v>18</v>
      </c>
      <c r="C838" s="16">
        <v>14</v>
      </c>
      <c r="D838" s="15" t="s">
        <v>1670</v>
      </c>
      <c r="E838" s="15" t="s">
        <v>1671</v>
      </c>
      <c r="F838" s="21">
        <v>105</v>
      </c>
      <c r="G838" s="21">
        <v>437</v>
      </c>
      <c r="H838" s="21">
        <v>64</v>
      </c>
      <c r="I838" s="21">
        <v>1261</v>
      </c>
      <c r="J838" s="21">
        <v>107.5</v>
      </c>
      <c r="K838" s="21">
        <v>469</v>
      </c>
      <c r="L838" s="21"/>
      <c r="M838" s="21"/>
      <c r="N838" s="21">
        <v>53</v>
      </c>
      <c r="O838" s="21">
        <v>1155</v>
      </c>
      <c r="P838" s="21"/>
      <c r="Q838" s="21"/>
      <c r="R838" s="21">
        <v>73</v>
      </c>
      <c r="S838" s="21">
        <v>965</v>
      </c>
      <c r="T838" s="21">
        <v>82</v>
      </c>
      <c r="U838" s="21">
        <v>702</v>
      </c>
      <c r="V838" s="21"/>
      <c r="W838" s="21"/>
      <c r="X838" s="22">
        <v>276.5</v>
      </c>
      <c r="Y838" s="22">
        <v>155</v>
      </c>
      <c r="Z838" s="21">
        <v>484.5</v>
      </c>
      <c r="AA838" s="21">
        <v>727</v>
      </c>
      <c r="AB838" s="12">
        <v>159</v>
      </c>
    </row>
    <row r="839" ht="14.25" spans="1:28">
      <c r="A839" s="13">
        <v>837</v>
      </c>
      <c r="B839" s="15">
        <v>18</v>
      </c>
      <c r="C839" s="16">
        <v>17</v>
      </c>
      <c r="D839" s="15" t="s">
        <v>1672</v>
      </c>
      <c r="E839" s="15" t="s">
        <v>1673</v>
      </c>
      <c r="F839" s="21">
        <v>99</v>
      </c>
      <c r="G839" s="21">
        <v>1072</v>
      </c>
      <c r="H839" s="21">
        <v>101.5</v>
      </c>
      <c r="I839" s="21">
        <v>247</v>
      </c>
      <c r="J839" s="21">
        <v>99</v>
      </c>
      <c r="K839" s="21">
        <v>751</v>
      </c>
      <c r="L839" s="21"/>
      <c r="M839" s="21"/>
      <c r="N839" s="21">
        <v>43.5</v>
      </c>
      <c r="O839" s="21">
        <v>2443</v>
      </c>
      <c r="P839" s="21"/>
      <c r="Q839" s="21"/>
      <c r="R839" s="21">
        <v>82</v>
      </c>
      <c r="S839" s="21">
        <v>432</v>
      </c>
      <c r="T839" s="21">
        <v>77</v>
      </c>
      <c r="U839" s="21">
        <v>1108</v>
      </c>
      <c r="V839" s="21"/>
      <c r="W839" s="21"/>
      <c r="X839" s="22">
        <v>299.5</v>
      </c>
      <c r="Y839" s="22">
        <v>98</v>
      </c>
      <c r="Z839" s="21">
        <v>502</v>
      </c>
      <c r="AA839" s="21">
        <v>556</v>
      </c>
      <c r="AB839" s="12">
        <v>132</v>
      </c>
    </row>
    <row r="840" ht="14.25" spans="1:28">
      <c r="A840" s="13">
        <v>838</v>
      </c>
      <c r="B840" s="15">
        <v>18</v>
      </c>
      <c r="C840" s="16">
        <v>18</v>
      </c>
      <c r="D840" s="15" t="s">
        <v>1674</v>
      </c>
      <c r="E840" s="15" t="s">
        <v>1675</v>
      </c>
      <c r="F840" s="21">
        <v>107.5</v>
      </c>
      <c r="G840" s="21">
        <v>270</v>
      </c>
      <c r="H840" s="21">
        <v>69</v>
      </c>
      <c r="I840" s="21">
        <v>1084</v>
      </c>
      <c r="J840" s="21">
        <v>125</v>
      </c>
      <c r="K840" s="21">
        <v>77</v>
      </c>
      <c r="L840" s="21"/>
      <c r="M840" s="21"/>
      <c r="N840" s="21">
        <v>64</v>
      </c>
      <c r="O840" s="21">
        <v>232</v>
      </c>
      <c r="P840" s="21"/>
      <c r="Q840" s="21"/>
      <c r="R840" s="21">
        <v>79</v>
      </c>
      <c r="S840" s="21">
        <v>590</v>
      </c>
      <c r="T840" s="21">
        <v>83</v>
      </c>
      <c r="U840" s="21">
        <v>616</v>
      </c>
      <c r="V840" s="21"/>
      <c r="W840" s="21"/>
      <c r="X840" s="22">
        <v>301.5</v>
      </c>
      <c r="Y840" s="22">
        <v>93</v>
      </c>
      <c r="Z840" s="21">
        <v>527.5</v>
      </c>
      <c r="AA840" s="21">
        <v>367</v>
      </c>
      <c r="AB840" s="12">
        <v>82</v>
      </c>
    </row>
    <row r="841" ht="14.25" spans="1:28">
      <c r="A841" s="13">
        <v>839</v>
      </c>
      <c r="B841" s="15">
        <v>18</v>
      </c>
      <c r="C841" s="16">
        <v>19</v>
      </c>
      <c r="D841" s="15" t="s">
        <v>1676</v>
      </c>
      <c r="E841" s="15" t="s">
        <v>1677</v>
      </c>
      <c r="F841" s="21">
        <v>105</v>
      </c>
      <c r="G841" s="21">
        <v>437</v>
      </c>
      <c r="H841" s="21">
        <v>57.5</v>
      </c>
      <c r="I841" s="21">
        <v>1493</v>
      </c>
      <c r="J841" s="21">
        <v>105.25</v>
      </c>
      <c r="K841" s="21">
        <v>535</v>
      </c>
      <c r="L841" s="21"/>
      <c r="M841" s="21"/>
      <c r="N841" s="21">
        <v>47.5</v>
      </c>
      <c r="O841" s="21">
        <v>1909</v>
      </c>
      <c r="P841" s="21"/>
      <c r="Q841" s="21"/>
      <c r="R841" s="21">
        <v>76</v>
      </c>
      <c r="S841" s="21">
        <v>788</v>
      </c>
      <c r="T841" s="21">
        <v>65</v>
      </c>
      <c r="U841" s="21">
        <v>2190</v>
      </c>
      <c r="V841" s="21"/>
      <c r="W841" s="21"/>
      <c r="X841" s="22">
        <v>267.75</v>
      </c>
      <c r="Y841" s="22">
        <v>178</v>
      </c>
      <c r="Z841" s="21">
        <v>456.25</v>
      </c>
      <c r="AA841" s="21">
        <v>1065</v>
      </c>
      <c r="AB841" s="12">
        <v>187</v>
      </c>
    </row>
    <row r="842" ht="14.25" spans="1:28">
      <c r="A842" s="13">
        <v>840</v>
      </c>
      <c r="B842" s="15">
        <v>18</v>
      </c>
      <c r="C842" s="16">
        <v>20</v>
      </c>
      <c r="D842" s="15" t="s">
        <v>1678</v>
      </c>
      <c r="E842" s="15" t="s">
        <v>1679</v>
      </c>
      <c r="F842" s="21">
        <v>100.75</v>
      </c>
      <c r="G842" s="21">
        <v>893</v>
      </c>
      <c r="H842" s="21">
        <v>85</v>
      </c>
      <c r="I842" s="21">
        <v>611</v>
      </c>
      <c r="J842" s="21">
        <v>85</v>
      </c>
      <c r="K842" s="21">
        <v>1406</v>
      </c>
      <c r="L842" s="21"/>
      <c r="M842" s="21"/>
      <c r="N842" s="21">
        <v>51.5</v>
      </c>
      <c r="O842" s="21">
        <v>1342</v>
      </c>
      <c r="P842" s="21"/>
      <c r="Q842" s="21"/>
      <c r="R842" s="21">
        <v>86</v>
      </c>
      <c r="S842" s="21">
        <v>293</v>
      </c>
      <c r="T842" s="21">
        <v>86</v>
      </c>
      <c r="U842" s="21">
        <v>465</v>
      </c>
      <c r="V842" s="21"/>
      <c r="W842" s="21"/>
      <c r="X842" s="22">
        <v>270.75</v>
      </c>
      <c r="Y842" s="22">
        <v>167</v>
      </c>
      <c r="Z842" s="21">
        <v>494.25</v>
      </c>
      <c r="AA842" s="21">
        <v>633</v>
      </c>
      <c r="AB842" s="12">
        <v>144</v>
      </c>
    </row>
    <row r="843" ht="14.25" spans="1:28">
      <c r="A843" s="13">
        <v>841</v>
      </c>
      <c r="B843" s="15">
        <v>18</v>
      </c>
      <c r="C843" s="16">
        <v>21</v>
      </c>
      <c r="D843" s="15" t="s">
        <v>1680</v>
      </c>
      <c r="E843" s="15" t="s">
        <v>1681</v>
      </c>
      <c r="F843" s="21">
        <v>102.5</v>
      </c>
      <c r="G843" s="21">
        <v>686</v>
      </c>
      <c r="H843" s="21">
        <v>78</v>
      </c>
      <c r="I843" s="21">
        <v>802</v>
      </c>
      <c r="J843" s="21">
        <v>111.5</v>
      </c>
      <c r="K843" s="21">
        <v>346</v>
      </c>
      <c r="L843" s="21"/>
      <c r="M843" s="21"/>
      <c r="N843" s="21">
        <v>50</v>
      </c>
      <c r="O843" s="21">
        <v>1561</v>
      </c>
      <c r="P843" s="21"/>
      <c r="Q843" s="21"/>
      <c r="R843" s="21">
        <v>80</v>
      </c>
      <c r="S843" s="21">
        <v>535</v>
      </c>
      <c r="T843" s="21">
        <v>75</v>
      </c>
      <c r="U843" s="21">
        <v>1272</v>
      </c>
      <c r="V843" s="21"/>
      <c r="W843" s="21"/>
      <c r="X843" s="22">
        <v>292</v>
      </c>
      <c r="Y843" s="22">
        <v>123</v>
      </c>
      <c r="Z843" s="21">
        <v>497</v>
      </c>
      <c r="AA843" s="21">
        <v>606</v>
      </c>
      <c r="AB843" s="12">
        <v>140</v>
      </c>
    </row>
    <row r="844" ht="14.25" spans="1:28">
      <c r="A844" s="13">
        <v>842</v>
      </c>
      <c r="B844" s="15">
        <v>18</v>
      </c>
      <c r="C844" s="16">
        <v>22</v>
      </c>
      <c r="D844" s="15" t="s">
        <v>1682</v>
      </c>
      <c r="E844" s="15" t="s">
        <v>1683</v>
      </c>
      <c r="F844" s="21">
        <v>98.5</v>
      </c>
      <c r="G844" s="21">
        <v>1145</v>
      </c>
      <c r="H844" s="21">
        <v>110.5</v>
      </c>
      <c r="I844" s="21">
        <v>121</v>
      </c>
      <c r="J844" s="21">
        <v>83.5</v>
      </c>
      <c r="K844" s="21">
        <v>1487</v>
      </c>
      <c r="L844" s="21"/>
      <c r="M844" s="21"/>
      <c r="N844" s="21">
        <v>76</v>
      </c>
      <c r="O844" s="21">
        <v>4</v>
      </c>
      <c r="P844" s="21"/>
      <c r="Q844" s="21"/>
      <c r="R844" s="21">
        <v>92</v>
      </c>
      <c r="S844" s="21">
        <v>16</v>
      </c>
      <c r="T844" s="21">
        <v>89</v>
      </c>
      <c r="U844" s="21">
        <v>137</v>
      </c>
      <c r="V844" s="21"/>
      <c r="W844" s="21"/>
      <c r="X844" s="22">
        <v>292.5</v>
      </c>
      <c r="Y844" s="22">
        <v>122</v>
      </c>
      <c r="Z844" s="21">
        <v>549.5</v>
      </c>
      <c r="AA844" s="21">
        <v>229</v>
      </c>
      <c r="AB844" s="12">
        <v>41</v>
      </c>
    </row>
    <row r="845" ht="14.25" spans="1:28">
      <c r="A845" s="13">
        <v>843</v>
      </c>
      <c r="B845" s="15">
        <v>18</v>
      </c>
      <c r="C845" s="16">
        <v>23</v>
      </c>
      <c r="D845" s="15" t="s">
        <v>1684</v>
      </c>
      <c r="E845" s="15" t="s">
        <v>1685</v>
      </c>
      <c r="F845" s="21">
        <v>111</v>
      </c>
      <c r="G845" s="21">
        <v>130</v>
      </c>
      <c r="H845" s="21">
        <v>99.5</v>
      </c>
      <c r="I845" s="21">
        <v>281</v>
      </c>
      <c r="J845" s="21">
        <v>110.5</v>
      </c>
      <c r="K845" s="21">
        <v>373</v>
      </c>
      <c r="L845" s="21"/>
      <c r="M845" s="21"/>
      <c r="N845" s="21">
        <v>57.5</v>
      </c>
      <c r="O845" s="21">
        <v>638</v>
      </c>
      <c r="P845" s="21"/>
      <c r="Q845" s="21"/>
      <c r="R845" s="21">
        <v>86</v>
      </c>
      <c r="S845" s="21">
        <v>293</v>
      </c>
      <c r="T845" s="21">
        <v>85</v>
      </c>
      <c r="U845" s="21">
        <v>537</v>
      </c>
      <c r="V845" s="21"/>
      <c r="W845" s="21"/>
      <c r="X845" s="22">
        <v>321</v>
      </c>
      <c r="Y845" s="22">
        <v>41</v>
      </c>
      <c r="Z845" s="21">
        <v>549.5</v>
      </c>
      <c r="AA845" s="21">
        <v>229</v>
      </c>
      <c r="AB845" s="12">
        <v>41</v>
      </c>
    </row>
    <row r="846" ht="14.25" spans="1:28">
      <c r="A846" s="13">
        <v>844</v>
      </c>
      <c r="B846" s="15">
        <v>18</v>
      </c>
      <c r="C846" s="16">
        <v>24</v>
      </c>
      <c r="D846" s="15" t="s">
        <v>1686</v>
      </c>
      <c r="E846" s="15" t="s">
        <v>1687</v>
      </c>
      <c r="F846" s="21">
        <v>99</v>
      </c>
      <c r="G846" s="21">
        <v>1072</v>
      </c>
      <c r="H846" s="21">
        <v>97.5</v>
      </c>
      <c r="I846" s="21">
        <v>318</v>
      </c>
      <c r="J846" s="21">
        <v>100.5</v>
      </c>
      <c r="K846" s="21">
        <v>683</v>
      </c>
      <c r="L846" s="21"/>
      <c r="M846" s="21"/>
      <c r="N846" s="21">
        <v>58</v>
      </c>
      <c r="O846" s="21">
        <v>588</v>
      </c>
      <c r="P846" s="21"/>
      <c r="Q846" s="21"/>
      <c r="R846" s="21">
        <v>86</v>
      </c>
      <c r="S846" s="21">
        <v>293</v>
      </c>
      <c r="T846" s="21">
        <v>82</v>
      </c>
      <c r="U846" s="21">
        <v>702</v>
      </c>
      <c r="V846" s="21"/>
      <c r="W846" s="21"/>
      <c r="X846" s="22">
        <v>297</v>
      </c>
      <c r="Y846" s="22">
        <v>106</v>
      </c>
      <c r="Z846" s="21">
        <v>523</v>
      </c>
      <c r="AA846" s="21">
        <v>389</v>
      </c>
      <c r="AB846" s="12">
        <v>89</v>
      </c>
    </row>
    <row r="847" ht="14.25" spans="1:28">
      <c r="A847" s="13">
        <v>845</v>
      </c>
      <c r="B847" s="15">
        <v>18</v>
      </c>
      <c r="C847" s="16">
        <v>25</v>
      </c>
      <c r="D847" s="15" t="s">
        <v>1688</v>
      </c>
      <c r="E847" s="15" t="s">
        <v>1689</v>
      </c>
      <c r="F847" s="21">
        <v>111.75</v>
      </c>
      <c r="G847" s="21">
        <v>117</v>
      </c>
      <c r="H847" s="21">
        <v>56.5</v>
      </c>
      <c r="I847" s="21">
        <v>1539</v>
      </c>
      <c r="J847" s="21">
        <v>101.75</v>
      </c>
      <c r="K847" s="21">
        <v>644</v>
      </c>
      <c r="L847" s="21"/>
      <c r="M847" s="21"/>
      <c r="N847" s="21">
        <v>71.5</v>
      </c>
      <c r="O847" s="21">
        <v>24</v>
      </c>
      <c r="P847" s="21"/>
      <c r="Q847" s="21"/>
      <c r="R847" s="21">
        <v>87</v>
      </c>
      <c r="S847" s="21">
        <v>202</v>
      </c>
      <c r="T847" s="21">
        <v>83</v>
      </c>
      <c r="U847" s="21">
        <v>616</v>
      </c>
      <c r="V847" s="21"/>
      <c r="W847" s="21"/>
      <c r="X847" s="22">
        <v>270</v>
      </c>
      <c r="Y847" s="22">
        <v>170</v>
      </c>
      <c r="Z847" s="21">
        <v>511.5</v>
      </c>
      <c r="AA847" s="21">
        <v>467</v>
      </c>
      <c r="AB847" s="12">
        <v>110</v>
      </c>
    </row>
    <row r="848" ht="14.25" spans="1:28">
      <c r="A848" s="13">
        <v>846</v>
      </c>
      <c r="B848" s="15">
        <v>18</v>
      </c>
      <c r="C848" s="16">
        <v>26</v>
      </c>
      <c r="D848" s="15" t="s">
        <v>1690</v>
      </c>
      <c r="E848" s="15" t="s">
        <v>1691</v>
      </c>
      <c r="F848" s="21">
        <v>102</v>
      </c>
      <c r="G848" s="21">
        <v>747</v>
      </c>
      <c r="H848" s="21">
        <v>94</v>
      </c>
      <c r="I848" s="21">
        <v>391</v>
      </c>
      <c r="J848" s="21">
        <v>106</v>
      </c>
      <c r="K848" s="21">
        <v>510</v>
      </c>
      <c r="L848" s="21"/>
      <c r="M848" s="21"/>
      <c r="N848" s="21">
        <v>51</v>
      </c>
      <c r="O848" s="21">
        <v>1415</v>
      </c>
      <c r="P848" s="21"/>
      <c r="Q848" s="21"/>
      <c r="R848" s="21">
        <v>88</v>
      </c>
      <c r="S848" s="21">
        <v>123</v>
      </c>
      <c r="T848" s="21">
        <v>80</v>
      </c>
      <c r="U848" s="21">
        <v>854</v>
      </c>
      <c r="V848" s="21"/>
      <c r="W848" s="21"/>
      <c r="X848" s="22">
        <v>302</v>
      </c>
      <c r="Y848" s="22">
        <v>88</v>
      </c>
      <c r="Z848" s="21">
        <v>521</v>
      </c>
      <c r="AA848" s="21">
        <v>402</v>
      </c>
      <c r="AB848" s="12">
        <v>93</v>
      </c>
    </row>
    <row r="849" ht="14.25" spans="1:28">
      <c r="A849" s="13">
        <v>847</v>
      </c>
      <c r="B849" s="15">
        <v>18</v>
      </c>
      <c r="C849" s="16">
        <v>27</v>
      </c>
      <c r="D849" s="15" t="s">
        <v>1692</v>
      </c>
      <c r="E849" s="15" t="s">
        <v>1693</v>
      </c>
      <c r="F849" s="21">
        <v>95.5</v>
      </c>
      <c r="G849" s="21">
        <v>1544</v>
      </c>
      <c r="H849" s="21">
        <v>101</v>
      </c>
      <c r="I849" s="21">
        <v>253</v>
      </c>
      <c r="J849" s="21">
        <v>108</v>
      </c>
      <c r="K849" s="21">
        <v>449</v>
      </c>
      <c r="L849" s="21"/>
      <c r="M849" s="21"/>
      <c r="N849" s="21">
        <v>65.5</v>
      </c>
      <c r="O849" s="21">
        <v>173</v>
      </c>
      <c r="P849" s="21"/>
      <c r="Q849" s="21"/>
      <c r="R849" s="21">
        <v>89</v>
      </c>
      <c r="S849" s="21">
        <v>77</v>
      </c>
      <c r="T849" s="21">
        <v>79</v>
      </c>
      <c r="U849" s="21">
        <v>952</v>
      </c>
      <c r="V849" s="21"/>
      <c r="W849" s="21"/>
      <c r="X849" s="22">
        <v>304.5</v>
      </c>
      <c r="Y849" s="22">
        <v>82</v>
      </c>
      <c r="Z849" s="21">
        <v>538</v>
      </c>
      <c r="AA849" s="21">
        <v>297</v>
      </c>
      <c r="AB849" s="12">
        <v>61</v>
      </c>
    </row>
    <row r="850" ht="14.25" spans="1:28">
      <c r="A850" s="13">
        <v>848</v>
      </c>
      <c r="B850" s="15">
        <v>18</v>
      </c>
      <c r="C850" s="16">
        <v>28</v>
      </c>
      <c r="D850" s="15" t="s">
        <v>1694</v>
      </c>
      <c r="E850" s="15" t="s">
        <v>1695</v>
      </c>
      <c r="F850" s="21">
        <v>100.5</v>
      </c>
      <c r="G850" s="21">
        <v>901</v>
      </c>
      <c r="H850" s="21">
        <v>93.5</v>
      </c>
      <c r="I850" s="21">
        <v>401</v>
      </c>
      <c r="J850" s="21">
        <v>116</v>
      </c>
      <c r="K850" s="21">
        <v>241</v>
      </c>
      <c r="L850" s="21"/>
      <c r="M850" s="21"/>
      <c r="N850" s="21">
        <v>56.5</v>
      </c>
      <c r="O850" s="21">
        <v>750</v>
      </c>
      <c r="P850" s="21"/>
      <c r="Q850" s="21"/>
      <c r="R850" s="21">
        <v>89</v>
      </c>
      <c r="S850" s="21">
        <v>77</v>
      </c>
      <c r="T850" s="21">
        <v>88</v>
      </c>
      <c r="U850" s="21">
        <v>227</v>
      </c>
      <c r="V850" s="21"/>
      <c r="W850" s="21"/>
      <c r="X850" s="22">
        <v>310</v>
      </c>
      <c r="Y850" s="22">
        <v>72</v>
      </c>
      <c r="Z850" s="21">
        <v>543.5</v>
      </c>
      <c r="AA850" s="21">
        <v>268</v>
      </c>
      <c r="AB850" s="12">
        <v>52</v>
      </c>
    </row>
    <row r="851" ht="14.25" spans="1:28">
      <c r="A851" s="13">
        <v>849</v>
      </c>
      <c r="B851" s="15">
        <v>18</v>
      </c>
      <c r="C851" s="16">
        <v>29</v>
      </c>
      <c r="D851" s="15" t="s">
        <v>1696</v>
      </c>
      <c r="E851" s="15" t="s">
        <v>1697</v>
      </c>
      <c r="F851" s="21">
        <v>107</v>
      </c>
      <c r="G851" s="21">
        <v>307</v>
      </c>
      <c r="H851" s="21">
        <v>88.5</v>
      </c>
      <c r="I851" s="21">
        <v>526</v>
      </c>
      <c r="J851" s="21">
        <v>116</v>
      </c>
      <c r="K851" s="21">
        <v>241</v>
      </c>
      <c r="L851" s="21"/>
      <c r="M851" s="21"/>
      <c r="N851" s="21">
        <v>56</v>
      </c>
      <c r="O851" s="21">
        <v>804</v>
      </c>
      <c r="P851" s="21"/>
      <c r="Q851" s="21"/>
      <c r="R851" s="21">
        <v>89</v>
      </c>
      <c r="S851" s="21">
        <v>77</v>
      </c>
      <c r="T851" s="21">
        <v>80</v>
      </c>
      <c r="U851" s="21">
        <v>854</v>
      </c>
      <c r="V851" s="21"/>
      <c r="W851" s="21"/>
      <c r="X851" s="22">
        <v>311.5</v>
      </c>
      <c r="Y851" s="22">
        <v>67</v>
      </c>
      <c r="Z851" s="21">
        <v>536.5</v>
      </c>
      <c r="AA851" s="21">
        <v>305</v>
      </c>
      <c r="AB851" s="12">
        <v>63</v>
      </c>
    </row>
    <row r="852" ht="14.25" spans="1:28">
      <c r="A852" s="13">
        <v>850</v>
      </c>
      <c r="B852" s="15">
        <v>18</v>
      </c>
      <c r="C852" s="16">
        <v>30</v>
      </c>
      <c r="D852" s="15" t="s">
        <v>1698</v>
      </c>
      <c r="E852" s="15" t="s">
        <v>1699</v>
      </c>
      <c r="F852" s="21">
        <v>108</v>
      </c>
      <c r="G852" s="21">
        <v>247</v>
      </c>
      <c r="H852" s="21">
        <v>88</v>
      </c>
      <c r="I852" s="21">
        <v>537</v>
      </c>
      <c r="J852" s="21">
        <v>112.5</v>
      </c>
      <c r="K852" s="21">
        <v>321</v>
      </c>
      <c r="L852" s="21"/>
      <c r="M852" s="21"/>
      <c r="N852" s="21">
        <v>50</v>
      </c>
      <c r="O852" s="21">
        <v>1561</v>
      </c>
      <c r="P852" s="21"/>
      <c r="Q852" s="21"/>
      <c r="R852" s="21">
        <v>82</v>
      </c>
      <c r="S852" s="21">
        <v>432</v>
      </c>
      <c r="T852" s="21">
        <v>64</v>
      </c>
      <c r="U852" s="21">
        <v>2299</v>
      </c>
      <c r="V852" s="21"/>
      <c r="W852" s="21"/>
      <c r="X852" s="22">
        <v>308.5</v>
      </c>
      <c r="Y852" s="22">
        <v>74</v>
      </c>
      <c r="Z852" s="21">
        <v>504.5</v>
      </c>
      <c r="AA852" s="21">
        <v>529</v>
      </c>
      <c r="AB852" s="12">
        <v>129</v>
      </c>
    </row>
    <row r="853" ht="14.25" spans="1:28">
      <c r="A853" s="13">
        <v>851</v>
      </c>
      <c r="B853" s="15">
        <v>18</v>
      </c>
      <c r="C853" s="16">
        <v>31</v>
      </c>
      <c r="D853" s="15" t="s">
        <v>1700</v>
      </c>
      <c r="E853" s="15" t="s">
        <v>1701</v>
      </c>
      <c r="F853" s="21">
        <v>107.5</v>
      </c>
      <c r="G853" s="21">
        <v>270</v>
      </c>
      <c r="H853" s="21">
        <v>92.5</v>
      </c>
      <c r="I853" s="21">
        <v>426</v>
      </c>
      <c r="J853" s="21">
        <v>96.5</v>
      </c>
      <c r="K853" s="21">
        <v>862</v>
      </c>
      <c r="L853" s="21"/>
      <c r="M853" s="21"/>
      <c r="N853" s="21">
        <v>59</v>
      </c>
      <c r="O853" s="21">
        <v>524</v>
      </c>
      <c r="P853" s="21"/>
      <c r="Q853" s="21"/>
      <c r="R853" s="21">
        <v>71</v>
      </c>
      <c r="S853" s="21">
        <v>1117</v>
      </c>
      <c r="T853" s="21">
        <v>71</v>
      </c>
      <c r="U853" s="21">
        <v>1653</v>
      </c>
      <c r="V853" s="21"/>
      <c r="W853" s="21"/>
      <c r="X853" s="22">
        <v>296.5</v>
      </c>
      <c r="Y853" s="22">
        <v>108</v>
      </c>
      <c r="Z853" s="21">
        <v>497.5</v>
      </c>
      <c r="AA853" s="21">
        <v>598</v>
      </c>
      <c r="AB853" s="12">
        <v>137</v>
      </c>
    </row>
    <row r="854" ht="14.25" spans="1:28">
      <c r="A854" s="13">
        <v>852</v>
      </c>
      <c r="B854" s="15">
        <v>18</v>
      </c>
      <c r="C854" s="16">
        <v>32</v>
      </c>
      <c r="D854" s="15" t="s">
        <v>1702</v>
      </c>
      <c r="E854" s="15" t="s">
        <v>1703</v>
      </c>
      <c r="F854" s="21">
        <v>105.5</v>
      </c>
      <c r="G854" s="21">
        <v>406</v>
      </c>
      <c r="H854" s="21">
        <v>91</v>
      </c>
      <c r="I854" s="21">
        <v>467</v>
      </c>
      <c r="J854" s="21">
        <v>116.25</v>
      </c>
      <c r="K854" s="21">
        <v>236</v>
      </c>
      <c r="L854" s="21"/>
      <c r="M854" s="21"/>
      <c r="N854" s="21">
        <v>62</v>
      </c>
      <c r="O854" s="21">
        <v>315</v>
      </c>
      <c r="P854" s="21"/>
      <c r="Q854" s="21"/>
      <c r="R854" s="21">
        <v>80</v>
      </c>
      <c r="S854" s="21">
        <v>535</v>
      </c>
      <c r="T854" s="21">
        <v>87</v>
      </c>
      <c r="U854" s="21">
        <v>333</v>
      </c>
      <c r="V854" s="21"/>
      <c r="W854" s="21"/>
      <c r="X854" s="22">
        <v>312.75</v>
      </c>
      <c r="Y854" s="22">
        <v>62</v>
      </c>
      <c r="Z854" s="21">
        <v>541.75</v>
      </c>
      <c r="AA854" s="21">
        <v>282</v>
      </c>
      <c r="AB854" s="12">
        <v>56</v>
      </c>
    </row>
    <row r="855" ht="14.25" spans="1:28">
      <c r="A855" s="13">
        <v>853</v>
      </c>
      <c r="B855" s="15">
        <v>18</v>
      </c>
      <c r="C855" s="16">
        <v>34</v>
      </c>
      <c r="D855" s="15" t="s">
        <v>1704</v>
      </c>
      <c r="E855" s="15" t="s">
        <v>1705</v>
      </c>
      <c r="F855" s="21">
        <v>100.5</v>
      </c>
      <c r="G855" s="21">
        <v>901</v>
      </c>
      <c r="H855" s="21">
        <v>57.5</v>
      </c>
      <c r="I855" s="21">
        <v>1493</v>
      </c>
      <c r="J855" s="21">
        <v>88</v>
      </c>
      <c r="K855" s="21">
        <v>1236</v>
      </c>
      <c r="L855" s="21"/>
      <c r="M855" s="21"/>
      <c r="N855" s="21">
        <v>48.5</v>
      </c>
      <c r="O855" s="21">
        <v>1763</v>
      </c>
      <c r="P855" s="21"/>
      <c r="Q855" s="21"/>
      <c r="R855" s="21">
        <v>71</v>
      </c>
      <c r="S855" s="21">
        <v>1117</v>
      </c>
      <c r="T855" s="21">
        <v>60</v>
      </c>
      <c r="U855" s="21">
        <v>2684</v>
      </c>
      <c r="V855" s="21"/>
      <c r="W855" s="21"/>
      <c r="X855" s="22">
        <v>246</v>
      </c>
      <c r="Y855" s="22">
        <v>198</v>
      </c>
      <c r="Z855" s="21">
        <v>425.5</v>
      </c>
      <c r="AA855" s="21">
        <v>1508</v>
      </c>
      <c r="AB855" s="12">
        <v>201</v>
      </c>
    </row>
    <row r="856" ht="14.25" spans="1:28">
      <c r="A856" s="13">
        <v>854</v>
      </c>
      <c r="B856" s="15">
        <v>18</v>
      </c>
      <c r="C856" s="16">
        <v>37</v>
      </c>
      <c r="D856" s="15" t="s">
        <v>1706</v>
      </c>
      <c r="E856" s="15" t="s">
        <v>1707</v>
      </c>
      <c r="F856" s="21">
        <v>106.5</v>
      </c>
      <c r="G856" s="21">
        <v>338</v>
      </c>
      <c r="H856" s="21">
        <v>88</v>
      </c>
      <c r="I856" s="21">
        <v>537</v>
      </c>
      <c r="J856" s="21">
        <v>95</v>
      </c>
      <c r="K856" s="21">
        <v>926</v>
      </c>
      <c r="L856" s="21"/>
      <c r="M856" s="21"/>
      <c r="N856" s="21">
        <v>59.5</v>
      </c>
      <c r="O856" s="21">
        <v>483</v>
      </c>
      <c r="P856" s="21"/>
      <c r="Q856" s="21"/>
      <c r="R856" s="21">
        <v>79</v>
      </c>
      <c r="S856" s="21">
        <v>590</v>
      </c>
      <c r="T856" s="21">
        <v>63</v>
      </c>
      <c r="U856" s="21">
        <v>2360</v>
      </c>
      <c r="V856" s="21"/>
      <c r="W856" s="21"/>
      <c r="X856" s="22">
        <v>289.5</v>
      </c>
      <c r="Y856" s="22">
        <v>131</v>
      </c>
      <c r="Z856" s="21">
        <v>491</v>
      </c>
      <c r="AA856" s="21">
        <v>667</v>
      </c>
      <c r="AB856" s="12">
        <v>148</v>
      </c>
    </row>
    <row r="857" ht="14.25" spans="1:28">
      <c r="A857" s="13">
        <v>855</v>
      </c>
      <c r="B857" s="15">
        <v>18</v>
      </c>
      <c r="C857" s="16">
        <v>38</v>
      </c>
      <c r="D857" s="15" t="s">
        <v>1708</v>
      </c>
      <c r="E857" s="15" t="s">
        <v>1709</v>
      </c>
      <c r="F857" s="21">
        <v>94</v>
      </c>
      <c r="G857" s="21">
        <v>1750</v>
      </c>
      <c r="H857" s="21">
        <v>72</v>
      </c>
      <c r="I857" s="21">
        <v>976</v>
      </c>
      <c r="J857" s="21">
        <v>98.5</v>
      </c>
      <c r="K857" s="21">
        <v>774</v>
      </c>
      <c r="L857" s="21"/>
      <c r="M857" s="21"/>
      <c r="N857" s="21">
        <v>54.5</v>
      </c>
      <c r="O857" s="21">
        <v>986</v>
      </c>
      <c r="P857" s="21"/>
      <c r="Q857" s="21"/>
      <c r="R857" s="21">
        <v>76</v>
      </c>
      <c r="S857" s="21">
        <v>788</v>
      </c>
      <c r="T857" s="21">
        <v>73</v>
      </c>
      <c r="U857" s="21">
        <v>1447</v>
      </c>
      <c r="V857" s="21"/>
      <c r="W857" s="21"/>
      <c r="X857" s="22">
        <v>264.5</v>
      </c>
      <c r="Y857" s="22">
        <v>187</v>
      </c>
      <c r="Z857" s="21">
        <v>468</v>
      </c>
      <c r="AA857" s="21">
        <v>909</v>
      </c>
      <c r="AB857" s="12">
        <v>182</v>
      </c>
    </row>
    <row r="858" ht="14.25" spans="1:28">
      <c r="A858" s="13">
        <v>856</v>
      </c>
      <c r="B858" s="15">
        <v>18</v>
      </c>
      <c r="C858" s="16">
        <v>39</v>
      </c>
      <c r="D858" s="15" t="s">
        <v>1710</v>
      </c>
      <c r="E858" s="15" t="s">
        <v>1711</v>
      </c>
      <c r="F858" s="21">
        <v>98.5</v>
      </c>
      <c r="G858" s="21">
        <v>1145</v>
      </c>
      <c r="H858" s="21">
        <v>77.5</v>
      </c>
      <c r="I858" s="21">
        <v>817</v>
      </c>
      <c r="J858" s="21">
        <v>93.75</v>
      </c>
      <c r="K858" s="21">
        <v>986</v>
      </c>
      <c r="L858" s="21"/>
      <c r="M858" s="21"/>
      <c r="N858" s="21">
        <v>53</v>
      </c>
      <c r="O858" s="21">
        <v>1155</v>
      </c>
      <c r="P858" s="21"/>
      <c r="Q858" s="21"/>
      <c r="R858" s="21">
        <v>65</v>
      </c>
      <c r="S858" s="21">
        <v>1510</v>
      </c>
      <c r="T858" s="21">
        <v>81</v>
      </c>
      <c r="U858" s="21">
        <v>808</v>
      </c>
      <c r="V858" s="21"/>
      <c r="W858" s="21"/>
      <c r="X858" s="22">
        <v>269.75</v>
      </c>
      <c r="Y858" s="22">
        <v>173</v>
      </c>
      <c r="Z858" s="21">
        <v>468.75</v>
      </c>
      <c r="AA858" s="21">
        <v>903</v>
      </c>
      <c r="AB858" s="12">
        <v>181</v>
      </c>
    </row>
    <row r="859" ht="14.25" spans="1:28">
      <c r="A859" s="13">
        <v>857</v>
      </c>
      <c r="B859" s="15">
        <v>18</v>
      </c>
      <c r="C859" s="16">
        <v>40</v>
      </c>
      <c r="D859" s="15" t="s">
        <v>1712</v>
      </c>
      <c r="E859" s="15" t="s">
        <v>1713</v>
      </c>
      <c r="F859" s="21">
        <v>104.5</v>
      </c>
      <c r="G859" s="21">
        <v>475</v>
      </c>
      <c r="H859" s="21">
        <v>83.5</v>
      </c>
      <c r="I859" s="21">
        <v>651</v>
      </c>
      <c r="J859" s="21">
        <v>82.5</v>
      </c>
      <c r="K859" s="21">
        <v>1545</v>
      </c>
      <c r="L859" s="21"/>
      <c r="M859" s="21"/>
      <c r="N859" s="21">
        <v>51.5</v>
      </c>
      <c r="O859" s="21">
        <v>1342</v>
      </c>
      <c r="P859" s="21"/>
      <c r="Q859" s="21"/>
      <c r="R859" s="21">
        <v>65</v>
      </c>
      <c r="S859" s="21">
        <v>1510</v>
      </c>
      <c r="T859" s="21">
        <v>75</v>
      </c>
      <c r="U859" s="21">
        <v>1272</v>
      </c>
      <c r="V859" s="21"/>
      <c r="W859" s="21"/>
      <c r="X859" s="22">
        <v>270.5</v>
      </c>
      <c r="Y859" s="22">
        <v>169</v>
      </c>
      <c r="Z859" s="21">
        <v>462</v>
      </c>
      <c r="AA859" s="21">
        <v>976</v>
      </c>
      <c r="AB859" s="12">
        <v>185</v>
      </c>
    </row>
    <row r="860" ht="14.25" spans="1:28">
      <c r="A860" s="13">
        <v>858</v>
      </c>
      <c r="B860" s="15">
        <v>18</v>
      </c>
      <c r="C860" s="16">
        <v>41</v>
      </c>
      <c r="D860" s="15" t="s">
        <v>1714</v>
      </c>
      <c r="E860" s="15" t="s">
        <v>1715</v>
      </c>
      <c r="F860" s="21">
        <v>100</v>
      </c>
      <c r="G860" s="21">
        <v>958</v>
      </c>
      <c r="H860" s="21">
        <v>83</v>
      </c>
      <c r="I860" s="21">
        <v>663</v>
      </c>
      <c r="J860" s="21">
        <v>89.5</v>
      </c>
      <c r="K860" s="21">
        <v>1160</v>
      </c>
      <c r="L860" s="21"/>
      <c r="M860" s="21"/>
      <c r="N860" s="21">
        <v>54</v>
      </c>
      <c r="O860" s="21">
        <v>1056</v>
      </c>
      <c r="P860" s="21"/>
      <c r="Q860" s="21"/>
      <c r="R860" s="21">
        <v>73</v>
      </c>
      <c r="S860" s="21">
        <v>965</v>
      </c>
      <c r="T860" s="21">
        <v>88</v>
      </c>
      <c r="U860" s="21">
        <v>227</v>
      </c>
      <c r="V860" s="21"/>
      <c r="W860" s="21"/>
      <c r="X860" s="22">
        <v>272.5</v>
      </c>
      <c r="Y860" s="22">
        <v>162</v>
      </c>
      <c r="Z860" s="21">
        <v>487.5</v>
      </c>
      <c r="AA860" s="21">
        <v>700</v>
      </c>
      <c r="AB860" s="12">
        <v>155</v>
      </c>
    </row>
    <row r="861" ht="14.25" spans="1:28">
      <c r="A861" s="13">
        <v>859</v>
      </c>
      <c r="B861" s="15">
        <v>18</v>
      </c>
      <c r="C861" s="16">
        <v>42</v>
      </c>
      <c r="D861" s="15" t="s">
        <v>1716</v>
      </c>
      <c r="E861" s="15" t="s">
        <v>1717</v>
      </c>
      <c r="F861" s="21">
        <v>101.5</v>
      </c>
      <c r="G861" s="21">
        <v>805</v>
      </c>
      <c r="H861" s="21">
        <v>103.5</v>
      </c>
      <c r="I861" s="21">
        <v>209</v>
      </c>
      <c r="J861" s="21">
        <v>99.25</v>
      </c>
      <c r="K861" s="21">
        <v>742</v>
      </c>
      <c r="L861" s="21"/>
      <c r="M861" s="21"/>
      <c r="N861" s="21">
        <v>60.5</v>
      </c>
      <c r="O861" s="21">
        <v>424</v>
      </c>
      <c r="P861" s="21"/>
      <c r="Q861" s="21"/>
      <c r="R861" s="21">
        <v>77</v>
      </c>
      <c r="S861" s="21">
        <v>736</v>
      </c>
      <c r="T861" s="21">
        <v>91</v>
      </c>
      <c r="U861" s="21">
        <v>51</v>
      </c>
      <c r="V861" s="21"/>
      <c r="W861" s="21"/>
      <c r="X861" s="22">
        <v>304.25</v>
      </c>
      <c r="Y861" s="22">
        <v>83</v>
      </c>
      <c r="Z861" s="21">
        <v>532.75</v>
      </c>
      <c r="AA861" s="21">
        <v>328</v>
      </c>
      <c r="AB861" s="12">
        <v>72</v>
      </c>
    </row>
    <row r="862" ht="14.25" spans="1:28">
      <c r="A862" s="13">
        <v>860</v>
      </c>
      <c r="B862" s="15">
        <v>18</v>
      </c>
      <c r="C862" s="16">
        <v>43</v>
      </c>
      <c r="D862" s="15" t="s">
        <v>1718</v>
      </c>
      <c r="E862" s="15" t="s">
        <v>1719</v>
      </c>
      <c r="F862" s="21">
        <v>106.5</v>
      </c>
      <c r="G862" s="21">
        <v>338</v>
      </c>
      <c r="H862" s="21">
        <v>92.5</v>
      </c>
      <c r="I862" s="21">
        <v>426</v>
      </c>
      <c r="J862" s="21">
        <v>100</v>
      </c>
      <c r="K862" s="21">
        <v>709</v>
      </c>
      <c r="L862" s="21"/>
      <c r="M862" s="21"/>
      <c r="N862" s="21">
        <v>61</v>
      </c>
      <c r="O862" s="21">
        <v>392</v>
      </c>
      <c r="P862" s="21"/>
      <c r="Q862" s="21"/>
      <c r="R862" s="21">
        <v>87</v>
      </c>
      <c r="S862" s="21">
        <v>202</v>
      </c>
      <c r="T862" s="21">
        <v>82</v>
      </c>
      <c r="U862" s="21">
        <v>702</v>
      </c>
      <c r="V862" s="21"/>
      <c r="W862" s="21"/>
      <c r="X862" s="22">
        <v>299</v>
      </c>
      <c r="Y862" s="22">
        <v>100</v>
      </c>
      <c r="Z862" s="21">
        <v>529</v>
      </c>
      <c r="AA862" s="21">
        <v>362</v>
      </c>
      <c r="AB862" s="12">
        <v>80</v>
      </c>
    </row>
    <row r="863" ht="14.25" spans="1:28">
      <c r="A863" s="13">
        <v>861</v>
      </c>
      <c r="B863" s="15">
        <v>18</v>
      </c>
      <c r="C863" s="16">
        <v>44</v>
      </c>
      <c r="D863" s="15" t="s">
        <v>1720</v>
      </c>
      <c r="E863" s="15" t="s">
        <v>1721</v>
      </c>
      <c r="F863" s="21">
        <v>100.5</v>
      </c>
      <c r="G863" s="21">
        <v>901</v>
      </c>
      <c r="H863" s="21">
        <v>90</v>
      </c>
      <c r="I863" s="21">
        <v>498</v>
      </c>
      <c r="J863" s="21">
        <v>91</v>
      </c>
      <c r="K863" s="21">
        <v>1093</v>
      </c>
      <c r="L863" s="21"/>
      <c r="M863" s="21"/>
      <c r="N863" s="21">
        <v>51</v>
      </c>
      <c r="O863" s="21">
        <v>1415</v>
      </c>
      <c r="P863" s="21"/>
      <c r="Q863" s="21"/>
      <c r="R863" s="21">
        <v>82</v>
      </c>
      <c r="S863" s="21">
        <v>432</v>
      </c>
      <c r="T863" s="21">
        <v>75</v>
      </c>
      <c r="U863" s="21">
        <v>1272</v>
      </c>
      <c r="V863" s="21"/>
      <c r="W863" s="21"/>
      <c r="X863" s="22">
        <v>281.5</v>
      </c>
      <c r="Y863" s="22">
        <v>149</v>
      </c>
      <c r="Z863" s="21">
        <v>489.5</v>
      </c>
      <c r="AA863" s="21">
        <v>679</v>
      </c>
      <c r="AB863" s="12">
        <v>151</v>
      </c>
    </row>
    <row r="864" ht="14.25" spans="1:28">
      <c r="A864" s="13">
        <v>862</v>
      </c>
      <c r="B864" s="15">
        <v>18</v>
      </c>
      <c r="C864" s="16">
        <v>45</v>
      </c>
      <c r="D864" s="15" t="s">
        <v>1722</v>
      </c>
      <c r="E864" s="15" t="s">
        <v>1723</v>
      </c>
      <c r="F864" s="21">
        <v>100.5</v>
      </c>
      <c r="G864" s="21">
        <v>901</v>
      </c>
      <c r="H864" s="21">
        <v>66.5</v>
      </c>
      <c r="I864" s="21">
        <v>1167</v>
      </c>
      <c r="J864" s="21">
        <v>80.25</v>
      </c>
      <c r="K864" s="21">
        <v>1682</v>
      </c>
      <c r="L864" s="21"/>
      <c r="M864" s="21"/>
      <c r="N864" s="21">
        <v>49</v>
      </c>
      <c r="O864" s="21">
        <v>1682</v>
      </c>
      <c r="P864" s="21"/>
      <c r="Q864" s="21"/>
      <c r="R864" s="21">
        <v>82</v>
      </c>
      <c r="S864" s="21">
        <v>432</v>
      </c>
      <c r="T864" s="21">
        <v>65</v>
      </c>
      <c r="U864" s="21">
        <v>2190</v>
      </c>
      <c r="V864" s="21"/>
      <c r="W864" s="21"/>
      <c r="X864" s="22">
        <v>247.25</v>
      </c>
      <c r="Y864" s="22">
        <v>196</v>
      </c>
      <c r="Z864" s="21">
        <v>443.25</v>
      </c>
      <c r="AA864" s="21">
        <v>1255</v>
      </c>
      <c r="AB864" s="12">
        <v>195</v>
      </c>
    </row>
    <row r="865" ht="14.25" spans="1:28">
      <c r="A865" s="13">
        <v>863</v>
      </c>
      <c r="B865" s="15">
        <v>18</v>
      </c>
      <c r="C865" s="16">
        <v>47</v>
      </c>
      <c r="D865" s="15" t="s">
        <v>1724</v>
      </c>
      <c r="E865" s="15" t="s">
        <v>1725</v>
      </c>
      <c r="F865" s="21">
        <v>104</v>
      </c>
      <c r="G865" s="21">
        <v>526</v>
      </c>
      <c r="H865" s="21">
        <v>77</v>
      </c>
      <c r="I865" s="21">
        <v>829</v>
      </c>
      <c r="J865" s="21">
        <v>100</v>
      </c>
      <c r="K865" s="21">
        <v>709</v>
      </c>
      <c r="L865" s="21"/>
      <c r="M865" s="21"/>
      <c r="N865" s="21">
        <v>53.5</v>
      </c>
      <c r="O865" s="21">
        <v>1111</v>
      </c>
      <c r="P865" s="21"/>
      <c r="Q865" s="21"/>
      <c r="R865" s="21">
        <v>89</v>
      </c>
      <c r="S865" s="21">
        <v>77</v>
      </c>
      <c r="T865" s="21">
        <v>82</v>
      </c>
      <c r="U865" s="21">
        <v>702</v>
      </c>
      <c r="V865" s="21"/>
      <c r="W865" s="21"/>
      <c r="X865" s="22">
        <v>281</v>
      </c>
      <c r="Y865" s="22">
        <v>150</v>
      </c>
      <c r="Z865" s="21">
        <v>505.5</v>
      </c>
      <c r="AA865" s="21">
        <v>524</v>
      </c>
      <c r="AB865" s="12">
        <v>127</v>
      </c>
    </row>
    <row r="866" ht="14.25" spans="1:28">
      <c r="A866" s="13">
        <v>864</v>
      </c>
      <c r="B866" s="15">
        <v>18</v>
      </c>
      <c r="C866" s="16">
        <v>48</v>
      </c>
      <c r="D866" s="15" t="s">
        <v>1726</v>
      </c>
      <c r="E866" s="15" t="s">
        <v>1727</v>
      </c>
      <c r="F866" s="21">
        <v>98.25</v>
      </c>
      <c r="G866" s="21">
        <v>1200</v>
      </c>
      <c r="H866" s="21">
        <v>87.5</v>
      </c>
      <c r="I866" s="21">
        <v>551</v>
      </c>
      <c r="J866" s="21">
        <v>82.75</v>
      </c>
      <c r="K866" s="21">
        <v>1536</v>
      </c>
      <c r="L866" s="21"/>
      <c r="M866" s="21"/>
      <c r="N866" s="21">
        <v>52.5</v>
      </c>
      <c r="O866" s="21">
        <v>1205</v>
      </c>
      <c r="P866" s="21"/>
      <c r="Q866" s="21"/>
      <c r="R866" s="21">
        <v>80</v>
      </c>
      <c r="S866" s="21">
        <v>535</v>
      </c>
      <c r="T866" s="21">
        <v>68</v>
      </c>
      <c r="U866" s="21">
        <v>1886</v>
      </c>
      <c r="V866" s="21"/>
      <c r="W866" s="21"/>
      <c r="X866" s="22">
        <v>268.5</v>
      </c>
      <c r="Y866" s="22">
        <v>177</v>
      </c>
      <c r="Z866" s="21">
        <v>469</v>
      </c>
      <c r="AA866" s="21">
        <v>897</v>
      </c>
      <c r="AB866" s="12">
        <v>180</v>
      </c>
    </row>
    <row r="867" ht="14.25" spans="1:28">
      <c r="A867" s="13">
        <v>865</v>
      </c>
      <c r="B867" s="15">
        <v>18</v>
      </c>
      <c r="C867" s="16">
        <v>51</v>
      </c>
      <c r="D867" s="15" t="s">
        <v>1728</v>
      </c>
      <c r="E867" s="15" t="s">
        <v>1729</v>
      </c>
      <c r="F867" s="21">
        <v>108</v>
      </c>
      <c r="G867" s="21">
        <v>247</v>
      </c>
      <c r="H867" s="21">
        <v>78.5</v>
      </c>
      <c r="I867" s="21">
        <v>791</v>
      </c>
      <c r="J867" s="21">
        <v>83.5</v>
      </c>
      <c r="K867" s="21">
        <v>1487</v>
      </c>
      <c r="L867" s="21"/>
      <c r="M867" s="21"/>
      <c r="N867" s="21">
        <v>52.5</v>
      </c>
      <c r="O867" s="21">
        <v>1205</v>
      </c>
      <c r="P867" s="21"/>
      <c r="Q867" s="21"/>
      <c r="R867" s="21">
        <v>82</v>
      </c>
      <c r="S867" s="21">
        <v>432</v>
      </c>
      <c r="T867" s="21">
        <v>78</v>
      </c>
      <c r="U867" s="21">
        <v>1003</v>
      </c>
      <c r="V867" s="21"/>
      <c r="W867" s="21"/>
      <c r="X867" s="22">
        <v>270</v>
      </c>
      <c r="Y867" s="22">
        <v>170</v>
      </c>
      <c r="Z867" s="21">
        <v>482.5</v>
      </c>
      <c r="AA867" s="21">
        <v>747</v>
      </c>
      <c r="AB867" s="12">
        <v>163</v>
      </c>
    </row>
    <row r="868" ht="14.25" spans="1:28">
      <c r="A868" s="13">
        <v>866</v>
      </c>
      <c r="B868" s="15">
        <v>18</v>
      </c>
      <c r="C868" s="16">
        <v>52</v>
      </c>
      <c r="D868" s="15" t="s">
        <v>1730</v>
      </c>
      <c r="E868" s="15" t="s">
        <v>1731</v>
      </c>
      <c r="F868" s="21">
        <v>105.5</v>
      </c>
      <c r="G868" s="21">
        <v>406</v>
      </c>
      <c r="H868" s="21">
        <v>87</v>
      </c>
      <c r="I868" s="21">
        <v>563</v>
      </c>
      <c r="J868" s="21">
        <v>115</v>
      </c>
      <c r="K868" s="21">
        <v>262</v>
      </c>
      <c r="L868" s="21"/>
      <c r="M868" s="21"/>
      <c r="N868" s="21">
        <v>49</v>
      </c>
      <c r="O868" s="21">
        <v>1682</v>
      </c>
      <c r="P868" s="21"/>
      <c r="Q868" s="21"/>
      <c r="R868" s="21">
        <v>87</v>
      </c>
      <c r="S868" s="21">
        <v>202</v>
      </c>
      <c r="T868" s="21">
        <v>75</v>
      </c>
      <c r="U868" s="21">
        <v>1272</v>
      </c>
      <c r="V868" s="21"/>
      <c r="W868" s="21"/>
      <c r="X868" s="22">
        <v>307.5</v>
      </c>
      <c r="Y868" s="22">
        <v>79</v>
      </c>
      <c r="Z868" s="21">
        <v>518.5</v>
      </c>
      <c r="AA868" s="21">
        <v>422</v>
      </c>
      <c r="AB868" s="12">
        <v>97</v>
      </c>
    </row>
    <row r="869" ht="14.25" spans="1:28">
      <c r="A869" s="13">
        <v>867</v>
      </c>
      <c r="B869" s="15">
        <v>18</v>
      </c>
      <c r="C869" s="16">
        <v>53</v>
      </c>
      <c r="D869" s="15" t="s">
        <v>1732</v>
      </c>
      <c r="E869" s="15" t="s">
        <v>1733</v>
      </c>
      <c r="F869" s="21">
        <v>102</v>
      </c>
      <c r="G869" s="21">
        <v>747</v>
      </c>
      <c r="H869" s="21">
        <v>92</v>
      </c>
      <c r="I869" s="21">
        <v>436</v>
      </c>
      <c r="J869" s="21">
        <v>109.5</v>
      </c>
      <c r="K869" s="21">
        <v>405</v>
      </c>
      <c r="L869" s="21"/>
      <c r="M869" s="21"/>
      <c r="N869" s="21">
        <v>61</v>
      </c>
      <c r="O869" s="21">
        <v>392</v>
      </c>
      <c r="P869" s="21"/>
      <c r="Q869" s="21"/>
      <c r="R869" s="21">
        <v>84</v>
      </c>
      <c r="S869" s="21">
        <v>369</v>
      </c>
      <c r="T869" s="21">
        <v>84</v>
      </c>
      <c r="U869" s="21">
        <v>578</v>
      </c>
      <c r="V869" s="21"/>
      <c r="W869" s="21"/>
      <c r="X869" s="22">
        <v>303.5</v>
      </c>
      <c r="Y869" s="22">
        <v>84</v>
      </c>
      <c r="Z869" s="21">
        <v>532.5</v>
      </c>
      <c r="AA869" s="21">
        <v>332</v>
      </c>
      <c r="AB869" s="12">
        <v>74</v>
      </c>
    </row>
    <row r="870" ht="14.25" spans="1:28">
      <c r="A870" s="13">
        <v>868</v>
      </c>
      <c r="B870" s="15">
        <v>18</v>
      </c>
      <c r="C870" s="16">
        <v>54</v>
      </c>
      <c r="D870" s="15" t="s">
        <v>1734</v>
      </c>
      <c r="E870" s="15" t="s">
        <v>1735</v>
      </c>
      <c r="F870" s="21">
        <v>97.5</v>
      </c>
      <c r="G870" s="21">
        <v>1268</v>
      </c>
      <c r="H870" s="21">
        <v>61.5</v>
      </c>
      <c r="I870" s="21">
        <v>1350</v>
      </c>
      <c r="J870" s="21">
        <v>72</v>
      </c>
      <c r="K870" s="21">
        <v>2118</v>
      </c>
      <c r="L870" s="21"/>
      <c r="M870" s="21"/>
      <c r="N870" s="21">
        <v>51.5</v>
      </c>
      <c r="O870" s="21">
        <v>1342</v>
      </c>
      <c r="P870" s="21"/>
      <c r="Q870" s="21"/>
      <c r="R870" s="21">
        <v>79</v>
      </c>
      <c r="S870" s="21">
        <v>590</v>
      </c>
      <c r="T870" s="21">
        <v>63</v>
      </c>
      <c r="U870" s="21">
        <v>2360</v>
      </c>
      <c r="V870" s="21"/>
      <c r="W870" s="21"/>
      <c r="X870" s="22">
        <v>231</v>
      </c>
      <c r="Y870" s="22">
        <v>204</v>
      </c>
      <c r="Z870" s="21">
        <v>424.5</v>
      </c>
      <c r="AA870" s="21">
        <v>1525</v>
      </c>
      <c r="AB870" s="12">
        <v>202</v>
      </c>
    </row>
    <row r="871" ht="14.25" spans="1:28">
      <c r="A871" s="13">
        <v>869</v>
      </c>
      <c r="B871" s="15">
        <v>18</v>
      </c>
      <c r="C871" s="16">
        <v>55</v>
      </c>
      <c r="D871" s="15" t="s">
        <v>1736</v>
      </c>
      <c r="E871" s="15" t="s">
        <v>1737</v>
      </c>
      <c r="F871" s="21">
        <v>107.5</v>
      </c>
      <c r="G871" s="21">
        <v>270</v>
      </c>
      <c r="H871" s="21">
        <v>57.5</v>
      </c>
      <c r="I871" s="21">
        <v>1493</v>
      </c>
      <c r="J871" s="21">
        <v>101.5</v>
      </c>
      <c r="K871" s="21">
        <v>649</v>
      </c>
      <c r="L871" s="21"/>
      <c r="M871" s="21"/>
      <c r="N871" s="21">
        <v>41</v>
      </c>
      <c r="O871" s="21">
        <v>2816</v>
      </c>
      <c r="P871" s="21"/>
      <c r="Q871" s="21"/>
      <c r="R871" s="21">
        <v>74</v>
      </c>
      <c r="S871" s="21">
        <v>916</v>
      </c>
      <c r="T871" s="21">
        <v>61</v>
      </c>
      <c r="U871" s="21">
        <v>2565</v>
      </c>
      <c r="V871" s="21"/>
      <c r="W871" s="21"/>
      <c r="X871" s="22">
        <v>266.5</v>
      </c>
      <c r="Y871" s="22">
        <v>184</v>
      </c>
      <c r="Z871" s="21">
        <v>442.5</v>
      </c>
      <c r="AA871" s="21">
        <v>1265</v>
      </c>
      <c r="AB871" s="12">
        <v>196</v>
      </c>
    </row>
    <row r="872" spans="14:15">
      <c r="N872" s="11"/>
      <c r="O872" s="11"/>
    </row>
    <row r="873" spans="14:15">
      <c r="N873" s="11"/>
      <c r="O873" s="11"/>
    </row>
    <row r="874" spans="14:15">
      <c r="N874" s="11"/>
      <c r="O874" s="11"/>
    </row>
    <row r="875" spans="14:15">
      <c r="N875" s="11"/>
      <c r="O875" s="11"/>
    </row>
    <row r="876" spans="14:15">
      <c r="N876" s="11"/>
      <c r="O876" s="11"/>
    </row>
    <row r="877" spans="14:15">
      <c r="N877" s="11"/>
      <c r="O877" s="11"/>
    </row>
    <row r="878" spans="14:15">
      <c r="N878" s="11"/>
      <c r="O878" s="11"/>
    </row>
    <row r="879" spans="14:15">
      <c r="N879" s="11"/>
      <c r="O879" s="11"/>
    </row>
    <row r="880" spans="14:15">
      <c r="N880" s="11"/>
      <c r="O880" s="11"/>
    </row>
    <row r="881" spans="14:15">
      <c r="N881" s="11"/>
      <c r="O881" s="11"/>
    </row>
    <row r="882" spans="14:15">
      <c r="N882" s="11"/>
      <c r="O882" s="11"/>
    </row>
    <row r="883" spans="14:15">
      <c r="N883" s="11"/>
      <c r="O883" s="11"/>
    </row>
    <row r="884" spans="14:15">
      <c r="N884" s="11"/>
      <c r="O884" s="11"/>
    </row>
    <row r="885" spans="14:15">
      <c r="N885" s="11"/>
      <c r="O885" s="11"/>
    </row>
    <row r="886" spans="14:15">
      <c r="N886" s="11"/>
      <c r="O886" s="11"/>
    </row>
    <row r="887" spans="14:15">
      <c r="N887" s="11"/>
      <c r="O887" s="11"/>
    </row>
    <row r="888" spans="14:15">
      <c r="N888" s="11"/>
      <c r="O888" s="11"/>
    </row>
    <row r="889" spans="14:15">
      <c r="N889" s="11"/>
      <c r="O889" s="11"/>
    </row>
    <row r="890" spans="14:15">
      <c r="N890" s="11"/>
      <c r="O890" s="11"/>
    </row>
    <row r="891" spans="14:15">
      <c r="N891" s="11"/>
      <c r="O891" s="11"/>
    </row>
    <row r="892" spans="14:15">
      <c r="N892" s="11"/>
      <c r="O892" s="11"/>
    </row>
    <row r="893" spans="14:15">
      <c r="N893" s="11"/>
      <c r="O893" s="11"/>
    </row>
    <row r="894" spans="14:15">
      <c r="N894" s="11"/>
      <c r="O894" s="11"/>
    </row>
    <row r="895" spans="14:15">
      <c r="N895" s="11"/>
      <c r="O895" s="11"/>
    </row>
    <row r="896" spans="14:15">
      <c r="N896" s="11"/>
      <c r="O896" s="11"/>
    </row>
    <row r="897" spans="14:15">
      <c r="N897" s="11"/>
      <c r="O897" s="11"/>
    </row>
    <row r="898" spans="14:15">
      <c r="N898" s="11"/>
      <c r="O898" s="11"/>
    </row>
    <row r="899" spans="14:15">
      <c r="N899" s="11"/>
      <c r="O899" s="11"/>
    </row>
    <row r="900" spans="14:15">
      <c r="N900" s="11"/>
      <c r="O900" s="11"/>
    </row>
    <row r="901" spans="14:15">
      <c r="N901" s="11"/>
      <c r="O901" s="11"/>
    </row>
    <row r="902" spans="14:15">
      <c r="N902" s="11"/>
      <c r="O902" s="11"/>
    </row>
    <row r="903" spans="14:15">
      <c r="N903" s="11"/>
      <c r="O903" s="11"/>
    </row>
    <row r="904" spans="14:15">
      <c r="N904" s="11"/>
      <c r="O904" s="11"/>
    </row>
    <row r="905" spans="14:15">
      <c r="N905" s="11"/>
      <c r="O905" s="11"/>
    </row>
    <row r="906" spans="14:15">
      <c r="N906" s="11"/>
      <c r="O906" s="11"/>
    </row>
    <row r="907" spans="14:15">
      <c r="N907" s="11"/>
      <c r="O907" s="11"/>
    </row>
    <row r="908" spans="14:15">
      <c r="N908" s="11"/>
      <c r="O908" s="11"/>
    </row>
    <row r="909" spans="14:15">
      <c r="N909" s="11"/>
      <c r="O909" s="11"/>
    </row>
    <row r="910" spans="14:15">
      <c r="N910" s="11"/>
      <c r="O910" s="11"/>
    </row>
    <row r="911" spans="14:15">
      <c r="N911" s="11"/>
      <c r="O911" s="11"/>
    </row>
    <row r="912" spans="14:15">
      <c r="N912" s="11"/>
      <c r="O912" s="11"/>
    </row>
    <row r="913" spans="14:15">
      <c r="N913" s="11"/>
      <c r="O913" s="11"/>
    </row>
    <row r="914" spans="14:15">
      <c r="N914" s="11"/>
      <c r="O914" s="11"/>
    </row>
    <row r="915" spans="14:15">
      <c r="N915" s="11"/>
      <c r="O915" s="11"/>
    </row>
    <row r="916" spans="14:15">
      <c r="N916" s="11"/>
      <c r="O916" s="11"/>
    </row>
    <row r="917" spans="14:15">
      <c r="N917" s="11"/>
      <c r="O917" s="11"/>
    </row>
    <row r="918" spans="14:15">
      <c r="N918" s="11"/>
      <c r="O918" s="11"/>
    </row>
    <row r="919" spans="14:15">
      <c r="N919" s="11"/>
      <c r="O919" s="11"/>
    </row>
    <row r="920" spans="14:15">
      <c r="N920" s="11"/>
      <c r="O920" s="11"/>
    </row>
    <row r="921" spans="14:15">
      <c r="N921" s="11"/>
      <c r="O921" s="11"/>
    </row>
    <row r="922" spans="14:15">
      <c r="N922" s="11"/>
      <c r="O922" s="11"/>
    </row>
    <row r="923" spans="14:15">
      <c r="N923" s="11"/>
      <c r="O923" s="11"/>
    </row>
    <row r="924" spans="14:15">
      <c r="N924" s="11"/>
      <c r="O924" s="11"/>
    </row>
    <row r="925" spans="14:15">
      <c r="N925" s="11"/>
      <c r="O925" s="11"/>
    </row>
    <row r="926" spans="14:15">
      <c r="N926" s="11"/>
      <c r="O926" s="11"/>
    </row>
    <row r="927" spans="14:15">
      <c r="N927" s="11"/>
      <c r="O927" s="11"/>
    </row>
    <row r="928" spans="14:15">
      <c r="N928" s="11"/>
      <c r="O928" s="11"/>
    </row>
    <row r="929" spans="14:15">
      <c r="N929" s="11"/>
      <c r="O929" s="11"/>
    </row>
    <row r="930" spans="14:15">
      <c r="N930" s="11"/>
      <c r="O930" s="11"/>
    </row>
    <row r="931" spans="14:15">
      <c r="N931" s="11"/>
      <c r="O931" s="11"/>
    </row>
    <row r="932" spans="14:15">
      <c r="N932" s="11"/>
      <c r="O932" s="11"/>
    </row>
    <row r="933" spans="14:15">
      <c r="N933" s="11"/>
      <c r="O933" s="11"/>
    </row>
    <row r="934" spans="14:15">
      <c r="N934" s="11"/>
      <c r="O934" s="11"/>
    </row>
    <row r="935" spans="14:15">
      <c r="N935" s="11"/>
      <c r="O935" s="11"/>
    </row>
    <row r="936" spans="14:15">
      <c r="N936" s="11"/>
      <c r="O936" s="11"/>
    </row>
    <row r="937" spans="14:15">
      <c r="N937" s="11"/>
      <c r="O937" s="11"/>
    </row>
    <row r="938" spans="14:15">
      <c r="N938" s="11"/>
      <c r="O938" s="11"/>
    </row>
    <row r="939" spans="14:15">
      <c r="N939" s="11"/>
      <c r="O939" s="11"/>
    </row>
    <row r="940" spans="14:15">
      <c r="N940" s="11"/>
      <c r="O940" s="11"/>
    </row>
    <row r="941" spans="14:15">
      <c r="N941" s="11"/>
      <c r="O941" s="11"/>
    </row>
    <row r="942" spans="14:15">
      <c r="N942" s="11"/>
      <c r="O942" s="11"/>
    </row>
    <row r="943" spans="14:15">
      <c r="N943" s="11"/>
      <c r="O943" s="11"/>
    </row>
    <row r="944" spans="14:15">
      <c r="N944" s="11"/>
      <c r="O944" s="11"/>
    </row>
    <row r="945" spans="14:15">
      <c r="N945" s="11"/>
      <c r="O945" s="11"/>
    </row>
    <row r="946" spans="14:15">
      <c r="N946" s="11"/>
      <c r="O946" s="11"/>
    </row>
    <row r="947" spans="14:15">
      <c r="N947" s="11"/>
      <c r="O947" s="11"/>
    </row>
    <row r="948" spans="14:15">
      <c r="N948" s="11"/>
      <c r="O948" s="11"/>
    </row>
    <row r="949" spans="14:15">
      <c r="N949" s="11"/>
      <c r="O949" s="11"/>
    </row>
    <row r="950" spans="14:15">
      <c r="N950" s="11"/>
      <c r="O950" s="11"/>
    </row>
    <row r="951" spans="14:15">
      <c r="N951" s="11"/>
      <c r="O951" s="11"/>
    </row>
    <row r="952" spans="14:15">
      <c r="N952" s="11"/>
      <c r="O952" s="11"/>
    </row>
    <row r="953" spans="14:15">
      <c r="N953" s="11"/>
      <c r="O953" s="11"/>
    </row>
    <row r="954" spans="14:15">
      <c r="N954" s="11"/>
      <c r="O954" s="11"/>
    </row>
    <row r="955" spans="14:15">
      <c r="N955" s="11"/>
      <c r="O955" s="11"/>
    </row>
    <row r="956" spans="14:15">
      <c r="N956" s="11"/>
      <c r="O956" s="11"/>
    </row>
    <row r="957" spans="14:15">
      <c r="N957" s="11"/>
      <c r="O957" s="11"/>
    </row>
    <row r="958" spans="14:15">
      <c r="N958" s="11"/>
      <c r="O958" s="11"/>
    </row>
    <row r="959" spans="14:15">
      <c r="N959" s="11"/>
      <c r="O959" s="11"/>
    </row>
    <row r="960" spans="14:15">
      <c r="N960" s="11"/>
      <c r="O960" s="11"/>
    </row>
    <row r="961" spans="14:15">
      <c r="N961" s="11"/>
      <c r="O961" s="11"/>
    </row>
    <row r="962" spans="14:15">
      <c r="N962" s="11"/>
      <c r="O962" s="11"/>
    </row>
    <row r="963" spans="14:15">
      <c r="N963" s="11"/>
      <c r="O963" s="11"/>
    </row>
    <row r="964" spans="14:15">
      <c r="N964" s="11"/>
      <c r="O964" s="11"/>
    </row>
    <row r="965" spans="14:15">
      <c r="N965" s="11"/>
      <c r="O965" s="11"/>
    </row>
    <row r="966" spans="14:15">
      <c r="N966" s="11"/>
      <c r="O966" s="11"/>
    </row>
    <row r="967" spans="14:15">
      <c r="N967" s="11"/>
      <c r="O967" s="11"/>
    </row>
    <row r="968" spans="14:15">
      <c r="N968" s="11"/>
      <c r="O968" s="11"/>
    </row>
    <row r="969" spans="14:15">
      <c r="N969" s="11"/>
      <c r="O969" s="11"/>
    </row>
    <row r="970" spans="14:15">
      <c r="N970" s="11"/>
      <c r="O970" s="11"/>
    </row>
    <row r="971" spans="14:15">
      <c r="N971" s="11"/>
      <c r="O971" s="11"/>
    </row>
    <row r="972" spans="14:15">
      <c r="N972" s="11"/>
      <c r="O972" s="11"/>
    </row>
    <row r="973" spans="14:15">
      <c r="N973" s="11"/>
      <c r="O973" s="11"/>
    </row>
    <row r="974" spans="14:15">
      <c r="N974" s="11"/>
      <c r="O974" s="11"/>
    </row>
    <row r="975" spans="14:15">
      <c r="N975" s="11"/>
      <c r="O975" s="11"/>
    </row>
    <row r="976" spans="14:15">
      <c r="N976" s="11"/>
      <c r="O976" s="11"/>
    </row>
    <row r="977" spans="14:15">
      <c r="N977" s="11"/>
      <c r="O977" s="11"/>
    </row>
    <row r="978" spans="14:15">
      <c r="N978" s="11"/>
      <c r="O978" s="11"/>
    </row>
    <row r="979" spans="14:15">
      <c r="N979" s="11"/>
      <c r="O979" s="11"/>
    </row>
    <row r="980" spans="14:15">
      <c r="N980" s="11"/>
      <c r="O980" s="11"/>
    </row>
    <row r="981" spans="14:15">
      <c r="N981" s="11"/>
      <c r="O981" s="11"/>
    </row>
    <row r="982" spans="14:15">
      <c r="N982" s="11"/>
      <c r="O982" s="11"/>
    </row>
    <row r="983" spans="14:15">
      <c r="N983" s="11"/>
      <c r="O983" s="11"/>
    </row>
    <row r="984" spans="14:15">
      <c r="N984" s="11"/>
      <c r="O984" s="11"/>
    </row>
    <row r="985" spans="14:15">
      <c r="N985" s="11"/>
      <c r="O985" s="11"/>
    </row>
    <row r="986" spans="14:15">
      <c r="N986" s="11"/>
      <c r="O986" s="11"/>
    </row>
    <row r="987" spans="14:15">
      <c r="N987" s="11"/>
      <c r="O987" s="11"/>
    </row>
    <row r="988" spans="14:15">
      <c r="N988" s="11"/>
      <c r="O988" s="11"/>
    </row>
    <row r="989" spans="14:15">
      <c r="N989" s="11"/>
      <c r="O989" s="11"/>
    </row>
    <row r="990" spans="14:15">
      <c r="N990" s="11"/>
      <c r="O990" s="11"/>
    </row>
    <row r="991" spans="14:15">
      <c r="N991" s="11"/>
      <c r="O991" s="11"/>
    </row>
    <row r="992" spans="14:15">
      <c r="N992" s="11"/>
      <c r="O992" s="11"/>
    </row>
    <row r="993" spans="14:15">
      <c r="N993" s="11"/>
      <c r="O993" s="11"/>
    </row>
    <row r="994" spans="14:15">
      <c r="N994" s="11"/>
      <c r="O994" s="11"/>
    </row>
    <row r="995" spans="14:15">
      <c r="N995" s="11"/>
      <c r="O995" s="11"/>
    </row>
    <row r="996" spans="14:15">
      <c r="N996" s="11"/>
      <c r="O996" s="11"/>
    </row>
    <row r="997" spans="14:15">
      <c r="N997" s="11"/>
      <c r="O997" s="11"/>
    </row>
    <row r="998" spans="14:15">
      <c r="N998" s="11"/>
      <c r="O998" s="11"/>
    </row>
    <row r="999" spans="14:15">
      <c r="N999" s="11"/>
      <c r="O999" s="11"/>
    </row>
    <row r="1000" spans="14:15">
      <c r="N1000" s="11"/>
      <c r="O1000" s="11"/>
    </row>
    <row r="1001" spans="14:15">
      <c r="N1001" s="11"/>
      <c r="O1001" s="11"/>
    </row>
    <row r="1002" spans="14:15">
      <c r="N1002" s="11"/>
      <c r="O1002" s="11"/>
    </row>
    <row r="1003" spans="14:15">
      <c r="N1003" s="11"/>
      <c r="O1003" s="11"/>
    </row>
    <row r="1004" spans="14:15">
      <c r="N1004" s="11"/>
      <c r="O1004" s="11"/>
    </row>
    <row r="1005" spans="14:15">
      <c r="N1005" s="11"/>
      <c r="O1005" s="11"/>
    </row>
    <row r="1006" spans="14:15">
      <c r="N1006" s="11"/>
      <c r="O1006" s="11"/>
    </row>
    <row r="1007" spans="14:15">
      <c r="N1007" s="11"/>
      <c r="O1007" s="11"/>
    </row>
    <row r="1008" spans="14:15">
      <c r="N1008" s="11"/>
      <c r="O1008" s="11"/>
    </row>
    <row r="1009" spans="14:15">
      <c r="N1009" s="11"/>
      <c r="O1009" s="11"/>
    </row>
    <row r="1010" spans="14:15">
      <c r="N1010" s="11"/>
      <c r="O1010" s="11"/>
    </row>
    <row r="1011" spans="14:15">
      <c r="N1011" s="11"/>
      <c r="O1011" s="11"/>
    </row>
    <row r="1012" spans="14:15">
      <c r="N1012" s="11"/>
      <c r="O1012" s="11"/>
    </row>
    <row r="1013" spans="14:15">
      <c r="N1013" s="11"/>
      <c r="O1013" s="11"/>
    </row>
    <row r="1014" spans="14:15">
      <c r="N1014" s="11"/>
      <c r="O1014" s="11"/>
    </row>
    <row r="1015" spans="14:15">
      <c r="N1015" s="11"/>
      <c r="O1015" s="11"/>
    </row>
    <row r="1016" spans="14:15">
      <c r="N1016" s="11"/>
      <c r="O1016" s="11"/>
    </row>
    <row r="1017" spans="14:15">
      <c r="N1017" s="11"/>
      <c r="O1017" s="11"/>
    </row>
    <row r="1018" spans="14:15">
      <c r="N1018" s="11"/>
      <c r="O1018" s="11"/>
    </row>
    <row r="1019" spans="14:15">
      <c r="N1019" s="11"/>
      <c r="O1019" s="11"/>
    </row>
    <row r="1020" spans="14:15">
      <c r="N1020" s="11"/>
      <c r="O1020" s="11"/>
    </row>
    <row r="1021" spans="14:15">
      <c r="N1021" s="11"/>
      <c r="O1021" s="11"/>
    </row>
    <row r="1022" spans="14:15">
      <c r="N1022" s="11"/>
      <c r="O1022" s="11"/>
    </row>
    <row r="1023" spans="14:15">
      <c r="N1023" s="11"/>
      <c r="O1023" s="11"/>
    </row>
    <row r="1024" spans="14:15">
      <c r="N1024" s="11"/>
      <c r="O1024" s="11"/>
    </row>
    <row r="1025" spans="14:15">
      <c r="N1025" s="11"/>
      <c r="O1025" s="11"/>
    </row>
    <row r="1026" spans="14:15">
      <c r="N1026" s="11"/>
      <c r="O1026" s="11"/>
    </row>
    <row r="1027" spans="14:15">
      <c r="N1027" s="11"/>
      <c r="O1027" s="11"/>
    </row>
    <row r="1028" spans="14:15">
      <c r="N1028" s="11"/>
      <c r="O1028" s="11"/>
    </row>
    <row r="1029" spans="14:15">
      <c r="N1029" s="11"/>
      <c r="O1029" s="11"/>
    </row>
    <row r="1030" spans="14:15">
      <c r="N1030" s="11"/>
      <c r="O1030" s="11"/>
    </row>
    <row r="1031" spans="14:15">
      <c r="N1031" s="11"/>
      <c r="O1031" s="11"/>
    </row>
    <row r="1032" spans="14:15">
      <c r="N1032" s="11"/>
      <c r="O1032" s="11"/>
    </row>
    <row r="1033" spans="14:15">
      <c r="N1033" s="11"/>
      <c r="O1033" s="11"/>
    </row>
    <row r="1034" spans="14:15">
      <c r="N1034" s="11"/>
      <c r="O1034" s="11"/>
    </row>
    <row r="1035" spans="14:15">
      <c r="N1035" s="11"/>
      <c r="O1035" s="11"/>
    </row>
    <row r="1036" spans="14:15">
      <c r="N1036" s="11"/>
      <c r="O1036" s="11"/>
    </row>
    <row r="1037" spans="14:15">
      <c r="N1037" s="11"/>
      <c r="O1037" s="11"/>
    </row>
    <row r="1038" spans="14:15">
      <c r="N1038" s="11"/>
      <c r="O1038" s="11"/>
    </row>
    <row r="1039" spans="14:15">
      <c r="N1039" s="11"/>
      <c r="O1039" s="11"/>
    </row>
    <row r="1040" spans="14:15">
      <c r="N1040" s="11"/>
      <c r="O1040" s="11"/>
    </row>
    <row r="1041" spans="14:15">
      <c r="N1041" s="11"/>
      <c r="O1041" s="11"/>
    </row>
    <row r="1042" spans="14:15">
      <c r="N1042" s="11"/>
      <c r="O1042" s="11"/>
    </row>
    <row r="1043" spans="14:15">
      <c r="N1043" s="11"/>
      <c r="O1043" s="11"/>
    </row>
    <row r="1044" spans="14:15">
      <c r="N1044" s="11"/>
      <c r="O1044" s="11"/>
    </row>
    <row r="1045" spans="14:15">
      <c r="N1045" s="11"/>
      <c r="O1045" s="11"/>
    </row>
    <row r="1046" spans="14:15">
      <c r="N1046" s="11"/>
      <c r="O1046" s="11"/>
    </row>
    <row r="1047" spans="14:15">
      <c r="N1047" s="11"/>
      <c r="O1047" s="11"/>
    </row>
    <row r="1048" spans="14:15">
      <c r="N1048" s="11"/>
      <c r="O1048" s="11"/>
    </row>
    <row r="1049" spans="14:15">
      <c r="N1049" s="11"/>
      <c r="O1049" s="11"/>
    </row>
    <row r="1050" spans="14:15">
      <c r="N1050" s="11"/>
      <c r="O1050" s="11"/>
    </row>
    <row r="1051" spans="14:15">
      <c r="N1051" s="11"/>
      <c r="O1051" s="11"/>
    </row>
    <row r="1052" spans="14:15">
      <c r="N1052" s="11"/>
      <c r="O1052" s="11"/>
    </row>
    <row r="1053" spans="14:15">
      <c r="N1053" s="11"/>
      <c r="O1053" s="11"/>
    </row>
    <row r="1054" spans="14:15">
      <c r="N1054" s="11"/>
      <c r="O1054" s="11"/>
    </row>
    <row r="1055" spans="14:15">
      <c r="N1055" s="11"/>
      <c r="O1055" s="11"/>
    </row>
    <row r="1056" spans="14:15">
      <c r="N1056" s="11"/>
      <c r="O1056" s="11"/>
    </row>
    <row r="1057" spans="14:15">
      <c r="N1057" s="11"/>
      <c r="O1057" s="11"/>
    </row>
    <row r="1058" spans="14:15">
      <c r="N1058" s="11"/>
      <c r="O1058" s="11"/>
    </row>
    <row r="1059" spans="14:15">
      <c r="N1059" s="11"/>
      <c r="O1059" s="11"/>
    </row>
    <row r="1060" spans="14:15">
      <c r="N1060" s="11"/>
      <c r="O1060" s="11"/>
    </row>
    <row r="1061" spans="14:15">
      <c r="N1061" s="11"/>
      <c r="O1061" s="11"/>
    </row>
    <row r="1062" spans="14:15">
      <c r="N1062" s="11"/>
      <c r="O1062" s="11"/>
    </row>
    <row r="1063" spans="14:15">
      <c r="N1063" s="11"/>
      <c r="O1063" s="11"/>
    </row>
    <row r="1064" spans="14:15">
      <c r="N1064" s="11"/>
      <c r="O1064" s="11"/>
    </row>
    <row r="1065" spans="14:15">
      <c r="N1065" s="11"/>
      <c r="O1065" s="11"/>
    </row>
    <row r="1066" spans="14:15">
      <c r="N1066" s="11"/>
      <c r="O1066" s="11"/>
    </row>
    <row r="1067" spans="14:15">
      <c r="N1067" s="11"/>
      <c r="O1067" s="11"/>
    </row>
    <row r="1068" spans="14:15">
      <c r="N1068" s="11"/>
      <c r="O1068" s="11"/>
    </row>
    <row r="1069" spans="14:15">
      <c r="N1069" s="11"/>
      <c r="O1069" s="11"/>
    </row>
    <row r="1070" spans="14:15">
      <c r="N1070" s="11"/>
      <c r="O1070" s="11"/>
    </row>
    <row r="1071" spans="14:15">
      <c r="N1071" s="11"/>
      <c r="O1071" s="11"/>
    </row>
    <row r="1072" spans="14:15">
      <c r="N1072" s="11"/>
      <c r="O1072" s="11"/>
    </row>
    <row r="1073" spans="14:15">
      <c r="N1073" s="11"/>
      <c r="O1073" s="11"/>
    </row>
    <row r="1074" spans="14:15">
      <c r="N1074" s="11"/>
      <c r="O1074" s="11"/>
    </row>
    <row r="1075" spans="14:15">
      <c r="N1075" s="11"/>
      <c r="O1075" s="11"/>
    </row>
    <row r="1076" spans="14:15">
      <c r="N1076" s="11"/>
      <c r="O1076" s="11"/>
    </row>
    <row r="1077" spans="14:15">
      <c r="N1077" s="11"/>
      <c r="O1077" s="11"/>
    </row>
    <row r="1078" spans="14:15">
      <c r="N1078" s="11"/>
      <c r="O1078" s="11"/>
    </row>
    <row r="1079" spans="14:15">
      <c r="N1079" s="11"/>
      <c r="O1079" s="11"/>
    </row>
    <row r="1080" spans="14:15">
      <c r="N1080" s="11"/>
      <c r="O1080" s="11"/>
    </row>
    <row r="1081" spans="14:15">
      <c r="N1081" s="11"/>
      <c r="O1081" s="11"/>
    </row>
    <row r="1082" spans="14:15">
      <c r="N1082" s="11"/>
      <c r="O1082" s="11"/>
    </row>
    <row r="1083" spans="14:15">
      <c r="N1083" s="11"/>
      <c r="O1083" s="11"/>
    </row>
    <row r="1084" spans="14:15">
      <c r="N1084" s="11"/>
      <c r="O1084" s="11"/>
    </row>
    <row r="1085" spans="14:15">
      <c r="N1085" s="11"/>
      <c r="O1085" s="11"/>
    </row>
    <row r="1086" spans="14:15">
      <c r="N1086" s="11"/>
      <c r="O1086" s="11"/>
    </row>
    <row r="1087" spans="14:15">
      <c r="N1087" s="11"/>
      <c r="O1087" s="11"/>
    </row>
    <row r="1088" spans="14:15">
      <c r="N1088" s="11"/>
      <c r="O1088" s="11"/>
    </row>
    <row r="1089" spans="14:15">
      <c r="N1089" s="11"/>
      <c r="O1089" s="11"/>
    </row>
    <row r="1090" spans="14:15">
      <c r="N1090" s="11"/>
      <c r="O1090" s="11"/>
    </row>
    <row r="1091" spans="14:15">
      <c r="N1091" s="11"/>
      <c r="O1091" s="11"/>
    </row>
    <row r="1092" spans="14:15">
      <c r="N1092" s="11"/>
      <c r="O1092" s="11"/>
    </row>
    <row r="1093" spans="14:15">
      <c r="N1093" s="11"/>
      <c r="O1093" s="11"/>
    </row>
    <row r="1094" spans="14:15">
      <c r="N1094" s="11"/>
      <c r="O1094" s="11"/>
    </row>
    <row r="1095" spans="14:15">
      <c r="N1095" s="11"/>
      <c r="O1095" s="11"/>
    </row>
    <row r="1096" spans="14:15">
      <c r="N1096" s="11"/>
      <c r="O1096" s="11"/>
    </row>
    <row r="1097" spans="14:15">
      <c r="N1097" s="11"/>
      <c r="O1097" s="11"/>
    </row>
    <row r="1098" spans="14:15">
      <c r="N1098" s="11"/>
      <c r="O1098" s="11"/>
    </row>
    <row r="1099" spans="14:15">
      <c r="N1099" s="11"/>
      <c r="O1099" s="11"/>
    </row>
    <row r="1100" spans="14:15">
      <c r="N1100" s="11"/>
      <c r="O1100" s="11"/>
    </row>
    <row r="1101" spans="14:15">
      <c r="N1101" s="11"/>
      <c r="O1101" s="11"/>
    </row>
    <row r="1102" spans="14:15">
      <c r="N1102" s="11"/>
      <c r="O1102" s="11"/>
    </row>
    <row r="1103" spans="14:15">
      <c r="N1103" s="11"/>
      <c r="O1103" s="11"/>
    </row>
    <row r="1104" spans="14:15">
      <c r="N1104" s="11"/>
      <c r="O1104" s="11"/>
    </row>
    <row r="1105" spans="14:15">
      <c r="N1105" s="11"/>
      <c r="O1105" s="11"/>
    </row>
    <row r="1106" spans="14:15">
      <c r="N1106" s="11"/>
      <c r="O1106" s="11"/>
    </row>
    <row r="1107" spans="14:15">
      <c r="N1107" s="11"/>
      <c r="O1107" s="11"/>
    </row>
    <row r="1108" spans="14:15">
      <c r="N1108" s="11"/>
      <c r="O1108" s="11"/>
    </row>
    <row r="1109" spans="14:15">
      <c r="N1109" s="11"/>
      <c r="O1109" s="11"/>
    </row>
    <row r="1110" spans="14:15">
      <c r="N1110" s="11"/>
      <c r="O1110" s="11"/>
    </row>
    <row r="1111" spans="14:15">
      <c r="N1111" s="11"/>
      <c r="O1111" s="11"/>
    </row>
    <row r="1112" spans="14:15">
      <c r="N1112" s="11"/>
      <c r="O1112" s="11"/>
    </row>
    <row r="1113" spans="14:15">
      <c r="N1113" s="11"/>
      <c r="O1113" s="11"/>
    </row>
    <row r="1114" spans="14:15">
      <c r="N1114" s="11"/>
      <c r="O1114" s="11"/>
    </row>
    <row r="1115" spans="14:15">
      <c r="N1115" s="11"/>
      <c r="O1115" s="11"/>
    </row>
    <row r="1116" spans="14:15">
      <c r="N1116" s="11"/>
      <c r="O1116" s="11"/>
    </row>
    <row r="1117" spans="14:15">
      <c r="N1117" s="11"/>
      <c r="O1117" s="11"/>
    </row>
    <row r="1118" spans="14:15">
      <c r="N1118" s="11"/>
      <c r="O1118" s="11"/>
    </row>
    <row r="1119" spans="14:15">
      <c r="N1119" s="11"/>
      <c r="O1119" s="11"/>
    </row>
    <row r="1120" spans="14:15">
      <c r="N1120" s="11"/>
      <c r="O1120" s="11"/>
    </row>
    <row r="1121" spans="14:15">
      <c r="N1121" s="11"/>
      <c r="O1121" s="11"/>
    </row>
    <row r="1122" spans="14:15">
      <c r="N1122" s="11"/>
      <c r="O1122" s="11"/>
    </row>
    <row r="1123" spans="14:15">
      <c r="N1123" s="11"/>
      <c r="O1123" s="11"/>
    </row>
    <row r="1124" spans="14:15">
      <c r="N1124" s="11"/>
      <c r="O1124" s="11"/>
    </row>
    <row r="1125" spans="14:15">
      <c r="N1125" s="11"/>
      <c r="O1125" s="11"/>
    </row>
    <row r="1126" spans="14:15">
      <c r="N1126" s="11"/>
      <c r="O1126" s="11"/>
    </row>
    <row r="1127" spans="14:15">
      <c r="N1127" s="11"/>
      <c r="O1127" s="11"/>
    </row>
    <row r="1128" spans="14:15">
      <c r="N1128" s="11"/>
      <c r="O1128" s="11"/>
    </row>
    <row r="1129" spans="14:15">
      <c r="N1129" s="11"/>
      <c r="O1129" s="11"/>
    </row>
    <row r="1130" spans="14:15">
      <c r="N1130" s="11"/>
      <c r="O1130" s="11"/>
    </row>
    <row r="1131" spans="14:15">
      <c r="N1131" s="11"/>
      <c r="O1131" s="11"/>
    </row>
    <row r="1132" spans="14:15">
      <c r="N1132" s="11"/>
      <c r="O1132" s="11"/>
    </row>
    <row r="1133" spans="14:15">
      <c r="N1133" s="11"/>
      <c r="O1133" s="11"/>
    </row>
    <row r="1134" spans="14:15">
      <c r="N1134" s="11"/>
      <c r="O1134" s="11"/>
    </row>
    <row r="1135" spans="14:15">
      <c r="N1135" s="11"/>
      <c r="O1135" s="11"/>
    </row>
    <row r="1136" spans="14:15">
      <c r="N1136" s="11"/>
      <c r="O1136" s="11"/>
    </row>
    <row r="1137" spans="14:15">
      <c r="N1137" s="11"/>
      <c r="O1137" s="11"/>
    </row>
    <row r="1138" spans="14:15">
      <c r="N1138" s="11"/>
      <c r="O1138" s="11"/>
    </row>
    <row r="1139" spans="14:15">
      <c r="N1139" s="11"/>
      <c r="O1139" s="11"/>
    </row>
    <row r="1140" spans="14:15">
      <c r="N1140" s="11"/>
      <c r="O1140" s="11"/>
    </row>
    <row r="1141" spans="14:15">
      <c r="N1141" s="11"/>
      <c r="O1141" s="11"/>
    </row>
    <row r="1142" spans="14:15">
      <c r="N1142" s="11"/>
      <c r="O1142" s="11"/>
    </row>
    <row r="1143" spans="14:15">
      <c r="N1143" s="11"/>
      <c r="O1143" s="11"/>
    </row>
    <row r="1144" spans="14:15">
      <c r="N1144" s="11"/>
      <c r="O1144" s="11"/>
    </row>
    <row r="1145" spans="14:15">
      <c r="N1145" s="11"/>
      <c r="O1145" s="11"/>
    </row>
    <row r="1146" spans="14:15">
      <c r="N1146" s="11"/>
      <c r="O1146" s="11"/>
    </row>
    <row r="1147" spans="14:15">
      <c r="N1147" s="11"/>
      <c r="O1147" s="11"/>
    </row>
    <row r="1148" spans="14:15">
      <c r="N1148" s="11"/>
      <c r="O1148" s="11"/>
    </row>
    <row r="1149" spans="14:15">
      <c r="N1149" s="11"/>
      <c r="O1149" s="11"/>
    </row>
    <row r="1150" spans="14:15">
      <c r="N1150" s="11"/>
      <c r="O1150" s="11"/>
    </row>
    <row r="1151" spans="14:15">
      <c r="N1151" s="11"/>
      <c r="O1151" s="11"/>
    </row>
    <row r="1152" spans="14:15">
      <c r="N1152" s="11"/>
      <c r="O1152" s="11"/>
    </row>
    <row r="1153" spans="14:15">
      <c r="N1153" s="11"/>
      <c r="O1153" s="11"/>
    </row>
    <row r="1154" spans="14:15">
      <c r="N1154" s="11"/>
      <c r="O1154" s="11"/>
    </row>
    <row r="1155" spans="14:15">
      <c r="N1155" s="11"/>
      <c r="O1155" s="11"/>
    </row>
    <row r="1156" spans="14:15">
      <c r="N1156" s="11"/>
      <c r="O1156" s="11"/>
    </row>
    <row r="1157" spans="14:15">
      <c r="N1157" s="11"/>
      <c r="O1157" s="11"/>
    </row>
    <row r="1158" spans="14:15">
      <c r="N1158" s="11"/>
      <c r="O1158" s="11"/>
    </row>
    <row r="1159" spans="14:15">
      <c r="N1159" s="11"/>
      <c r="O1159" s="11"/>
    </row>
    <row r="1160" spans="14:15">
      <c r="N1160" s="11"/>
      <c r="O1160" s="11"/>
    </row>
    <row r="1161" spans="14:15">
      <c r="N1161" s="11"/>
      <c r="O1161" s="11"/>
    </row>
    <row r="1162" spans="14:15">
      <c r="N1162" s="11"/>
      <c r="O1162" s="11"/>
    </row>
    <row r="1163" spans="14:15">
      <c r="N1163" s="11"/>
      <c r="O1163" s="11"/>
    </row>
    <row r="1164" spans="14:15">
      <c r="N1164" s="11"/>
      <c r="O1164" s="11"/>
    </row>
    <row r="1165" spans="14:15">
      <c r="N1165" s="11"/>
      <c r="O1165" s="11"/>
    </row>
    <row r="1166" spans="14:15">
      <c r="N1166" s="11"/>
      <c r="O1166" s="11"/>
    </row>
    <row r="1167" spans="14:15">
      <c r="N1167" s="11"/>
      <c r="O1167" s="11"/>
    </row>
    <row r="1168" spans="14:15">
      <c r="N1168" s="11"/>
      <c r="O1168" s="11"/>
    </row>
    <row r="1169" spans="14:15">
      <c r="N1169" s="11"/>
      <c r="O1169" s="11"/>
    </row>
    <row r="1170" spans="14:15">
      <c r="N1170" s="11"/>
      <c r="O1170" s="11"/>
    </row>
    <row r="1171" spans="14:15">
      <c r="N1171" s="11"/>
      <c r="O1171" s="11"/>
    </row>
    <row r="1172" spans="14:15">
      <c r="N1172" s="11"/>
      <c r="O1172" s="11"/>
    </row>
    <row r="1173" spans="14:15">
      <c r="N1173" s="11"/>
      <c r="O1173" s="11"/>
    </row>
    <row r="1174" spans="14:15">
      <c r="N1174" s="11"/>
      <c r="O1174" s="11"/>
    </row>
    <row r="1175" spans="14:15">
      <c r="N1175" s="11"/>
      <c r="O1175" s="11"/>
    </row>
    <row r="1176" spans="14:15">
      <c r="N1176" s="11"/>
      <c r="O1176" s="11"/>
    </row>
    <row r="1177" spans="14:15">
      <c r="N1177" s="11"/>
      <c r="O1177" s="11"/>
    </row>
    <row r="1178" spans="14:15">
      <c r="N1178" s="11"/>
      <c r="O1178" s="11"/>
    </row>
    <row r="1179" spans="14:15">
      <c r="N1179" s="11"/>
      <c r="O1179" s="11"/>
    </row>
    <row r="1180" spans="14:15">
      <c r="N1180" s="11"/>
      <c r="O1180" s="11"/>
    </row>
    <row r="1181" spans="14:15">
      <c r="N1181" s="11"/>
      <c r="O1181" s="11"/>
    </row>
    <row r="1182" spans="14:15">
      <c r="N1182" s="11"/>
      <c r="O1182" s="11"/>
    </row>
    <row r="1183" spans="14:15">
      <c r="N1183" s="11"/>
      <c r="O1183" s="11"/>
    </row>
    <row r="1184" spans="14:15">
      <c r="N1184" s="11"/>
      <c r="O1184" s="11"/>
    </row>
    <row r="1185" spans="14:15">
      <c r="N1185" s="11"/>
      <c r="O1185" s="11"/>
    </row>
    <row r="1186" spans="14:15">
      <c r="N1186" s="11"/>
      <c r="O1186" s="11"/>
    </row>
    <row r="1187" spans="14:15">
      <c r="N1187" s="11"/>
      <c r="O1187" s="11"/>
    </row>
    <row r="1188" spans="14:15">
      <c r="N1188" s="11"/>
      <c r="O1188" s="11"/>
    </row>
    <row r="1189" spans="14:15">
      <c r="N1189" s="11"/>
      <c r="O1189" s="11"/>
    </row>
    <row r="1190" spans="14:15">
      <c r="N1190" s="11"/>
      <c r="O1190" s="11"/>
    </row>
    <row r="1191" spans="14:15">
      <c r="N1191" s="11"/>
      <c r="O1191" s="11"/>
    </row>
    <row r="1192" spans="14:15">
      <c r="N1192" s="11"/>
      <c r="O1192" s="11"/>
    </row>
    <row r="1193" spans="14:15">
      <c r="N1193" s="11"/>
      <c r="O1193" s="11"/>
    </row>
    <row r="1194" spans="14:15">
      <c r="N1194" s="11"/>
      <c r="O1194" s="11"/>
    </row>
    <row r="1195" spans="14:15">
      <c r="N1195" s="11"/>
      <c r="O1195" s="11"/>
    </row>
    <row r="1196" spans="14:15">
      <c r="N1196" s="11"/>
      <c r="O1196" s="11"/>
    </row>
    <row r="1197" spans="14:15">
      <c r="N1197" s="11"/>
      <c r="O1197" s="11"/>
    </row>
    <row r="1198" spans="14:15">
      <c r="N1198" s="11"/>
      <c r="O1198" s="11"/>
    </row>
    <row r="1199" spans="14:15">
      <c r="N1199" s="11"/>
      <c r="O1199" s="11"/>
    </row>
    <row r="1200" spans="14:15">
      <c r="N1200" s="11"/>
      <c r="O1200" s="11"/>
    </row>
    <row r="1201" spans="14:15">
      <c r="N1201" s="11"/>
      <c r="O1201" s="11"/>
    </row>
    <row r="1202" spans="14:15">
      <c r="N1202" s="11"/>
      <c r="O1202" s="11"/>
    </row>
    <row r="1203" spans="14:15">
      <c r="N1203" s="11"/>
      <c r="O1203" s="11"/>
    </row>
    <row r="1204" spans="14:15">
      <c r="N1204" s="11"/>
      <c r="O1204" s="11"/>
    </row>
    <row r="1205" spans="14:15">
      <c r="N1205" s="11"/>
      <c r="O1205" s="11"/>
    </row>
    <row r="1206" spans="14:15">
      <c r="N1206" s="11"/>
      <c r="O1206" s="11"/>
    </row>
    <row r="1207" spans="14:15">
      <c r="N1207" s="11"/>
      <c r="O1207" s="11"/>
    </row>
    <row r="1208" spans="14:15">
      <c r="N1208" s="11"/>
      <c r="O1208" s="11"/>
    </row>
    <row r="1209" spans="14:15">
      <c r="N1209" s="11"/>
      <c r="O1209" s="11"/>
    </row>
    <row r="1210" spans="14:15">
      <c r="N1210" s="11"/>
      <c r="O1210" s="11"/>
    </row>
    <row r="1211" spans="14:15">
      <c r="N1211" s="11"/>
      <c r="O1211" s="11"/>
    </row>
    <row r="1212" spans="14:15">
      <c r="N1212" s="11"/>
      <c r="O1212" s="11"/>
    </row>
    <row r="1213" spans="14:15">
      <c r="N1213" s="11"/>
      <c r="O1213" s="11"/>
    </row>
    <row r="1214" spans="14:15">
      <c r="N1214" s="11"/>
      <c r="O1214" s="11"/>
    </row>
    <row r="1215" spans="14:15">
      <c r="N1215" s="11"/>
      <c r="O1215" s="11"/>
    </row>
    <row r="1216" spans="14:15">
      <c r="N1216" s="11"/>
      <c r="O1216" s="11"/>
    </row>
    <row r="1217" spans="14:15">
      <c r="N1217" s="11"/>
      <c r="O1217" s="11"/>
    </row>
    <row r="1218" spans="14:15">
      <c r="N1218" s="11"/>
      <c r="O1218" s="11"/>
    </row>
    <row r="1219" spans="14:15">
      <c r="N1219" s="11"/>
      <c r="O1219" s="11"/>
    </row>
    <row r="1220" spans="14:15">
      <c r="N1220" s="11"/>
      <c r="O1220" s="11"/>
    </row>
    <row r="1221" spans="14:15">
      <c r="N1221" s="11"/>
      <c r="O1221" s="11"/>
    </row>
    <row r="1222" spans="2:27"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11"/>
      <c r="O1222" s="11"/>
      <c r="P1222" s="23"/>
      <c r="Q1222" s="23"/>
      <c r="R1222" s="23"/>
      <c r="S1222" s="23"/>
      <c r="T1222" s="23"/>
      <c r="U1222" s="23"/>
      <c r="V1222" s="23"/>
      <c r="W1222" s="23"/>
      <c r="X1222" s="24"/>
      <c r="Z1222" s="24"/>
      <c r="AA1222" s="23"/>
    </row>
    <row r="1223" spans="14:15">
      <c r="N1223" s="11"/>
      <c r="O1223" s="11"/>
    </row>
    <row r="1224" spans="14:15">
      <c r="N1224" s="11"/>
      <c r="O1224" s="11"/>
    </row>
    <row r="1225" spans="14:15">
      <c r="N1225" s="11"/>
      <c r="O1225" s="11"/>
    </row>
    <row r="1226" spans="14:15">
      <c r="N1226" s="11"/>
      <c r="O1226" s="11"/>
    </row>
    <row r="1227" spans="14:15">
      <c r="N1227" s="11"/>
      <c r="O1227" s="11"/>
    </row>
    <row r="1228" spans="14:15">
      <c r="N1228" s="11"/>
      <c r="O1228" s="11"/>
    </row>
    <row r="1229" spans="14:15">
      <c r="N1229" s="11"/>
      <c r="O1229" s="11"/>
    </row>
    <row r="1230" spans="14:15">
      <c r="N1230" s="11"/>
      <c r="O1230" s="11"/>
    </row>
    <row r="1231" spans="14:15">
      <c r="N1231" s="11"/>
      <c r="O1231" s="11"/>
    </row>
    <row r="1232" spans="14:15">
      <c r="N1232" s="11"/>
      <c r="O1232" s="11"/>
    </row>
    <row r="1233" spans="14:15">
      <c r="N1233" s="11"/>
      <c r="O1233" s="11"/>
    </row>
    <row r="1234" spans="14:15">
      <c r="N1234" s="11"/>
      <c r="O1234" s="11"/>
    </row>
    <row r="1235" spans="14:15">
      <c r="N1235" s="11"/>
      <c r="O1235" s="11"/>
    </row>
    <row r="1236" spans="14:15">
      <c r="N1236" s="11"/>
      <c r="O1236" s="11"/>
    </row>
    <row r="1237" spans="14:15">
      <c r="N1237" s="11"/>
      <c r="O1237" s="11"/>
    </row>
    <row r="1238" spans="14:15">
      <c r="N1238" s="11"/>
      <c r="O1238" s="11"/>
    </row>
    <row r="1239" spans="14:15">
      <c r="N1239" s="11"/>
      <c r="O1239" s="11"/>
    </row>
    <row r="1240" spans="14:15">
      <c r="N1240" s="11"/>
      <c r="O1240" s="11"/>
    </row>
    <row r="1241" spans="14:15">
      <c r="N1241" s="11"/>
      <c r="O1241" s="11"/>
    </row>
    <row r="1242" spans="14:15">
      <c r="N1242" s="11"/>
      <c r="O1242" s="11"/>
    </row>
    <row r="1243" spans="14:15">
      <c r="N1243" s="11"/>
      <c r="O1243" s="11"/>
    </row>
    <row r="1244" spans="14:15">
      <c r="N1244" s="11"/>
      <c r="O1244" s="11"/>
    </row>
    <row r="1245" spans="14:15">
      <c r="N1245" s="11"/>
      <c r="O1245" s="11"/>
    </row>
    <row r="1246" spans="14:15">
      <c r="N1246" s="11"/>
      <c r="O1246" s="11"/>
    </row>
    <row r="1247" spans="14:15">
      <c r="N1247" s="11"/>
      <c r="O1247" s="11"/>
    </row>
    <row r="1248" spans="14:15">
      <c r="N1248" s="11"/>
      <c r="O1248" s="11"/>
    </row>
    <row r="1249" spans="14:15">
      <c r="N1249" s="11"/>
      <c r="O1249" s="11"/>
    </row>
    <row r="1250" spans="14:15">
      <c r="N1250" s="11"/>
      <c r="O1250" s="11"/>
    </row>
    <row r="1251" spans="14:15">
      <c r="N1251" s="11"/>
      <c r="O1251" s="11"/>
    </row>
    <row r="1252" spans="14:15">
      <c r="N1252" s="11"/>
      <c r="O1252" s="11"/>
    </row>
    <row r="1253" spans="14:15">
      <c r="N1253" s="11"/>
      <c r="O1253" s="11"/>
    </row>
    <row r="1254" spans="14:15">
      <c r="N1254" s="11"/>
      <c r="O1254" s="11"/>
    </row>
    <row r="1255" spans="14:15">
      <c r="N1255" s="11"/>
      <c r="O1255" s="11"/>
    </row>
    <row r="1256" spans="14:15">
      <c r="N1256" s="11"/>
      <c r="O1256" s="11"/>
    </row>
    <row r="1257" spans="14:15">
      <c r="N1257" s="11"/>
      <c r="O1257" s="11"/>
    </row>
    <row r="1258" spans="14:15">
      <c r="N1258" s="11"/>
      <c r="O1258" s="11"/>
    </row>
    <row r="1259" spans="14:15">
      <c r="N1259" s="11"/>
      <c r="O1259" s="11"/>
    </row>
    <row r="1260" spans="14:15">
      <c r="N1260" s="11"/>
      <c r="O1260" s="11"/>
    </row>
    <row r="1261" spans="14:15">
      <c r="N1261" s="11"/>
      <c r="O1261" s="11"/>
    </row>
    <row r="1262" spans="14:15">
      <c r="N1262" s="11"/>
      <c r="O1262" s="11"/>
    </row>
    <row r="1263" spans="14:15">
      <c r="N1263" s="11"/>
      <c r="O1263" s="11"/>
    </row>
    <row r="1264" spans="14:15">
      <c r="N1264" s="11"/>
      <c r="O1264" s="11"/>
    </row>
    <row r="1265" spans="14:15">
      <c r="N1265" s="11"/>
      <c r="O1265" s="11"/>
    </row>
    <row r="1266" spans="14:15">
      <c r="N1266" s="11"/>
      <c r="O1266" s="11"/>
    </row>
    <row r="1267" spans="14:15">
      <c r="N1267" s="11"/>
      <c r="O1267" s="11"/>
    </row>
    <row r="1268" spans="14:15">
      <c r="N1268" s="11"/>
      <c r="O1268" s="11"/>
    </row>
    <row r="1269" spans="14:15">
      <c r="N1269" s="11"/>
      <c r="O1269" s="11"/>
    </row>
    <row r="1270" spans="14:15">
      <c r="N1270" s="11"/>
      <c r="O1270" s="11"/>
    </row>
    <row r="1271" spans="14:15">
      <c r="N1271" s="11"/>
      <c r="O1271" s="11"/>
    </row>
    <row r="1272" spans="14:15">
      <c r="N1272" s="11"/>
      <c r="O1272" s="11"/>
    </row>
    <row r="1273" spans="14:15">
      <c r="N1273" s="11"/>
      <c r="O1273" s="11"/>
    </row>
    <row r="1274" spans="14:15">
      <c r="N1274" s="11"/>
      <c r="O1274" s="11"/>
    </row>
    <row r="1275" spans="14:15">
      <c r="N1275" s="11"/>
      <c r="O1275" s="11"/>
    </row>
    <row r="1276" spans="14:15">
      <c r="N1276" s="11"/>
      <c r="O1276" s="11"/>
    </row>
    <row r="1277" spans="14:15">
      <c r="N1277" s="11"/>
      <c r="O1277" s="11"/>
    </row>
    <row r="1278" spans="14:15">
      <c r="N1278" s="11"/>
      <c r="O1278" s="11"/>
    </row>
    <row r="1279" spans="14:15">
      <c r="N1279" s="11"/>
      <c r="O1279" s="11"/>
    </row>
    <row r="1280" spans="14:15">
      <c r="N1280" s="11"/>
      <c r="O1280" s="11"/>
    </row>
    <row r="1281" spans="14:15">
      <c r="N1281" s="11"/>
      <c r="O1281" s="11"/>
    </row>
    <row r="1282" spans="14:15">
      <c r="N1282" s="11"/>
      <c r="O1282" s="11"/>
    </row>
    <row r="1283" spans="14:15">
      <c r="N1283" s="11"/>
      <c r="O1283" s="11"/>
    </row>
    <row r="1284" spans="14:15">
      <c r="N1284" s="11"/>
      <c r="O1284" s="11"/>
    </row>
    <row r="1285" spans="14:15">
      <c r="N1285" s="11"/>
      <c r="O1285" s="11"/>
    </row>
    <row r="1286" spans="14:15">
      <c r="N1286" s="11"/>
      <c r="O1286" s="11"/>
    </row>
    <row r="1287" spans="14:15">
      <c r="N1287" s="11"/>
      <c r="O1287" s="11"/>
    </row>
    <row r="1288" spans="14:15">
      <c r="N1288" s="11"/>
      <c r="O1288" s="11"/>
    </row>
    <row r="1289" spans="14:15">
      <c r="N1289" s="11"/>
      <c r="O1289" s="11"/>
    </row>
    <row r="1290" spans="14:15">
      <c r="N1290" s="11"/>
      <c r="O1290" s="11"/>
    </row>
    <row r="1291" spans="14:15">
      <c r="N1291" s="11"/>
      <c r="O1291" s="11"/>
    </row>
    <row r="1292" spans="14:15">
      <c r="N1292" s="11"/>
      <c r="O1292" s="11"/>
    </row>
    <row r="1293" spans="14:15">
      <c r="N1293" s="11"/>
      <c r="O1293" s="11"/>
    </row>
    <row r="1294" spans="14:15">
      <c r="N1294" s="11"/>
      <c r="O1294" s="11"/>
    </row>
    <row r="1295" spans="14:15">
      <c r="N1295" s="11"/>
      <c r="O1295" s="11"/>
    </row>
    <row r="1296" spans="14:15">
      <c r="N1296" s="11"/>
      <c r="O1296" s="11"/>
    </row>
    <row r="1297" spans="14:15">
      <c r="N1297" s="11"/>
      <c r="O1297" s="11"/>
    </row>
    <row r="1298" spans="14:15">
      <c r="N1298" s="11"/>
      <c r="O1298" s="11"/>
    </row>
    <row r="1299" spans="14:15">
      <c r="N1299" s="11"/>
      <c r="O1299" s="11"/>
    </row>
    <row r="1300" spans="14:15">
      <c r="N1300" s="11"/>
      <c r="O1300" s="11"/>
    </row>
    <row r="1301" spans="14:15">
      <c r="N1301" s="11"/>
      <c r="O1301" s="11"/>
    </row>
    <row r="1302" spans="14:15">
      <c r="N1302" s="11"/>
      <c r="O1302" s="11"/>
    </row>
    <row r="1303" spans="14:15">
      <c r="N1303" s="11"/>
      <c r="O1303" s="11"/>
    </row>
    <row r="1304" spans="14:15">
      <c r="N1304" s="11"/>
      <c r="O1304" s="11"/>
    </row>
    <row r="1305" spans="14:15">
      <c r="N1305" s="11"/>
      <c r="O1305" s="11"/>
    </row>
    <row r="1306" spans="14:15">
      <c r="N1306" s="11"/>
      <c r="O1306" s="11"/>
    </row>
    <row r="1307" spans="14:15">
      <c r="N1307" s="11"/>
      <c r="O1307" s="11"/>
    </row>
    <row r="1308" spans="14:15">
      <c r="N1308" s="11"/>
      <c r="O1308" s="11"/>
    </row>
    <row r="1309" spans="14:15">
      <c r="N1309" s="11"/>
      <c r="O1309" s="11"/>
    </row>
    <row r="1310" spans="14:15">
      <c r="N1310" s="11"/>
      <c r="O1310" s="11"/>
    </row>
    <row r="1311" spans="14:15">
      <c r="N1311" s="11"/>
      <c r="O1311" s="11"/>
    </row>
    <row r="1312" spans="14:15">
      <c r="N1312" s="11"/>
      <c r="O1312" s="11"/>
    </row>
    <row r="1313" spans="14:15">
      <c r="N1313" s="11"/>
      <c r="O1313" s="11"/>
    </row>
    <row r="1314" spans="14:15">
      <c r="N1314" s="11"/>
      <c r="O1314" s="11"/>
    </row>
    <row r="1315" spans="14:15">
      <c r="N1315" s="11"/>
      <c r="O1315" s="11"/>
    </row>
    <row r="1316" spans="14:15">
      <c r="N1316" s="11"/>
      <c r="O1316" s="11"/>
    </row>
    <row r="1317" spans="14:15">
      <c r="N1317" s="11"/>
      <c r="O1317" s="11"/>
    </row>
    <row r="1318" spans="14:15">
      <c r="N1318" s="11"/>
      <c r="O1318" s="11"/>
    </row>
    <row r="1319" spans="14:15">
      <c r="N1319" s="11"/>
      <c r="O1319" s="11"/>
    </row>
    <row r="1320" spans="14:15">
      <c r="N1320" s="11"/>
      <c r="O1320" s="11"/>
    </row>
    <row r="1321" spans="14:15">
      <c r="N1321" s="11"/>
      <c r="O1321" s="11"/>
    </row>
    <row r="1322" spans="14:15">
      <c r="N1322" s="11"/>
      <c r="O1322" s="11"/>
    </row>
    <row r="1323" spans="14:15">
      <c r="N1323" s="11"/>
      <c r="O1323" s="11"/>
    </row>
    <row r="1324" spans="14:15">
      <c r="N1324" s="11"/>
      <c r="O1324" s="11"/>
    </row>
    <row r="1325" spans="14:15">
      <c r="N1325" s="11"/>
      <c r="O1325" s="11"/>
    </row>
    <row r="1326" spans="14:15">
      <c r="N1326" s="11"/>
      <c r="O1326" s="11"/>
    </row>
    <row r="1327" spans="14:15">
      <c r="N1327" s="11"/>
      <c r="O1327" s="11"/>
    </row>
    <row r="1328" spans="14:15">
      <c r="N1328" s="11"/>
      <c r="O1328" s="11"/>
    </row>
    <row r="1329" spans="14:15">
      <c r="N1329" s="11"/>
      <c r="O1329" s="11"/>
    </row>
    <row r="1330" spans="14:15">
      <c r="N1330" s="11"/>
      <c r="O1330" s="11"/>
    </row>
    <row r="1331" spans="14:15">
      <c r="N1331" s="11"/>
      <c r="O1331" s="11"/>
    </row>
    <row r="1332" spans="14:15">
      <c r="N1332" s="11"/>
      <c r="O1332" s="11"/>
    </row>
    <row r="1333" spans="14:15">
      <c r="N1333" s="11"/>
      <c r="O1333" s="11"/>
    </row>
    <row r="1334" spans="14:15">
      <c r="N1334" s="11"/>
      <c r="O1334" s="11"/>
    </row>
    <row r="1335" spans="14:15">
      <c r="N1335" s="11"/>
      <c r="O1335" s="11"/>
    </row>
    <row r="1336" spans="14:15">
      <c r="N1336" s="11"/>
      <c r="O1336" s="11"/>
    </row>
    <row r="1337" spans="14:15">
      <c r="N1337" s="11"/>
      <c r="O1337" s="11"/>
    </row>
    <row r="1338" spans="14:15">
      <c r="N1338" s="11"/>
      <c r="O1338" s="11"/>
    </row>
    <row r="1339" spans="14:15">
      <c r="N1339" s="11"/>
      <c r="O1339" s="11"/>
    </row>
    <row r="1340" spans="14:15">
      <c r="N1340" s="11"/>
      <c r="O1340" s="11"/>
    </row>
    <row r="1341" spans="14:15">
      <c r="N1341" s="11"/>
      <c r="O1341" s="11"/>
    </row>
    <row r="1342" spans="14:15">
      <c r="N1342" s="11"/>
      <c r="O1342" s="11"/>
    </row>
    <row r="1343" spans="14:15">
      <c r="N1343" s="11"/>
      <c r="O1343" s="11"/>
    </row>
    <row r="1344" spans="14:15">
      <c r="N1344" s="11"/>
      <c r="O1344" s="11"/>
    </row>
    <row r="1345" spans="14:15">
      <c r="N1345" s="11"/>
      <c r="O1345" s="11"/>
    </row>
    <row r="1346" spans="14:15">
      <c r="N1346" s="11"/>
      <c r="O1346" s="11"/>
    </row>
    <row r="1347" spans="14:15">
      <c r="N1347" s="11"/>
      <c r="O1347" s="11"/>
    </row>
    <row r="1348" spans="14:15">
      <c r="N1348" s="11"/>
      <c r="O1348" s="11"/>
    </row>
    <row r="1349" spans="14:15">
      <c r="N1349" s="11"/>
      <c r="O1349" s="11"/>
    </row>
    <row r="1350" spans="14:15">
      <c r="N1350" s="11"/>
      <c r="O1350" s="11"/>
    </row>
    <row r="1351" spans="14:15">
      <c r="N1351" s="11"/>
      <c r="O1351" s="11"/>
    </row>
    <row r="1352" spans="14:15">
      <c r="N1352" s="11"/>
      <c r="O1352" s="11"/>
    </row>
    <row r="1353" spans="14:15">
      <c r="N1353" s="11"/>
      <c r="O1353" s="11"/>
    </row>
    <row r="1354" spans="14:15">
      <c r="N1354" s="11"/>
      <c r="O1354" s="11"/>
    </row>
    <row r="1355" spans="14:15">
      <c r="N1355" s="11"/>
      <c r="O1355" s="11"/>
    </row>
    <row r="1356" spans="14:15">
      <c r="N1356" s="11"/>
      <c r="O1356" s="11"/>
    </row>
    <row r="1357" spans="14:15">
      <c r="N1357" s="11"/>
      <c r="O1357" s="11"/>
    </row>
    <row r="1358" spans="14:15">
      <c r="N1358" s="11"/>
      <c r="O1358" s="11"/>
    </row>
    <row r="1359" spans="14:15">
      <c r="N1359" s="11"/>
      <c r="O1359" s="11"/>
    </row>
    <row r="1360" spans="14:15">
      <c r="N1360" s="11"/>
      <c r="O1360" s="11"/>
    </row>
    <row r="1361" spans="14:15">
      <c r="N1361" s="11"/>
      <c r="O1361" s="11"/>
    </row>
    <row r="1362" spans="14:15">
      <c r="N1362" s="11"/>
      <c r="O1362" s="11"/>
    </row>
    <row r="1363" spans="14:15">
      <c r="N1363" s="11"/>
      <c r="O1363" s="11"/>
    </row>
    <row r="1364" spans="14:15">
      <c r="N1364" s="11"/>
      <c r="O1364" s="11"/>
    </row>
    <row r="1365" spans="14:15">
      <c r="N1365" s="11"/>
      <c r="O1365" s="11"/>
    </row>
    <row r="1366" spans="14:15">
      <c r="N1366" s="11"/>
      <c r="O1366" s="11"/>
    </row>
    <row r="1367" spans="14:15">
      <c r="N1367" s="11"/>
      <c r="O1367" s="11"/>
    </row>
    <row r="1368" spans="14:15">
      <c r="N1368" s="11"/>
      <c r="O1368" s="11"/>
    </row>
    <row r="1369" spans="14:15">
      <c r="N1369" s="11"/>
      <c r="O1369" s="11"/>
    </row>
    <row r="1370" spans="14:15">
      <c r="N1370" s="11"/>
      <c r="O1370" s="11"/>
    </row>
    <row r="1371" spans="14:15">
      <c r="N1371" s="11"/>
      <c r="O1371" s="11"/>
    </row>
    <row r="1372" spans="14:15">
      <c r="N1372" s="11"/>
      <c r="O1372" s="11"/>
    </row>
    <row r="1373" spans="14:15">
      <c r="N1373" s="11"/>
      <c r="O1373" s="11"/>
    </row>
    <row r="1374" spans="14:15">
      <c r="N1374" s="11"/>
      <c r="O1374" s="11"/>
    </row>
    <row r="1375" spans="14:15">
      <c r="N1375" s="11"/>
      <c r="O1375" s="11"/>
    </row>
    <row r="1376" spans="14:15">
      <c r="N1376" s="11"/>
      <c r="O1376" s="11"/>
    </row>
    <row r="1377" spans="14:15">
      <c r="N1377" s="11"/>
      <c r="O1377" s="11"/>
    </row>
    <row r="1378" spans="14:15">
      <c r="N1378" s="11"/>
      <c r="O1378" s="11"/>
    </row>
    <row r="1379" spans="14:15">
      <c r="N1379" s="11"/>
      <c r="O1379" s="11"/>
    </row>
    <row r="1380" spans="14:15">
      <c r="N1380" s="11"/>
      <c r="O1380" s="11"/>
    </row>
    <row r="1381" spans="14:15">
      <c r="N1381" s="11"/>
      <c r="O1381" s="11"/>
    </row>
    <row r="1382" spans="14:15">
      <c r="N1382" s="11"/>
      <c r="O1382" s="11"/>
    </row>
    <row r="1383" spans="14:15">
      <c r="N1383" s="11"/>
      <c r="O1383" s="11"/>
    </row>
    <row r="1384" spans="14:15">
      <c r="N1384" s="11"/>
      <c r="O1384" s="11"/>
    </row>
    <row r="1385" spans="14:15">
      <c r="N1385" s="11"/>
      <c r="O1385" s="11"/>
    </row>
    <row r="1386" spans="14:15">
      <c r="N1386" s="11"/>
      <c r="O1386" s="11"/>
    </row>
    <row r="1387" spans="14:15">
      <c r="N1387" s="11"/>
      <c r="O1387" s="11"/>
    </row>
    <row r="1388" spans="14:15">
      <c r="N1388" s="11"/>
      <c r="O1388" s="11"/>
    </row>
    <row r="1389" spans="14:15">
      <c r="N1389" s="11"/>
      <c r="O1389" s="11"/>
    </row>
    <row r="1390" spans="14:15">
      <c r="N1390" s="11"/>
      <c r="O1390" s="11"/>
    </row>
    <row r="1391" spans="14:15">
      <c r="N1391" s="11"/>
      <c r="O1391" s="11"/>
    </row>
    <row r="1392" spans="14:15">
      <c r="N1392" s="11"/>
      <c r="O1392" s="11"/>
    </row>
    <row r="1393" spans="14:15">
      <c r="N1393" s="11"/>
      <c r="O1393" s="11"/>
    </row>
    <row r="1394" spans="14:15">
      <c r="N1394" s="11"/>
      <c r="O1394" s="11"/>
    </row>
    <row r="1395" spans="14:15">
      <c r="N1395" s="11"/>
      <c r="O1395" s="11"/>
    </row>
    <row r="1396" spans="14:15">
      <c r="N1396" s="11"/>
      <c r="O1396" s="11"/>
    </row>
    <row r="1397" spans="14:15">
      <c r="N1397" s="11"/>
      <c r="O1397" s="11"/>
    </row>
    <row r="1398" spans="14:15">
      <c r="N1398" s="11"/>
      <c r="O1398" s="11"/>
    </row>
    <row r="1399" spans="14:15">
      <c r="N1399" s="11"/>
      <c r="O1399" s="11"/>
    </row>
    <row r="1400" spans="14:15">
      <c r="N1400" s="11"/>
      <c r="O1400" s="11"/>
    </row>
    <row r="1401" spans="14:15">
      <c r="N1401" s="11"/>
      <c r="O1401" s="11"/>
    </row>
    <row r="1402" spans="14:15">
      <c r="N1402" s="11"/>
      <c r="O1402" s="11"/>
    </row>
    <row r="1403" spans="14:15">
      <c r="N1403" s="11"/>
      <c r="O1403" s="11"/>
    </row>
    <row r="1404" spans="14:15">
      <c r="N1404" s="11"/>
      <c r="O1404" s="11"/>
    </row>
    <row r="1405" spans="14:15">
      <c r="N1405" s="11"/>
      <c r="O1405" s="11"/>
    </row>
    <row r="1406" spans="14:15">
      <c r="N1406" s="11"/>
      <c r="O1406" s="11"/>
    </row>
    <row r="1407" spans="14:15">
      <c r="N1407" s="11"/>
      <c r="O1407" s="11"/>
    </row>
    <row r="1408" spans="14:15">
      <c r="N1408" s="11"/>
      <c r="O1408" s="11"/>
    </row>
    <row r="1409" spans="14:15">
      <c r="N1409" s="11"/>
      <c r="O1409" s="11"/>
    </row>
    <row r="1410" spans="14:15">
      <c r="N1410" s="11"/>
      <c r="O1410" s="11"/>
    </row>
    <row r="1411" spans="14:15">
      <c r="N1411" s="11"/>
      <c r="O1411" s="11"/>
    </row>
    <row r="1412" spans="14:15">
      <c r="N1412" s="11"/>
      <c r="O1412" s="11"/>
    </row>
    <row r="1413" spans="14:15">
      <c r="N1413" s="11"/>
      <c r="O1413" s="11"/>
    </row>
    <row r="1414" spans="14:15">
      <c r="N1414" s="11"/>
      <c r="O1414" s="11"/>
    </row>
    <row r="1415" spans="14:15">
      <c r="N1415" s="11"/>
      <c r="O1415" s="11"/>
    </row>
    <row r="1416" spans="14:15">
      <c r="N1416" s="11"/>
      <c r="O1416" s="11"/>
    </row>
    <row r="1417" spans="14:15">
      <c r="N1417" s="11"/>
      <c r="O1417" s="11"/>
    </row>
    <row r="1418" spans="14:15">
      <c r="N1418" s="11"/>
      <c r="O1418" s="11"/>
    </row>
    <row r="1419" ht="14.25" spans="6:25">
      <c r="F1419" s="25"/>
      <c r="G1419" s="25"/>
      <c r="H1419" s="25"/>
      <c r="I1419" s="25"/>
      <c r="J1419" s="25"/>
      <c r="K1419" s="25"/>
      <c r="L1419" s="25"/>
      <c r="M1419" s="25"/>
      <c r="N1419" s="25"/>
      <c r="O1419" s="25"/>
      <c r="P1419" s="25"/>
      <c r="Q1419" s="25"/>
      <c r="R1419" s="25"/>
      <c r="S1419" s="25"/>
      <c r="T1419" s="25"/>
      <c r="U1419" s="25"/>
      <c r="V1419" s="25"/>
      <c r="W1419" s="25"/>
      <c r="Y1419" s="25"/>
    </row>
  </sheetData>
  <sortState ref="A3:AA1516">
    <sortCondition ref="D3"/>
  </sortState>
  <mergeCells count="1">
    <mergeCell ref="A1:AA1"/>
  </mergeCells>
  <conditionalFormatting sqref="D3:D665">
    <cfRule type="duplicateValues" dxfId="0" priority="1"/>
  </conditionalFormatting>
  <printOptions horizontalCentered="1"/>
  <pageMargins left="0.554166666666667" right="0.554166666666667" top="0.605555555555556" bottom="0.605555555555556" header="0.511805555555556" footer="0.511805555555556"/>
  <pageSetup paperSize="9" scale="87" orientation="portrait"/>
  <headerFooter/>
  <rowBreaks count="2" manualBreakCount="2">
    <brk id="62" max="16383" man="1"/>
    <brk id="122" max="16383" man="1"/>
  </rowBreaks>
  <colBreaks count="1" manualBreakCount="1">
    <brk id="27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0"/>
  <sheetViews>
    <sheetView workbookViewId="0">
      <selection activeCell="C11" sqref="C11"/>
    </sheetView>
  </sheetViews>
  <sheetFormatPr defaultColWidth="9" defaultRowHeight="20.25"/>
  <cols>
    <col min="1" max="1" width="22.875" style="1" customWidth="1"/>
    <col min="2" max="2" width="15.625" style="1" customWidth="1"/>
    <col min="3" max="20" width="6" style="1" customWidth="1"/>
    <col min="21" max="16384" width="9" style="1"/>
  </cols>
  <sheetData>
    <row r="1" ht="33.95" customHeight="1" spans="1:20">
      <c r="A1" s="2" t="s">
        <v>1901</v>
      </c>
      <c r="B1" s="2" t="s">
        <v>1</v>
      </c>
      <c r="C1" s="3">
        <v>1</v>
      </c>
      <c r="D1" s="3">
        <v>2</v>
      </c>
      <c r="E1" s="3">
        <v>3</v>
      </c>
      <c r="F1" s="3">
        <v>4</v>
      </c>
      <c r="G1" s="3">
        <v>5</v>
      </c>
      <c r="H1" s="3">
        <v>6</v>
      </c>
      <c r="I1" s="3">
        <v>7</v>
      </c>
      <c r="J1" s="3">
        <v>8</v>
      </c>
      <c r="K1" s="3">
        <v>9</v>
      </c>
      <c r="L1" s="3">
        <v>10</v>
      </c>
      <c r="M1" s="3">
        <v>11</v>
      </c>
      <c r="N1" s="3">
        <v>12</v>
      </c>
      <c r="O1" s="3">
        <v>13</v>
      </c>
      <c r="P1" s="8">
        <v>14</v>
      </c>
      <c r="Q1" s="8">
        <v>15</v>
      </c>
      <c r="R1" s="8">
        <v>16</v>
      </c>
      <c r="S1" s="8">
        <v>17</v>
      </c>
      <c r="T1" s="8">
        <v>18</v>
      </c>
    </row>
    <row r="2" ht="33.95" customHeight="1" spans="1:20">
      <c r="A2" s="2" t="s">
        <v>2058</v>
      </c>
      <c r="B2" s="2" t="s">
        <v>2059</v>
      </c>
      <c r="C2" s="3">
        <v>42</v>
      </c>
      <c r="D2" s="3">
        <v>27</v>
      </c>
      <c r="E2" s="3">
        <v>32</v>
      </c>
      <c r="F2" s="3">
        <v>28</v>
      </c>
      <c r="G2" s="3">
        <v>32</v>
      </c>
      <c r="H2" s="3">
        <v>20</v>
      </c>
      <c r="I2" s="3">
        <v>18</v>
      </c>
      <c r="J2" s="3">
        <v>37</v>
      </c>
      <c r="K2" s="3">
        <v>54</v>
      </c>
      <c r="L2" s="3">
        <v>57</v>
      </c>
      <c r="M2" s="3">
        <v>38</v>
      </c>
      <c r="N2" s="3">
        <v>37</v>
      </c>
      <c r="O2" s="3">
        <v>38</v>
      </c>
      <c r="P2" s="8">
        <v>24</v>
      </c>
      <c r="Q2" s="8">
        <v>25</v>
      </c>
      <c r="R2" s="8">
        <v>40</v>
      </c>
      <c r="S2" s="8">
        <v>24</v>
      </c>
      <c r="T2" s="8">
        <v>27</v>
      </c>
    </row>
    <row r="3" ht="33.95" customHeight="1" spans="1:20">
      <c r="A3" s="2" t="s">
        <v>2058</v>
      </c>
      <c r="B3" s="4" t="s">
        <v>2060</v>
      </c>
      <c r="C3" s="3">
        <f>COUNTIFS('赋排 (2)'!$B:$B,C1,'赋排 (2)'!$AB:$AB,"&lt;=460")</f>
        <v>42</v>
      </c>
      <c r="D3" s="3">
        <f>COUNTIFS('赋排 (2)'!$B:$B,D1,'赋排 (2)'!$AB:$AB,"&lt;=460")</f>
        <v>34</v>
      </c>
      <c r="E3" s="3">
        <f>COUNTIFS('赋排 (2)'!$B:$B,E1,'赋排 (2)'!$AB:$AB,"&lt;=460")</f>
        <v>29</v>
      </c>
      <c r="F3" s="3">
        <f>COUNTIFS('赋排 (2)'!$B:$B,F1,'赋排 (2)'!$AB:$AB,"&lt;=460")</f>
        <v>32</v>
      </c>
      <c r="G3" s="3">
        <f>COUNTIFS('赋排 (2)'!$B:$B,G1,'赋排 (2)'!$AB:$AB,"&lt;=460")</f>
        <v>36</v>
      </c>
      <c r="H3" s="3">
        <f>COUNTIFS('赋排 (2)'!$B:$B,H1,'赋排 (2)'!$AB:$AB,"&lt;=460")</f>
        <v>21</v>
      </c>
      <c r="I3" s="3">
        <f>COUNTIFS('赋排 (2)'!$B:$B,I1,'赋排 (2)'!$AB:$AB,"&lt;=460")</f>
        <v>13</v>
      </c>
      <c r="J3" s="3">
        <f>COUNTIFS('赋排 (2)'!$B:$B,J1,'赋排 (2)'!$AB:$AB,"&lt;=460")</f>
        <v>42</v>
      </c>
      <c r="K3" s="3">
        <f>COUNTIFS('赋排 (2)'!$B:$B,K1,'赋排 (2)'!$AB:$AB,"&lt;=460")</f>
        <v>54</v>
      </c>
      <c r="L3" s="3">
        <f>COUNTIFS('赋排 (2)'!$B:$B,L1,'赋排 (2)'!$AB:$AB,"&lt;=460")</f>
        <v>57</v>
      </c>
      <c r="M3" s="3">
        <f>COUNTIFS('赋排 (2)'!$B:$B,M1,'赋排 (2)'!$AB:$AB,"&lt;=460")</f>
        <v>35</v>
      </c>
      <c r="N3" s="3">
        <f>COUNTIFS('赋排 (2)'!$B:$B,N1,'赋排 (2)'!$AB:$AB,"&lt;=460")</f>
        <v>30</v>
      </c>
      <c r="O3" s="3">
        <f>COUNTIFS('赋排 (2)'!$B:$B,O1,'赋排 (2)'!$AB:$AB,"&lt;=460")</f>
        <v>35</v>
      </c>
      <c r="P3" s="8">
        <f>COUNTIFS('赋排 (2)'!$B:$B,P1,'赋排 (2)'!$AB:$AB,"&lt;=140")</f>
        <v>28</v>
      </c>
      <c r="Q3" s="8">
        <f>COUNTIFS('赋排 (2)'!$B:$B,Q1,'赋排 (2)'!$AB:$AB,"&lt;=140")</f>
        <v>24</v>
      </c>
      <c r="R3" s="8">
        <f>COUNTIFS('赋排 (2)'!$B:$B,R1,'赋排 (2)'!$AB:$AB,"&lt;=140")</f>
        <v>38</v>
      </c>
      <c r="S3" s="8">
        <f>COUNTIFS('赋排 (2)'!$B:$B,S1,'赋排 (2)'!$AB:$AB,"&lt;=140")</f>
        <v>26</v>
      </c>
      <c r="T3" s="8">
        <f>COUNTIFS('赋排 (2)'!$B:$B,T1,'赋排 (2)'!$AB:$AB,"&lt;=140")</f>
        <v>24</v>
      </c>
    </row>
    <row r="4" ht="33.95" customHeight="1" spans="1:20">
      <c r="A4" s="5" t="s">
        <v>2061</v>
      </c>
      <c r="B4" s="5"/>
      <c r="C4" s="6">
        <f t="shared" ref="C4:T4" si="0">C3-C2</f>
        <v>0</v>
      </c>
      <c r="D4" s="7">
        <f t="shared" si="0"/>
        <v>7</v>
      </c>
      <c r="E4" s="7">
        <f t="shared" si="0"/>
        <v>-3</v>
      </c>
      <c r="F4" s="7">
        <f t="shared" si="0"/>
        <v>4</v>
      </c>
      <c r="G4" s="7">
        <f t="shared" si="0"/>
        <v>4</v>
      </c>
      <c r="H4" s="7">
        <f t="shared" si="0"/>
        <v>1</v>
      </c>
      <c r="I4" s="7">
        <f t="shared" si="0"/>
        <v>-5</v>
      </c>
      <c r="J4" s="7">
        <f t="shared" si="0"/>
        <v>5</v>
      </c>
      <c r="K4" s="7">
        <f t="shared" si="0"/>
        <v>0</v>
      </c>
      <c r="L4" s="7">
        <f t="shared" si="0"/>
        <v>0</v>
      </c>
      <c r="M4" s="7">
        <f t="shared" si="0"/>
        <v>-3</v>
      </c>
      <c r="N4" s="7">
        <f t="shared" si="0"/>
        <v>-7</v>
      </c>
      <c r="O4" s="7">
        <f t="shared" si="0"/>
        <v>-3</v>
      </c>
      <c r="P4" s="7">
        <f t="shared" si="0"/>
        <v>4</v>
      </c>
      <c r="Q4" s="7">
        <f t="shared" si="0"/>
        <v>-1</v>
      </c>
      <c r="R4" s="7">
        <f t="shared" si="0"/>
        <v>-2</v>
      </c>
      <c r="S4" s="7">
        <f t="shared" si="0"/>
        <v>2</v>
      </c>
      <c r="T4" s="7">
        <f t="shared" si="0"/>
        <v>-3</v>
      </c>
    </row>
    <row r="6" ht="24.95" customHeight="1" spans="1:20">
      <c r="A6" s="2" t="s">
        <v>1901</v>
      </c>
      <c r="B6" s="2" t="s">
        <v>1</v>
      </c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8">
        <v>14</v>
      </c>
      <c r="Q6" s="8">
        <v>15</v>
      </c>
      <c r="R6" s="8">
        <v>16</v>
      </c>
      <c r="S6" s="8">
        <v>17</v>
      </c>
      <c r="T6" s="8">
        <v>18</v>
      </c>
    </row>
    <row r="7" ht="24.95" customHeight="1" spans="1:20">
      <c r="A7" s="2" t="s">
        <v>2062</v>
      </c>
      <c r="B7" s="2" t="s">
        <v>2059</v>
      </c>
      <c r="C7" s="3">
        <f t="shared" ref="C7:J7" si="1">C12+4</f>
        <v>35</v>
      </c>
      <c r="D7" s="3">
        <f t="shared" si="1"/>
        <v>25</v>
      </c>
      <c r="E7" s="3">
        <f t="shared" si="1"/>
        <v>28</v>
      </c>
      <c r="F7" s="3">
        <f t="shared" si="1"/>
        <v>28</v>
      </c>
      <c r="G7" s="3">
        <f t="shared" si="1"/>
        <v>28</v>
      </c>
      <c r="H7" s="3">
        <f t="shared" si="1"/>
        <v>18</v>
      </c>
      <c r="I7" s="3">
        <f t="shared" si="1"/>
        <v>18</v>
      </c>
      <c r="J7" s="3">
        <f t="shared" si="1"/>
        <v>34</v>
      </c>
      <c r="K7" s="3">
        <v>53</v>
      </c>
      <c r="L7" s="3">
        <v>56</v>
      </c>
      <c r="M7" s="3">
        <f t="shared" ref="M7:O7" si="2">M12+4</f>
        <v>33</v>
      </c>
      <c r="N7" s="3">
        <f t="shared" si="2"/>
        <v>34</v>
      </c>
      <c r="O7" s="3">
        <f t="shared" si="2"/>
        <v>34</v>
      </c>
      <c r="P7" s="8">
        <f t="shared" ref="P7:T7" si="3">P12+5</f>
        <v>25</v>
      </c>
      <c r="Q7" s="8">
        <v>25</v>
      </c>
      <c r="R7" s="8">
        <v>39</v>
      </c>
      <c r="S7" s="8">
        <f t="shared" si="3"/>
        <v>24</v>
      </c>
      <c r="T7" s="8">
        <f t="shared" si="3"/>
        <v>26</v>
      </c>
    </row>
    <row r="8" ht="24.95" customHeight="1" spans="1:20">
      <c r="A8" s="2" t="s">
        <v>2062</v>
      </c>
      <c r="B8" s="4" t="s">
        <v>2063</v>
      </c>
      <c r="C8" s="3">
        <f>COUNTIFS('赋排 (2)'!$B:$B,C1,'赋排 (2)'!$AB:$AB,"&lt;=420")</f>
        <v>34</v>
      </c>
      <c r="D8" s="3">
        <f>COUNTIFS('赋排 (2)'!$B:$B,D1,'赋排 (2)'!$AB:$AB,"&lt;=420")</f>
        <v>29</v>
      </c>
      <c r="E8" s="3">
        <f>COUNTIFS('赋排 (2)'!$B:$B,E1,'赋排 (2)'!$AB:$AB,"&lt;=420")</f>
        <v>27</v>
      </c>
      <c r="F8" s="3">
        <f>COUNTIFS('赋排 (2)'!$B:$B,F1,'赋排 (2)'!$AB:$AB,"&lt;=420")</f>
        <v>31</v>
      </c>
      <c r="G8" s="3">
        <f>COUNTIFS('赋排 (2)'!$B:$B,G1,'赋排 (2)'!$AB:$AB,"&lt;=420")</f>
        <v>35</v>
      </c>
      <c r="H8" s="3">
        <f>COUNTIFS('赋排 (2)'!$B:$B,H1,'赋排 (2)'!$AB:$AB,"&lt;=420")</f>
        <v>19</v>
      </c>
      <c r="I8" s="3">
        <f>COUNTIFS('赋排 (2)'!$B:$B,I1,'赋排 (2)'!$AB:$AB,"&lt;=420")</f>
        <v>11</v>
      </c>
      <c r="J8" s="3">
        <f>COUNTIFS('赋排 (2)'!$B:$B,J1,'赋排 (2)'!$AB:$AB,"&lt;=420")</f>
        <v>39</v>
      </c>
      <c r="K8" s="3">
        <f>COUNTIFS('赋排 (2)'!$B:$B,K1,'赋排 (2)'!$AB:$AB,"&lt;=420")</f>
        <v>54</v>
      </c>
      <c r="L8" s="3">
        <f>COUNTIFS('赋排 (2)'!$B:$B,L1,'赋排 (2)'!$AB:$AB,"&lt;=420")</f>
        <v>57</v>
      </c>
      <c r="M8" s="3">
        <f>COUNTIFS('赋排 (2)'!$B:$B,M1,'赋排 (2)'!$AB:$AB,"&lt;=420")</f>
        <v>31</v>
      </c>
      <c r="N8" s="3">
        <f>COUNTIFS('赋排 (2)'!$B:$B,N1,'赋排 (2)'!$AB:$AB,"&lt;=420")</f>
        <v>26</v>
      </c>
      <c r="O8" s="3">
        <f>COUNTIFS('赋排 (2)'!$B:$B,O1,'赋排 (2)'!$AB:$AB,"&lt;=420")</f>
        <v>29</v>
      </c>
      <c r="P8" s="8">
        <f>COUNTIFS('赋排 (2)'!$B:$B,P1,'赋排 (2)'!$AB:$AB,"&lt;=140")</f>
        <v>28</v>
      </c>
      <c r="Q8" s="8">
        <f>COUNTIFS('赋排 (2)'!$B:$B,Q1,'赋排 (2)'!$AB:$AB,"&lt;=140")</f>
        <v>24</v>
      </c>
      <c r="R8" s="8">
        <f>COUNTIFS('赋排 (2)'!$B:$B,R1,'赋排 (2)'!$AB:$AB,"&lt;=140")</f>
        <v>38</v>
      </c>
      <c r="S8" s="8">
        <f>COUNTIFS('赋排 (2)'!$B:$B,S1,'赋排 (2)'!$AB:$AB,"&lt;=140")</f>
        <v>26</v>
      </c>
      <c r="T8" s="8">
        <f>COUNTIFS('赋排 (2)'!$B:$B,T1,'赋排 (2)'!$AB:$AB,"&lt;=140")</f>
        <v>24</v>
      </c>
    </row>
    <row r="9" ht="24.95" customHeight="1" spans="1:20">
      <c r="A9" s="5" t="s">
        <v>2064</v>
      </c>
      <c r="B9" s="5"/>
      <c r="C9" s="6">
        <f t="shared" ref="C9:T9" si="4">C8-C7</f>
        <v>-1</v>
      </c>
      <c r="D9" s="7">
        <f t="shared" si="4"/>
        <v>4</v>
      </c>
      <c r="E9" s="7">
        <f t="shared" si="4"/>
        <v>-1</v>
      </c>
      <c r="F9" s="7">
        <f t="shared" si="4"/>
        <v>3</v>
      </c>
      <c r="G9" s="7">
        <f t="shared" si="4"/>
        <v>7</v>
      </c>
      <c r="H9" s="7">
        <f t="shared" si="4"/>
        <v>1</v>
      </c>
      <c r="I9" s="7">
        <f t="shared" si="4"/>
        <v>-7</v>
      </c>
      <c r="J9" s="7">
        <f t="shared" si="4"/>
        <v>5</v>
      </c>
      <c r="K9" s="7">
        <f t="shared" si="4"/>
        <v>1</v>
      </c>
      <c r="L9" s="7">
        <f t="shared" si="4"/>
        <v>1</v>
      </c>
      <c r="M9" s="7">
        <f t="shared" si="4"/>
        <v>-2</v>
      </c>
      <c r="N9" s="7">
        <f t="shared" si="4"/>
        <v>-8</v>
      </c>
      <c r="O9" s="7">
        <f t="shared" si="4"/>
        <v>-5</v>
      </c>
      <c r="P9" s="7">
        <f t="shared" si="4"/>
        <v>3</v>
      </c>
      <c r="Q9" s="7">
        <f t="shared" si="4"/>
        <v>-1</v>
      </c>
      <c r="R9" s="7">
        <f t="shared" si="4"/>
        <v>-1</v>
      </c>
      <c r="S9" s="7">
        <f t="shared" si="4"/>
        <v>2</v>
      </c>
      <c r="T9" s="7">
        <f t="shared" si="4"/>
        <v>-2</v>
      </c>
    </row>
    <row r="11" ht="30" customHeight="1" spans="1:20">
      <c r="A11" s="2" t="s">
        <v>1901</v>
      </c>
      <c r="B11" s="2" t="s">
        <v>1</v>
      </c>
      <c r="C11" s="3">
        <v>1</v>
      </c>
      <c r="D11" s="3">
        <v>2</v>
      </c>
      <c r="E11" s="3">
        <v>3</v>
      </c>
      <c r="F11" s="3">
        <v>4</v>
      </c>
      <c r="G11" s="3">
        <v>5</v>
      </c>
      <c r="H11" s="3">
        <v>6</v>
      </c>
      <c r="I11" s="3">
        <v>7</v>
      </c>
      <c r="J11" s="3">
        <v>8</v>
      </c>
      <c r="K11" s="3">
        <v>9</v>
      </c>
      <c r="L11" s="3">
        <v>10</v>
      </c>
      <c r="M11" s="3">
        <v>11</v>
      </c>
      <c r="N11" s="3">
        <v>12</v>
      </c>
      <c r="O11" s="3">
        <v>13</v>
      </c>
      <c r="P11" s="8">
        <v>14</v>
      </c>
      <c r="Q11" s="8">
        <v>15</v>
      </c>
      <c r="R11" s="8">
        <v>16</v>
      </c>
      <c r="S11" s="8">
        <v>17</v>
      </c>
      <c r="T11" s="8">
        <v>18</v>
      </c>
    </row>
    <row r="12" ht="30" customHeight="1" spans="1:20">
      <c r="A12" s="2" t="s">
        <v>2065</v>
      </c>
      <c r="B12" s="2" t="s">
        <v>2059</v>
      </c>
      <c r="C12" s="3">
        <v>31</v>
      </c>
      <c r="D12" s="3">
        <v>21</v>
      </c>
      <c r="E12" s="3">
        <v>24</v>
      </c>
      <c r="F12" s="3">
        <v>24</v>
      </c>
      <c r="G12" s="3">
        <v>24</v>
      </c>
      <c r="H12" s="3">
        <v>14</v>
      </c>
      <c r="I12" s="3">
        <v>14</v>
      </c>
      <c r="J12" s="3">
        <v>30</v>
      </c>
      <c r="K12" s="3">
        <v>53</v>
      </c>
      <c r="L12" s="3">
        <v>56</v>
      </c>
      <c r="M12" s="3">
        <v>29</v>
      </c>
      <c r="N12" s="3">
        <v>30</v>
      </c>
      <c r="O12" s="3">
        <v>30</v>
      </c>
      <c r="P12" s="8">
        <v>20</v>
      </c>
      <c r="Q12" s="8">
        <v>21</v>
      </c>
      <c r="R12" s="8">
        <v>39</v>
      </c>
      <c r="S12" s="8">
        <v>19</v>
      </c>
      <c r="T12" s="8">
        <v>21</v>
      </c>
    </row>
    <row r="13" ht="30" customHeight="1" spans="1:20">
      <c r="A13" s="2" t="s">
        <v>2065</v>
      </c>
      <c r="B13" s="4" t="s">
        <v>2060</v>
      </c>
      <c r="C13" s="3">
        <f>COUNTIFS('赋排 (2)'!$B:$B,C1,'赋排 (2)'!$AB:$AB,"&lt;=380")</f>
        <v>33</v>
      </c>
      <c r="D13" s="3">
        <f>COUNTIFS('赋排 (2)'!$B:$B,D1,'赋排 (2)'!$AB:$AB,"&lt;=380")</f>
        <v>26</v>
      </c>
      <c r="E13" s="3">
        <f>COUNTIFS('赋排 (2)'!$B:$B,E1,'赋排 (2)'!$AB:$AB,"&lt;=380")</f>
        <v>23</v>
      </c>
      <c r="F13" s="3">
        <f>COUNTIFS('赋排 (2)'!$B:$B,F1,'赋排 (2)'!$AB:$AB,"&lt;=380")</f>
        <v>25</v>
      </c>
      <c r="G13" s="3">
        <f>COUNTIFS('赋排 (2)'!$B:$B,G1,'赋排 (2)'!$AB:$AB,"&lt;=380")</f>
        <v>31</v>
      </c>
      <c r="H13" s="3">
        <f>COUNTIFS('赋排 (2)'!$B:$B,H1,'赋排 (2)'!$AB:$AB,"&lt;=380")</f>
        <v>17</v>
      </c>
      <c r="I13" s="3">
        <f>COUNTIFS('赋排 (2)'!$B:$B,I1,'赋排 (2)'!$AB:$AB,"&lt;=380")</f>
        <v>10</v>
      </c>
      <c r="J13" s="3">
        <f>COUNTIFS('赋排 (2)'!$B:$B,J1,'赋排 (2)'!$AB:$AB,"&lt;=380")</f>
        <v>30</v>
      </c>
      <c r="K13" s="3">
        <f>COUNTIFS('赋排 (2)'!$B:$B,K1,'赋排 (2)'!$AB:$AB,"&lt;=380")</f>
        <v>54</v>
      </c>
      <c r="L13" s="3">
        <f>COUNTIFS('赋排 (2)'!$B:$B,L1,'赋排 (2)'!$AB:$AB,"&lt;=380")</f>
        <v>56</v>
      </c>
      <c r="M13" s="3">
        <f>COUNTIFS('赋排 (2)'!$B:$B,M1,'赋排 (2)'!$AB:$AB,"&lt;=380")</f>
        <v>31</v>
      </c>
      <c r="N13" s="3">
        <f>COUNTIFS('赋排 (2)'!$B:$B,N1,'赋排 (2)'!$AB:$AB,"&lt;=380")</f>
        <v>22</v>
      </c>
      <c r="O13" s="3">
        <f>COUNTIFS('赋排 (2)'!$B:$B,O1,'赋排 (2)'!$AB:$AB,"&lt;=380")</f>
        <v>23</v>
      </c>
      <c r="P13" s="8">
        <f>COUNTIFS('赋排 (2)'!$B:$B,P1,'赋排 (2)'!$AB:$AB,"&lt;=120")</f>
        <v>21</v>
      </c>
      <c r="Q13" s="8">
        <f>COUNTIFS('赋排 (2)'!$B:$B,Q1,'赋排 (2)'!$AB:$AB,"&lt;=120")</f>
        <v>20</v>
      </c>
      <c r="R13" s="8">
        <f>COUNTIFS('赋排 (2)'!$B:$B,R1,'赋排 (2)'!$AB:$AB,"&lt;=120")</f>
        <v>38</v>
      </c>
      <c r="S13" s="8">
        <f>COUNTIFS('赋排 (2)'!$B:$B,S1,'赋排 (2)'!$AB:$AB,"&lt;=120")</f>
        <v>22</v>
      </c>
      <c r="T13" s="8">
        <f>COUNTIFS('赋排 (2)'!$B:$B,T1,'赋排 (2)'!$AB:$AB,"&lt;=120")</f>
        <v>19</v>
      </c>
    </row>
    <row r="14" ht="30" customHeight="1" spans="1:20">
      <c r="A14" s="5" t="s">
        <v>2061</v>
      </c>
      <c r="B14" s="5"/>
      <c r="C14" s="6">
        <f t="shared" ref="C14:T14" si="5">C13-C12</f>
        <v>2</v>
      </c>
      <c r="D14" s="7">
        <f t="shared" si="5"/>
        <v>5</v>
      </c>
      <c r="E14" s="7">
        <f t="shared" si="5"/>
        <v>-1</v>
      </c>
      <c r="F14" s="7">
        <f t="shared" si="5"/>
        <v>1</v>
      </c>
      <c r="G14" s="7">
        <f t="shared" si="5"/>
        <v>7</v>
      </c>
      <c r="H14" s="7">
        <f t="shared" si="5"/>
        <v>3</v>
      </c>
      <c r="I14" s="7">
        <f t="shared" si="5"/>
        <v>-4</v>
      </c>
      <c r="J14" s="7">
        <f t="shared" si="5"/>
        <v>0</v>
      </c>
      <c r="K14" s="7">
        <f t="shared" si="5"/>
        <v>1</v>
      </c>
      <c r="L14" s="7">
        <f t="shared" si="5"/>
        <v>0</v>
      </c>
      <c r="M14" s="7">
        <f t="shared" si="5"/>
        <v>2</v>
      </c>
      <c r="N14" s="7">
        <f t="shared" si="5"/>
        <v>-8</v>
      </c>
      <c r="O14" s="7">
        <f t="shared" si="5"/>
        <v>-7</v>
      </c>
      <c r="P14" s="7">
        <f t="shared" si="5"/>
        <v>1</v>
      </c>
      <c r="Q14" s="7">
        <f t="shared" si="5"/>
        <v>-1</v>
      </c>
      <c r="R14" s="7">
        <f t="shared" si="5"/>
        <v>-1</v>
      </c>
      <c r="S14" s="7">
        <f t="shared" si="5"/>
        <v>3</v>
      </c>
      <c r="T14" s="7">
        <f t="shared" si="5"/>
        <v>-2</v>
      </c>
    </row>
    <row r="16" spans="1:20">
      <c r="A16" s="5" t="s">
        <v>1739</v>
      </c>
      <c r="B16" s="5"/>
      <c r="C16" s="5" t="s">
        <v>8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 t="s">
        <v>9</v>
      </c>
      <c r="Q16" s="5"/>
      <c r="R16" s="5"/>
      <c r="S16" s="5"/>
      <c r="T16" s="5"/>
    </row>
    <row r="17" ht="24" customHeight="1" spans="1:20">
      <c r="A17" s="2" t="s">
        <v>1901</v>
      </c>
      <c r="B17" s="2" t="s">
        <v>1</v>
      </c>
      <c r="C17" s="3">
        <v>1</v>
      </c>
      <c r="D17" s="3">
        <v>2</v>
      </c>
      <c r="E17" s="3">
        <v>3</v>
      </c>
      <c r="F17" s="3">
        <v>4</v>
      </c>
      <c r="G17" s="3">
        <v>5</v>
      </c>
      <c r="H17" s="3">
        <v>6</v>
      </c>
      <c r="I17" s="3">
        <v>7</v>
      </c>
      <c r="J17" s="3">
        <v>8</v>
      </c>
      <c r="K17" s="3">
        <v>9</v>
      </c>
      <c r="L17" s="3">
        <v>10</v>
      </c>
      <c r="M17" s="3">
        <v>11</v>
      </c>
      <c r="N17" s="3">
        <v>12</v>
      </c>
      <c r="O17" s="3">
        <v>13</v>
      </c>
      <c r="P17" s="8">
        <v>14</v>
      </c>
      <c r="Q17" s="8">
        <v>15</v>
      </c>
      <c r="R17" s="8">
        <v>16</v>
      </c>
      <c r="S17" s="8">
        <v>17</v>
      </c>
      <c r="T17" s="8">
        <v>18</v>
      </c>
    </row>
    <row r="18" ht="24" customHeight="1" spans="1:20">
      <c r="A18" s="2" t="s">
        <v>2066</v>
      </c>
      <c r="B18" s="4" t="s">
        <v>2060</v>
      </c>
      <c r="C18" s="3">
        <f>COUNTIFS('赋排 (2)'!$B:$B,C11,'赋排 (2)'!$Z:$Z,"&gt;=485")</f>
        <v>33</v>
      </c>
      <c r="D18" s="3">
        <f>COUNTIFS('赋排 (2)'!$B:$B,D11,'赋排 (2)'!$Z:$Z,"&gt;=485")</f>
        <v>27</v>
      </c>
      <c r="E18" s="3">
        <f>COUNTIFS('赋排 (2)'!$B:$B,E11,'赋排 (2)'!$Z:$Z,"&gt;=485")</f>
        <v>25</v>
      </c>
      <c r="F18" s="3">
        <f>COUNTIFS('赋排 (2)'!$B:$B,F11,'赋排 (2)'!$Z:$Z,"&gt;=485")</f>
        <v>30</v>
      </c>
      <c r="G18" s="3">
        <f>COUNTIFS('赋排 (2)'!$B:$B,G11,'赋排 (2)'!$Z:$Z,"&gt;=485")</f>
        <v>33</v>
      </c>
      <c r="H18" s="3">
        <f>COUNTIFS('赋排 (2)'!$B:$B,H11,'赋排 (2)'!$Z:$Z,"&gt;=485")</f>
        <v>18</v>
      </c>
      <c r="I18" s="3">
        <f>COUNTIFS('赋排 (2)'!$B:$B,I11,'赋排 (2)'!$Z:$Z,"&gt;=485")</f>
        <v>10</v>
      </c>
      <c r="J18" s="3">
        <f>COUNTIFS('赋排 (2)'!$B:$B,J11,'赋排 (2)'!$Z:$Z,"&gt;=485")</f>
        <v>34</v>
      </c>
      <c r="K18" s="3">
        <f>COUNTIFS('赋排 (2)'!$B:$B,K11,'赋排 (2)'!$Z:$Z,"&gt;=485")</f>
        <v>54</v>
      </c>
      <c r="L18" s="3">
        <f>COUNTIFS('赋排 (2)'!$B:$B,L11,'赋排 (2)'!$Z:$Z,"&gt;=485")</f>
        <v>56</v>
      </c>
      <c r="M18" s="3">
        <f>COUNTIFS('赋排 (2)'!$B:$B,M11,'赋排 (2)'!$Z:$Z,"&gt;=485")</f>
        <v>31</v>
      </c>
      <c r="N18" s="3">
        <f>COUNTIFS('赋排 (2)'!$B:$B,N11,'赋排 (2)'!$Z:$Z,"&gt;=485")</f>
        <v>22</v>
      </c>
      <c r="O18" s="3">
        <f>COUNTIFS('赋排 (2)'!$B:$B,O11,'赋排 (2)'!$Z:$Z,"&gt;=485")</f>
        <v>26</v>
      </c>
      <c r="P18" s="8">
        <f>COUNTIFS('赋排 (2)'!$B:$B,P11,'赋排 (2)'!$Z:$Z,"&gt;=520")</f>
        <v>13</v>
      </c>
      <c r="Q18" s="8">
        <f>COUNTIFS('赋排 (2)'!$B:$B,Q11,'赋排 (2)'!$Z:$Z,"&gt;=520")</f>
        <v>13</v>
      </c>
      <c r="R18" s="8">
        <f>COUNTIFS('赋排 (2)'!$B:$B,R11,'赋排 (2)'!$Z:$Z,"&gt;=520")</f>
        <v>38</v>
      </c>
      <c r="S18" s="8">
        <f>COUNTIFS('赋排 (2)'!$B:$B,S11,'赋排 (2)'!$Z:$Z,"&gt;=520")</f>
        <v>16</v>
      </c>
      <c r="T18" s="8">
        <f>COUNTIFS('赋排 (2)'!$B:$B,T11,'赋排 (2)'!$Z:$Z,"&gt;=520")</f>
        <v>16</v>
      </c>
    </row>
    <row r="19" spans="1:20">
      <c r="A19" s="5" t="s">
        <v>1868</v>
      </c>
      <c r="B19" s="5"/>
      <c r="C19" s="5">
        <f>SUM(C18:O18)</f>
        <v>399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>
        <f>SUM(P18:T18)</f>
        <v>96</v>
      </c>
      <c r="Q19" s="5"/>
      <c r="R19" s="5"/>
      <c r="S19" s="5"/>
      <c r="T19" s="5"/>
    </row>
    <row r="20" spans="1:20">
      <c r="A20" s="5" t="s">
        <v>1849</v>
      </c>
      <c r="B20" s="5"/>
      <c r="C20" s="5">
        <f>SUM(C19:T19)</f>
        <v>495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</row>
  </sheetData>
  <mergeCells count="11">
    <mergeCell ref="A4:B4"/>
    <mergeCell ref="A9:B9"/>
    <mergeCell ref="A14:B14"/>
    <mergeCell ref="A16:B16"/>
    <mergeCell ref="C16:O16"/>
    <mergeCell ref="P16:T16"/>
    <mergeCell ref="A19:B19"/>
    <mergeCell ref="C19:O19"/>
    <mergeCell ref="P19:T19"/>
    <mergeCell ref="A20:B20"/>
    <mergeCell ref="C20:T20"/>
  </mergeCells>
  <conditionalFormatting sqref="C4:T4">
    <cfRule type="cellIs" dxfId="4" priority="7" operator="lessThanOrEqual">
      <formula>-3</formula>
    </cfRule>
    <cfRule type="cellIs" dxfId="5" priority="8" operator="greaterThanOrEqual">
      <formula>3</formula>
    </cfRule>
  </conditionalFormatting>
  <conditionalFormatting sqref="C9:T9">
    <cfRule type="cellIs" dxfId="5" priority="2" operator="greaterThanOrEqual">
      <formula>3</formula>
    </cfRule>
    <cfRule type="cellIs" dxfId="4" priority="1" operator="lessThanOrEqual">
      <formula>-3</formula>
    </cfRule>
  </conditionalFormatting>
  <conditionalFormatting sqref="C14:T14">
    <cfRule type="cellIs" dxfId="4" priority="5" operator="lessThanOrEqual">
      <formula>-3</formula>
    </cfRule>
    <cfRule type="cellIs" dxfId="5" priority="6" operator="greaterThanOrEqual">
      <formula>3</formula>
    </cfRule>
  </conditionalFormatting>
  <pageMargins left="0.550694444444444" right="0.75" top="1" bottom="1" header="0.5" footer="0.5"/>
  <pageSetup paperSize="9" orientation="landscape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69"/>
  <sheetViews>
    <sheetView workbookViewId="0">
      <selection activeCell="M16" sqref="M16"/>
    </sheetView>
  </sheetViews>
  <sheetFormatPr defaultColWidth="11" defaultRowHeight="13.5" outlineLevelCol="1"/>
  <sheetData>
    <row r="1" spans="1:2">
      <c r="A1">
        <v>86.5</v>
      </c>
      <c r="B1">
        <v>684</v>
      </c>
    </row>
    <row r="2" spans="1:2">
      <c r="A2">
        <v>101.5</v>
      </c>
      <c r="B2">
        <v>391</v>
      </c>
    </row>
    <row r="3" spans="1:2">
      <c r="A3">
        <v>96.5</v>
      </c>
      <c r="B3">
        <v>485</v>
      </c>
    </row>
    <row r="4" spans="1:2">
      <c r="A4">
        <v>114.5</v>
      </c>
      <c r="B4">
        <v>136</v>
      </c>
    </row>
    <row r="5" spans="1:2">
      <c r="A5">
        <v>107.5</v>
      </c>
      <c r="B5">
        <v>267</v>
      </c>
    </row>
    <row r="6" spans="1:2">
      <c r="A6">
        <v>96.5</v>
      </c>
      <c r="B6">
        <v>486</v>
      </c>
    </row>
    <row r="7" spans="1:2">
      <c r="A7">
        <v>114</v>
      </c>
      <c r="B7">
        <v>145</v>
      </c>
    </row>
    <row r="8" spans="1:2">
      <c r="A8">
        <v>90.5</v>
      </c>
      <c r="B8">
        <v>609</v>
      </c>
    </row>
    <row r="9" spans="1:2">
      <c r="A9">
        <v>94.5</v>
      </c>
      <c r="B9">
        <v>525</v>
      </c>
    </row>
    <row r="10" spans="1:2">
      <c r="A10">
        <v>75</v>
      </c>
      <c r="B10">
        <v>785</v>
      </c>
    </row>
    <row r="11" spans="1:2">
      <c r="A11">
        <v>98.5</v>
      </c>
      <c r="B11">
        <v>442</v>
      </c>
    </row>
    <row r="12" spans="1:2">
      <c r="A12">
        <v>85</v>
      </c>
      <c r="B12">
        <v>701</v>
      </c>
    </row>
    <row r="13" spans="1:2">
      <c r="A13">
        <v>119.5</v>
      </c>
      <c r="B13">
        <v>70</v>
      </c>
    </row>
    <row r="14" spans="1:2">
      <c r="A14">
        <v>112</v>
      </c>
      <c r="B14">
        <v>180</v>
      </c>
    </row>
    <row r="15" spans="1:2">
      <c r="A15">
        <v>124.5</v>
      </c>
      <c r="B15">
        <v>37</v>
      </c>
    </row>
    <row r="16" spans="1:2">
      <c r="A16">
        <v>87</v>
      </c>
      <c r="B16">
        <v>677</v>
      </c>
    </row>
    <row r="17" spans="1:2">
      <c r="A17">
        <v>89</v>
      </c>
      <c r="B17">
        <v>632</v>
      </c>
    </row>
    <row r="18" spans="1:2">
      <c r="A18">
        <v>94.5</v>
      </c>
      <c r="B18">
        <v>526</v>
      </c>
    </row>
    <row r="19" spans="1:2">
      <c r="A19">
        <v>125</v>
      </c>
      <c r="B19">
        <v>33</v>
      </c>
    </row>
    <row r="20" spans="1:2">
      <c r="A20">
        <v>96.5</v>
      </c>
      <c r="B20">
        <v>487</v>
      </c>
    </row>
    <row r="21" spans="1:2">
      <c r="A21">
        <v>64</v>
      </c>
      <c r="B21">
        <v>834</v>
      </c>
    </row>
    <row r="22" spans="1:2">
      <c r="A22">
        <v>102</v>
      </c>
      <c r="B22">
        <v>383</v>
      </c>
    </row>
    <row r="23" spans="1:2">
      <c r="A23">
        <v>103</v>
      </c>
      <c r="B23">
        <v>366</v>
      </c>
    </row>
    <row r="24" spans="1:2">
      <c r="A24">
        <v>94.5</v>
      </c>
      <c r="B24">
        <v>527</v>
      </c>
    </row>
    <row r="25" spans="1:2">
      <c r="A25">
        <v>107.5</v>
      </c>
      <c r="B25">
        <v>268</v>
      </c>
    </row>
    <row r="26" spans="1:2">
      <c r="A26">
        <v>115</v>
      </c>
      <c r="B26">
        <v>130</v>
      </c>
    </row>
    <row r="27" spans="1:2">
      <c r="A27">
        <v>108</v>
      </c>
      <c r="B27">
        <v>257</v>
      </c>
    </row>
    <row r="28" spans="1:2">
      <c r="A28">
        <v>113</v>
      </c>
      <c r="B28">
        <v>160</v>
      </c>
    </row>
    <row r="29" spans="1:2">
      <c r="A29">
        <v>120.5</v>
      </c>
      <c r="B29">
        <v>62</v>
      </c>
    </row>
    <row r="30" spans="1:2">
      <c r="A30">
        <v>95</v>
      </c>
      <c r="B30">
        <v>510</v>
      </c>
    </row>
    <row r="31" spans="1:2">
      <c r="A31">
        <v>114.5</v>
      </c>
      <c r="B31">
        <v>137</v>
      </c>
    </row>
    <row r="32" spans="1:2">
      <c r="A32">
        <v>113</v>
      </c>
      <c r="B32">
        <v>161</v>
      </c>
    </row>
    <row r="33" spans="1:2">
      <c r="A33">
        <v>77.5</v>
      </c>
      <c r="B33">
        <v>773</v>
      </c>
    </row>
    <row r="34" spans="1:2">
      <c r="A34">
        <v>102.5</v>
      </c>
      <c r="B34">
        <v>372</v>
      </c>
    </row>
    <row r="35" spans="1:2">
      <c r="A35">
        <v>97.5</v>
      </c>
      <c r="B35">
        <v>464</v>
      </c>
    </row>
    <row r="36" spans="1:2">
      <c r="A36">
        <v>121.5</v>
      </c>
      <c r="B36">
        <v>54</v>
      </c>
    </row>
    <row r="37" spans="1:2">
      <c r="A37">
        <v>99</v>
      </c>
      <c r="B37">
        <v>433</v>
      </c>
    </row>
    <row r="38" spans="1:2">
      <c r="A38">
        <v>92</v>
      </c>
      <c r="B38">
        <v>578</v>
      </c>
    </row>
    <row r="39" spans="1:2">
      <c r="A39">
        <v>110.5</v>
      </c>
      <c r="B39">
        <v>211</v>
      </c>
    </row>
    <row r="40" spans="1:2">
      <c r="A40">
        <v>106</v>
      </c>
      <c r="B40">
        <v>297</v>
      </c>
    </row>
    <row r="41" spans="1:2">
      <c r="A41">
        <v>111</v>
      </c>
      <c r="B41">
        <v>201</v>
      </c>
    </row>
    <row r="42" spans="1:2">
      <c r="A42">
        <v>84.5</v>
      </c>
      <c r="B42">
        <v>708</v>
      </c>
    </row>
    <row r="43" spans="1:2">
      <c r="A43">
        <v>104</v>
      </c>
      <c r="B43">
        <v>341</v>
      </c>
    </row>
    <row r="44" spans="1:2">
      <c r="A44">
        <v>112</v>
      </c>
      <c r="B44">
        <v>181</v>
      </c>
    </row>
    <row r="45" spans="1:2">
      <c r="A45">
        <v>97.5</v>
      </c>
      <c r="B45">
        <v>465</v>
      </c>
    </row>
    <row r="46" spans="1:2">
      <c r="A46">
        <v>99</v>
      </c>
      <c r="B46">
        <v>434</v>
      </c>
    </row>
    <row r="47" spans="1:2">
      <c r="A47">
        <v>108.5</v>
      </c>
      <c r="B47">
        <v>251</v>
      </c>
    </row>
    <row r="48" spans="1:2">
      <c r="A48">
        <v>85</v>
      </c>
      <c r="B48">
        <v>702</v>
      </c>
    </row>
    <row r="49" spans="1:2">
      <c r="A49">
        <v>85</v>
      </c>
      <c r="B49">
        <v>703</v>
      </c>
    </row>
    <row r="50" spans="1:2">
      <c r="A50">
        <v>77</v>
      </c>
      <c r="B50">
        <v>778</v>
      </c>
    </row>
    <row r="51" spans="1:2">
      <c r="A51">
        <v>50</v>
      </c>
      <c r="B51">
        <v>863</v>
      </c>
    </row>
    <row r="52" spans="1:2">
      <c r="A52">
        <v>100.5</v>
      </c>
      <c r="B52">
        <v>410</v>
      </c>
    </row>
    <row r="53" spans="1:2">
      <c r="A53">
        <v>50</v>
      </c>
      <c r="B53">
        <v>864</v>
      </c>
    </row>
    <row r="54" spans="1:2">
      <c r="A54">
        <v>98.5</v>
      </c>
      <c r="B54">
        <v>443</v>
      </c>
    </row>
    <row r="55" spans="1:2">
      <c r="A55">
        <v>72.5</v>
      </c>
      <c r="B55">
        <v>805</v>
      </c>
    </row>
    <row r="56" spans="1:2">
      <c r="A56">
        <v>86</v>
      </c>
      <c r="B56">
        <v>692</v>
      </c>
    </row>
    <row r="57" spans="1:2">
      <c r="A57">
        <v>103.5</v>
      </c>
      <c r="B57">
        <v>354</v>
      </c>
    </row>
    <row r="58" spans="1:2">
      <c r="A58">
        <v>106</v>
      </c>
      <c r="B58">
        <v>298</v>
      </c>
    </row>
    <row r="59" spans="1:2">
      <c r="A59">
        <v>79.5</v>
      </c>
      <c r="B59">
        <v>755</v>
      </c>
    </row>
    <row r="60" spans="1:2">
      <c r="A60">
        <v>86</v>
      </c>
      <c r="B60">
        <v>693</v>
      </c>
    </row>
    <row r="61" spans="1:2">
      <c r="A61">
        <v>97.5</v>
      </c>
      <c r="B61">
        <v>466</v>
      </c>
    </row>
    <row r="62" spans="1:2">
      <c r="A62">
        <v>111.5</v>
      </c>
      <c r="B62">
        <v>191</v>
      </c>
    </row>
    <row r="63" spans="1:2">
      <c r="A63">
        <v>91</v>
      </c>
      <c r="B63">
        <v>592</v>
      </c>
    </row>
    <row r="64" spans="1:2">
      <c r="A64">
        <v>84</v>
      </c>
      <c r="B64">
        <v>714</v>
      </c>
    </row>
    <row r="65" spans="1:2">
      <c r="A65">
        <v>91</v>
      </c>
      <c r="B65">
        <v>593</v>
      </c>
    </row>
    <row r="66" spans="1:2">
      <c r="A66">
        <v>84</v>
      </c>
      <c r="B66">
        <v>715</v>
      </c>
    </row>
    <row r="67" spans="1:2">
      <c r="A67">
        <v>100</v>
      </c>
      <c r="B67">
        <v>416</v>
      </c>
    </row>
    <row r="68" spans="1:2">
      <c r="A68">
        <v>91.5</v>
      </c>
      <c r="B68">
        <v>586</v>
      </c>
    </row>
    <row r="69" spans="1:2">
      <c r="A69">
        <v>80</v>
      </c>
      <c r="B69">
        <v>750</v>
      </c>
    </row>
    <row r="70" spans="1:2">
      <c r="A70">
        <v>111</v>
      </c>
      <c r="B70">
        <v>202</v>
      </c>
    </row>
    <row r="71" spans="1:2">
      <c r="A71">
        <v>97</v>
      </c>
      <c r="B71">
        <v>478</v>
      </c>
    </row>
    <row r="72" spans="1:2">
      <c r="A72">
        <v>117</v>
      </c>
      <c r="B72">
        <v>98</v>
      </c>
    </row>
    <row r="73" spans="1:2">
      <c r="A73">
        <v>95</v>
      </c>
      <c r="B73">
        <v>511</v>
      </c>
    </row>
    <row r="74" spans="1:2">
      <c r="A74">
        <v>96</v>
      </c>
      <c r="B74">
        <v>492</v>
      </c>
    </row>
    <row r="75" spans="1:2">
      <c r="A75">
        <v>107.5</v>
      </c>
      <c r="B75">
        <v>269</v>
      </c>
    </row>
    <row r="76" spans="1:2">
      <c r="A76">
        <v>105</v>
      </c>
      <c r="B76">
        <v>317</v>
      </c>
    </row>
    <row r="77" spans="1:2">
      <c r="A77">
        <v>92</v>
      </c>
      <c r="B77">
        <v>579</v>
      </c>
    </row>
    <row r="78" spans="1:2">
      <c r="A78">
        <v>105.5</v>
      </c>
      <c r="B78">
        <v>311</v>
      </c>
    </row>
    <row r="79" spans="1:2">
      <c r="A79">
        <v>54.5</v>
      </c>
      <c r="B79">
        <v>858</v>
      </c>
    </row>
    <row r="80" spans="1:2">
      <c r="A80">
        <v>96</v>
      </c>
      <c r="B80">
        <v>493</v>
      </c>
    </row>
    <row r="81" spans="1:2">
      <c r="A81">
        <v>89.5</v>
      </c>
      <c r="B81">
        <v>622</v>
      </c>
    </row>
    <row r="82" spans="1:2">
      <c r="A82">
        <v>107</v>
      </c>
      <c r="B82">
        <v>279</v>
      </c>
    </row>
    <row r="83" spans="1:2">
      <c r="A83">
        <v>87.5</v>
      </c>
      <c r="B83">
        <v>665</v>
      </c>
    </row>
    <row r="84" spans="1:2">
      <c r="A84">
        <v>102.5</v>
      </c>
      <c r="B84">
        <v>373</v>
      </c>
    </row>
    <row r="85" spans="1:2">
      <c r="A85">
        <v>88.5</v>
      </c>
      <c r="B85">
        <v>641</v>
      </c>
    </row>
    <row r="86" spans="1:2">
      <c r="A86">
        <v>95.5</v>
      </c>
      <c r="B86">
        <v>502</v>
      </c>
    </row>
    <row r="87" spans="1:2">
      <c r="A87">
        <v>92</v>
      </c>
      <c r="B87">
        <v>580</v>
      </c>
    </row>
    <row r="88" spans="1:2">
      <c r="A88">
        <v>88</v>
      </c>
      <c r="B88">
        <v>654</v>
      </c>
    </row>
    <row r="89" spans="1:2">
      <c r="A89">
        <v>89</v>
      </c>
      <c r="B89">
        <v>633</v>
      </c>
    </row>
    <row r="90" spans="1:2">
      <c r="A90">
        <v>109</v>
      </c>
      <c r="B90">
        <v>241</v>
      </c>
    </row>
    <row r="91" spans="1:2">
      <c r="A91">
        <v>90.5</v>
      </c>
      <c r="B91">
        <v>610</v>
      </c>
    </row>
    <row r="92" spans="1:2">
      <c r="A92">
        <v>105</v>
      </c>
      <c r="B92">
        <v>318</v>
      </c>
    </row>
    <row r="93" spans="1:2">
      <c r="A93">
        <v>107</v>
      </c>
      <c r="B93">
        <v>280</v>
      </c>
    </row>
    <row r="94" spans="1:2">
      <c r="A94">
        <v>100.5</v>
      </c>
      <c r="B94">
        <v>411</v>
      </c>
    </row>
    <row r="95" spans="1:2">
      <c r="A95">
        <v>102.5</v>
      </c>
      <c r="B95">
        <v>374</v>
      </c>
    </row>
    <row r="96" spans="1:2">
      <c r="A96">
        <v>95</v>
      </c>
      <c r="B96">
        <v>512</v>
      </c>
    </row>
    <row r="97" spans="1:2">
      <c r="A97">
        <v>88.5</v>
      </c>
      <c r="B97">
        <v>642</v>
      </c>
    </row>
    <row r="98" spans="1:2">
      <c r="A98">
        <v>59.5</v>
      </c>
      <c r="B98">
        <v>846</v>
      </c>
    </row>
    <row r="99" spans="1:2">
      <c r="A99">
        <v>114</v>
      </c>
      <c r="B99">
        <v>146</v>
      </c>
    </row>
    <row r="100" spans="1:2">
      <c r="A100">
        <v>66</v>
      </c>
      <c r="B100">
        <v>829</v>
      </c>
    </row>
    <row r="101" spans="1:2">
      <c r="A101">
        <v>93</v>
      </c>
      <c r="B101">
        <v>561</v>
      </c>
    </row>
    <row r="102" spans="1:2">
      <c r="A102">
        <v>84.5</v>
      </c>
      <c r="B102">
        <v>709</v>
      </c>
    </row>
    <row r="103" spans="1:2">
      <c r="A103">
        <v>75</v>
      </c>
      <c r="B103">
        <v>786</v>
      </c>
    </row>
    <row r="104" spans="1:2">
      <c r="A104">
        <v>45.5</v>
      </c>
      <c r="B104">
        <v>866</v>
      </c>
    </row>
    <row r="105" spans="1:2">
      <c r="A105">
        <v>99.5</v>
      </c>
      <c r="B105">
        <v>425</v>
      </c>
    </row>
    <row r="106" spans="1:2">
      <c r="A106">
        <v>94.5</v>
      </c>
      <c r="B106">
        <v>528</v>
      </c>
    </row>
    <row r="107" spans="1:2">
      <c r="A107">
        <v>71.5</v>
      </c>
      <c r="B107">
        <v>810</v>
      </c>
    </row>
    <row r="108" spans="1:2">
      <c r="A108">
        <v>63</v>
      </c>
      <c r="B108">
        <v>837</v>
      </c>
    </row>
    <row r="109" spans="1:2">
      <c r="A109">
        <v>92.5</v>
      </c>
      <c r="B109">
        <v>569</v>
      </c>
    </row>
    <row r="110" spans="1:2">
      <c r="A110">
        <v>116.5</v>
      </c>
      <c r="B110">
        <v>106</v>
      </c>
    </row>
    <row r="111" spans="1:2">
      <c r="A111">
        <v>98</v>
      </c>
      <c r="B111">
        <v>454</v>
      </c>
    </row>
    <row r="112" spans="1:2">
      <c r="A112">
        <v>103</v>
      </c>
      <c r="B112">
        <v>367</v>
      </c>
    </row>
    <row r="113" spans="1:2">
      <c r="A113">
        <v>82</v>
      </c>
      <c r="B113">
        <v>737</v>
      </c>
    </row>
    <row r="114" spans="1:2">
      <c r="A114">
        <v>89.5</v>
      </c>
      <c r="B114">
        <v>623</v>
      </c>
    </row>
    <row r="115" spans="1:2">
      <c r="A115">
        <v>69.5</v>
      </c>
      <c r="B115">
        <v>816</v>
      </c>
    </row>
    <row r="116" spans="1:2">
      <c r="A116">
        <v>79</v>
      </c>
      <c r="B116">
        <v>761</v>
      </c>
    </row>
    <row r="117" spans="1:2">
      <c r="A117">
        <v>82.5</v>
      </c>
      <c r="B117">
        <v>733</v>
      </c>
    </row>
    <row r="118" spans="1:2">
      <c r="A118">
        <v>102</v>
      </c>
      <c r="B118">
        <v>384</v>
      </c>
    </row>
    <row r="119" spans="1:2">
      <c r="A119">
        <v>104.5</v>
      </c>
      <c r="B119">
        <v>327</v>
      </c>
    </row>
    <row r="120" spans="1:2">
      <c r="A120">
        <v>95</v>
      </c>
      <c r="B120">
        <v>513</v>
      </c>
    </row>
    <row r="121" spans="1:2">
      <c r="A121">
        <v>109.5</v>
      </c>
      <c r="B121">
        <v>232</v>
      </c>
    </row>
    <row r="122" spans="1:2">
      <c r="A122">
        <v>83.5</v>
      </c>
      <c r="B122">
        <v>721</v>
      </c>
    </row>
    <row r="123" spans="1:2">
      <c r="A123">
        <v>90</v>
      </c>
      <c r="B123">
        <v>614</v>
      </c>
    </row>
    <row r="124" spans="1:2">
      <c r="A124">
        <v>76</v>
      </c>
      <c r="B124">
        <v>782</v>
      </c>
    </row>
    <row r="125" spans="1:2">
      <c r="A125">
        <v>97.5</v>
      </c>
      <c r="B125">
        <v>467</v>
      </c>
    </row>
    <row r="126" spans="1:2">
      <c r="A126">
        <v>124</v>
      </c>
      <c r="B126">
        <v>39</v>
      </c>
    </row>
    <row r="127" spans="1:2">
      <c r="A127">
        <v>96.5</v>
      </c>
      <c r="B127">
        <v>488</v>
      </c>
    </row>
    <row r="128" spans="1:2">
      <c r="A128">
        <v>105</v>
      </c>
      <c r="B128">
        <v>319</v>
      </c>
    </row>
    <row r="129" spans="1:2">
      <c r="A129">
        <v>99</v>
      </c>
      <c r="B129">
        <v>435</v>
      </c>
    </row>
    <row r="130" spans="1:2">
      <c r="A130">
        <v>123.5</v>
      </c>
      <c r="B130">
        <v>45</v>
      </c>
    </row>
    <row r="131" spans="1:2">
      <c r="A131">
        <v>95.5</v>
      </c>
      <c r="B131">
        <v>503</v>
      </c>
    </row>
    <row r="132" spans="1:2">
      <c r="A132">
        <v>103.5</v>
      </c>
      <c r="B132">
        <v>355</v>
      </c>
    </row>
    <row r="133" spans="1:2">
      <c r="A133">
        <v>80</v>
      </c>
      <c r="B133">
        <v>751</v>
      </c>
    </row>
    <row r="134" spans="1:2">
      <c r="A134">
        <v>112.5</v>
      </c>
      <c r="B134">
        <v>170</v>
      </c>
    </row>
    <row r="135" spans="1:2">
      <c r="A135">
        <v>119.5</v>
      </c>
      <c r="B135">
        <v>71</v>
      </c>
    </row>
    <row r="136" spans="1:2">
      <c r="A136">
        <v>92.5</v>
      </c>
      <c r="B136">
        <v>570</v>
      </c>
    </row>
    <row r="137" spans="1:2">
      <c r="A137">
        <v>140</v>
      </c>
      <c r="B137">
        <v>1</v>
      </c>
    </row>
    <row r="138" spans="1:2">
      <c r="A138">
        <v>114.5</v>
      </c>
      <c r="B138">
        <v>138</v>
      </c>
    </row>
    <row r="139" spans="1:2">
      <c r="A139">
        <v>107.5</v>
      </c>
      <c r="B139">
        <v>270</v>
      </c>
    </row>
    <row r="140" spans="1:2">
      <c r="A140">
        <v>117</v>
      </c>
      <c r="B140">
        <v>99</v>
      </c>
    </row>
    <row r="141" spans="1:2">
      <c r="A141">
        <v>82.5</v>
      </c>
      <c r="B141">
        <v>734</v>
      </c>
    </row>
    <row r="142" spans="1:2">
      <c r="A142">
        <v>118.5</v>
      </c>
      <c r="B142">
        <v>84</v>
      </c>
    </row>
    <row r="143" spans="1:2">
      <c r="A143">
        <v>86.5</v>
      </c>
      <c r="B143">
        <v>685</v>
      </c>
    </row>
    <row r="144" spans="1:2">
      <c r="A144">
        <v>104.5</v>
      </c>
      <c r="B144">
        <v>328</v>
      </c>
    </row>
    <row r="145" spans="1:2">
      <c r="A145">
        <v>82</v>
      </c>
      <c r="B145">
        <v>738</v>
      </c>
    </row>
    <row r="146" spans="1:2">
      <c r="A146">
        <v>101</v>
      </c>
      <c r="B146">
        <v>403</v>
      </c>
    </row>
    <row r="147" spans="1:2">
      <c r="A147">
        <v>107</v>
      </c>
      <c r="B147">
        <v>281</v>
      </c>
    </row>
    <row r="148" spans="1:2">
      <c r="A148">
        <v>75.5</v>
      </c>
      <c r="B148">
        <v>784</v>
      </c>
    </row>
    <row r="149" spans="1:2">
      <c r="A149">
        <v>113.5</v>
      </c>
      <c r="B149">
        <v>152</v>
      </c>
    </row>
    <row r="150" spans="1:2">
      <c r="A150">
        <v>71</v>
      </c>
      <c r="B150">
        <v>811</v>
      </c>
    </row>
    <row r="151" spans="1:2">
      <c r="A151">
        <v>96.5</v>
      </c>
      <c r="B151">
        <v>489</v>
      </c>
    </row>
    <row r="152" spans="1:2">
      <c r="A152">
        <v>94</v>
      </c>
      <c r="B152">
        <v>538</v>
      </c>
    </row>
    <row r="153" spans="1:2">
      <c r="A153">
        <v>67.5</v>
      </c>
      <c r="B153">
        <v>824</v>
      </c>
    </row>
    <row r="154" spans="1:2">
      <c r="A154">
        <v>105.5</v>
      </c>
      <c r="B154">
        <v>312</v>
      </c>
    </row>
    <row r="155" spans="1:2">
      <c r="A155">
        <v>95</v>
      </c>
      <c r="B155">
        <v>514</v>
      </c>
    </row>
    <row r="156" spans="1:2">
      <c r="A156">
        <v>94.5</v>
      </c>
      <c r="B156">
        <v>529</v>
      </c>
    </row>
    <row r="157" spans="1:2">
      <c r="A157">
        <v>69.5</v>
      </c>
      <c r="B157">
        <v>817</v>
      </c>
    </row>
    <row r="158" spans="1:2">
      <c r="A158">
        <v>112.5</v>
      </c>
      <c r="B158">
        <v>171</v>
      </c>
    </row>
    <row r="159" spans="1:2">
      <c r="A159">
        <v>106</v>
      </c>
      <c r="B159">
        <v>299</v>
      </c>
    </row>
    <row r="160" spans="1:2">
      <c r="A160">
        <v>65.5</v>
      </c>
      <c r="B160">
        <v>830</v>
      </c>
    </row>
    <row r="161" spans="1:2">
      <c r="A161">
        <v>88</v>
      </c>
      <c r="B161">
        <v>655</v>
      </c>
    </row>
    <row r="162" spans="1:2">
      <c r="A162">
        <v>94</v>
      </c>
      <c r="B162">
        <v>539</v>
      </c>
    </row>
    <row r="163" spans="1:2">
      <c r="A163">
        <v>88.5</v>
      </c>
      <c r="B163">
        <v>643</v>
      </c>
    </row>
    <row r="164" spans="1:2">
      <c r="A164">
        <v>62.5</v>
      </c>
      <c r="B164">
        <v>841</v>
      </c>
    </row>
    <row r="165" spans="1:2">
      <c r="A165">
        <v>83</v>
      </c>
      <c r="B165">
        <v>728</v>
      </c>
    </row>
    <row r="166" spans="1:2">
      <c r="A166">
        <v>98</v>
      </c>
      <c r="B166">
        <v>455</v>
      </c>
    </row>
    <row r="167" spans="1:2">
      <c r="A167">
        <v>101.5</v>
      </c>
      <c r="B167">
        <v>392</v>
      </c>
    </row>
    <row r="168" spans="1:2">
      <c r="A168">
        <v>89.5</v>
      </c>
      <c r="B168">
        <v>624</v>
      </c>
    </row>
    <row r="169" spans="1:2">
      <c r="A169">
        <v>106.5</v>
      </c>
      <c r="B169">
        <v>286</v>
      </c>
    </row>
    <row r="170" spans="1:2">
      <c r="A170">
        <v>106.5</v>
      </c>
      <c r="B170">
        <v>287</v>
      </c>
    </row>
    <row r="171" spans="1:2">
      <c r="A171">
        <v>109</v>
      </c>
      <c r="B171">
        <v>242</v>
      </c>
    </row>
    <row r="172" spans="1:2">
      <c r="A172">
        <v>121</v>
      </c>
      <c r="B172">
        <v>57</v>
      </c>
    </row>
    <row r="173" spans="1:2">
      <c r="A173">
        <v>106</v>
      </c>
      <c r="B173">
        <v>300</v>
      </c>
    </row>
    <row r="174" spans="1:2">
      <c r="A174">
        <v>94</v>
      </c>
      <c r="B174">
        <v>540</v>
      </c>
    </row>
    <row r="175" spans="1:2">
      <c r="A175">
        <v>103.5</v>
      </c>
      <c r="B175">
        <v>356</v>
      </c>
    </row>
    <row r="176" spans="1:2">
      <c r="A176">
        <v>118</v>
      </c>
      <c r="B176">
        <v>91</v>
      </c>
    </row>
    <row r="177" spans="1:2">
      <c r="A177">
        <v>86</v>
      </c>
      <c r="B177">
        <v>694</v>
      </c>
    </row>
    <row r="178" spans="1:2">
      <c r="A178">
        <v>110.5</v>
      </c>
      <c r="B178">
        <v>212</v>
      </c>
    </row>
    <row r="179" spans="1:2">
      <c r="A179">
        <v>101.5</v>
      </c>
      <c r="B179">
        <v>393</v>
      </c>
    </row>
    <row r="180" spans="1:2">
      <c r="A180">
        <v>111.5</v>
      </c>
      <c r="B180">
        <v>192</v>
      </c>
    </row>
    <row r="181" spans="1:2">
      <c r="A181">
        <v>114.5</v>
      </c>
      <c r="B181">
        <v>139</v>
      </c>
    </row>
    <row r="182" spans="1:2">
      <c r="A182">
        <v>122.5</v>
      </c>
      <c r="B182">
        <v>50</v>
      </c>
    </row>
    <row r="183" spans="1:2">
      <c r="A183">
        <v>106.5</v>
      </c>
      <c r="B183">
        <v>288</v>
      </c>
    </row>
    <row r="184" spans="1:2">
      <c r="A184">
        <v>111.5</v>
      </c>
      <c r="B184">
        <v>193</v>
      </c>
    </row>
    <row r="185" spans="1:2">
      <c r="A185">
        <v>114.5</v>
      </c>
      <c r="B185">
        <v>140</v>
      </c>
    </row>
    <row r="186" spans="1:2">
      <c r="A186">
        <v>108</v>
      </c>
      <c r="B186">
        <v>258</v>
      </c>
    </row>
    <row r="187" spans="1:2">
      <c r="A187">
        <v>106</v>
      </c>
      <c r="B187">
        <v>301</v>
      </c>
    </row>
    <row r="188" spans="1:2">
      <c r="A188">
        <v>108</v>
      </c>
      <c r="B188">
        <v>259</v>
      </c>
    </row>
    <row r="189" spans="1:2">
      <c r="A189">
        <v>106</v>
      </c>
      <c r="B189">
        <v>302</v>
      </c>
    </row>
    <row r="190" spans="1:2">
      <c r="A190">
        <v>91</v>
      </c>
      <c r="B190">
        <v>594</v>
      </c>
    </row>
    <row r="191" spans="1:2">
      <c r="A191">
        <v>103.5</v>
      </c>
      <c r="B191">
        <v>357</v>
      </c>
    </row>
    <row r="192" spans="1:2">
      <c r="A192">
        <v>86</v>
      </c>
      <c r="B192">
        <v>695</v>
      </c>
    </row>
    <row r="193" spans="1:2">
      <c r="A193">
        <v>96</v>
      </c>
      <c r="B193">
        <v>494</v>
      </c>
    </row>
    <row r="194" spans="1:2">
      <c r="A194">
        <v>74.5</v>
      </c>
      <c r="B194">
        <v>789</v>
      </c>
    </row>
    <row r="195" spans="1:2">
      <c r="A195">
        <v>95</v>
      </c>
      <c r="B195">
        <v>515</v>
      </c>
    </row>
    <row r="196" spans="1:2">
      <c r="A196">
        <v>106.5</v>
      </c>
      <c r="B196">
        <v>289</v>
      </c>
    </row>
    <row r="197" spans="1:2">
      <c r="A197">
        <v>83</v>
      </c>
      <c r="B197">
        <v>729</v>
      </c>
    </row>
    <row r="198" spans="1:2">
      <c r="A198">
        <v>106.5</v>
      </c>
      <c r="B198">
        <v>290</v>
      </c>
    </row>
    <row r="199" spans="1:2">
      <c r="A199">
        <v>109.5</v>
      </c>
      <c r="B199">
        <v>233</v>
      </c>
    </row>
    <row r="200" spans="1:2">
      <c r="A200">
        <v>74.5</v>
      </c>
      <c r="B200">
        <v>790</v>
      </c>
    </row>
    <row r="201" spans="1:2">
      <c r="A201">
        <v>106.5</v>
      </c>
      <c r="B201">
        <v>291</v>
      </c>
    </row>
    <row r="202" spans="1:2">
      <c r="A202">
        <v>111</v>
      </c>
      <c r="B202">
        <v>203</v>
      </c>
    </row>
    <row r="203" spans="1:2">
      <c r="A203">
        <v>111</v>
      </c>
      <c r="B203">
        <v>204</v>
      </c>
    </row>
    <row r="204" spans="1:2">
      <c r="A204">
        <v>90</v>
      </c>
      <c r="B204">
        <v>615</v>
      </c>
    </row>
    <row r="205" spans="1:2">
      <c r="A205">
        <v>130.5</v>
      </c>
      <c r="B205">
        <v>9</v>
      </c>
    </row>
    <row r="206" spans="1:2">
      <c r="A206">
        <v>99</v>
      </c>
      <c r="B206">
        <v>436</v>
      </c>
    </row>
    <row r="207" spans="1:2">
      <c r="A207">
        <v>96</v>
      </c>
      <c r="B207">
        <v>495</v>
      </c>
    </row>
    <row r="208" spans="1:2">
      <c r="A208">
        <v>120</v>
      </c>
      <c r="B208">
        <v>67</v>
      </c>
    </row>
    <row r="209" spans="1:2">
      <c r="A209">
        <v>116</v>
      </c>
      <c r="B209">
        <v>113</v>
      </c>
    </row>
    <row r="210" spans="1:2">
      <c r="A210">
        <v>115.5</v>
      </c>
      <c r="B210">
        <v>121</v>
      </c>
    </row>
    <row r="211" spans="1:2">
      <c r="A211">
        <v>120.5</v>
      </c>
      <c r="B211">
        <v>63</v>
      </c>
    </row>
    <row r="212" spans="1:2">
      <c r="A212">
        <v>98</v>
      </c>
      <c r="B212">
        <v>456</v>
      </c>
    </row>
    <row r="213" spans="1:2">
      <c r="A213">
        <v>112.5</v>
      </c>
      <c r="B213">
        <v>172</v>
      </c>
    </row>
    <row r="214" spans="1:2">
      <c r="A214">
        <v>104</v>
      </c>
      <c r="B214">
        <v>342</v>
      </c>
    </row>
    <row r="215" spans="1:2">
      <c r="A215">
        <v>116</v>
      </c>
      <c r="B215">
        <v>114</v>
      </c>
    </row>
    <row r="216" spans="1:2">
      <c r="A216">
        <v>79</v>
      </c>
      <c r="B216">
        <v>762</v>
      </c>
    </row>
    <row r="217" spans="1:2">
      <c r="A217">
        <v>99.5</v>
      </c>
      <c r="B217">
        <v>426</v>
      </c>
    </row>
    <row r="218" spans="1:2">
      <c r="A218">
        <v>105</v>
      </c>
      <c r="B218">
        <v>320</v>
      </c>
    </row>
    <row r="219" spans="1:2">
      <c r="A219">
        <v>114.5</v>
      </c>
      <c r="B219">
        <v>141</v>
      </c>
    </row>
    <row r="220" spans="1:2">
      <c r="A220">
        <v>69</v>
      </c>
      <c r="B220">
        <v>820</v>
      </c>
    </row>
    <row r="221" spans="1:2">
      <c r="A221">
        <v>122.5</v>
      </c>
      <c r="B221">
        <v>51</v>
      </c>
    </row>
    <row r="222" spans="1:2">
      <c r="A222">
        <v>110.5</v>
      </c>
      <c r="B222">
        <v>213</v>
      </c>
    </row>
    <row r="223" spans="1:2">
      <c r="A223">
        <v>109</v>
      </c>
      <c r="B223">
        <v>243</v>
      </c>
    </row>
    <row r="224" spans="1:2">
      <c r="A224">
        <v>103.5</v>
      </c>
      <c r="B224">
        <v>358</v>
      </c>
    </row>
    <row r="225" spans="1:2">
      <c r="A225">
        <v>126.5</v>
      </c>
      <c r="B225">
        <v>25</v>
      </c>
    </row>
    <row r="226" spans="1:2">
      <c r="A226">
        <v>104.5</v>
      </c>
      <c r="B226">
        <v>329</v>
      </c>
    </row>
    <row r="227" spans="1:2">
      <c r="A227">
        <v>122.5</v>
      </c>
      <c r="B227">
        <v>52</v>
      </c>
    </row>
    <row r="228" spans="1:2">
      <c r="A228">
        <v>101.5</v>
      </c>
      <c r="B228">
        <v>394</v>
      </c>
    </row>
    <row r="229" spans="1:2">
      <c r="A229">
        <v>109.5</v>
      </c>
      <c r="B229">
        <v>234</v>
      </c>
    </row>
    <row r="230" spans="1:2">
      <c r="A230">
        <v>119</v>
      </c>
      <c r="B230">
        <v>77</v>
      </c>
    </row>
    <row r="231" spans="1:2">
      <c r="A231">
        <v>119.5</v>
      </c>
      <c r="B231">
        <v>72</v>
      </c>
    </row>
    <row r="232" spans="1:2">
      <c r="A232">
        <v>111</v>
      </c>
      <c r="B232">
        <v>205</v>
      </c>
    </row>
    <row r="233" spans="1:2">
      <c r="A233">
        <v>77.5</v>
      </c>
      <c r="B233">
        <v>774</v>
      </c>
    </row>
    <row r="234" spans="1:2">
      <c r="A234">
        <v>113.5</v>
      </c>
      <c r="B234">
        <v>153</v>
      </c>
    </row>
    <row r="235" spans="1:2">
      <c r="A235">
        <v>117.5</v>
      </c>
      <c r="B235">
        <v>95</v>
      </c>
    </row>
    <row r="236" spans="1:2">
      <c r="A236">
        <v>110</v>
      </c>
      <c r="B236">
        <v>223</v>
      </c>
    </row>
    <row r="237" spans="1:2">
      <c r="A237">
        <v>118</v>
      </c>
      <c r="B237">
        <v>92</v>
      </c>
    </row>
    <row r="238" spans="1:2">
      <c r="A238">
        <v>104.5</v>
      </c>
      <c r="B238">
        <v>330</v>
      </c>
    </row>
    <row r="239" spans="1:2">
      <c r="A239">
        <v>93</v>
      </c>
      <c r="B239">
        <v>562</v>
      </c>
    </row>
    <row r="240" spans="1:2">
      <c r="A240">
        <v>93.5</v>
      </c>
      <c r="B240">
        <v>549</v>
      </c>
    </row>
    <row r="241" spans="1:2">
      <c r="A241">
        <v>88</v>
      </c>
      <c r="B241">
        <v>656</v>
      </c>
    </row>
    <row r="242" spans="1:2">
      <c r="A242">
        <v>103</v>
      </c>
      <c r="B242">
        <v>368</v>
      </c>
    </row>
    <row r="243" spans="1:2">
      <c r="A243">
        <v>97.5</v>
      </c>
      <c r="B243">
        <v>468</v>
      </c>
    </row>
    <row r="244" spans="1:2">
      <c r="A244">
        <v>91</v>
      </c>
      <c r="B244">
        <v>595</v>
      </c>
    </row>
    <row r="245" spans="1:2">
      <c r="A245">
        <v>108.25</v>
      </c>
      <c r="B245">
        <v>256</v>
      </c>
    </row>
    <row r="246" spans="1:2">
      <c r="A246">
        <v>112.5</v>
      </c>
      <c r="B246">
        <v>173</v>
      </c>
    </row>
    <row r="247" spans="1:2">
      <c r="A247">
        <v>115</v>
      </c>
      <c r="B247">
        <v>131</v>
      </c>
    </row>
    <row r="248" spans="1:2">
      <c r="A248">
        <v>89.5</v>
      </c>
      <c r="B248">
        <v>625</v>
      </c>
    </row>
    <row r="249" spans="1:2">
      <c r="A249">
        <v>95.5</v>
      </c>
      <c r="B249">
        <v>504</v>
      </c>
    </row>
    <row r="250" spans="1:2">
      <c r="A250">
        <v>104</v>
      </c>
      <c r="B250">
        <v>343</v>
      </c>
    </row>
    <row r="251" spans="1:2">
      <c r="A251">
        <v>97</v>
      </c>
      <c r="B251">
        <v>479</v>
      </c>
    </row>
    <row r="252" spans="1:2">
      <c r="A252">
        <v>82.5</v>
      </c>
      <c r="B252">
        <v>735</v>
      </c>
    </row>
    <row r="253" spans="1:2">
      <c r="A253">
        <v>87.5</v>
      </c>
      <c r="B253">
        <v>666</v>
      </c>
    </row>
    <row r="254" spans="1:2">
      <c r="A254">
        <v>90</v>
      </c>
      <c r="B254">
        <v>616</v>
      </c>
    </row>
    <row r="255" spans="1:2">
      <c r="A255">
        <v>55</v>
      </c>
      <c r="B255">
        <v>857</v>
      </c>
    </row>
    <row r="256" spans="1:2">
      <c r="A256">
        <v>95</v>
      </c>
      <c r="B256">
        <v>516</v>
      </c>
    </row>
    <row r="257" spans="1:2">
      <c r="A257">
        <v>80.5</v>
      </c>
      <c r="B257">
        <v>747</v>
      </c>
    </row>
    <row r="258" spans="1:2">
      <c r="A258">
        <v>89.5</v>
      </c>
      <c r="B258">
        <v>626</v>
      </c>
    </row>
    <row r="259" spans="1:2">
      <c r="A259">
        <v>80</v>
      </c>
      <c r="B259">
        <v>752</v>
      </c>
    </row>
    <row r="260" spans="1:2">
      <c r="A260">
        <v>87</v>
      </c>
      <c r="B260">
        <v>678</v>
      </c>
    </row>
    <row r="261" spans="1:2">
      <c r="A261">
        <v>91</v>
      </c>
      <c r="B261">
        <v>596</v>
      </c>
    </row>
    <row r="262" spans="1:2">
      <c r="A262">
        <v>126</v>
      </c>
      <c r="B262">
        <v>28</v>
      </c>
    </row>
    <row r="263" spans="1:2">
      <c r="A263">
        <v>105.5</v>
      </c>
      <c r="B263">
        <v>313</v>
      </c>
    </row>
    <row r="264" spans="1:2">
      <c r="A264">
        <v>104.5</v>
      </c>
      <c r="B264">
        <v>331</v>
      </c>
    </row>
    <row r="265" spans="1:2">
      <c r="A265">
        <v>97.5</v>
      </c>
      <c r="B265">
        <v>469</v>
      </c>
    </row>
    <row r="266" spans="1:2">
      <c r="A266">
        <v>79.5</v>
      </c>
      <c r="B266">
        <v>756</v>
      </c>
    </row>
    <row r="267" spans="1:2">
      <c r="A267">
        <v>106.5</v>
      </c>
      <c r="B267">
        <v>292</v>
      </c>
    </row>
    <row r="268" spans="1:2">
      <c r="A268">
        <v>88</v>
      </c>
      <c r="B268">
        <v>657</v>
      </c>
    </row>
    <row r="269" spans="1:2">
      <c r="A269">
        <v>86.5</v>
      </c>
      <c r="B269">
        <v>686</v>
      </c>
    </row>
    <row r="270" spans="1:2">
      <c r="A270">
        <v>74</v>
      </c>
      <c r="B270">
        <v>796</v>
      </c>
    </row>
    <row r="271" spans="1:2">
      <c r="A271">
        <v>87.5</v>
      </c>
      <c r="B271">
        <v>667</v>
      </c>
    </row>
    <row r="272" spans="1:2">
      <c r="A272">
        <v>83</v>
      </c>
      <c r="B272">
        <v>730</v>
      </c>
    </row>
    <row r="273" spans="1:2">
      <c r="A273">
        <v>78</v>
      </c>
      <c r="B273">
        <v>767</v>
      </c>
    </row>
    <row r="274" spans="1:2">
      <c r="A274">
        <v>95</v>
      </c>
      <c r="B274">
        <v>517</v>
      </c>
    </row>
    <row r="275" spans="1:2">
      <c r="A275">
        <v>98.5</v>
      </c>
      <c r="B275">
        <v>444</v>
      </c>
    </row>
    <row r="276" spans="1:2">
      <c r="A276">
        <v>91</v>
      </c>
      <c r="B276">
        <v>597</v>
      </c>
    </row>
    <row r="277" spans="1:2">
      <c r="A277">
        <v>58</v>
      </c>
      <c r="B277">
        <v>848</v>
      </c>
    </row>
    <row r="278" spans="1:2">
      <c r="A278">
        <v>60</v>
      </c>
      <c r="B278">
        <v>844</v>
      </c>
    </row>
    <row r="279" spans="1:2">
      <c r="A279">
        <v>99</v>
      </c>
      <c r="B279">
        <v>437</v>
      </c>
    </row>
    <row r="280" spans="1:2">
      <c r="A280">
        <v>101.5</v>
      </c>
      <c r="B280">
        <v>395</v>
      </c>
    </row>
    <row r="281" spans="1:2">
      <c r="A281">
        <v>88.5</v>
      </c>
      <c r="B281">
        <v>644</v>
      </c>
    </row>
    <row r="282" spans="1:2">
      <c r="A282">
        <v>103</v>
      </c>
      <c r="B282">
        <v>369</v>
      </c>
    </row>
    <row r="283" spans="1:2">
      <c r="A283">
        <v>94.5</v>
      </c>
      <c r="B283">
        <v>530</v>
      </c>
    </row>
    <row r="284" spans="1:2">
      <c r="A284">
        <v>86</v>
      </c>
      <c r="B284">
        <v>696</v>
      </c>
    </row>
    <row r="285" spans="1:2">
      <c r="A285">
        <v>93.5</v>
      </c>
      <c r="B285">
        <v>550</v>
      </c>
    </row>
    <row r="286" spans="1:2">
      <c r="A286">
        <v>96.5</v>
      </c>
      <c r="B286">
        <v>490</v>
      </c>
    </row>
    <row r="287" spans="1:2">
      <c r="A287">
        <v>95</v>
      </c>
      <c r="B287">
        <v>518</v>
      </c>
    </row>
    <row r="288" spans="1:2">
      <c r="A288">
        <v>87.5</v>
      </c>
      <c r="B288">
        <v>668</v>
      </c>
    </row>
    <row r="289" spans="1:2">
      <c r="A289">
        <v>79.5</v>
      </c>
      <c r="B289">
        <v>757</v>
      </c>
    </row>
    <row r="290" spans="1:2">
      <c r="A290">
        <v>96</v>
      </c>
      <c r="B290">
        <v>496</v>
      </c>
    </row>
    <row r="291" spans="1:2">
      <c r="A291">
        <v>89</v>
      </c>
      <c r="B291">
        <v>634</v>
      </c>
    </row>
    <row r="292" spans="1:2">
      <c r="A292">
        <v>90</v>
      </c>
      <c r="B292">
        <v>617</v>
      </c>
    </row>
    <row r="293" spans="1:2">
      <c r="A293">
        <v>92</v>
      </c>
      <c r="B293">
        <v>581</v>
      </c>
    </row>
    <row r="294" spans="1:2">
      <c r="A294">
        <v>106</v>
      </c>
      <c r="B294">
        <v>303</v>
      </c>
    </row>
    <row r="295" spans="1:2">
      <c r="A295">
        <v>84.5</v>
      </c>
      <c r="B295">
        <v>710</v>
      </c>
    </row>
    <row r="296" spans="1:2">
      <c r="A296">
        <v>74</v>
      </c>
      <c r="B296">
        <v>797</v>
      </c>
    </row>
    <row r="297" spans="1:2">
      <c r="A297">
        <v>95</v>
      </c>
      <c r="B297">
        <v>519</v>
      </c>
    </row>
    <row r="298" spans="1:2">
      <c r="A298">
        <v>88</v>
      </c>
      <c r="B298">
        <v>658</v>
      </c>
    </row>
    <row r="299" spans="1:2">
      <c r="A299">
        <v>87.5</v>
      </c>
      <c r="B299">
        <v>669</v>
      </c>
    </row>
    <row r="300" spans="1:2">
      <c r="A300">
        <v>93.5</v>
      </c>
      <c r="B300">
        <v>551</v>
      </c>
    </row>
    <row r="301" spans="1:2">
      <c r="A301">
        <v>107.5</v>
      </c>
      <c r="B301">
        <v>271</v>
      </c>
    </row>
    <row r="302" spans="1:2">
      <c r="A302">
        <v>77.5</v>
      </c>
      <c r="B302">
        <v>775</v>
      </c>
    </row>
    <row r="303" spans="1:2">
      <c r="A303">
        <v>94</v>
      </c>
      <c r="B303">
        <v>541</v>
      </c>
    </row>
    <row r="304" spans="1:2">
      <c r="A304">
        <v>112.5</v>
      </c>
      <c r="B304">
        <v>174</v>
      </c>
    </row>
    <row r="305" spans="1:2">
      <c r="A305">
        <v>96.5</v>
      </c>
      <c r="B305">
        <v>491</v>
      </c>
    </row>
    <row r="306" spans="1:2">
      <c r="A306">
        <v>108</v>
      </c>
      <c r="B306">
        <v>260</v>
      </c>
    </row>
    <row r="307" spans="1:2">
      <c r="A307">
        <v>74</v>
      </c>
      <c r="B307">
        <v>798</v>
      </c>
    </row>
    <row r="308" spans="1:2">
      <c r="A308">
        <v>98.5</v>
      </c>
      <c r="B308">
        <v>445</v>
      </c>
    </row>
    <row r="309" spans="1:2">
      <c r="A309">
        <v>113.5</v>
      </c>
      <c r="B309">
        <v>154</v>
      </c>
    </row>
    <row r="310" spans="1:2">
      <c r="A310">
        <v>83.5</v>
      </c>
      <c r="B310">
        <v>722</v>
      </c>
    </row>
    <row r="311" spans="1:2">
      <c r="A311">
        <v>84</v>
      </c>
      <c r="B311">
        <v>716</v>
      </c>
    </row>
    <row r="312" spans="1:2">
      <c r="A312">
        <v>85</v>
      </c>
      <c r="B312">
        <v>704</v>
      </c>
    </row>
    <row r="313" spans="1:2">
      <c r="A313">
        <v>74.5</v>
      </c>
      <c r="B313">
        <v>791</v>
      </c>
    </row>
    <row r="314" spans="1:2">
      <c r="A314">
        <v>103.5</v>
      </c>
      <c r="B314">
        <v>359</v>
      </c>
    </row>
    <row r="315" spans="1:2">
      <c r="A315">
        <v>73.5</v>
      </c>
      <c r="B315">
        <v>800</v>
      </c>
    </row>
    <row r="316" spans="1:2">
      <c r="A316">
        <v>78.5</v>
      </c>
      <c r="B316">
        <v>765</v>
      </c>
    </row>
    <row r="317" spans="1:2">
      <c r="A317">
        <v>79</v>
      </c>
      <c r="B317">
        <v>763</v>
      </c>
    </row>
    <row r="318" spans="1:2">
      <c r="A318">
        <v>104</v>
      </c>
      <c r="B318">
        <v>344</v>
      </c>
    </row>
    <row r="319" spans="1:2">
      <c r="A319">
        <v>108.5</v>
      </c>
      <c r="B319">
        <v>252</v>
      </c>
    </row>
    <row r="320" spans="1:2">
      <c r="A320">
        <v>104</v>
      </c>
      <c r="B320">
        <v>345</v>
      </c>
    </row>
    <row r="321" spans="1:2">
      <c r="A321">
        <v>109</v>
      </c>
      <c r="B321">
        <v>244</v>
      </c>
    </row>
    <row r="322" spans="1:2">
      <c r="A322">
        <v>83.5</v>
      </c>
      <c r="B322">
        <v>723</v>
      </c>
    </row>
    <row r="323" spans="1:2">
      <c r="A323">
        <v>110</v>
      </c>
      <c r="B323">
        <v>224</v>
      </c>
    </row>
    <row r="324" spans="1:2">
      <c r="A324">
        <v>104.5</v>
      </c>
      <c r="B324">
        <v>332</v>
      </c>
    </row>
    <row r="325" spans="1:2">
      <c r="A325">
        <v>93</v>
      </c>
      <c r="B325">
        <v>563</v>
      </c>
    </row>
    <row r="326" spans="1:2">
      <c r="A326">
        <v>59</v>
      </c>
      <c r="B326">
        <v>847</v>
      </c>
    </row>
    <row r="327" spans="1:2">
      <c r="A327">
        <v>89.5</v>
      </c>
      <c r="B327">
        <v>627</v>
      </c>
    </row>
    <row r="328" spans="1:2">
      <c r="A328">
        <v>117</v>
      </c>
      <c r="B328">
        <v>100</v>
      </c>
    </row>
    <row r="329" spans="1:2">
      <c r="A329">
        <v>112</v>
      </c>
      <c r="B329">
        <v>182</v>
      </c>
    </row>
    <row r="330" spans="1:2">
      <c r="A330">
        <v>89</v>
      </c>
      <c r="B330">
        <v>635</v>
      </c>
    </row>
    <row r="331" spans="1:2">
      <c r="A331">
        <v>92.5</v>
      </c>
      <c r="B331">
        <v>571</v>
      </c>
    </row>
    <row r="332" spans="1:2">
      <c r="A332">
        <v>98.5</v>
      </c>
      <c r="B332">
        <v>446</v>
      </c>
    </row>
    <row r="333" spans="1:2">
      <c r="A333">
        <v>79.5</v>
      </c>
      <c r="B333">
        <v>758</v>
      </c>
    </row>
    <row r="334" spans="1:2">
      <c r="A334">
        <v>91</v>
      </c>
      <c r="B334">
        <v>598</v>
      </c>
    </row>
    <row r="335" spans="1:2">
      <c r="A335">
        <v>112</v>
      </c>
      <c r="B335">
        <v>183</v>
      </c>
    </row>
    <row r="336" spans="1:2">
      <c r="A336">
        <v>110.5</v>
      </c>
      <c r="B336">
        <v>214</v>
      </c>
    </row>
    <row r="337" spans="1:2">
      <c r="A337">
        <v>108.5</v>
      </c>
      <c r="B337">
        <v>253</v>
      </c>
    </row>
    <row r="338" spans="1:2">
      <c r="A338">
        <v>106.5</v>
      </c>
      <c r="B338">
        <v>293</v>
      </c>
    </row>
    <row r="339" spans="1:2">
      <c r="A339">
        <v>104.5</v>
      </c>
      <c r="B339">
        <v>333</v>
      </c>
    </row>
    <row r="340" spans="1:2">
      <c r="A340">
        <v>88.5</v>
      </c>
      <c r="B340">
        <v>645</v>
      </c>
    </row>
    <row r="341" spans="1:2">
      <c r="A341">
        <v>94</v>
      </c>
      <c r="B341">
        <v>542</v>
      </c>
    </row>
    <row r="342" spans="1:2">
      <c r="A342">
        <v>97</v>
      </c>
      <c r="B342">
        <v>480</v>
      </c>
    </row>
    <row r="343" spans="1:2">
      <c r="A343">
        <v>104.5</v>
      </c>
      <c r="B343">
        <v>334</v>
      </c>
    </row>
    <row r="344" spans="1:2">
      <c r="A344">
        <v>112.5</v>
      </c>
      <c r="B344">
        <v>175</v>
      </c>
    </row>
    <row r="345" spans="1:2">
      <c r="A345">
        <v>109.5</v>
      </c>
      <c r="B345">
        <v>235</v>
      </c>
    </row>
    <row r="346" spans="1:2">
      <c r="A346">
        <v>96</v>
      </c>
      <c r="B346">
        <v>497</v>
      </c>
    </row>
    <row r="347" spans="1:2">
      <c r="A347">
        <v>113</v>
      </c>
      <c r="B347">
        <v>162</v>
      </c>
    </row>
    <row r="348" spans="1:2">
      <c r="A348">
        <v>104</v>
      </c>
      <c r="B348">
        <v>346</v>
      </c>
    </row>
    <row r="349" spans="1:2">
      <c r="A349">
        <v>12</v>
      </c>
      <c r="B349">
        <v>869</v>
      </c>
    </row>
    <row r="350" spans="1:2">
      <c r="A350">
        <v>88.5</v>
      </c>
      <c r="B350">
        <v>646</v>
      </c>
    </row>
    <row r="351" spans="1:2">
      <c r="A351">
        <v>94</v>
      </c>
      <c r="B351">
        <v>543</v>
      </c>
    </row>
    <row r="352" spans="1:2">
      <c r="A352">
        <v>107</v>
      </c>
      <c r="B352">
        <v>282</v>
      </c>
    </row>
    <row r="353" spans="1:2">
      <c r="A353">
        <v>107</v>
      </c>
      <c r="B353">
        <v>283</v>
      </c>
    </row>
    <row r="354" spans="1:2">
      <c r="A354">
        <v>104.5</v>
      </c>
      <c r="B354">
        <v>335</v>
      </c>
    </row>
    <row r="355" spans="1:2">
      <c r="A355">
        <v>87.5</v>
      </c>
      <c r="B355">
        <v>670</v>
      </c>
    </row>
    <row r="356" spans="1:2">
      <c r="A356">
        <v>107</v>
      </c>
      <c r="B356">
        <v>284</v>
      </c>
    </row>
    <row r="357" spans="1:2">
      <c r="A357">
        <v>114.5</v>
      </c>
      <c r="B357">
        <v>142</v>
      </c>
    </row>
    <row r="358" spans="1:2">
      <c r="A358">
        <v>93.5</v>
      </c>
      <c r="B358">
        <v>552</v>
      </c>
    </row>
    <row r="359" spans="1:2">
      <c r="A359">
        <v>125</v>
      </c>
      <c r="B359">
        <v>34</v>
      </c>
    </row>
    <row r="360" spans="1:2">
      <c r="A360">
        <v>88.5</v>
      </c>
      <c r="B360">
        <v>647</v>
      </c>
    </row>
    <row r="361" spans="1:2">
      <c r="A361">
        <v>95</v>
      </c>
      <c r="B361">
        <v>520</v>
      </c>
    </row>
    <row r="362" spans="1:2">
      <c r="A362">
        <v>98</v>
      </c>
      <c r="B362">
        <v>457</v>
      </c>
    </row>
    <row r="363" spans="1:2">
      <c r="A363">
        <v>70</v>
      </c>
      <c r="B363">
        <v>812</v>
      </c>
    </row>
    <row r="364" spans="1:2">
      <c r="A364">
        <v>93</v>
      </c>
      <c r="B364">
        <v>564</v>
      </c>
    </row>
    <row r="365" spans="1:2">
      <c r="A365">
        <v>100</v>
      </c>
      <c r="B365">
        <v>417</v>
      </c>
    </row>
    <row r="366" spans="1:2">
      <c r="A366">
        <v>121</v>
      </c>
      <c r="B366">
        <v>58</v>
      </c>
    </row>
    <row r="367" spans="1:2">
      <c r="A367">
        <v>77.5</v>
      </c>
      <c r="B367">
        <v>776</v>
      </c>
    </row>
    <row r="368" spans="1:2">
      <c r="A368">
        <v>111.5</v>
      </c>
      <c r="B368">
        <v>194</v>
      </c>
    </row>
    <row r="369" spans="1:2">
      <c r="A369">
        <v>82.5</v>
      </c>
      <c r="B369">
        <v>736</v>
      </c>
    </row>
    <row r="370" spans="1:2">
      <c r="A370">
        <v>58</v>
      </c>
      <c r="B370">
        <v>849</v>
      </c>
    </row>
    <row r="371" spans="1:2">
      <c r="A371">
        <v>83.5</v>
      </c>
      <c r="B371">
        <v>724</v>
      </c>
    </row>
    <row r="372" spans="1:2">
      <c r="A372">
        <v>124</v>
      </c>
      <c r="B372">
        <v>40</v>
      </c>
    </row>
    <row r="373" spans="1:2">
      <c r="A373">
        <v>89</v>
      </c>
      <c r="B373">
        <v>636</v>
      </c>
    </row>
    <row r="374" spans="1:2">
      <c r="A374">
        <v>85.5</v>
      </c>
      <c r="B374">
        <v>699</v>
      </c>
    </row>
    <row r="375" spans="1:2">
      <c r="A375">
        <v>120</v>
      </c>
      <c r="B375">
        <v>68</v>
      </c>
    </row>
    <row r="376" spans="1:2">
      <c r="A376">
        <v>110.5</v>
      </c>
      <c r="B376">
        <v>215</v>
      </c>
    </row>
    <row r="377" spans="1:2">
      <c r="A377">
        <v>102.5</v>
      </c>
      <c r="B377">
        <v>375</v>
      </c>
    </row>
    <row r="378" spans="1:2">
      <c r="A378">
        <v>98</v>
      </c>
      <c r="B378">
        <v>458</v>
      </c>
    </row>
    <row r="379" spans="1:2">
      <c r="A379">
        <v>101.5</v>
      </c>
      <c r="B379">
        <v>396</v>
      </c>
    </row>
    <row r="380" spans="1:2">
      <c r="A380">
        <v>101.5</v>
      </c>
      <c r="B380">
        <v>397</v>
      </c>
    </row>
    <row r="381" spans="1:2">
      <c r="A381">
        <v>115.5</v>
      </c>
      <c r="B381">
        <v>122</v>
      </c>
    </row>
    <row r="382" spans="1:2">
      <c r="A382">
        <v>99.5</v>
      </c>
      <c r="B382">
        <v>427</v>
      </c>
    </row>
    <row r="383" spans="1:2">
      <c r="A383">
        <v>97.5</v>
      </c>
      <c r="B383">
        <v>470</v>
      </c>
    </row>
    <row r="384" spans="1:2">
      <c r="A384">
        <v>123.5</v>
      </c>
      <c r="B384">
        <v>46</v>
      </c>
    </row>
    <row r="385" spans="1:2">
      <c r="A385">
        <v>92.5</v>
      </c>
      <c r="B385">
        <v>572</v>
      </c>
    </row>
    <row r="386" spans="1:2">
      <c r="A386">
        <v>119.5</v>
      </c>
      <c r="B386">
        <v>73</v>
      </c>
    </row>
    <row r="387" spans="1:2">
      <c r="A387">
        <v>119.5</v>
      </c>
      <c r="B387">
        <v>74</v>
      </c>
    </row>
    <row r="388" spans="1:2">
      <c r="A388">
        <v>112</v>
      </c>
      <c r="B388">
        <v>184</v>
      </c>
    </row>
    <row r="389" spans="1:2">
      <c r="A389">
        <v>112.5</v>
      </c>
      <c r="B389">
        <v>176</v>
      </c>
    </row>
    <row r="390" spans="1:2">
      <c r="A390">
        <v>118.5</v>
      </c>
      <c r="B390">
        <v>85</v>
      </c>
    </row>
    <row r="391" spans="1:2">
      <c r="A391">
        <v>130.5</v>
      </c>
      <c r="B391">
        <v>10</v>
      </c>
    </row>
    <row r="392" spans="1:2">
      <c r="A392">
        <v>115</v>
      </c>
      <c r="B392">
        <v>132</v>
      </c>
    </row>
    <row r="393" spans="1:2">
      <c r="A393">
        <v>130.5</v>
      </c>
      <c r="B393">
        <v>11</v>
      </c>
    </row>
    <row r="394" spans="1:2">
      <c r="A394">
        <v>126.5</v>
      </c>
      <c r="B394">
        <v>26</v>
      </c>
    </row>
    <row r="395" spans="1:2">
      <c r="A395">
        <v>119</v>
      </c>
      <c r="B395">
        <v>78</v>
      </c>
    </row>
    <row r="396" spans="1:2">
      <c r="A396">
        <v>125.5</v>
      </c>
      <c r="B396">
        <v>31</v>
      </c>
    </row>
    <row r="397" spans="1:2">
      <c r="A397">
        <v>121</v>
      </c>
      <c r="B397">
        <v>59</v>
      </c>
    </row>
    <row r="398" spans="1:2">
      <c r="A398">
        <v>118.5</v>
      </c>
      <c r="B398">
        <v>86</v>
      </c>
    </row>
    <row r="399" spans="1:2">
      <c r="A399">
        <v>123.5</v>
      </c>
      <c r="B399">
        <v>47</v>
      </c>
    </row>
    <row r="400" spans="1:2">
      <c r="A400">
        <v>124.5</v>
      </c>
      <c r="B400">
        <v>38</v>
      </c>
    </row>
    <row r="401" spans="1:2">
      <c r="A401">
        <v>120</v>
      </c>
      <c r="B401">
        <v>69</v>
      </c>
    </row>
    <row r="402" spans="1:2">
      <c r="A402">
        <v>137</v>
      </c>
      <c r="B402">
        <v>2</v>
      </c>
    </row>
    <row r="403" spans="1:2">
      <c r="A403">
        <v>132</v>
      </c>
      <c r="B403">
        <v>7</v>
      </c>
    </row>
    <row r="404" spans="1:2">
      <c r="A404">
        <v>117</v>
      </c>
      <c r="B404">
        <v>101</v>
      </c>
    </row>
    <row r="405" spans="1:2">
      <c r="A405">
        <v>123</v>
      </c>
      <c r="B405">
        <v>49</v>
      </c>
    </row>
    <row r="406" spans="1:2">
      <c r="A406">
        <v>118.5</v>
      </c>
      <c r="B406">
        <v>87</v>
      </c>
    </row>
    <row r="407" spans="1:2">
      <c r="A407">
        <v>104</v>
      </c>
      <c r="B407">
        <v>347</v>
      </c>
    </row>
    <row r="408" spans="1:2">
      <c r="A408">
        <v>123.5</v>
      </c>
      <c r="B408">
        <v>48</v>
      </c>
    </row>
    <row r="409" spans="1:2">
      <c r="A409">
        <v>132</v>
      </c>
      <c r="B409">
        <v>8</v>
      </c>
    </row>
    <row r="410" spans="1:2">
      <c r="A410">
        <v>130</v>
      </c>
      <c r="B410">
        <v>14</v>
      </c>
    </row>
    <row r="411" spans="1:2">
      <c r="A411">
        <v>128</v>
      </c>
      <c r="B411">
        <v>20</v>
      </c>
    </row>
    <row r="412" spans="1:2">
      <c r="A412">
        <v>87</v>
      </c>
      <c r="B412">
        <v>679</v>
      </c>
    </row>
    <row r="413" spans="1:2">
      <c r="A413">
        <v>116</v>
      </c>
      <c r="B413">
        <v>115</v>
      </c>
    </row>
    <row r="414" spans="1:2">
      <c r="A414">
        <v>130.5</v>
      </c>
      <c r="B414">
        <v>12</v>
      </c>
    </row>
    <row r="415" spans="1:2">
      <c r="A415">
        <v>126</v>
      </c>
      <c r="B415">
        <v>29</v>
      </c>
    </row>
    <row r="416" spans="1:2">
      <c r="A416">
        <v>130</v>
      </c>
      <c r="B416">
        <v>15</v>
      </c>
    </row>
    <row r="417" spans="1:2">
      <c r="A417">
        <v>117.5</v>
      </c>
      <c r="B417">
        <v>96</v>
      </c>
    </row>
    <row r="418" spans="1:2">
      <c r="A418">
        <v>112</v>
      </c>
      <c r="B418">
        <v>185</v>
      </c>
    </row>
    <row r="419" spans="1:2">
      <c r="A419">
        <v>128</v>
      </c>
      <c r="B419">
        <v>21</v>
      </c>
    </row>
    <row r="420" spans="1:2">
      <c r="A420">
        <v>121.5</v>
      </c>
      <c r="B420">
        <v>55</v>
      </c>
    </row>
    <row r="421" spans="1:2">
      <c r="A421">
        <v>110.5</v>
      </c>
      <c r="B421">
        <v>216</v>
      </c>
    </row>
    <row r="422" spans="1:2">
      <c r="A422">
        <v>125</v>
      </c>
      <c r="B422">
        <v>35</v>
      </c>
    </row>
    <row r="423" spans="1:2">
      <c r="A423">
        <v>135.5</v>
      </c>
      <c r="B423">
        <v>4</v>
      </c>
    </row>
    <row r="424" spans="1:2">
      <c r="A424">
        <v>125.5</v>
      </c>
      <c r="B424">
        <v>32</v>
      </c>
    </row>
    <row r="425" spans="1:2">
      <c r="A425">
        <v>129.5</v>
      </c>
      <c r="B425">
        <v>17</v>
      </c>
    </row>
    <row r="426" spans="1:2">
      <c r="A426">
        <v>109</v>
      </c>
      <c r="B426">
        <v>245</v>
      </c>
    </row>
    <row r="427" spans="1:2">
      <c r="A427">
        <v>116</v>
      </c>
      <c r="B427">
        <v>116</v>
      </c>
    </row>
    <row r="428" spans="1:2">
      <c r="A428">
        <v>124</v>
      </c>
      <c r="B428">
        <v>41</v>
      </c>
    </row>
    <row r="429" spans="1:2">
      <c r="A429">
        <v>110.5</v>
      </c>
      <c r="B429">
        <v>217</v>
      </c>
    </row>
    <row r="430" spans="1:2">
      <c r="A430">
        <v>134.5</v>
      </c>
      <c r="B430">
        <v>5</v>
      </c>
    </row>
    <row r="431" spans="1:2">
      <c r="A431">
        <v>117</v>
      </c>
      <c r="B431">
        <v>102</v>
      </c>
    </row>
    <row r="432" spans="1:2">
      <c r="A432">
        <v>115.5</v>
      </c>
      <c r="B432">
        <v>123</v>
      </c>
    </row>
    <row r="433" spans="1:2">
      <c r="A433">
        <v>129</v>
      </c>
      <c r="B433">
        <v>19</v>
      </c>
    </row>
    <row r="434" spans="1:2">
      <c r="A434">
        <v>108</v>
      </c>
      <c r="B434">
        <v>261</v>
      </c>
    </row>
    <row r="435" spans="1:2">
      <c r="A435">
        <v>129.5</v>
      </c>
      <c r="B435">
        <v>18</v>
      </c>
    </row>
    <row r="436" spans="1:2">
      <c r="A436">
        <v>116.25</v>
      </c>
      <c r="B436">
        <v>112</v>
      </c>
    </row>
    <row r="437" spans="1:2">
      <c r="A437">
        <v>128</v>
      </c>
      <c r="B437">
        <v>22</v>
      </c>
    </row>
    <row r="438" spans="1:2">
      <c r="A438">
        <v>127</v>
      </c>
      <c r="B438">
        <v>24</v>
      </c>
    </row>
    <row r="439" spans="1:2">
      <c r="A439">
        <v>97.5</v>
      </c>
      <c r="B439">
        <v>471</v>
      </c>
    </row>
    <row r="440" spans="1:2">
      <c r="A440">
        <v>108.5</v>
      </c>
      <c r="B440">
        <v>254</v>
      </c>
    </row>
    <row r="441" spans="1:2">
      <c r="A441">
        <v>107</v>
      </c>
      <c r="B441">
        <v>285</v>
      </c>
    </row>
    <row r="442" spans="1:2">
      <c r="A442">
        <v>86.5</v>
      </c>
      <c r="B442">
        <v>687</v>
      </c>
    </row>
    <row r="443" spans="1:2">
      <c r="A443">
        <v>113</v>
      </c>
      <c r="B443">
        <v>163</v>
      </c>
    </row>
    <row r="444" spans="1:2">
      <c r="A444">
        <v>109</v>
      </c>
      <c r="B444">
        <v>246</v>
      </c>
    </row>
    <row r="445" spans="1:2">
      <c r="A445">
        <v>91</v>
      </c>
      <c r="B445">
        <v>599</v>
      </c>
    </row>
    <row r="446" spans="1:2">
      <c r="A446">
        <v>116.5</v>
      </c>
      <c r="B446">
        <v>107</v>
      </c>
    </row>
    <row r="447" spans="1:2">
      <c r="A447">
        <v>100</v>
      </c>
      <c r="B447">
        <v>418</v>
      </c>
    </row>
    <row r="448" spans="1:2">
      <c r="A448">
        <v>116.5</v>
      </c>
      <c r="B448">
        <v>108</v>
      </c>
    </row>
    <row r="449" spans="1:2">
      <c r="A449">
        <v>119</v>
      </c>
      <c r="B449">
        <v>79</v>
      </c>
    </row>
    <row r="450" spans="1:2">
      <c r="A450">
        <v>113</v>
      </c>
      <c r="B450">
        <v>164</v>
      </c>
    </row>
    <row r="451" spans="1:2">
      <c r="A451">
        <v>116</v>
      </c>
      <c r="B451">
        <v>117</v>
      </c>
    </row>
    <row r="452" spans="1:2">
      <c r="A452">
        <v>115.5</v>
      </c>
      <c r="B452">
        <v>124</v>
      </c>
    </row>
    <row r="453" spans="1:2">
      <c r="A453">
        <v>108</v>
      </c>
      <c r="B453">
        <v>262</v>
      </c>
    </row>
    <row r="454" spans="1:2">
      <c r="A454">
        <v>109.5</v>
      </c>
      <c r="B454">
        <v>236</v>
      </c>
    </row>
    <row r="455" spans="1:2">
      <c r="A455">
        <v>112</v>
      </c>
      <c r="B455">
        <v>186</v>
      </c>
    </row>
    <row r="456" spans="1:2">
      <c r="A456">
        <v>99</v>
      </c>
      <c r="B456">
        <v>438</v>
      </c>
    </row>
    <row r="457" spans="1:2">
      <c r="A457">
        <v>109</v>
      </c>
      <c r="B457">
        <v>247</v>
      </c>
    </row>
    <row r="458" spans="1:2">
      <c r="A458">
        <v>115.5</v>
      </c>
      <c r="B458">
        <v>125</v>
      </c>
    </row>
    <row r="459" spans="1:2">
      <c r="A459">
        <v>103.5</v>
      </c>
      <c r="B459">
        <v>360</v>
      </c>
    </row>
    <row r="460" spans="1:2">
      <c r="A460">
        <v>117</v>
      </c>
      <c r="B460">
        <v>103</v>
      </c>
    </row>
    <row r="461" spans="1:2">
      <c r="A461">
        <v>116</v>
      </c>
      <c r="B461">
        <v>118</v>
      </c>
    </row>
    <row r="462" spans="1:2">
      <c r="A462">
        <v>101.5</v>
      </c>
      <c r="B462">
        <v>398</v>
      </c>
    </row>
    <row r="463" spans="1:2">
      <c r="A463">
        <v>100</v>
      </c>
      <c r="B463">
        <v>419</v>
      </c>
    </row>
    <row r="464" spans="1:2">
      <c r="A464">
        <v>95</v>
      </c>
      <c r="B464">
        <v>521</v>
      </c>
    </row>
    <row r="465" spans="1:2">
      <c r="A465">
        <v>114</v>
      </c>
      <c r="B465">
        <v>147</v>
      </c>
    </row>
    <row r="466" spans="1:2">
      <c r="A466">
        <v>116</v>
      </c>
      <c r="B466">
        <v>119</v>
      </c>
    </row>
    <row r="467" spans="1:2">
      <c r="A467">
        <v>115</v>
      </c>
      <c r="B467">
        <v>133</v>
      </c>
    </row>
    <row r="468" spans="1:2">
      <c r="A468">
        <v>130.5</v>
      </c>
      <c r="B468">
        <v>13</v>
      </c>
    </row>
    <row r="469" spans="1:2">
      <c r="A469">
        <v>111.5</v>
      </c>
      <c r="B469">
        <v>195</v>
      </c>
    </row>
    <row r="470" spans="1:2">
      <c r="A470">
        <v>107.5</v>
      </c>
      <c r="B470">
        <v>272</v>
      </c>
    </row>
    <row r="471" spans="1:2">
      <c r="A471">
        <v>114.5</v>
      </c>
      <c r="B471">
        <v>143</v>
      </c>
    </row>
    <row r="472" spans="1:2">
      <c r="A472">
        <v>112.5</v>
      </c>
      <c r="B472">
        <v>177</v>
      </c>
    </row>
    <row r="473" spans="1:2">
      <c r="A473">
        <v>100.5</v>
      </c>
      <c r="B473">
        <v>412</v>
      </c>
    </row>
    <row r="474" spans="1:2">
      <c r="A474">
        <v>92</v>
      </c>
      <c r="B474">
        <v>582</v>
      </c>
    </row>
    <row r="475" spans="1:2">
      <c r="A475">
        <v>107.5</v>
      </c>
      <c r="B475">
        <v>273</v>
      </c>
    </row>
    <row r="476" spans="1:2">
      <c r="A476">
        <v>106</v>
      </c>
      <c r="B476">
        <v>304</v>
      </c>
    </row>
    <row r="477" spans="1:2">
      <c r="A477">
        <v>113</v>
      </c>
      <c r="B477">
        <v>165</v>
      </c>
    </row>
    <row r="478" spans="1:2">
      <c r="A478">
        <v>112.5</v>
      </c>
      <c r="B478">
        <v>178</v>
      </c>
    </row>
    <row r="479" spans="1:2">
      <c r="A479">
        <v>103</v>
      </c>
      <c r="B479">
        <v>370</v>
      </c>
    </row>
    <row r="480" spans="1:2">
      <c r="A480">
        <v>111</v>
      </c>
      <c r="B480">
        <v>206</v>
      </c>
    </row>
    <row r="481" spans="1:2">
      <c r="A481">
        <v>116.5</v>
      </c>
      <c r="B481">
        <v>109</v>
      </c>
    </row>
    <row r="482" spans="1:2">
      <c r="A482">
        <v>100.5</v>
      </c>
      <c r="B482">
        <v>413</v>
      </c>
    </row>
    <row r="483" spans="1:2">
      <c r="A483">
        <v>109.5</v>
      </c>
      <c r="B483">
        <v>237</v>
      </c>
    </row>
    <row r="484" spans="1:2">
      <c r="A484">
        <v>113.5</v>
      </c>
      <c r="B484">
        <v>155</v>
      </c>
    </row>
    <row r="485" spans="1:2">
      <c r="A485">
        <v>111.5</v>
      </c>
      <c r="B485">
        <v>196</v>
      </c>
    </row>
    <row r="486" spans="1:2">
      <c r="A486">
        <v>120.5</v>
      </c>
      <c r="B486">
        <v>64</v>
      </c>
    </row>
    <row r="487" spans="1:2">
      <c r="A487">
        <v>106</v>
      </c>
      <c r="B487">
        <v>305</v>
      </c>
    </row>
    <row r="488" spans="1:2">
      <c r="A488">
        <v>115</v>
      </c>
      <c r="B488">
        <v>134</v>
      </c>
    </row>
    <row r="489" spans="1:2">
      <c r="A489">
        <v>119.5</v>
      </c>
      <c r="B489">
        <v>75</v>
      </c>
    </row>
    <row r="490" spans="1:2">
      <c r="A490">
        <v>112</v>
      </c>
      <c r="B490">
        <v>187</v>
      </c>
    </row>
    <row r="491" spans="1:2">
      <c r="A491">
        <v>105</v>
      </c>
      <c r="B491">
        <v>321</v>
      </c>
    </row>
    <row r="492" spans="1:2">
      <c r="A492">
        <v>116.5</v>
      </c>
      <c r="B492">
        <v>110</v>
      </c>
    </row>
    <row r="493" spans="1:2">
      <c r="A493">
        <v>121.5</v>
      </c>
      <c r="B493">
        <v>56</v>
      </c>
    </row>
    <row r="494" spans="1:2">
      <c r="A494">
        <v>98.5</v>
      </c>
      <c r="B494">
        <v>447</v>
      </c>
    </row>
    <row r="495" spans="1:2">
      <c r="A495">
        <v>136</v>
      </c>
      <c r="B495">
        <v>3</v>
      </c>
    </row>
    <row r="496" spans="1:2">
      <c r="A496">
        <v>118.5</v>
      </c>
      <c r="B496">
        <v>88</v>
      </c>
    </row>
    <row r="497" spans="1:2">
      <c r="A497">
        <v>110</v>
      </c>
      <c r="B497">
        <v>225</v>
      </c>
    </row>
    <row r="498" spans="1:2">
      <c r="A498">
        <v>105.5</v>
      </c>
      <c r="B498">
        <v>314</v>
      </c>
    </row>
    <row r="499" spans="1:2">
      <c r="A499">
        <v>81.5</v>
      </c>
      <c r="B499">
        <v>744</v>
      </c>
    </row>
    <row r="500" spans="1:2">
      <c r="A500">
        <v>83.5</v>
      </c>
      <c r="B500">
        <v>725</v>
      </c>
    </row>
    <row r="501" spans="1:2">
      <c r="A501">
        <v>75</v>
      </c>
      <c r="B501">
        <v>787</v>
      </c>
    </row>
    <row r="502" spans="1:2">
      <c r="A502">
        <v>107.5</v>
      </c>
      <c r="B502">
        <v>274</v>
      </c>
    </row>
    <row r="503" spans="1:2">
      <c r="A503">
        <v>21.5</v>
      </c>
      <c r="B503">
        <v>868</v>
      </c>
    </row>
    <row r="504" spans="1:2">
      <c r="A504">
        <v>100</v>
      </c>
      <c r="B504">
        <v>420</v>
      </c>
    </row>
    <row r="505" spans="1:2">
      <c r="A505">
        <v>100</v>
      </c>
      <c r="B505">
        <v>421</v>
      </c>
    </row>
    <row r="506" spans="1:2">
      <c r="A506">
        <v>82</v>
      </c>
      <c r="B506">
        <v>739</v>
      </c>
    </row>
    <row r="507" spans="1:2">
      <c r="A507">
        <v>118</v>
      </c>
      <c r="B507">
        <v>93</v>
      </c>
    </row>
    <row r="508" spans="1:2">
      <c r="A508">
        <v>124</v>
      </c>
      <c r="B508">
        <v>42</v>
      </c>
    </row>
    <row r="509" spans="1:2">
      <c r="A509">
        <v>92.5</v>
      </c>
      <c r="B509">
        <v>573</v>
      </c>
    </row>
    <row r="510" spans="1:2">
      <c r="A510">
        <v>94.5</v>
      </c>
      <c r="B510">
        <v>531</v>
      </c>
    </row>
    <row r="511" spans="1:2">
      <c r="A511">
        <v>87.5</v>
      </c>
      <c r="B511">
        <v>671</v>
      </c>
    </row>
    <row r="512" spans="1:2">
      <c r="A512">
        <v>70</v>
      </c>
      <c r="B512">
        <v>813</v>
      </c>
    </row>
    <row r="513" spans="1:2">
      <c r="A513">
        <v>104</v>
      </c>
      <c r="B513">
        <v>348</v>
      </c>
    </row>
    <row r="514" spans="1:2">
      <c r="A514">
        <v>128</v>
      </c>
      <c r="B514">
        <v>23</v>
      </c>
    </row>
    <row r="515" spans="1:2">
      <c r="A515">
        <v>115.5</v>
      </c>
      <c r="B515">
        <v>126</v>
      </c>
    </row>
    <row r="516" spans="1:2">
      <c r="A516">
        <v>121</v>
      </c>
      <c r="B516">
        <v>60</v>
      </c>
    </row>
    <row r="517" spans="1:2">
      <c r="A517">
        <v>98</v>
      </c>
      <c r="B517">
        <v>459</v>
      </c>
    </row>
    <row r="518" spans="1:2">
      <c r="A518">
        <v>84</v>
      </c>
      <c r="B518">
        <v>717</v>
      </c>
    </row>
    <row r="519" spans="1:2">
      <c r="A519">
        <v>108</v>
      </c>
      <c r="B519">
        <v>263</v>
      </c>
    </row>
    <row r="520" spans="1:2">
      <c r="A520">
        <v>102.5</v>
      </c>
      <c r="B520">
        <v>376</v>
      </c>
    </row>
    <row r="521" spans="1:2">
      <c r="A521">
        <v>96</v>
      </c>
      <c r="B521">
        <v>498</v>
      </c>
    </row>
    <row r="522" spans="1:2">
      <c r="A522">
        <v>101</v>
      </c>
      <c r="B522">
        <v>404</v>
      </c>
    </row>
    <row r="523" spans="1:2">
      <c r="A523">
        <v>86.5</v>
      </c>
      <c r="B523">
        <v>688</v>
      </c>
    </row>
    <row r="524" spans="1:2">
      <c r="A524">
        <v>102.5</v>
      </c>
      <c r="B524">
        <v>377</v>
      </c>
    </row>
    <row r="525" spans="1:2">
      <c r="A525">
        <v>93.5</v>
      </c>
      <c r="B525">
        <v>553</v>
      </c>
    </row>
    <row r="526" spans="1:2">
      <c r="A526">
        <v>101</v>
      </c>
      <c r="B526">
        <v>405</v>
      </c>
    </row>
    <row r="527" spans="1:2">
      <c r="A527">
        <v>122</v>
      </c>
      <c r="B527">
        <v>53</v>
      </c>
    </row>
    <row r="528" spans="1:2">
      <c r="A528">
        <v>117</v>
      </c>
      <c r="B528">
        <v>104</v>
      </c>
    </row>
    <row r="529" spans="1:2">
      <c r="A529">
        <v>91</v>
      </c>
      <c r="B529">
        <v>600</v>
      </c>
    </row>
    <row r="530" spans="1:2">
      <c r="A530">
        <v>113.5</v>
      </c>
      <c r="B530">
        <v>156</v>
      </c>
    </row>
    <row r="531" spans="1:2">
      <c r="A531">
        <v>109</v>
      </c>
      <c r="B531">
        <v>248</v>
      </c>
    </row>
    <row r="532" spans="1:2">
      <c r="A532">
        <v>111</v>
      </c>
      <c r="B532">
        <v>207</v>
      </c>
    </row>
    <row r="533" spans="1:2">
      <c r="A533">
        <v>53</v>
      </c>
      <c r="B533">
        <v>860</v>
      </c>
    </row>
    <row r="534" spans="1:2">
      <c r="A534">
        <v>113</v>
      </c>
      <c r="B534">
        <v>166</v>
      </c>
    </row>
    <row r="535" spans="1:2">
      <c r="A535">
        <v>91</v>
      </c>
      <c r="B535">
        <v>601</v>
      </c>
    </row>
    <row r="536" spans="1:2">
      <c r="A536">
        <v>100.5</v>
      </c>
      <c r="B536">
        <v>414</v>
      </c>
    </row>
    <row r="537" spans="1:2">
      <c r="A537">
        <v>105.5</v>
      </c>
      <c r="B537">
        <v>315</v>
      </c>
    </row>
    <row r="538" spans="1:2">
      <c r="A538">
        <v>97</v>
      </c>
      <c r="B538">
        <v>481</v>
      </c>
    </row>
    <row r="539" spans="1:2">
      <c r="A539">
        <v>102</v>
      </c>
      <c r="B539">
        <v>385</v>
      </c>
    </row>
    <row r="540" spans="1:2">
      <c r="A540">
        <v>86.5</v>
      </c>
      <c r="B540">
        <v>689</v>
      </c>
    </row>
    <row r="541" spans="1:2">
      <c r="A541">
        <v>102</v>
      </c>
      <c r="B541">
        <v>386</v>
      </c>
    </row>
    <row r="542" spans="1:2">
      <c r="A542">
        <v>85</v>
      </c>
      <c r="B542">
        <v>705</v>
      </c>
    </row>
    <row r="543" spans="1:2">
      <c r="A543">
        <v>103.5</v>
      </c>
      <c r="B543">
        <v>361</v>
      </c>
    </row>
    <row r="544" spans="1:2">
      <c r="A544">
        <v>66.5</v>
      </c>
      <c r="B544">
        <v>827</v>
      </c>
    </row>
    <row r="545" spans="1:2">
      <c r="A545">
        <v>80.5</v>
      </c>
      <c r="B545">
        <v>748</v>
      </c>
    </row>
    <row r="546" spans="1:2">
      <c r="A546">
        <v>99.5</v>
      </c>
      <c r="B546">
        <v>428</v>
      </c>
    </row>
    <row r="547" spans="1:2">
      <c r="A547">
        <v>78</v>
      </c>
      <c r="B547">
        <v>768</v>
      </c>
    </row>
    <row r="548" spans="1:2">
      <c r="A548">
        <v>109.5</v>
      </c>
      <c r="B548">
        <v>238</v>
      </c>
    </row>
    <row r="549" spans="1:2">
      <c r="A549">
        <v>73</v>
      </c>
      <c r="B549">
        <v>802</v>
      </c>
    </row>
    <row r="550" spans="1:2">
      <c r="A550">
        <v>96</v>
      </c>
      <c r="B550">
        <v>499</v>
      </c>
    </row>
    <row r="551" spans="1:2">
      <c r="A551">
        <v>87.5</v>
      </c>
      <c r="B551">
        <v>672</v>
      </c>
    </row>
    <row r="552" spans="1:2">
      <c r="A552">
        <v>126.5</v>
      </c>
      <c r="B552">
        <v>27</v>
      </c>
    </row>
    <row r="553" spans="1:2">
      <c r="A553">
        <v>98</v>
      </c>
      <c r="B553">
        <v>460</v>
      </c>
    </row>
    <row r="554" spans="1:2">
      <c r="A554">
        <v>95</v>
      </c>
      <c r="B554">
        <v>522</v>
      </c>
    </row>
    <row r="555" spans="1:2">
      <c r="A555">
        <v>96</v>
      </c>
      <c r="B555">
        <v>500</v>
      </c>
    </row>
    <row r="556" spans="1:2">
      <c r="A556">
        <v>85</v>
      </c>
      <c r="B556">
        <v>706</v>
      </c>
    </row>
    <row r="557" spans="1:2">
      <c r="A557">
        <v>104.5</v>
      </c>
      <c r="B557">
        <v>336</v>
      </c>
    </row>
    <row r="558" spans="1:2">
      <c r="A558">
        <v>101.5</v>
      </c>
      <c r="B558">
        <v>399</v>
      </c>
    </row>
    <row r="559" spans="1:2">
      <c r="A559">
        <v>113</v>
      </c>
      <c r="B559">
        <v>167</v>
      </c>
    </row>
    <row r="560" spans="1:2">
      <c r="A560">
        <v>92.5</v>
      </c>
      <c r="B560">
        <v>574</v>
      </c>
    </row>
    <row r="561" spans="1:2">
      <c r="A561">
        <v>108</v>
      </c>
      <c r="B561">
        <v>264</v>
      </c>
    </row>
    <row r="562" spans="1:2">
      <c r="A562">
        <v>99</v>
      </c>
      <c r="B562">
        <v>439</v>
      </c>
    </row>
    <row r="563" spans="1:2">
      <c r="A563">
        <v>111</v>
      </c>
      <c r="B563">
        <v>208</v>
      </c>
    </row>
    <row r="564" spans="1:2">
      <c r="A564">
        <v>55.5</v>
      </c>
      <c r="B564">
        <v>856</v>
      </c>
    </row>
    <row r="565" spans="1:2">
      <c r="A565">
        <v>91.5</v>
      </c>
      <c r="B565">
        <v>587</v>
      </c>
    </row>
    <row r="566" spans="1:2">
      <c r="A566">
        <v>108</v>
      </c>
      <c r="B566">
        <v>265</v>
      </c>
    </row>
    <row r="567" spans="1:2">
      <c r="A567">
        <v>97</v>
      </c>
      <c r="B567">
        <v>482</v>
      </c>
    </row>
    <row r="568" spans="1:2">
      <c r="A568">
        <v>115.5</v>
      </c>
      <c r="B568">
        <v>127</v>
      </c>
    </row>
    <row r="569" spans="1:2">
      <c r="A569">
        <v>119</v>
      </c>
      <c r="B569">
        <v>80</v>
      </c>
    </row>
    <row r="570" spans="1:2">
      <c r="A570">
        <v>111.5</v>
      </c>
      <c r="B570">
        <v>197</v>
      </c>
    </row>
    <row r="571" spans="1:2">
      <c r="A571">
        <v>91</v>
      </c>
      <c r="B571">
        <v>602</v>
      </c>
    </row>
    <row r="572" spans="1:2">
      <c r="A572">
        <v>99.5</v>
      </c>
      <c r="B572">
        <v>429</v>
      </c>
    </row>
    <row r="573" spans="1:2">
      <c r="A573">
        <v>41.5</v>
      </c>
      <c r="B573">
        <v>867</v>
      </c>
    </row>
    <row r="574" spans="1:2">
      <c r="A574">
        <v>94.5</v>
      </c>
      <c r="B574">
        <v>532</v>
      </c>
    </row>
    <row r="575" spans="1:2">
      <c r="A575">
        <v>63</v>
      </c>
      <c r="B575">
        <v>838</v>
      </c>
    </row>
    <row r="576" spans="1:2">
      <c r="A576">
        <v>93.5</v>
      </c>
      <c r="B576">
        <v>554</v>
      </c>
    </row>
    <row r="577" spans="1:2">
      <c r="A577">
        <v>97.5</v>
      </c>
      <c r="B577">
        <v>472</v>
      </c>
    </row>
    <row r="578" spans="1:2">
      <c r="A578">
        <v>101</v>
      </c>
      <c r="B578">
        <v>406</v>
      </c>
    </row>
    <row r="579" spans="1:2">
      <c r="A579">
        <v>84.5</v>
      </c>
      <c r="B579">
        <v>711</v>
      </c>
    </row>
    <row r="580" spans="1:2">
      <c r="A580">
        <v>98.5</v>
      </c>
      <c r="B580">
        <v>448</v>
      </c>
    </row>
    <row r="581" spans="1:2">
      <c r="A581">
        <v>63.5</v>
      </c>
      <c r="B581">
        <v>836</v>
      </c>
    </row>
    <row r="582" spans="1:2">
      <c r="A582">
        <v>73.5</v>
      </c>
      <c r="B582">
        <v>801</v>
      </c>
    </row>
    <row r="583" spans="1:2">
      <c r="A583">
        <v>97</v>
      </c>
      <c r="B583">
        <v>483</v>
      </c>
    </row>
    <row r="584" spans="1:2">
      <c r="A584">
        <v>98.5</v>
      </c>
      <c r="B584">
        <v>449</v>
      </c>
    </row>
    <row r="585" spans="1:2">
      <c r="A585">
        <v>115.5</v>
      </c>
      <c r="B585">
        <v>128</v>
      </c>
    </row>
    <row r="586" spans="1:2">
      <c r="A586">
        <v>106.5</v>
      </c>
      <c r="B586">
        <v>294</v>
      </c>
    </row>
    <row r="587" spans="1:2">
      <c r="A587">
        <v>98.5</v>
      </c>
      <c r="B587">
        <v>450</v>
      </c>
    </row>
    <row r="588" spans="1:2">
      <c r="A588">
        <v>89.5</v>
      </c>
      <c r="B588">
        <v>628</v>
      </c>
    </row>
    <row r="589" spans="1:2">
      <c r="A589">
        <v>116</v>
      </c>
      <c r="B589">
        <v>120</v>
      </c>
    </row>
    <row r="590" spans="1:2">
      <c r="A590">
        <v>89.5</v>
      </c>
      <c r="B590">
        <v>629</v>
      </c>
    </row>
    <row r="591" spans="1:2">
      <c r="A591">
        <v>91.5</v>
      </c>
      <c r="B591">
        <v>588</v>
      </c>
    </row>
    <row r="592" spans="1:2">
      <c r="A592">
        <v>98</v>
      </c>
      <c r="B592">
        <v>461</v>
      </c>
    </row>
    <row r="593" spans="1:2">
      <c r="A593">
        <v>109</v>
      </c>
      <c r="B593">
        <v>249</v>
      </c>
    </row>
    <row r="594" spans="1:2">
      <c r="A594">
        <v>115.5</v>
      </c>
      <c r="B594">
        <v>129</v>
      </c>
    </row>
    <row r="595" spans="1:2">
      <c r="A595">
        <v>110</v>
      </c>
      <c r="B595">
        <v>226</v>
      </c>
    </row>
    <row r="596" spans="1:2">
      <c r="A596">
        <v>90</v>
      </c>
      <c r="B596">
        <v>618</v>
      </c>
    </row>
    <row r="597" spans="1:2">
      <c r="A597">
        <v>91</v>
      </c>
      <c r="B597">
        <v>603</v>
      </c>
    </row>
    <row r="598" spans="1:2">
      <c r="A598">
        <v>104</v>
      </c>
      <c r="B598">
        <v>349</v>
      </c>
    </row>
    <row r="599" spans="1:2">
      <c r="A599">
        <v>93.5</v>
      </c>
      <c r="B599">
        <v>555</v>
      </c>
    </row>
    <row r="600" spans="1:2">
      <c r="A600">
        <v>115</v>
      </c>
      <c r="B600">
        <v>135</v>
      </c>
    </row>
    <row r="601" spans="1:2">
      <c r="A601">
        <v>65</v>
      </c>
      <c r="B601">
        <v>832</v>
      </c>
    </row>
    <row r="602" spans="1:2">
      <c r="A602">
        <v>105.5</v>
      </c>
      <c r="B602">
        <v>316</v>
      </c>
    </row>
    <row r="603" spans="1:2">
      <c r="A603">
        <v>104.5</v>
      </c>
      <c r="B603">
        <v>337</v>
      </c>
    </row>
    <row r="604" spans="1:2">
      <c r="A604">
        <v>94.5</v>
      </c>
      <c r="B604">
        <v>533</v>
      </c>
    </row>
    <row r="605" spans="1:2">
      <c r="A605">
        <v>82</v>
      </c>
      <c r="B605">
        <v>740</v>
      </c>
    </row>
    <row r="606" spans="1:2">
      <c r="A606">
        <v>88</v>
      </c>
      <c r="B606">
        <v>659</v>
      </c>
    </row>
    <row r="607" spans="1:2">
      <c r="A607">
        <v>89.5</v>
      </c>
      <c r="B607">
        <v>630</v>
      </c>
    </row>
    <row r="608" spans="1:2">
      <c r="A608">
        <v>93.5</v>
      </c>
      <c r="B608">
        <v>556</v>
      </c>
    </row>
    <row r="609" spans="1:2">
      <c r="A609">
        <v>110</v>
      </c>
      <c r="B609">
        <v>227</v>
      </c>
    </row>
    <row r="610" spans="1:2">
      <c r="A610">
        <v>94.5</v>
      </c>
      <c r="B610">
        <v>534</v>
      </c>
    </row>
    <row r="611" spans="1:2">
      <c r="A611">
        <v>113.5</v>
      </c>
      <c r="B611">
        <v>157</v>
      </c>
    </row>
    <row r="612" spans="1:2">
      <c r="A612">
        <v>117</v>
      </c>
      <c r="B612">
        <v>105</v>
      </c>
    </row>
    <row r="613" spans="1:2">
      <c r="A613">
        <v>88</v>
      </c>
      <c r="B613">
        <v>660</v>
      </c>
    </row>
    <row r="614" spans="1:2">
      <c r="A614">
        <v>62.5</v>
      </c>
      <c r="B614">
        <v>842</v>
      </c>
    </row>
    <row r="615" spans="1:2">
      <c r="A615">
        <v>114</v>
      </c>
      <c r="B615">
        <v>148</v>
      </c>
    </row>
    <row r="616" spans="1:2">
      <c r="A616">
        <v>91.5</v>
      </c>
      <c r="B616">
        <v>589</v>
      </c>
    </row>
    <row r="617" spans="1:2">
      <c r="A617">
        <v>93</v>
      </c>
      <c r="B617">
        <v>565</v>
      </c>
    </row>
    <row r="618" spans="1:2">
      <c r="A618">
        <v>105</v>
      </c>
      <c r="B618">
        <v>322</v>
      </c>
    </row>
    <row r="619" spans="1:2">
      <c r="A619">
        <v>103.5</v>
      </c>
      <c r="B619">
        <v>362</v>
      </c>
    </row>
    <row r="620" spans="1:2">
      <c r="A620">
        <v>113.5</v>
      </c>
      <c r="B620">
        <v>158</v>
      </c>
    </row>
    <row r="621" spans="1:2">
      <c r="A621">
        <v>80</v>
      </c>
      <c r="B621">
        <v>753</v>
      </c>
    </row>
    <row r="622" spans="1:2">
      <c r="A622">
        <v>104.5</v>
      </c>
      <c r="B622">
        <v>338</v>
      </c>
    </row>
    <row r="623" spans="1:2">
      <c r="A623">
        <v>93.5</v>
      </c>
      <c r="B623">
        <v>557</v>
      </c>
    </row>
    <row r="624" spans="1:2">
      <c r="A624">
        <v>106</v>
      </c>
      <c r="B624">
        <v>306</v>
      </c>
    </row>
    <row r="625" spans="1:2">
      <c r="A625">
        <v>92</v>
      </c>
      <c r="B625">
        <v>583</v>
      </c>
    </row>
    <row r="626" spans="1:2">
      <c r="A626">
        <v>104</v>
      </c>
      <c r="B626">
        <v>350</v>
      </c>
    </row>
    <row r="627" spans="1:2">
      <c r="A627">
        <v>109.5</v>
      </c>
      <c r="B627">
        <v>239</v>
      </c>
    </row>
    <row r="628" spans="1:2">
      <c r="A628">
        <v>104</v>
      </c>
      <c r="B628">
        <v>351</v>
      </c>
    </row>
    <row r="629" spans="1:2">
      <c r="A629">
        <v>84.5</v>
      </c>
      <c r="B629">
        <v>712</v>
      </c>
    </row>
    <row r="630" spans="1:2">
      <c r="A630">
        <v>88.5</v>
      </c>
      <c r="B630">
        <v>648</v>
      </c>
    </row>
    <row r="631" spans="1:2">
      <c r="A631">
        <v>82</v>
      </c>
      <c r="B631">
        <v>741</v>
      </c>
    </row>
    <row r="632" spans="1:2">
      <c r="A632">
        <v>91</v>
      </c>
      <c r="B632">
        <v>604</v>
      </c>
    </row>
    <row r="633" spans="1:2">
      <c r="A633">
        <v>83</v>
      </c>
      <c r="B633">
        <v>731</v>
      </c>
    </row>
    <row r="634" spans="1:2">
      <c r="A634">
        <v>118.5</v>
      </c>
      <c r="B634">
        <v>89</v>
      </c>
    </row>
    <row r="635" spans="1:2">
      <c r="A635">
        <v>112</v>
      </c>
      <c r="B635">
        <v>188</v>
      </c>
    </row>
    <row r="636" spans="1:2">
      <c r="A636">
        <v>87.5</v>
      </c>
      <c r="B636">
        <v>673</v>
      </c>
    </row>
    <row r="637" spans="1:2">
      <c r="A637">
        <v>92.5</v>
      </c>
      <c r="B637">
        <v>575</v>
      </c>
    </row>
    <row r="638" spans="1:2">
      <c r="A638">
        <v>104.5</v>
      </c>
      <c r="B638">
        <v>339</v>
      </c>
    </row>
    <row r="639" spans="1:2">
      <c r="A639">
        <v>133.5</v>
      </c>
      <c r="B639">
        <v>6</v>
      </c>
    </row>
    <row r="640" spans="1:2">
      <c r="A640">
        <v>87.5</v>
      </c>
      <c r="B640">
        <v>674</v>
      </c>
    </row>
    <row r="641" spans="1:2">
      <c r="A641">
        <v>110</v>
      </c>
      <c r="B641">
        <v>228</v>
      </c>
    </row>
    <row r="642" spans="1:2">
      <c r="A642">
        <v>110</v>
      </c>
      <c r="B642">
        <v>229</v>
      </c>
    </row>
    <row r="643" spans="1:2">
      <c r="A643">
        <v>89</v>
      </c>
      <c r="B643">
        <v>637</v>
      </c>
    </row>
    <row r="644" spans="1:2">
      <c r="A644">
        <v>88</v>
      </c>
      <c r="B644">
        <v>661</v>
      </c>
    </row>
    <row r="645" spans="1:2">
      <c r="A645">
        <v>86.5</v>
      </c>
      <c r="B645">
        <v>690</v>
      </c>
    </row>
    <row r="646" spans="1:2">
      <c r="A646">
        <v>108.5</v>
      </c>
      <c r="B646">
        <v>255</v>
      </c>
    </row>
    <row r="647" spans="1:2">
      <c r="A647">
        <v>94.5</v>
      </c>
      <c r="B647">
        <v>535</v>
      </c>
    </row>
    <row r="648" spans="1:2">
      <c r="A648">
        <v>81</v>
      </c>
      <c r="B648">
        <v>745</v>
      </c>
    </row>
    <row r="649" spans="1:2">
      <c r="A649">
        <v>102</v>
      </c>
      <c r="B649">
        <v>387</v>
      </c>
    </row>
    <row r="650" spans="1:2">
      <c r="A650">
        <v>120.5</v>
      </c>
      <c r="B650">
        <v>65</v>
      </c>
    </row>
    <row r="651" spans="1:2">
      <c r="A651">
        <v>97.5</v>
      </c>
      <c r="B651">
        <v>473</v>
      </c>
    </row>
    <row r="652" spans="1:2">
      <c r="A652">
        <v>84</v>
      </c>
      <c r="B652">
        <v>718</v>
      </c>
    </row>
    <row r="653" spans="1:2">
      <c r="A653">
        <v>107.5</v>
      </c>
      <c r="B653">
        <v>275</v>
      </c>
    </row>
    <row r="654" spans="1:2">
      <c r="A654">
        <v>121</v>
      </c>
      <c r="B654">
        <v>61</v>
      </c>
    </row>
    <row r="655" spans="1:2">
      <c r="A655">
        <v>114.5</v>
      </c>
      <c r="B655">
        <v>144</v>
      </c>
    </row>
    <row r="656" spans="1:2">
      <c r="A656">
        <v>78</v>
      </c>
      <c r="B656">
        <v>769</v>
      </c>
    </row>
    <row r="657" spans="1:2">
      <c r="A657">
        <v>101.5</v>
      </c>
      <c r="B657">
        <v>400</v>
      </c>
    </row>
    <row r="658" spans="1:2">
      <c r="A658">
        <v>101.5</v>
      </c>
      <c r="B658">
        <v>401</v>
      </c>
    </row>
    <row r="659" spans="1:2">
      <c r="A659">
        <v>104</v>
      </c>
      <c r="B659">
        <v>352</v>
      </c>
    </row>
    <row r="660" spans="1:2">
      <c r="A660">
        <v>113.5</v>
      </c>
      <c r="B660">
        <v>159</v>
      </c>
    </row>
    <row r="661" spans="1:2">
      <c r="A661">
        <v>103.5</v>
      </c>
      <c r="B661">
        <v>363</v>
      </c>
    </row>
    <row r="662" spans="1:2">
      <c r="A662">
        <v>73</v>
      </c>
      <c r="B662">
        <v>803</v>
      </c>
    </row>
    <row r="663" spans="1:2">
      <c r="A663">
        <v>67.5</v>
      </c>
      <c r="B663">
        <v>825</v>
      </c>
    </row>
    <row r="664" spans="1:2">
      <c r="A664">
        <v>79.5</v>
      </c>
      <c r="B664">
        <v>759</v>
      </c>
    </row>
    <row r="665" spans="1:2">
      <c r="A665">
        <v>94.5</v>
      </c>
      <c r="B665">
        <v>536</v>
      </c>
    </row>
    <row r="666" spans="1:2">
      <c r="A666">
        <v>117.5</v>
      </c>
      <c r="B666">
        <v>97</v>
      </c>
    </row>
    <row r="667" spans="1:2">
      <c r="A667">
        <v>110</v>
      </c>
      <c r="B667">
        <v>230</v>
      </c>
    </row>
    <row r="668" spans="1:2">
      <c r="A668">
        <v>95.5</v>
      </c>
      <c r="B668">
        <v>505</v>
      </c>
    </row>
    <row r="669" spans="1:2">
      <c r="A669">
        <v>69.5</v>
      </c>
      <c r="B669">
        <v>818</v>
      </c>
    </row>
    <row r="670" spans="1:2">
      <c r="A670">
        <v>82</v>
      </c>
      <c r="B670">
        <v>742</v>
      </c>
    </row>
    <row r="671" spans="1:2">
      <c r="A671">
        <v>89</v>
      </c>
      <c r="B671">
        <v>638</v>
      </c>
    </row>
    <row r="672" spans="1:2">
      <c r="A672">
        <v>74.5</v>
      </c>
      <c r="B672">
        <v>792</v>
      </c>
    </row>
    <row r="673" spans="1:2">
      <c r="A673">
        <v>105</v>
      </c>
      <c r="B673">
        <v>323</v>
      </c>
    </row>
    <row r="674" spans="1:2">
      <c r="A674">
        <v>98</v>
      </c>
      <c r="B674">
        <v>462</v>
      </c>
    </row>
    <row r="675" spans="1:2">
      <c r="A675">
        <v>78</v>
      </c>
      <c r="B675">
        <v>770</v>
      </c>
    </row>
    <row r="676" spans="1:2">
      <c r="A676">
        <v>60</v>
      </c>
      <c r="B676">
        <v>845</v>
      </c>
    </row>
    <row r="677" spans="1:2">
      <c r="A677">
        <v>114</v>
      </c>
      <c r="B677">
        <v>149</v>
      </c>
    </row>
    <row r="678" spans="1:2">
      <c r="A678">
        <v>98.5</v>
      </c>
      <c r="B678">
        <v>451</v>
      </c>
    </row>
    <row r="679" spans="1:2">
      <c r="A679">
        <v>101</v>
      </c>
      <c r="B679">
        <v>407</v>
      </c>
    </row>
    <row r="680" spans="1:2">
      <c r="A680">
        <v>99.5</v>
      </c>
      <c r="B680">
        <v>430</v>
      </c>
    </row>
    <row r="681" spans="1:2">
      <c r="A681">
        <v>93</v>
      </c>
      <c r="B681">
        <v>566</v>
      </c>
    </row>
    <row r="682" spans="1:2">
      <c r="A682">
        <v>91.5</v>
      </c>
      <c r="B682">
        <v>590</v>
      </c>
    </row>
    <row r="683" spans="1:2">
      <c r="A683">
        <v>102.5</v>
      </c>
      <c r="B683">
        <v>378</v>
      </c>
    </row>
    <row r="684" spans="1:2">
      <c r="A684">
        <v>95</v>
      </c>
      <c r="B684">
        <v>523</v>
      </c>
    </row>
    <row r="685" spans="1:2">
      <c r="A685">
        <v>86</v>
      </c>
      <c r="B685">
        <v>697</v>
      </c>
    </row>
    <row r="686" spans="1:2">
      <c r="A686">
        <v>106</v>
      </c>
      <c r="B686">
        <v>307</v>
      </c>
    </row>
    <row r="687" spans="1:2">
      <c r="A687">
        <v>92</v>
      </c>
      <c r="B687">
        <v>584</v>
      </c>
    </row>
    <row r="688" spans="1:2">
      <c r="A688">
        <v>97.5</v>
      </c>
      <c r="B688">
        <v>474</v>
      </c>
    </row>
    <row r="689" spans="1:2">
      <c r="A689">
        <v>79</v>
      </c>
      <c r="B689">
        <v>764</v>
      </c>
    </row>
    <row r="690" spans="1:2">
      <c r="A690">
        <v>106.5</v>
      </c>
      <c r="B690">
        <v>295</v>
      </c>
    </row>
    <row r="691" spans="1:2">
      <c r="A691">
        <v>112</v>
      </c>
      <c r="B691">
        <v>189</v>
      </c>
    </row>
    <row r="692" spans="1:2">
      <c r="A692">
        <v>94</v>
      </c>
      <c r="B692">
        <v>544</v>
      </c>
    </row>
    <row r="693" spans="1:2">
      <c r="A693">
        <v>100</v>
      </c>
      <c r="B693">
        <v>422</v>
      </c>
    </row>
    <row r="694" spans="1:2">
      <c r="A694">
        <v>88.5</v>
      </c>
      <c r="B694">
        <v>649</v>
      </c>
    </row>
    <row r="695" spans="1:2">
      <c r="A695">
        <v>91</v>
      </c>
      <c r="B695">
        <v>605</v>
      </c>
    </row>
    <row r="696" spans="1:2">
      <c r="A696">
        <v>90.5</v>
      </c>
      <c r="B696">
        <v>611</v>
      </c>
    </row>
    <row r="697" spans="1:2">
      <c r="A697">
        <v>57</v>
      </c>
      <c r="B697">
        <v>853</v>
      </c>
    </row>
    <row r="698" spans="1:2">
      <c r="A698">
        <v>89.5</v>
      </c>
      <c r="B698">
        <v>631</v>
      </c>
    </row>
    <row r="699" spans="1:2">
      <c r="A699">
        <v>77</v>
      </c>
      <c r="B699">
        <v>779</v>
      </c>
    </row>
    <row r="700" spans="1:2">
      <c r="A700">
        <v>84.5</v>
      </c>
      <c r="B700">
        <v>713</v>
      </c>
    </row>
    <row r="701" spans="1:2">
      <c r="A701">
        <v>69</v>
      </c>
      <c r="B701">
        <v>821</v>
      </c>
    </row>
    <row r="702" spans="1:2">
      <c r="A702">
        <v>74.5</v>
      </c>
      <c r="B702">
        <v>793</v>
      </c>
    </row>
    <row r="703" spans="1:2">
      <c r="A703">
        <v>102.5</v>
      </c>
      <c r="B703">
        <v>379</v>
      </c>
    </row>
    <row r="704" spans="1:2">
      <c r="A704">
        <v>89</v>
      </c>
      <c r="B704">
        <v>639</v>
      </c>
    </row>
    <row r="705" spans="1:2">
      <c r="A705">
        <v>114</v>
      </c>
      <c r="B705">
        <v>150</v>
      </c>
    </row>
    <row r="706" spans="1:2">
      <c r="A706">
        <v>63</v>
      </c>
      <c r="B706">
        <v>839</v>
      </c>
    </row>
    <row r="707" spans="1:2">
      <c r="A707">
        <v>86</v>
      </c>
      <c r="B707">
        <v>698</v>
      </c>
    </row>
    <row r="708" spans="1:2">
      <c r="A708">
        <v>112.5</v>
      </c>
      <c r="B708">
        <v>179</v>
      </c>
    </row>
    <row r="709" spans="1:2">
      <c r="A709">
        <v>85.5</v>
      </c>
      <c r="B709">
        <v>700</v>
      </c>
    </row>
    <row r="710" spans="1:2">
      <c r="A710">
        <v>74.5</v>
      </c>
      <c r="B710">
        <v>794</v>
      </c>
    </row>
    <row r="711" spans="1:2">
      <c r="A711">
        <v>76.5</v>
      </c>
      <c r="B711">
        <v>781</v>
      </c>
    </row>
    <row r="712" spans="1:2">
      <c r="A712">
        <v>118</v>
      </c>
      <c r="B712">
        <v>94</v>
      </c>
    </row>
    <row r="713" spans="1:2">
      <c r="A713">
        <v>90.5</v>
      </c>
      <c r="B713">
        <v>612</v>
      </c>
    </row>
    <row r="714" spans="1:2">
      <c r="A714">
        <v>111</v>
      </c>
      <c r="B714">
        <v>209</v>
      </c>
    </row>
    <row r="715" spans="1:2">
      <c r="A715">
        <v>110.5</v>
      </c>
      <c r="B715">
        <v>218</v>
      </c>
    </row>
    <row r="716" spans="1:2">
      <c r="A716">
        <v>87.5</v>
      </c>
      <c r="B716">
        <v>675</v>
      </c>
    </row>
    <row r="717" spans="1:2">
      <c r="A717">
        <v>88.5</v>
      </c>
      <c r="B717">
        <v>650</v>
      </c>
    </row>
    <row r="718" spans="1:2">
      <c r="A718">
        <v>102</v>
      </c>
      <c r="B718">
        <v>388</v>
      </c>
    </row>
    <row r="719" spans="1:2">
      <c r="A719">
        <v>91</v>
      </c>
      <c r="B719">
        <v>606</v>
      </c>
    </row>
    <row r="720" spans="1:2">
      <c r="A720">
        <v>63</v>
      </c>
      <c r="B720">
        <v>840</v>
      </c>
    </row>
    <row r="721" spans="1:2">
      <c r="A721">
        <v>110.5</v>
      </c>
      <c r="B721">
        <v>219</v>
      </c>
    </row>
    <row r="722" spans="1:2">
      <c r="A722">
        <v>120.5</v>
      </c>
      <c r="B722">
        <v>66</v>
      </c>
    </row>
    <row r="723" spans="1:2">
      <c r="A723">
        <v>107.5</v>
      </c>
      <c r="B723">
        <v>276</v>
      </c>
    </row>
    <row r="724" spans="1:2">
      <c r="A724">
        <v>106</v>
      </c>
      <c r="B724">
        <v>308</v>
      </c>
    </row>
    <row r="725" spans="1:2">
      <c r="A725">
        <v>102</v>
      </c>
      <c r="B725">
        <v>389</v>
      </c>
    </row>
    <row r="726" spans="1:2">
      <c r="A726">
        <v>104.5</v>
      </c>
      <c r="B726">
        <v>340</v>
      </c>
    </row>
    <row r="727" spans="1:2">
      <c r="A727">
        <v>87</v>
      </c>
      <c r="B727">
        <v>680</v>
      </c>
    </row>
    <row r="728" spans="1:2">
      <c r="A728">
        <v>97</v>
      </c>
      <c r="B728">
        <v>484</v>
      </c>
    </row>
    <row r="729" spans="1:2">
      <c r="A729">
        <v>91</v>
      </c>
      <c r="B729">
        <v>607</v>
      </c>
    </row>
    <row r="730" spans="1:2">
      <c r="A730">
        <v>101</v>
      </c>
      <c r="B730">
        <v>408</v>
      </c>
    </row>
    <row r="731" spans="1:2">
      <c r="A731">
        <v>65.5</v>
      </c>
      <c r="B731">
        <v>831</v>
      </c>
    </row>
    <row r="732" spans="1:2">
      <c r="A732">
        <v>93</v>
      </c>
      <c r="B732">
        <v>567</v>
      </c>
    </row>
    <row r="733" spans="1:2">
      <c r="A733">
        <v>74</v>
      </c>
      <c r="B733">
        <v>799</v>
      </c>
    </row>
    <row r="734" spans="1:2">
      <c r="A734">
        <v>75</v>
      </c>
      <c r="B734">
        <v>788</v>
      </c>
    </row>
    <row r="735" spans="1:2">
      <c r="A735">
        <v>87</v>
      </c>
      <c r="B735">
        <v>681</v>
      </c>
    </row>
    <row r="736" spans="1:2">
      <c r="A736">
        <v>69.5</v>
      </c>
      <c r="B736">
        <v>819</v>
      </c>
    </row>
    <row r="737" spans="1:2">
      <c r="A737">
        <v>111</v>
      </c>
      <c r="B737">
        <v>210</v>
      </c>
    </row>
    <row r="738" spans="1:2">
      <c r="A738">
        <v>100</v>
      </c>
      <c r="B738">
        <v>423</v>
      </c>
    </row>
    <row r="739" spans="1:2">
      <c r="A739">
        <v>82</v>
      </c>
      <c r="B739">
        <v>743</v>
      </c>
    </row>
    <row r="740" spans="1:2">
      <c r="A740">
        <v>83.5</v>
      </c>
      <c r="B740">
        <v>726</v>
      </c>
    </row>
    <row r="741" spans="1:2">
      <c r="A741">
        <v>70</v>
      </c>
      <c r="B741">
        <v>814</v>
      </c>
    </row>
    <row r="742" spans="1:2">
      <c r="A742">
        <v>79.5</v>
      </c>
      <c r="B742">
        <v>760</v>
      </c>
    </row>
    <row r="743" spans="1:2">
      <c r="A743">
        <v>86.5</v>
      </c>
      <c r="B743">
        <v>691</v>
      </c>
    </row>
    <row r="744" spans="1:2">
      <c r="A744">
        <v>90.5</v>
      </c>
      <c r="B744">
        <v>613</v>
      </c>
    </row>
    <row r="745" spans="1:2">
      <c r="A745">
        <v>81</v>
      </c>
      <c r="B745">
        <v>746</v>
      </c>
    </row>
    <row r="746" spans="1:2">
      <c r="A746">
        <v>119.5</v>
      </c>
      <c r="B746">
        <v>76</v>
      </c>
    </row>
    <row r="747" spans="1:2">
      <c r="A747">
        <v>124</v>
      </c>
      <c r="B747">
        <v>43</v>
      </c>
    </row>
    <row r="748" spans="1:2">
      <c r="A748">
        <v>126</v>
      </c>
      <c r="B748">
        <v>30</v>
      </c>
    </row>
    <row r="749" spans="1:2">
      <c r="A749">
        <v>112</v>
      </c>
      <c r="B749">
        <v>190</v>
      </c>
    </row>
    <row r="750" spans="1:2">
      <c r="A750">
        <v>119</v>
      </c>
      <c r="B750">
        <v>81</v>
      </c>
    </row>
    <row r="751" spans="1:2">
      <c r="A751">
        <v>109.5</v>
      </c>
      <c r="B751">
        <v>240</v>
      </c>
    </row>
    <row r="752" spans="1:2">
      <c r="A752">
        <v>130</v>
      </c>
      <c r="B752">
        <v>16</v>
      </c>
    </row>
    <row r="753" spans="1:2">
      <c r="A753">
        <v>93.5</v>
      </c>
      <c r="B753">
        <v>558</v>
      </c>
    </row>
    <row r="754" spans="1:2">
      <c r="A754">
        <v>97.5</v>
      </c>
      <c r="B754">
        <v>475</v>
      </c>
    </row>
    <row r="755" spans="1:2">
      <c r="A755">
        <v>118.5</v>
      </c>
      <c r="B755">
        <v>90</v>
      </c>
    </row>
    <row r="756" spans="1:2">
      <c r="A756">
        <v>125</v>
      </c>
      <c r="B756">
        <v>36</v>
      </c>
    </row>
    <row r="757" spans="1:2">
      <c r="A757">
        <v>102.5</v>
      </c>
      <c r="B757">
        <v>380</v>
      </c>
    </row>
    <row r="758" spans="1:2">
      <c r="A758">
        <v>94</v>
      </c>
      <c r="B758">
        <v>545</v>
      </c>
    </row>
    <row r="759" spans="1:2">
      <c r="A759">
        <v>93</v>
      </c>
      <c r="B759">
        <v>568</v>
      </c>
    </row>
    <row r="760" spans="1:2">
      <c r="A760">
        <v>105</v>
      </c>
      <c r="B760">
        <v>324</v>
      </c>
    </row>
    <row r="761" spans="1:2">
      <c r="A761">
        <v>110</v>
      </c>
      <c r="B761">
        <v>231</v>
      </c>
    </row>
    <row r="762" spans="1:2">
      <c r="A762">
        <v>102.5</v>
      </c>
      <c r="B762">
        <v>381</v>
      </c>
    </row>
    <row r="763" spans="1:2">
      <c r="A763">
        <v>97.5</v>
      </c>
      <c r="B763">
        <v>476</v>
      </c>
    </row>
    <row r="764" spans="1:2">
      <c r="A764">
        <v>107.5</v>
      </c>
      <c r="B764">
        <v>277</v>
      </c>
    </row>
    <row r="765" spans="1:2">
      <c r="A765">
        <v>113</v>
      </c>
      <c r="B765">
        <v>168</v>
      </c>
    </row>
    <row r="766" spans="1:2">
      <c r="A766">
        <v>124</v>
      </c>
      <c r="B766">
        <v>44</v>
      </c>
    </row>
    <row r="767" spans="1:2">
      <c r="A767">
        <v>108</v>
      </c>
      <c r="B767">
        <v>266</v>
      </c>
    </row>
    <row r="768" spans="1:2">
      <c r="A768">
        <v>111.5</v>
      </c>
      <c r="B768">
        <v>198</v>
      </c>
    </row>
    <row r="769" spans="1:2">
      <c r="A769">
        <v>88.5</v>
      </c>
      <c r="B769">
        <v>651</v>
      </c>
    </row>
    <row r="770" spans="1:2">
      <c r="A770">
        <v>98.5</v>
      </c>
      <c r="B770">
        <v>452</v>
      </c>
    </row>
    <row r="771" spans="1:2">
      <c r="A771">
        <v>113</v>
      </c>
      <c r="B771">
        <v>169</v>
      </c>
    </row>
    <row r="772" spans="1:2">
      <c r="A772">
        <v>89</v>
      </c>
      <c r="B772">
        <v>640</v>
      </c>
    </row>
    <row r="773" spans="1:2">
      <c r="A773">
        <v>119</v>
      </c>
      <c r="B773">
        <v>82</v>
      </c>
    </row>
    <row r="774" spans="1:2">
      <c r="A774">
        <v>80</v>
      </c>
      <c r="B774">
        <v>754</v>
      </c>
    </row>
    <row r="775" spans="1:2">
      <c r="A775">
        <v>106</v>
      </c>
      <c r="B775">
        <v>309</v>
      </c>
    </row>
    <row r="776" spans="1:2">
      <c r="A776">
        <v>95</v>
      </c>
      <c r="B776">
        <v>524</v>
      </c>
    </row>
    <row r="777" spans="1:2">
      <c r="A777">
        <v>119</v>
      </c>
      <c r="B777">
        <v>83</v>
      </c>
    </row>
    <row r="778" spans="1:2">
      <c r="A778">
        <v>107.5</v>
      </c>
      <c r="B778">
        <v>278</v>
      </c>
    </row>
    <row r="779" spans="1:2">
      <c r="A779">
        <v>94</v>
      </c>
      <c r="B779">
        <v>546</v>
      </c>
    </row>
    <row r="780" spans="1:2">
      <c r="A780">
        <v>109</v>
      </c>
      <c r="B780">
        <v>250</v>
      </c>
    </row>
    <row r="781" spans="1:2">
      <c r="A781">
        <v>116.5</v>
      </c>
      <c r="B781">
        <v>111</v>
      </c>
    </row>
    <row r="782" spans="1:2">
      <c r="A782">
        <v>95.5</v>
      </c>
      <c r="B782">
        <v>506</v>
      </c>
    </row>
    <row r="783" spans="1:2">
      <c r="A783">
        <v>95.5</v>
      </c>
      <c r="B783">
        <v>507</v>
      </c>
    </row>
    <row r="784" spans="1:2">
      <c r="A784">
        <v>84</v>
      </c>
      <c r="B784">
        <v>719</v>
      </c>
    </row>
    <row r="785" spans="1:2">
      <c r="A785">
        <v>106.5</v>
      </c>
      <c r="B785">
        <v>296</v>
      </c>
    </row>
    <row r="786" spans="1:2">
      <c r="A786">
        <v>90</v>
      </c>
      <c r="B786">
        <v>619</v>
      </c>
    </row>
    <row r="787" spans="1:2">
      <c r="A787">
        <v>72</v>
      </c>
      <c r="B787">
        <v>807</v>
      </c>
    </row>
    <row r="788" spans="1:2">
      <c r="A788">
        <v>99</v>
      </c>
      <c r="B788">
        <v>440</v>
      </c>
    </row>
    <row r="789" spans="1:2">
      <c r="A789">
        <v>88.5</v>
      </c>
      <c r="B789">
        <v>652</v>
      </c>
    </row>
    <row r="790" spans="1:2">
      <c r="A790">
        <v>53.5</v>
      </c>
      <c r="B790">
        <v>859</v>
      </c>
    </row>
    <row r="791" spans="1:2">
      <c r="A791">
        <v>103.5</v>
      </c>
      <c r="B791">
        <v>364</v>
      </c>
    </row>
    <row r="792" spans="1:2">
      <c r="A792">
        <v>98.5</v>
      </c>
      <c r="B792">
        <v>453</v>
      </c>
    </row>
    <row r="793" spans="1:2">
      <c r="A793">
        <v>84</v>
      </c>
      <c r="B793">
        <v>720</v>
      </c>
    </row>
    <row r="794" spans="1:2">
      <c r="A794">
        <v>80.5</v>
      </c>
      <c r="B794">
        <v>749</v>
      </c>
    </row>
    <row r="795" spans="1:2">
      <c r="A795">
        <v>95.5</v>
      </c>
      <c r="B795">
        <v>508</v>
      </c>
    </row>
    <row r="796" spans="1:2">
      <c r="A796">
        <v>90</v>
      </c>
      <c r="B796">
        <v>620</v>
      </c>
    </row>
    <row r="797" spans="1:2">
      <c r="A797">
        <v>94.5</v>
      </c>
      <c r="B797">
        <v>537</v>
      </c>
    </row>
    <row r="798" spans="1:2">
      <c r="A798">
        <v>114</v>
      </c>
      <c r="B798">
        <v>151</v>
      </c>
    </row>
    <row r="799" spans="1:2">
      <c r="A799">
        <v>50</v>
      </c>
      <c r="B799">
        <v>865</v>
      </c>
    </row>
    <row r="800" spans="1:2">
      <c r="A800">
        <v>104</v>
      </c>
      <c r="B800">
        <v>353</v>
      </c>
    </row>
    <row r="801" spans="1:2">
      <c r="A801">
        <v>70</v>
      </c>
      <c r="B801">
        <v>815</v>
      </c>
    </row>
    <row r="802" spans="1:2">
      <c r="A802">
        <v>100</v>
      </c>
      <c r="B802">
        <v>424</v>
      </c>
    </row>
    <row r="803" spans="1:2">
      <c r="A803">
        <v>100.5</v>
      </c>
      <c r="B803">
        <v>415</v>
      </c>
    </row>
    <row r="804" spans="1:2">
      <c r="A804">
        <v>105</v>
      </c>
      <c r="B804">
        <v>325</v>
      </c>
    </row>
    <row r="805" spans="1:2">
      <c r="A805">
        <v>110.5</v>
      </c>
      <c r="B805">
        <v>220</v>
      </c>
    </row>
    <row r="806" spans="1:2">
      <c r="A806">
        <v>106</v>
      </c>
      <c r="B806">
        <v>310</v>
      </c>
    </row>
    <row r="807" spans="1:2">
      <c r="A807">
        <v>103</v>
      </c>
      <c r="B807">
        <v>371</v>
      </c>
    </row>
    <row r="808" spans="1:2">
      <c r="A808">
        <v>102.5</v>
      </c>
      <c r="B808">
        <v>382</v>
      </c>
    </row>
    <row r="809" spans="1:2">
      <c r="A809">
        <v>94</v>
      </c>
      <c r="B809">
        <v>547</v>
      </c>
    </row>
    <row r="810" spans="1:2">
      <c r="A810">
        <v>78</v>
      </c>
      <c r="B810">
        <v>771</v>
      </c>
    </row>
    <row r="811" spans="1:2">
      <c r="A811">
        <v>74.5</v>
      </c>
      <c r="B811">
        <v>795</v>
      </c>
    </row>
    <row r="812" spans="1:2">
      <c r="A812">
        <v>102</v>
      </c>
      <c r="B812">
        <v>390</v>
      </c>
    </row>
    <row r="813" spans="1:2">
      <c r="A813">
        <v>64.5</v>
      </c>
      <c r="B813">
        <v>833</v>
      </c>
    </row>
    <row r="814" spans="1:2">
      <c r="A814">
        <v>99</v>
      </c>
      <c r="B814">
        <v>441</v>
      </c>
    </row>
    <row r="815" spans="1:2">
      <c r="A815">
        <v>76</v>
      </c>
      <c r="B815">
        <v>783</v>
      </c>
    </row>
    <row r="816" spans="1:2">
      <c r="A816">
        <v>87</v>
      </c>
      <c r="B816">
        <v>682</v>
      </c>
    </row>
    <row r="817" spans="1:2">
      <c r="A817">
        <v>98</v>
      </c>
      <c r="B817">
        <v>463</v>
      </c>
    </row>
    <row r="818" spans="1:2">
      <c r="A818">
        <v>110.5</v>
      </c>
      <c r="B818">
        <v>221</v>
      </c>
    </row>
    <row r="819" spans="1:2">
      <c r="A819">
        <v>72</v>
      </c>
      <c r="B819">
        <v>808</v>
      </c>
    </row>
    <row r="820" spans="1:2">
      <c r="A820">
        <v>68.5</v>
      </c>
      <c r="B820">
        <v>823</v>
      </c>
    </row>
    <row r="821" spans="1:2">
      <c r="A821">
        <v>93.5</v>
      </c>
      <c r="B821">
        <v>559</v>
      </c>
    </row>
    <row r="822" spans="1:2">
      <c r="A822">
        <v>67</v>
      </c>
      <c r="B822">
        <v>826</v>
      </c>
    </row>
    <row r="823" spans="1:2">
      <c r="A823">
        <v>72.5</v>
      </c>
      <c r="B823">
        <v>806</v>
      </c>
    </row>
    <row r="824" spans="1:2">
      <c r="A824">
        <v>73</v>
      </c>
      <c r="B824">
        <v>804</v>
      </c>
    </row>
    <row r="825" spans="1:2">
      <c r="A825">
        <v>88</v>
      </c>
      <c r="B825">
        <v>662</v>
      </c>
    </row>
    <row r="826" spans="1:2">
      <c r="A826">
        <v>50.5</v>
      </c>
      <c r="B826">
        <v>862</v>
      </c>
    </row>
    <row r="827" spans="1:2">
      <c r="A827">
        <v>105</v>
      </c>
      <c r="B827">
        <v>326</v>
      </c>
    </row>
    <row r="828" spans="1:2">
      <c r="A828">
        <v>111.5</v>
      </c>
      <c r="B828">
        <v>199</v>
      </c>
    </row>
    <row r="829" spans="1:2">
      <c r="A829">
        <v>53</v>
      </c>
      <c r="B829">
        <v>861</v>
      </c>
    </row>
    <row r="830" spans="1:2">
      <c r="A830">
        <v>99.5</v>
      </c>
      <c r="B830">
        <v>431</v>
      </c>
    </row>
    <row r="831" spans="1:2">
      <c r="A831">
        <v>96</v>
      </c>
      <c r="B831">
        <v>501</v>
      </c>
    </row>
    <row r="832" spans="1:2">
      <c r="A832">
        <v>57</v>
      </c>
      <c r="B832">
        <v>854</v>
      </c>
    </row>
    <row r="833" spans="1:2">
      <c r="A833">
        <v>91.5</v>
      </c>
      <c r="B833">
        <v>591</v>
      </c>
    </row>
    <row r="834" spans="1:2">
      <c r="A834">
        <v>111.5</v>
      </c>
      <c r="B834">
        <v>200</v>
      </c>
    </row>
    <row r="835" spans="1:2">
      <c r="A835">
        <v>95.5</v>
      </c>
      <c r="B835">
        <v>509</v>
      </c>
    </row>
    <row r="836" spans="1:2">
      <c r="A836">
        <v>64</v>
      </c>
      <c r="B836">
        <v>835</v>
      </c>
    </row>
    <row r="837" spans="1:2">
      <c r="A837">
        <v>101.5</v>
      </c>
      <c r="B837">
        <v>402</v>
      </c>
    </row>
    <row r="838" spans="1:2">
      <c r="A838">
        <v>69</v>
      </c>
      <c r="B838">
        <v>822</v>
      </c>
    </row>
    <row r="839" spans="1:2">
      <c r="A839">
        <v>57.5</v>
      </c>
      <c r="B839">
        <v>850</v>
      </c>
    </row>
    <row r="840" spans="1:2">
      <c r="A840">
        <v>85</v>
      </c>
      <c r="B840">
        <v>707</v>
      </c>
    </row>
    <row r="841" spans="1:2">
      <c r="A841">
        <v>78</v>
      </c>
      <c r="B841">
        <v>772</v>
      </c>
    </row>
    <row r="842" spans="1:2">
      <c r="A842">
        <v>110.5</v>
      </c>
      <c r="B842">
        <v>222</v>
      </c>
    </row>
    <row r="843" spans="1:2">
      <c r="A843">
        <v>99.5</v>
      </c>
      <c r="B843">
        <v>432</v>
      </c>
    </row>
    <row r="844" spans="1:2">
      <c r="A844">
        <v>97.5</v>
      </c>
      <c r="B844">
        <v>477</v>
      </c>
    </row>
    <row r="845" spans="1:2">
      <c r="A845">
        <v>56.5</v>
      </c>
      <c r="B845">
        <v>855</v>
      </c>
    </row>
    <row r="846" spans="1:2">
      <c r="A846">
        <v>94</v>
      </c>
      <c r="B846">
        <v>548</v>
      </c>
    </row>
    <row r="847" spans="1:2">
      <c r="A847">
        <v>101</v>
      </c>
      <c r="B847">
        <v>409</v>
      </c>
    </row>
    <row r="848" spans="1:2">
      <c r="A848">
        <v>93.5</v>
      </c>
      <c r="B848">
        <v>560</v>
      </c>
    </row>
    <row r="849" spans="1:2">
      <c r="A849">
        <v>88.5</v>
      </c>
      <c r="B849">
        <v>653</v>
      </c>
    </row>
    <row r="850" spans="1:2">
      <c r="A850">
        <v>88</v>
      </c>
      <c r="B850">
        <v>663</v>
      </c>
    </row>
    <row r="851" spans="1:2">
      <c r="A851">
        <v>92.5</v>
      </c>
      <c r="B851">
        <v>576</v>
      </c>
    </row>
    <row r="852" spans="1:2">
      <c r="A852">
        <v>91</v>
      </c>
      <c r="B852">
        <v>608</v>
      </c>
    </row>
    <row r="853" spans="1:2">
      <c r="A853">
        <v>57.5</v>
      </c>
      <c r="B853">
        <v>851</v>
      </c>
    </row>
    <row r="854" spans="1:2">
      <c r="A854">
        <v>88</v>
      </c>
      <c r="B854">
        <v>664</v>
      </c>
    </row>
    <row r="855" spans="1:2">
      <c r="A855">
        <v>72</v>
      </c>
      <c r="B855">
        <v>809</v>
      </c>
    </row>
    <row r="856" spans="1:2">
      <c r="A856">
        <v>77.5</v>
      </c>
      <c r="B856">
        <v>777</v>
      </c>
    </row>
    <row r="857" spans="1:2">
      <c r="A857">
        <v>83.5</v>
      </c>
      <c r="B857">
        <v>727</v>
      </c>
    </row>
    <row r="858" spans="1:2">
      <c r="A858">
        <v>83</v>
      </c>
      <c r="B858">
        <v>732</v>
      </c>
    </row>
    <row r="859" spans="1:2">
      <c r="A859">
        <v>103.5</v>
      </c>
      <c r="B859">
        <v>365</v>
      </c>
    </row>
    <row r="860" spans="1:2">
      <c r="A860">
        <v>92.5</v>
      </c>
      <c r="B860">
        <v>577</v>
      </c>
    </row>
    <row r="861" spans="1:2">
      <c r="A861">
        <v>90</v>
      </c>
      <c r="B861">
        <v>621</v>
      </c>
    </row>
    <row r="862" spans="1:2">
      <c r="A862">
        <v>66.5</v>
      </c>
      <c r="B862">
        <v>828</v>
      </c>
    </row>
    <row r="863" spans="1:2">
      <c r="A863">
        <v>77</v>
      </c>
      <c r="B863">
        <v>780</v>
      </c>
    </row>
    <row r="864" spans="1:2">
      <c r="A864">
        <v>87.5</v>
      </c>
      <c r="B864">
        <v>676</v>
      </c>
    </row>
    <row r="865" spans="1:2">
      <c r="A865">
        <v>78.5</v>
      </c>
      <c r="B865">
        <v>766</v>
      </c>
    </row>
    <row r="866" spans="1:2">
      <c r="A866">
        <v>87</v>
      </c>
      <c r="B866">
        <v>683</v>
      </c>
    </row>
    <row r="867" spans="1:2">
      <c r="A867">
        <v>92</v>
      </c>
      <c r="B867">
        <v>585</v>
      </c>
    </row>
    <row r="868" spans="1:2">
      <c r="A868">
        <v>61.5</v>
      </c>
      <c r="B868">
        <v>843</v>
      </c>
    </row>
    <row r="869" spans="1:2">
      <c r="A869">
        <v>57.5</v>
      </c>
      <c r="B869">
        <v>852</v>
      </c>
    </row>
  </sheetData>
  <pageMargins left="0.7" right="0.7" top="0.75" bottom="0.75" header="0.3" footer="0.3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C10" sqref="A1:C10"/>
    </sheetView>
  </sheetViews>
  <sheetFormatPr defaultColWidth="11" defaultRowHeight="13.5"/>
  <sheetData>
    <row r="1">
      <c r="A1" t="s">
        <v>2067</v>
      </c>
      <c r="B1" t="s">
        <v>2068</v>
      </c>
      <c r="C1" t="s">
        <v>1848</v>
      </c>
    </row>
    <row r="2">
      <c r="A2" t="s">
        <v>2069</v>
      </c>
      <c r="B2" t="s">
        <v>2070</v>
      </c>
      <c r="C2">
        <v>71</v>
      </c>
    </row>
    <row r="3">
      <c r="A3" t="s">
        <v>2069</v>
      </c>
      <c r="B3" t="s">
        <v>2071</v>
      </c>
      <c r="C3">
        <v>107</v>
      </c>
    </row>
    <row r="4">
      <c r="A4" t="s">
        <v>2069</v>
      </c>
      <c r="B4" t="s">
        <v>2072</v>
      </c>
      <c r="C4">
        <v>70</v>
      </c>
    </row>
    <row r="5">
      <c r="A5" t="s">
        <v>2073</v>
      </c>
      <c r="B5" t="s">
        <v>2070</v>
      </c>
      <c r="C5">
        <v>158</v>
      </c>
    </row>
    <row r="6">
      <c r="A6" t="s">
        <v>2073</v>
      </c>
      <c r="B6" t="s">
        <v>2071</v>
      </c>
      <c r="C6">
        <v>237</v>
      </c>
    </row>
    <row r="7">
      <c r="A7" t="s">
        <v>2073</v>
      </c>
      <c r="B7" t="s">
        <v>2072</v>
      </c>
      <c r="C7">
        <v>157</v>
      </c>
    </row>
    <row r="8">
      <c r="A8" t="s">
        <v>2074</v>
      </c>
      <c r="B8" t="s">
        <v>2070</v>
      </c>
      <c r="C8">
        <v>20</v>
      </c>
    </row>
    <row r="9">
      <c r="A9" t="s">
        <v>2074</v>
      </c>
      <c r="B9" t="s">
        <v>2071</v>
      </c>
      <c r="C9">
        <v>30</v>
      </c>
    </row>
    <row r="10">
      <c r="A10" t="s">
        <v>2074</v>
      </c>
      <c r="B10" t="s">
        <v>2072</v>
      </c>
      <c r="C10">
        <v>19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4" baseType="variant">
      <vt:variant>
        <vt:lpstr>工作表</vt:lpstr>
      </vt:variant>
      <vt:variant>
        <vt:i4>22</vt:i4>
      </vt:variant>
      <vt:variant>
        <vt:lpstr>Worksheets</vt:lpstr>
      </vt:variant>
      <vt:variant>
        <vt:i4>22</vt:i4>
      </vt:variant>
    </vt:vector>
  </HeadingPairs>
  <TitlesOfParts>
    <vt:vector size="22" baseType="lpstr">
      <vt:lpstr>原始分</vt:lpstr>
      <vt:lpstr>统计表1</vt:lpstr>
      <vt:lpstr>原排 </vt:lpstr>
      <vt:lpstr>物原排</vt:lpstr>
      <vt:lpstr>史原排</vt:lpstr>
      <vt:lpstr>分数段1</vt:lpstr>
      <vt:lpstr>赋分</vt:lpstr>
      <vt:lpstr>统计表2</vt:lpstr>
      <vt:lpstr>赋排</vt:lpstr>
      <vt:lpstr>物赋排 </vt:lpstr>
      <vt:lpstr>史赋排 </vt:lpstr>
      <vt:lpstr>分数段2</vt:lpstr>
      <vt:lpstr>四线</vt:lpstr>
      <vt:lpstr>切线</vt:lpstr>
      <vt:lpstr>Sheet2</vt:lpstr>
      <vt:lpstr>Sheet1</vt:lpstr>
      <vt:lpstr>对比1</vt:lpstr>
      <vt:lpstr>对比2</vt:lpstr>
      <vt:lpstr>赋排 (2)</vt:lpstr>
      <vt:lpstr>高考指标</vt:lpstr>
      <vt:lpstr>测试</vt:lpstr>
      <vt:lpstr>TestSheet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2018-09-20T02:02:00Z</dcterms:created>
  <dcterms:modified xsi:type="dcterms:W3CDTF">2025-03-13T09:24:35Z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2052-11.8.2.11707</vt:lpwstr>
  </property>
  <property fmtid="{D5CDD505-2E9C-101B-9397-08002B2CF9AE}" pid="3" name="ICV">
    <vt:lpwstr>A6DEA50C510E4A5889DA08BA417A42DA_13</vt:lpwstr>
  </property>
  <property fmtid="{D5CDD505-2E9C-101B-9397-08002B2CF9AE}" pid="4" name="KSOReadingLayout">
    <vt:bool>false</vt:bool>
  </property>
</Properties>
</file>